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NU_Go Lives" sheetId="1" r:id="rId5"/>
    <sheet state="visible" name="CSAT_InFlight" sheetId="2" r:id="rId6"/>
    <sheet state="hidden" name="AI_ProductFunction" sheetId="3" r:id="rId7"/>
    <sheet state="hidden" name="AI_Deployments" sheetId="4" r:id="rId8"/>
    <sheet state="hidden" name="DNU_DD_Debug" sheetId="5" r:id="rId9"/>
    <sheet state="hidden" name="DNU_PerfCache" sheetId="6" r:id="rId10"/>
    <sheet state="visible" name="ReportDistributionLog" sheetId="7" r:id="rId11"/>
    <sheet state="visible" name="NotificationConfig" sheetId="8" r:id="rId12"/>
    <sheet state="visible" name="SFDC_DeploymentProductFunctions" sheetId="9" r:id="rId13"/>
    <sheet state="visible" name="SFDC_DeploymentHistory" sheetId="10" r:id="rId14"/>
    <sheet state="visible" name="SFDC_Deployments" sheetId="11" r:id="rId15"/>
    <sheet state="visible" name="SFDC_Wellness" sheetId="12" r:id="rId16"/>
    <sheet state="visible" name="SFDC_DHP" sheetId="13" r:id="rId17"/>
    <sheet state="visible" name="Contacts1" sheetId="14" r:id="rId18"/>
    <sheet state="visible" name="Contacts2" sheetId="15" r:id="rId19"/>
    <sheet state="visible" name="SFDC_DeploymentContacts" sheetId="16" r:id="rId20"/>
    <sheet state="visible" name="AppUsers" sheetId="17" r:id="rId21"/>
    <sheet state="visible" name="DD Assignment" sheetId="18" r:id="rId22"/>
    <sheet state="visible" name="OverrideAudit" sheetId="19" r:id="rId23"/>
    <sheet state="hidden" name="DNU_ActiveDeployments" sheetId="20" r:id="rId24"/>
    <sheet state="hidden" name="DNU_MetaIDMapping" sheetId="21" r:id="rId25"/>
    <sheet state="visible" name="DeploymentOverrides" sheetId="22" r:id="rId26"/>
    <sheet state="visible" name="GoLivesOverrides" sheetId="23" r:id="rId27"/>
    <sheet state="visible" name="DeploymentsMeta" sheetId="24" r:id="rId28"/>
    <sheet state="hidden" name="ExecSummary" sheetId="25" r:id="rId29"/>
    <sheet state="hidden" name="RedYellow_TBL" sheetId="26" r:id="rId30"/>
    <sheet state="hidden" name="Dashboard" sheetId="27" r:id="rId31"/>
    <sheet state="visible" name="HealthReportSnapshots" sheetId="28" r:id="rId32"/>
    <sheet state="hidden" name="RecentGL_TBL" sheetId="29" r:id="rId33"/>
    <sheet state="hidden" name="FutureGL_TBL" sheetId="30" r:id="rId34"/>
    <sheet state="hidden" name="DNU_ChangeLog" sheetId="31" r:id="rId35"/>
    <sheet state="hidden" name="DNU_DeploymentHealth_Snapshot" sheetId="32" r:id="rId36"/>
    <sheet state="hidden" name="DNU_HealthMonthlySummary" sheetId="33" r:id="rId37"/>
    <sheet state="hidden" name="HealthYtdSummary" sheetId="34" r:id="rId38"/>
    <sheet state="visible" name="Auto Refresh Execution Log" sheetId="35" r:id="rId39"/>
    <sheet state="hidden" name="DNU_App_LandingConfig" sheetId="36" r:id="rId40"/>
    <sheet state="visible" name="Current Escalation State" sheetId="37" r:id="rId41"/>
    <sheet state="visible" name="Channel Registry" sheetId="38" r:id="rId42"/>
    <sheet state="visible" name="Escalation_Configuration" sheetId="39" r:id="rId43"/>
    <sheet state="visible" name="Processing Log" sheetId="40" r:id="rId44"/>
    <sheet state="visible" name="Escalation Update History" sheetId="41" r:id="rId45"/>
  </sheets>
  <definedNames>
    <definedName name="HealthTotal">Dashboard!$A$2:$L$5</definedName>
    <definedName name="ApproachTotal">Dashboard!$A$8:$D$13</definedName>
    <definedName name="RedYellow">RedYellow_TBL!$A$2:$G$63</definedName>
    <definedName name="PartnerTotal">Dashboard!$A$16:$E$47</definedName>
    <definedName hidden="1" localSheetId="19" name="_xlnm._FilterDatabase">DNU_ActiveDeployments!$H$1:$H$1000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Salesforce Report Data
Report: SLED Go-Lives Past 30 Days
Field: Account.Name</t>
      </text>
    </comment>
    <comment authorId="0" ref="B1">
      <text>
        <t xml:space="preserve">Salesforce Report Data
Report: SLED Go-Lives Past 30 Days
Field: Account.Industry__c</t>
      </text>
    </comment>
    <comment authorId="0" ref="C1">
      <text>
        <t xml:space="preserve">Salesforce Report Data
Report: SLED Go-Lives Past 30 Days
Field: Deployments__c.Delivery_Assurance_Manager__c.Name</t>
      </text>
    </comment>
    <comment authorId="0" ref="D1">
      <text>
        <t xml:space="preserve">Salesforce Report Data
Report: SLED Go-Lives Past 30 Days
Field: Deployments__c.Workday_Engagement_Manager__c.Name</t>
      </text>
    </comment>
    <comment authorId="0" ref="E1">
      <text>
        <t xml:space="preserve">Salesforce Report Data
Report: SLED Go-Lives Past 30 Days
Field: Deployments__c.Priming_Partner__c.Name</t>
      </text>
    </comment>
    <comment authorId="0" ref="F1">
      <text>
        <t xml:space="preserve">Salesforce Report Data
Report: SLED Go-Lives Past 30 Days
Field: Deployments__c.Name</t>
      </text>
    </comment>
    <comment authorId="0" ref="G1">
      <text>
        <t xml:space="preserve">Salesforce Report Data
Report: SLED Go-Lives Past 30 Days
Field: Deployments__c.Deployment_Phase__c</t>
      </text>
    </comment>
    <comment authorId="0" ref="H1">
      <text>
        <t xml:space="preserve">Salesforce Report Data
Report: SLED Go-Lives Past 30 Days
Field: Deployment_Product__c.Product_Area__c</t>
      </text>
    </comment>
    <comment authorId="0" ref="I1">
      <text>
        <t xml:space="preserve">Salesforce Report Data
Report: SLED Go-Lives Past 30 Days
Field: Deployment_Product__c.Go_Live_Date_Actual__c</t>
      </text>
    </comment>
    <comment authorId="0" ref="J1">
      <text>
        <t xml:space="preserve">Salesforce Report Data
Report: SLED Go-Lives Past 30 Days
Field: Deployments__c.In_Production__c</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Salesforce Import Data
Object: Deployment_Product_Function__c
Field: Id</t>
      </text>
    </comment>
    <comment authorId="0" ref="B1">
      <text>
        <t xml:space="preserve">Salesforce Import Data
Object: Deployment_Product_Function__c
Field: Deployment__c</t>
      </text>
    </comment>
    <comment authorId="0" ref="C1">
      <text>
        <t xml:space="preserve">Salesforce Import Data
Object: Deployment_Product_Function__c
Field: Product_Area__c</t>
      </text>
    </comment>
    <comment authorId="0" ref="D1">
      <text>
        <t xml:space="preserve">Salesforce Import Data
Object: Deployment_Product_Function__c
Field: Function__c</t>
      </text>
    </comment>
    <comment authorId="0" ref="E1">
      <text>
        <t xml:space="preserve">Salesforce Import Data
Object: Deployment_Product_Function__c
Field: Production_Move_Date_Target__c</t>
      </text>
    </comment>
    <comment authorId="0" ref="F1">
      <text>
        <t xml:space="preserve">Salesforce Import Data
Object: Deployment_Product_Function__c
Field: Production_Move_Date_Actual__c</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Salesforce Import Data
Object: Deployments__c
Field: Id</t>
      </text>
    </comment>
    <comment authorId="0" ref="B1">
      <text>
        <t xml:space="preserve">Salesforce Import Data
Object: Deployments__c
Field: Name</t>
      </text>
    </comment>
    <comment authorId="0" ref="C1">
      <text>
        <t xml:space="preserve">Salesforce Import Data
Object: Deployments__c
Field: Customer__r.Name</t>
      </text>
    </comment>
    <comment authorId="0" ref="D1">
      <text>
        <t xml:space="preserve">Salesforce Import Data
Object: Deployments__c
Field: Customer__r.Industry</t>
      </text>
    </comment>
    <comment authorId="0" ref="E1">
      <text>
        <t xml:space="preserve">Salesforce Import Data
Object: Deployments__c
Field: Customer__r.PS_Region_New__c</t>
      </text>
    </comment>
    <comment authorId="0" ref="F1">
      <text>
        <t xml:space="preserve">Salesforce Import Data
Object: Deployments__c
Field: Customer__r.PS_Sub_Region__c</t>
      </text>
    </comment>
    <comment authorId="0" ref="G1">
      <text>
        <t xml:space="preserve">Salesforce Import Data
Object: Deployments__c
Field: Customer__r.SubRegion__c</t>
      </text>
    </comment>
    <comment authorId="0" ref="H1">
      <text>
        <t xml:space="preserve">Salesforce Import Data
Object: Deployments__c
Field: Deployment_Start_Date__c</t>
      </text>
    </comment>
    <comment authorId="0" ref="I1">
      <text>
        <t xml:space="preserve">Salesforce Import Data
Object: Deployments__c
Field: Current_MTP_Date__c</t>
      </text>
    </comment>
    <comment authorId="0" ref="J1">
      <text>
        <t xml:space="preserve">Salesforce Import Data
Object: Deployments__c
Field: First_Move_to_Production_Date_Actual__c</t>
      </text>
    </comment>
    <comment authorId="0" ref="K1">
      <text>
        <t xml:space="preserve">Salesforce Import Data
Object: Deployments__c
Field: Overall_Status__c</t>
      </text>
    </comment>
    <comment authorId="0" ref="L1">
      <text>
        <t xml:space="preserve">Salesforce Import Data
Object: Deployments__c
Field: Deployment_Phase__c</t>
      </text>
    </comment>
    <comment authorId="0" ref="M1">
      <text>
        <t xml:space="preserve">Salesforce Import Data
Object: Deployments__c
Field: Deployment_Stage__c</t>
      </text>
    </comment>
    <comment authorId="0" ref="N1">
      <text>
        <t xml:space="preserve">Salesforce Import Data
Object: Deployments__c
Field: Overall_Health__c</t>
      </text>
    </comment>
    <comment authorId="0" ref="O1">
      <text>
        <t xml:space="preserve">Salesforce Import Data
Object: Deployments__c
Field: Deployment_Completion_Date__c</t>
      </text>
    </comment>
    <comment authorId="0" ref="P1">
      <text>
        <t xml:space="preserve">Salesforce Import Data
Object: Deployments__c
Field: Workday_Engagement_Manager__r.Full_Name__c</t>
      </text>
    </comment>
    <comment authorId="0" ref="Q1">
      <text>
        <t xml:space="preserve">Salesforce Import Data
Object: Deployments__c
Field: Delivery_Assurance_Manager__r</t>
      </text>
    </comment>
    <comment authorId="0" ref="R1">
      <text>
        <t xml:space="preserve">Salesforce Import Data
Object: Deployments__c
Field: Priming_Partner__c</t>
      </text>
    </comment>
    <comment authorId="0" ref="S1">
      <text>
        <t xml:space="preserve">Salesforce Import Data
Object: Deployments__c
Field: Implementation_Partner__c</t>
      </text>
    </comment>
    <comment authorId="0" ref="T1">
      <text>
        <t xml:space="preserve">Salesforce Import Data
Object: Deployments__c
Field: Deployment_Partner_Name__c</t>
      </text>
    </comment>
    <comment authorId="0" ref="U1">
      <text>
        <t xml:space="preserve">Salesforce Import Data
Object: Deployments__c
Field: Deployment_Summary__c</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Salesforce Import Data
Object: Deployment_Product_Function__c
Field: Id</t>
      </text>
    </comment>
    <comment authorId="0" ref="B1">
      <text>
        <t xml:space="preserve">Salesforce Import Data
Object: Deployment_Product_Function__c
Field: Deployment__c</t>
      </text>
    </comment>
    <comment authorId="0" ref="C1">
      <text>
        <t xml:space="preserve">Salesforce Import Data
Object: Deployment_Product_Function__c
Field: Deployment__r.Id</t>
      </text>
    </comment>
    <comment authorId="0" ref="D1">
      <text>
        <t xml:space="preserve">Salesforce Import Data
Object: Deployment_Product_Function__c
Field: Deployment__r.Name</t>
      </text>
    </comment>
    <comment authorId="0" ref="E1">
      <text>
        <t xml:space="preserve">Salesforce Import Data
Object: Deployment_Product_Function__c
Field: Deployment__r.Customer__c</t>
      </text>
    </comment>
    <comment authorId="0" ref="F1">
      <text>
        <t xml:space="preserve">Salesforce Import Data
Object: Deployment_Product_Function__c
Field: Deployment__r.Customer__r</t>
      </text>
    </comment>
    <comment authorId="0" ref="G1">
      <text>
        <t xml:space="preserve">Salesforce Import Data
Object: Deployment_Product_Function__c
Field: Deployment__r.Deployment_Start_Date__c</t>
      </text>
    </comment>
    <comment authorId="0" ref="H1">
      <text>
        <t xml:space="preserve">Salesforce Import Data
Object: Deployment_Product_Function__c
Field: Deployment__r.Current_MTP_Date__c</t>
      </text>
    </comment>
    <comment authorId="0" ref="I1">
      <text>
        <t xml:space="preserve">Salesforce Import Data
Object: Deployment_Product_Function__c
Field: Deployment__r.First_Move_to_Production_Date_Actual__c</t>
      </text>
    </comment>
    <comment authorId="0" ref="J1">
      <text>
        <t xml:space="preserve">Salesforce Import Data
Object: Deployment_Product_Function__c
Field: Deployment__r.Overall_Status__c</t>
      </text>
    </comment>
    <comment authorId="0" ref="K1">
      <text>
        <t xml:space="preserve">Salesforce Import Data
Object: Deployment_Product_Function__c
Field: Deployment__r.Deployment_Phase__c</t>
      </text>
    </comment>
    <comment authorId="0" ref="L1">
      <text>
        <t xml:space="preserve">Salesforce Import Data
Object: Deployment_Product_Function__c
Field: Deployment__r.Deployment_Stage__c</t>
      </text>
    </comment>
    <comment authorId="0" ref="M1">
      <text>
        <t xml:space="preserve">Salesforce Import Data
Object: Deployment_Product_Function__c
Field: Deployment__r.Overall_Health__c</t>
      </text>
    </comment>
    <comment authorId="0" ref="N1">
      <text>
        <t xml:space="preserve">Salesforce Import Data
Object: Deployment_Product_Function__c
Field: Deployment__r.Deployment_Completion_Date__c</t>
      </text>
    </comment>
    <comment authorId="0" ref="O1">
      <text>
        <t xml:space="preserve">Salesforce Import Data
Object: Deployment_Product_Function__c
Field: Deployment__r.Workday_Engagement_Manager__r</t>
      </text>
    </comment>
    <comment authorId="0" ref="P1">
      <text>
        <t xml:space="preserve">Salesforce Import Data
Object: Deployment_Product_Function__c
Field: Deployment__r.Delivery_Assurance_Manager__r</t>
      </text>
    </comment>
    <comment authorId="0" ref="Q1">
      <text>
        <t xml:space="preserve">Salesforce Import Data
Object: Deployment_Product_Function__c
Field: Deployment__r.Priming_Partner__c</t>
      </text>
    </comment>
    <comment authorId="0" ref="R1">
      <text>
        <t xml:space="preserve">Salesforce Import Data
Object: Deployment_Product_Function__c
Field: Deployment__r.Implementation_Partner__c</t>
      </text>
    </comment>
    <comment authorId="0" ref="S1">
      <text>
        <t xml:space="preserve">Salesforce Import Data
Object: Deployment_Product_Function__c
Field: Deployment__r.Deployment_Partner_Name__c</t>
      </text>
    </comment>
    <comment authorId="0" ref="T1">
      <text>
        <t xml:space="preserve">Salesforce Import Data
Object: Deployment_Product_Function__c
Field: Deployment__r.Deployment_Summary__c</t>
      </text>
    </comment>
    <comment authorId="0" ref="U1">
      <text>
        <t xml:space="preserve">Salesforce Import Data
Object: Deployment_Product_Function__c
Field: Product_Area__c</t>
      </text>
    </comment>
    <comment authorId="0" ref="V1">
      <text>
        <t xml:space="preserve">Salesforce Import Data
Object: Deployment_Product_Function__c
Field: Function__c</t>
      </text>
    </comment>
    <comment authorId="0" ref="W1">
      <text>
        <t xml:space="preserve">Salesforce Import Data
Object: Deployment_Product_Function__c
Field: Production_Move_Date_Target__c</t>
      </text>
    </comment>
    <comment authorId="0" ref="X1">
      <text>
        <t xml:space="preserve">Salesforce Import Data
Object: Deployment_Product_Function__c
Field: Production_Move_Date_Actual__c</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Salesforce Import Data
Object: Deployments__History
Field: Id</t>
      </text>
    </comment>
    <comment authorId="0" ref="B1">
      <text>
        <t xml:space="preserve">Salesforce Import Data
Object: Deployments__History
Field: ParentId</t>
      </text>
    </comment>
    <comment authorId="0" ref="C1">
      <text>
        <t xml:space="preserve">Salesforce Import Data
Object: Deployments__History
Field: Parent.Name</t>
      </text>
    </comment>
    <comment authorId="0" ref="D1">
      <text>
        <t xml:space="preserve">Salesforce Import Data
Object: Deployments__History
Field: Parent.Customer__c</t>
      </text>
    </comment>
    <comment authorId="0" ref="E1">
      <text>
        <t xml:space="preserve">Salesforce Import Data
Object: Deployments__History
Field: Parent.Customer__r</t>
      </text>
    </comment>
    <comment authorId="0" ref="F1">
      <text>
        <t xml:space="preserve">Salesforce Import Data
Object: Deployments__History
Field: Field</t>
      </text>
    </comment>
    <comment authorId="0" ref="G1">
      <text>
        <t xml:space="preserve">Salesforce Import Data
Object: Deployments__History
Field: OldValue</t>
      </text>
    </comment>
    <comment authorId="0" ref="H1">
      <text>
        <t xml:space="preserve">Salesforce Import Data
Object: Deployments__History
Field: NewValue</t>
      </text>
    </comment>
    <comment authorId="0" ref="I1">
      <text>
        <t xml:space="preserve">Salesforce Import Data
Object: Deployments__History
Field: CreatedDate</t>
      </text>
    </comment>
    <comment authorId="0" ref="J1">
      <text>
        <t xml:space="preserve">Salesforce Import Data
Object: Deployments__History
Field: CreatedById</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Salesforce Import Data
Object: Deployments__c
Field: Id</t>
      </text>
    </comment>
    <comment authorId="0" ref="B1">
      <text>
        <t xml:space="preserve">Salesforce Import Data
Object: Deployments__c
Field: Name</t>
      </text>
    </comment>
    <comment authorId="0" ref="C1">
      <text>
        <t xml:space="preserve">Salesforce Import Data
Object: Deployments__c
Field: Customer__r.Name</t>
      </text>
    </comment>
    <comment authorId="0" ref="D1">
      <text>
        <t xml:space="preserve">Salesforce Import Data
Object: Deployments__c
Field: Customer__r.Industry</t>
      </text>
    </comment>
    <comment authorId="0" ref="E1">
      <text>
        <t xml:space="preserve">Salesforce Import Data
Object: Deployments__c
Field: Customer__r.PS_Region_New__c</t>
      </text>
    </comment>
    <comment authorId="0" ref="F1">
      <text>
        <t xml:space="preserve">Salesforce Import Data
Object: Deployments__c
Field: Customer__r.PS_Sub_Region__c</t>
      </text>
    </comment>
    <comment authorId="0" ref="G1">
      <text>
        <t xml:space="preserve">Salesforce Import Data
Object: Deployments__c
Field: Customer__r.SubRegion__c</t>
      </text>
    </comment>
    <comment authorId="0" ref="H1">
      <text>
        <t xml:space="preserve">Salesforce Import Data
Object: Deployments__c
Field: Deployment_Start_Date__c</t>
      </text>
    </comment>
    <comment authorId="0" ref="I1">
      <text>
        <t xml:space="preserve">Salesforce Import Data
Object: Deployments__c
Field: Current_MTP_Date__c</t>
      </text>
    </comment>
    <comment authorId="0" ref="J1">
      <text>
        <t xml:space="preserve">Salesforce Import Data
Object: Deployments__c
Field: First_Move_to_Production_Date_Actual__c</t>
      </text>
    </comment>
    <comment authorId="0" ref="K1">
      <text>
        <t xml:space="preserve">Salesforce Import Data
Object: Deployments__c
Field: Overall_Status__c</t>
      </text>
    </comment>
    <comment authorId="0" ref="L1">
      <text>
        <t xml:space="preserve">Salesforce Import Data
Object: Deployments__c
Field: Deployment_Phase__c</t>
      </text>
    </comment>
    <comment authorId="0" ref="M1">
      <text>
        <t xml:space="preserve">Salesforce Import Data
Object: Deployments__c
Field: Deployment_Stage__c</t>
      </text>
    </comment>
    <comment authorId="0" ref="N1">
      <text>
        <t xml:space="preserve">Salesforce Import Data
Object: Deployments__c
Field: Overall_Health__c</t>
      </text>
    </comment>
    <comment authorId="0" ref="O1">
      <text>
        <t xml:space="preserve">Salesforce Import Data
Object: Deployments__c
Field: Deployment_Completion_Date__c</t>
      </text>
    </comment>
    <comment authorId="0" ref="P1">
      <text>
        <t xml:space="preserve">Salesforce Import Data
Object: Deployments__c
Field: Workday_Engagement_Manager__r.Full_Name__c</t>
      </text>
    </comment>
    <comment authorId="0" ref="Q1">
      <text>
        <t xml:space="preserve">Salesforce Import Data
Object: Deployments__c
Field: Delivery_Assurance_Manager__r</t>
      </text>
    </comment>
    <comment authorId="0" ref="R1">
      <text>
        <t xml:space="preserve">Salesforce Import Data
Object: Deployments__c
Field: Priming_Partner__c</t>
      </text>
    </comment>
    <comment authorId="0" ref="S1">
      <text>
        <t xml:space="preserve">Salesforce Import Data
Object: Deployments__c
Field: Implementation_Partner__c</t>
      </text>
    </comment>
    <comment authorId="0" ref="T1">
      <text>
        <t xml:space="preserve">Salesforce Import Data
Object: Deployments__c
Field: Deployment_Partner_Name__c</t>
      </text>
    </comment>
    <comment authorId="0" ref="U1">
      <text>
        <t xml:space="preserve">Salesforce Import Data
Object: Deployments__c
Field: Deployment_Summary__c</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Salesforce Import Data
Object: Customer_Wellness_Plan__c
Field: Id</t>
      </text>
    </comment>
    <comment authorId="0" ref="B1">
      <text>
        <t xml:space="preserve">Salesforce Import Data
Object: Customer_Wellness_Plan__c
Field: Overall_Health_Status__c</t>
      </text>
    </comment>
    <comment authorId="0" ref="C1">
      <text>
        <t xml:space="preserve">Salesforce Import Data
Object: Customer_Wellness_Plan__c
Field: Account__r.Id</t>
      </text>
    </comment>
    <comment authorId="0" ref="D1">
      <text>
        <t xml:space="preserve">Salesforce Import Data
Object: Customer_Wellness_Plan__c
Field: High_Risk_Flag__c</t>
      </text>
    </comment>
    <comment authorId="0" ref="E1">
      <text>
        <t xml:space="preserve">Salesforce Import Data
Object: Customer_Wellness_Plan__c
Field: Wellness_Update__c</t>
      </text>
    </comment>
    <comment authorId="0" ref="F1">
      <text>
        <t xml:space="preserve">Salesforce Import Data
Object: Customer_Wellness_Plan__c
Field: CX_Leader_Assignment__r</t>
      </text>
    </comment>
    <comment authorId="0" ref="G1">
      <text>
        <t xml:space="preserve">Salesforce Import Data
Object: Customer_Wellness_Plan__c
Field: Executive_Summary__c</t>
      </text>
    </comment>
    <comment authorId="0" ref="H1">
      <text>
        <t xml:space="preserve">Salesforce Import Data
Object: Customer_Wellness_Plan__c
Field: Summary_of_Issues__c</t>
      </text>
    </comment>
    <comment authorId="0" ref="I1">
      <text>
        <t xml:space="preserve">Salesforce Import Data
Object: Customer_Wellness_Plan__c
Field: Issue_Category__c</t>
      </text>
    </comment>
    <comment authorId="0" ref="J1">
      <text>
        <t xml:space="preserve">Salesforce Import Data
Object: Customer_Wellness_Plan__c
Field: LastModifiedDate</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Salesforce Import Data
Object: Deployment_Health_Plan__c
Field: Id</t>
      </text>
    </comment>
    <comment authorId="0" ref="B1">
      <text>
        <t xml:space="preserve">Salesforce Import Data
Object: Deployment_Health_Plan__c
Field: Deployment__r.Id</t>
      </text>
    </comment>
    <comment authorId="0" ref="C1">
      <text>
        <t xml:space="preserve">Salesforce Import Data
Object: Deployment_Health_Plan__c
Field: Plan_Owner__r.Name</t>
      </text>
    </comment>
    <comment authorId="0" ref="D1">
      <text>
        <t xml:space="preserve">Salesforce Import Data
Object: Deployment_Health_Plan__c
Field: DHP_Last_Updated__c</t>
      </text>
    </comment>
    <comment authorId="0" ref="E1">
      <text>
        <t xml:space="preserve">Salesforce Import Data
Object: Deployment_Health_Plan__c
Field: Deployment_Health_Plan_Update__c</t>
      </text>
    </comment>
    <comment authorId="0" ref="F1">
      <text>
        <t xml:space="preserve">Salesforce Import Data
Object: Deployment_Health_Plan__c
Field: Deployment_Health_Action_Plan__c</t>
      </text>
    </comment>
    <comment authorId="0" ref="G1">
      <text>
        <t xml:space="preserve">Salesforce Import Data
Object: Deployment_Health_Plan__c
Field: Issue_Category__c</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Salesforce Import Data
Object: Deployment_Contact__c
Field: Id</t>
      </text>
    </comment>
    <comment authorId="0" ref="B1">
      <text>
        <t xml:space="preserve">Salesforce Import Data
Object: Deployment_Contact__c
Field: Deployment__c</t>
      </text>
    </comment>
    <comment authorId="0" ref="C1">
      <text>
        <t xml:space="preserve">Salesforce Import Data
Object: Deployment_Contact__c
Field: Contact__c</t>
      </text>
    </comment>
    <comment authorId="0" ref="D1">
      <text>
        <t xml:space="preserve">Salesforce Import Data
Object: Deployment_Contact__c
Field: Contact__r.Name</t>
      </text>
    </comment>
    <comment authorId="0" ref="E1">
      <text>
        <t xml:space="preserve">Salesforce Import Data
Object: Deployment_Contact__c
Field: Contact__r.Email</t>
      </text>
    </comment>
    <comment authorId="0" ref="F1">
      <text>
        <t xml:space="preserve">Salesforce Import Data
Object: Deployment_Contact__c
Field: Contact_Role__c</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Salesforce Import Data
Object: Deployment_Contact__c
Field: Id</t>
      </text>
    </comment>
    <comment authorId="0" ref="B1">
      <text>
        <t xml:space="preserve">Salesforce Import Data
Object: Deployment_Contact__c
Field: Deployment__c</t>
      </text>
    </comment>
    <comment authorId="0" ref="C1">
      <text>
        <t xml:space="preserve">Salesforce Import Data
Object: Deployment_Contact__c
Field: Contact__c</t>
      </text>
    </comment>
    <comment authorId="0" ref="D1">
      <text>
        <t xml:space="preserve">Salesforce Import Data
Object: Deployment_Contact__c
Field: Contact__r.Name</t>
      </text>
    </comment>
    <comment authorId="0" ref="E1">
      <text>
        <t xml:space="preserve">Salesforce Import Data
Object: Deployment_Contact__c
Field: Contact__r.Email</t>
      </text>
    </comment>
    <comment authorId="0" ref="F1">
      <text>
        <t xml:space="preserve">Salesforce Import Data
Object: Deployment_Contact__c
Field: Contact_Role__c</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Salesforce Import Data
Object: Deployments__c
Field: Customer__r.Name</t>
      </text>
    </comment>
    <comment authorId="0" ref="B1">
      <text>
        <t xml:space="preserve">Salesforce Import Data
Object: Deployments__c
Field: Customer__r.Industry</t>
      </text>
    </comment>
    <comment authorId="0" ref="C1">
      <text>
        <t xml:space="preserve">Salesforce Import Data
Object: Deployments__c
Field: Customer__r.PS_Sub_Region__c</t>
      </text>
    </comment>
    <comment authorId="0" ref="D1">
      <text>
        <t xml:space="preserve">Salesforce Import Data
Object: Deployments__c
Field: Customer__r.Consultant_Location_Restriction_Details__c</t>
      </text>
    </comment>
    <comment authorId="0" ref="E1">
      <text>
        <t xml:space="preserve">Salesforce Import Data
Object: Deployments__c
Field: Customer__r.Restriction_on_Consultant_Location__c</t>
      </text>
    </comment>
    <comment authorId="0" ref="F1">
      <text>
        <t xml:space="preserve">Salesforce Import Data
Object: Deployments__c
Field: Name</t>
      </text>
    </comment>
    <comment authorId="0" ref="G1">
      <text>
        <t xml:space="preserve">Salesforce Import Data
Object: Deployments__c
Field: Deployment_Phase__c</t>
      </text>
    </comment>
    <comment authorId="0" ref="H1">
      <text>
        <t xml:space="preserve">Salesforce Import Data
Object: Deployments__c
Field: Deployment_Partner_Name__c</t>
      </text>
    </comment>
    <comment authorId="0" ref="I1">
      <text>
        <t xml:space="preserve">Salesforce Import Data
Object: Deployments__c
Field: Deployment_Stage__c</t>
      </text>
    </comment>
    <comment authorId="0" ref="J1">
      <text>
        <t xml:space="preserve">Salesforce Import Data
Object: Deployments__c
Field: Overall_Health__c</t>
      </text>
    </comment>
    <comment authorId="0" ref="K1">
      <text>
        <t xml:space="preserve">Salesforce Import Data
Object: Deployments__c
Field: Current_MTP_Date__c</t>
      </text>
    </comment>
    <comment authorId="0" ref="L1">
      <text>
        <t xml:space="preserve">Salesforce Import Data
Object: Deployments__c
Field: Delivery_Assurance_Manager__r</t>
      </text>
    </comment>
    <comment authorId="0" ref="M1">
      <text>
        <t xml:space="preserve">Salesforce Import Data
Object: Deployments__c
Field: Workday_Engagement_Manager__r.Name</t>
      </text>
    </comment>
    <comment authorId="0" ref="N1">
      <text>
        <t xml:space="preserve">Salesforce Import Data
Object: Deployments__c
Field: Deployment_Summary__c</t>
      </text>
    </comment>
    <comment authorId="0" ref="O1">
      <text>
        <t xml:space="preserve">Salesforce Import Data
Object: Deployments__c
Field: Id</t>
      </text>
    </comment>
  </commentList>
</comments>
</file>

<file path=xl/sharedStrings.xml><?xml version="1.0" encoding="utf-8"?>
<sst xmlns="http://schemas.openxmlformats.org/spreadsheetml/2006/main" count="81278" uniqueCount="17511">
  <si>
    <t>deployment_id</t>
  </si>
  <si>
    <t>Id</t>
  </si>
  <si>
    <t>Account Name</t>
  </si>
  <si>
    <t>account_name</t>
  </si>
  <si>
    <t>Name</t>
  </si>
  <si>
    <t>deployment_name</t>
  </si>
  <si>
    <t>Industry</t>
  </si>
  <si>
    <t>survey_type</t>
  </si>
  <si>
    <t>tracking_status</t>
  </si>
  <si>
    <t>Delivery Assurance Manager: Full Name</t>
  </si>
  <si>
    <t>Customer__r.Name</t>
  </si>
  <si>
    <t>response_received</t>
  </si>
  <si>
    <t>Deployment__c</t>
  </si>
  <si>
    <t>Workday Engagement Manager: Full Name</t>
  </si>
  <si>
    <t>contact_name</t>
  </si>
  <si>
    <t>contact_email</t>
  </si>
  <si>
    <t>contact_role</t>
  </si>
  <si>
    <t>Product_Area__c</t>
  </si>
  <si>
    <t>Priming Partner: Account Name</t>
  </si>
  <si>
    <t>engagement_manager</t>
  </si>
  <si>
    <t>partner_name</t>
  </si>
  <si>
    <t>Deployment Name</t>
  </si>
  <si>
    <t>Function__c</t>
  </si>
  <si>
    <t>sent_date</t>
  </si>
  <si>
    <t>opened_date</t>
  </si>
  <si>
    <t>Production_Move_Date_Target__c</t>
  </si>
  <si>
    <t>Services Approach</t>
  </si>
  <si>
    <t>started_date</t>
  </si>
  <si>
    <t>finished_date</t>
  </si>
  <si>
    <t>Production_Move_Date_Actual__c</t>
  </si>
  <si>
    <t>survey_expires</t>
  </si>
  <si>
    <t>a0rVT00000wIG05YAG</t>
  </si>
  <si>
    <t>a0pVT000005ZhSDYA0</t>
  </si>
  <si>
    <t>County of Warren (Precision Task Group, Inc.)</t>
  </si>
  <si>
    <t>a0r4X00000CrUnvQAF</t>
  </si>
  <si>
    <t>Subsequent-Phase X: HCM, Pay, Absence, Benefits, Time Tracking</t>
  </si>
  <si>
    <t>Mid-Deployment Survey</t>
  </si>
  <si>
    <t>Contract Management and Document Intelligence</t>
  </si>
  <si>
    <t>Contract Lifecycle Management</t>
  </si>
  <si>
    <t>Opened</t>
  </si>
  <si>
    <t>Product Area</t>
  </si>
  <si>
    <t>No</t>
  </si>
  <si>
    <t>Ray Burns</t>
  </si>
  <si>
    <t>rayb@warrencountyms.gov</t>
  </si>
  <si>
    <t>Go Live Date Actual</t>
  </si>
  <si>
    <t>Project Manager [Customer]</t>
  </si>
  <si>
    <t>Cortney Wanca</t>
  </si>
  <si>
    <t>Workday Professional Services</t>
  </si>
  <si>
    <t>In Production</t>
  </si>
  <si>
    <t>a0pVT00000B42svYAB</t>
  </si>
  <si>
    <t>a0r4X00000CrVZuQAN</t>
  </si>
  <si>
    <t>—</t>
  </si>
  <si>
    <t>a0pVT0000094ufxYAA</t>
  </si>
  <si>
    <t>a0rVT0000135GBZYA2</t>
  </si>
  <si>
    <t>a0r4X00000CrWKCQA3</t>
  </si>
  <si>
    <t>City of Plymouth</t>
  </si>
  <si>
    <t>Initial Deployment-Launch-LDPHCM, LDPREC, LDPPRA, LDPPRJT, LDPFIN, LDPGM, etc.</t>
  </si>
  <si>
    <t>Seneca Gaming Corporation</t>
  </si>
  <si>
    <t>Customer__r.Industry</t>
  </si>
  <si>
    <t>Sent</t>
  </si>
  <si>
    <t>Special Districts</t>
  </si>
  <si>
    <t>Customer__r.PS_Region_New__c</t>
  </si>
  <si>
    <t>a0pVT00000AwgAnYAJ</t>
  </si>
  <si>
    <t>Andrea Rich</t>
  </si>
  <si>
    <t>Bill Hansen</t>
  </si>
  <si>
    <t>a0r4X00000DCGyCQAX</t>
  </si>
  <si>
    <t>arich@plymouthmn.gov</t>
  </si>
  <si>
    <t>Customer__r.PS_Sub_Region__c</t>
  </si>
  <si>
    <t>Stephanie Denham</t>
  </si>
  <si>
    <t>Initial Deployment-Launch-HCM&amp;PAY</t>
  </si>
  <si>
    <t>Customer__r.SubRegion__c</t>
  </si>
  <si>
    <t>Launch</t>
  </si>
  <si>
    <t>Prism Analytics</t>
  </si>
  <si>
    <t>Deployment_Start_Date__c</t>
  </si>
  <si>
    <t>a0pVT0000026M6LYAU</t>
  </si>
  <si>
    <t>Current_MTP_Date__c</t>
  </si>
  <si>
    <t>a0r4X00000ETX3SQAX</t>
  </si>
  <si>
    <t>HiredScore</t>
  </si>
  <si>
    <t>First_Move_to_Production_Date_Actual__c</t>
  </si>
  <si>
    <t>HiredScore AI for Recruiting</t>
  </si>
  <si>
    <t>Overall_Status__c</t>
  </si>
  <si>
    <t>a0pVT000009l6uPYAQ</t>
  </si>
  <si>
    <t>Deployment_Phase__c</t>
  </si>
  <si>
    <t>a0rVT00000MiOwuYAF</t>
  </si>
  <si>
    <t>Deployment_Stage__c</t>
  </si>
  <si>
    <t>Nkemdili Lewis</t>
  </si>
  <si>
    <t>Overall_Health__c</t>
  </si>
  <si>
    <t>nkemdilil@warrencountyms.gov</t>
  </si>
  <si>
    <t>a0pVT000002o6lpYAA</t>
  </si>
  <si>
    <t>Executive Sponsor</t>
  </si>
  <si>
    <t>North Texas Tollway Authority (Precision Task Group, Inc.)</t>
  </si>
  <si>
    <t>Deployment_Completion_Date__c</t>
  </si>
  <si>
    <t>a0rVT00000Ot2BRYAZ</t>
  </si>
  <si>
    <t>Workday HiredScore</t>
  </si>
  <si>
    <t>Workday_Engagement_Manager__r.Full_Name__c</t>
  </si>
  <si>
    <t>Precision Task Group Inc.</t>
  </si>
  <si>
    <t>Initial Deployment-Your Way-CHCM, TLO, HLP, JRNY, EMPVCE, CCB, USP, LRN, etc.</t>
  </si>
  <si>
    <t>Delivery_Assurance_Manager__r</t>
  </si>
  <si>
    <t>Your Way</t>
  </si>
  <si>
    <t>a0pVT000008aNxZYAU</t>
  </si>
  <si>
    <t>Human Capital Management</t>
  </si>
  <si>
    <t>Priming_Partner__c</t>
  </si>
  <si>
    <t>a0rVT00000PsEKYYA3</t>
  </si>
  <si>
    <t>a0rVT00000PJAIKYA5</t>
  </si>
  <si>
    <t>Implementation_Partner__c</t>
  </si>
  <si>
    <t>Sandoval County, New Mexico</t>
  </si>
  <si>
    <t>Deployment_Partner_Name__c</t>
  </si>
  <si>
    <t>Initial Deployment-Launch-LDPHCM, LDPCCB, LDPBEN, LDPUSP, etc.</t>
  </si>
  <si>
    <t>a0pVT000003351RYAQ</t>
  </si>
  <si>
    <t>Post Go-Live Survey</t>
  </si>
  <si>
    <t>Deployment_Summary__c</t>
  </si>
  <si>
    <t>a0rVT00000PJPMEYA5</t>
  </si>
  <si>
    <t>Angela Rodden</t>
  </si>
  <si>
    <t>a0rVT000012VJ1WYAW</t>
  </si>
  <si>
    <t>People Experience</t>
  </si>
  <si>
    <t>arodden@sandovalcountynm.gov</t>
  </si>
  <si>
    <t>Subsequent-Phase X: Paradox</t>
  </si>
  <si>
    <t>123Dentist Inc.</t>
  </si>
  <si>
    <t>Ambulatory</t>
  </si>
  <si>
    <t>Canada</t>
  </si>
  <si>
    <t>Canada Healthcare</t>
  </si>
  <si>
    <t>a0rVT000017VuXdYAK</t>
  </si>
  <si>
    <t>City of Orlando</t>
  </si>
  <si>
    <t>a0pVT000003Z6vFYAS</t>
  </si>
  <si>
    <t>Active</t>
  </si>
  <si>
    <t>Subsequent-Phase X: Time Tracking</t>
  </si>
  <si>
    <t>Talent Optimization</t>
  </si>
  <si>
    <t>a0rVT00000VrdzEYAR</t>
  </si>
  <si>
    <t>Completed</t>
  </si>
  <si>
    <t>On-Boarding</t>
  </si>
  <si>
    <t>Yes</t>
  </si>
  <si>
    <t>Green</t>
  </si>
  <si>
    <t>Ben Franklin Transit</t>
  </si>
  <si>
    <t>Sandra Petrie</t>
  </si>
  <si>
    <t>Arapey Olivera</t>
  </si>
  <si>
    <t>a0pVT000004WMpVYAW</t>
  </si>
  <si>
    <t>sandra.petrie@orlando.gov</t>
  </si>
  <si>
    <t>0018000000hIF6bAAG</t>
  </si>
  <si>
    <t>Banjo Simbahan</t>
  </si>
  <si>
    <t>a0rVT00000WzqnhYAB</t>
  </si>
  <si>
    <t>Michael Biagini</t>
  </si>
  <si>
    <t>Avaap USA, LLC</t>
  </si>
  <si>
    <t>2026 07 20: Change order signed. Payroll and Scheduling are now in scope. Restart date will be August 16, 2026.</t>
  </si>
  <si>
    <t>a0pVT000004WMzBYAW</t>
  </si>
  <si>
    <t>a0rVT000012T6oLYAS</t>
  </si>
  <si>
    <t>Initial Deployment-Your Way-CHCM, TLO, CCB, REC, FIN, GM, USP, PLNF, PRJT, etc.</t>
  </si>
  <si>
    <t>Subsequent - Phase X - Paradox</t>
  </si>
  <si>
    <t>7-Eleven Stores Pty Ltd ACN 005 299 427</t>
  </si>
  <si>
    <t>a0r4X00000DCGf0QAH</t>
  </si>
  <si>
    <t>Financial Management</t>
  </si>
  <si>
    <t>Contract Intelligence</t>
  </si>
  <si>
    <t>City of Virginia Beach</t>
  </si>
  <si>
    <t>Food &amp; Drug</t>
  </si>
  <si>
    <t>ANZ</t>
  </si>
  <si>
    <t>Initial Deployment-Your Way: CHCM, TLO, HLP, CCB, USP, LRN,</t>
  </si>
  <si>
    <t>ANZ AU LE</t>
  </si>
  <si>
    <t>a0pVT000006e3OjYAI</t>
  </si>
  <si>
    <t>ANZ AU LE CB</t>
  </si>
  <si>
    <t>a0rVT00000Z738uYAB</t>
  </si>
  <si>
    <t>Monica Croskey</t>
  </si>
  <si>
    <t>Specialized</t>
  </si>
  <si>
    <t>mcroskey@vbgov.com</t>
  </si>
  <si>
    <t>Plan</t>
  </si>
  <si>
    <t>Deloitte Consulting LLP (Deloitte US)</t>
  </si>
  <si>
    <t>Nichole Maher</t>
  </si>
  <si>
    <t>a0pVT000009RFU1YAO</t>
  </si>
  <si>
    <t>a0rVT00000ZO8LXYA1</t>
  </si>
  <si>
    <t>a0rVT000012TqxeYAC</t>
  </si>
  <si>
    <t>A-LIGN Compliance and Security, Inc.</t>
  </si>
  <si>
    <t>a0pVT0000045FfGYAU</t>
  </si>
  <si>
    <t>a0rVT00000tjiwUYAQ</t>
  </si>
  <si>
    <t>Spend Management</t>
  </si>
  <si>
    <t>Software &amp; Platforms</t>
  </si>
  <si>
    <t>City Of Bell Gardens</t>
  </si>
  <si>
    <t>a0rVT00000b7Qa7YAE</t>
  </si>
  <si>
    <t>US Medium Enterprise DI</t>
  </si>
  <si>
    <t>Initial Deployment-Launch-LDPBEN, LDPUSP, LDPLRN, LDPHCM, etc.</t>
  </si>
  <si>
    <t>ME CB TM &amp; RHT</t>
  </si>
  <si>
    <t>US DI ME CB TM Southeast</t>
  </si>
  <si>
    <t>Andrew Tse</t>
  </si>
  <si>
    <t>State &amp; Local Government</t>
  </si>
  <si>
    <t>atse@bellgardens.org</t>
  </si>
  <si>
    <t>a0pVT0000045FfFYAU</t>
  </si>
  <si>
    <t>Mindy Stanley</t>
  </si>
  <si>
    <t>ERP Analysts Inc. dba ERPA</t>
  </si>
  <si>
    <t>HiredScore AI for Talent Mobility</t>
  </si>
  <si>
    <t>Abi Rose</t>
  </si>
  <si>
    <t>Workforce Management</t>
  </si>
  <si>
    <t>a0pVT000006oMzZYAU</t>
  </si>
  <si>
    <t>a0rVT00000dPNflYAG</t>
  </si>
  <si>
    <t>a0rVT00001AqTXYYA3</t>
  </si>
  <si>
    <t>Subsequent-Ad Hoc-Other-HiredScore Only</t>
  </si>
  <si>
    <t>Absa Bank Limited</t>
  </si>
  <si>
    <t>a0pVT000006XwD3YAK</t>
  </si>
  <si>
    <t>Banking &amp; Capital Markets</t>
  </si>
  <si>
    <t>a0rVT00000e43pvYAA</t>
  </si>
  <si>
    <t>Bounced/Undeliverable</t>
  </si>
  <si>
    <t>META</t>
  </si>
  <si>
    <t>South Africa</t>
  </si>
  <si>
    <t>Mike O'Kelly</t>
  </si>
  <si>
    <t>South Africa CB</t>
  </si>
  <si>
    <t>mokelly@bellgardens.org</t>
  </si>
  <si>
    <t>a0pVT000004ZnRlYAK</t>
  </si>
  <si>
    <t>a0rVT00000egqpZYAQ</t>
  </si>
  <si>
    <t>Denis Macken</t>
  </si>
  <si>
    <t>a0rVT00000xPTksYAG</t>
  </si>
  <si>
    <t>a0pVT00000BeMRiYAN</t>
  </si>
  <si>
    <t>a0rVT00000f8WBCYA2</t>
  </si>
  <si>
    <t>Accelya Global Limited</t>
  </si>
  <si>
    <t>EMEA South</t>
  </si>
  <si>
    <t>Iberia</t>
  </si>
  <si>
    <t>Iberia CB</t>
  </si>
  <si>
    <t>a0pVT00000BeMRhYAN</t>
  </si>
  <si>
    <t>Manuel Carrillo</t>
  </si>
  <si>
    <t>mcarrillo@bellgardens.org</t>
  </si>
  <si>
    <t>Complete</t>
  </si>
  <si>
    <t>Post Prod</t>
  </si>
  <si>
    <t>Talent Management</t>
  </si>
  <si>
    <t>a0pVT000004pRLdYAM</t>
  </si>
  <si>
    <t>a0rVT00000ge5VZYAY</t>
  </si>
  <si>
    <t>a0rVT00000h7rRqYAI</t>
  </si>
  <si>
    <t>Staging MS Teams testing is in progress, with Prod UAT scheduled for July 9 (Spotlight + HM Hub). Next steps are to conclude staging validation, migrate MS Teams integration to production, and move HMTA to prod.</t>
  </si>
  <si>
    <t>Time Tracking</t>
  </si>
  <si>
    <t>County of Lancaster</t>
  </si>
  <si>
    <t>a0rVT00001BA26XYAT</t>
  </si>
  <si>
    <t>Initial Deployment-Launch-LDPFIN, LDPGM, LDPPLNF, LDPPRA, etc.</t>
  </si>
  <si>
    <t>a0pVT000004pRIPYA2</t>
  </si>
  <si>
    <t>Accenture LLP</t>
  </si>
  <si>
    <t>Same As PS Sub Region</t>
  </si>
  <si>
    <t>Scott Hernandez</t>
  </si>
  <si>
    <t>Learning</t>
  </si>
  <si>
    <t>shernandez@lancastercountysc.gov</t>
  </si>
  <si>
    <t>Payroll</t>
  </si>
  <si>
    <t>a0pVT000004pRGnYAM</t>
  </si>
  <si>
    <t>Josh Van Meter</t>
  </si>
  <si>
    <t>Manuel Roldan</t>
  </si>
  <si>
    <t>Platform and Product Extensions</t>
  </si>
  <si>
    <t>Messaging</t>
  </si>
  <si>
    <t>a0pVT000004pRFBYA2</t>
  </si>
  <si>
    <t>a0rVT000014BBmwYAG</t>
  </si>
  <si>
    <t>Subsequent-Ad Hoc-Other: Evisort</t>
  </si>
  <si>
    <t>ACERTUS</t>
  </si>
  <si>
    <t>Benefits</t>
  </si>
  <si>
    <t>Land and Rail Transportation and Freight</t>
  </si>
  <si>
    <t>Analytics and Reporting</t>
  </si>
  <si>
    <t>ME NN RHT East</t>
  </si>
  <si>
    <t>a0pVT000004pRDZYA2</t>
  </si>
  <si>
    <t>US DI ME NN RHT TOLA</t>
  </si>
  <si>
    <t>City of Palm Desert</t>
  </si>
  <si>
    <t>Sabrena Harris</t>
  </si>
  <si>
    <t>svharris@lancastersc.net</t>
  </si>
  <si>
    <t>Adhoc</t>
  </si>
  <si>
    <t>Absence</t>
  </si>
  <si>
    <t>Deploy</t>
  </si>
  <si>
    <t>Initial Deployment-Launch-LDPHCM, LDPCCB, LDPBEN, LDPUSP, etc</t>
  </si>
  <si>
    <t>a0pVT000004pRBxYAM</t>
  </si>
  <si>
    <t>001VT00000IvRAqYAN</t>
  </si>
  <si>
    <t>Payroll for the United States</t>
  </si>
  <si>
    <t>a0rVT00000KQZJZYA5</t>
  </si>
  <si>
    <t>City of Corona</t>
  </si>
  <si>
    <t>a0pVT000004pRWvYAM</t>
  </si>
  <si>
    <t>Initial Deployment-Your Way-CHCM, TLO, CCB, USP, FIN, GM, PRA, PRJT, TT, SC, etc</t>
  </si>
  <si>
    <t>Asset Management</t>
  </si>
  <si>
    <t>Brett Channing</t>
  </si>
  <si>
    <t>brett.channing@coronaca.gov</t>
  </si>
  <si>
    <t>a0pVT000004pRYXYA2</t>
  </si>
  <si>
    <t>LegalEase Solutions, LLC</t>
  </si>
  <si>
    <t>Collaborative Solutions, LLC</t>
  </si>
  <si>
    <t>a0rVT00000zmmHMYAY</t>
  </si>
  <si>
    <t>Accounts Payable</t>
  </si>
  <si>
    <t>Subsequent - Phase X - Evisort</t>
  </si>
  <si>
    <t>Adelaide Community Healthcare Alliance Incorporated (ABN 99 367 793 956)</t>
  </si>
  <si>
    <t>a0pVT000004pRa9YAE</t>
  </si>
  <si>
    <t>Acute Hospital / Health System</t>
  </si>
  <si>
    <t>ANZ AU ME</t>
  </si>
  <si>
    <t>Accounts Receivable</t>
  </si>
  <si>
    <t>ANZ AU ME CB</t>
  </si>
  <si>
    <t>a0pVT000004pRdNYAU</t>
  </si>
  <si>
    <t>Grants Management</t>
  </si>
  <si>
    <t>Thiagarajan Muthuganeisan</t>
  </si>
  <si>
    <t>Tabitha Harmon</t>
  </si>
  <si>
    <t>Cherokee County Health Department</t>
  </si>
  <si>
    <t>a0pVT000004pRezYAE</t>
  </si>
  <si>
    <t>tharmon@lancastercountysc.gov</t>
  </si>
  <si>
    <t>7/28: CI work and enablement completed. CAB and InfoSec questions compelted. Waiting official signoff for Go-Live</t>
  </si>
  <si>
    <t>a0rVT00001BSQQXYA5</t>
  </si>
  <si>
    <t>Expenses</t>
  </si>
  <si>
    <t>Subsequent-Phase X: Financial Planning, Prism</t>
  </si>
  <si>
    <t>Advance Magazine Publishers, Inc.</t>
  </si>
  <si>
    <t>a0pVT000004pRgbYAE</t>
  </si>
  <si>
    <t>Adaptive Planning</t>
  </si>
  <si>
    <t>Media &amp; Entertainment</t>
  </si>
  <si>
    <t>US Large Enterprise DI &amp; Mexico</t>
  </si>
  <si>
    <t>Diversified Industries LE CB TM &amp; PS</t>
  </si>
  <si>
    <t>Accounting Center</t>
  </si>
  <si>
    <t>US DI LE CB TM &amp; PS Northeast</t>
  </si>
  <si>
    <t>Virginia Retirement System</t>
  </si>
  <si>
    <t>a0pVT000006SKbRYAW</t>
  </si>
  <si>
    <t>Guidehouse Inc</t>
  </si>
  <si>
    <t>Specialized-Initial Deployment-Adaptive Planning</t>
  </si>
  <si>
    <t>Architect</t>
  </si>
  <si>
    <t>General Ledger</t>
  </si>
  <si>
    <t>Kevin Fairley</t>
  </si>
  <si>
    <t>kfairley@vbgov.com</t>
  </si>
  <si>
    <t>Mark Reid</t>
  </si>
  <si>
    <t>a0pVT000004pRALYA2</t>
  </si>
  <si>
    <t>Bay County Clerk of Court and Comptroller</t>
  </si>
  <si>
    <t>Core Human Capital Management</t>
  </si>
  <si>
    <t>a0rVT00001BSg79YAD</t>
  </si>
  <si>
    <t>Subsequent-Ad Hoc-Other: HiredScore Only</t>
  </si>
  <si>
    <t>Subsequent-Phase X: Recruiting Implementation</t>
  </si>
  <si>
    <t>Advantage Sales and Marketing, LLC dba Advantage Solutions</t>
  </si>
  <si>
    <t>a0pVT000004pRK1YAM</t>
  </si>
  <si>
    <t>Professional Services</t>
  </si>
  <si>
    <t>a0rVT00000eiHNtYAM</t>
  </si>
  <si>
    <t>City of West Jordan (IronBrick)</t>
  </si>
  <si>
    <t>US DI LE CB TM &amp; PS Midwest</t>
  </si>
  <si>
    <t>Initial Deployment-Launch-MCNF, LDPREC, LDPMSG, LDPTLO, LDPBEN etc.</t>
  </si>
  <si>
    <t>Talent Acquisition</t>
  </si>
  <si>
    <t>a0pVT000005LojhYAC</t>
  </si>
  <si>
    <t>Core HCM</t>
  </si>
  <si>
    <t>Joe Bryant</t>
  </si>
  <si>
    <t>joe.bryant@westjordan.utah.gov</t>
  </si>
  <si>
    <t>Donna Trumbower</t>
  </si>
  <si>
    <t>a0pVT000004pRNFYA2</t>
  </si>
  <si>
    <t>a0rVT00000qo8MDYAY</t>
  </si>
  <si>
    <t>Subsequent-Phase X-Evisort</t>
  </si>
  <si>
    <t>Adventist Health System Sunbelt Healthcare Corporation d/b/a AdventHealth</t>
  </si>
  <si>
    <t>Capital Projects</t>
  </si>
  <si>
    <t>Financials</t>
  </si>
  <si>
    <t>US Healthcare</t>
  </si>
  <si>
    <t>Healthcare Majors NN</t>
  </si>
  <si>
    <t>a0pVT000004pROrYAM</t>
  </si>
  <si>
    <t>US Healthcare Majors CB</t>
  </si>
  <si>
    <t>Procurement</t>
  </si>
  <si>
    <t>Architect &amp; Configure</t>
  </si>
  <si>
    <t>a0pVT000004pRQTYA2</t>
  </si>
  <si>
    <t>Emily Byrne</t>
  </si>
  <si>
    <t>Inventory</t>
  </si>
  <si>
    <t>Danyce Steck</t>
  </si>
  <si>
    <t>danyce.steck@westjordan.utah.gov</t>
  </si>
  <si>
    <t>07/28: Contract Intelligence is live. Workflow design received for 13 of 15 workflows. Workflow Build expected to commence on 07/27</t>
  </si>
  <si>
    <t>a0pVT000004pRS5YAM</t>
  </si>
  <si>
    <t>a0rVT00000o1aGCYAY</t>
  </si>
  <si>
    <t>Subsequent-Phase X: HiredScore Only</t>
  </si>
  <si>
    <t>Cash Management</t>
  </si>
  <si>
    <t>a0pVT000004pRThYAM</t>
  </si>
  <si>
    <t>Budgetary Controls</t>
  </si>
  <si>
    <t>a0pVT000005ezOTYAY</t>
  </si>
  <si>
    <t>a0rVT00000gnZXWYA2</t>
  </si>
  <si>
    <t>Date: Jan 26, 2026
Overall Project Status: Test - Delay
Week 23 Out of 26 (22)
Current Status:
Production UAT (Embeded Fetch - Sourcing URL Blocker, shuold be fixed)
Open Topics:
* Sign off UAT - Hypercare
Next Steps:
* Embeded Fetch Sign off and Go-Li</t>
  </si>
  <si>
    <t>a0pVT00000A5NsfYAF</t>
  </si>
  <si>
    <t>a0rVT00000j6223YAA</t>
  </si>
  <si>
    <t>a0rVT00000goWnhYAE</t>
  </si>
  <si>
    <t>Subsequent-Ad Hoc-Other-Evisort Only</t>
  </si>
  <si>
    <t>Adventist Healthcare, Inc.</t>
  </si>
  <si>
    <t>Healthcare LE</t>
  </si>
  <si>
    <t>a0pVT00000BwsCzYAJ</t>
  </si>
  <si>
    <t>City of Galveston</t>
  </si>
  <si>
    <t>US Healthcare LE CB East</t>
  </si>
  <si>
    <t>a0rVT00000h5VSRYA2</t>
  </si>
  <si>
    <t>Alexis Celani</t>
  </si>
  <si>
    <t>Subsequent-Phase-X: FIN</t>
  </si>
  <si>
    <t>Configure and Prototype</t>
  </si>
  <si>
    <t>a0pVT000005cSAEYA2</t>
  </si>
  <si>
    <t>Yellow</t>
  </si>
  <si>
    <t>a0rVT00000h6iglYAA</t>
  </si>
  <si>
    <t>Emma Anderson</t>
  </si>
  <si>
    <t>County of San Mateo</t>
  </si>
  <si>
    <t>07/28: Demo on WSS CLM integration occurred on 07/16. Adventist to review internally and suggest agenda topics for a follow up session</t>
  </si>
  <si>
    <t>a0rVT000016SyLRYA0</t>
  </si>
  <si>
    <t>a0pVT000005RkofYAC</t>
  </si>
  <si>
    <t>Subsequent-Phase X-Your Way: Evisort</t>
  </si>
  <si>
    <t>a0rVT00000hhIc1YAE</t>
  </si>
  <si>
    <t>Advocate Health, Inc.</t>
  </si>
  <si>
    <t>a0pVT000005RkblYAC</t>
  </si>
  <si>
    <t>Mercer (US) LLC</t>
  </si>
  <si>
    <t>Subsequent- Phase X- Learning</t>
  </si>
  <si>
    <t>0013000000HRzHgAAL</t>
  </si>
  <si>
    <t>a0pVT000005Rka9YAC</t>
  </si>
  <si>
    <t>County of Santa Cruz</t>
  </si>
  <si>
    <t>PricewaterhouseCoopers Advisory Services LLC (USA)</t>
  </si>
  <si>
    <t>The status is the same since the last time - The project is in the Requirement Gathering stage which will continue until the build starts around Nov 1st (Project timeline are TBD - pending client's confirmation).</t>
  </si>
  <si>
    <t>Asset Tracking</t>
  </si>
  <si>
    <t>a0r4X00000ETX3XQAX</t>
  </si>
  <si>
    <t>a0pVT000005RkGnYAK</t>
  </si>
  <si>
    <t>Initial Deployment-Your Way-CHCM, TLO, CCB, USP, PRA, TT, etc.</t>
  </si>
  <si>
    <t>Agropur Cooperative</t>
  </si>
  <si>
    <t>Consumer Goods</t>
  </si>
  <si>
    <t>Canada DI LE East</t>
  </si>
  <si>
    <t>a0pVT000005RkNFYA0</t>
  </si>
  <si>
    <t>a0pVT000005RkS5YAK</t>
  </si>
  <si>
    <t>Client went live successfully.</t>
  </si>
  <si>
    <t>a0rVT00000hMIguYAG</t>
  </si>
  <si>
    <t>a0pVT000005RkiDYAS</t>
  </si>
  <si>
    <t>Air Liquide IT SA</t>
  </si>
  <si>
    <t>Chemicals</t>
  </si>
  <si>
    <t>Projects</t>
  </si>
  <si>
    <t>France</t>
  </si>
  <si>
    <t>France MFG HC &amp; Energy LE</t>
  </si>
  <si>
    <t>a0pVT000005RkOrYAK</t>
  </si>
  <si>
    <t>a0pVT000005RkQTYA0</t>
  </si>
  <si>
    <t>State of Georgia</t>
  </si>
  <si>
    <t>8/4, Case # 2919461  7/1 IAT complete - all tests successful and finalising outstanding configurations - MailJet with PS Dev. Prepping for UAT next week - test reqs and tester names received from Air Liquide. Queries about testing the model have been pass</t>
  </si>
  <si>
    <t>a0rVT000016iViTYAU</t>
  </si>
  <si>
    <t>Karen Gendron</t>
  </si>
  <si>
    <t>Subsequent-Ad Hoc-Other-HiredScore-enableWD-Prospects Only</t>
  </si>
  <si>
    <t>a0pVT000005RkezYAC</t>
  </si>
  <si>
    <t>Initial Deployment-Your Way: CHCM, USP, LRN, REC, GM, PRJT, PRO, INV, TLO, etc.</t>
  </si>
  <si>
    <t>a0pVT000004gXRuYAM</t>
  </si>
  <si>
    <t>a0rVT00000i9mlgYAA</t>
  </si>
  <si>
    <t>Palak Rana</t>
  </si>
  <si>
    <t>a0pVT000004gXRtYAM</t>
  </si>
  <si>
    <t>The project went live today as planned and now it's in 2 weeks of hypercare period</t>
  </si>
  <si>
    <t>a0rVT000019WJ1pYAG</t>
  </si>
  <si>
    <t>Airbus SAS</t>
  </si>
  <si>
    <t>a0pVT000004hafTYAQ</t>
  </si>
  <si>
    <t>High Technology</t>
  </si>
  <si>
    <t>a0rVT00000i9xcDYAQ</t>
  </si>
  <si>
    <t>a0pVT000004hafRYAQ</t>
  </si>
  <si>
    <t>Liat Nardi</t>
  </si>
  <si>
    <t>Salesforce Connector for CLM and CI</t>
  </si>
  <si>
    <t>a0pVT000004hafSYAQ</t>
  </si>
  <si>
    <t>Official Kickoff: Aug 10, 2026 @ 12:00 Israel Time
Go-Live: Nov 30, 2026
Architecture Dossier: Completion is mandatory prior to go-live. Progress is being tracked here. Ezra and Osnat helped with completion. Some items are still outstanding and are expect</t>
  </si>
  <si>
    <t>a0rVT00000pNHUUYA4</t>
  </si>
  <si>
    <t>Subsequent - Phase X: Evisort</t>
  </si>
  <si>
    <t>Akron Children's Hospital</t>
  </si>
  <si>
    <t>a0pVT000008cSxxYAE</t>
  </si>
  <si>
    <t>a0rVT00000iD3erYAC</t>
  </si>
  <si>
    <t>US Healthcare LE CB Central</t>
  </si>
  <si>
    <t>a0pVT000004htTZYAY</t>
  </si>
  <si>
    <t>a0rVT00000iRox4YAC</t>
  </si>
  <si>
    <t>Glenette Brown</t>
  </si>
  <si>
    <t>Update 08/17/26: Akron confirming folder structure and migration strategy. Scheduled meetings for Evisync, technical strategy, and change management. Due date for folder structure finalization is due 8/19.</t>
  </si>
  <si>
    <t>a0pVT000005QER3YAO</t>
  </si>
  <si>
    <t>Workday Extend</t>
  </si>
  <si>
    <t>a0rVT00000xlBEFYA2</t>
  </si>
  <si>
    <t>ALDI International Services SE &amp; Co. oHG</t>
  </si>
  <si>
    <t>DACH</t>
  </si>
  <si>
    <t>a0pVT000005C0m9YAC</t>
  </si>
  <si>
    <t>Germany CB</t>
  </si>
  <si>
    <t>Germany LE CB</t>
  </si>
  <si>
    <t>Sourcing Supplier Management</t>
  </si>
  <si>
    <t>a0pVT000004t1dtYAA</t>
  </si>
  <si>
    <t>Liav Shimon</t>
  </si>
  <si>
    <t>a0rVT00000jE937YAC</t>
  </si>
  <si>
    <t>County of Suffolk</t>
  </si>
  <si>
    <t>Project has been delayed to to September</t>
  </si>
  <si>
    <t>Pawan Sutrala</t>
  </si>
  <si>
    <t>a0rVT000012ESSbYAO</t>
  </si>
  <si>
    <t>Subsequent-Phase X: Adaptive Planning</t>
  </si>
  <si>
    <t>a0pVT000009zXl3YAE</t>
  </si>
  <si>
    <t>Ally Financial Inc.</t>
  </si>
  <si>
    <t>a0rVT00000jG90dYAC</t>
  </si>
  <si>
    <t>US FSI</t>
  </si>
  <si>
    <t>FSI LE</t>
  </si>
  <si>
    <t>US FSI LE East</t>
  </si>
  <si>
    <t>County of Monroe</t>
  </si>
  <si>
    <t>a0pVT000005mKj7YAE</t>
  </si>
  <si>
    <t>a0rVT00000jTwYAYA0</t>
  </si>
  <si>
    <t>Test</t>
  </si>
  <si>
    <t>Initial Deployment-Your Way-CHCM, TLO, JRNY, CCB, USP, LRN, etc</t>
  </si>
  <si>
    <t>Sean Hohan</t>
  </si>
  <si>
    <t>a0pVT0000054pvoYAA</t>
  </si>
  <si>
    <t>a0rVT00000jqeu0YAA</t>
  </si>
  <si>
    <t>E2E Testing complete - Waiting on customer sign off (expected in next 24 hours) - Prepping and ready to begin MTP process next week</t>
  </si>
  <si>
    <t>a0pVT0000054pvcYAA</t>
  </si>
  <si>
    <t>Altera Corporation</t>
  </si>
  <si>
    <t>Diversified Industries Key Accounts</t>
  </si>
  <si>
    <t>a0pVT000004rrIPYAY</t>
  </si>
  <si>
    <t>US DI Key Accounts TM &amp; PS</t>
  </si>
  <si>
    <t>a0rVT00000ky0gzYAA</t>
  </si>
  <si>
    <t>Red</t>
  </si>
  <si>
    <t>a0pVT000006em2TYAQ</t>
  </si>
  <si>
    <t>Mridhula Raghupathy</t>
  </si>
  <si>
    <t>a0rVT00000l8lbUYAQ</t>
  </si>
  <si>
    <t>12/3: The first two workflows are in hypercare having gone into production. Procurement has started their repository clean up. Stacy has kicked off the third workflow discovery with the customer and expects to start build in January.</t>
  </si>
  <si>
    <t>City of San Buenaventura</t>
  </si>
  <si>
    <t>a0rVT000012Tz1gYAC</t>
  </si>
  <si>
    <t>a0pVT000005noIXYAY</t>
  </si>
  <si>
    <t>Subsequent- Phase X- Prism</t>
  </si>
  <si>
    <t>Alteryx, Inc.</t>
  </si>
  <si>
    <t>a0rVT00000lFklvYAC</t>
  </si>
  <si>
    <t>US DI ME CB TM Southwest</t>
  </si>
  <si>
    <t>a0pVT000005noIYYAY</t>
  </si>
  <si>
    <t>Doris Pulsifer</t>
  </si>
  <si>
    <t>a0pVT00000AQSitYAH</t>
  </si>
  <si>
    <t>a0rVT00000lVUYDYA4</t>
  </si>
  <si>
    <t>08/17/2026; Currently in Build phase</t>
  </si>
  <si>
    <t>a0rVT00000KGjx6YAD</t>
  </si>
  <si>
    <t>Subsequent-Ad Hoc-Other-HiredScore Only - AIRC</t>
  </si>
  <si>
    <t>Altium Packaging LP</t>
  </si>
  <si>
    <t>Materials</t>
  </si>
  <si>
    <t>a0pVT00000512xmYAA</t>
  </si>
  <si>
    <t>Diversified Industries LE CB RHT</t>
  </si>
  <si>
    <t>a0rVT00000m8gTJYAY</t>
  </si>
  <si>
    <t>US DI LE CB RHT Midwest</t>
  </si>
  <si>
    <t>a0pVT000004zJbNYAU</t>
  </si>
  <si>
    <t>a0rVT00000m947GYAQ</t>
  </si>
  <si>
    <t>The new Go-live date is July 14th, 2025 followed by 3 weeks of hypercare.
Please note that I am getting error while updating the dates under Product Area.</t>
  </si>
  <si>
    <t>a0pVT000004zJ1sYAE</t>
  </si>
  <si>
    <t>a0r4X00000ETW0rQAH</t>
  </si>
  <si>
    <t>Alto Pharmacy LLC</t>
  </si>
  <si>
    <t>US DI ME CB RHT West</t>
  </si>
  <si>
    <t>Tenant Request Case #2602006
Deployment Start Date: Oct 7,2024
Deployment Target Go live Date: Feb 12, 2025
Products you are deploying: HiredScore AI for Recruiting
Employee count per country: United States 900
Source Tenant: Production</t>
  </si>
  <si>
    <t>a0rVT0000191LWBYA2</t>
  </si>
  <si>
    <t>a0pVT000005GuWPYA0</t>
  </si>
  <si>
    <t>a0rVT00000mRekEYAS</t>
  </si>
  <si>
    <t>American Automobile Association of Northern California, Nevada &amp; Utah</t>
  </si>
  <si>
    <t>Insurance</t>
  </si>
  <si>
    <t>US FSI LE West</t>
  </si>
  <si>
    <t>a0pVT000005GtorYAC</t>
  </si>
  <si>
    <t>Ikenna Festus</t>
  </si>
  <si>
    <t>Scorecard request: 3352157</t>
  </si>
  <si>
    <t>a0pVT000005GtthYAC</t>
  </si>
  <si>
    <t>a0rVT00000nOryHYAS</t>
  </si>
  <si>
    <t>Initial Deployment-Launch-LDPPRO, LDPSRCSM, LDPCLM, TC, WSP, LDPHCM,etc</t>
  </si>
  <si>
    <t>American Chemical Society</t>
  </si>
  <si>
    <t>Non-Profit</t>
  </si>
  <si>
    <t>Advanced Compensation</t>
  </si>
  <si>
    <t>US SLED</t>
  </si>
  <si>
    <t>New York State Teachers' Retirement System</t>
  </si>
  <si>
    <t>Higher Education LE</t>
  </si>
  <si>
    <t>a0pVT000005GtvJYAS</t>
  </si>
  <si>
    <t>US NFP CB East</t>
  </si>
  <si>
    <t>Initial Deployment-Your Way-CHCM, TLO, CCB, USP, REC, CE, MSG, FIN, PLNF, etc.</t>
  </si>
  <si>
    <t>Chad Chronister as Sheriff of Hillsborough County</t>
  </si>
  <si>
    <t>a0pVT000005GtwvYAC</t>
  </si>
  <si>
    <t>0014X00002ltTnZQAU</t>
  </si>
  <si>
    <t>Manuel Vega</t>
  </si>
  <si>
    <t>Groove Global LLC</t>
  </si>
  <si>
    <t>Subsequent- Ad-Hoc - Other Deployment</t>
  </si>
  <si>
    <t>8/17 : FINS side of the project has E2E onsite testing this week. HCM/Pay planning phase complete, pending sign-off.  Workbooks for HCM/Pay in progress to close design decisions by 8/28.</t>
  </si>
  <si>
    <t>a0rVT00000hMOwGYAW</t>
  </si>
  <si>
    <t>a0pVT000005Gu09YAC</t>
  </si>
  <si>
    <t>American National Red Cross, The</t>
  </si>
  <si>
    <t>Ontario International Airport Authority</t>
  </si>
  <si>
    <t>Compensation</t>
  </si>
  <si>
    <t>a0pVT000005Gu6bYAC</t>
  </si>
  <si>
    <t>City of Idaho Falls, ID</t>
  </si>
  <si>
    <t>Strada U.S. Professional Services, LLC</t>
  </si>
  <si>
    <t>Initial Deployment - Launch - LDPJRNY, LDPBEN, LDPUSP, LDPHCM, LDPHLP, etc.</t>
  </si>
  <si>
    <t>a0pVT000005Gu9pYAC</t>
  </si>
  <si>
    <t>Jan 27th : Client live as of Jan 26th</t>
  </si>
  <si>
    <t>a0rVT00000xtizVYAQ</t>
  </si>
  <si>
    <t>Onboarding</t>
  </si>
  <si>
    <t>Subsequent-Ad Hoc-Other: Evisort (CLM)</t>
  </si>
  <si>
    <t>American University</t>
  </si>
  <si>
    <t>Higher Education</t>
  </si>
  <si>
    <t>a0pVT000005GuBRYA0</t>
  </si>
  <si>
    <t>US Higher Ed LE East</t>
  </si>
  <si>
    <t>a0pVT000005GuD3YAK</t>
  </si>
  <si>
    <t>Kenton Yaklin</t>
  </si>
  <si>
    <t>People Analytics</t>
  </si>
  <si>
    <t>7/28: Client is live. Project is basically over, just completing our window to permit them to use advisory hours (window closes on EOD 8/4)</t>
  </si>
  <si>
    <t>a0pVT000005GuGHYA0</t>
  </si>
  <si>
    <t>a0rVT00000j3SgzYAE</t>
  </si>
  <si>
    <t>Subsequent-Ad Hoc-Evisort Only</t>
  </si>
  <si>
    <t>AmeriVet Partners Management, Inc.</t>
  </si>
  <si>
    <t>Scheduling</t>
  </si>
  <si>
    <t>a0pVT000005GuJVYA0</t>
  </si>
  <si>
    <t>US DI LE CB TM &amp; PS Central</t>
  </si>
  <si>
    <t>Workday Extend Professional</t>
  </si>
  <si>
    <t>a0pVT000005GuL7YAK</t>
  </si>
  <si>
    <t>Accounting and Finance</t>
  </si>
  <si>
    <t>8/26/26: in 2nd week of hypercare. looking good.</t>
  </si>
  <si>
    <t>a0rVT00000d8tTuYAI</t>
  </si>
  <si>
    <t>a0pVT000005GuPxYAK</t>
  </si>
  <si>
    <t>AMN Healthcare, Inc.</t>
  </si>
  <si>
    <t>ME CB PBS</t>
  </si>
  <si>
    <t>US DI ME CB PBS West</t>
  </si>
  <si>
    <t>a0pVT000005GuRZYA0</t>
  </si>
  <si>
    <t>Launch Express</t>
  </si>
  <si>
    <t>11/21 -SSO - Resolved
Root - incorrect link provided by TIC to AMN via documentation which has been updated
Opt In/Out - in progress
Root Cause - missing production configurations, Rasika (TIC) updated live during our call
Data Refresh  - Resolved</t>
  </si>
  <si>
    <t>a0rVT00000WFajtYAD</t>
  </si>
  <si>
    <t>Analog Devices, Inc.</t>
  </si>
  <si>
    <t>Diversified Industries LE CB MFG</t>
  </si>
  <si>
    <t>US DI LE CB MFG Northeast</t>
  </si>
  <si>
    <t>16 Oct: Updated Timeline: Per today's email from Ally, the new target go-live is February 2, 2026. We will work on a change order
Proposed Plan pending approval:
Freeze the project and resume on January 5th
Allocate Implementation Manager + CSM (4 weeks)</t>
  </si>
  <si>
    <t>a0rVT000011gnhZYAQ</t>
  </si>
  <si>
    <t>Subsequent-Adhoc-Other: Evisort</t>
  </si>
  <si>
    <t>Anderson Merchandisers, LLC</t>
  </si>
  <si>
    <t>WD and Anderson SFDC teams working together
Anderson to provide annotated NDA</t>
  </si>
  <si>
    <t>a0rVT000012U8o5YAC</t>
  </si>
  <si>
    <t>Andrews Distributing, LLC</t>
  </si>
  <si>
    <t>ME CB MFG</t>
  </si>
  <si>
    <t>US DI ME CB MFG South</t>
  </si>
  <si>
    <t>a0pVT000005GuZdYAK</t>
  </si>
  <si>
    <t>Mireysa Gonzalez</t>
  </si>
  <si>
    <t>Pre Plan in process 
Readiness Documentation in progress 
Kick- Off June 13th requested by the customer
Readiness to the Kick Off - 07/17
Discovery Session 4 - IN PROGRESS</t>
  </si>
  <si>
    <t>a0rVT000012PvRKYA0</t>
  </si>
  <si>
    <t>a0pVT000005GukvYAC</t>
  </si>
  <si>
    <t>Anglicare Sydney</t>
  </si>
  <si>
    <t>Post Acute</t>
  </si>
  <si>
    <t>Cloud Connect for Benefits</t>
  </si>
  <si>
    <t>a0pVT000005GumXYAS</t>
  </si>
  <si>
    <t>Uday Harshadrai Vora</t>
  </si>
  <si>
    <t>SSO, O365 and teams integration on workday staging is completed and tested.
BRD and ICD submitted for customer approval. SIT to start in the week of 22nd Jun. Integration build to complete by 26th Jun.</t>
  </si>
  <si>
    <t>a0pVT000005GvdlYAC</t>
  </si>
  <si>
    <t>a0rVT000010l1WrYAI</t>
  </si>
  <si>
    <t>Subsequent-Adhoc-Other: HiredScore</t>
  </si>
  <si>
    <t>a0pVT000005GvfNYAS</t>
  </si>
  <si>
    <t>Supplier Portal</t>
  </si>
  <si>
    <t>Shaked Gutman Oz</t>
  </si>
  <si>
    <t>a0pVT000005GvibYAC</t>
  </si>
  <si>
    <t>Payment Processing</t>
  </si>
  <si>
    <t>UAT expecting sign off this Monday
Pen test - Workday case handling. 
Prof migration to start on the 20th.</t>
  </si>
  <si>
    <t>a0rVT00000tt52bYAA</t>
  </si>
  <si>
    <t>a0pVT000005GvkDYAS</t>
  </si>
  <si>
    <t>Subsequent - Adhoc - Other : Evisort</t>
  </si>
  <si>
    <t>Aon Service Corporation</t>
  </si>
  <si>
    <t>Revenue Management</t>
  </si>
  <si>
    <t>FSI Key Accounts</t>
  </si>
  <si>
    <t>US FSI Key Accounts</t>
  </si>
  <si>
    <t>a0pVT000005GvnRYAS</t>
  </si>
  <si>
    <t>07/28: Project complete</t>
  </si>
  <si>
    <t>a0pVT000005Gvp3YAC</t>
  </si>
  <si>
    <t>a0rVT00000bqOoxYAE</t>
  </si>
  <si>
    <t>Strategic Sourcing - Core Platform</t>
  </si>
  <si>
    <t>a0pVT000005Gw0LYAS</t>
  </si>
  <si>
    <t>a0pVT000005GwBdYAK</t>
  </si>
  <si>
    <t>Workday Success Plans</t>
  </si>
  <si>
    <t>Accelerate Plus</t>
  </si>
  <si>
    <t>Client made decision not to go forward  DEI Suite, but also decided to delay go live</t>
  </si>
  <si>
    <t>a0rVT00000qbsQ5YAI</t>
  </si>
  <si>
    <t>a0pVT000005GwErYAK</t>
  </si>
  <si>
    <t>Subsequent-Phase X- Evisort</t>
  </si>
  <si>
    <t>Close and Consolidate</t>
  </si>
  <si>
    <t>a0pVT000005GwGTYA0</t>
  </si>
  <si>
    <t>0014X00002lugqHQAQ</t>
  </si>
  <si>
    <t>Harbor Global, LLC</t>
  </si>
  <si>
    <t>a0rVT000019cpJxYAI</t>
  </si>
  <si>
    <t>Subsequent-Phase X: Evisort</t>
  </si>
  <si>
    <t>a0pVT000005kmYDYAY</t>
  </si>
  <si>
    <t>a0rVT00000nGrKHYA0</t>
  </si>
  <si>
    <t>a0rVT0000185HHdYAM</t>
  </si>
  <si>
    <t>Apex Capital Corp</t>
  </si>
  <si>
    <t>FSI ME CB</t>
  </si>
  <si>
    <t>US FSI ME CB South</t>
  </si>
  <si>
    <t>a0pVT00000AVCLhYAP</t>
  </si>
  <si>
    <t>Inbal Oren</t>
  </si>
  <si>
    <t>a0pVT00000AVCbpYAH</t>
  </si>
  <si>
    <t>Scorecard request: 3332901</t>
  </si>
  <si>
    <t>a0rVT000012U1I0YAK</t>
  </si>
  <si>
    <t>Appian Corporation</t>
  </si>
  <si>
    <t>Justin Darrow</t>
  </si>
  <si>
    <t>a0rVT000018J78oYAC</t>
  </si>
  <si>
    <t>Subsequent - Phase X - Evisort: CLM</t>
  </si>
  <si>
    <t>APT Management Services Pty Ltd (ABN 58 091 668 110)</t>
  </si>
  <si>
    <t>a0pVT00000AVC5ZYAX</t>
  </si>
  <si>
    <t>Oil &amp; Gas</t>
  </si>
  <si>
    <t>001VT00000IKBD3YAP</t>
  </si>
  <si>
    <t>D2 Legal Technology Ltd</t>
  </si>
  <si>
    <t>a0pVT000005p0eEYAQ</t>
  </si>
  <si>
    <t>Project progressing positively; Workday WSS consultant identified and briefed pending final approval; supplier agreement configuration workbook underway with procurement discovery and workflow design inputs to be worked through as build progresses.</t>
  </si>
  <si>
    <t>a0rVT00000M6qZ0YAJ</t>
  </si>
  <si>
    <t>Aptiv Services US, LLC</t>
  </si>
  <si>
    <t>Technology Solutions</t>
  </si>
  <si>
    <t>Aptiv launch date as of 2Jul is according to the plan = 28July.
Project is currently at Testing phase, no risk at the moment</t>
  </si>
  <si>
    <t>a0rVT00000voWfCYAU</t>
  </si>
  <si>
    <t>Initial Deployment-Launch-LDPCLM, LDPCLMAIM,etc</t>
  </si>
  <si>
    <t>Arcare</t>
  </si>
  <si>
    <t>a0pVT00000AVCgfYAH</t>
  </si>
  <si>
    <t>Healthcare ME</t>
  </si>
  <si>
    <t>US Healthcare ME CB West</t>
  </si>
  <si>
    <t>0018000001Vm0I4AAJ</t>
  </si>
  <si>
    <t>Apex Systems, LLC dba TopBloc</t>
  </si>
  <si>
    <t>Foundation tenant build in progress through 8/21. Alignment and CCS scheduling completed.</t>
  </si>
  <si>
    <t>a0pVT000005pZqTYAU</t>
  </si>
  <si>
    <t>a0rVT000017dRYTYA2</t>
  </si>
  <si>
    <t>Subsequent-Phase X: Recruiting &amp; Paradox</t>
  </si>
  <si>
    <t>Arcus Biosciences, Inc.</t>
  </si>
  <si>
    <t>US DI ME CB TM Northwest</t>
  </si>
  <si>
    <t>a0pVT00000AVCVNYA5</t>
  </si>
  <si>
    <t>Recruiting to Go-Live in November with Paradox going live in January 2027. Testing beginning on 8/17.</t>
  </si>
  <si>
    <t>a0rVT00000dANZZYA4</t>
  </si>
  <si>
    <t>a0pVT000005p0mMYAQ</t>
  </si>
  <si>
    <t>Ardian France</t>
  </si>
  <si>
    <t>Investment Management</t>
  </si>
  <si>
    <t>Strategic Sourcing - Supplier Management</t>
  </si>
  <si>
    <t>France Services Tech Media ME</t>
  </si>
  <si>
    <t>a0pVT000005p0mLYAQ</t>
  </si>
  <si>
    <t>The project remains at a critical Go/No-Go stage during Week 19 of a 20-week timeline. Technical limitations regarding the Workday/HiredScore sync are preventing accurate reflection of steps and stages in the HiredScore environment and other issues. This</t>
  </si>
  <si>
    <t>a0rVT000014C1GrYAK</t>
  </si>
  <si>
    <t>Specialized-Initial-Evisort Only</t>
  </si>
  <si>
    <t>Arena S.p.A</t>
  </si>
  <si>
    <t>a0pVT000005p0mKYAQ</t>
  </si>
  <si>
    <t>a0pVT000005p0mJYAQ</t>
  </si>
  <si>
    <t>08/10 Complete requirement gathering for two out of the three in-scope workflows.The Arena team's workflow POC is currently on leave from August 3rd through August 24th.Requirements gathering will be done for the third workflow immediately upon their retu</t>
  </si>
  <si>
    <t>a0rVT000016i6RCYAY</t>
  </si>
  <si>
    <t>argenx BV</t>
  </si>
  <si>
    <t>EMEA North</t>
  </si>
  <si>
    <t>Belux</t>
  </si>
  <si>
    <t>Belux CB</t>
  </si>
  <si>
    <t>a0pVT000005p0mIYAQ</t>
  </si>
  <si>
    <t>a0pVT000005p0mHYAQ</t>
  </si>
  <si>
    <t>a0rVT000015ZC7lYAG</t>
  </si>
  <si>
    <t>Subsequent-Phase X: Add On- Evisort</t>
  </si>
  <si>
    <t>Arkansas Hospice Inc. dba LifeTouch Health</t>
  </si>
  <si>
    <t>a0pVT000005p0fpYAA</t>
  </si>
  <si>
    <t>08/11 The client is contacting the AE on possibly purchasing WSS in order to leverage an integration</t>
  </si>
  <si>
    <t>a0rVT00000PWSuBYAX</t>
  </si>
  <si>
    <t>Arrowstreet Capital, Limited Partnership</t>
  </si>
  <si>
    <t>US FSI ME CB Northeast 1</t>
  </si>
  <si>
    <t>a0pVT000005p0eDYAQ</t>
  </si>
  <si>
    <t>Client is going live on August 4th with the Hiredscore modules.</t>
  </si>
  <si>
    <t>a0rVT00000iAimWYAS</t>
  </si>
  <si>
    <t>Subsequent-AdHoc-Evisort</t>
  </si>
  <si>
    <t>Art and Wellness Enterprises LLC</t>
  </si>
  <si>
    <t>a0pVT00000AwcojYAB</t>
  </si>
  <si>
    <t>US NFP CB West</t>
  </si>
  <si>
    <t>Workday Peakon Employee Voice</t>
  </si>
  <si>
    <t>0014X00002ltVqkQAE</t>
  </si>
  <si>
    <t>Makse Group LLC</t>
  </si>
  <si>
    <t>a0pVT00000AVBuHYAX</t>
  </si>
  <si>
    <t>Deployment on track</t>
  </si>
  <si>
    <t>Deployment_Id</t>
  </si>
  <si>
    <t>Ascension Health – IS, Inc.</t>
  </si>
  <si>
    <t>Account_Name</t>
  </si>
  <si>
    <t>Journey Paths</t>
  </si>
  <si>
    <t>Deployment_Name</t>
  </si>
  <si>
    <t>US Healthcare Majors NN</t>
  </si>
  <si>
    <t>Partner</t>
  </si>
  <si>
    <t>a0pVT00000AVBavYAH</t>
  </si>
  <si>
    <t>DeliveryDirector_Override</t>
  </si>
  <si>
    <t>DD_From_Contacts</t>
  </si>
  <si>
    <t>Monica Morandi</t>
  </si>
  <si>
    <t>Resolved_DD</t>
  </si>
  <si>
    <t>DD_Contacts_Count</t>
  </si>
  <si>
    <t>Ascension and iCertis to work on their integrations specs this and next week. 08/25 date of integration completion not feasible by Ascension team. MTP Date will def. change (waiting to have more info). CI Demos completed</t>
  </si>
  <si>
    <t>DD_Contacts_Emails</t>
  </si>
  <si>
    <t>a0rVT000015Ywe6YAC</t>
  </si>
  <si>
    <t>a0pVT00000AVBHaYAP</t>
  </si>
  <si>
    <t>a0rVT00000vafrpYAA</t>
  </si>
  <si>
    <t>Subsequent- Phase X- Strategic Sourcing &amp; CLM</t>
  </si>
  <si>
    <t>Administrative Office of Pennsylvania Courts</t>
  </si>
  <si>
    <t>Asurion, LLC</t>
  </si>
  <si>
    <t>Subsequent - Phase X - Integrations &amp; Extend</t>
  </si>
  <si>
    <t>US FSI Majors</t>
  </si>
  <si>
    <t>Steve Rogers &lt;steve.rogers@workday.com&gt;</t>
  </si>
  <si>
    <t>a0pVT00000AVArmYAH</t>
  </si>
  <si>
    <t>Jennifer Tidwell</t>
  </si>
  <si>
    <t>7/2: Revised timeline to accelerate. Took 4 weeks off from 12/11 to 11/13. Project on track. week 3/5 in planning.</t>
  </si>
  <si>
    <t>a0rVT00000u1FWKYA2</t>
  </si>
  <si>
    <t>steve.rogers@workday.com</t>
  </si>
  <si>
    <t>a0rVT000014HfVUYA0</t>
  </si>
  <si>
    <t>Allegheny County Airport Authority</t>
  </si>
  <si>
    <t>Subsequent - Phase X - Financials</t>
  </si>
  <si>
    <t>Fadi Helou</t>
  </si>
  <si>
    <t>Client is live as of April 30
However the client is unhappy with the way HiredScore is calculating matches in Career Hub and ECG. There's an ongoing discussion with the account executive and the client to discuss adoption.</t>
  </si>
  <si>
    <t>a0rVT00000OzIVHYA3</t>
  </si>
  <si>
    <t>a0pVT00000AVCiHYAX</t>
  </si>
  <si>
    <t>AT&amp;T Services, Inc.</t>
  </si>
  <si>
    <t>a0rVT00000NuQXZYA3</t>
  </si>
  <si>
    <t>Telecom</t>
  </si>
  <si>
    <t>a0rVT00000rOVylYAG</t>
  </si>
  <si>
    <t>Boston Public Health Commission</t>
  </si>
  <si>
    <t>HiredScore now live.</t>
  </si>
  <si>
    <t>a0rVT000011VBnlYAG</t>
  </si>
  <si>
    <t>Initial Deployment-Launch- CHCM, TLO, CCB CLM, WSP, PLNF, PRA etc.</t>
  </si>
  <si>
    <t>Specialized-Initial Deployment-Evisort</t>
  </si>
  <si>
    <t>Athena Actuarial Consulting</t>
  </si>
  <si>
    <t>a0rVT00000M1dibYAB</t>
  </si>
  <si>
    <t>ME Commercial West</t>
  </si>
  <si>
    <t>US DI Commercial NN Central</t>
  </si>
  <si>
    <t>Broward County Sheriff’s Office</t>
  </si>
  <si>
    <t>Initial Deployment-Your Way-CHCM, TLO, HLP, JRNY, CCB, USP, LRN, MCNF, etc.</t>
  </si>
  <si>
    <t>Steve Rogers</t>
  </si>
  <si>
    <t>a0pVT0000057Ri9YAE</t>
  </si>
  <si>
    <t>a0rVT00000ncngDYAQ</t>
  </si>
  <si>
    <t>a0rVT00000quy3uYAA</t>
  </si>
  <si>
    <t>Chelan County, WA</t>
  </si>
  <si>
    <t>Project complete</t>
  </si>
  <si>
    <t>Initial Deployment-Launch-LDPFIN, LDPPRA, LDPPRJT, LDPTT, LDPBEN, LDPUSP,etc</t>
  </si>
  <si>
    <t>a0rVT00000nycZFYAY</t>
  </si>
  <si>
    <t>Athens Services</t>
  </si>
  <si>
    <t>a0rVT000012spwkYAA</t>
  </si>
  <si>
    <t>Utilities</t>
  </si>
  <si>
    <t>City of Akron</t>
  </si>
  <si>
    <t>Subsequent-Phase X: Recruiting</t>
  </si>
  <si>
    <t>US DI ME CB MFG West</t>
  </si>
  <si>
    <t>a0pVT0000057RiAYAU</t>
  </si>
  <si>
    <t>a0rVT00000PgySnYAJ</t>
  </si>
  <si>
    <t>City of Bellingham</t>
  </si>
  <si>
    <t>Initial Deployment-Launch-LDPHCM, LDPHLP, LDPJRNY, LDPCCB, LDPBEN, etc.</t>
  </si>
  <si>
    <t>a0pVT000009BfVhYAK</t>
  </si>
  <si>
    <t>a0rVT00000nlDVRYA2</t>
  </si>
  <si>
    <t>Lakshmi Visvanathan</t>
  </si>
  <si>
    <t>Lakshmi Visvanathan &lt;lakshmi.visvanathan@workday.com&gt;</t>
  </si>
  <si>
    <t>12/22 Go-Live completed on 12/4. Hypercare complete on 12/19</t>
  </si>
  <si>
    <t>a0rVT000012UCWjYAO</t>
  </si>
  <si>
    <t>lakshmi.visvanathan@workday.com</t>
  </si>
  <si>
    <t>Avaap</t>
  </si>
  <si>
    <t>a0pVT000005F7JGYA0</t>
  </si>
  <si>
    <t>a0rVT00000hh6hLYAQ</t>
  </si>
  <si>
    <t>a0rVT00000nuDpZYAU</t>
  </si>
  <si>
    <t>City of Boynton Beach, FL (IronBrick Associates, LLC)</t>
  </si>
  <si>
    <t>Initial Deployment-Launch- LDPFIN, LDPPLNF, LDPPRA, LDPPRJT, LDPTLO,etc</t>
  </si>
  <si>
    <t>US DI ME CB PBS Northeast</t>
  </si>
  <si>
    <t>Roman Cortes &lt;roman.cortes@workday.com&gt;</t>
  </si>
  <si>
    <t>a0pVT000005FAvRYAW</t>
  </si>
  <si>
    <t>roman.cortes@workday.com</t>
  </si>
  <si>
    <t>a0rVT00000Y77kyYAB</t>
  </si>
  <si>
    <t>Katie Nehrenz</t>
  </si>
  <si>
    <t>City of Carlsbad</t>
  </si>
  <si>
    <t>a0pVT0000064RJ7YAM</t>
  </si>
  <si>
    <t>a0rVT00000nxxjMYAQ</t>
  </si>
  <si>
    <t>Initial Deployment-Your Way- CHCM, TLO, JRNY, CCB, USP, SRCEXP, etc.</t>
  </si>
  <si>
    <t>8/17: In process of wrapping up Plan &amp; Prepare tasks and activities and preparing for the start of Design.  Kickoff has been scheduled for 8/20.</t>
  </si>
  <si>
    <t>a0rVT00000gpQhpYAE</t>
  </si>
  <si>
    <t>a0rVT00000utORLYA2</t>
  </si>
  <si>
    <t>a0pVT0000064RHVYA2</t>
  </si>
  <si>
    <t>City of Cedar Park, TX (Precision Task Group, Inc.)</t>
  </si>
  <si>
    <t>Avalara, Inc.</t>
  </si>
  <si>
    <t>Initial Deployment-Launch LDPAM, LDPHCM, LDPCCB, LDPBEN, LDPUSP, LDPLRN, etc</t>
  </si>
  <si>
    <t>a0pVT000005IrL9YAK</t>
  </si>
  <si>
    <t>a0rVT00000oRhCQYA0</t>
  </si>
  <si>
    <t>a0rVT00000quuMXYAY</t>
  </si>
  <si>
    <t>City of Chandler, AZ</t>
  </si>
  <si>
    <t>Initial Deployment-Launch-LDPSRCEXP, LDPCLM, XTND, WSP, TC, LDPHCM, LDPHLP,</t>
  </si>
  <si>
    <t>a0pVT000005IrL8YAK</t>
  </si>
  <si>
    <t>a0r4X00000Ef2DRQAZ</t>
  </si>
  <si>
    <t>City of Charlotte</t>
  </si>
  <si>
    <t>Subsequent-PhaseX: FIN</t>
  </si>
  <si>
    <t>a0pVT000005No65YAC</t>
  </si>
  <si>
    <t>Week: 27
Current Status: On hold 
Open Topics: 
- Client have descoped HS from Phase 1 of their REC Program. Approach and timing of new HS implementation TBC. 
Next Steps:
Define recommended approach &amp; cost to decouple HS Impl. Inform WD Program Manager</t>
  </si>
  <si>
    <t>a0rVT00000p4TB9YAM</t>
  </si>
  <si>
    <t>a0rVT000012UFMXYA4</t>
  </si>
  <si>
    <t>Subsequent -Phase X-Paradox</t>
  </si>
  <si>
    <t>Avantor Funding, Inc.</t>
  </si>
  <si>
    <t>a0rVT0000120kVsYAI</t>
  </si>
  <si>
    <t>Healthcare Manufacturing</t>
  </si>
  <si>
    <t>City of Charlotte on behalf of Charlotte Area Transit System</t>
  </si>
  <si>
    <t>a0pVT000005IpijYAC</t>
  </si>
  <si>
    <t>Initial Deployment-Launch-SRCEXP, PRO, XTND, CLMB, LRNSNA, CHCM,etc</t>
  </si>
  <si>
    <t>US DI LE CB MFG Southeast</t>
  </si>
  <si>
    <t>a0r4X00000ETVsiQAH</t>
  </si>
  <si>
    <t>City of Cleveland (IronBrick Associates LLC)</t>
  </si>
  <si>
    <t>a0pVT000005IpkLYAS</t>
  </si>
  <si>
    <t>Initial Deployment-Your Way-CHCM, TLO, HLP, CCB, etc</t>
  </si>
  <si>
    <t>a0rVT00000QELTpYAP</t>
  </si>
  <si>
    <t>a0pVT000005fhr2YAA</t>
  </si>
  <si>
    <t>City of Concord</t>
  </si>
  <si>
    <t>a0rVT00000qMQqmYAG</t>
  </si>
  <si>
    <t>08/17/2026: End to end testing in progress</t>
  </si>
  <si>
    <t>Initial Deployment-Launch-LDPHCM, LDPCCB, LDPBEN, LDPUSP, LDPLRN, etc.</t>
  </si>
  <si>
    <t>a0rVT0000152PTbYAM</t>
  </si>
  <si>
    <t>City of Concord, NC</t>
  </si>
  <si>
    <t>a0pVT000005N8JoYAK</t>
  </si>
  <si>
    <t>Initial Deployment-Launch LDPCCLRN, LDPREC, LDPMSG, LDPAM, etc</t>
  </si>
  <si>
    <t>a0rVT00000qPq2PYAS</t>
  </si>
  <si>
    <t>Strategic Sourcing - Projects</t>
  </si>
  <si>
    <t>Matan Boneh</t>
  </si>
  <si>
    <t>a0rVT00000eIZbOYAW</t>
  </si>
  <si>
    <t>a0pVT000005N8JmYAK</t>
  </si>
  <si>
    <t>City of Fond Du Lac</t>
  </si>
  <si>
    <t>Initial Deployment-Launch-LDPMSG, LDPTLO, LDPFIN, LDPGM, LDPEXP, LDPPRO, etc.</t>
  </si>
  <si>
    <t>06/8/2026
Overall Project Status: on track
Current Project Phase: AFter kick off
Week: 1 out of 25
Open Topics: NA
Next Steps: Design</t>
  </si>
  <si>
    <t>a0rVT00000rPvMLYA0</t>
  </si>
  <si>
    <t>a0rVT00000hOPhFYAW</t>
  </si>
  <si>
    <t>Aveanna Healthcare LLC</t>
  </si>
  <si>
    <t>City of Gainesville</t>
  </si>
  <si>
    <t>a0pVT000005N8JpYAK</t>
  </si>
  <si>
    <t>Subsequent-PhaseX-Strategic Sourcing</t>
  </si>
  <si>
    <t>US Healthcare LE CB South</t>
  </si>
  <si>
    <t>Strategic Sourcing - Sourcing Events</t>
  </si>
  <si>
    <t>a0r4X00000ETWR9QAP</t>
  </si>
  <si>
    <t>a0pVT000005N8JqYAK</t>
  </si>
  <si>
    <t>Hypercare week 3 in progress. Custom AI Model #1 demoed on 05/22. Over budget of 13 hours (inside the 5% threshold) and flagged to Mridhula. Custom AI Model #2 demo by 06/11 (CO in progress)
Marked as completed per case 3318309</t>
  </si>
  <si>
    <t>a0rVT00000mT5KLYA0</t>
  </si>
  <si>
    <t>a0rVT000014bsmbYAA</t>
  </si>
  <si>
    <t>Subsequent- Ad Hoc- Other: CI and CLM Implementation</t>
  </si>
  <si>
    <t>Avera Health</t>
  </si>
  <si>
    <t>Subsequent-Phase-X: FIN for Sourcing</t>
  </si>
  <si>
    <t>a0pVT000005N8JnYAK</t>
  </si>
  <si>
    <t>US Healthcare LE CB West</t>
  </si>
  <si>
    <t>a0rVT00000JbH5TYAV</t>
  </si>
  <si>
    <t>City of Grand Prairie (Precision Task Group, Inc.)</t>
  </si>
  <si>
    <t>Initial Deployment-Your Way-CHCM, TLO, HLP, JRNY, EMPVCE, CCB, USP, etc</t>
  </si>
  <si>
    <t>a0pVT00000B2EjhYAF</t>
  </si>
  <si>
    <t>a0rVT00000qROTJYA4</t>
  </si>
  <si>
    <t>a0rVT00000PrglzYAB</t>
  </si>
  <si>
    <t>City of Hagerstown</t>
  </si>
  <si>
    <t>Initial Deployment-Launch-LDPHCM, LDPHLP, LDPCCB, LDPBEN, LDPUSP, LDPLRN, etc.</t>
  </si>
  <si>
    <t>a0rVT000012U8Q2YAK</t>
  </si>
  <si>
    <t>a0pVT000005NdfJYAS</t>
  </si>
  <si>
    <t>Roman Cortes</t>
  </si>
  <si>
    <t>a0rVT00000qbxSzYAI</t>
  </si>
  <si>
    <t>AWG GROUP Limited</t>
  </si>
  <si>
    <t>UKI</t>
  </si>
  <si>
    <t>UKI Public Services</t>
  </si>
  <si>
    <t>a0pVT000005NdaTYAS</t>
  </si>
  <si>
    <t>UKI PS LE CB</t>
  </si>
  <si>
    <t>Knowledge Management</t>
  </si>
  <si>
    <t>a0pVT000005NdYrYAK</t>
  </si>
  <si>
    <t>Piotr Ksiadz</t>
  </si>
  <si>
    <t>a0r4X00000DCHVQQA5</t>
  </si>
  <si>
    <t>City of Hialeah (Meridian Government Services LLC)</t>
  </si>
  <si>
    <t>Financial Planning - Headcount and Compensation</t>
  </si>
  <si>
    <t>Initial Deployment-Launch-CHCM,USP, LRN,CCLRN, REC, MSG, FIN, PLNF,etc</t>
  </si>
  <si>
    <t>Meridian Partners, LLC</t>
  </si>
  <si>
    <t>a0rVT000014VbrnYAC</t>
  </si>
  <si>
    <t>a0pVT000005NdYsYAK</t>
  </si>
  <si>
    <t>Financial Planning - Capex / Non-Personnel Opex</t>
  </si>
  <si>
    <t>a0rVT00000SZiW0YAL</t>
  </si>
  <si>
    <t>a0pVT000005NdaUYAS</t>
  </si>
  <si>
    <t>Case Management</t>
  </si>
  <si>
    <t>a0pVT000005Ndc5YAC</t>
  </si>
  <si>
    <t>a0rVT00000LxawDYAR</t>
  </si>
  <si>
    <t>a0pVT000005NddhYAC</t>
  </si>
  <si>
    <t>City of Irvine</t>
  </si>
  <si>
    <t>Initial Deployment-Your Way-CHCM, TLO, JRNY, CCB, USP, LRN, MCNF etc.</t>
  </si>
  <si>
    <t>Pre Kick off done - Aug 12
Kick Off Date moved to Sept 3 due to team availability
On going discussions with the client to finalize the project plan and go live date</t>
  </si>
  <si>
    <t>a0rVT000010CMU5YAO</t>
  </si>
  <si>
    <t>a0pVT000005NdgvYAC</t>
  </si>
  <si>
    <t>Adhoc-AMS: Workday CI/CLM</t>
  </si>
  <si>
    <t>a0rVT00000tJ4EjYAK</t>
  </si>
  <si>
    <t>Bancroft, A New Jersey Nonprofit Corporation</t>
  </si>
  <si>
    <t>City of Leander, TX (Iron Brick Associates LLC)</t>
  </si>
  <si>
    <t>Other Healthcare</t>
  </si>
  <si>
    <t>a0pVT000009SI9iYAG</t>
  </si>
  <si>
    <t>a0rVT00000qdTvRYAU</t>
  </si>
  <si>
    <t>a0r4X00000CrToJQAV</t>
  </si>
  <si>
    <t>US Healthcare ME CB East</t>
  </si>
  <si>
    <t>a0pVT000005RBFpYAO</t>
  </si>
  <si>
    <t>City of Lee's Summit</t>
  </si>
  <si>
    <t>Initial Deployment-Your Way-HCM, TLO, CCB, USP, LRN,REC, FIN, etc</t>
  </si>
  <si>
    <t>a0pVT000005RBKfYAO</t>
  </si>
  <si>
    <t>Final CI and CLM components under review; CLM deployment ticket and non-renewable AI module completion in progress; project closeout and hypercare transition pending August 11 approval.</t>
  </si>
  <si>
    <t>a0rVT00000s9KJqYAM</t>
  </si>
  <si>
    <t>City of Lewisville, TX (Precision Task Group, Inc.)</t>
  </si>
  <si>
    <t>Banner Health</t>
  </si>
  <si>
    <t>Initial Deployment-Launch-LDPEXP, LDPPRO, LDPCLM, XTND, LDPHCM,etc</t>
  </si>
  <si>
    <t>a0pVT000005QzRZYA0</t>
  </si>
  <si>
    <t>a0r4X00000CrTG7QAN</t>
  </si>
  <si>
    <t>City of Milwaukee</t>
  </si>
  <si>
    <t>Workday Extend Essentials</t>
  </si>
  <si>
    <t>Initial Deployment-Your Way-HCM, FIN, USP, LRN, TT, etc</t>
  </si>
  <si>
    <t>a0pVT000005QzL7YAK</t>
  </si>
  <si>
    <t>7/28 KJY: project rebaselined, now working toward that. Will go back to green based on P1 testing progress</t>
  </si>
  <si>
    <t>a0rVT00000hOsuXYAS</t>
  </si>
  <si>
    <t>a0rVT00000R4A4gYAF</t>
  </si>
  <si>
    <t>City of Minneapolis (IronBrick Associates LLC)</t>
  </si>
  <si>
    <t>Barings LLC</t>
  </si>
  <si>
    <t>a0pVT000005QzL8YAK</t>
  </si>
  <si>
    <t>Initial Deployment-Your Way-HLP, JRNY, EMPVCE, CHCM, TLO, CCB, etc.</t>
  </si>
  <si>
    <t>a0rVT00000tMkJBYA0</t>
  </si>
  <si>
    <t>City Of Moorhead, MN</t>
  </si>
  <si>
    <t>Initial Deployment-Launch-LDPAM, TC, AK, LOD, LDPHCM, LDPBEN,etc.</t>
  </si>
  <si>
    <t>a0pVT000005QzL9YAK</t>
  </si>
  <si>
    <t>a0rVT00000vktwvYAA</t>
  </si>
  <si>
    <t>City of Nogales, AZ</t>
  </si>
  <si>
    <t>a0pVT000005QzLAYA0</t>
  </si>
  <si>
    <t>Initial Deployment-Launch-LDPHCM, LDPBEN, LDPUSP, LDPLRN, etc.</t>
  </si>
  <si>
    <t>8/4, case # 2919470</t>
  </si>
  <si>
    <t>City of North Las Vegas</t>
  </si>
  <si>
    <t>a0pVT000005QzLBYA0</t>
  </si>
  <si>
    <t>a0rVT000012UA0OYAW</t>
  </si>
  <si>
    <t>Initial Deployment-Your Way-CHCM, TLO, HLP, CCB, USP, LRN, MCNF, etc</t>
  </si>
  <si>
    <t>Bath &amp; Body Works, Inc.</t>
  </si>
  <si>
    <t>Softlines</t>
  </si>
  <si>
    <t>a0pVT000005QzLCYA0</t>
  </si>
  <si>
    <t>Diversified Industries LE NN</t>
  </si>
  <si>
    <t>US DI LE NN RHT North</t>
  </si>
  <si>
    <t>a0rVT000014eru2YAA</t>
  </si>
  <si>
    <t>City of Olathe (Precision Task Group, Inc.)</t>
  </si>
  <si>
    <t>Subsequent - Phase X - Adaptive Planning</t>
  </si>
  <si>
    <t>a0pVT000005QzLDYA0</t>
  </si>
  <si>
    <t>a0rVT000012SqmxYAC</t>
  </si>
  <si>
    <t>a0rVT000013QxVNYA0</t>
  </si>
  <si>
    <t>Subsequent-Adhoc-Other-Evisort Only</t>
  </si>
  <si>
    <t>Bay Area Hospital</t>
  </si>
  <si>
    <t>a0r4X00000CrUzSQAV</t>
  </si>
  <si>
    <t>a0pVT000005QzLEYA0</t>
  </si>
  <si>
    <t>City of Palm Bay</t>
  </si>
  <si>
    <t>Initial Deployment-Your Way-CHCM, TLO, CCB, USP, REC, FIN, GM, PRA, etc.</t>
  </si>
  <si>
    <t>Roman Cortes, Steve Rogers</t>
  </si>
  <si>
    <t>a0pVT000005QzLFYA0</t>
  </si>
  <si>
    <t>roman.cortes@workday.com, steve.rogers@workday.com</t>
  </si>
  <si>
    <t>a0rVT00000ostsNYAQ</t>
  </si>
  <si>
    <t>Subsequent-Phase X: FINS</t>
  </si>
  <si>
    <t>4 week hypercare ending 31 July</t>
  </si>
  <si>
    <t>a0pVT000005QzLGYA0</t>
  </si>
  <si>
    <t>a0rVT000012at5xYAA</t>
  </si>
  <si>
    <t>a0rVT00000OUggqYAD</t>
  </si>
  <si>
    <t>Bayer AG</t>
  </si>
  <si>
    <t>a0pVT000005QzLHYA0</t>
  </si>
  <si>
    <t>a0rVT00000m8pbHYAQ</t>
  </si>
  <si>
    <t>a0pVT000005QzLIYA0</t>
  </si>
  <si>
    <t>Liana Asuleen</t>
  </si>
  <si>
    <t>a0pVT000005QzLJYA0</t>
  </si>
  <si>
    <t>August 16 - Need to create Change Order to push out AITM functionality; waiting for Marlou to return; Kicking off this week with CCS and HiredScore testing</t>
  </si>
  <si>
    <t>a0r4X00000Ef1ruQAB</t>
  </si>
  <si>
    <t>City of Philadelphia (Precision Task Group, Inc.)</t>
  </si>
  <si>
    <t>a0rVT00000xP6bZYAS</t>
  </si>
  <si>
    <t>a0pVT000005QzLKYA0</t>
  </si>
  <si>
    <t>Initial Deployment-Your Way: FIN, EXP, INV, PRO, GM, PRJT, PRA, PLN</t>
  </si>
  <si>
    <t>Becton, Dickinson and Company</t>
  </si>
  <si>
    <t>US DI Key Accounts MFG</t>
  </si>
  <si>
    <t>a0rVT00000SV8FkYAL</t>
  </si>
  <si>
    <t>a0pVT000005QzrNYAS</t>
  </si>
  <si>
    <t>Subsequent-Phase X-Financials</t>
  </si>
  <si>
    <t>a0rVT00000tYEnFYAW</t>
  </si>
  <si>
    <t>City of Plantation, FL</t>
  </si>
  <si>
    <t>a0pVT000005R1zdYAC</t>
  </si>
  <si>
    <t>Erez Tzur</t>
  </si>
  <si>
    <t>Initial Deployment-Launch-LDPBEN, LDPUSP, LDPLRN, LDPCCLRN, LDPREC, etc.</t>
  </si>
  <si>
    <t>The client is currently in hypercare, this week is the last week. 
We added eligibility field for HM&lt;&gt;TA.</t>
  </si>
  <si>
    <t>a0rVT00000hOMIHYA4</t>
  </si>
  <si>
    <t>a0rVT00000sB30HYAS</t>
  </si>
  <si>
    <t>City Of Pomona</t>
  </si>
  <si>
    <t>Subsequent-Phase X: HCM/PATT</t>
  </si>
  <si>
    <t>a0pVT000005RodlYAC</t>
  </si>
  <si>
    <t>a0rVT00000Q3kFdYAJ</t>
  </si>
  <si>
    <t>City of Salem</t>
  </si>
  <si>
    <t>Initial Deployment-Launch-LDPHCM, LDPHLP, LDPCCB, LDPBEN, LDPUSP, etc.</t>
  </si>
  <si>
    <t>a0pVT000005RqinYAC</t>
  </si>
  <si>
    <t>a0r4X00000CrWebQAF</t>
  </si>
  <si>
    <t>Client went live on 11/24/25 as planned</t>
  </si>
  <si>
    <t>City of San Leandro</t>
  </si>
  <si>
    <t>a0pVT000005RqioYAC</t>
  </si>
  <si>
    <t>a0rVT000012UP2XYAW</t>
  </si>
  <si>
    <t>Initial Deployment-Your Way-CHCM, TLO, CCB, USP, LRN, MCNF, REC, FIN, etc.</t>
  </si>
  <si>
    <t>Bega Cheese Limited</t>
  </si>
  <si>
    <t>a0pVT000005RqipYAC</t>
  </si>
  <si>
    <t>a0rVT00000OsmhlYAB</t>
  </si>
  <si>
    <t>City of Santa Cruz</t>
  </si>
  <si>
    <t>a0pVT000006GSePYAW</t>
  </si>
  <si>
    <t>Initial Deployment-Launch-LDPHCM, LDPHLP, LDPBEN, LDPUSP, etc.</t>
  </si>
  <si>
    <t>a0rVT00000PxFmVYAV</t>
  </si>
  <si>
    <t>a0rVT00001AqDxOYAV</t>
  </si>
  <si>
    <t>a0pVT000005oFKTYA2</t>
  </si>
  <si>
    <t>City of Santa Maria</t>
  </si>
  <si>
    <t>Subsequent - Phase X- Phase 2: HCM</t>
  </si>
  <si>
    <t>Bellin Gundersen Health System, Inc. dba Emplify Health</t>
  </si>
  <si>
    <t>a0rVT00000qxFrVYAU</t>
  </si>
  <si>
    <t>a0rVT00000gAgHAYA0</t>
  </si>
  <si>
    <t>Contract Lifecycle Management Core</t>
  </si>
  <si>
    <t>City of South San Francisco, CA (IronBrick Associates LLC)</t>
  </si>
  <si>
    <t>Initial Deployment-Launch-LDPHCM, LDPHLP, LDPGM, LDPFIN, etc.</t>
  </si>
  <si>
    <t>a0pVT00000C3sL7YAJ</t>
  </si>
  <si>
    <t>a0rVT00000ecFQQYA2</t>
  </si>
  <si>
    <t>a0rVT00000r20F7YAI</t>
  </si>
  <si>
    <t>City of Thornton</t>
  </si>
  <si>
    <t>Initial Deployment-Launch-LDPHCM, LDPCCB, LDPUSP, LDPPRA, LDPTT, etc</t>
  </si>
  <si>
    <t>Scorecard request: 3377358</t>
  </si>
  <si>
    <t>a0pVT00000C3scsYAB</t>
  </si>
  <si>
    <t>a0rVT000017hBi2YAE</t>
  </si>
  <si>
    <t>Bishop Street Underwriters LLC</t>
  </si>
  <si>
    <t>a0pVT000005UoPVYA0</t>
  </si>
  <si>
    <t>a0rVT00000rOKbnYAG</t>
  </si>
  <si>
    <t>a0pVT000005UoarYAC</t>
  </si>
  <si>
    <t>Documents migrated to Prod. Workflow discovery to be started.</t>
  </si>
  <si>
    <t>a0rVT000017gi1iYAA</t>
  </si>
  <si>
    <t>BlackRock, Inc.</t>
  </si>
  <si>
    <t>a0pVT000005UopJYAS</t>
  </si>
  <si>
    <t>a0rVT0000159bGHYAY</t>
  </si>
  <si>
    <t>Subsequent- Phase X- Phase 2: Core Financials</t>
  </si>
  <si>
    <t>Brooke Knight</t>
  </si>
  <si>
    <t>a0pVT000005UopKYAS</t>
  </si>
  <si>
    <t>a0r4X00000E1AQdQAN</t>
  </si>
  <si>
    <t>bk 7/2/26-kicked off today, events only deployment phase 1.</t>
  </si>
  <si>
    <t>City of Worcester, Massachusetts</t>
  </si>
  <si>
    <t>a0rVT000015Dn17YAC</t>
  </si>
  <si>
    <t>Subsequent - Phase X: HCM, PAY, BN</t>
  </si>
  <si>
    <t>Blue Cross &amp; Blue Shield of Rhode Island</t>
  </si>
  <si>
    <t>a0pVT000005UopLYAS</t>
  </si>
  <si>
    <t>Health Insurance</t>
  </si>
  <si>
    <t>US Healthcare Payor</t>
  </si>
  <si>
    <t>a0rVT00000xZQDqYAO</t>
  </si>
  <si>
    <t>a0pVT000005UopMYAS</t>
  </si>
  <si>
    <t>Clark County (WA)</t>
  </si>
  <si>
    <t>7/28 KJY: CI testing is starting, AI items have kicked off. overall, looking good.</t>
  </si>
  <si>
    <t>Subsequent - Phase X - Strategic Sourcing</t>
  </si>
  <si>
    <t>a0rVT000011cUnCYAU</t>
  </si>
  <si>
    <t>Subsequent - Phase X - CLM and Strategic Sourcing</t>
  </si>
  <si>
    <t>Blue Cross and Blue Shield of North Carolina</t>
  </si>
  <si>
    <t>a0r4X00000ETWPXQA5</t>
  </si>
  <si>
    <t>a0pVT000005UopNYAS</t>
  </si>
  <si>
    <t>Coachella Valley Water District</t>
  </si>
  <si>
    <t>Initial Deployment-Your Way-CHCM, TLO, CCB, USP, LRN, MCNF, CCLRN, etc.</t>
  </si>
  <si>
    <t>Performance Enablement</t>
  </si>
  <si>
    <t>We went live on August 10, there are currently no system bugs that are of concern. We are supporting the client CLM admins on enhancements they've identified.</t>
  </si>
  <si>
    <t>a0rVT00000rTLdiYAG</t>
  </si>
  <si>
    <t>a0pVT000005UoaqYAC</t>
  </si>
  <si>
    <t>Colorado Public Employee Retirement Association</t>
  </si>
  <si>
    <t>Blue Origin, LLC</t>
  </si>
  <si>
    <t>Initial Deployment-Launch-LDPFIN, LDPPRA, LDPEXP, LDPPRO etc.</t>
  </si>
  <si>
    <t>US DI LE CB MFG South</t>
  </si>
  <si>
    <t>a0rVT000011drbGYAQ</t>
  </si>
  <si>
    <t>a0pVT000005UopPYAS</t>
  </si>
  <si>
    <t>Commonwealth of Massachusetts, Office of the Comptroller</t>
  </si>
  <si>
    <t>Initial Deployment-Your Way-CCB, USP, LRN, MCNF, PLNF, PRA, TT, etc</t>
  </si>
  <si>
    <t>a0rVT00000vIg6bYAC</t>
  </si>
  <si>
    <t>Blue Origin is temporarily pausing their HiredScore implementation due to internal legal pressure, 
Oren agreed to a zero-cost pause, with the client committing to a 2–3 week lead time before we resume</t>
  </si>
  <si>
    <t>a0pVT000005UopQYAS</t>
  </si>
  <si>
    <t>Cosumnes Community Services District</t>
  </si>
  <si>
    <t>a0rVT00000XLZOEYA5</t>
  </si>
  <si>
    <t>Initial Deployment-Launch-LDPFIN, LDPPLNF, LDPHCM, LDPHLP, LDPCE, etc.</t>
  </si>
  <si>
    <t>BlueCross BlueShield of Tennessee, Inc.</t>
  </si>
  <si>
    <t>a0rVT0000107EM0YAM</t>
  </si>
  <si>
    <t>County of Anoka</t>
  </si>
  <si>
    <t>a0pVT000005UopRYAS</t>
  </si>
  <si>
    <t>Subsequent-Phase X: Expense, Integrations</t>
  </si>
  <si>
    <t>a0pVT000005UopSYAS</t>
  </si>
  <si>
    <t>a0r4X00000CrUDJQA3</t>
  </si>
  <si>
    <t>County of Bernalillo</t>
  </si>
  <si>
    <t>Financial Planning - Revenue/Bookings</t>
  </si>
  <si>
    <t>Subsequent- Phase X- Adaptive Analytics, Prism Analytics, and People Analytics</t>
  </si>
  <si>
    <t>a0rVT00000y8L80YAE</t>
  </si>
  <si>
    <t>a0pVT000005UopTYAS</t>
  </si>
  <si>
    <t>Specialized-Initial Deployment - Evisort</t>
  </si>
  <si>
    <t>a0r4X00000CrWKHQA3</t>
  </si>
  <si>
    <t>BNI Global, LLC</t>
  </si>
  <si>
    <t>County of Delaware, PA</t>
  </si>
  <si>
    <t>Initial Deployment-Your Way-CHCM, TLO, HLP, CCB, USP, LRN, etc.</t>
  </si>
  <si>
    <t>ME NN PBS</t>
  </si>
  <si>
    <t>a0pVT000005UopUYAS</t>
  </si>
  <si>
    <t>US DI ME NN PBS Southeast</t>
  </si>
  <si>
    <t>a0rVT000015XPgzYAG</t>
  </si>
  <si>
    <t>County of Denton</t>
  </si>
  <si>
    <t>a0pVT000005UqkfYAC</t>
  </si>
  <si>
    <t>Subsequent-Phase X: Talent, Learning, Recruiting, and Workforce Planning</t>
  </si>
  <si>
    <t>a0rVT00000NMgA0YAL</t>
  </si>
  <si>
    <t>Cloud Connect for Learning</t>
  </si>
  <si>
    <t>County of Forsyth (Precision Task Group, Inc.)</t>
  </si>
  <si>
    <t>Initial Deployment-Launch-LDPCCLRN, LDPREC, LDPCE, LDPMSG, LDPHCM, etc</t>
  </si>
  <si>
    <t>a0rVT00000d8wbTYAQ</t>
  </si>
  <si>
    <t>a0pVT000005UqkgYAC</t>
  </si>
  <si>
    <t>Bonterra LLC</t>
  </si>
  <si>
    <t>a0r4X00000Ef3r8QAB</t>
  </si>
  <si>
    <t>a0pVT000005UopOYAS</t>
  </si>
  <si>
    <t>County of Fort Bend (Precision Task Group, Inc.)</t>
  </si>
  <si>
    <t>Subsequent-Phase X-Workforce planning and People Analytics</t>
  </si>
  <si>
    <t>a0r4X00000DCHGzQAP</t>
  </si>
  <si>
    <t>County of Kern</t>
  </si>
  <si>
    <t>Subsequent-Phase X-HCM/Payroll</t>
  </si>
  <si>
    <t>a0pVT000005UoanYAC</t>
  </si>
  <si>
    <t>* Prod UAT - planned for Oct 21st
• Project Go-Live - Oct 28th</t>
  </si>
  <si>
    <t>a0rVT000012QWk9YAG</t>
  </si>
  <si>
    <t>a0pVT000005UoaoYAC</t>
  </si>
  <si>
    <t>Booking.com B.V.</t>
  </si>
  <si>
    <t>Netherlands</t>
  </si>
  <si>
    <t>Netherlands LE CB</t>
  </si>
  <si>
    <t>a0pVT000005UoapYAC</t>
  </si>
  <si>
    <t>a0rVT00000tvUg2YAE</t>
  </si>
  <si>
    <t>County of Lea, (Iron Brick Associates LLC)</t>
  </si>
  <si>
    <t>Initial Deployment-Launch-LDPHCM, LDPCCB, LDPBEN, etc.</t>
  </si>
  <si>
    <t>a0pVT00000816A1YAI</t>
  </si>
  <si>
    <t>Pendra Benjafield</t>
  </si>
  <si>
    <t>a0r4X00000CrVFfQAN</t>
  </si>
  <si>
    <t>Payroll Accounting &amp; Payslips</t>
  </si>
  <si>
    <t>County of Missoula</t>
  </si>
  <si>
    <t>15th June - Customer due to provide decisions for Paradox Architecture to remain on track with deliverables. Functional workstream is quite far behind. Paradox Integration setup is also tracking behind but catch up likely with WD Cons owning.</t>
  </si>
  <si>
    <t>Initial Deployment-Your Way-FIN, GM, PLNF, PRA, PRJT, etc.</t>
  </si>
  <si>
    <t>a0pVT00000816AIYAY</t>
  </si>
  <si>
    <t>a0rVT00000zKKUEYA4</t>
  </si>
  <si>
    <t>a0rVT00000TnhUZYAZ</t>
  </si>
  <si>
    <t>a0pVT00000816ABYAY</t>
  </si>
  <si>
    <t>Subsequent-PhaseX-HCM</t>
  </si>
  <si>
    <t>a0r4X00000CrU6wQAF</t>
  </si>
  <si>
    <t>Talent Pipeline</t>
  </si>
  <si>
    <t>a0pVT00000816AAYAY</t>
  </si>
  <si>
    <t>Design done, ECG removed from scope by client request. Build phase in on going, soon to start historical export.
TPP progressing as planned - client to set mailjet from their end</t>
  </si>
  <si>
    <t>a0rVT00000tHiMoYAK</t>
  </si>
  <si>
    <t>County of Nevada</t>
  </si>
  <si>
    <t>a0rVT00000zKTsPYAW</t>
  </si>
  <si>
    <t>Subsequent-Adhoc-Other: Paradox</t>
  </si>
  <si>
    <t>a0pVT00000816A9YAI</t>
  </si>
  <si>
    <t>a0rVT00000tIlKAYA0</t>
  </si>
  <si>
    <t>Subsequent-Phase X: HCM</t>
  </si>
  <si>
    <t>a0pVT00000816APYAY</t>
  </si>
  <si>
    <t>County of Pinellas (Iron Brick Associates LLC)</t>
  </si>
  <si>
    <t>Initial Deployment-Your Way-CCB, USP, LRN, EXP, PRO, INV, CCLRN, REC,</t>
  </si>
  <si>
    <t>Scorecard request: 3181736</t>
  </si>
  <si>
    <t>a0pVT00000816AOYAY</t>
  </si>
  <si>
    <t>a0r4X00000CrVxdQAF</t>
  </si>
  <si>
    <t>County of San Joaquin</t>
  </si>
  <si>
    <t>Subsequent-Phase X-HCM</t>
  </si>
  <si>
    <t>Local Government ME</t>
  </si>
  <si>
    <t>US Local Gov ME CB</t>
  </si>
  <si>
    <t>a0pVT00000816ANYAY</t>
  </si>
  <si>
    <t>County of San Luis Obispo, CA (Iron Brick Associates, LLC)</t>
  </si>
  <si>
    <t>Initial Deployment-Your Way-FIN, CHCM, TLO, SRCEXP, CLM, etc.</t>
  </si>
  <si>
    <t>a0pVT00000816AMYAY</t>
  </si>
  <si>
    <t>0018000000MWLslAAH</t>
  </si>
  <si>
    <t>Naveen Athuluru &lt;naveen.athuluru@workday.com&gt;</t>
  </si>
  <si>
    <t>8.12.26 CCS sessions in 3rd week of A&amp;C phase, with unit testing transition after each</t>
  </si>
  <si>
    <t>naveen.athuluru@workday.com</t>
  </si>
  <si>
    <t>a0pVT00000816ALYAY</t>
  </si>
  <si>
    <t>a0rVT00000tFsq1YAC</t>
  </si>
  <si>
    <t>BP International Limited</t>
  </si>
  <si>
    <t>a0pVT00000816AKYAY</t>
  </si>
  <si>
    <t>UKI CB Majors</t>
  </si>
  <si>
    <t>a0r4X00000CrVBOQA3</t>
  </si>
  <si>
    <t>UKI Majors CB</t>
  </si>
  <si>
    <t>a0pVT00000816AJYAY</t>
  </si>
  <si>
    <t>Sarah Tyndall</t>
  </si>
  <si>
    <t>a0rVT00000sUZJ0YAO</t>
  </si>
  <si>
    <t>Scorecard request: 3013028 6/2 Moved this project to yellow as we are still pending a go/no go decision from bp leadership and we cannot proceed to production without it. We have advised another CO may be required.</t>
  </si>
  <si>
    <t>a0rVT00000Kmg1SYAR</t>
  </si>
  <si>
    <t>Subsequent-Phase X-Your Way: Expenses</t>
  </si>
  <si>
    <t>a0pVT00000816A2YAI</t>
  </si>
  <si>
    <t>Core Payroll</t>
  </si>
  <si>
    <t>a0rVT000016HPNsYAO</t>
  </si>
  <si>
    <t>County of Sutter</t>
  </si>
  <si>
    <t>a0pVT00000816A3YAI</t>
  </si>
  <si>
    <t>Subsequent-Phase X: Learning</t>
  </si>
  <si>
    <t>a0rVT00000SFgOcYAL</t>
  </si>
  <si>
    <t>County of Walla Walla, WA</t>
  </si>
  <si>
    <t>a0pVT00000816A4YAI</t>
  </si>
  <si>
    <t>2637223 Scorecard creation</t>
  </si>
  <si>
    <t>Project Tracking</t>
  </si>
  <si>
    <t>a0rVT00001ArQPYYA3</t>
  </si>
  <si>
    <t>Subsequent-Ad Hoc-Other-HiredScore-AITM and HM &lt;&gt; TA Collaborator-Only</t>
  </si>
  <si>
    <t>Initial Deployment-Launch-LDPTT, LDPAM, LDPEXP, LDPPRO, TC, WSP, etc.</t>
  </si>
  <si>
    <t>a0pVT00000816A5YAI</t>
  </si>
  <si>
    <t>a0rVT00000x7GKfYAM</t>
  </si>
  <si>
    <t>Subsequent- Phase X- Phase 2: HCM</t>
  </si>
  <si>
    <t>a0pVT00000816A6YAI</t>
  </si>
  <si>
    <t>a0r4X00000ETX33QAH</t>
  </si>
  <si>
    <t>Frances Lambe</t>
  </si>
  <si>
    <t>Initial Deployment-Launch-LDPHCM, LDPCCB, LDPBEN, LDPUSP, LDPFIN, etc.</t>
  </si>
  <si>
    <t>a0rVT00000wILhLYAW</t>
  </si>
  <si>
    <t>a0pVT00000816A7YAI</t>
  </si>
  <si>
    <t>Bradley Hoenshell, Roman Cortes</t>
  </si>
  <si>
    <t>Initial Deployment-Launch-LDPCE, LDPMSG, LDPTLO, LDPCLM, XTND, etc</t>
  </si>
  <si>
    <t>Bradley University</t>
  </si>
  <si>
    <t>brad.hoenshell@workday.com, roman.cortes@workday.com</t>
  </si>
  <si>
    <t>Higher Education ME</t>
  </si>
  <si>
    <t>a0pVT00000816A8YAI</t>
  </si>
  <si>
    <t>US Higher Ed ME CB</t>
  </si>
  <si>
    <t>a0pVT00000816AFYAY</t>
  </si>
  <si>
    <t>0018000001IzqpSAAR</t>
  </si>
  <si>
    <t>a0r4X00000ETWIbQAP</t>
  </si>
  <si>
    <t>County of Waupaca</t>
  </si>
  <si>
    <t>Initial Deployment-Launch-LDPHCM, LDPJRNY, LDPCCB, LDPBEN, LDPUSP, etc</t>
  </si>
  <si>
    <t>FDM sessions completed. Working through Discovery calls. Foundation build on target for delivery at end of Plan Stage. No concerns.</t>
  </si>
  <si>
    <t>a0rVT0000121I4VYAU</t>
  </si>
  <si>
    <t>a0pVT00000816AEYAY</t>
  </si>
  <si>
    <t>Breeze Airways</t>
  </si>
  <si>
    <t>Roman Cortes, Lakshmi Visvanathan</t>
  </si>
  <si>
    <t>Travel &amp; Hospitality</t>
  </si>
  <si>
    <t>roman.cortes@workday.com, lakshmi.visvanathan@workday.com</t>
  </si>
  <si>
    <t>County of Williamson, TX</t>
  </si>
  <si>
    <t>a0pVT00000816ADYAY</t>
  </si>
  <si>
    <t>Initial Deployment-Launch-LDPPLNF, LDPPRA, LDPPRJT, LDPCLM, TC, WSP, LDPUSP etc.</t>
  </si>
  <si>
    <t>a0rVT00000KUo0kYAD</t>
  </si>
  <si>
    <t>Crown Administrators</t>
  </si>
  <si>
    <t>Okorio, LLC</t>
  </si>
  <si>
    <t>a0rVT00000vnqkiYAA</t>
  </si>
  <si>
    <t>East Bay Municipal Utility District (Strada U.S. Professional Services, LLC)</t>
  </si>
  <si>
    <t>Initial Deployment-Launch-LDPAM, WSP, LDPHCM, LDPUSP,etc</t>
  </si>
  <si>
    <t>Project complete, went live on Monday 6/1</t>
  </si>
  <si>
    <t>a0rVT00000uXpyIYAS</t>
  </si>
  <si>
    <t>East Bay Regional Park District</t>
  </si>
  <si>
    <t>a0rVT000012Tzo2YAC</t>
  </si>
  <si>
    <t>Bridgestone Americas, Inc.</t>
  </si>
  <si>
    <t>Auto Manufacturing</t>
  </si>
  <si>
    <t>Initial Deployment-Launch-LDPHCM, LDPCCB, LDPBEN, LDPPRO, LDPINV, etc.</t>
  </si>
  <si>
    <t>Eastern Municipal Water District</t>
  </si>
  <si>
    <t>Initial Deployment-Your Way-CHCM, TLO, CCB, USP, LRN, MCNF, REC, FIN, GM, etc.</t>
  </si>
  <si>
    <t>Andres Baudrit</t>
  </si>
  <si>
    <t>a0rVT00000pfsNLYAY</t>
  </si>
  <si>
    <t>Electric Reliability Council of Texas, Inc. (ERCOT)</t>
  </si>
  <si>
    <t>We are closing design stage</t>
  </si>
  <si>
    <t>Subsequent -Phase X-Prism Analytics Essentials</t>
  </si>
  <si>
    <t>a0pVT00000816AHYAY</t>
  </si>
  <si>
    <t>a0rVT000012fCUzYAM</t>
  </si>
  <si>
    <t>Subsequent- Phase X- Evisort</t>
  </si>
  <si>
    <t>Bright Horizons Children's Centers LLC</t>
  </si>
  <si>
    <t>a0rVT00000iWFtpYAG</t>
  </si>
  <si>
    <t>Education (K-12)</t>
  </si>
  <si>
    <t>Subsequent-Phase X: VNDLY</t>
  </si>
  <si>
    <t>a0pVT00000816AGYAY</t>
  </si>
  <si>
    <t>a0rVT00000jsujYYAQ</t>
  </si>
  <si>
    <t>Energy Northwest</t>
  </si>
  <si>
    <t>Subsequent–Phase X: Expenses</t>
  </si>
  <si>
    <t>a0pVT00000816ACYAY</t>
  </si>
  <si>
    <t>a0rVT00000bcvGMYAY</t>
  </si>
  <si>
    <t>Career and Development</t>
  </si>
  <si>
    <t>Georgia Ports Authority</t>
  </si>
  <si>
    <t>Workflows in prod.</t>
  </si>
  <si>
    <t>Intial Deployment-Your Way- WSP, SRCEXP, XTND, CHCM, TLO, CCB, USP, etc</t>
  </si>
  <si>
    <t>a0rVT00000YMzFmYAL</t>
  </si>
  <si>
    <t>a0pVT000005XJnPYAW</t>
  </si>
  <si>
    <t>Subsequent-Ad Hoc-Other : HiredScore Only</t>
  </si>
  <si>
    <t>a0rVT00000rht9BYAQ</t>
  </si>
  <si>
    <t>a0rVT000016NcgYYAS</t>
  </si>
  <si>
    <t>Bunnings Group Limited</t>
  </si>
  <si>
    <t>Grand River Dam Authority</t>
  </si>
  <si>
    <t>Hardlines</t>
  </si>
  <si>
    <t>a0rVT00000ddT0TYAU</t>
  </si>
  <si>
    <t>Intercity Transit Authority</t>
  </si>
  <si>
    <t>Initial Deployment-Your Way-LRN, MCNF, CCLRN, REC, CHCM, TLO etc.</t>
  </si>
  <si>
    <t>Irvine Ranch Water District</t>
  </si>
  <si>
    <t>Initial Deployment-Launch LDPMSG, LDPACM, LDPTLO, LDPGM, etc</t>
  </si>
  <si>
    <t>a0pVT000005XJnOYAW</t>
  </si>
  <si>
    <t>Go live has been pushed to February 2nd based on client's request to keep testing the product in the Production tenant following a recommendation from the HS product team. CO has been approved by Arvind Sundaresan.</t>
  </si>
  <si>
    <t>a0rVT00000uJ9FTYA0</t>
  </si>
  <si>
    <t>a0rVT00000Syw99YAB</t>
  </si>
  <si>
    <t>Kansas City, Missouri (Iron Brick Associates LLC)</t>
  </si>
  <si>
    <t>Subsequent - Phase X: HiredScore AIRC</t>
  </si>
  <si>
    <t>New Deployment-Your Way-CHCM, TLO, CCB, USP, LRN, CCLRN, REC, FIN, etc.</t>
  </si>
  <si>
    <t>Burrell Preferred Inc.</t>
  </si>
  <si>
    <t>a0pVT000005XJiYYAW</t>
  </si>
  <si>
    <t>a0rVT00000vq0zpYAA</t>
  </si>
  <si>
    <t>Kenton County Airport Board</t>
  </si>
  <si>
    <t>Initial Deployment-Launch-LDPREC, LDPTLO, LDPTT, LDPAM, LDPSC, etc.</t>
  </si>
  <si>
    <t>a0pVT000005XJiXYAW</t>
  </si>
  <si>
    <t>a0rVT00000PtYNdYAN</t>
  </si>
  <si>
    <t>Lake County CA</t>
  </si>
  <si>
    <t>Initial Deployment-Launch-LDPMSG, LDPTLO, LDPFIN, LDPPRA, etc.</t>
  </si>
  <si>
    <t>a0pVT000005czfbYAA</t>
  </si>
  <si>
    <t>Starting project, kickoff on 3/13/25
3/31/25 - In Design
6/23/25 - in testing</t>
  </si>
  <si>
    <t>Naveen Athuluru, Steve Rogers</t>
  </si>
  <si>
    <t>a0rVT00000sey3FYAQ</t>
  </si>
  <si>
    <t>a0rVT00000b6lgXYAQ</t>
  </si>
  <si>
    <t>a0pVT000005czfcYAA</t>
  </si>
  <si>
    <t>naveen.athuluru@workday.com, steve.rogers@workday.com</t>
  </si>
  <si>
    <t>Brian Cappello</t>
  </si>
  <si>
    <t>a0r4X00000ETWLfQAP</t>
  </si>
  <si>
    <t>a0pVT000005czfXYAQ</t>
  </si>
  <si>
    <t>Lake County Illinois (Precision Task Group, Inc.)</t>
  </si>
  <si>
    <t>Update 9/3 - ECG is still not fully deployed, everything from a build side is correct at this point, but having a new issue with integration and the recommendations not sending to the bot</t>
  </si>
  <si>
    <t>Initial Deployment-Your Way-CHCM, TLO, HLP, JRNY, EMPVCE, CCB, etc.</t>
  </si>
  <si>
    <t>a0rVT00000UWzHQYA1</t>
  </si>
  <si>
    <t>a0rVT000010i7brYAA</t>
  </si>
  <si>
    <t>Lake County Sheriff's Office</t>
  </si>
  <si>
    <t>a0pVT000005czfVYAQ</t>
  </si>
  <si>
    <t>Subsequent-Phase X: REC, LRNG, PRISM, INV.</t>
  </si>
  <si>
    <t>Scorecard request: 2768529 - This seems to be a duplicate scorecard</t>
  </si>
  <si>
    <t>a0pVT000005czfZYAQ</t>
  </si>
  <si>
    <t>a0rVT00000pLq4xYAC</t>
  </si>
  <si>
    <t>a0rVT000012rifZYAQ</t>
  </si>
  <si>
    <t>Lakehaven Water and Sewer District (Precision Task Group, Inc.)</t>
  </si>
  <si>
    <t>Business Development Bank Of Canada</t>
  </si>
  <si>
    <t>Initial Deployment-Launch-LDPGM, LDPFIN, LDPPLNF, LDPPRJT, LDPPRO, WSP, TC</t>
  </si>
  <si>
    <t>Canada FSI</t>
  </si>
  <si>
    <t>a0r4X00000BWhT1QAL</t>
  </si>
  <si>
    <t>Los Angeles Department of Water and Power (LADWP)</t>
  </si>
  <si>
    <t>a0pVT000005czfaYAA</t>
  </si>
  <si>
    <t>Initial Deployment-Your Way: FIN, GM, PRJT, PB, etc.</t>
  </si>
  <si>
    <t>Lisa Coulter, Eric Warshower, Steve Rogers</t>
  </si>
  <si>
    <t>Hypercare meetings - week 4.</t>
  </si>
  <si>
    <t>lisa.coulter@workday.com, eric.warshower@workday.com, steve.rogers@workday.com</t>
  </si>
  <si>
    <t>a0rVT00000YeyebYAB</t>
  </si>
  <si>
    <t>a0pVT000005czfdYAA</t>
  </si>
  <si>
    <t>a0rVT00000x3XbEYAU</t>
  </si>
  <si>
    <t>BWC Terminals LLC</t>
  </si>
  <si>
    <t>Subsequent-Phase X: HCM/PAY AMS</t>
  </si>
  <si>
    <t>US DI Commercial CB West</t>
  </si>
  <si>
    <t>a0pVT000005czfYYAQ</t>
  </si>
  <si>
    <t>a0pVT000005czfWYAQ</t>
  </si>
  <si>
    <t>a0rVT00000x3OESYA2</t>
  </si>
  <si>
    <t>6/8: Hypercare complete and confirmed project closure</t>
  </si>
  <si>
    <t>Subsequent-Phase X: MCP3/TRCA (Extend)</t>
  </si>
  <si>
    <t>a0rVT00000sUXqhYAG</t>
  </si>
  <si>
    <t>C.H. ROBINSON WORLDWIDE, INC.</t>
  </si>
  <si>
    <t>a0pVT000005gW73YAE</t>
  </si>
  <si>
    <t>Other Transportation</t>
  </si>
  <si>
    <t>a0rVT00000snhjbYAA</t>
  </si>
  <si>
    <t>US DI LE CB RHT Central</t>
  </si>
  <si>
    <t>a0pVT000005gW74YAE</t>
  </si>
  <si>
    <t>a0rVT00000nFdWJYA0</t>
  </si>
  <si>
    <t>Madison Metropolitan Sewerage District</t>
  </si>
  <si>
    <t>a0pVT000005dAKoYAM</t>
  </si>
  <si>
    <t>Initial Deployment-Launch-LDPAM, LDPEXP, LDPPRO, LDPINV, LDPUSP, LDPLRN, etc</t>
  </si>
  <si>
    <t>a0rVT00000syWkJYAU</t>
  </si>
  <si>
    <t>March 9, 2026 (Live)
Project Overall Status: Green
Week: 12
Current Status: 
- Final issue resolved. Project closed.
Open Topics:
- N/A
Next Steps:
- N/A</t>
  </si>
  <si>
    <t>a0r4X00000ETW0wQAH</t>
  </si>
  <si>
    <t>a0pVT000005j1zZYAQ</t>
  </si>
  <si>
    <t>a0rVT00000YvLJEYA3</t>
  </si>
  <si>
    <t>a0rVT00000t2Yh3YAE</t>
  </si>
  <si>
    <t>Maricopa Association of Governments</t>
  </si>
  <si>
    <t>Initial Deployment-Launch: HCM, FIN</t>
  </si>
  <si>
    <t>a0pVT000005dKVRYA2</t>
  </si>
  <si>
    <t>a0rVT00000t2wxtYAA</t>
  </si>
  <si>
    <t>a0pVT0000060p2HYAQ</t>
  </si>
  <si>
    <t>a0rVT00000tIn7RYAS</t>
  </si>
  <si>
    <t>Tenant Request Case #
Deployment Start Date: Oct  7, 2024
Deployment Target Go live Date: Feb 2, 2025
Products you are deploying: HiredScore AI for Recruiting
Employee count per country: United States 11,000
Source Tenant:</t>
  </si>
  <si>
    <t>a0r4X00000ETVjqQAH</t>
  </si>
  <si>
    <t>a0rVT00000gumTCYAY</t>
  </si>
  <si>
    <t>Maryland General Assembly, Department of Legislative Services</t>
  </si>
  <si>
    <t>Cable One, Inc.</t>
  </si>
  <si>
    <t>Initial Deployment-Launch-CHCM, TLO, USP, LRN, MCNF, REC, etc</t>
  </si>
  <si>
    <t>a0pVT000005j809YAA</t>
  </si>
  <si>
    <t>a0rVT00000tInc5YAC</t>
  </si>
  <si>
    <t>a0pVT000005j7yXYAQ</t>
  </si>
  <si>
    <t>a0rVT00001471e5YAA</t>
  </si>
  <si>
    <t>27th Jan - Cable One are live in production as of January 26th</t>
  </si>
  <si>
    <t>Memphis-Shelby County Airport Authority</t>
  </si>
  <si>
    <t>a0rVT00000UIL38YAH</t>
  </si>
  <si>
    <t>Subsequent-Phase X-Your Way: Extend</t>
  </si>
  <si>
    <t>CAE Inc.</t>
  </si>
  <si>
    <t>a0pVT000007vBvdYAE</t>
  </si>
  <si>
    <t>a0rVT00000tLTqZYAW</t>
  </si>
  <si>
    <t>a0rVT000016lr3KYAQ</t>
  </si>
  <si>
    <t>Subsequent-Phase X: Financial Management Extend and Optimize - Expense</t>
  </si>
  <si>
    <t>a0pVT000006U9IrYAK</t>
  </si>
  <si>
    <t>Went live on March 26th</t>
  </si>
  <si>
    <t>a0rVT00000b77fPYAQ</t>
  </si>
  <si>
    <t>a0rVT00000ySxp0YAC</t>
  </si>
  <si>
    <t>a0pVT000007OWUYYA4</t>
  </si>
  <si>
    <t>Metro</t>
  </si>
  <si>
    <t>a0rVT00000tpewjYAA</t>
  </si>
  <si>
    <t>Caisse de dépôt et placement du Québec</t>
  </si>
  <si>
    <t>Initial Deployment-Launch-LDPPRJT, LDPTHUB, LDPEXP, LDPREC, etc</t>
  </si>
  <si>
    <t>a0pVT000007OWUBYA4</t>
  </si>
  <si>
    <t>a0rVT00000qOStUYAW</t>
  </si>
  <si>
    <t>Metropolitan Transit Authority of Harris County (Precision Task Group Inc.)</t>
  </si>
  <si>
    <t>Initial Deployment-Your Way-CHCM, CCB, USP, REC, etc</t>
  </si>
  <si>
    <t>a0pVT000007OWUCYA4</t>
  </si>
  <si>
    <t>a0rVT00000rSgrfYAC</t>
  </si>
  <si>
    <t>CDPQ asked for an extension on prod testing and signed off on 9/12. They will go live on 9/17.</t>
  </si>
  <si>
    <t>a0pVT000007OWUDYA4</t>
  </si>
  <si>
    <t>a0rVT00000X37bRYAR</t>
  </si>
  <si>
    <t>Initial Deployment-Your WayCHCM, CCB, USP, REC, TT, WS</t>
  </si>
  <si>
    <t>Capita Business Services Limited</t>
  </si>
  <si>
    <t>a0pVT000007OWUEYA4</t>
  </si>
  <si>
    <t>a0rVT00000SVEt2YAH</t>
  </si>
  <si>
    <t>New York City Department of Finance (Oakland Consulting Group, Inc.)</t>
  </si>
  <si>
    <t>Initial Deployment-Your Way-FIN, PLNF, PRA, PRJT, EXP, INV, etc</t>
  </si>
  <si>
    <t>a0pVT000007OWUFYA4</t>
  </si>
  <si>
    <t>Scorecard request: 2800087</t>
  </si>
  <si>
    <t>a0rVT000012PdsXYAS</t>
  </si>
  <si>
    <t>a0r4X00000E13rfQAB</t>
  </si>
  <si>
    <t>Capital Health System, Inc.</t>
  </si>
  <si>
    <t>New York City Housing Authority (Emergent, LLC)</t>
  </si>
  <si>
    <t>Initial Deployment-Your Way: CHCM, TLO, HLP, CCTPP, REC, PRA</t>
  </si>
  <si>
    <t>a0pVT000007OWUGYA4</t>
  </si>
  <si>
    <t>a0pVT000007OWUHYA4</t>
  </si>
  <si>
    <t>a0rVT00000yYYhlYAG</t>
  </si>
  <si>
    <t>"Phase: Test
UAT Date: 2026-08-06
Go Live Date: 2026-09-28
**Weekly Summary**
This week covers the second week of UAT with Capital Health, focusing on AI Recruiting (AiRC / AiTM) and MailJet integrations.
---
**Wins**
* Capital Health completed Spo</t>
  </si>
  <si>
    <t>New York State Department Of Transportation</t>
  </si>
  <si>
    <t>a0rVT00000rlFwUYAU</t>
  </si>
  <si>
    <t>Initial Deployment-Your Way-CHCM, TLO, HLP, GPC, REC, etc.</t>
  </si>
  <si>
    <t>Carepath RX Midco Inc.</t>
  </si>
  <si>
    <t>a0pVT000007OWUIYA4</t>
  </si>
  <si>
    <t>a0rVT00000mlAI7YAM</t>
  </si>
  <si>
    <t>New York State Office of Information Technology Services</t>
  </si>
  <si>
    <t>Initial Deployment-Your Way-CHCM,TLO,HLP,GPC,etc</t>
  </si>
  <si>
    <t>a0pVT000007OWUJYA4</t>
  </si>
  <si>
    <t>a0r4X00000ETUqgQAH</t>
  </si>
  <si>
    <t>a0pVT000007OWUKYA4</t>
  </si>
  <si>
    <t>project completed</t>
  </si>
  <si>
    <t>a0pVT000007OWULYA4</t>
  </si>
  <si>
    <t>a0rVT000010ws2mYAA</t>
  </si>
  <si>
    <t>Cascadia Services, LLC</t>
  </si>
  <si>
    <t>a0r4X00000ETWthQAH</t>
  </si>
  <si>
    <t>North Texas Municipal Water District</t>
  </si>
  <si>
    <t>a0pVT000007OWUMYA4</t>
  </si>
  <si>
    <t>Initial Deployment-Your Way-CHCM, TLO, HLP, JRNY, CCB, USP, REC, FIN, PLNF, etc.</t>
  </si>
  <si>
    <t>Carolina Rodriguez</t>
  </si>
  <si>
    <t>a0r4X00000ETW1VQAX</t>
  </si>
  <si>
    <t>a0pVT000007OWUNYA4</t>
  </si>
  <si>
    <t>WF signoff expected by 8/19
Custom AI and ask AI to be discussed on 8/19 
CI: Waiting on client IT to resolve sharepoint sync issues.</t>
  </si>
  <si>
    <t>a0rVT000010xYjWYAU</t>
  </si>
  <si>
    <t>Catalight Foundation</t>
  </si>
  <si>
    <t>a0rVT000016K5afYAC</t>
  </si>
  <si>
    <t>a0pVT000007OWUOYA4</t>
  </si>
  <si>
    <t>Subsequent-Phase X: ADV, PE, PRISM, PA, PK, SS</t>
  </si>
  <si>
    <t>Workflows and Xray in production</t>
  </si>
  <si>
    <t>a0rVT00000kgQEyYAM</t>
  </si>
  <si>
    <t>a0rVT000014G7kHYAS</t>
  </si>
  <si>
    <t>a0pVT000007OWUPYA4</t>
  </si>
  <si>
    <t>Okaloosa County Clerk of Circuit Court and Comptroller (IronBrick Associates, LLC)</t>
  </si>
  <si>
    <t>Caterpillar Inc.</t>
  </si>
  <si>
    <t>Initial Deployment-Launch-HCM &amp; FIN</t>
  </si>
  <si>
    <t>Industrial Manufacturing</t>
  </si>
  <si>
    <t>a0pVT000007OWUQYA4</t>
  </si>
  <si>
    <t>a0rVT00000pM5lSYAS</t>
  </si>
  <si>
    <t>UAT Staging In Progress - sign off due 08/27
Production Integration pending Staging UAT sign off
Planned upcoming milestones:
- Production Integration - Sept 14-30
- Production Build - Sept 30 - Oct 14
- Prod UAT - Oct 14 -30
- Go Live - jan 11</t>
  </si>
  <si>
    <t>a0rVT000012USrdYAG</t>
  </si>
  <si>
    <t>Subsequent - Phase X - Projects Add-on</t>
  </si>
  <si>
    <t>a0pVT000007OWURYA4</t>
  </si>
  <si>
    <t>CEC Entertainment Concepts, L.P.</t>
  </si>
  <si>
    <t>Restaurant &amp; Food Service</t>
  </si>
  <si>
    <t>US DI LE CB RHT South</t>
  </si>
  <si>
    <t>a0rVT0000111W3BYAU</t>
  </si>
  <si>
    <t>Palmdale Water District</t>
  </si>
  <si>
    <t>a0pVT000007OWUSYA4</t>
  </si>
  <si>
    <t>Initial Deployment-Launch-LDPHCM, LDPCCB, LDPBEN, LDPREC, LDPTLO, etc</t>
  </si>
  <si>
    <t>Project Kickoff set for August 7th, teams are getting ramped up and preparing for a expedited implementation with Plan and Prepare being removed and going right to A&amp;C</t>
  </si>
  <si>
    <t>a0r4X00000DCGoCQAX</t>
  </si>
  <si>
    <t>a0rVT000016FUWUYA4</t>
  </si>
  <si>
    <t>Pennsylvania Housing Finance Agency (Meridian Government Services LLC)</t>
  </si>
  <si>
    <t>Centene Corporation</t>
  </si>
  <si>
    <t>a0pVT000007OWUTYA4</t>
  </si>
  <si>
    <t>Initial Deployment-Your Way: CHCM, TLO, HLP, CCB, USP, LRN, REC, FIN, etc.,</t>
  </si>
  <si>
    <t>a0rVT000014UVeiYAG</t>
  </si>
  <si>
    <t>Pima County</t>
  </si>
  <si>
    <t>a0pVT000007OWUUYA4</t>
  </si>
  <si>
    <t>Subsequent-Phase X: Your Way: Grants Implementation</t>
  </si>
  <si>
    <t>Will be transitioning Centene to Angelique Moore.  Have started their Paradox CSM connection.</t>
  </si>
  <si>
    <t>a0rVT0000110z45YAA</t>
  </si>
  <si>
    <t>a0r4X00000D7rdeQAB</t>
  </si>
  <si>
    <t>Center for Social Dynamics, LLC</t>
  </si>
  <si>
    <t>a0pVT000007OWUVYA4</t>
  </si>
  <si>
    <t>Port of Houston Authority (Precision Task Group, Inc.)</t>
  </si>
  <si>
    <t>Initial Deployment-Your Way: HCM, TLO, CCB, USP, LRN, REC, FIN, etc.</t>
  </si>
  <si>
    <t>Alfonso DelValle</t>
  </si>
  <si>
    <t>a0pVT000007OWUWYA4</t>
  </si>
  <si>
    <t>SIT Complete.  Project in E2E.  New Go Live Date is 9/8.</t>
  </si>
  <si>
    <t>a0rVT00000tIJcPYAW</t>
  </si>
  <si>
    <t>a0rVT00000vFEg9YAG</t>
  </si>
  <si>
    <t>Prairie Band Potawatomi Entertainment Corporation dba Prairie Band Casino &amp; Resort</t>
  </si>
  <si>
    <t>Subsequent- Adhoc- Evisort</t>
  </si>
  <si>
    <t>Initial Deployment-Launch-LDPREC, LDPTLO, LDPACC, LDPAM, etc</t>
  </si>
  <si>
    <t>Centier Bank</t>
  </si>
  <si>
    <t>a0pVT000007OWUXYA4</t>
  </si>
  <si>
    <t>Eisner Advisory Group LLC</t>
  </si>
  <si>
    <t>a0rVT00000vPhc9YAC</t>
  </si>
  <si>
    <t>US FSI ME CB Northeast 2</t>
  </si>
  <si>
    <t>Subsequent-Phase X: HCM, PAY, TT, ABS. FIN, EXP, etc.</t>
  </si>
  <si>
    <t>a0pVT00000AB6SXYA1</t>
  </si>
  <si>
    <t>CrossVue, LLC</t>
  </si>
  <si>
    <t>a0rVT00000WZC0oYAH</t>
  </si>
  <si>
    <t>Ramsey County</t>
  </si>
  <si>
    <t>a0pVT00000AB5ppYAD</t>
  </si>
  <si>
    <t>Initial Deployment-Your Way-PRO, SRC, SCLO, TT, SC, EXP, CHCM, CCB, USP, etc.</t>
  </si>
  <si>
    <t>06/09/2026 - Project closure</t>
  </si>
  <si>
    <t>a0r4X00000ETX2oQAH</t>
  </si>
  <si>
    <t>a0rVT00000uaoMNYAY</t>
  </si>
  <si>
    <t>Roaring Fork Transportation Authority</t>
  </si>
  <si>
    <t>a0pVT0000098ClUYAU</t>
  </si>
  <si>
    <t>Initial Deployment- Your Way - CHCM, TLO, CCB, USP, LRN, MCNF, REC, FIN, GM, etc</t>
  </si>
  <si>
    <t>a0rVT00000tqLblYAE</t>
  </si>
  <si>
    <t>CF Industries Enterprises, LLC</t>
  </si>
  <si>
    <t>US DI ME CB MFG North</t>
  </si>
  <si>
    <t>a0pVT00000B7bfgYAB</t>
  </si>
  <si>
    <t>a0rVT00000tyRikYAE</t>
  </si>
  <si>
    <t>a0pVT00000B7bffYAB</t>
  </si>
  <si>
    <t>Status June 7
-Production Build (historical export, BP Update, Fetch) - complete
-HMTA build is complete and working - messages are being sent to pilot group
- Soft Launch June 8
- Extended Launch June 22
- Full Launch July 6
- End of Hypercare July 8</t>
  </si>
  <si>
    <t>a0rVT00001B8y6bYAB</t>
  </si>
  <si>
    <t>ubsequent-Ad Hoc-Other-HiredScore Only</t>
  </si>
  <si>
    <t>a0rVT00000e8rA7YAI</t>
  </si>
  <si>
    <t>Santa Clara Valley Transportation Authority</t>
  </si>
  <si>
    <t>Initial Deployment-Your Way CCB, USP, PRA, PRJT, CHCM, etc</t>
  </si>
  <si>
    <t>CFA Institute</t>
  </si>
  <si>
    <t>International Business Machines Corporation [Global Business Services]</t>
  </si>
  <si>
    <t>a0rVT00000vqVOfYAM</t>
  </si>
  <si>
    <t>Sarasota County Sheriff's Office</t>
  </si>
  <si>
    <t>Initial Deployment-Launch-LDPFIN, LDPLRN, LDPCCLRN, LDPREC, LDPHCM, etc.</t>
  </si>
  <si>
    <t>a0pVT00000B7bfhYAB</t>
  </si>
  <si>
    <t>a0rVT00000X64CPYAZ</t>
  </si>
  <si>
    <t>Sourcewell</t>
  </si>
  <si>
    <t>Efrat Mordechay</t>
  </si>
  <si>
    <t>Subsequent-Phase X - Adaptive Planning</t>
  </si>
  <si>
    <t>a0rVT00000vwFp9YAE</t>
  </si>
  <si>
    <t>a0rVT000012UXD0YAO</t>
  </si>
  <si>
    <t>Southern Ute Indian Tribe DBA Southern Ute Indian Tribe Shared Services</t>
  </si>
  <si>
    <t>Initial Deployment-Launch-LDPHCM, LDPCCB, LDPBEN, LDPUSP, LDPLRN, LDPFIN, etc.</t>
  </si>
  <si>
    <t>CGB Enterprises, Inc.</t>
  </si>
  <si>
    <t>a0pVT000005oNPxYAM</t>
  </si>
  <si>
    <t>a0r4X00000Ef1dnQAB</t>
  </si>
  <si>
    <t>Spokane County</t>
  </si>
  <si>
    <t>Subsequent-Phase X: HCM (Talent, People Analytics, Learning)</t>
  </si>
  <si>
    <t>a0r4X00000Ef1dsQAB</t>
  </si>
  <si>
    <t>a0pVT000006BQlJYAW</t>
  </si>
  <si>
    <t>Subsequent-Phase X: HCM Suite</t>
  </si>
  <si>
    <t>a0rVT00000uIbfBYAS</t>
  </si>
  <si>
    <t>08/10 New Go live Friday, 8/14.</t>
  </si>
  <si>
    <t>a0rVT00000Q8bBVYAZ</t>
  </si>
  <si>
    <t>a0pVT000006dBWPYA2</t>
  </si>
  <si>
    <t>a0rVT000010RzN3YAK</t>
  </si>
  <si>
    <t>St. Louis County (Precision Task Group Inc.)</t>
  </si>
  <si>
    <t>Subsequent- Phase X- Paradox Candidate Experience (CEXP)</t>
  </si>
  <si>
    <t>Initial Deployment-Your Way-CHCM, TLO, CCB, LRN, MCNF, etc.</t>
  </si>
  <si>
    <t>a0pVT00000ADHLRYA5</t>
  </si>
  <si>
    <t>a0rVT00000vU5EOYA0</t>
  </si>
  <si>
    <t>State Compensation Insurance Fund</t>
  </si>
  <si>
    <t>Initial Deployment-Your Way-HLP, LRN, REC, PRA, etc</t>
  </si>
  <si>
    <t>KPMG LLP [US]</t>
  </si>
  <si>
    <t>a0pVT000008NQejYAG</t>
  </si>
  <si>
    <t>a0rVT00000uNzYnYAK</t>
  </si>
  <si>
    <t>a0r4X00000Dc1uaQAB</t>
  </si>
  <si>
    <t>Workday Paradox</t>
  </si>
  <si>
    <t>State of California, Department of Fair Employment Housing (Taborda Solutions, Inc.) (Inactive Account)</t>
  </si>
  <si>
    <t>Apply and Schedule</t>
  </si>
  <si>
    <t>7/28: On hold until Terms &amp; Conditions are fully approved by CGB legal. New go-live date tentative.</t>
  </si>
  <si>
    <t>Initial Deployment-Your Way: CHCM, LRN, CCTPP, CCB</t>
  </si>
  <si>
    <t>a0rVT000012UU8fYAG</t>
  </si>
  <si>
    <t>a0pVT000008N1usYAC</t>
  </si>
  <si>
    <t>Chanel Limited</t>
  </si>
  <si>
    <t>a0rVT00000uQ573YAC</t>
  </si>
  <si>
    <t>a0r4X00000CrWXVQA3</t>
  </si>
  <si>
    <t>France RHT LE</t>
  </si>
  <si>
    <t>State of California, Department of Office of Emergency Services (Precision Task Group, Inc.)</t>
  </si>
  <si>
    <t>a0pVT000008MlRvYAK</t>
  </si>
  <si>
    <t>Subsequent- Phase X: Core HR, Recruiting, Onboarding, Prism</t>
  </si>
  <si>
    <t>Tim Le Maire</t>
  </si>
  <si>
    <t>a0r4X00000D7sOaQAJ</t>
  </si>
  <si>
    <t>State of California, Dept of Forestry and Fire (Oakland Consulting Group, Inc)</t>
  </si>
  <si>
    <t>a0pVT000008MlRwYAK</t>
  </si>
  <si>
    <t>Initial Deployment-Your Way: CHCM, TLO, CCTPP, LRN, REC, PRJT, TT</t>
  </si>
  <si>
    <t>13 May - Due to commence plan &amp; prepare in June (4 weeks). Now starting to commence initial engagements with Chanel team.
29 May - All going to plan
8 June - All on target
22 June - Kickoff call planned for 30 June.
20 Jul - Design ongoing
5 Aug - TBC</t>
  </si>
  <si>
    <t>a0rVT00000YOJIsYAP</t>
  </si>
  <si>
    <t>a0pVT000008MlRxYAK</t>
  </si>
  <si>
    <t>Chevron U.S.A. Inc., a Pennsylvania corporation, by its Chevron Technical Center division</t>
  </si>
  <si>
    <t>a0rVT0000111F5kYAE</t>
  </si>
  <si>
    <t>State of California, Dept of Health Care Services (Oakland Consulting Group, Inc.)</t>
  </si>
  <si>
    <t>Initial Deployment-Your Way-CHCM, TLO, PRA, PRJT, TT, WSP, TC</t>
  </si>
  <si>
    <t>US DI LE CB MFG West</t>
  </si>
  <si>
    <t>a0pVT000008N1bVYAS</t>
  </si>
  <si>
    <t>a0rVT00000xt1hXYAQ</t>
  </si>
  <si>
    <t>State of Delaware</t>
  </si>
  <si>
    <t>Intial Deployment-Your Way-LRNXE, CCLRN, REC, SRC, PRO, XTND, TC, WSP,etc</t>
  </si>
  <si>
    <t>a0r4X00000E14IgQAJ</t>
  </si>
  <si>
    <t>a0pVT000008N1reYAC</t>
  </si>
  <si>
    <t>Workday VNDLY</t>
  </si>
  <si>
    <t>Nov 5th - Go live with AIRC complete and from AITM- only internal fetch.
For AITM ECG - next week there is a discussion about go live date.</t>
  </si>
  <si>
    <t>Extended Workforce Management</t>
  </si>
  <si>
    <t>a0rVT000018oAVPYA2</t>
  </si>
  <si>
    <t>a0pVT000008N1rfYAC</t>
  </si>
  <si>
    <t>Children's Hospital and Health System, Inc.</t>
  </si>
  <si>
    <t>a0rVT00001351R3YAI</t>
  </si>
  <si>
    <t>State of Illinois - Office of State Pre-Trial Services (OSPS) - (IronBrick Associates LLC)</t>
  </si>
  <si>
    <t>Initial Deployment-Your Way-CHCM, TLO, HLP,etc</t>
  </si>
  <si>
    <t>a0pVT000008N1urYAC</t>
  </si>
  <si>
    <t>Candidate Engagement</t>
  </si>
  <si>
    <t>a0rVT00000quzT2YAI</t>
  </si>
  <si>
    <t>State of Illinois, Supreme Court (Iron Brick Associates LLC)</t>
  </si>
  <si>
    <t>0018000000rOEhkAAG</t>
  </si>
  <si>
    <t>a0pVT000008N1utYAC</t>
  </si>
  <si>
    <t>Initial Deployment-Your Way-CCB, GPC, LRN, CCLRN, REC, CE, CHCM, etc</t>
  </si>
  <si>
    <t>Currently in End to End Testing of Contract Intelligence &amp; Contract Lifecycle Management 
The team has tested User Role &amp; Department Security, Workflows, AskAI, Alerts, and Dashboards</t>
  </si>
  <si>
    <t>a0r4X00000CrVjpQAF</t>
  </si>
  <si>
    <t>a0rVT00000UWj2OYAT</t>
  </si>
  <si>
    <t>State of Maryland (Oakland Consulting Group, Inc.) &amp; (WD)</t>
  </si>
  <si>
    <t>a0pVT000008N3ILYA0</t>
  </si>
  <si>
    <t>Subsequent- Phase X- Payroll Implementation</t>
  </si>
  <si>
    <t>Ciena Corporation</t>
  </si>
  <si>
    <t>Oakland Consulting Group, Inc.</t>
  </si>
  <si>
    <t>a0pVT000008N3IMYA0</t>
  </si>
  <si>
    <t>a0rVT000011GUibYAG</t>
  </si>
  <si>
    <t>State of Missouri, LAGERS (Local Government Employees Retirement System)</t>
  </si>
  <si>
    <t>Initial Deployment-Your Way-FIN, PLNF, CHCM, TLO, USP, LRN, etc.</t>
  </si>
  <si>
    <t>a0pVT000008N3INYA0</t>
  </si>
  <si>
    <t>a0rVT00000uL4UzYAK</t>
  </si>
  <si>
    <t>State of Nebraska (Precision Task Group, Inc.)</t>
  </si>
  <si>
    <t>Subsequent-Phase X-Your Way: Payroll and Time Tracking</t>
  </si>
  <si>
    <t>Scorecard request: 2768526</t>
  </si>
  <si>
    <t>a0pVT000008N3IOYA0</t>
  </si>
  <si>
    <t>a0rVT00001B2VC9YAN</t>
  </si>
  <si>
    <t>a0rVT00000pKxBfYAK</t>
  </si>
  <si>
    <t>State of New York Office of Addiction Services and Supports</t>
  </si>
  <si>
    <t>City of Akron (IronBrick Associates, LLLC)</t>
  </si>
  <si>
    <t>Initial Deployment-Your Way-CHCM, CCB, GPC, PLNF</t>
  </si>
  <si>
    <t>a0rVT00000tv0MzYAI</t>
  </si>
  <si>
    <t>a0pVT000008N3IPYA0</t>
  </si>
  <si>
    <t>State of New York Unified Court System (Meridian Government Services LLC)</t>
  </si>
  <si>
    <t>Initial Deployment-Your Way-CHCM, TLO, CCB, LRN, GPC, etc.</t>
  </si>
  <si>
    <t>a0rVT00000bbLcrYAE</t>
  </si>
  <si>
    <t>State of New York, New York Power Authority</t>
  </si>
  <si>
    <t>a0pVT000008N3IQYA0</t>
  </si>
  <si>
    <t>Initial Deployment-Your Way-CHCM, TLO, HLP, EMPVCE, CCB, etc.</t>
  </si>
  <si>
    <t>a0rVT000011r44PYAQ</t>
  </si>
  <si>
    <t>State of New York, Office for People With Developmental Disabilities (Meridian Government Services LLC )</t>
  </si>
  <si>
    <t>a0pVT000008N3IRYA0</t>
  </si>
  <si>
    <t>Initial Deployment-Your Way-TT, SC, SCLO, XTND, WSP, CHCM, GPC, REC, PLNF</t>
  </si>
  <si>
    <t>a0r4X00000DbLU9QAN</t>
  </si>
  <si>
    <t>State of Vermont</t>
  </si>
  <si>
    <t>a0pVT000008N3ISYA0</t>
  </si>
  <si>
    <t>Initial Deployment-Your Way; CHCM, TLO, HLP, CCB, USP, LRN, REC, FIN, etc.</t>
  </si>
  <si>
    <t>a0pVT000008N50nYAC</t>
  </si>
  <si>
    <t>Week Ending 08/07/26 - E2E build continues, integrations, OC&amp;T and data conversion activities.  Unit Testing week 11 of 11 completed.  E2E Scenario development continues.</t>
  </si>
  <si>
    <t>a0rVT00000xahu8YAA</t>
  </si>
  <si>
    <t>State of Virginia (Commonwealth), Information Technologies Agency-VITA</t>
  </si>
  <si>
    <t>Initial Deployment-Your Way-CHCM, GPC, FIN, GM, PLNF, PRA, etc</t>
  </si>
  <si>
    <t>a0pVT000008N50oYAC</t>
  </si>
  <si>
    <t>Local Government LE</t>
  </si>
  <si>
    <t>a0r1B00000BdaDXQAZ</t>
  </si>
  <si>
    <t>US Local Gov LE CB</t>
  </si>
  <si>
    <t>State of Washington Office of Financial Management</t>
  </si>
  <si>
    <t>Initial Deployment-Your Way:FIN, GM, PLNF, PLNW, PRA, PRJT, PB, etc.</t>
  </si>
  <si>
    <t>a0pVT000008N50pYAC</t>
  </si>
  <si>
    <t>a0pVT000008N50qYAC</t>
  </si>
  <si>
    <t>a0rVT00000vtwYyYAI</t>
  </si>
  <si>
    <t>State of Washington, Dept of Fish and Wildlife</t>
  </si>
  <si>
    <t>Unit Testing completed 7/31. Functional signoff due 8/7. Integrations development and scope confirmation behind schedule. CCS and E2E prep in progress. E2E build begins 8/17.</t>
  </si>
  <si>
    <t>Initial Deployment-Launch Flex- CHCM</t>
  </si>
  <si>
    <t>a0pVT000008N50rYAC</t>
  </si>
  <si>
    <t>a0rVT00000gq40zYAA</t>
  </si>
  <si>
    <t>Tarrant Regional Water District (Precision Task Group, Inc.)</t>
  </si>
  <si>
    <t>a0pVT000008N50sYAC</t>
  </si>
  <si>
    <t>Subsequent-Phase X-Your Way: Adaptive Planning</t>
  </si>
  <si>
    <t>a0rVT000010ulBpYAI</t>
  </si>
  <si>
    <t>a0pVT000008N50tYAC</t>
  </si>
  <si>
    <t>Teachers' Retirement System of the State of Illinois (Precision Task Group, Inc.)</t>
  </si>
  <si>
    <t>Subsequent-Phase X: FIN</t>
  </si>
  <si>
    <t>8/3: Project in Test phase - Legacy contracts migration done and CI ready. 4 WFs  UAT complete. 5 WF UAT is in progress. WSS integration requested but issues with WSS implementation</t>
  </si>
  <si>
    <t>a0rVT000015CVSrYAO</t>
  </si>
  <si>
    <t>a0pVT000008N50uYAC</t>
  </si>
  <si>
    <t>Texas Education Agency (Precision Task Group Inc.)</t>
  </si>
  <si>
    <t>Initial Deployment-Your Way-CHCM, TLO, GPC,etc.</t>
  </si>
  <si>
    <t>a0pVT000008N50vYAC</t>
  </si>
  <si>
    <t>a0rVT00000nJPeXYAW</t>
  </si>
  <si>
    <t>Town of Collierville (Iron Brick Associates, LLC)</t>
  </si>
  <si>
    <t>Initial Deployment-Launch-LDPPRO, LDPSRCESS, LDPSRCINT, LDPSRCSM etc.</t>
  </si>
  <si>
    <t>a0pVT000008N50wYAC</t>
  </si>
  <si>
    <t>0018000000vTnDgAAK</t>
  </si>
  <si>
    <t>a0pVT000008N50xYAC</t>
  </si>
  <si>
    <t>8/14/26 - Project is green, finalized Parallel Cycle 2, validating gold data &amp; building gold tenant.</t>
  </si>
  <si>
    <t>a0rVT00000vAX3VYAW</t>
  </si>
  <si>
    <t>a0pVT000008N50yYAC</t>
  </si>
  <si>
    <t>a0rVT000013EyuyYAC</t>
  </si>
  <si>
    <t>Town of Vail, CO</t>
  </si>
  <si>
    <t>Subsequent - Phase X - Phase 2</t>
  </si>
  <si>
    <t>a0pVT000008N50zYAC</t>
  </si>
  <si>
    <t>a0rVT00000PqoP9YAJ</t>
  </si>
  <si>
    <t>Viejas Casino &amp; Resort</t>
  </si>
  <si>
    <t>Initial Deployment-Launch-CHCM, TLO, HLP, JRNY, EMPVCE, CCB, CCTPP, etc.</t>
  </si>
  <si>
    <t>a0pVT000008N510YAC</t>
  </si>
  <si>
    <t>a0rVT00000YXI2cYAH</t>
  </si>
  <si>
    <t>a0pVT000009RHxFYAW</t>
  </si>
  <si>
    <t>Initial Deployment-Your Way-MSG, PPLA, PRA, TT, WSP, GPC, MCNF, etc.</t>
  </si>
  <si>
    <t>a0pVT000005txNyYAI</t>
  </si>
  <si>
    <t>a0rVT00000uQIlxYAG</t>
  </si>
  <si>
    <t>Document migration finally wrapping up. Workflow build in progress (all 3). Demo of 1 workflow done. Custom AI still pending. WSS int. with workflows in progress. EAC much higher than budget, checking with Sunil how to manage this</t>
  </si>
  <si>
    <t>a0rVT00000ny5f4YAA</t>
  </si>
  <si>
    <t>a0rVT000012Uu6LYAS</t>
  </si>
  <si>
    <t>a0pVT000006bxGzYAI</t>
  </si>
  <si>
    <t>CLEAResult Consulting Inc.</t>
  </si>
  <si>
    <t>a0rVT00000STYXfYAP</t>
  </si>
  <si>
    <t>Wake County</t>
  </si>
  <si>
    <t>US DI ME CB PBS Central</t>
  </si>
  <si>
    <t>Initial Deployment-Your Way- FIN, GM, PRA, PRJT, EXP, PRO, etc.</t>
  </si>
  <si>
    <t>a0pVT000007jAjxYAE</t>
  </si>
  <si>
    <t>a0rVT00000uaraDYAQ</t>
  </si>
  <si>
    <t>a0r4X00000CrUJMQA3</t>
  </si>
  <si>
    <t>Washington County, Oregon</t>
  </si>
  <si>
    <t>Initial Deployment-Your Way - HCM, TLO, CCB, USP, LRN, FIN, etc</t>
  </si>
  <si>
    <t>Carla Posey</t>
  </si>
  <si>
    <t>a0pVT000005xZlFYAU</t>
  </si>
  <si>
    <t>a0rVT00000uj33KYAQ</t>
  </si>
  <si>
    <t>BRD sign-off complete - wrapping up the ICD and will have sign-off end of the week. (7/10). 
Build will begin 7/13.</t>
  </si>
  <si>
    <t>a0rVT00001BR6nMYAT</t>
  </si>
  <si>
    <t>a0pVT000006HOIcYAO</t>
  </si>
  <si>
    <t>a0rVT00000ukgQeYAI</t>
  </si>
  <si>
    <t>a0pVT00000A0Fu9YAF</t>
  </si>
  <si>
    <t>a0rVT00000vOaXmYAK</t>
  </si>
  <si>
    <t>Cleveland Clinic Foundation, The</t>
  </si>
  <si>
    <t>a0pVT000006UmAFYA0</t>
  </si>
  <si>
    <t>a0pVT00000AdjacYAB</t>
  </si>
  <si>
    <t>Sarah Walsh</t>
  </si>
  <si>
    <t>Scorecard request: 3386977</t>
  </si>
  <si>
    <t>a0pVT00000C3uoLYAR</t>
  </si>
  <si>
    <t>a0rVT00000OzKLlYAN</t>
  </si>
  <si>
    <t>a0rVT00000vWrtGYAS</t>
  </si>
  <si>
    <t>CMFG Life Insurance Company</t>
  </si>
  <si>
    <t>a0pVT00000A84iJYAR</t>
  </si>
  <si>
    <t>a0pVT00000A84iQYAR</t>
  </si>
  <si>
    <t>a0pVT00000A84iPYAR</t>
  </si>
  <si>
    <t>Project delivered as planned</t>
  </si>
  <si>
    <t>a0rVT00000p7QdNYAU</t>
  </si>
  <si>
    <t>CMG Strategy Co., LLC</t>
  </si>
  <si>
    <t>a0pVT00000A84iOYAR</t>
  </si>
  <si>
    <t>US DI Key Accounts RHT</t>
  </si>
  <si>
    <t>a0pVT00000A84iMYAR</t>
  </si>
  <si>
    <t>Andres Martinez</t>
  </si>
  <si>
    <t>a0pVT00000A84iIYAR</t>
  </si>
  <si>
    <t>The Contract Intelligence (CI) and Contract Lifecycle Management (CLM = Workflows) products are LIVE! Hypercare period completed on 8/7/2026.</t>
  </si>
  <si>
    <t>a0rVT00000hSqURYA0</t>
  </si>
  <si>
    <t>Subsequent-Ad Hoc-Other: Evisort Only</t>
  </si>
  <si>
    <t>Cohen &amp; Co Advisory, LLC</t>
  </si>
  <si>
    <t>a0pVT00000A84iHYAR</t>
  </si>
  <si>
    <t>ME Commercial East</t>
  </si>
  <si>
    <t>US DI Commercial CB East</t>
  </si>
  <si>
    <t>a0pVT00000A84iGYAR</t>
  </si>
  <si>
    <t>a0pVT00000A84iFYAR</t>
  </si>
  <si>
    <t>05/04: Closing out scorecard. Final date of Hypercare May 1st</t>
  </si>
  <si>
    <t>a0pVT00000A84iEYAR</t>
  </si>
  <si>
    <t>a0rVT00000narPzYAI</t>
  </si>
  <si>
    <t>Subsequent-Ad Hoc-Evisort</t>
  </si>
  <si>
    <t>Colonial Williamsburg Foundation</t>
  </si>
  <si>
    <t>Amusement &amp; Recreation</t>
  </si>
  <si>
    <t>a0pVT00000A84iDYAR</t>
  </si>
  <si>
    <t>US DI ME CB RHT East</t>
  </si>
  <si>
    <t>a0pVT00000A84iSYAR</t>
  </si>
  <si>
    <t>March17&gt; Project is completed just training is missing</t>
  </si>
  <si>
    <t>a0rVT000012MXBlYAO</t>
  </si>
  <si>
    <t>a0pVT00000A84iTYAR</t>
  </si>
  <si>
    <t>Columbia Sportswear Company</t>
  </si>
  <si>
    <t>US DI LE CB RHT West</t>
  </si>
  <si>
    <t>a0pVT00000A84iUYAR</t>
  </si>
  <si>
    <t>Samantha Kowalski</t>
  </si>
  <si>
    <t>a0pVT00000A8A2sYAF</t>
  </si>
  <si>
    <t>Testing in progress
no change</t>
  </si>
  <si>
    <t>a0rVT0000111WKyYAM</t>
  </si>
  <si>
    <t>a0pVT00000A84iLYAR</t>
  </si>
  <si>
    <t>Comcast Cable Communications Management, LLC</t>
  </si>
  <si>
    <t>Brianna Robak</t>
  </si>
  <si>
    <t>a0pVT00000A84iKYAR</t>
  </si>
  <si>
    <t>8.17.26: Platform build and data integration feeds are actively in development. Design is complete.</t>
  </si>
  <si>
    <t>a0rVT00000PWGMeYAP</t>
  </si>
  <si>
    <t>a0pVT00000A84iNYAR</t>
  </si>
  <si>
    <t>Comfort Systems USA, Inc.</t>
  </si>
  <si>
    <t>Architecture, Engineering &amp; Construction</t>
  </si>
  <si>
    <t>a0pVT00000A84iRYAR</t>
  </si>
  <si>
    <t>a0pVT00000A84iVYAR</t>
  </si>
  <si>
    <t>12-01-2025 - Phase 1 and Phase 2 were merged and went live together on December 18th. Hypercare completed January 12th.</t>
  </si>
  <si>
    <t>a0rVT00000jVTwpYAG</t>
  </si>
  <si>
    <t>a0pVT00000AXND3YAP</t>
  </si>
  <si>
    <t>a0rVT00000vuuJhYAI</t>
  </si>
  <si>
    <t>Commit Consulting</t>
  </si>
  <si>
    <t>a0pVT00000ArCJpYAN</t>
  </si>
  <si>
    <t>Stelio Frangopoulos</t>
  </si>
  <si>
    <t>0014X00002ej46JQAQ</t>
  </si>
  <si>
    <t>a0pVT000009XCS1YAO</t>
  </si>
  <si>
    <t>a0rVT00000w7IrlYAE</t>
  </si>
  <si>
    <t>Commit Consulting Group LLC</t>
  </si>
  <si>
    <t>UAT testing.  Targeting 3/16 to roll out phase 1</t>
  </si>
  <si>
    <t>Subsequent-Adhoc-Evisort</t>
  </si>
  <si>
    <t>Community Health Care</t>
  </si>
  <si>
    <t>a0pVT000009XCSDYA4</t>
  </si>
  <si>
    <t>a0pVT000009XCS2YAO</t>
  </si>
  <si>
    <t>Maureen Daley</t>
  </si>
  <si>
    <t>a0pVT000009k3COYAY</t>
  </si>
  <si>
    <t>08/11 Project end Date changed to 08/31 due to additional support requested by the client
07/31 Project extended 2 weeks final workflow and AI feedback for hyper care
06/22 Repository is now live, no concerns for the project completion date (July 30)</t>
  </si>
  <si>
    <t>a0pVT00000Bry69YAB</t>
  </si>
  <si>
    <t>a0rVT00000zAep3YAC</t>
  </si>
  <si>
    <t>Compactor Rentals of America</t>
  </si>
  <si>
    <t>Business Services</t>
  </si>
  <si>
    <t>a0pVT00000Bry4XYAR</t>
  </si>
  <si>
    <t>US DI Commercial NN TOLA</t>
  </si>
  <si>
    <t>a0pVT00000Bry2vYAB</t>
  </si>
  <si>
    <t>a0pVT00000Bry1JYAR</t>
  </si>
  <si>
    <t>a0rVT00000aqTsZYAU</t>
  </si>
  <si>
    <t>Endowments</t>
  </si>
  <si>
    <t>a0pVT00000BrxzhYAB</t>
  </si>
  <si>
    <t>Computer Services, Inc.</t>
  </si>
  <si>
    <t>FinTech</t>
  </si>
  <si>
    <t>a0pVT00000Brxy5YAB</t>
  </si>
  <si>
    <t>a0pVT00000BrxwTYAR</t>
  </si>
  <si>
    <t>a0pVT00000BrvugYAB</t>
  </si>
  <si>
    <t>KJY 2/6
* CI: all but signed off 
* AI Models: published!
* Workflows: anticipate testing signoff before EOD 2/6</t>
  </si>
  <si>
    <t>a0pVT000009k3CDYAY</t>
  </si>
  <si>
    <t>a0rVT00001B1BPHYA3</t>
  </si>
  <si>
    <t>Subsequent-Ad Hoc-Other-Evisort</t>
  </si>
  <si>
    <t>comScore, Inc.</t>
  </si>
  <si>
    <t>a0pVT000009k3CEYAY</t>
  </si>
  <si>
    <t>US DI ME CB PBS Southeast</t>
  </si>
  <si>
    <t>a0pVT000009k3CFYAY</t>
  </si>
  <si>
    <t>William Porras</t>
  </si>
  <si>
    <t>Technical call schedule for 8/20</t>
  </si>
  <si>
    <t>a0pVT000009k3CGYAY</t>
  </si>
  <si>
    <t>a0rVT00000nTuyfYAC</t>
  </si>
  <si>
    <t>a0pVT000009k3CHYAY</t>
  </si>
  <si>
    <t>a0pVT000009k3CIYAY</t>
  </si>
  <si>
    <t>05/05 - project has been completed with one AI model</t>
  </si>
  <si>
    <t>a0rVT000011sbG2YAI</t>
  </si>
  <si>
    <t>a0pVT000009k3CJYAY</t>
  </si>
  <si>
    <t>Connor Group Global Services, LLC</t>
  </si>
  <si>
    <t>a0pVT000009k3CKYAY</t>
  </si>
  <si>
    <t>CLM UAT progressing well via Smartsheet Issue Log; CI configuration underway; end-July UAT timeline at risk pending timely client feedback; Change Order, DPA and subcontractor agreement processes on hold.</t>
  </si>
  <si>
    <t>a0rVT00000KH0MhYAL</t>
  </si>
  <si>
    <t>a0pVT000009k3CLYAY</t>
  </si>
  <si>
    <t>CorroHealth</t>
  </si>
  <si>
    <t>a0pVT000009k3CMYAY</t>
  </si>
  <si>
    <t>a0pVT000009k3CNYAY</t>
  </si>
  <si>
    <t>Scorecard request: 2630314</t>
  </si>
  <si>
    <t>a0pVT000006b5y9YAA</t>
  </si>
  <si>
    <t>a0rVT00000x2TToYAM</t>
  </si>
  <si>
    <t>a0pVT000007VcGIYA0</t>
  </si>
  <si>
    <t>a0rVT00000xAQx4YAG</t>
  </si>
  <si>
    <t>Tyler Lotharius</t>
  </si>
  <si>
    <t>8/12 - Project was on hold to sync with WSS. Teams met with customer to sync on open topics. a new kick off is to be scheduled to sync the WSS/CLM and the customer.</t>
  </si>
  <si>
    <t>a0pVT000007Vd2fYAC</t>
  </si>
  <si>
    <t>a0pVT000007VcGUYA0</t>
  </si>
  <si>
    <t>08/17/26: E2E Testing in process for cycle1</t>
  </si>
  <si>
    <t>a0pVT000007VcGTYA0</t>
  </si>
  <si>
    <t>a0pVT000007VcGSYA0</t>
  </si>
  <si>
    <t>Project Billing</t>
  </si>
  <si>
    <t>8/11 - CM -  End-to-End scenario testing  is in progress with 26% passed and 34% executed. Integration work continues as well as Reporting and OCM. No significant issues.</t>
  </si>
  <si>
    <t>a0rVT00000zcgLZYAY</t>
  </si>
  <si>
    <t>a0pVT000007VcGRYA0</t>
  </si>
  <si>
    <t>Covius Shared Services, LLC</t>
  </si>
  <si>
    <t>a0pVT000007VcGPYA0</t>
  </si>
  <si>
    <t>a0pVT000007VcGOYA0</t>
  </si>
  <si>
    <t>Consultant is off, will review the status on week of 8/17</t>
  </si>
  <si>
    <t>a0rVT00000hCZNuYAO</t>
  </si>
  <si>
    <t>a0pVT000007VcGMYA0</t>
  </si>
  <si>
    <t>Subsequent-AdHoc-Evisort Only</t>
  </si>
  <si>
    <t>CoxHealth</t>
  </si>
  <si>
    <t>a0pVT000007VcGLYA0</t>
  </si>
  <si>
    <t>a0pVT000007VcGKYA0</t>
  </si>
  <si>
    <t>XM 06/29: 
60% budget burned 
CI, Workflows &amp; AI Model (2): MTP complete. 
Hypercare: ended last week 06/26 - proceeding to close out the project.</t>
  </si>
  <si>
    <t>a0pVT000007VcGJYA0</t>
  </si>
  <si>
    <t>a0rVT00000xP0sZYAS</t>
  </si>
  <si>
    <t>Creation Technologies Inc.</t>
  </si>
  <si>
    <t>a0pVT00000C0hkPYAR</t>
  </si>
  <si>
    <t>a0pVT000007VcGHYA0</t>
  </si>
  <si>
    <t>a0pVT000007QxlBYAS</t>
  </si>
  <si>
    <t>a0rVT00000xP4VCYA0</t>
  </si>
  <si>
    <t>Open Topics:
Hypercare meetings.
Next Steps:</t>
  </si>
  <si>
    <t>a0pVT000007QxZtYAK</t>
  </si>
  <si>
    <t>a0rVT000014AgmNYAS</t>
  </si>
  <si>
    <t>Cross Financial Corp.</t>
  </si>
  <si>
    <t>a0pVT000007mZkDYAU</t>
  </si>
  <si>
    <t>a0rVT00000xPImgYAG</t>
  </si>
  <si>
    <t>a0pVT000007mZkEYAU</t>
  </si>
  <si>
    <t>5/13 Project startup in progress</t>
  </si>
  <si>
    <t>a0rVT00000nsQEEYA2</t>
  </si>
  <si>
    <t>a0pVT000007jGFtYAM</t>
  </si>
  <si>
    <t>a0rVT00000xQ6W5YAK</t>
  </si>
  <si>
    <t>CrossVue</t>
  </si>
  <si>
    <t>a0pVT000007jGFuYAM</t>
  </si>
  <si>
    <t>a0pVT00000BjNIIYA3</t>
  </si>
  <si>
    <t>a0rVT00000xQHxhYAG</t>
  </si>
  <si>
    <t>1/28: (CrossVue Ramp Project) Post prod completed and confirmed project closure with customer</t>
  </si>
  <si>
    <t>a0pVT00000BjNIHYA3</t>
  </si>
  <si>
    <t>a0rVT000012UyI1YAK</t>
  </si>
  <si>
    <t>Crowe LLP</t>
  </si>
  <si>
    <t>a0pVT000007jhCsYAI</t>
  </si>
  <si>
    <t>a0rVT00000xQhIhYAK</t>
  </si>
  <si>
    <t>a0pVT000007jhCrYAI</t>
  </si>
  <si>
    <t>Josh Fairbanks</t>
  </si>
  <si>
    <t>a0pVT000007p9GXYAY</t>
  </si>
  <si>
    <t>a0rVT00000xie9oYAA</t>
  </si>
  <si>
    <t>Design completes this week and build will start next week</t>
  </si>
  <si>
    <t>a0pVT000007p8h4YAA</t>
  </si>
  <si>
    <t>a0rVT00001927sXYAQ</t>
  </si>
  <si>
    <t>a0pVT000008wJqTYAU</t>
  </si>
  <si>
    <t>a0rVT00000xik0eYAA</t>
  </si>
  <si>
    <t>a0pVT000009CBoyYAG</t>
  </si>
  <si>
    <t>a0rVT00000xip9kYAA</t>
  </si>
  <si>
    <t>Effi Spitzer</t>
  </si>
  <si>
    <t>a0pVT000009CBVaYAO</t>
  </si>
  <si>
    <t>Spotlight &amp; Fetch Design: Done. Risk: Client unclear on unlimited group-creation permissions; demo Aug 17 to align. Next: HM dashboard &amp; MS Teams design.</t>
  </si>
  <si>
    <t>a0rVT000012UzSbYAK</t>
  </si>
  <si>
    <t>Crown Melbourne Limited</t>
  </si>
  <si>
    <t>Lodging &amp; Resorts</t>
  </si>
  <si>
    <t>a0pVT000009RFVdYAO</t>
  </si>
  <si>
    <t>a0rVT00000xjxYFYAY</t>
  </si>
  <si>
    <t>a0pVT000009YQSjYAO</t>
  </si>
  <si>
    <t>a0pVT000009YDX9YAO</t>
  </si>
  <si>
    <t>a0rVT000012V1e5YAC</t>
  </si>
  <si>
    <t>CTS Eventim AG &amp; Co. KGaA</t>
  </si>
  <si>
    <t>a0pVT000009YDX8YAO</t>
  </si>
  <si>
    <t>Germany ME CB 1</t>
  </si>
  <si>
    <t>a0pVT000009Y4IYYA0</t>
  </si>
  <si>
    <t>a0rVT00000bqNuiYAE</t>
  </si>
  <si>
    <t>a0pVT000009TkDZYA0</t>
  </si>
  <si>
    <t>a0rVT00000xpCi3YAE</t>
  </si>
  <si>
    <t>Cumberland County Hospital System, Inc., d/b/a Cape Fear Valley Health System</t>
  </si>
  <si>
    <t>a0pVT000008cShpYAE</t>
  </si>
  <si>
    <t>a0rVT00000xpP46YAE</t>
  </si>
  <si>
    <t>Key</t>
  </si>
  <si>
    <t>ValueJson</t>
  </si>
  <si>
    <t>Timestamp</t>
  </si>
  <si>
    <t>client is live as of 11/24/25</t>
  </si>
  <si>
    <t>a0pVT0000095NlBYAU</t>
  </si>
  <si>
    <t>a0rVT00000sY2Q5YAK</t>
  </si>
  <si>
    <t>a0rVT00000xpQRWYA2</t>
  </si>
  <si>
    <t>sfdcRows:default:chunk:0</t>
  </si>
  <si>
    <t>Cumming Management Group, Inc.</t>
  </si>
  <si>
    <t>a0pVT0000095NjZYAU</t>
  </si>
  <si>
    <t>a0pVT000008aw2qYAA</t>
  </si>
  <si>
    <t>a0rVT00000xpTxKYAU</t>
  </si>
  <si>
    <t>a0pVT0000092aOoYAI</t>
  </si>
  <si>
    <t>a0rVT00000xpYfJYAU</t>
  </si>
  <si>
    <t>May 31, 2026 - Went live in US/Canada. However did not go live with European Countries. Client signed a Change Order to descope these countries.</t>
  </si>
  <si>
    <t>a0rVT00000in2SUYAY</t>
  </si>
  <si>
    <t>a0pVT0000092aOnYAI</t>
  </si>
  <si>
    <t>Initial-Ad Hoc-Other-HiredScore Only</t>
  </si>
  <si>
    <t>Cummins, Inc.</t>
  </si>
  <si>
    <t>a0pVT000008nS09YAE</t>
  </si>
  <si>
    <t>a0rVT00000xpdOjYAI</t>
  </si>
  <si>
    <t>US DI LE NN MFG Central</t>
  </si>
  <si>
    <t>a0pVT000008nS1lYAE</t>
  </si>
  <si>
    <t>a0pVT000006vjeUYAQ</t>
  </si>
  <si>
    <t>26-11-2025 - Project complete and released to Production.</t>
  </si>
  <si>
    <t>a0rVT00000eWH3WYAW</t>
  </si>
  <si>
    <t>a0pVT000006vjeTYAQ</t>
  </si>
  <si>
    <t>CyrusOne, LLC</t>
  </si>
  <si>
    <t>a0pVT000007B8JBYA0</t>
  </si>
  <si>
    <t>a0rVT00000yN4gUYAS</t>
  </si>
  <si>
    <t>a0pVT000007JAqrYAG</t>
  </si>
  <si>
    <t>November 11th - MTP in progress testing in production scheduled for Monday November 17th</t>
  </si>
  <si>
    <t>a0rVT000012V3snYAC</t>
  </si>
  <si>
    <t>a0pVT000007pIIeYAM</t>
  </si>
  <si>
    <t>Darktrace Holdings Limited</t>
  </si>
  <si>
    <t>UKI TME</t>
  </si>
  <si>
    <t>UKI TM CB</t>
  </si>
  <si>
    <t>a0pVT000008e2phYAA</t>
  </si>
  <si>
    <t>a0rVT00000yVlpzYAC</t>
  </si>
  <si>
    <t>a0pVT000007mdSrYAI</t>
  </si>
  <si>
    <t>a0rVT00000yx2UkYAI</t>
  </si>
  <si>
    <t>a0rVT00000tHrwIYAS</t>
  </si>
  <si>
    <t>DataRobot, Inc.</t>
  </si>
  <si>
    <t>Conversational Events &amp; Campus</t>
  </si>
  <si>
    <t>US DI ME CB TM Northeast</t>
  </si>
  <si>
    <t>a0pVT000007mdPgYAI</t>
  </si>
  <si>
    <t>a0pVT000007mdPdYAI</t>
  </si>
  <si>
    <t>Conversational CRM</t>
  </si>
  <si>
    <t>Hypercare period completed, client is live with HiredScore</t>
  </si>
  <si>
    <t>a0rVT00001BHdnjYAD</t>
  </si>
  <si>
    <t>a0pVT000007mdPfYAI</t>
  </si>
  <si>
    <t>David Yurman Enterprises LLC</t>
  </si>
  <si>
    <t>Conversational Career Site</t>
  </si>
  <si>
    <t>a0pVT000007mdPeYAI</t>
  </si>
  <si>
    <t>Conversational Hiring Team</t>
  </si>
  <si>
    <t>a0pVT000007nkQgYAI</t>
  </si>
  <si>
    <t>Plan &amp; Prepare Phase in progress. Team is currently working through Paradox workbook before design sessions.</t>
  </si>
  <si>
    <t>a0rVT000017ntoRYAQ</t>
  </si>
  <si>
    <t>a0pVT000007nkQfYAI</t>
  </si>
  <si>
    <t>Davidson Kempner Capital Management LP</t>
  </si>
  <si>
    <t>a0pVT00000Bws1hYAB</t>
  </si>
  <si>
    <t>a0rVT00000z5OyEYAU</t>
  </si>
  <si>
    <t>a0pVT00000Bh6jlYAB</t>
  </si>
  <si>
    <t>a0rVT00000z6QWHYA2</t>
  </si>
  <si>
    <t>Stephanie Deverell</t>
  </si>
  <si>
    <t>a0pVT00000A4LBNYA3</t>
  </si>
  <si>
    <t>8/13/26 - Updated timeline with new kickoff in Q4.</t>
  </si>
  <si>
    <t>a0r4X00000CrTsaQAF</t>
  </si>
  <si>
    <t>a0pVT00000A4Jj4YAF</t>
  </si>
  <si>
    <t>Subsequent-Phase X: DaVita Paradox Phase 2</t>
  </si>
  <si>
    <t>DaVita Inc.</t>
  </si>
  <si>
    <t>a0pVT000007j7MJYAY</t>
  </si>
  <si>
    <t>a0rVT00000zTeiBYAS</t>
  </si>
  <si>
    <t>a0pVT000007j49vYAA</t>
  </si>
  <si>
    <t>a0pVT000009MbYQYA0</t>
  </si>
  <si>
    <t>a0rVT00000zTm4aYAC</t>
  </si>
  <si>
    <t>0013000000KdrrVAAR</t>
  </si>
  <si>
    <t>a0pVT00000AGIcjYAH</t>
  </si>
  <si>
    <t>a0rVT00000zYPNRYA4</t>
  </si>
  <si>
    <t>Post Prod Support in Progress 06.19
Pending review and project signoff 07.19</t>
  </si>
  <si>
    <t>a0r4X00000ETVB0QAP</t>
  </si>
  <si>
    <t>a0pVT000007q8yLYAQ</t>
  </si>
  <si>
    <t>Delegate CX</t>
  </si>
  <si>
    <t>a0pVT00000876c0YAA</t>
  </si>
  <si>
    <t>a0rVT00000zlRGEYA2</t>
  </si>
  <si>
    <t>a0pVT0000087J6AYAU</t>
  </si>
  <si>
    <t>Tenant Request Case #2550477
Deployment Start Date: Sept 15, 2024
Deployment Target Go live Date: Dec 31, 2024
Products you are deploying:  HiredScore AI for Recruiting
Employee count per country: Philippines 500
Source Tenant: Production</t>
  </si>
  <si>
    <t>a0rVT000012V4iQYAS</t>
  </si>
  <si>
    <t>a0pVT0000089UOrYAM</t>
  </si>
  <si>
    <t>Deloitte France FINA</t>
  </si>
  <si>
    <t>a0rVT00000zw8IIYAY</t>
  </si>
  <si>
    <t>France Services Tech Media LE</t>
  </si>
  <si>
    <t>a0pVT000008K69XYAS</t>
  </si>
  <si>
    <t>a0rVT0000103dZJYAY</t>
  </si>
  <si>
    <t>0018000001KdXUSAA3</t>
  </si>
  <si>
    <t>Deloitte Conseil [France]</t>
  </si>
  <si>
    <t>8 June - Currently in P&amp;P phase..
26 June - Design phase now starting
3 Jul - IN P&amp;P plase
20 July - in second part of Design phase..</t>
  </si>
  <si>
    <t>a0rVT00000bqQKaYAM</t>
  </si>
  <si>
    <t>Deloitte Services LP</t>
  </si>
  <si>
    <t>a0pVT000008K2Q1YAK</t>
  </si>
  <si>
    <t>US DI LE NN TM &amp; PS East</t>
  </si>
  <si>
    <t>a0pVT0000096VYbYAM</t>
  </si>
  <si>
    <t>Integration done in Staging
Integration on Prod - In Progress
SFTP Data Transfer - In Progress</t>
  </si>
  <si>
    <t>a0rVT0000107chcYAA</t>
  </si>
  <si>
    <t>a0rVT0000191wSTYAY</t>
  </si>
  <si>
    <t>[{"deploymentId":"a0r4X00000DY1kXQAT","deploymentName":"Initial Deployment-Your Way: CHCM, TLO, HLP, CCB, USP, LRN, CCLRN, REC, FIN, etc","accountId":"0014X00002U4OuHQAV","accountName":"Administrative Office of Pennsylvania Courts","industry":"State &amp; Local Government","region":"US SLED","subRegion":"Local Government LE","subRegionAlt":"US State Gov East","billingState":"Pennsylvania","billingCity":"Harrisburg","deploymentStartDate":"Sat Jul 15 2023 00:00:00 GMT-0400 (Eastern Daylight Time)","mtpDate":"Mon Jun 03 2024 00:00:00 GMT-0400 (Eastern Daylight Time)","firstMtpDate":"Mon Jun 03 2024 00:00:00 GMT-0400 (Eastern Daylight Time)","overallStatus":"Complete","phase":"Your Way","stage":"Post Prod","health":"Green","completionDate":"Thu Aug 28 2025 00:00:00 GMT-0400 (Eastern Daylight Time)","wdEngManager":"","damFullName":"","primingPartner":"0018000000hIF6bAAG","implPartner":"0018000000hIF6bAAG","partner":"Workday Professional Services","currentUpdate":"Financial disclosure Extend app has been transitioned to AOPC PROD.  Engaged in active discussion for separate SOW to support enhanced / expanded product functionality.","isExecutiveWatch":false,"wellnessData":null},{"deploymentId":"a0rVT00000vafrpYAA","deploymentName":"Subsequent - Phase X - Integrations &amp; Extend","accountId":"0014X00002U4OuHQAV","accountName":"Administrative Office of Pennsylvania Courts","industry":"State &amp; Local Government","region":"US SLED","subRegion":"Local Government LE","subRegionAlt":"US State Gov East","billingState":"Pennsylvania","billingCity":"Harrisburg","deploymentStartDate":"Fri Jan 30 2026 00:00:00 GMT-0500 (Eastern Standard Time)","mtpDate":"Fri Jul 03 2026 00:00:00 GMT-0400 (Eastern Daylight Time)","firstMtpDate":"","overallStatus":"Active","phase":"Launch","stage":"Test","health":"Green","completionDate":"","wdEngManager":"Michael Biagini","damFullName":"","primingPartner":"0018000000hIF6bAAG","implPartner":"0018000000hIF6bAAG","partner":"Workday Professional Services","currentUpdate":"AOPC and Workday navigating the remaining pieces left for the Extend project.  Adjusting the target completion date out to July 3.","isExecutiveWatch":false,"wellnessData":null},{"deploymentId":"a0r4X00000CrURQQA3","deploymentName":"Subsequent - Phase X: Phase 2 Payroll, Projects, Expenses, and Time Tracking","accountId":"0014X00002U4OuHQAV","accountName":"Administrative Office of Pennsylvania Courts","industry":"State &amp; Local Government","region":"US SLED","subRegion":"Local Government LE","subRegionAlt":"US State Gov East","billingState":"Pennsylvania","billingCity":"Harrisburg","deploymentStartDate":"Tue Jun 04 2024 00:00:00 GMT-0400 (Eastern Daylight Time)","mtpDate":"Fri Aug 01 2025 00:00:00 GMT-0400 (Eastern Daylight Time)","firstMtpDate":"Fri Aug 01 2025 00:00:00 GMT-0400 (Eastern Daylight Time)","overallStatus":"Complete","phase":"Your Way","stage":"Post Prod","health":"Green","completionDate":"Thu Aug 28 2025 00:00:00 GMT-0400 (Eastern Daylight Time)","wdEngManager":"","damFullName":"","primingPartner":"0018000000hIF6bAAG","implPartner":"0018000000hIF6bAAG","partner":"Workday Professional Services","currentUpdate":"Financial disclosure Extend app has been transitioned to AOPC PROD.  Engaged in active discussion for separate SOW to support enhanced / expanded product functionality.","isExecutiveWatch":false,"wellnessData":null},{"deploymentId":"a0r4X00000DOuLVQA1","deploymentName":"Subsequent Deployment - Planning First : Financial Planning","accountId":"0013000000KLZzZAAX","accountName":"Afognak Native Corp","industry":"Special Districts","region":"US SLED","subRegion":"Local Government ME","subRegionAlt":"US Special Districts NN","billingState":"Alaska","billingCity":"Anchorage","deploymentStartDate":"Tue Jul 30 2019 00:00:00 GMT-0400 (Eastern Daylight Time)","mtpDate":"Thu Jan 30 2020 00:00:00 GMT-0500 (Eastern Standard Time)","firstMtpDate":"Thu Jan 30 2020 00:00:00 GMT-0500 (Eastern Standard Time)","overallStatus":"Complete","phase":"Planning First","stage":"Post Prod","health":"Green","completionDate":"","wdEngManager":"Mike Fell","damFullName":"","primingPartner":"0011B00002CZYgHQAX","implPartner":"0011B00002CZYgHQAX","partner":"PBU Partner Ecosystem","currentUpdate":"Historical deployment load as part of Adaptive Systems Integration project in FY22. CSM listed as EM due to lack of historical data.","isExecutiveWatch":false,"wellnessData":null},{"deploymentId":"a0r4X00000DOuKnQAL","deploymentName":"Subsequent Deployment - Planning First : Financial Planning","accountId":"0018000000Wsn8UAAR","accountName":"Alameda County Employees Retirement Association (ACERA)","industry":"State &amp; Local Government","region":"US SLED","subRegion":"Local Government LE","subRegionAlt":"US Local Gov LE NN &amp; States West","billingState":"California","billingCity":"Oakland","deploymentStartDate":"Fri Feb 26 2016 00:00:00 GMT-0500 (Eastern Standard Time)","mtpDate":"Fri Aug 26 2016 00:00:00 GMT-0400 (Eastern Daylight Time)","firstMtpDate":"Fri Aug 26 2016 00:00:00 GMT-0400 (Eastern Daylight Time)","overallStatus":"Complete","phase":"Planning First","stage":"Post Prod","health":"Green","completionDate":"","wdEngManager":"Toni Cortinas-Velez","damFullName":"","primingPartner":"0011B000029UdEuQAK","implPartner":"0011B000029UdEuQAK","partner":"Armanino Advisory LLC","currentUpdate":"Historical deployment load as part of Adaptive Systems Integration project in FY22. CSM listed as EM due to lack of historical data.","isExecutiveWatch":false,"wellnessData":null},{"deploymentId":"a0r4X00000CrUa3QAF","deploymentName":"Initial Deployment-Your Way-CHCM, TLO, CCB, USP, LRN, etc","accountId":"0011B00002GOCtGQAX","accountName":"Allegheny County Airport Authority","industry":"Special Districts","region":"US SLED","subRegion":"Local Government ME","subRegionAlt":"US Local Gov ME CB","billingState":"Pennsylvania","billingCity":"Pittsburgh","deploymentStartDate":"Tue Jun 11 2024 00:00:00 GMT-0400 (Eastern Daylight Time)","mtpDate":"Sun Sep 14 2025 00:00:00 GMT-0400 (Eastern Daylight Time)","firstMtpDate":"Sun Sep 14 2025 00:00:00 GMT-0400 (Eastern Daylight Time)","overallStatus":"Complete","phase":"Your Way","stage":"Post Prod","health":"Green","completionDate":"Mon Dec 15 2025 00:00:00 GMT-0500 (Eastern Standard Time)","wdEngManager":"","damFullName":"","primingPartner":"0013000000KdrrVAAR","implPartner":"0013000000KdrrVAAR","partner":"Strada U.S. Professional Services, LLC","currentUpdate":"12/15 -  Project Deployment complete - Awaiting Workday to close out check point so can mark this complete","isExecutiveWatch":false,"wellnessData":null},{"deploymentId":"a0rVT000014HfVUYA0","deploymentName":"Subsequent - Phase X - Financials","accountId":"0011B00002GOCtGQAX","accountName":"Allegheny County Airport Authority","industry":"Special Districts","region":"US SLED","subRegion":"Local Government ME","subRegionAlt":"US Local Gov ME CB","billingState":"Pennsylvania","billingCity":"Pittsburgh","deploymentStartDate":"Thu May 14 2026 00:00:00 GMT-0400 (Eastern Daylight Time)","mtpDate":"Mon Jul 05 2027 00:00:00 GMT-0400 (Eastern Daylight Time)","firstMtpDate":"","overallStatus":"Active","phase":"Your Way","stage":"Plan","health":"Green","completionDate":"","wdEngManager":"","damFullName":"","primingPartner":"0013000000KdrrVAAR","implPartner":"0013000000KdrrVAAR","partner":"Strada U.S. Professional Services, LLC","currentUpdate":"6/22/26\"  Plan stage in progress, preparing for Kickoff Meeting and initial workstream meetings","isExecutiveWatch":false,"wellnessData":null},{"deploymentId":"a0r1B00000BdWIwQAN","deploymentName":"Initial Deployment-Your Way: HCM, CCB, USP, LRN, EXP, TT, REC","accountId":"0018000000Wsn8XAAR","accountName":"Baltimore County, Maryland","industry":"State &amp; Local Government","region":"US SLED","subRegion":"Local Government LE","subRegionAlt":"US Local Gov LE CB","billingState":"Maryland","billingCity":"Towson","deploymentStartDate":"Wed Apr 01 2020 00:00:00 GMT-0400 (Eastern Daylight Time)","mtpDate":"Thu Jun 23 2022 00:00:00 GMT-0400 (Eastern Daylight Time)","firstMtpDate":"Thu Jun 23 2022 00:00:00 GMT-0400 (Eastern Daylight Time)","overallStatus":"Complete","phase":"Your Way","stage":"Post Prod","health":"Green","completionDate":"Sat Sep 30 2023 00:00:00 GMT-0400 (Eastern Daylight Time)","wdEngManager":"","damFullName":"","primingPartner":"0018000000hIF6bAAG","implPartner":"0018000000hIF6bAAG","partner":"Workday Professional Services","currentUpdate":"10/1/23: The project completed its Post Production Support on 9/30/2023. This project is now completed.","isExecutiveWatch":false,"wellnessData":null},{"deploymentId":"a0r1B00000BdWJ1QAN","deploymentName":"Initial Deployment-Your Way:FIN, GM, PLNF, PRA, PRJT, PRO, INV","accountId":"0018000000Wsn8XAAR","accountName":"Baltimore County, Maryland","industry":"State &amp; Local Government","region":"US SLED","subRegion":"Local Government LE","subRegionAlt":"US Local Gov LE CB","billingState":"Maryland","billingCity":"Towson","deploymentStartDate":"Mon Mar 30 2020 00:00:00 GMT-0400 (Eastern Daylight Time)","mtpDate":"Thu Jun 23 2022 00:00:00 GMT-0400 (Eastern Daylight Time)","firstMtpDate":"Thu Jun 23 2022 00:00:00 GMT-0400 (Eastern Daylight Time)","overallStatus":"Complete","phase":"Your Way","stage":"Deploy","health":"Red","completionDate":"Wed Sep 21 2022 00:00:00 GMT-0400 (Eastern Daylight Time)","wdEngManager":"John Hornbuckle","damFullName":"","primingPartner":"0018000000hIF6bAAG","implPartner":"0018000000hIF6bAAG","partner":"Workday Professional Services","currentUpdate":"9/15/22: Baltimore County is re-planning the schedule due to issues they are having staying on schedule with defining overtime requirements and completing testing on time. Expect to delay the PATT project in the next week or two.","isExecutiveWatch":false,"wellnessData":null},{"deploymentId":"a0r4X00000CcXCFQA3","deploymentName":"Subsequent-Phase X: AI Planning","accountId":"0018000000Wsn8XAAR","accountName":"Baltimore County, Maryland","industry":"State &amp; Local Government","region":"US SLED","subRegion":"Local Government LE","subRegionAlt":"US Local Gov LE CB","billingState":"Maryland","billingCity":"Towson","deploymentStartDate":"Mon Feb 22 2021 00:00:00 GMT-0500 (Eastern Standard Time)","mtpDate":"Mon Nov 22 2021 00:00:00 GMT-0500 (Eastern Standard Time)","firstMtpDate":"Mon Nov 22 2021 00:00:00 GMT-0500 (Eastern Standard Time)","overallStatus":"Complete","phase":"Phase X - Planning","stage":"Post Prod","health":"Green","completionDate":"Wed Jul 24 2024 00:00:00 GMT-0400 (Eastern Daylight Time)","wdEngManager":"","damFullName":"","primingPartner":"0018000000hIF6bAAG","implPartner":"0018000000hIF6bAAG","partner":"Workday Professional Services","currentUpdate":"7/24: Received confirmation from BCG PM that they will now engage with Cognizant for troubleshooting remaining post production issues. Transition call with CSM set for later this week.","isExecutiveWatch":false,"wellnessData":null},{"deploymentId":"a0rVT00000YfIwxYAF","deploymentName":"Subsequent-Phase X: LMS Project (new implementation of Learning Management)","accountId":"0018000000Wsn8XAAR","accountName":"Baltimore County, Maryland","industry":"State &amp; Local Government","region":"US SLED","subRegion":"Local Government LE","subRegionAlt":"US Local Gov LE CB","billingState":"Maryland","billingCity":"Towson","deploymentStartDate":"Mon May 12 2025 00:00:00 GMT-0400 (Eastern Daylight Time)","mtpDate":"Mon Feb 02 2026 00:00:00 GMT-0500 (Eastern Standard Time)","firstMtpDate":"","overallStatus":"Complete","phase":"Your Way","stage":"Post Prod","health":"Green","completionDate":"Fri Mar 06 2026 00:00:00 GMT-0500 (Eastern Standard Time)","wdEngManager":"","damFullName":"","primingPartner":"0018000000MWLslAAH","implPartner":"0018000000MWLslAAH","partner":"Collaborative Solutions, LLC","currentUpdate":"Project has closed","isExecutiveWatch":false,"wellnessData":null},{"deploymentId":"a0r4X00000Ef38cQAB","deploymentName":"Initial Deployment-Launch:LDPHCM, LDPCCB, LDPBEN, LDPUSP,LDPFIN, etc","accountId":"0018000000WtyywAAB","accountName":"Bay County Clerk of Court and Comptroller","industry":"State &amp; Local Government","region":"US SLED","subRegion":"Local Government ME","subRegionAlt":"US Local Gov ME CB","billingState":"Florida","billingCity":"Panama City","deploymentStartDate":"Fri Jan 19 2024 00:00:00 GMT-0500 (Eastern Standard Time)","mtpDate":"Wed Feb 12 2025 00:00:00 GMT-0500 (Eastern Standard Time)","firstMtpDate":"Wed Feb 12 2025 00:00:00 GMT-0500 (Eastern Standard Time)","overallStatus":"Complete","phase":"Launch","stage":"Post Prod","health":"Green","completionDate":"Mon Apr 07 2025 00:00:00 GMT-0400 (Eastern Daylight Time)","wdEngManager":"","damFullName":"","primingPartner":"0018000000hIF6bAAG","implPartner":"0018000000hIF6bAAG","partner":"Workday Professional Services","currentUpdate":"6/2 Green. HCM-Pay and FIN in production.  Provided Customer with a change order for 9 integrations. They are comparing rates with ERPA their post production support partner.","isExecutiveWatch":false,"wellnessData":null},{"deploymentId":"a0rVT00000dyOxlYAE","deploymentName":"Subsequent-Phase X - Integrations Project","accountId":"0018000000WtyywAAB","accountName":"Bay County Clerk of Court and Comptroller","industry":"State &amp; Local Government","region":"US SLED","subRegion":"Local Government ME","subRegionAlt":"US Local Gov ME CB","billingState":"Florida","billingCity":"Panama City","deploymentStartDate":"Tue Jul 01 2025 00:00:00 GMT-0400 (Eastern Daylight Time)","mtpDate":"Fri Dec 26 2025 00:00:00 GMT-0500 (Eastern Standard Time)","firstMtpDate":"Fri Dec 26 2025 00:00:00 GMT-0500 (Eastern Standard Time)","overallStatus":"Complete","phase":"Launch","stage":"Deploy","health":"Green","completionDate":"Fri Jan 30 2026 00:00:00 GMT-0500 (Eastern Standard Time)","wdEngManager":"","damFullName":"","primingPartner":"0014X00002K50GIQAZ","implPartner":"0014X00002K50GIQAZ","partner":"ERP Analysts Inc. dba ERPA","currentUpdate":"Final validation in SBX in progress.","isExecutiveWatch":false,"wellnessData":null},{"deploymentId":"a0rVT00000uGLmbYAG","deploymentName":"Subsequent-Phase X: Recruiting Implementation","accountId":"0018000000WtyywAAB","accountName":"Bay County Clerk of Court and Comptroller","industry":"State &amp; Local Government","region":"US SLED","subRegion":"Local Government ME","subRegionAlt":"US Local Gov ME CB","billingState":"Florida","billingCity":"Panama City","deploymentStartDate":"Mon Jan 12 2026 00:00:00 GMT-0500 (Eastern Standard Time)","mtpDate":"Fri Apr 24 2026 00:00:00 GMT-0400 (Eastern Daylight Time)","firstMtpDate":"","overallStatus":"Complete","phase":"Launch","stage":"Post Prod","health":"Green","completionDate":"Sun May 31 2026 00:00:00 GMT-0400 (Eastern Daylight Time)","wdEngManager":"","damFullName":"","primingPartner":"0014X00002K50GIQAZ","implPartner":"0014X00002K50GIQAZ","partner":"ERP Analysts Inc. dba ERPA","currentUpdate":"Hypercare support complete. iCIMS integration in progress.","isExecutiveWatch":false,"wellnessData":null},{"deploymentId":"a0rVT00000NuQXZYA3","deploymentName":"Initial Deployment-Your Way-CHCM, TLO, CCB, REC, FIN, GM, USP, PLNF, PRJT, etc.","accountId":"0014X00002LAHMiQAP","accountName":"Ben Franklin Transit","industry":"Special Districts","region":"US SLED","subRegion":"Local Government ME","subRegionAlt":"US Local Gov ME CB","billingState":"Washington","billingCity":"Richland","deploymentStartDate":"Mon Jan 27 2025 00:00:00 GMT-0500 (Eastern Standard Time)","mtpDate":"Mon Dec 15 2025 00:00:00 GMT-0500 (Eastern Standard Time)","firstMtpDate":"Mon Dec 15 2025 00:00:00 GMT-0500 (Eastern Standard Time)","overallStatus":"Active","phase":"Launch","stage":"Plan","health":"Green","completionDate":"","wdEngManager":"","damFullName":"Banjo Simbahan","primingPartner":"0018000001IzqpSAAR","implPartner":"0018000001IzqpSAAR","partner":"Avaap USA, LLC","currentUpdate":"Phase 2 - MTP build ongoing, 7/1 go live","isExecutiveWatch":false,"wellnessData":null},{"deploymentId":"a0r4X00000DOuPbQAL","deploymentName":"Subsequent Deployment - Planning First : Financial Planning","accountId":"0011B00002CXUokQAH","accountName":"Bering Straits Native Corporation","industry":"Special Districts","region":"US SLED","subRegion":"Local Government ME","subRegionAlt":"US Special Districts NN","billingState":"Alaska","billingCity":"Anchorage","deploymentStartDate":"Thu Jul 02 2015 00:00:00 GMT-0400 (Eastern Daylight Time)","mtpDate":"Sat Jan 02 2016 00:00:00 GMT-0500 (Eastern Standard Time)","firstMtpDate":"Sat Jan 02 2016 00:00:00 GMT-0500 (Eastern Standard Time)","overallStatus":"Complete","phase":"Planning First","stage":"Post Prod","health":"Green","completionDate":"","wdEngManager":"Natalie Challier","damFullName":"","primingPartner":"0011B00002CZYgHQAX","implPartner":"0011B00002CZYgHQAX","partner":"PBU Partner Ecosystem","currentUpdate":"Historical deployment load as part of Adaptive Systems Integration project in FY22. CSM listed as EM due to lack of historical data.","isExecutiveWatch":false,"wellnessData":null},{"deploymentId":"a0r1B00000BdaKnQAJ","deploymentName":"Initial Deployment-Your Way: HCM, USP, REC, CCB, LRN, TT, EXP, etc.","accountId":"0018000000Wtz2bAAB","accountName":"Board of Commissioner of Tulsa County","industry":"State &amp; Local Government","region":"US SLED","subRegion":"Local Government ME","subRegionAlt":"US Local Gov ME CB","billingState":"Oklahoma","billingCity":"Tulsa","deploymentStartDate":"Thu Jul 16 2020 00:00:00 GMT-0400 (Eastern Daylight Time)","mtpDate":"Wed Sep 29 2021 00:00:00 GMT-0400 (Eastern Daylight Time)","firstMtpDate":"Wed Sep 29 2021 00:00:00 GMT-0400 (Eastern Daylight Time)","overallStatus":"Complete","phase":"Your Way","stage":"Post Prod","health":"Green","completionDate":"Mon Nov 29 2021 00:00:00 GMT-0500 (Eastern Standard Time)","wdEngManager":"","damFullName":"","primingPartner":"00130000008MSknAAG","implPartner":"00130000008MSknAAG","partner":"Accenture LLP","currentUpdate":"Post-production support continues..","isExecutiveWatch":false,"wellnessData":null},{"deploymentId":"a0r4X00000BnswHQAR","deploymentName":"Initial Deployment-Your Way:FIN, PRO, INV, PRJT","accountId":"0018000000Wtz2bAAB","accountName":"Board of Commissioner of Tulsa County","industry":"State &amp; Local Government","region":"US SLED","subRegion":"Local Government ME","subRegionAlt":"US Local Gov ME CB","billingState":"Oklahoma","billingCity":"Tulsa","deploymentStartDate":"Thu Jul 16 2020 00:00:00 GMT-0400 (Eastern Daylight Time)","mtpDate":"Mon May 02 2022 00:00:00 GMT-0400 (Eastern Daylight Time)","firstMtpDate":"Mon May 02 2022 00:00:00 GMT-0400 (Eastern Daylight Time)","overallStatus":"Complete","phase":"Your Way","stage":"Deploy","health":"Green","completionDate":"Sun Jul 31 2022 00:00:00 GMT-0400 (Eastern Daylight Time)","wdEngManager":"","damFullName":"Eric Frame","primingPartner":"00130000008MSknAAG","implPartner":"00130000008MSknAAG","partner":"Accenture LLP","currentUpdate":"Continuing to support with fiscal year-end activities (6/30/22 for Tulsa), into June.","isExecutiveWatch":false,"wellnessData":null},{"deploymentId":"a0r4X00000ESL1MQAX","deploymentName":"Subsequent-Customer Enablement-Learning Jumpstart","accountId":"0018000000Wtz2bAAB","accountName":"Board of Commissioner of Tulsa County","industry":"State &amp; Local Government","region":"US SLED","subRegion":"Local Government ME","subRegionAlt":"US Local Gov ME CB","billingState":"Oklahoma","billingCity":"Tulsa","deploymentStartDate":"Tue Aug 01 2023 00:00:00 GMT-0400 (Eastern Daylight Time)","mtpDate":"Fri Jan 19 2024 00:00:00 GMT-0500 (Eastern Standard Time)","firstMtpDate":"Fri Jan 19 2024 00:00:00 GMT-0500 (Eastern Standard Time)","overallStatus":"Complete","phase":"Your Way","stage":"Deploy","health":"Green","completionDate":"Mon Feb 12 2024 00:00:00 GMT-0500 (Eastern Standard Time)","wdEngManager":"","damFullName":"","primingPartner":"0018000000hIF6bAAG","implPartner":"0018000000hIF6bAAG","partner":"Workday Professional Services","currentUpdate":"2/12/24: Project Closeout","isExecutiveWatch":false,"wellnessData":null},{"deploymentId":"a0r4X00000DcIK2QAN","deploymentName":"Subsequent-Phase X: Adaptive Planning","accountId":"0018000000Wtz2bAAB","accountName":"Board of Commissioner of Tulsa County","industry":"State &amp; Local Government","region":"US SLED","subRegion":"Local Government ME","subRegionAlt":"US Local Gov ME CB","billingState":"Oklahoma","billingCity":"Tulsa","deploymentStartDate":"Mon Aug 29 2022 00:00:00 GMT-0400 (Eastern Daylight Time)","mtpDate":"Mon Feb 13 2023 00:00:00 GMT-0500 (Eastern Standard Time)","firstMtpDate":"Mon Feb 13 2023 00:00:00 GMT-0500 (Eastern Standard Time)","overallStatus":"Complete","phase":"Phase X - Planning","stage":"Deploy","health":"Green","completionDate":"Wed May 10 2023 00:00:00 GMT-0400 (Eastern Daylight Time)","wdEngManager":"","damFullName":"","primingPartner":"00130000008MSknAAG","implPartner":"00130000008MSknAAG","partner":"Accenture LLP","currentUpdate":"5/10/23 - PM Upd - project has been line since February and all DA checkpoints have been completed, closing out scorecard.","isExecutiveWatch":false,"wellnessData":null},{"deploymentId":"a0r4X00000DcqJEQAZ","deploymentName":"Subsequent-Phase X: Prism","accountId":"0018000000Wtz2bAAB","accountName":"Board of Commissioner of Tulsa County","industry":"State &amp; Local Government","region":"US SLED","subRegion":"Local Government ME","subRegionAlt":"US Local Gov ME CB","billingState":"Oklahoma","billingCity":"Tulsa","deploymentStartDate":"Tue Sep 27 2022 00:00:00 GMT-0400 (Eastern Daylight Time)","mtpDate":"Mon Dec 05 2022 00:00:00 GMT-0500 (Eastern Standard Time)","firstMtpDate":"Mon Dec 05 2022 00:00:00 GMT-0500 (Eastern Standard Time)","overallStatus":"Complete","phase":"Phase X - Your Way","stage":"Post Prod","health":"Green","completionDate":"Mon Jan 30 2023 00:00:00 GMT-0500 (Eastern Standard Time)","wdEngManager":"","damFullName":"","primingPartner":"00130000008MSknAAG","implPartner":"00130000008MSknAAG","partner":"Accenture LLP","currentUpdate":"Closing the WD scorecard since our Post Production support is nearly done.","isExecutiveWatch":false,"wellnessData":null},{"deploymentId":"a0rVT00000rOVylYAG","deploymentName":"Initial Deployment-Launch- CHCM, TLO, CCB CLM, WSP, PLNF, PRA etc.","accountId":"001VT00000FL9KbYAL","accountName":"Boston Public Health Commission","industry":"State &amp; Local Government","region":"US SLED","subRegion":"Local Government ME","subRegionAlt":"US Local Gov ME CB","billingState":"Massachusetts","billingCity":"Boston","deploymentStartDate":"Mon Mar 09 2026 00:00:00 GMT-0400 (Eastern Daylight Time)","mtpDate":"Sun Mar 14 2027 00:00:00 GMT-0500 (Eastern Standard Time)","firstMtpDate":"","overallStatus":"Active","phase":"Launch","stage":"Plan","health":"Green","completionDate":"","wdEngManager":"","damFullName":"","primingPartner":"0018000000MWLslAAH","implPartner":"0018000000MWLslAAH","partner":"Collaborative Solutions, LLC","currentUpdate":"6.22.26 We shift in to A&amp;C phase with the start or our  FAS","isExecutiveWatch":false,"wellnessData":null},{"deploymentId":"a0rVT00000M1dibYAB","deploymentName":"Initial Deployment-Your Way-CHCM, TLO, HLP, JRNY, CCB, USP, LRN, MCNF, etc.","accountId":"00180000010GGgXAAW","accountName":"Broward County Sheriff’s Office","industry":"State &amp; Local Government","region":"US SLED","subRegion":"Local Government LE","subRegionAlt":"US Local Gov LE CB","billingState":"Florida","billingCity":"Fort Lauderdale","deploymentStartDate":"Wed Dec 11 2024 00:00:00 GMT-0500 (Eastern Standard Time)","mtpDate":"Sat Jun 27 2026 00:00:00 GMT-0400 (Eastern Daylight Time)","firstMtpDate":"","overallStatus":"Active","phase":"Your Way","stage":"Test","health":"Red","completionDate":"","wdEngManager":"","damFullName":"","primingPartner":"0011B00002CZvnrQAD","implPartner":"0011B00002CZvnrQAD","partner":"Guidehouse Inc","currentUpdate":"6/22 - extended E2E testing, client is at 88% complete. PATTS still in process go-live will not be October, date TBD.","isExecutiveWatch":false,"wellnessData":null},{"deploymentId":"a0r4X00000DY0xfQAD","deploymentName":"Initial Deployment-Launch HCM+PAY: CHCM, TLO, CCB, USP, LRN, REC, FIN, etc.","accountId":"0014X00002ME7ARQA1","accountName":"C-TRAN","industry":"Special Districts","region":"US SLED","subRegion":"Local Government ME","subRegionAlt":"US Local Gov ME CB","billingState":"Washington","billingCity":"Vancouver","deploymentStartDate":"Wed Apr 26 2023 00:00:00 GMT-0400 (Eastern Daylight Time)","mtpDate":"Mon Jul 22 2024 00:00:00 GMT-0400 (Eastern Daylight Time)","firstMtpDate":"Mon Jul 22 2024 00:00:00 GMT-0400 (Eastern Daylight Time)","overallStatus":"Complete","phase":"Launch","stage":"Post Prod","health":"Green","completionDate":"Sun Feb 01 2026 00:00:00 GMT-0500 (Eastern Standard Time)","wdEngManager":"","damFullName":"","primingPartner":"0018000001IzqpSAAR","implPartner":"0018000001IzqpSAAR","partner":"Avaap USA, LLC","currentUpdate":"3137060: close","isExecutiveWatch":false,"wellnessData":null},{"deploymentId":"a0r4X00000DdfQqQAJ","deploymentName":"Initial Deployment-Your Way: HCM, CCB, CCTPP, LRN, REC, FIN, etc.","accountId":"0014X00002IwnUZQAZ","accountName":"California Health and Human Services Agency, Office of Technology and Solutions Integration  (Oakland Consulting Group, Inc.)","industry":"State &amp; Local Government","region":"US SLED","subRegion":"Local Government LE","subRegionAlt":"US Local Gov LE NN &amp; States West","billingState":"California","billingCity":"Sacramento","deploymentStartDate":"Wed Nov 16 2022 00:00:00 GMT-0500 (Eastern Standard Time)","mtpDate":"Mon Jun 09 2025 00:00:00 GMT-0400 (Eastern Daylight Time)","firstMtpDate":"Mon Jun 09 2025 00:00:00 GMT-0400 (Eastern Daylight Time)","overallStatus":"Complete","phase":"Your Way","stage":"Post Prod","health":"Green","completionDate":"Mon Dec 01 2025 00:00:00 GMT-0500 (Eastern Standard Time)","wdEngManager":"","damFullName":"","primingPartner":"0018000001UoP1FAAV","implPartner":"00130000008MSknAAG","partner":"Accenture LLP","currentUpdate":"Still Making slow progress on ECOS integration but once that is complete should be able to go Live with Recruiting.","isExecutiveWatch":false,"wellnessData":null},{"deploymentId":"a0r4X00000Bnsr7QAB","deploymentName":"Initial Deployment-Launch HCM:LDPHCM. LDPCCTPP, LDPREC","accountId":"0018000001KdYuhAAF","accountName":"Calista Corporation","industry":"Special Districts","region":"US SLED","subRegion":"Local Government LE","subRegionAlt":"US Local Gov LE CB","billingState":"Alaska","billingCity":"Anchorage","deploymentStartDate":"Thu Jul 30 2020 00:00:00 GMT-0400 (Eastern Daylight Time)","mtpDate":"Mon Mar 29 2021 00:00:00 GMT-0400 (Eastern Daylight Time)","firstMtpDate":"Mon Mar 29 2021 00:00:00 GMT-0400 (Eastern Daylight Time)","overallStatus":"Complete","phase":"Launch","stage":"Deploy","health":"Green","completionDate":"Sun Jun 27 2021 00:00:00 GMT-0400 (Eastern Daylight Time)","wdEngManager":"","damFullName":"","primingPartner":"0018000000hIF6bAAG","implPartner":"0018000000hIF6bAAG","partner":"Workday Professional Services","currentUpdate":"5/28 - client is Live. Still engaged for integrations.","isExecutiveWatch":false,"wellnessData":null},{"deploymentId":"a0r4X00000E138uQAB","deploymentName":"Subsequent-Phase X-Adv Compensation, Talent","accountId":"0018000001KdYuhAAF","accountName":"Calista Corporation","industry":"Special Districts","region":"US SLED","subRegion":"Local Government LE","subRegionAlt":"US Local Gov LE CB","billingState":"Alaska","billingCity":"Anchorage","deploymentStartDate":"Wed Jan 25 2023 00:00:00 GMT-0500 (Eastern Standard Time)","mtpDate":"Mon May 22 2023 00:00:00 GMT-0400 (Eastern Daylight Time)","firstMtpDate":"Mon May 22 2023 00:00:00 GMT-0400 (Eastern Daylight Time)","overallStatus":"Complete","phase":"Phase X - Launch","stage":"Post Prod","health":"Green","completionDate":"Mon Jun 12 2023 00:00:00 GMT-0400 (Eastern Daylight Time)","wdEngManager":"","damFullName":"","primingPartner":"0018000000hIF6bAAG","implPartner":"0018000000hIF6bAAG","partner":"Workday Professional Services","currentUpdate":"6/11- Live and in Post Prod support. Will close project on 6/12","isExecutiveWatch":false,"wellnessData":null},{"deploymentId":"a0r4X00000DY1LmQAL","deploymentName":"Subsequent-Phase X: Benefits","accountId":"0018000001KdYuhAAF","accountName":"Calista Corporation","industry":"Special Districts","region":"US SLED","subRegion":"Local Government LE","subRegionAlt":"US Local Gov LE CB","billingState":"Alaska","billingCity":"Anchorage","deploymentStartDate":"Fri Apr 14 2023 00:00:00 GMT-0400 (Eastern Daylight Time)","mtpDate":"Thu Aug 01 2024 00:00:00 GMT-0400 (Eastern Daylight Time)","firstMtpDate":"Thu Aug 01 2024 00:00:00 GMT-0400 (Eastern Daylight Time)","overallStatus":"Complete","phase":"Launch","stage":"Deploy","health":"Green","completionDate":"Fri Aug 16 2024 00:00:00 GMT-0400 (Eastern Daylight Time)","wdEngManager":"","damFullName":"","primingPartner":"0018000000hIF6bAAG","implPartner":"0018000000hIF6bAAG","partner":"Workday Professional Services","currentUpdate":"8/11 -  RAAS report moved to Prod. two weeks post prod support - in progress","isExecutiveWatch":false,"wellnessData":null},{"deploymentId":"a0r4X00000DQ8gVQAT","deploymentName":"Initial Deployment-Launch: CHCM, TLO, CCB, USP, FIN, GM, PLNF, PRA, TT, etc.","accountId":"0018000000kuvqzAAA","accountName":"Calvert County Government","industry":"State &amp; Local Government","region":"US SLED","subRegion":"Local Government ME","subRegionAlt":"US Local Gov ME CB","billingState":"Maryland","billingCity":"Prince Frederick","deploymentStartDate":"Mon Feb 28 2022 00:00:00 GMT-0500 (Eastern Standard Time)","mtpDate":"Tue Mar 14 2023 00:00:00 GMT-0400 (Eastern Daylight Time)","firstMtpDate":"Tue Mar 14 2023 00:00:00 GMT-0400 (Eastern Daylight Time)","overallStatus":"Complete","phase":"Launch","stage":"Post Prod","health":"Green","completionDate":"Fri May 19 2023 00:00:00 GMT-0400 (Eastern Daylight Time)","wdEngManager":"","damFullName":"","primingPartner":"0018000000MWLslAAH","implPartner":"0018000000MWLslAAH","partner":"Collaborative Solutions, LLC","currentUpdate":"Customer went live on 3/27. Currently team is providing post production support. Original support ends on 5/19.","isExecutiveWatch":false,"wellnessData":null},{"deploymentId":"a0rVT00000PNoh4YAD","deploymentName":"Subsequent - Phase X: Adaptive Planning","accountId":"0018000000kuvqzAAA","accountName":"Calvert County Government","industry":"State &amp; Local Government","region":"US SLED","subRegion":"Local Government ME","subRegionAlt":"US Local Gov ME CB","billingState":"Maryland","billingCity":"Prince Frederick","deploymentStartDate":"Tue Jan 28 2025 00:00:00 GMT-0500 (Eastern Standard Time)","mtpDate":"Mon Sep 15 2025 00:00:00 GMT-0400 (Eastern Daylight Time)","firstMtpDate":"Mon Sep 15 2025 00:00:00 GMT-0400 (Eastern Daylight Time)","overallStatus":"Complete","phase":"Launch","stage":"Post Prod","health":"Green","completionDate":"Fri Oct 10 2025 00:00:00 GMT-0400 (Eastern Daylight Time)","wdEngManager":"","damFullName":"","primingPartner":"0018000000MWLslAAH","implPartner":"0018000000MWLslAAH","partner":"Collaborative Solutions, LLC","currentUpdate":"10/10/25 - Post Prod scheduled ends 10/10 - Change Order submitted for extending Suketu through January, waiting for Calvert signature","isExecutiveWatch":false,"wellnessData":null},{"deploymentId":"a0r4X00000CrU2pQAF","deploymentName":"Initial Deployment - Your Way - CHCM, CCB, USP, REC, FIN, PLNF, etc","accountId":"0011B00002FelVsQAJ","accountName":"Central Florida Expressway Authority","industry":"Special Districts","region":"US SLED","subRegion":"Local Government ME","subRegionAlt":"US Local Gov ME CB","billingState":"Florida","billingCity":"Orlando","deploymentStartDate":"Tue May 21 2024 00:00:00 GMT-0400 (Eastern Daylight Time)","mtpDate":"Thu Jun 19 2025 00:00:00 GMT-0400 (Eastern Daylight Time)","firstMtpDate":"Thu Jun 19 2025 00:00:00 GMT-0400 (Eastern Daylight Time)","overallStatus":"Complete","phase":"Your Way","stage":"Post Prod","health":"Green","completionDate":"Fri Aug 01 2025 00:00:00 GMT-0400 (Eastern Daylight Time)","wdEngManager":"","damFullName":"Victor Munoz","primingPartner":"0018000001IzqpSAAR","implPartner":"0018000001IzqpSAAR","partner":"Avaap USA, LLC","currentUpdate":"Hypercare ended on 8/1; finalizing project closeout activities","isExecutiveWatch":false,"wellnessData":null},{"deploymentId":"a0rVT00000hsyeMYAQ","deploymentName":"Subsequent-Phase X: Adaptive Financial Planning","accountId":"0011B00002FelVsQAJ","accountName":"Central Florida Expressway Authority","industry":"Special Districts","region":"US SLED","subRegion":"Local Government ME","subRegionAlt":"US Local Gov ME CB","billingState":"Florida","billingCity":"Orlando","deploymentStartDate":"Mon Aug 04 2025 00:00:00 GMT-0400 (Eastern Daylight Time)","mtpDate":"Mon Dec 29 2025 00:00:00 GMT-0500 (Eastern Standard Time)","firstMtpDate":"","overallStatus":"Complete","phase":"Your Way","stage":"Post Prod","health":"Green","completionDate":"Fri Feb 06 2026 00:00:00 GMT-0500 (Eastern Standard Time)","wdEngManager":"","damFullName":"","primingPartner":"0018000001IzqpSAAR","implPartner":"0018000001IzqpSAAR","partner":"Avaap USA, LLC","currentUpdate":"1/29/26 AD - Hypercare and close out activities in progress.","isExecutiveWatch":false,"wellnessData":null},{"deploymentId":"a0rVT00000kbkpWYAQ","deploymentName":"Subsequent-PhaseX-WSS","accountId":"0011B00002FelVsQAJ","accountName":"Central Florida Expressway Authority","industry":"Special Districts","region":"US SLED","subRegion":"Local Government ME","subRegionAlt":"US Local Gov ME CB","billingState":"Florida","billingCity":"Orlando","deploymentStartDate":"Wed Sep 03 2025 00:00:00 GMT-0400 (Eastern Daylight Time)","mtpDate":"Fri Mar 27 2026 00:00:00 GMT-0400 (Eastern Daylight Time)","firstMtpDate":"","overallStatus":"Complete","phase":"Launch","stage":"Deploy","health":"Green","completionDate":"Sun Apr 26 2026 00:00:00 GMT-0400 (Eastern Daylight Time)","wdEngManager":"","damFullName":"","primingPartner":"0018000001IzqpSAAR","implPartner":"0018000001IzqpSAAR","partner":"Avaap USA, LLC","currentUpdate":"3/25/26 AD - Aligning with WD on CLM deployment timeline. Scheduling CLM/WSS demo with client team.","isExecutiveWatch":false,"wellnessData":null},{"deploymentId":"a0r4X00000CalfvQAB","deploymentName":"Initial Deployment-Your Way: CHCM, TLO, CCB, LRM, MCNF, REC, USP, EXP, PPLA, TT","accountId":"0018000000zVT02AAG","accountName":"Chad Chronister as Sheriff of Hillsborough County","industry":"State &amp; Local Government","region":"US SLED","subRegion":"Local Government LE","subRegionAlt":"US Local Gov LE CB","billingState":"Florida","billingCity":"Tampa","deploymentStartDate":"Mon Jan 11 2021 00:00:00 GMT-0500 (Eastern Standard Time)","mtpDate":"Thu Dec 23 2021 00:00:00 GMT-0500 (Eastern Standard Time)","firstMtpDate":"Thu Dec 23 2021 00:00:00 GMT-0500 (Eastern Standard Time)","overallStatus":"Complete","phase":"Your Way","stage":"Deploy","health":"Green","completionDate":"Wed Mar 23 2022 00:00:00 GMT-0400 (Eastern Daylight Time)","wdEngManager":"","damFullName":"","primingPartner":"0018000000MWLslAAH","implPartner":"0018000000MWLslAAH","partner":"Collaborative Solutions, LLC","currentUpdate":"Completed the 2nd payroll. Hypercare support continues through 2/14.","isExecutiveWatch":false,"wellnessData":null},{"deploymentId":"a0r4X00000Calg0QAB","deploymentName":"Initial Deployment-Your Way: FIN, PLNF, PRA, PRJT, PRO, INV, GM","accountId":"0018000000zVT02AAG","accountName":"Chad Chronister as Sheriff of Hillsborough County","industry":"State &amp; Local Government","region":"US SLED","subRegion":"Local Government LE","subRegionAlt":"US Local Gov LE CB","billingState":"Florida","billingCity":"Tampa","deploymentStartDate":"Mon Jan 11 2021 00:00:00 GMT-0500 (Eastern Standard Time)","mtpDate":"Fri Dec 24 2021 00:00:00 GMT-0500 (Eastern Standard Time)","firstMtpDate":"Fri Dec 24 2021 00:00:00 GMT-0500 (Eastern Standard Time)","overallStatus":"Complete","phase":"Your Way","stage":"Deploy","health":"Green","completionDate":"Thu Mar 24 2022 00:00:00 GMT-0400 (Eastern Daylight Time)","wdEngManager":"","damFullName":"","primingPartner":"0018000000MWLslAAH","implPartner":"0018000000MWLslAAH","partner":"Collaborative Solutions, LLC","currentUpdate":"DAM: Tim please update scorecard with latest project information and review the remaining checkpoints and provide updated date based on new go-live of 5/29","isExecutiveWatch":false,"wellnessData":null},{"deploymentId":"a0r4X00000DRByJQAX","deploymentName":"Subseqent-Phase X-Adaptive Planning,Prism","accountId":"0018000000zVT02AAG","accountName":"Chad Chronister as Sheriff of Hillsborough County","industry":"State &amp; Local Government","region":"US SLED","subRegion":"Local Government LE","subRegionAlt":"US Local Gov LE CB","billingState":"Florida","billingCity":"Tampa","deploymentStartDate":"Tue Feb 22 2022 00:00:00 GMT-0500 (Eastern Standard Time)","mtpDate":"Mon Aug 08 2022 00:00:00 GMT-0400 (Eastern Daylight Time)","firstMtpDate":"Mon Aug 08 2022 00:00:00 GMT-0400 (Eastern Daylight Time)","overallStatus":"Complete","phase":"Phase X - Planning","stage":"Post Prod","health":"Green","completionDate":"Fri Sep 02 2022 00:00:00 GMT-0400 (Eastern Daylight Time)","wdEngManager":"","damFullName":"","primingPartner":"0018000000MWLslAAH","implPartner":"0018000000MWLslAAH","partner":"Collaborative Solutions, LLC","currentUpdate":"DAM 9/15: Project complete based on last communication from customer.","isExecutiveWatch":false,"wellnessData":null},{"deploymentId":"a0rVT00000quy3uYAA","deploymentName":"Initial Deployment-Launch-LDPFIN, LDPPRA, LDPPRJT, LDPTT, LDPBEN, LDPUSP,etc","accountId":"0018000001WMHZIAA5","accountName":"Chelan County, WA","industry":"State &amp; Local Government","region":"US SLED","subRegion":"Local Government ME","subRegionAlt":"US Local Gov ME CB","billingState":"Washington","billingCity":"Wenatchee","deploymentStartDate":"Mon Jan 26 2026 00:00:00 GMT-0500 (Eastern Standard Time)","mtpDate":"Mon Mar 01 2027 00:00:00 GMT-0500 (Eastern Standard Time)","firstMtpDate":"","overallStatus":"Active","phase":"Launch","stage":"Plan","health":"Green","completionDate":"","wdEngManager":"","damFullName":"","primingPartner":"0018000000MWLslAAH","implPartner":"0018000000MWLslAAH","partner":"Collaborative Solutions, LLC","currentUpdate":"- CCS session resumes. \n- County has approved a staggered approach and pushing Finance Go Live to 8/1. Change order in progress.","isExecutiveWatch":false,"wellnessData":null},{"deploymentId":"a0r4X00000DOuTsQAL","deploymentName":"Subsequent Deployment - Planning First : Financial Planning","accountId":"0013000000JMYd4AAH","accountName":"Chenega Corporation","industry":"Special Districts","region":"US SLED","subRegion":"Local Government ME","subRegionAlt":"US Special Districts NN","billingState":"Alaska","billingCity":"Anchorage","deploymentStartDate":"Fri Feb 09 2018 00:00:00 GMT-0500 (Eastern Standard Time)","mtpDate":"Thu Aug 09 2018 00:00:00 GMT-0400 (Eastern Daylight Time)","firstMtpDate":"Thu Aug 09 2018 00:00:00 GMT-0400 (Eastern Daylight Time)","overallStatus":"Complete","phase":"Planning First","stage":"Post Prod","health":"Green","completionDate":"","wdEngManager":"Evan Epstein","damFullName":"","primingPartner":"0011B000029UdJsQAK","implPartner":"0011B000029UdJsQAK","partner":"NeoSystems LLC","currentUpdate":"Historical deployment load as part of Adaptive Systems Integration project in FY22. CSM listed as EM due to lack of historical data.","isExecutiveWatch":false,"wellnessData":null},{"deploymentId":"a0rVT00000PyFc5YAF","deploymentName":"Initial Deployment-Your Way-CHCM, USP, FIN, PLNF, PRA, etc.","accountId":"0014X00002ejaAhQAI","accountName":"Cherokee County Health Department","industry":"State &amp; Local Government","region":"US SLED","subRegion":"Local Government LE","subRegionAlt":"US State Gov East","billingState":"Georgia","billingCity":"Dalton","deploymentStartDate":"Mon Mar 17 2025 00:00:00 GMT-0400 (Eastern Daylight Time)","mtpDate":"Mon Dec 15 2025 00:00:00 GMT-0500 (Eastern Standard Time)","firstMtpDate":"Mon Dec 15 2025 00:00:00 GMT-0500 (Eastern Standard Time)","overallStatus":"Complete","phase":"Your Way","stage":"Deploy","health":"Green","completionDate":"Sun Mar 01 2026 00:00:00 GMT-0500 (Eastern Standard Time)","wdEngManager":"Stephanie Denham","damFullName":"","primingPartner":"0018000000hIF6bAAG","implPartner":"0018000000hIF6bAAG","partner":"Workday Professional Services","currentUpdate":"1/7/2026 - No major Post Production issues.  1st payroll processing is this week.","isExecutiveWatch":false,"wellnessData":null},{"deploymentId":"a0rVT00000tVYgrYAG","deploymentName":"Subsequent-Phase X: Financial Planning, Prism","accountId":"0014X00002ejaAhQAI","accountName":"Cherokee County Health Department","industry":"State &amp; Local Government","region":"US SLED","subRegion":"Local Government LE","subRegionAlt":"US State Gov East","billingState":"Georgia","billingCity":"Dalton","deploymentStartDate":"Mon Dec 22 2025 00:00:00 GMT-0500 (Eastern Standard Time)","mtpDate":"Mon May 18 2026 00:00:00 GMT-0400 (Eastern Daylight Time)","firstMtpDate":"Mon May 18 2026 00:00:00 GMT-0400 (Eastern Daylight Time)","overallStatus":"Complete","phase":"Your Way","stage":"Post Prod","health":"Green","completionDate":"Fri Jun 12 2026 00:00:00 GMT-0400 (Eastern Daylight Time)","wdEngManager":"Stephanie Denham","damFullName":"","primingPartner":"0018000000hIF6bAAG","implPartner":"0018000000hIF6bAAG","partner":"Workday Professional Services","currentUpdate":"6/15/2026 - project went live.  there are no INT to report.  Post production support is closed.","isExecutiveWatch":false,"wellnessData":null},{"deploymentId":"a0r4X00000DOuTwQAL","deploymentName":"Subsequent Deployment - Planning First : Financial Planning","accountId":"0018000000WtyzyAAB","accountName":"Chickasaw Nation Industries, Inc.","industry":"Special Districts","region":"US SLED","subRegion":"Local Government ME","subRegionAlt":"US Local Gov ME CB","billingState":"Oklahoma","billingCity":"Ada","deploymentStartDate":"Mon Apr 01 2019 00:00:00 GMT-0400 (Eastern Daylight Time)","mtpDate":"Tue Oct 01 2019 00:00:00 GMT-0400 (Eastern Daylight Time)","firstMtpDate":"Tue Oct 01 2019 00:00:00 GMT-0400 (Eastern Daylight Time)","overallStatus":"Complete","phase":"Planning First","stage":"Post Prod","health":"Green","completionDate":"","wdEngManager":"Mike Fell","damFullName":"","primingPartner":"0011B00002CZYgHQAX","implPartner":"0011B00002CZYgHQAX","partner":"PBU Partner Ecosystem","currentUpdate":"Historical deployment load as part of Adaptive Systems Integration project in FY22. CSM listed as EM due to lack of historical data.","isExecutiveWatch":false,"wellnessData":null},{"deploymentId":"a0r4X00000DbjnRQAR","deploymentName":"Initial Deployment-Launch Suite: LDPHCM, LDPUSP, LDPREC, LDPTLO, LDPFIN, etc.","accountId":"0018000001WMFuIAAX","accountName":"Chukchansi Economic Development Authority","industry":"Special Districts","region":"US SLED","subRegion":"Local Government ME","subRegionAlt":"US Local Gov ME CB","billingState":"California","billingCity":"Coarsegold","deploymentStartDate":"Thu Jul 14 2022 00:00:00 GMT-0400 (Eastern Daylight Time)","mtpDate":"Sun Jun 25 2023 00:00:00 GMT-0400 (Eastern Daylight Time)","firstMtpDate":"Sun Jun 25 2023 00:00:00 GMT-0400 (Eastern Daylight Time)","overallStatus":"Complete","phase":"Launch","stage":"Deploy","health":"Green","completionDate":"Fri Aug 18 2023 00:00:00 GMT-0400 (Eastern Daylight Time)","wdEngManager":"","damFullName":"","primingPartner":"0018000001DAlZZAA1","implPartner":"0018000001DAlZZAA1","partner":"CrossCountry Consulting LLC","currentUpdate":"Project Complete","isExecutiveWatch":false,"wellnessData":null},{"deploymentId":"a0r4X00000DOuUGQA1","deploymentName":"Subsequent Deployment - Planning First : Financial Planning","accountId":"0011B00002HkFdiQAF","accountName":"Chukchansi Gold Resort &amp; Casino PLN","industry":"Special Districts","region":"US SLED","subRegion":"Local Government ME","subRegionAlt":"US Local Gov ME CB","billingState":"California","billingCity":"Coarsegold","deploymentStartDate":"Fri Jan 31 2020 00:00:00 GMT-0500 (Eastern Standard Time)","mtpDate":"Fri Jul 31 2020 00:00:00 GMT-0400 (Eastern Daylight Time)","firstMtpDate":"Fri Jul 31 2020 00:00:00 GMT-0400 (Eastern Daylight Time)","overallStatus":"Complete","phase":"Planning First","stage":"Post Prod","health":"Green","completionDate":"","wdEngManager":"Joe Sorquist","damFullName":"","primingPartner":"0011B00002CZYgHQAX","implPartner":"0011B00002CZYgHQAX","partner":"PBU Partner Ecosystem","currentUpdate":"Historical deployment load as part of Adaptive Systems Integration project in FY22. CSM listed as EM due to lack of historical data.","isExecutiveWatch":false,"wellnessData":null},{"deploymentId":"a0r4X00000</t>
  </si>
  <si>
    <t>DePuy Synthes Products, Inc.</t>
  </si>
  <si>
    <t>a0pVT0000096VVNYA2</t>
  </si>
  <si>
    <t>a0pVT000008pEdpYAE</t>
  </si>
  <si>
    <t>As of 07/08/26: Completed Partnership and TPP Kickoff with client on 04/08/2026</t>
  </si>
  <si>
    <t>a0pVT000008pENhYAM</t>
  </si>
  <si>
    <t>Deutsche Bank AG</t>
  </si>
  <si>
    <t>a0pVT00000Aep2tYAB</t>
  </si>
  <si>
    <t>a0rVT000010LpYlYAK</t>
  </si>
  <si>
    <t>sfdcRows:default:chunk:1</t>
  </si>
  <si>
    <t>a0pVT00000BwsUjYAJ</t>
  </si>
  <si>
    <t>a0rVT000010PD9fYAG</t>
  </si>
  <si>
    <t>DB prod integration is validated, the BP tool fixed, and HiredScore SDA approved. Risks: 3 months working at risk without a signed CO, pending Works Council approvals, and a Workday security concern. Actions: align on escalation and update CO status.</t>
  </si>
  <si>
    <t>a0rVT000015bGOjYAM</t>
  </si>
  <si>
    <t>a0pVT000008Abw9YAC</t>
  </si>
  <si>
    <t>Pia Hilfert</t>
  </si>
  <si>
    <t>Restaffing activities still ongoing, Design Workshops currently taking place.
5 Aug - Design phase ongoing</t>
  </si>
  <si>
    <t>a0rVT000017IhbRYAS</t>
  </si>
  <si>
    <t>DFS Corporate Services LLC</t>
  </si>
  <si>
    <t>a0pVT00000BP8dZYAT</t>
  </si>
  <si>
    <t>a0rVT000010WmBHYA0</t>
  </si>
  <si>
    <t>Update 08/17/26: Pre-kickoff was planned for 07/15/26. Client has been non-responsive to future plans. EM has engaged AE's on account. Deadline to get final update from client before putting the project on hold is 8/19.</t>
  </si>
  <si>
    <t>a0rVT000012UqXUYA0</t>
  </si>
  <si>
    <t>Diligent Corporation</t>
  </si>
  <si>
    <t>Kat Evans</t>
  </si>
  <si>
    <t>a0pVT000009AImTYAW</t>
  </si>
  <si>
    <t>a0rVT000010Wpc7YAC</t>
  </si>
  <si>
    <t>8/6/2026: Currently in Plan &amp; Prepare stage.</t>
  </si>
  <si>
    <t>a0rVT000011yRM1YAM</t>
  </si>
  <si>
    <t>Dine Brands Global, Inc.</t>
  </si>
  <si>
    <t>a0pVT000009AIePYAW</t>
  </si>
  <si>
    <t>a0pVT0000092iPZYAY</t>
  </si>
  <si>
    <t>8/17/26 - Currently in SIT testing which ends 8/21 followed by the start of E2E on 8/24.</t>
  </si>
  <si>
    <t>a0rVT00000n7LV7YAM</t>
  </si>
  <si>
    <t>Evisort legacy Scorecard</t>
  </si>
  <si>
    <t>DIRECTV, LLC</t>
  </si>
  <si>
    <t>a0pVT000009AzD7YAK</t>
  </si>
  <si>
    <t>a0rVT000010lGf7YAE</t>
  </si>
  <si>
    <t>US DI LE CB TM &amp; PS Southwest</t>
  </si>
  <si>
    <t>a0pVT000009AcuvYAC</t>
  </si>
  <si>
    <t>7/31 moved to production</t>
  </si>
  <si>
    <t>a0rVT000011IcXBYA0</t>
  </si>
  <si>
    <t>a0pVT0000094yLOYAY</t>
  </si>
  <si>
    <t>a0rVT000010uhBVYAY</t>
  </si>
  <si>
    <t>Do It, LLC dba The Revenue Optimization Companies</t>
  </si>
  <si>
    <t>a0pVT0000094yLNYAY</t>
  </si>
  <si>
    <t>Jackie Moreno</t>
  </si>
  <si>
    <t>a0pVT000008e1jxYAA</t>
  </si>
  <si>
    <t>a0rVT000010up8zYAA</t>
  </si>
  <si>
    <t>8/3: 8/4 go-live is still in progress. Go-live check-in calls scheduled.</t>
  </si>
  <si>
    <t>a0rVT00000xRlNUYA0</t>
  </si>
  <si>
    <t>doTERRA International, LLC</t>
  </si>
  <si>
    <t>a0pVT000008e4WXYAY</t>
  </si>
  <si>
    <t>a0pVT000008dvQ3YAI</t>
  </si>
  <si>
    <t>a0rVT000010xJULYA2</t>
  </si>
  <si>
    <t>Client is Live!</t>
  </si>
  <si>
    <t>a0rVT000012CQLMYA4</t>
  </si>
  <si>
    <t>DoubleVerify Inc.</t>
  </si>
  <si>
    <t>a0pVT00000Bv5hOYAR</t>
  </si>
  <si>
    <t>a0pVT000009SJXBYA4</t>
  </si>
  <si>
    <t>Technical production prerequisites are in progress, now it TIC validation. Production data export remains on track for Sept 6, with official Go-Live set for Sept 21. Charlie Akre is leading the u
Osnat re-engaged with the client about production migration</t>
  </si>
  <si>
    <t>a0rVT000018VMEmYAO</t>
  </si>
  <si>
    <t>Subsequent-Adhoc-Other: Evisort Only</t>
  </si>
  <si>
    <t>a0pVT000008e7NxYAI</t>
  </si>
  <si>
    <t>Douglas County School District</t>
  </si>
  <si>
    <t>a0rVT0000111HvQYAU</t>
  </si>
  <si>
    <t>a0pVT000008OWtQYAW</t>
  </si>
  <si>
    <t>0011B00002CZvnrQAD</t>
  </si>
  <si>
    <t>Architect and Configuration Sessions have begun.</t>
  </si>
  <si>
    <t>a0pVT000008Vg6jYAC</t>
  </si>
  <si>
    <t>a0rVT00000Oa1ivYAB</t>
  </si>
  <si>
    <t>a0rVT000011DmCUYA0</t>
  </si>
  <si>
    <t>Driscoll Children's Hospital</t>
  </si>
  <si>
    <t>a0pVT000008by8fYAA</t>
  </si>
  <si>
    <t>a0rVT000011EAPrYAO</t>
  </si>
  <si>
    <t>a0pVT000008byLZYAY</t>
  </si>
  <si>
    <t>Scorecard request: 2685764</t>
  </si>
  <si>
    <t>a0rVT00000zvJMEYA2</t>
  </si>
  <si>
    <t>Duck Creek Technologies LLC</t>
  </si>
  <si>
    <t>a0pVT000008bya5YAA</t>
  </si>
  <si>
    <t xml:space="preserve">DOuUQQA1","deploymentName":"Subsequent Deployment - Planning First : Financial Planning","accountId":"0011B00002HkFdjQAF","accountName":"CIRM","industry":"State &amp; Local Government","region":"US SLED","subRegion":"Local Government LE","subRegionAlt":"US Local Gov LE NN &amp; States West","billingState":"California","billingCity":"South San Francisco","deploymentStartDate":"Wed Jul 24 2019 00:00:00 GMT-0400 (Eastern Daylight Time)","mtpDate":"Fri Jan 24 2020 00:00:00 GMT-0500 (Eastern Standard Time)","firstMtpDate":"Fri Jan 24 2020 00:00:00 GMT-0500 (Eastern Standard Time)","overallStatus":"Complete","phase":"Planning First","stage":"Post Prod","health":"Green","completionDate":"","wdEngManager":"Summer Pilgeram","damFullName":"","primingPartner":"0011B00002CZYgHQAX","implPartner":"0011B00002CZYgHQAX","partner":"PBU Partner Ecosystem","currentUpdate":"Historical deployment load as part of Adaptive Systems Integration project in FY22. CSM listed as EM due to lack of historical data.","isExecutiveWatch":false,"wellnessData":null},{"deploymentId":"a0r800000049QupAAE","deploymentName":"Financials Initial Deployment: FIN, PRO","accountId":"0018000000LUwbiAAD","accountName":"City and County of Denver","industry":"State &amp; Local Government","region":"US SLED","subRegion":"Local Government LE","subRegionAlt":"US Local Gov LE CB","billingState":"Colorado","billingCity":"Denver","deploymentStartDate":"Fri Jan 01 2016 00:00:00 GMT-0500 (Eastern Standard Time)","mtpDate":"Mon Aug 28 2017 00:00:00 GMT-0400 (Eastern Daylight Time)","firstMtpDate":"Mon Aug 28 2017 00:00:00 GMT-0400 (Eastern Daylight Time)","overallStatus":"Complete","phase":"Your Way","stage":"Post Prod","health":"Green","completionDate":"Fri Oct 27 2017 00:00:00 GMT-0400 (Eastern Daylight Time)","wdEngManager":"","damFullName":"","primingPartner":"0018000000nlcXyAAI","implPartner":"0018000000nlcXyAAI","partner":"Sierra-Cedar, Inc.","currentUpdate":"Client very positive about Workday.  Migration to Production completed. Integrations moving rapidly. Issues so far are data related and are being worked.  Coordination between CCD and DEN (DIA airport) going well.","isExecutiveWatch":false,"wellnessData":null},{"deploymentId":"a0r800000049QukAAE","deploymentName":"Initial Deployment: GM, PRJ, USP, CCB, HCM","accountId":"0018000000LUwbiAAD","accountName":"City and County of Denver","industry":"State &amp; Local Government","region":"US SLED","subRegion":"Local Government LE","subRegionAlt":"US Local Gov LE CB","billingState":"Colorado","billingCity":"Denver","deploymentStartDate":"Mon Aug 10 2015 00:00:00 GMT-0400 (Eastern Daylight Time)","mtpDate":"Mon Jan 02 2017 00:00:00 GMT-0500 (Eastern Standard Time)","firstMtpDate":"Mon Jan 02 2017 00:00:00 GMT-0500 (Eastern Standard Time)","overallStatus":"Complete","phase":"Your Way","stage":"Post Prod","health":"Green","completionDate":"Fri Feb 03 2017 00:00:00 GMT-0500 (Eastern Standard Time)","wdEngManager":"","damFullName":"","primingPartner":"0018000000nlcXyAAI","implPartner":"0018000000nlcXyAAI","partner":"Sierra-Cedar, Inc.","currentUpdate":"Heatmap update 875818","isExecutiveWatch":false,"wellnessData":null},{"deploymentId":"a0r80000005hHPqAAM","deploymentName":"Subsequent - PhaseX:Recruiting","accountId":"0018000000LUwbiAAD","accountName":"City and County of Denver","industry":"State &amp; Local Government","region":"US SLED","subRegion":"Local Government LE","subRegionAlt":"US Local Gov LE CB","billingState":"Colorado","billingCity":"Denver","deploymentStartDate":"Wed Jul 19 2017 00:00:00 GMT-0400 (Eastern Daylight Time)","mtpDate":"Mon Aug 27 2018 00:00:00 GMT-0400 (Eastern Daylight Time)","firstMtpDate":"Mon Aug 27 2018 00:00:00 GMT-0400 (Eastern Daylight Time)","overallStatus":"Complete","phase":"Phase X","stage":"Post Prod","health":"Green","completionDate":"Fri Sep 28 2018 00:00:00 GMT-0400 (Eastern Daylight Time)","wdEngManager":"","damFullName":"","primingPartner":"0018000000nlcXyAAI","implPartner":"0018000000nlcXyAAI","partner":"Sierra-Cedar, Inc.","currentUpdate":"The post production support is complete.  This scorecard can be closed.","isExecutiveWatch":false,"wellnessData":null},{"deploymentId":"a0r4X00000CrVq2QAF","deploymentName":"Subsequent- Phase X- Launch Deployment for Workday Strategic Sourcing","accountId":"0018000000LUwbiAAD","accountName":"City and County of Denver","industry":"State &amp; Local Government","region":"US SLED","subRegion":"Local Government LE","subRegionAlt":"US Local Gov LE CB","billingState":"Colorado","billingCity":"Denver","deploymentStartDate":"Mon Jul 29 2024 00:00:00 GMT-0400 (Eastern Daylight Time)","mtpDate":"Tue Feb 18 2025 00:00:00 GMT-0500 (Eastern Standard Time)","firstMtpDate":"Tue Feb 18 2025 00:00:00 GMT-0500 (Eastern Standard Time)","overallStatus":"Complete","phase":"Your Way","stage":"Post Prod","health":"Green","completionDate":"Wed Mar 26 2025 00:00:00 GMT-0400 (Eastern Daylight Time)","wdEngManager":"","damFullName":"","primingPartner":"0018000000hIF6bAAG","implPartner":"0018000000hIF6bAAG","partner":"Workday Professional Services","currentUpdate":"3/26/25 - 2765876","isExecutiveWatch":false,"wellnessData":null},{"deploymentId":"a0r80000008Yd6BAAS","deploymentName":"Subsequent-Phase X: Expenses &amp; Customer Contracts","accountId":"0018000000LUwbiAAD","accountName":"City and County of Denver","industry":"State &amp; Local Government","region":"US SLED","subRegion":"Local Government LE","subRegionAlt":"US Local Gov LE CB","billingState":"Colorado","billingCity":"Denver","deploymentStartDate":"Fri Mar 23 2018 00:00:00 GMT-0400 (Eastern Daylight Time)","mtpDate":"Mon Jul 16 2018 00:00:00 GMT-0400 (Eastern Daylight Time)","firstMtpDate":"Mon Jul 16 2018 00:00:00 GMT-0400 (Eastern Daylight Time)","overallStatus":"Complete","phase":"Phase X","stage":"Post Prod","health":"Green","completionDate":"Tue Jan 15 2019 00:00:00 GMT-0500 (Eastern Standard Time)","wdEngManager":"","damFullName":"","primingPartner":"0018000000nlcXyAAI","implPartner":"0018000000nlcXyAAI","partner":"Sierra-Cedar, Inc.","currentUpdate":"01.15.19: Closing Project, deployment complete.","isExecutiveWatch":false,"wellnessData":null},{"deploymentId":"a0r1B00000BdIEMQA3","deploymentName":"Subsequent-Phase X: Workday Prism","accountId":"0018000000LUwbiAAD","accountName":"City and County of Denver","industry":"State &amp; Local Government","region":"US SLED","subRegion":"Local Government LE","subRegionAlt":"US Local Gov LE CB","billingState":"Colorado","billingCity":"Denver","deploymentStartDate":"Tue Sep 17 2019 00:00:00 GMT-0400 (Eastern Daylight Time)","mtpDate":"Thu Jan 30 2020 00:00:00 GMT-0500 (Eastern Standard Time)","firstMtpDate":"Thu Jan 30 2020 00:00:00 GMT-0500 (Eastern Standard Time)","overallStatus":"Complete","phase":"Phase X - Your Way","stage":"Deploy","health":"Green","completionDate":"Wed Apr 29 2020 00:00:00 GMT-0400 (Eastern Daylight Time)","wdEngManager":"","damFullName":"","primingPartner":"0011B00002H9DAaQAN","implPartner":"0011B00002H9DAaQAN","partner":"SCI WDSFMS Services, LLC","currentUpdate":"wj 2.1 moved to production on 1/30.  Post Production support through 2/14.","isExecutiveWatch":false,"wellnessData":null},{"deploymentId":"a0r1B00000B26NCQAZ","deploymentName":"Subsequent-PhaseX: Learning","accountId":"0018000000LUwbiAAD","accountName":"City and County of Denver","industry":"State &amp; Local Government","region":"US SLED","subRegion":"Local Government LE","subRegionAlt":"US Local Gov LE CB","billingState":"Colorado","billingCity":"Denver","deploymentStartDate":"Tue Nov 20 2018 00:00:00 GMT-0500 (Eastern Standard Time)","mtpDate":"Mon Apr 29 2019 00:00:00 GMT-0400 (Eastern Daylight Time)","firstMtpDate":"Mon Apr 29 2019 00:00:00 GMT-0400 (Eastern Daylight Time)","overallStatus":"Complete","phase":"Phase X - Your Way","stage":"Post Prod","health":"Green","completionDate":"Thu Jun 13 2019 00:00:00 GMT-0400 (Eastern Daylight Time)","wdEngManager":"","damFullName":"","primingPartner":"0018000000nlcXyAAI","implPartner":"0018000000nlcXyAAI","partner":"Sierra-Cedar, Inc.","currentUpdate":"Post production support ends on 5/31/2019.  The deployment is progressing well.  Final DA Reviews with the client conducted.  Will be closing out the Scorecard on 6/15/2019.","isExecutiveWatch":false,"wellnessData":null},{"deploymentId":"a0r1B00000BdeWxQAJ","deploymentName":"Initial Deployment-Launch Suite: LDPHCM, LDPUSP, LDPFIN, LDPEXP, LDPPLN, etc.","accountId":"0018000000kuwKXAAY","accountName":"City of Akron","industry":"State &amp; Local Government","region":"US SLED","subRegion":"Local Government ME","subRegionAlt":"US Local Gov ME CB","billingState":"Ohio","billingCity":"Akron","deploymentStartDate":"Mon May 04 2020 00:00:00 GMT-0400 (Eastern Daylight Time)","mtpDate":"Tue Mar 16 2021 00:00:00 GMT-0400 (Eastern Daylight Time)","firstMtpDate":"Tue Mar 16 2021 00:00:00 GMT-0400 (Eastern Daylight Time)","overallStatus":"Complete","phase":"Launch","stage":"Deploy","health":"Green","completionDate":"Mon Jun 14 2021 00:00:00 GMT-0400 (Eastern Daylight Time)","wdEngManager":"","damFullName":"","primingPartner":"0018000000hIF6bAAG","implPartner":"0018000000hIF6bAAG","partner":"Workday Professional Services","currentUpdate":"GL, cash, and asset data conversion is complete.  KT sessions have completed for Banking &amp; Settlements as well as Assets.  Final KT sessions completing by 5/28 for remain FIN workstreams to finish up post production support and close project out.","isExecutiveWatch":false,"wellnessData":null},{"deploymentId":"a0r4X00000DNiEpQAL","deploymentName":"Subsequent - Phase X - Launch: Adaptive Planning","accountId":"0018000000kuwKXAAY","accountName":"City of Akron","industry":"State &amp; Local Government","region":"US SLED","subRegion":"Local Government ME","subRegionAlt":"US Local Gov ME CB","billingState":"Ohio","billingCity":"Akron","deploymentStartDate":"Thu Jul 29 2021 00:00:00 GMT-0400 (Eastern Daylight Time)","mtpDate":"Mon Mar 07 2022 00:00:00 GMT-0500 (Eastern Standard Time)","firstMtpDate":"Mon Mar 07 2022 00:00:00 GMT-0500 (Eastern Standard Time)","overallStatus":"Complete","phase":"Phase X - Planning","stage":"Post Prod","health":"Green","completionDate":"Fri May 13 2022 00:00:00 GMT-0400 (Eastern Daylight Time)","wdEngManager":"","damFullName":"","primingPartner":"0018000000hIF6bAAG","implPartner":"0018000000hIF6bAAG","partner":"Workday Professional Services","currentUpdate":"Completed","isExecutiveWatch":false,"wellnessData":null},{"deploymentId":"a0rVT000012spwkYAA","deploymentName":"Subsequent-Phase X: Recruiting","accountId":"0018000000kuwKXAAY","accountName":"City of Akron","industry":"State &amp; Local Government","region":"US SLED","subRegion":"Local Government ME","subRegionAlt":"US Local Gov ME CB","billingState":"Ohio","billingCity":"Akron","deploymentStartDate":"Sun Mar 01 2026 00:00:00 GMT-0500 (Eastern Standard Time)","mtpDate":"Tue Dec 01 2026 00:00:00 GMT-0500 (Eastern Standard Time)","firstMtpDate":"","overallStatus":"Active","phase":"Launch","stage":"Plan","health":"Green","completionDate":"","wdEngManager":"","damFullName":"","primingPartner":"0011B00002CZvnrQAD","implPartner":"0011B00002CZvnrQAD","partner":"Guidehouse Inc","currentUpdate":"Partnering with the client in the architecture and configuration phase of the project.","isExecutiveWatch":false,"wellnessData":null},{"deploymentId":"a0r4X00000DdMCGQA3","deploymentName":"Initial Deployment-Your Way: CHCM, TLO, CCB, USP, LRN, REC, FIN, etc.","accountId":"0018000000kuwL1AAI","accountName":"City of Amarillo (Precision Task Group, Inc.)","industry":"State &amp; Local Government","region":"US SLED","subRegion":"Local Government ME","subRegionAlt":"US Local Gov ME CB","billingState":"Texas","billingCity":"Amarillo","deploymentStartDate":"Tue Jan 03 2023 00:00:00 GMT-0500 (Eastern Standard Time)","mtpDate":"Mon Dec 11 2023 00:00:00 GMT-0500 (Eastern Standard Time)","firstMtpDate":"Mon Dec 11 2023 00:00:00 GMT-0500 (Eastern Standard Time)","overallStatus":"Complete","phase":"Your Way","stage":"Post Prod","health":"Green","completionDate":"Wed Feb 07 2024 00:00:00 GMT-0500 (Eastern Standard Time)","wdEngManager":"","damFullName":"Karma Seawright","primingPartner":"0018000000MWLslAAH","implPartner":"0018000000MWLslAAH","partner":"Collaborative Solutions, LLC","currentUpdate":"Week ending February 2, 2024\nProject is complete.  Final checkpoint to be completed on 02/07/2024.","isExecutiveWatch":false,"wellnessData":null},{"deploymentId":"a0r4X00000E137hQAB","deploymentName":"Phase 2: FIN, BUDGET, BANK, PRO, SUPP, BA, EXP, REV, PROJ, GRANTS, INV, PRISM","accountId":"0018000000kuwL1AAI","accountName":"City of Amarillo (Precision Task Group, Inc.)","industry":"State &amp; Local Government","region":"US SLED","subRegion":"Local Government ME","subRegionAlt":"US Local Gov ME CB","billingState":"Texas","billingCity":"Amarillo","deploymentStartDate":"Mon Jan 29 2024 00:00:00 GMT-0500 (Eastern Standard Time)","mtpDate":"Thu Jan 02 2025 00:00:00 GMT-0500 (Eastern Standard Time)","firstMtpDate":"Thu Jan 02 2025 00:00:00 GMT-0500 (Eastern Standard Time)","overallStatus":"Complete","phase":"Phase X - Launch","stage":"Post Prod","health":"Green","completionDate":"Fri Feb 28 2025 00:00:00 GMT-0500 (Eastern Standard Time)","wdEngManager":"","damFullName":"Stephen Patmont","primingPartner":"0018000000MWLslAAH","implPartner":"0018000000MWLslAAH","partner":"Collaborative Solutions, LLC","currentUpdate":"Week ending February 28, 2025, conclude production support.  Work on final sign off.","isExecutiveWatch":false,"wellnessData":null},{"deploymentId":"a0r4X00000CaDOMQA3","deploymentName":"Initial Deployment-Your Way: FIN, GM, PRJT, PRO","accountId":"0018000000Wtz0BAAR","accountName":"City of Arlington (Texas) (Precision Task Group, Inc.)","industry":"State &amp; Local Government","region":"US SLED","subRegion":"Local Government ME","subRegionAlt":"US Local Gov ME CB","billingState":"Texas","billingCity":"Arlington","deploymentStartDate":"Tue Oct 06 2020 00:00:00 GMT-0400 (Eastern Daylight Time)","mtpDate":"Sun Aug 01 2021 00:00:00 GMT-0400 (Eastern Daylight Time)","firstMtpDate":"Sun Aug 01 2021 00:00:00 GMT-0400 (Eastern Daylight Time)","overallStatus":"Complete","phase":"Your Way","stage":"Post Prod","health":"Green","completionDate":"Fri Oct 01 2021 00:00:00 GMT-0400 (Eastern Daylight Time)","wdEngManager":"","damFullName":"","primingPartner":"00130000008MSknAAG","implPartner":"00130000008MSknAAG","partner":"Accenture LLP","currentUpdate":"CoA is live.  Accenture supporting CoA through their first month end close and year end close.","isExecutiveWatch":false,"wellnessData":null},{"deploymentId":"a0r4X00000ETUoVQAX","deploymentName":"Subsequent- Phase X - Time Tracking","accountId":"0018000000Wtz0BAAR","accountName":"City of Arlington (Texas) (Precision Task Group, Inc.)","industry":"State &amp; Local Government","region":"US SLED","subRegion":"Local Government ME","subRegionAlt":"US Local Gov ME CB","billingState":"Texas","billingCity":"Arlington","deploymentStartDate":"Thu Aug 22 2024 00:00:00 GMT-0400 (Eastern Daylight Time)","mtpDate":"Mon Feb 17 2025 00:00:00 GMT-0500 (Eastern Standard Time)","firstMtpDate":"Mon Feb 17 2025 00:00:00 GMT-0500 (Eastern Standard Time)","overallStatus":"Complete","phase":"Launch","stage":"Post Prod","health":"Green","completionDate":"Mon Mar 03 2025 00:00:00 GMT-0500 (Eastern Standard Time)","wdEngManager":"","damFullName":"","primingPartner":"0011B00002GOCXVQA5","implPartner":"0011B00002GOCXVQA5","partner":"Okorio, LLC","currentUpdate":"Post Prod support complete.","isExecutiveWatch":false,"wellnessData":null},{"deploymentId":"a0r4X00000DOlksQAD","deploymentName":"Subsequent-Phase X: Absence, Benefits, Compensation, Core HR, and Payroll","accountId":"0018000000Wtz0BAAR","accountName":"City of Arlington (Texas) (Precision Task Group, Inc.)","industry":"State &amp; Local Government","region":"US SLED","subRegion":"Local Government ME","subRegionAlt":"US Local Gov ME CB","billingState":"Texas","billingCity":"Arlington","deploymentStartDate":"Mon Mar 01 2021 00:00:00 GMT-0500 (Eastern Standard Time)","mtpDate":"Wed Aug 30 2023 00:00:00 GMT-0400 (Eastern Daylight Time)","firstMtpDate":"Wed Aug 30 2023 00:00:00 GMT-0400 (Eastern Daylight Time)","overallStatus":"Complete","phase":"Phase X - Your Way","stage":"Post Prod","health":"Green","completionDate":"Tue Oct 31 2023 00:00:00 GMT-0400 (Eastern Daylight Time)","wdEngManager":"","damFullName":"Machelle Starling","primingPartner":"00130000008MSknAAG","implPartner":"00130000008MSknAAG","partner":"Accenture LLP","currentUpdate":"10.30.23: Post prod support ongoing. Nothing significant to support/","isExecutiveWatch":false,"wellnessData":null},{"deploymentId":"a0r4X00000DdM7LQAV","deploymentName":"Subsequent-Phase X: Phase 3 Recruiting &amp; Performance","accountId":"0018000000Wtz0BAAR","accountName":"City of Arlington (Texas) (Precision Task Group, Inc.)","industry":"State &amp; Local Government","region":"US SLED","subRegion":"Local Government ME","subRegionAlt":"US Local Gov ME CB","billingState":"Texas","billingCity":"Arlington","deploymentStartDate":"Mon Feb 05 2024 00:00:00 GMT-0500 (Eastern Standard Time)","mtpDate":"Mon Mar 24 2025 00:00:00 GMT-0400 (Eastern Daylight Time)","firstMtpDate":"Mon Mar 24 2025 00:00:00 GMT-0400 (Eastern Daylight Time)","overallStatus":"Complete","phase":"Phase X - Launch","stage":"Post Prod","health":"Green","completionDate":"Wed Jun 04 2025 00:00:00 GMT-0400 (Eastern Daylight Time)","wdEngManager":"","damFullName":"","primingPartner":"00130000008MSknAAG","implPartner":"00130000008MSknAAG","partner":"Accenture LLP","currentUpdate":"Phase III:  Project Closed.  Scorecard will not update to complete, working with WD to update to closed. Case is open\n\n2844747 - scorecard close request","isExecutiveWatch":false,"wellnessData":null},{"deploymentId":"a0r4X00000D7sbKQAR","deploymentName":"Initial Deployment-Your Way: CHCM, TLO, CCB, USP, REC, FIN, etc.","accountId":"0018000000pORgfAAG","accountName":"City of Arvada","industry":"State &amp; Local Government","region":"US SLED","subRegion":"Local Government ME","subRegionAlt":"US Local Gov ME CB","billingState":"Colorado","billingCity":"Arvada","deploymentStartDate":"Wed Aug 23 2023 00:00:00 GMT-0400 (Eastern Daylight Time)","mtpDate":"Mon Sep 02 2024 00:00:00 GMT-0400 (Eastern Daylight Time)","firstMtpDate":"Mon Sep 02 2024 00:00:00 GMT-0400 (Eastern Daylight Time)","overallStatus":"Complete","phase":"Your Way","stage":"Post Prod","health":"Green","completionDate":"Fri Apr 25 2025 00:00:00 GMT-0400 (Eastern Daylight Time)","wdEngManager":"","damFullName":"Alexis Celani","primingPartner":"0011B00002CZvnrQAD","implPartner":"0011B00002CZvnrQAD","partner":"Guidehouse Inc","currentUpdate":"•\tPhase 2 (HCM PATT) – Post Prod / Hypercare ended April 25th.  Now on annual AMS support from Guidehouse.\n \n•\tPhase 3 (Adaptive) – Arvada has chosen not to complete their Adaptive Implementation.","isExecutiveWatch":false,"wellnessData":null},{"deploymentId":"a0r4X00000DNBq6QAH","deploymentName":"Initial Deployment-Your Way: CHCM, TLO, CCB, USP, REC, TT","accountId":"0018000000mLbGpAAK","accountName":"City of Aurora","industry":"State &amp; Local Government","region":"US SLED","subRegion":"Local Government LE","subRegionAlt":"US Local Gov LE CB","billingState":"Colorado","billingCity":"Aurora","deploymentStartDate":"Wed Jul 07 2021 00:00:00 GMT-0400 (Eastern Daylight Time)","mtpDate":"Thu Dec 15 2022 00:00:00 GMT-0500 (Eastern Standard Time)","firstMtpDate":"Thu Dec 15 2022 00:00:00 GMT-0500 (Eastern Standard Time)","overallStatus":"Complete","phase":"Your Way","stage":"Post Prod","health":"Green","completionDate":"Wed Jan 25 2023 00:00:00 GMT-0500 (Eastern Standard Time)","wdEngManager":"","damFullName":"","primingPartner":"0018000000MWLslAAH","implPartner":"0018000000MWLslAAH","partner":"Collaborative Solutions, LLC","currentUpdate":"Post Production Support continues; first payroll successfully completed this week","isExecutiveWatch":false,"wellnessData":null},{"deploymentId":"a0r4X00000E03sMQAR","deploymentName":"Initial Deployment-Your Way: CHCM, TLO, HLP, CCB, USP, LRN, etc.","accountId":"0018000000Wtz0EAAR","accountName":"City of Austin (Precision Task Group, Inc.)","industry":"State &amp; Local Government","region":"US SLED","subRegion":"Local Government LE","subRegionAlt":"US Local Gov LE CB","billingState":"Texas","billingCity":"Austin","deploymentStartDate":"Wed Feb 15 2023 00:00:00 GMT-0500 (Eastern Standard Time)","mtpDate":"Sun Jun 15 2025 00:00:00 GMT-0400 (Eastern Daylight Time)","firstMtpDate":"Sun Jun 15 2025 00:00:00 GMT-0400 (Eastern Daylight Time)","overallStatus":"Complete","phase":"Your Way","stage":"Post Prod","health":"Green","completionDate":"Thu Aug 14 2025 00:00:00 GMT-0400 (Eastern Daylight Time)","wdEngManager":"","damFullName":"Sarah Schwartz","primingPartner":"00130000008MSknAAG","implPartner":"00130000008MSknAAG","partner":"Accenture LLP","currentUpdate":"8/15-Prism moved to production on 8/14.  Accenture 60 day post prod support ended on 8/14.","isExecutiveWatch":false,"wellnessData":null},{"deploymentId":"a0r1B00000BnpNJQAZ","deploymentName":"Initial Deployment-Your Way:HCM, CCB, CCTPP, REC, PRA, TT","accountId":"0013000000J0bFnAAJ","accountName":"City of Austin d/b/a Austin Energy (Precision Task Group) (Inactive Account)","industry":"Special Districts","region":"US SLED","subRegion":"Local Government LE","subRegionAlt":"US Local Gov LE CB","billingState":"Texas","billingCity":"Austin","deploymentStartDate":"Wed Jul 01 2020 00:00:00 GMT-0400 (Eastern Daylight Time)","mtpDate":"Thu Apr 08 2021 00:00:00 GMT-0400 (Eastern Daylight Time)","firstMtpDate":"Thu Apr 08 2021 00:00:00 GMT-0400 (Eastern Daylight Time)","overallStatus":"Complete","phase":"Your Way","stage":"Deploy","health":"Green","completionDate":"Wed Jul 07 2021 00:00:00 GMT-0400 (Eastern Daylight Time)","wdEngManager":"","damFullName":"","primingPartner":"00130000008MSknAAG","implPartner":"00130000008MSknAAG","partner":"Accenture LLP","currentUpdate":"5/3: Customer is operating on production, few items remain. Transition to AMS will be complete mid month.","isExecutiveWatch":false,"wellnessData":null},{"deploymentId":"a0rVT00000tjiwUYAQ","deploymentName":"Initial Deployment-Launch-LDPBEN, LDPUSP, LDPLRN, LDPHCM, etc.","accountId":"001VT00000bRjTbYAK","accountName":"City Of Bell Gardens","industry":"State &amp; Local Government","region":"US SLED","subRegion":"Local Government ME","subRegionAlt":"US Local Gov ME CB","billingState":"California","billingCity":"Bell Gardens","deploymentStartDate":"Thu Jan 08 2026 00:00:00 GMT-0500 (Eastern Standard Time)","mtpDate":"Mon Jun 15 2026 00:00:00 GMT-0400 (Eastern Daylight Time)","firstMtpDate":"Mon Jun 15 2026 00:00:00 GMT-0400 (Eastern Daylight Time)","overallStatus":"Active","phase":"Launch Express","stage":"Deploy","health":"Yellow","completionDate":"","wdEngManager":"","damFullName":"","primingPartner":"0014X00002K50GIQAZ","implPartner":"0014X00002K50GIQAZ","partner":"ERP Analysts Inc. dba ERPA","currentUpdate":"Preparing for ESS go live and first payroll","isExecutiveWatch":false,"wellnessData":null},{"deploymentId":"a0rVT00000PgySnYAJ","deploymentName":"Initial Deployment-Launch-LDPHCM, LDPHLP, LDPJRNY, LDPCCB, LDPBEN, etc.","accountId":"0018000000mLf3MAAS","accountName":"City of Bellingham","industry":"State &amp; Local Government","region":"US SLED","subRegion":"Local Government ME","subRegionAlt":"US Local Gov ME CB","billingState":"Washington","billingCity":"Bellingham","deploymentStartDate":"Tue Feb 25 2025 00:00:00 GMT-0500 (Eastern Standard Time)","mtpDate":"Mon Sep 14 2026 00:00:00 GMT-0400 (Eastern Daylight Time)","firstMtpDate":"","overallStatus":"Active","phase":"Launch","stage":"Test","health":"Yellow","completionDate":"","wdEngManager":"Subhasish Moitra","damFullName":"","primingPartner":"0018000000hIF6bAAG","implPartner":"0018000000hIF6bAAG","partner":"Workday Professional Services","currentUpdate":"6/15: FDM solution working, needs to be fine tuned to stop bad entries by user. Some HSA plans UT complete, being moved to E2E Testing.","isExecutiveWatch":false,"wellnessData":null},{"deploymentId":"a0r4X00000CbYjSQAV","deploymentName":"Initial Deployment-Your Way: CHCM, TLO, CCB, USP, LRN, REC, PRA, TT, etc.","accountId":"0018000000Wtz0OAAR","accountName":"City of Boulder, Colorado","industry":"State &amp; Local Government","region":"US SLED","subRegion":"Local Government ME","subRegionAlt":"US Local Gov ME CB","billingState":"Colorado","billingCity":"Boulder","deploymentStartDate":"Mon Apr 05 2021 00:00:00 GMT-0400 (Eastern Daylight Time)","mtpDate":"Mon Oct 31 2022 00:00:00 GMT-0400 (Eastern Daylight Time)","firstMtpDate":"Mon Oct 31 2022 00:00:00 GMT-0400 (Eastern Daylight Time)","overallStatus":"Complete","phase":"Your Way","stage":"Post Prod","health":"Green","completionDate":"Fri Dec 23 2022 00:00:00 GMT-0500 (Eastern Standard Time)","wdEngManager":"","damFullName":"","primingPartner":"0018000000MWLslAAH","implPartner":"0018000000MWLslAAH","partner":"Collaborative Solutions, LLC","currentUpdate":"Post-Production Support through 12/23/2022","isExecutiveWatch":false,"wellnessData":null},{"deploymentId":"a0r4X00000DCFx8QAH","deploymentName":"Subsequent-Phase X-Financials","accountId":"0018000000Wtz0OAAR","accountName":"City of Boulder, Colorado","industry":"State &amp; Local Government","region":"US SLED","subRegion":"Local Government ME","subRegionAlt":"US Local Gov ME CB","billingState":"Colorado","billingCity":"Boulder","deploymentStartDate":"Wed Sep 06 2023 00:00:00 GMT-0400 (Eastern Daylight Time)","mtpDate":"Sun Dec 15 2024 00:00:00 GMT-0500 (Eastern Standard Time)","firstMtpDate":"Sun Dec 15 2024 00:00:00 GMT-0500 (Eastern Standard Time)","overallStatus":"Complete","phase":"Your Way","stage":"Post Prod","health":"Green","completionDate":"Tue Feb 04 2025 00:00:00 GMT-0500 (Eastern Standard Time)","wdEngManager":"","damFullName":"Bill Hansen","primingPartner":"0011B00002CZvnrQAD","implPartner":"0011B00002CZvnrQAD","partner":"Guidehouse Inc","currentUpdate":"1.28.25 - Preparing for contract close.","isExecutiveWatch":false,"wellnessData":null},{"deploymentId":"a0r4X00000E09HWQAZ","deploymentName":"Subsequent-Phase X-Prism Analytics","accountId":"0018000000Wtz0OAAR","accountName":"City of Boulder, Colorado","industry":"State &amp; Local Government","region":"US SLED","subRegion":"Local Government ME","subRegionAlt":"US Local Gov ME CB","billingState":"Colorado","billingCity":"Boulder","deploymentStartDate":"Mon Dec 19 2022 00:00:00 GMT-0500 (Eastern Standard Time)","mtpDate":"Tue Jun 20 2023 00:00:00 GMT-0400 (Eastern Daylight Time)","firstMtpDate":"Tue Jun 20 2023 00:00:00 GMT-0400 (Eastern Daylight Time)","overallStatus":"Complete","phase":"Your Way","stage":"Post Prod","health":"Green","completionDate":"Thu Jul 20 2023 00:00:00 GMT-0400 (Eastern Daylight Time)","wdEngManager":"","damFullName":"","primingPartner":"0018000000MWLslAAH","implPartner":"0018000000MWLslAAH","partner":"Collaborative Solutions, LLC","currentUpdate":"Post Production Support Completed June 30, 2023","isExecutiveWatch":false,"wellnessData":null},{"deploymentId":"a0rVT00000hh6hLYAQ","deploymentName":"Initial Deployment-Launch- LDPFIN, LDPPLNF, LDPPRA, LDPPRJT, LDPTLO,etc","accountId":"0018000000njW8tAAE","accountName":"City of Boynton Beach, FL (IronBrick Associates, LLC)","industry":"State &amp; Local Government","region":"US SLED","subRegion":"Local Government ME","subRegionAlt":"US Local Gov ME CB","billingState":"Florida","billingCity":"Boynton Beach","deploymentStartDate":"Mon Jan 26 2026 00:00:00 GMT-0500 (Eastern Standard Time)","mtpDate":"Fri Oct 01 2027 00:00:00 GMT-0400 (Eastern Daylight Time)","firstMtpDate":"","overallStatus":"Active","phase":"Launch","stage":"Plan","health":"Green","completionDate":"","wdEngManager":"Mindy Stanley","damFullName":"","primingPartner":"0018000000hIF6bAAG","implPartner":"0018000000hIF6bAAG","partner":"Workday Professional Services","currentUpdate":"6/1/26- FIN Unit validation/testing 9 outstanding tests.  Unit test in progress.  Due 6/12  47 in process.  Evisort project plan completed. Can complete as early as Aug or Oct if BB wants. Staffed for 6/8 HCM kickoff.","isExecutiveWatch":false,"wellnessData":null},{"deploymentId":"a0rVT00000Y77kyYAB","deploymentName":"Initial Deployment-Your Way- CHCM, TLO, JRNY, CCB, USP, SRCEXP, etc.","accountId":"0018000000Wtz0XAAR","accountName":"City of Carlsbad","industry":"State &amp; Local Government","region":"US SLED","subRegion":"Local Government ME","subRegionAlt":"US Local Gov ME CB","billingState":"California","billingCity":"Carlsbad","deploymentStartDate":"Wed May 07 2025 00:00:00 GMT-0400 (Eastern Daylight Time)","mtpDate":"Sun Dec 06 2026 00:00:00 GMT-0500 (Eastern Standard Time)","firstMtpDate":"","overallStatus":"Active","phase":"Your Way","stage":"Test","health":"Green","completionDate":"","wdEngManager":"","damFullName":"","primingPartner":"0018000001IzqpSAAR","implPartner":"0018000001IzqpSAAR","partner":"Avaap USA, LLC","currentUpdate":"6/9-- E2E Testing delayed. Go live push until 1/1/27.","isExecutiveWatch":false,"wellnessData":null},{"deploymentId":"a0rVT00000utORLYA2","deploymentName":"Initial Deployment-Launch LDPAM, LDPHCM, LDPCCB, LDPBEN, LDPUSP, LDPLRN, etc","accountId":"0014X00002ltjUMQAY","accountName":"City of Cedar Park, TX (Precision Task Group, Inc.)","industry":"State &amp; Local Government","region":"US SLED","subRegion":"Local Government ME","subRegionAlt":"US Local Gov ME CB","billingState":"Texas","billingCity":"Cedar Park","deploymentStartDate":"Mon Jan 19 2026 00:00:00 GMT-0500 (Eastern Standard Time)","mtpDate":"Mon Sep 28 2026 00:00:00 GMT-0400 (Eastern Daylight Time)","firstMtpDate":"","overallStatus":"Active","phase":"Launch","stage":"Test","health":"Green","completionDate":"","wdEngManager":"Beatriz Fernandez","damFullName":"","primingPartner":"0018000000hIF6bAAG","implPartner":"0018000000hIF6bAAG","partner":"Workday Professional Services","currentUpdate":"E2E test kick-off 6/15, CCS held 6/15. Project on track for 9/28 Go Live.","isExecutiveWatch":false,"wellnessData":null},{"deploymentId":"a0rVT00000quuMXYAY","deploymentName":"Initial Deployment-Launch-LDPSRCEXP, LDPCLM, XTND, WSP, TC, LDPHCM, LDPHLP,","accountId":"0018000000Wtz0ZAAR","accountName":"City of Chandler, AZ","industry":"State &amp; Local Government","region":"US SLED","subRegion":"Local Government ME","subRegionAlt":"US Local Gov ME CB","billingState":"Arizona","billingCity":"Chandler","deploymentStartDate":"Tue Nov 04 2025 00:00:00 GMT-0500 (Eastern Standard Time)","mtpDate":"Tue Jun 01 2027 00:00:00 GMT-0400 (Eastern Daylight Time)","firstMtpDate":"","overallStatus":"Active","phase":"Launch","stage":"Architect &amp; Configure","health":"Green","completionDate":"","wdEngManager":"","damFullName":"","primingPartner":"0018000000MWLslAAH","implPartner":"0018000000MWLslAAH","partner":"Collaborative Solutions, LLC","currentUpdate":"Week Ending 06/19/26 - Scope true up activities, integrations, OC&amp;T and data conversion activities.  Unit Testing week 4 completed.","isExecutiveWatch":false,"wellnessData":null},{"deploymentId":"a0r4X00000DY1ibQAD","deploymentName":"Initial Deployment-Your Way: CHCM, TLO, HLP, JRNY, CCB, USP, LRN, FIN, CCLRN","accountId":"0018000000kuwKhAAI","accountName":"City of Charleston","industry":"State &amp; Local Government","region":"US SLED","subRegion":"Local Government ME","subRegionAlt":"US Local Gov ME CB","billingState":"South Carolina","billingCity":"Charleston","deploymentStartDate":"Mon May 22 2023 00:00:00 GMT-0400 (Eastern Daylight Time)","mtpDate":"Thu Sep 12 2024 00:00:00 GMT-0400 (Eastern Daylight Time)","firstMtpDate":"Thu Sep 12 2024 00:00:00 GMT-0400 (Eastern Daylight Time)","overallStatus":"Complete","phase":"Your Way","stage":"Post Prod","health":"Green","completionDate":"Fri Sep 19 2025 00:00:00 GMT-0400 (Eastern Daylight Time)","wdEngManager":"","damFullName":"Hope Douglass","primingPartner":"0018000000MWLslAAH","implPartner":"0018000000MWLslAAH","partner":"Collaborative Solutions, LLC","currentUpdate":"09/19/2025 :  Completed 4th week of Prism production support.  We may extend the support to an additional week if required but the project is complete and we are closing this scorecard.","isExecutiveWatch":false,"wellnessData":null},{"deploymentId":"a0r4X00000E13a5QAB","deploymentName":"Initial Deployment-Your Way: CHCM, TLO, CCB, USP, LRN, FIN, etc.","accountId":"0018000000dQm9gAAC","accountName":"City of Charlotte","industry":"State &amp; Local Government","region":"US SLED","subRegion":"Local Government LE","subRegionAlt":"US Local Gov LE CB","billingState":"North Carolina","billingCity":"Charlotte","deploymentStartDate":"Thu Mar 30 2023 00:00:00 GMT-0400 (Eastern Daylight Time)","mtpDate":"Sun Sep 15 2024 00:00:00 GMT-0400 (Eastern Daylight Time)","firstMtpDate":"Sun Sep 15 2024 00:00:00 GMT-0400 (Eastern Daylight Time)","overallStatus":"Complete","phase":"Your Way","stage":"Post Prod","health":"Green","completionDate":"Fri Jan 17 2025 00:00:00 GMT-0500 (Eastern Standard Time)","wdEngManager":"","damFullName":"Michael Biagini","primingPartner":"00130000008MSknAAG","implPartner":"00130000008MSknAAG","partner":"Accenture LLP","currentUpdate":"The final DA checkpoints for Prism took place on 1/17. Both passed. We are complete with this phase of work.","isExecutiveWatch":false,"wellnessData":null},{"deploymentId":"a0rVT00000UIYTNYA5","deploymentName":"Subsequent- Phase X- Core Financials","accountId":"0018000000dQm9gAAC","accountName":"City of Charlotte","industry":"State &amp; Local Government","region":"US SLED","subRegion":"Local Government LE","subRegionAlt":"US Local Gov LE CB","billingState":"North Carolina","billingCity":"Charlotte","deploymentStartDate":"Mon Oct 14 2024 00:00:00 GMT-0400 (Eastern Daylight Time)","mtpDate":"Tue Jul 01 2025 00:00:00 GMT-0400 (Eastern Daylight Time)","firstMtpDate":"Tue Jul 01 2025 00:00:00 GMT-0400 (Eastern Daylight Time)","overallStatus":"Complete","phase":"Your Way","stage":"Post Prod","health":"Green","completionDate":"Fri Sep 12 2025 00:00:00 GMT-0400 (Eastern Daylight Time)","wdEngManager":"","damFullName":"","primingPartner":"0018000001g5lDOAAY","implPartner":"0018000001g5lDOAAY","partner":"Slalom, Inc.","currentUpdate":"8/16- Hypercare extended to 9/12.","isExecutiveWatch":false,"wellnessData":null},{"deploymentId":"a0r4X00000Ef2DRQAZ","deploymentName":"Subsequent-PhaseX: FIN","accountId":"0018000000dQm9gAAC","accountName":"City of Charlotte","industry":"State &amp; Local Government","region":"US SLED","subRegion":"Local Government LE","subRegionAlt":"US Local Gov LE CB","billingState":"North Carolina","billingCity":"Charlotte","deploymentStartDate":"Tue Jan 02 2024 00:00:00 GMT-0500 (Eastern Standard Time)","mtpDate":"Tue Jul 01 2025 00:00:00 GMT-0400 (Eastern Daylight Time)","firstMtpDate":"Tue Jul 01 2025 00:00:00 GMT-0400 (Eastern Daylight Time)","overallStatus":"Active","phase":"Your Way","stage":"Post Prod","health":"Green","completionDate":"","wdEngManager":"","damFullName":"Michael Biagini","primingPartner":"00130000008MSknAAG","implPartner":"00130000008MSknAAG","partner":"Accenture LLP","currentUpdate":"Extended end date to 7/31/26 to cover warranty period. Team completed extended Adaptive work in February, final invoice settled in March. City cancelled RFP for kronos replacement, going with different vendors for MPTA work. Will remain open thru Jun","isExecutiveWatch":false,"wellnessData":null},{"deploymentId":"a0r4X00000Ef2DSQAZ","deploymentName":"Subsequent-PhaseX: Planning","accountId":"0018000000dQm9gAAC","accountName":"City of Charlotte","industry":"State &amp; Local Government","region":"US SLED","subRegion":"Local Government LE","subRegionAlt":"US Local Gov LE CB","billingState":"North Carolina","billingCity":"Charlotte","deploymentStartDate":"Sat May 11 2024 00:00:00 GMT-0400 (Eastern Daylight Time)","mtpDate":"Wed Jan 01 2025 00:00:00 GMT-0500 (Eastern Standard Time)","firstMtpDate":"Wed Jan 01 2025 00:00:00 GMT-0500 (Eastern Standard Time)","overallStatus":"Complete","phase":"Your Way","stage":"Post Prod","health":"Green","completionDate":"Fri Jan 31 2025 00:00:00 GMT-0500 (Eastern Standard Time)","wdEngManager":"","damFullName":"Michael Biagini","primingPartner":"00130000008MSknAAG","implPartner":"00130000008MSknAAG","partner":"Accenture LLP","currentUpdate":"Phase 3.2 post-production support period completed on 1/31/25. Team will continue providing warranty support for the remaining open item. Adaptive updates related to the Phase 2 Financials go-live will be tracked as a part of the Phase 2 project work.","isExecutiveWatch":false,"wellnessData":null},{"deploymentId":"a0rVT0000120kVsYAI","deploymentName":"Initial Deployment-Launch-SRCEXP, PRO, XTND, CLMB, LRNSNA, CHCM,etc","accountId":"0011B00002GOClgQAH","accountName":"City of Charlotte on behalf of Charlotte Area Transit System","industry":"Special Districts","region":"US SLED","subRegion":"Local Government LE","subRegionAlt":"US Local Gov LE CB","billingState":"North Carolina","billingCity":"Charlotte","deploymentStartDate":"Mon Mar 30 2026 00:00:00 GMT-0400 (Eastern Daylight Time)","mtpDate":"Thu Dec 17 2026 00:00:00 GMT-0500 (Eastern Standard Time)","firstMtpDate":"","overallStatus":"Active","phase":"Launch","stage":"Architect &amp; Configure","health":"Green","completionDate":"","wdEngManager":"","damFullName":"","primingPartner":"0018000001IzqpSAAR","implPartner":"0018000001IzqpSAAR","partner":"Avaap USA, LLC","currentUpdate":"3304377","isExecutiveWatch":false,"wellnessData":null},{"deploymentId":"a0r4X00000ETVsiQAH","deploymentName":"Initial Deployment-Your Way-CHCM, TLO, HLP, CCB, etc","accountId":"0018000000OCzCFAA1","accountName":"City of Cleveland (IronBrick Associates LLC)","industry":"State &amp; Local Government","region":"US SLED","subRegion":"Local Government LE","subRegionAlt":"US Local Gov LE CB","billingState":"Ohio","billingCity":"Cleveland","deploymentStartDate":"Wed Oct 02 2024 00:00:00 GMT-0400 (Eastern Daylight Time)","mtpDate":"Wed Dec 31 2025 00:00:00 GMT-0500 (Eastern Standard Time)","firstMtpDate":"","overallStatus":"Active","phase":"Your Way","stage":"Test","health":"Red","completionDate":"","wdEngManager":"","damFullName":"Quinest Bishop","primingPartner":"00130000008MSknAAG","implPartner":"00130000008MSknAAG","partner":"Accenture LLP","currentUpdate":"Formal signoff received on Time Tracking Requirements and updated config underway.  Still no decision made on data validation approach.  \n\nA new contract is required to continue with the project. The end date was 5/31/26.","isExecutiveWatch":false,"wellnessData":null},{"deploymentId":"a0rVT00000QELTpYAP","deploymentName":"Initial Deployment-Launch-LDPHCM, LDPCCB, LDPBEN, LDPUSP, LDPLRN, etc.","accountId":"0018000000tT1HPAA0","accountName":"City of Concord","industry":"State &amp; Local Government","region":"US SLED","subRegion":"Local Government ME","subRegionAlt":"US Local Gov ME CB","billingState":"California","billingCity":"Concord","deploymentStartDate":"Wed Feb 19 2025 00:00:00 GMT-0500 (Eastern Standard Time)","mtpDate":"Sat Aug 29 2026 00:00:00 GMT-0400 (Eastern Daylight Time)","firstMtpDate":"","overallStatus":"Active","phase":"Your Way","stage":"Test","health":"Green","completionDate":"","wdEngManager":"","damFullName":"","primingPartner":"0018000000MWLslAAH","implPartner":"0018000000MWLslAAH","partner":"Collaborative Solutions, LLC","currentUpdate":"6.22.26 - Parallel testing until 7/31/26 (Week 3 of 4 Testing cycle 2). Continue to support CoC with remaining critical and high E2E items","isExecutiveWatch":false,"wellnessData":null},{"deploymentId":"a0rVT00000oRhCQYA0","deploymentName":"Initial Deployment-Launch LDPCCLRN, LDPREC, LDPMSG, LDPAM, etc","accountId":"0014X00002aRrAlQAK","accountName":"City of Concord, NC","industry":"State &amp; Local Government","region":"US SLED","subRegion":"Local Government ME","subRegionAlt":"US Local Gov ME CB","billingState":"North Carolina","billingCity":"Concord","deploymentStartDate":"Thu Oct 23 2025 00:00:00 GMT-0400 (Eastern Daylight Time)","mtpDate":"","firstMtpDate":"","overallStatus":"Active","phase":"Launch","stage":"Architect &amp; Configure","health":"Green","completionDate":"","wdEngManager":"","damFullName":"","primingPartner":"0018000001IzqpSAAR","implPartner":"0018000001IzqpSAAR","partner":"Avaap USA, LLC","currentUpdate":"End to End tenant built. Currently going through validation and smoke testing. continued development on integrations and reports. Strategic Sourcing kick off planned for 6/29.","isExecutiveWatch":false,"wellnessData":null},{"deploymentId":"a0rVT00000KQZJZYA5","deploymentName":"Initial Deployment-Your Way-CHCM, TLO, CCB, USP, FIN, GM, PRA, PRJT, TT, SC, etc","accountId":"0018000000Wtz0oAAB","accountName":"City of Corona","industry":"State &amp; Local Government","region":"US SLED","subRegion":"Local Government ME","subRegionAlt":"US Local Gov ME CB","billingState":"California","billingCity":"Corona","deploymentStartDate":"Mon Jan 06 2025 00:00:00 GMT-0500 (Eastern Standard Time)","mtpDate":"Fri Jun 05 2026 00:00:00 GMT-0400 (Eastern Daylight Time)","firstMtpDate":"Fri Jun 05 2026 00:00:00 GMT-0400 (Eastern Daylight Time)","overallStatus":"Active","phase":"Your Way","stage":"Post Prod","health":"Green","completionDate":"","wdEngManager":"","damFullName":"","primingPartner":"0018000000MWLslAAH","implPartner":"0018000000MWLslAAH","partner":"Collaborative Solutions, LLC","currentUpdate":"HCM/Payroll go live was June 12th.  Catchup transactions for HCM/Payroll are complete.  Finance go live is July 1st.  Holding daily check-in calls for support.","isExecutiveWatch":false,"wellnessData":null},{"deploymentId":"a0r80000008WG4PAAW","deploymentName":"Initial Deployment-Your Way:HCM, USP, REC, TT, CCB, LRN","accountId":"0018000000Wtz0rAAB","accountName":"City of Dallas","industry":"State &amp; Local Government","region":"US SLED","subRegion":"Local Government LE","subRegionAlt":"US Local Gov LE CB","billingState":"Texas","billingCity":"Dallas","deploymentStartDate":"Wed Mar 14 2018 00:00:00 GMT-0400 (Eastern Daylight Time)","mtpDate":"Sun Jun 07 2020 00:00:00 GMT-0400 (Eastern Daylight Time)","firstMtpDate":"Sun Jun 07 2020 00:00:00 GMT-0400 (Eastern Daylight Time)","overallStatus":"Complete","phase":"Your Way","stage":"Post Prod","health":"Green","completionDate":"Fri Jul 31 2020 00:00:00 GMT-0400 (Eastern Daylight Time)","wdEngManager":"","damFullName":"","primingPartner":"0018000000hIF6bAAG","implPartner":"0018000000hIF6bAAG","partner":"Workday Professional Services","currentUpdate":"Transitioning to Accenture resources for ongoing post production support. Workday team will roll off the project on 7/31. CO#7 is outstanding.","isExecutiveWatch":false,"wellnessData":null},{"deploymentId":"a0r4X00000D7sB2QAJ","deploymentName":"Subsequent - Phase X: TAL,REC","accountId":"0018000000Wtz0rAAB","accountName":"City of Dallas","industry":"State &amp; Local Government","region":"US SLED","subRegion":"Local Government LE","subRegionAlt":"US Local Gov LE CB","billingState":"Texas","billingCity":"Dallas","deploymentStartDate":"Tue Jul 04 2023 00:00:00 GMT-0400 (Eastern Daylight Time)","mtpDate":"Wed Feb 14 2024 00:00:00 GMT-0500 (Eastern Standard Time)","firstMtpDate":"Wed Feb 14 2024 00:00:00 GMT-0500 (Eastern Standard Time)","overallStatus":"Complete","phase":"Your Way","stage":"Post Prod","health":"Green","completionDate":"Fri Mar 15 2024 00:00:00 GMT-0400 (Eastern Daylight Time)","wdEngManager":"","damFullName":"Rick Neel","primingPartner":"0018000000vTnDgAAK","implPartner":"0018000000vTnDgAAK","partner":"Precision Task Group Inc.","currentUpdate":"Post Production support to wrap up 3/15.  Customer considering AMS services.","isExecutiveWatch":false,"wellnessData":null},{"deploymentId":"a0r4X00000DCH5SQAX","deploymentName":"Subsequent-Phase X-Benefits","accountId":"0018000000Wtz0rAAB","accountName":"City of Dallas","industry":"State &amp; Local Government","region":"US SLED","subRegion":"Local Government LE","subRegionAlt":"US Local Gov LE CB","billingState":"Texas","billingCity":"Dallas","deploymentStartDate":"Mon Feb 19 2024 00:00:00 GMT-0500 (Eastern Standard Time)","mtpDate":"Fri Dec 20 2024 00:00:00 GMT-0500 (Eastern Standard Time)","firstMtpDate":"Fri Dec 20 2024 00:00:00 GMT-0500 (Eastern Standard Time)","overallStatus":"Complete","phase":"Your Way","stage":"Deploy","health":"Green","completionDate":"Sun Mar 16 2025 00:00:00 GMT-0400 (Eastern Daylight Time)","wdEngManager":"","damFullName":"","primingPartner":"0018000000vTnDgAAK","implPartner":"0018000000vTnDgAAK","partner":"Precision Task Group Inc.","currentUpdate":"Configuration post production support has ended.  CO for BCBS elevated records in progress.  Estimated 3-4 week extension","isExecutiveWatch":false,"wellnessData":null},{"deploymentId":"a0r4X00000CrTosQAF","deploymentName":"Subsequent-Phase X-Learning","accountId":"0018000000Wtz0rAAB","accountName":"City of Dallas","industry":"State &amp; Local </t>
  </si>
  <si>
    <t>a0pVT000008cTSbYAM</t>
  </si>
  <si>
    <t>sfdcRows:default:chunk:2</t>
  </si>
  <si>
    <t>a0rVT000011GOrmYAG</t>
  </si>
  <si>
    <t>4/12: Project is complete/configuration is LIVE</t>
  </si>
  <si>
    <t>a0rVT000012UrOiYAK</t>
  </si>
  <si>
    <t>a0pVT00000BxsZ8YAJ</t>
  </si>
  <si>
    <t>Echo Global Logistics, Inc.</t>
  </si>
  <si>
    <t>a0rVT000011IIBxYAO</t>
  </si>
  <si>
    <t>a0pVT000008hbKfYAI</t>
  </si>
  <si>
    <t>John Jaent</t>
  </si>
  <si>
    <t>Assigned project 4/15
Forecast Complete 4/17
TopBloc taking project.</t>
  </si>
  <si>
    <t>a0pVT000008hbKgYAI</t>
  </si>
  <si>
    <t>a0rVT000012XA0XYAW</t>
  </si>
  <si>
    <t>a0pVT000008hbKhYAI</t>
  </si>
  <si>
    <t>a0pVT000008qEQTYA2</t>
  </si>
  <si>
    <t>a0rVT000019By81YAC</t>
  </si>
  <si>
    <t>a0rVT000011QoOHYA0</t>
  </si>
  <si>
    <t>a0pVT00000BwxXdYAJ</t>
  </si>
  <si>
    <t>a0rVT000011Ua2BYAS</t>
  </si>
  <si>
    <t>a0pVT000008mKO2YAM</t>
  </si>
  <si>
    <t>8/3: Kick Off scheduled for 8/10</t>
  </si>
  <si>
    <t>a0rVT000011Z4E9YAK</t>
  </si>
  <si>
    <t>a0rVT00001AKMHRYA5</t>
  </si>
  <si>
    <t>Initial Deployment-Your Way-FIN, PRJT, PB, SRCSM, PRO, CLMB, etc.</t>
  </si>
  <si>
    <t>eClerx Services Limited</t>
  </si>
  <si>
    <t>India</t>
  </si>
  <si>
    <t>a0rVT000012llmdYAA</t>
  </si>
  <si>
    <t>El Corte Inglés S.A.</t>
  </si>
  <si>
    <t>Sadia Hashi</t>
  </si>
  <si>
    <t>Delays to testing phase start are a risk to September 22 go-live. 
Team is working through mitigations plans to absorb the delay within the current timeline.</t>
  </si>
  <si>
    <t>a0pVT00000BR2U1YAL</t>
  </si>
  <si>
    <t>a0rVT000015A5ZKYA0</t>
  </si>
  <si>
    <t>Elevance Health, Inc.</t>
  </si>
  <si>
    <t>a0pVT0000099IjhYAE</t>
  </si>
  <si>
    <t>a0rVT000011dC1pYAE</t>
  </si>
  <si>
    <t>a0pVT0000099IjiYAE</t>
  </si>
  <si>
    <t>Vadim Zalmanov</t>
  </si>
  <si>
    <t>Date: August 17 2026
Overall Project Status: On track 
Current Status:
SIT 
Next Steps:
UAT
Detailed status in Slack:
https://workday-dev.slack.com/archives/C0B59A1EU5N/p1779087674982909</t>
  </si>
  <si>
    <t>a0pVT0000099IjjYAE</t>
  </si>
  <si>
    <t>a0rVT000017IgNdYAK</t>
  </si>
  <si>
    <t>Subsequent-Phase X: CLM</t>
  </si>
  <si>
    <t>a0pVT00000BOXPVYA5</t>
  </si>
  <si>
    <t>a0rVT000011dFfdYAE</t>
  </si>
  <si>
    <t>a0pVT00000Bwh34YAB</t>
  </si>
  <si>
    <t>Update 08/17/26: Folder taxonomy finalized. Design Decision Guide (DDG) in progress for final migration. Discovery sessions in progress for the one Workflow in scope.</t>
  </si>
  <si>
    <t>a0rVT00000goV3dYAE</t>
  </si>
  <si>
    <t>Eli Lilly and Company</t>
  </si>
  <si>
    <t>a0pVT0000098rEtYAI</t>
  </si>
  <si>
    <t>a0rVT000011jq7pYAA</t>
  </si>
  <si>
    <t>a0pVT0000090amJYAQ</t>
  </si>
  <si>
    <t>a0rVT000011oxILYAY</t>
  </si>
  <si>
    <t>a0pVT000009SJaPYAW</t>
  </si>
  <si>
    <t>a0rVT000011qTCvYAM</t>
  </si>
  <si>
    <t>Scorecard set to inactive as agreement was terminated and customer led scorecard requested - 2924787</t>
  </si>
  <si>
    <t>a0rVT00000xp8cqYAA</t>
  </si>
  <si>
    <t>Empower Retirement, LLC</t>
  </si>
  <si>
    <t>a0pVT0000096PrNYAU</t>
  </si>
  <si>
    <t>a0pVT0000096OwvYAE</t>
  </si>
  <si>
    <t>a0pVT0000096S9KYAU</t>
  </si>
  <si>
    <t>s of 08/04/26: Project complete! Final Hypercare call wrapped. Addressed Spotlight UI grid questions &amp; transitioned account to Shana (CSM) for ongoing support. Client briefed on submitting future tech tickets via standard support email.</t>
  </si>
  <si>
    <t>a0rVT0000169oJxYAI</t>
  </si>
  <si>
    <t>a0pVT00000969l2YAA</t>
  </si>
  <si>
    <t>Epika Fleet Services, Inc</t>
  </si>
  <si>
    <t>a0rVT000011wBLNYA2</t>
  </si>
  <si>
    <t>Auto</t>
  </si>
  <si>
    <t>US DI Commercial NN Southeast</t>
  </si>
  <si>
    <t>a0pVT00000969l3YAA</t>
  </si>
  <si>
    <t>Tyler Mandry</t>
  </si>
  <si>
    <t>a0pVT000009stjtYAA</t>
  </si>
  <si>
    <t>8/17:  Design sessions are ongoing through the end of the week with a goal to begin the staging build next week.</t>
  </si>
  <si>
    <t>Subsequent - Adhoc - Other :Evisort</t>
  </si>
  <si>
    <t>EQT Services Pty Ltd</t>
  </si>
  <si>
    <t>a0pVT000009CAEdYAO</t>
  </si>
  <si>
    <t>Government","region":"US SLED","subRegion":"Local Government LE","subRegionAlt":"US Local Gov LE CB","billingState":"Texas","billingCity":"Dallas","deploymentStartDate":"Wed May 08 2024 00:00:00 GMT-0400 (Eastern Daylight Time)","mtpDate":"Mon Apr 14 2025 00:00:00 GMT-0400 (Eastern Daylight Time)","firstMtpDate":"Mon Apr 14 2025 00:00:00 GMT-0400 (Eastern Daylight Time)","overallStatus":"Complete","phase":"Launch","stage":"Post Prod","health":"Green","completionDate":"Thu May 15 2025 00:00:00 GMT-0400 (Eastern Daylight Time)","wdEngManager":"","damFullName":"","primingPartner":"00130000008MSknAAG","implPartner":"00130000008MSknAAG","partner":"Accenture LLP","currentUpdate":"In Post production hypercare support until 5/16","isExecutiveWatch":false,"wellnessData":null},{"deploymentId":"a0r4X00000Bnt04QAB","deploymentName":"Subsequent-Phase X: Prism","accountId":"0018000000Wtz0rAAB","accountName":"City of Dallas","industry":"State &amp; Local Government","region":"US SLED","subRegion":"Local Government LE","subRegionAlt":"US Local Gov LE CB","billingState":"Texas","billingCity":"Dallas","deploymentStartDate":"Thu Jul 30 2020 00:00:00 GMT-0400 (Eastern Daylight Time)","mtpDate":"Sat Sep 30 2023 00:00:00 GMT-0400 (Eastern Daylight Time)","firstMtpDate":"Sat Sep 30 2023 00:00:00 GMT-0400 (Eastern Daylight Time)","overallStatus":"Complete","phase":"Phase X - Your Way","stage":"Deploy","health":"Green","completionDate":"Sat Sep 30 2023 00:00:00 GMT-0400 (Eastern Daylight Time)","wdEngManager":"","damFullName":"","primingPartner":"00130000008MSknAAG","implPartner":"00130000008MSknAAG","partner":"Accenture LLP","currentUpdate":"Prism live - client needs to migrate some EDS extract custom reports from their COD1 tenant to SBX then Prod.","isExecutiveWatch":false,"wellnessData":null},{"deploymentId":"a0r4X00000DY1X4QAL","deploymentName":"Initial Deployment-Your Way: CHCM, CCB, USP, LRN, FIN, REC, etc.","accountId":"0018000000kuwHmAAI","accountName":"City of Escondido","industry":"State &amp; Local Government","region":"US SLED","subRegion":"Local Government ME","subRegionAlt":"US Local Gov ME CB","billingState":"California","billingCity":"Escondido","deploymentStartDate":"Mon Jun 26 2023 00:00:00 GMT-0400 (Eastern Daylight Time)","mtpDate":"Thu Dec 05 2024 00:00:00 GMT-0500 (Eastern Standard Time)","firstMtpDate":"Thu Dec 05 2024 00:00:00 GMT-0500 (Eastern Standard Time)","overallStatus":"Complete","phase":"Your Way","stage":"Post Prod","health":"Green","completionDate":"Fri Apr 10 2026 00:00:00 GMT-0400 (Eastern Daylight Time)","wdEngManager":"","damFullName":"Alexis Celani","primingPartner":"0018000000MWLslAAH","implPartner":"0018000000MWLslAAH","partner":"Collaborative Solutions, LLC","currentUpdate":"04/13/2026:  All project work completed","isExecutiveWatch":false,"wellnessData":null},{"deploymentId":"a0r4X00000ETWWxQAP","deploymentName":"Subsequent-Phase X Phase 2","accountId":"0018000000kuwHmAAI","accountName":"City of Escondido","industry":"State &amp; Local Government","region":"US SLED","subRegion":"Local Government ME","subRegionAlt":"US Local Gov ME CB","billingState":"California","billingCity":"Escondido","deploymentStartDate":"Mon Dec 09 2024 00:00:00 GMT-0500 (Eastern Standard Time)","mtpDate":"Fri Apr 10 2026 00:00:00 GMT-0400 (Eastern Daylight Time)","firstMtpDate":"Fri Apr 10 2026 00:00:00 GMT-0400 (Eastern Daylight Time)","overallStatus":"Complete","phase":"Your Way","stage":"Post Prod","health":"Green","completionDate":"Fri Apr 10 2026 00:00:00 GMT-0400 (Eastern Daylight Time)","wdEngManager":"","damFullName":"","primingPartner":"0018000000MWLslAAH","implPartner":"0018000000MWLslAAH","partner":"Collaborative Solutions, LLC","currentUpdate":"TEC:  04/13/2026:   Adaptive End-User is complete.  All project work completed.","isExecutiveWatch":false,"wellnessData":null},{"deploymentId":"a0rVT00000eIZbOYAW","deploymentName":"Initial Deployment-Launch-LDPMSG, LDPTLO, LDPFIN, LDPGM, LDPEXP, LDPPRO, etc.","accountId":"0014X00002l5MzWQAU","accountName":"City of Fond Du Lac","industry":"State &amp; Local Government","region":"US SLED","subRegion":"Local Government ME","subRegionAlt":"US Local Gov ME CB","billingState":"Wisconsin","billingCity":"Fond Du Lac","deploymentStartDate":"Mon Jul 28 2025 00:00:00 GMT-0400 (Eastern Daylight Time)","mtpDate":"Fri Dec 18 2026 00:00:00 GMT-0500 (Eastern Standard Time)","firstMtpDate":"","overallStatus":"Active","phase":"Launch","stage":"Test","health":"Green","completionDate":"","wdEngManager":"","damFullName":"","primingPartner":"0018000001IzqpSAAR","implPartner":"0018000001IzqpSAAR","partner":"Avaap USA, LLC","currentUpdate":"E2E Tenant Validation testing is 42% pass, continues through June 19. E2E Testing is June 22 to Aug. 28. The team has finalized the Gold Tenant build timeline.","isExecutiveWatch":false,"wellnessData":null},{"deploymentId":"a0r1B00000BUymJQAT","deploymentName":"Initial Deployment-Your Way:FIN, PRO, INV, GM, EXP, PB, PRJT","accountId":"0018000000kuwIZAAY","accountName":"City of Gainesville","industry":"State &amp; Local Government","region":"US SLED","subRegion":"Local Government ME","subRegionAlt":"US Local Gov ME CB","billingState":"Florida","billingCity":"Gainesville","deploymentStartDate":"Wed Apr 03 2019 00:00:00 GMT-0400 (Eastern Daylight Time)","mtpDate":"Thu Jun 24 2021 00:00:00 GMT-0400 (Eastern Daylight Time)","firstMtpDate":"Thu Jun 24 2021 00:00:00 GMT-0400 (Eastern Daylight Time)","overallStatus":"Complete","phase":"Your Way","stage":"Deploy","health":"Green","completionDate":"Wed Sep 22 2021 00:00:00 GMT-0400 (Eastern Daylight Time)","wdEngManager":"","damFullName":"","primingPartner":"0018000000MWLslAAH","implPartner":"0018000000MWLslAAH","partner":"Collaborative Solutions, LLC","currentUpdate":"Move to Production Complete 6/24.  All employees logging into workday 6/28. Fins transactions to start on 7/1.  CS Post Go Live support continues.","isExecutiveWatch":false,"wellnessData":null},{"deploymentId":"a0r1B00000BUymEQAT","deploymentName":"Initial Deployment-Your Way:HCM, CCB, USP, TT, PLN, REC","accountId":"0018000000kuwIZAAY","accountName":"City of Gainesville","industry":"State &amp; Local Government","region":"US SLED","subRegion":"Local Government ME","subRegionAlt":"US Local Gov ME CB","billingState":"Florida","billingCity":"Gainesville","deploymentStartDate":"Wed Apr 03 2019 00:00:00 GMT-0400 (Eastern Daylight Time)","mtpDate":"Thu Jun 24 2021 00:00:00 GMT-0400 (Eastern Daylight Time)","firstMtpDate":"Thu Jun 24 2021 00:00:00 GMT-0400 (Eastern Daylight Time)","overallStatus":"Complete","phase":"Your Way","stage":"Deploy","health":"Green","completionDate":"Wed Sep 22 2021 00:00:00 GMT-0400 (Eastern Daylight Time)","wdEngManager":"","damFullName":"","primingPartner":"0018000000MWLslAAH","implPartner":"0018000000MWLslAAH","partner":"Collaborative Solutions, LLC","currentUpdate":"Move to Production Complete 6/24.  All employees logging into workday 6/28. Fins transactions to start on 7/1.  CS Post Go Live support continues.","isExecutiveWatch":false,"wellnessData":null},{"deploymentId":"a0rVT00000hOPhFYAW","deploymentName":"Subsequent-PhaseX-Strategic Sourcing","accountId":"0018000000kuwIZAAY","accountName":"City of Gainesville","industry":"State &amp; Local Government","region":"US SLED","subRegion":"Local Government ME","subRegionAlt":"US Local Gov ME CB","billingState":"Florida","billingCity":"Gainesville","deploymentStartDate":"Mon Aug 04 2025 00:00:00 GMT-0400 (Eastern Daylight Time)","mtpDate":"Wed Jul 01 2026 00:00:00 GMT-0400 (Eastern Daylight Time)","firstMtpDate":"","overallStatus":"Active","phase":"Your Way","stage":"Test","health":"Green","completionDate":"","wdEngManager":"Tyler Lotharius","damFullName":"","primingPartner":"0018000000hIF6bAAG","implPartner":"0018000000hIF6bAAG","partner":"Workday Professional Services","currentUpdate":"05/29/2026  Change order to move the MTP date to July 1 submitted and sent to Customer. Customer is reviewing the CO with their Legal. Working to resolve a topic around request to refresh implementation tenant.","isExecutiveWatch":false,"wellnessData":null},{"deploymentId":"a0r4X00000DCHEAQA5","deploymentName":"Initial Deployment-Launch-LDPHCM &amp; LDPFIN","accountId":"0018000000Wtz1LAAR","accountName":"City of Galveston","industry":"State &amp; Local Government","region":"US SLED","subRegion":"Local Government ME","subRegionAlt":"US Local Gov ME CB","billingState":"Texas","billingCity":"Galveston","deploymentStartDate":"Mon Jan 29 2024 00:00:00 GMT-0500 (Eastern Standard Time)","mtpDate":"Thu Dec 12 2024 00:00:00 GMT-0500 (Eastern Standard Time)","firstMtpDate":"Thu Dec 12 2024 00:00:00 GMT-0500 (Eastern Standard Time)","overallStatus":"Complete","phase":"Your Way","stage":"Deploy","health":"Green","completionDate":"Sun Mar 02 2025 00:00:00 GMT-0500 (Eastern Standard Time)","wdEngManager":"","damFullName":"","primingPartner":"0018000000MWLslAAH","implPartner":"0018000000MWLslAAH","partner":"Collaborative Solutions, LLC","currentUpdate":"Project is in Post Prod Stage.  MTP completed on  12/12 and went live on 1/14. Two payrolls completed in WD. Post production support ends on 1/31.","isExecutiveWatch":false,"wellnessData":null},{"deploymentId":"a0r4X00000ETWR9QAP","deploymentName":"Subsequent-Phase-X: FIN","accountId":"0018000000Wtz1LAAR","accountName":"City of Galveston","industry":"State &amp; Local Government","region":"US SLED","subRegion":"Local Government ME","subRegionAlt":"US Local Gov ME CB","billingState":"Texas","billingCity":"Galveston","deploymentStartDate":"Mon Nov 11 2024 00:00:00 GMT-0500 (Eastern Standard Time)","mtpDate":"Wed Apr 29 2026 00:00:00 GMT-0400 (Eastern Daylight Time)","firstMtpDate":"Wed Apr 29 2026 00:00:00 GMT-0400 (Eastern Daylight Time)","overallStatus":"Active","phase":"Launch","stage":"Post Prod","health":"Green","completionDate":"","wdEngManager":"","damFullName":"Alexis Celani","primingPartner":"0018000000MWLslAAH","implPartner":"0018000000MWLslAAH","partner":"Collaborative Solutions, LLC","currentUpdate":"WSS go-live is planned during Jun 26 and support ends by Jul. Position budget went live in June 26. Adaptive went live in Apr 26","isExecutiveWatch":false,"wellnessData":null},{"deploymentId":"a0rVT00000mT5KLYA0","deploymentName":"Subsequent-Phase-X: FIN for Sourcing","accountId":"0018000000Wtz1LAAR","accountName":"City of Galveston","industry":"State &amp; Local Government","region":"US SLED","subRegion":"Local Government ME","subRegionAlt":"US Local Gov ME CB","billingState":"Texas","billingCity":"Galveston","deploymentStartDate":"Mon Nov 11 2024 00:00:00 GMT-0500 (Eastern Standard Time)","mtpDate":"Mon Mar 02 2026 00:00:00 GMT-0500 (Eastern Standard Time)","firstMtpDate":"","overallStatus":"Active","phase":"Launch","stage":"Plan","health":"Green","completionDate":"","wdEngManager":"","damFullName":"Alexis Celani","primingPartner":"0018000000MWLslAAH","implPartner":"0018000000MWLslAAH","partner":"Collaborative Solutions, LLC","currentUpdate":"WSS go-live is planned during Jun 26 and support ends by Jul. Position budget went live in June 26. Adaptive went live in Apr 26","isExecutiveWatch":false,"wellnessData":null},{"deploymentId":"a0r4X00000DOi2gQAD","deploymentName":"Initial Deployment-Your Way: HCM, USP, TT","accountId":"0018000000Wtz1OAAR","accountName":"City of Garland (Precision Task Group, Inc.)","industry":"State &amp; Local Government","region":"US SLED","subRegion":"Local Government ME","subRegionAlt":"US Local Gov ME CB","billingState":"Texas","billingCity":"Garland","deploymentStartDate":"Thu Oct 07 2021 00:00:00 GMT-0400 (Eastern Daylight Time)","mtpDate":"Tue Sep 12 2023 00:00:00 GMT-0400 (Eastern Daylight Time)","firstMtpDate":"Tue Sep 12 2023 00:00:00 GMT-0400 (Eastern Daylight Time)","overallStatus":"Complete","phase":"Your Way","stage":"Post Prod","health":"Green","completionDate":"Tue Oct 31 2023 00:00:00 GMT-0400 (Eastern Daylight Time)","wdEngManager":"","damFullName":"Machelle Starling","primingPartner":"00130000008MSknAAG","implPartner":"00130000008MSknAAG","partner":"Accenture LLP","currentUpdate":"Post production is going well with minor issues raised and addressed.","isExecutiveWatch":false,"wellnessData":null},{"deploymentId":"a0r4X00000CrWUlQAN","deploymentName":"Subsequent-Phase X-FIN","accountId":"0018000000Wtz1OAAR","accountName":"City of Garland (Precision Task Group, Inc.)","industry":"State &amp; Local Government","region":"US SLED","subRegion":"Local Government ME","subRegionAlt":"US Local Gov ME CB","billingState":"Texas","billingCity":"Garland","deploymentStartDate":"Tue Sep 03 2024 00:00:00 GMT-0400 (Eastern Daylight Time)","mtpDate":"Mon Jul 28 2025 00:00:00 GMT-0400 (Eastern Daylight Time)","firstMtpDate":"Mon Jul 28 2025 00:00:00 GMT-0400 (Eastern Daylight Time)","overallStatus":"Complete","phase":"Your Way","stage":"Post Prod","health":"Green","completionDate":"Fri Oct 31 2025 00:00:00 GMT-0400 (Eastern Daylight Time)","wdEngManager":"","damFullName":"Subhasish Moitra","primingPartner":"0011B00002CZvnrQAD","implPartner":"0011B00002CZvnrQAD","partner":"Guidehouse Inc","currentUpdate":"10.17 - On schedule to close on 10.31.","isExecutiveWatch":false,"wellnessData":null},{"deploymentId":"a0r1B00000B1tMvQAJ","deploymentName":"Initial Deployment-Your Way:FIN, PRO, EXP, PRJT, GM","accountId":"0018000000mKmEIAA0","accountName":"City of Georgetown","industry":"State &amp; Local Government","region":"US SLED","subRegion":"Local Government ME","subRegionAlt":"US Local Gov ME CB","billingState":"Texas","billingCity":"Georgetown","deploymentStartDate":"Fri Mar 01 2019 00:00:00 GMT-0500 (Eastern Standard Time)","mtpDate":"Mon Apr 06 2020 00:00:00 GMT-0400 (Eastern Daylight Time)","firstMtpDate":"Mon Apr 06 2020 00:00:00 GMT-0400 (Eastern Daylight Time)","overallStatus":"Complete","phase":"Your Way","stage":"Post Prod","health":"Green","completionDate":"Thu May 07 2020 00:00:00 GMT-0400 (Eastern Daylight Time)","wdEngManager":"","damFullName":"","primingPartner":"0011B00002H9DAaQAN","implPartner":"0011B00002H9DAaQAN","partner":"SCI WDSFMS Services, LLC","currentUpdate":"Production support concluded May 6.","isExecutiveWatch":false,"wellnessData":null},{"deploymentId":"a0r1B00000B1tMqQAJ","deploymentName":"initial Deployment-Your Way:HCM, USP, TT, REC, PLN","accountId":"0018000000mKmEIAA0","accountName":"City of Georgetown","industry":"State &amp; Local Government","region":"US SLED","subRegion":"Local Government ME","subRegionAlt":"US Local Gov ME CB","billingState":"Texas","billingCity":"Georgetown","deploymentStartDate":"Mon Oct 15 2018 00:00:00 GMT-0400 (Eastern Daylight Time)","mtpDate":"Sun Sep 22 2019 00:00:00 GMT-0400 (Eastern Daylight Time)","firstMtpDate":"Sun Sep 22 2019 00:00:00 GMT-0400 (Eastern Daylight Time)","overallStatus":"Complete","phase":"Your Way","stage":"Post Prod","health":"Green","completionDate":"Fri Nov 15 2019 00:00:00 GMT-0500 (Eastern Standard Time)","wdEngManager":"","damFullName":"","primingPartner":"0018000000nlcXyAAI","implPartner":"0018000000nlcXyAAI","partner":"Sierra-Cedar, Inc.","currentUpdate":"SCI will be assisting CoG with year end items in January 2020.  Leaving the consultants on the scorecard as a result.  The project scorecard will be closed.","isExecutiveWatch":false,"wellnessData":null},{"deploymentId":"a0r4X00000DcATjQAN","deploymentName":"Subsequent- Phase X- Inventory","accountId":"0018000000mKmEIAA0","accountName":"City of Georgetown","industry":"State &amp; Local Government","region":"US SLED","subRegion":"Local Government ME","subRegionAlt":"US Local Gov ME CB","billingState":"Texas","billingCity":"Georgetown","deploymentStartDate":"Tue Jul 19 2022 00:00:00 GMT-0400 (Eastern Daylight Time)","mtpDate":"Tue Sep 27 2022 00:00:00 GMT-0400 (Eastern Daylight Time)","firstMtpDate":"Tue Sep 27 2022 00:00:00 GMT-0400 (Eastern Daylight Time)","overallStatus":"Complete","phase":"Phase X - Your Way","stage":"Deploy","health":"Green","completionDate":"Mon Dec 26 2022 00:00:00 GMT-0500 (Eastern Standard Time)","wdEngManager":"","damFullName":"Machelle Starling","primingPartner":"0018000001IzqpSAAR","implPartner":"0018000001IzqpSAAR","partner":"Avaap USA, LLC","currentUpdate":"Project go live and post production support complete.  Remaining open item to complete:  DA compliance final review.","isExecutiveWatch":false,"wellnessData":null},{"deploymentId":"a0r4X00000DaCfTQAV","deploymentName":"Subsequent-Phase X: Learning","accountId":"0018000000mKmEIAA0","accountName":"City of Georgetown","industry":"State &amp; Local Government","region":"US SLED","subRegion":"Local Government ME","subRegionAlt":"US Local Gov ME CB","billingState":"Texas","billingCity":"Georgetown","deploymentStartDate":"Mon Nov 08 2021 00:00:00 GMT-0500 (Eastern Standard Time)","mtpDate":"Mon Mar 14 2022 00:00:00 GMT-0400 (Eastern Daylight Time)","firstMtpDate":"Mon Mar 14 2022 00:00:00 GMT-0400 (Eastern Daylight Time)","overallStatus":"Complete","phase":"Phase X - Launch","stage":"Deploy","health":"Green","completionDate":"Sun Jun 12 2022 00:00:00 GMT-0400 (Eastern Daylight Time)","wdEngManager":"","damFullName":"Machelle Starling","primingPartner":"0018000001IzqpSAAR","implPartner":"0018000001IzqpSAAR","partner":"Avaap USA, LLC","currentUpdate":"Post go live support.","isExecutiveWatch":false,"wellnessData":null},{"deploymentId":"a0r1B00000BnpNEQAZ","deploymentName":"Subsequent-PhaseX: AI Planning","accountId":"0018000000mKmEIAA0","accountName":"City of Georgetown","industry":"State &amp; Local Government","region":"US SLED","subRegion":"Local Government ME","subRegionAlt":"US Local Gov ME CB","billingState":"Texas","billingCity":"Georgetown","deploymentStartDate":"Mon Jun 15 2020 00:00:00 GMT-0400 (Eastern Daylight Time)","mtpDate":"Fri Jan 01 2021 00:00:00 GMT-0500 (Eastern Standard Time)","firstMtpDate":"Fri Jan 01 2021 00:00:00 GMT-0500 (Eastern Standard Time)","overallStatus":"Complete","phase":"Phase X - Planning","stage":"Deploy","health":"Green","completionDate":"Fri Jan 01 2021 00:00:00 GMT-0500 (Eastern Standard Time)","wdEngManager":"","damFullName":"","primingPartner":"00130000008MSknAAG","implPartner":"00130000008MSknAAG","partner":"Accenture LLP","currentUpdate":"1/1/21- No issues and on track for a 1/1 go-live.","isExecutiveWatch":false,"wellnessData":null},{"deploymentId":"a0rVT00000JbH5TYAV","deploymentName":"Initial Deployment-Your Way-CHCM, TLO, HLP, JRNY, EMPVCE, CCB, USP, etc","accountId":"0018000000kuwKuAAI","accountName":"City of Grand Prairie (Precision Task Group, Inc.)","industry":"State &amp; Local Government","region":"US SLED","subRegion":"Local Government ME","subRegionAlt":"US Local Gov ME CB","billingState":"Texas","billingCity":"Grand Prairie","deploymentStartDate":"Thu Dec 12 2024 00:00:00 GMT-0500 (Eastern Standard Time)","mtpDate":"Mon Sep 07 2026 00:00:00 GMT-0400 (Eastern Daylight Time)","firstMtpDate":"","overallStatus":"Active","phase":"Your Way","stage":"Test","health":"Green","completionDate":"","wdEngManager":"","damFullName":"","primingPartner":"0018000000MWLslAAH","implPartner":"0018000000MWLslAAH","partner":"Collaborative Solutions, LLC","currentUpdate":"Beginning Payroll Analysis targeting close of 1st period","isExecutiveWatch":false,"wellnessData":null},{"deploymentId":"a0rVT00000PrglzYAB","deploymentName":"Initial Deployment-Launch-LDPHCM, LDPHLP, LDPCCB, LDPBEN, LDPUSP, LDPLRN, etc.","accountId":"0018000001WMFHOAA5","accountName":"City of Hagerstown","industry":"State &amp; Local Government","region":"US SLED","subRegion":"Local Government ME","subRegionAlt":"US Local Gov ME CB","billingState":"Maryland","billingCity":"Hagerstown","deploymentStartDate":"Fri Jan 31 2025 00:00:00 GMT-0500 (Eastern Standard Time)","mtpDate":"Mon Dec 14 2026 00:00:00 GMT-0500 (Eastern Standard Time)","firstMtpDate":"","overallStatus":"Active","phase":"Launch","stage":"Test","health":"Red","completionDate":"","wdEngManager":"Michael Biagini","damFullName":"","primingPartner":"0018000000hIF6bAAG","implPartner":"0018000000hIF6bAAG","partner":"Workday Professional Services","currentUpdate":"Meeting with the city team occurred on Friday (06-12) where we presented a CO to them which would extend the deployment out approximately 14 months to August 2027.  City is discussing internally; expect to re-engage the week of (06-22).","isExecutiveWatch":false,"wellnessData":null},{"deploymentId":"a0r4X00000DCHVQQA5","deploymentName":"Initial Deployment-Launch-CHCM,USP, LRN,CCLRN, REC, MSG, FIN, PLNF,etc","accountId":"0018000000kuwIXAAY","accountName":"City of Hialeah (Meridian Government Services LLC)","industry":"State &amp; Local Government","region":"US SLED","subRegion":"Local Government ME","subRegionAlt":"US Local Gov ME CB","billingState":"Florida","billingCity":"Hialeah","deploymentStartDate":"Mon Apr 01 2024 00:00:00 GMT-0400 (Eastern Daylight Time)","mtpDate":"Sun Sep 28 2025 00:00:00 GMT-0400 (Eastern Daylight Time)","firstMtpDate":"","overallStatus":"Active","phase":"Launch","stage":"Deploy","health":"Green","completionDate":"","wdEngManager":"","damFullName":"","primingPartner":"0011B00002H5sfEQAR","implPartner":"0011B00002H5sfEQAR","partner":"Meridian Partners, LLC","currentUpdate":"5/22/26 - Adaptive Planning is moving forward with the Deploy stage. The only step remaining is documentation for Knowledge Transfer.","isExecutiveWatch":false,"wellnessData":null},{"deploymentId":"a0r4X00000ETUs3QAH","deploymentName":"Initial Deployment-Launch-CHCM, TLO, HLP, CCB, USP, LRN, etc.","accountId":"0018000000kuwKUAAY","accountName":"City of High Point","industry":"State &amp; Local Government","region":"US SLED","subRegion":"Local Government ME","subRegionAlt":"US Local Gov ME CB","billingState":"North Carolina","billingCity":"High Point","deploymentStartDate":"Thu Aug 29 2024 00:00:00 GMT-0400 (Eastern Daylight Time)","mtpDate":"Mon Sep 15 2025 00:00:00 GMT-0400 (Eastern Daylight Time)","firstMtpDate":"Mon Sep 15 2025 00:00:00 GMT-0400 (Eastern Daylight Time)","overallStatus":"Complete","phase":"Launch","stage":"Post Prod","health":"Green","completionDate":"Sun Nov 30 2025 00:00:00 GMT-0500 (Eastern Standard Time)","wdEngManager":"","damFullName":"Sarah Schwartz","primingPartner":"0018000001IzqpSAAR","implPartner":"0018000001IzqpSAAR","partner":"Avaap USA, LLC","currentUpdate":"Project live and support is being provided by Avaap Managed Services where needed.","isExecutiveWatch":false,"wellnessData":null},{"deploymentId":"a0rVT00000SZiW0YAL","deploymentName":"Initial Deployment - Launch - LDPJRNY, LDPBEN, LDPUSP, LDPHCM, LDPHLP, etc.","accountId":"0018000001WMHjeAAH","accountName":"City of Idaho Falls, ID","industry":"State &amp; Local Government","region":"US SLED","subRegion":"Local Government ME","subRegionAlt":"US Local Gov ME CB","billingState":"Idaho","billingCity":"Idaho Falls","deploymentStartDate":"Fri May 09 2025 00:00:00 GMT-0400 (Eastern Daylight Time)","mtpDate":"Fri Jun 19 2026 00:00:00 GMT-0400 (Eastern Daylight Time)","firstMtpDate":"","overallStatus":"Active","phase":"Launch","stage":"Post Prod","health":"Green","completionDate":"","wdEngManager":"","damFullName":"","primingPartner":"0013000000KdrrVAAR","implPartner":"0013000000KdrrVAAR","partner":"Strada U.S. Professional Services, LLC","currentUpdate":"Production opened up to full organization on 6/14.  No major issues.","isExecutiveWatch":false,"wellnessData":null},{"deploymentId":"a0rVT00000LxawDYAR","deploymentName":"Initial Deployment-Your Way-CHCM, TLO, JRNY, CCB, USP, LRN, MCNF etc.","accountId":"0018000000Wsn5cAAB","accountName":"City of Irvine","industry":"State &amp; Local Government","region":"US SLED","subRegion":"Local Government ME","subRegionAlt":"US Local Gov ME CB","billingState":"California","billingCity":"Irvine","deploymentStartDate":"Mon Jan 06 2025 00:00:00 GMT-0500 (Eastern Standard Time)","mtpDate":"Mon Jun 22 2026 00:00:00 GMT-0400 (Eastern Daylight Time)","firstMtpDate":"","overallStatus":"Active","phase":"Launch","stage":"Post Prod","health":"Green","completionDate":"","wdEngManager":"","damFullName":"","primingPartner":"0018000000MWLslAAH","implPartner":"0018000000MWLslAAH","partner":"Collaborative Solutions, LLC","currentUpdate":"Week ending 06/19 - Gold build completed - 6/22 MTP Completed","isExecutiveWatch":false,"wellnessData":null},{"deploymentId":"a0r1B00000BdPMbQAN","deploymentName":"Initial Deployment-Your Way:HCM, CCB, USP, LRN, MCNF, REC, TT","accountId":"0018000000pOeBHAA0","accountName":"City of Kent","industry":"State &amp; Local Government","region":"US SLED","subRegion":"Local Government ME","subRegionAlt":"US Local Gov ME CB","billingState":"Washington","billingCity":"Kent","deploymentStartDate":"Mon Dec 16 2019 00:00:00 GMT-0500 (Eastern Standard Time)","mtpDate":"Sun Dec 06 2020 00:00:00 GMT-0500 (Eastern Standard Time)","firstMtpDate":"Sun Dec 06 2020 00:00:00 GMT-0500 (Eastern Standard Time)","overallStatus":"Complete","phase":"Your Way","stage":"Post Prod","health":"Green","completionDate":"Fri Feb 05 2021 00:00:00 GMT-0500 (Eastern Standard Time)","wdEngManager":"","damFullName":"","primingPartner":"0018000000MWLslAAH","implPartner":"0018000000MWLslAAH","partner":"Collaborative Solutions, LLC","currentUpdate":"2/5:  Project complete","isExecutiveWatch":false,"wellnessData":null},{"deploymentId":"a0rVT00000JpdxGYAR","deploymentName":"Subsequent- Phase X- Workday Learning","accountId":"0018000000pOeBHAA0","accountName":"City of Kent","industry":"State &amp; Local Government","region":"US SLED","subRegion":"Local Government ME","subRegionAlt":"US Local Gov ME CB","billingState":"Washington","billingCity":"Kent","deploymentStartDate":"Thu Nov 14 2024 00:00:00 GMT-0500 (Eastern Standard Time)","mtpDate":"Thu Mar 27 2025 00:00:00 GMT-0400 (Eastern Daylight Time)","firstMtpDate":"Thu Mar 27 2025 00:00:00 GMT-0400 (Eastern Daylight Time)","overallStatus":"Complete","phase":"Your Way","stage":"Post Prod","health":"Green","completionDate":"Fri Apr 25 2025 00:00:00 GMT-0400 (Eastern Daylight Time)","wdEngManager":"","damFullName":"","primingPartner":"0018000000MWLslAAH","implPartner":"0018000000MWLslAAH","partner":"Collaborative Solutions, LLC","currentUpdate":"4/14: Project complete. Post prod support occuring","isExecutiveWatch":false,"wellnessData":null},{"deploymentId":"a0r4X00000Dc4rvQAB","deploymentName":"Initial Deployment-Your Way: FIN, GM, PRA, PRJT, TT, EXP, PRO, CHCM, USP, etc.","accountId":"0018000000Wsn5nAAB","accountName":"City of Lakewood","industry":"State &amp; Local Government","region":"US SLED","subRegion":"Local Government ME","subRegionAlt":"US Local Gov ME CB","billingState":"Colorado","billingCity":"Lakewood","deploymentStartDate":"Fri Sep 09 2022 00:00:00 GMT-0400 (Eastern Daylight Time)","mtpDate":"Sun Sep 17 2023 00:00:00 GMT-0400 (Eastern Daylight Time)","firstMtpDate":"Sun Sep 17 2023 00:00:00 GMT-0400 (Eastern Daylight Time)","overallStatus":"Complete","phase":"Your Way","stage":"Deploy","health":"Green","completionDate":"Fri May 31 2024 00:00:00 GMT-0400 (Eastern Daylight Time)","wdEngManager":"","damFullName":"","primingPartner":"0013000000KdrrVAAR","implPartner":"0013000000KdrrVAAR","partner":"Strada U.S. Professional Services, LLC","currentUpdate":"Stabilization is extending through May 1, 2024.  No notable updates","isExecutiveWatch":false,"wellnessData":null},{"deploymentId":"a0r4X00000DOuFEQA1","deploymentName":"Subsequent - Planning First: Adaptive Planning : Financial Planning","accountId":"0018000000Wsn5nAAB","accountName":"City of Lakewood","industry":"State &amp; Local Government","region":"US SLED","subRegion":"Local Government ME","subRegionAlt":"US Local Gov ME CB","billingState":"Colorado","billingCity":"Lakewood","deploymentStartDate":"Tue Apr 21 2020 00:00:00 GMT-0400 (Eastern Daylight Time)","mtpDate":"Wed Oct 21 2020 00:00:00 GMT-0400 (Eastern Daylight Time)","firstMtpDate":"Wed Oct 21 2020 00:00:00 GMT-0400 (Eastern Daylight Time)","overallStatus":"Complete","phase":"Planning First","stage":"Post Prod","health":"Green","completionDate":"Wed Oct 21 2020 00:00:00 GMT-0400 (Eastern Daylight Time)","wdEngManager":"Michael Poynter","damFullName":"","primingPartner":"0011B00002CZYgHQAX","implPartner":"0011B00002CZYgHQAX","partner":"PBU Partner Ecosystem","currentUpdate":"Historical deployment load as part of Adaptive Systems Integration project in FY22. CSM listed as EM due to lack of historical data.","isExecutiveWatch":false,"wellnessData":null},{"deploymentId":"a0r1B00000BdSy5QAF","deploymentName":"Initial Deployment-Your Way: HCM, USP, LRN, REC, EXP, TT","accountId":"0018000000njW8yAAE","accountName":"City of Largo","industry":"State &amp; Local Government","region":"US SLED","subRegion":"Local Government ME","subRegionAlt":"US Local Gov ME CB","billingState":"Florida","billingCity":"Largo","deploymentStartDate":"Mon Apr 13 2020 00:00:00 GMT-0400 (Eastern Daylight Time)","mtpDate":"Thu Mar 18 2021 00:00:00 GMT-0400 (Eastern Daylight Time)","firstMtpDate":"Thu Mar 18 2021 00:00:00 GMT-0400 (Eastern Daylight Time)","overallStatus":"Complete","phase":"Your Way","stage":"Deploy","health":"Green","completionDate":"Wed Jun 16 2021 00:00:00 GMT-0400 (Eastern Daylight Time)","wdEngManager":"","damFullName":"","primingPartner":"0018000000MWLslAAH","implPartner":"0018000000MWLslAAH","partner":"Collaborative Solutions, LLC","currentUpdate":"Lessons learned complete - post prod wrapping up for the most part by 4/30 but a couple of FINS consultants staying on to finish up data.\r\nMTP complete - very few issues reported","isExecutiveWatch":false,"wellnessData":null},{"deploymentId":"a0r1B00000BdSyAQAV","deploymentName":"Initial Deployment-Your Way:FIN, PRJT, GM, PRO, INV","accountId":"0018000000njW8yAAE","accountName":"City of Largo","industry":"State &amp; Local Government","region":"US SLED","subRegion":"Local Government ME","subRegionAlt":"US Local Gov ME CB","billingState":"Florida","billingCity":"Largo","deploymentStartDate":"Mon Apr 13 2020 00:00:00 GMT-0400 (Eastern Daylight Time)","mtpDate":"Thu Mar 18 2021 00:00:00 GMT-0400 (Eastern Daylight Time)","firstMtpDate":"Thu Mar 18 2021 00:00:00 GMT-0400 (Eastern Daylight Time)","overallStatus":"Complete","phase":"Your Way","stage":"Deploy","health":"Green","completionDate":"Wed Jun 16 2021 00:00:00 GMT-0400 (Eastern Daylight Time)","wdEngManager":"","damFullName":"","primingPartner":"0018000000MWLslAAH","implPartner":"0018000000MWLslAAH","partner":"Collaborative Solutions, LLC","currentUpdate":"Lessons learned complete - post prod wrapping up for the most part by 4/30 but a couple of FINS consultants staying on to finish up data.\r\nMTP complete - very few issues reported","isExecutiveWatch":false,"wellnessData":null},{"deploymentId":"a0rVT00000tJ4EjYAK","deploymentName":"Specialized-Initial Deployment-Adaptive Planning","accountId":"001VT00000HV3HcYAL","accountName":"City of Leander, TX (Iron Brick Associates LLC)","industry":"State &amp; Local Government","region":"US SLED","subRegion":"Local Government ME","subRegionAlt":"US Local Gov SMG NN","billingState":"Texas","billingCity":"Leander","deploymentStartDate":"","mtpDate":"","firstMtpDate":"","overallStatus":"Active","phase":"Your Way","stage":"On-Boarding","health":"Green","completionDate":"","wdEngManager":"","damFullName":"","primingPartner":"","implPartner":"","partner":"","currentUpdate":"","isExecutiveWatch":false,"wellnessData":null},{"deploymentId":"a0r4X00000DOuUWQA1","deploymentName":"Subsequent Deployment - Planning First : Financial Planning","accountId":"0014X00002MByshQAD","accountName":"City of Lebanon","industry":"State &amp; Local Government","region":"US SLED","subRegion":"Local Government ME","subRegionAlt":"US Local Gov SMG NN","billingState":"Missouri","billingCity":"Lebanon","deploymentStartDate":"Thu Dec 12 2019 00:00:00 GMT-0500 (Eastern Standard Time)","mtpDate":"Fri Jun 12 2020 00:00:00 GMT-0400 (Eastern Daylight Time)","firstMtpDate":"Fri Jun 12 2020 00:00:00 GMT-0400 (Eastern Daylight Time)","overallStatus":"Complete","phase":"Planning First","stage":"Post Prod","health":"Green","completionDate":"","wdEngManager":"Brandon Chacon","damFullName":"","primingPartner":"0011B00002CZYgHQAX","implPartner":"0011B00002CZYgHQAX","partner":"PBU Partner Ecosystem","currentUpdate":"Historical deployment load as part of Adaptive Systems Integration project in FY22. CSM listed as EM due to lack of historical data.","isExecutiveWatch":false,"wellnessData":null},{"deploymentId":"a0r4X00000CrToJQAV","deploymentName":"Initial Deployment-Your Way-HCM, TLO, CCB, USP, LRN,REC, FIN, etc","accountId":"0018000000Wsn5qAAB","accountName":"City of Lee's Summit","industry":"State &amp; Local Government","region":"US SLED","subRegion":"Local Government ME","subRegionAlt":"US Local Gov ME CB","billingState":"Missouri","billingCity":"Lee's Summit","deploymentStartDate":"Wed May 08 2024 00:00:00 GMT-0400 (Eastern Daylight Time)","mtpDate":"Sun Jun 08 2025 00:00:00 GMT-0400 (Eastern Daylight Time)","firstMtpDate":"","overallStatus":"Active","phase":"Your Way","stage":"Deploy","health":"Green","completionDate":"","wdEngManager":"","damFullName":"Kirk Krikorian","primingPartner":"0018000001IzqpSAAR","implPartner":"0018000001IzqpSAAR","partner":"Avaap USA, LLC","currentUpdate":"Continue Working on Phase X Talent;\nLearning Phase X deployed and post production complete.","isExecutiveWatch":false,"wellnessData":null},{"deploymentId":"a0rVT00000hhIc1YAE","deploymentName":"Initial Deployment-Launch-LDPEXP, LDPPRO, LDPCLM, XTND, LDPHCM,etc","accountId":"0018000000mKm98AAC","accountName":"City of Lewisville, TX (Precision Task Group, Inc.)","industry":"State &amp; Local Government","region":"US SLED","subRegion":"Local Government ME","subRegionAlt":"US Local Gov ME CB","billingState":"Texas","billingCity":"Lewisville","deploymentStartDate":"Tue Sep 30 2025 00:00:00 GMT-0400 (Eastern Daylight Time)","mtpDate":"","firstMtpDate":"","overallStatus":"Active","phase":"Launch","stage":"Test","health":"Green","completionDate":"","wdEngManager":"","damFullName":"","primingPartner":"0018000000vTnDgAAK","implPartner":"0018000000vTnDgAAK","partner":"Precision Task Group Inc.","currentUpdate":"6/15/26 - Finalized E2E testing, starting Parallel build.","isExecutiveWatch":false,"wellnessData":null},{"deploymentId":"a0r4X00000E0QCTQA3","deploymentName":"Initial Deployment-Your Way: CHCM, TLO, CCB, USP, LRN, REC, FIN, etc.","accountId":"0018000000Wsn5uAAB","accountName":"City of Littleton","industry":"State &amp; Local Government","region":"US SLED","subRegion":"Local Government ME","subRegionAlt":"US Local Gov ME CB","billingState":"Colorado","billingCity":"Littleton","deploymentStartDate":"Sat Feb 11 2023 00:00:00 GMT-0500 (Eastern Standard Time)","mtpDate":"Tue Mar 12 2024 00:00:00 GMT-0400 (Eastern Daylight Time)","firstMtpDate":"Tue Mar 12 2024 00:00:00 GMT-0400 (Eastern Daylight Time)","overallStatus":"Complete","phase":"Your Way","stage":"Deploy","health":"Green","completionDate":"Sun Jun 09 2024 00:00:00 GMT-0400 (Eastern Daylight Time)","wdEngManager":"","damFullName":"","primingPartner":"0018000000MWLslAAH","implPartner":"0018000000MWLslAAH","partner":"Collaborative Solutions, LLC","currentUpdate":"Customer currently in Production.\nHCM/Payroll went live 3/18\nFinancial went live on 4/1\nPost production support in progress\nHR support ends on 4/26\nFIN support ends on 5/10.","isExecutiveWatch":false,"wellnessData":null},{"deploymentId":"a0rVT00000NLw3mYAD","deploymentName":"Subsequent - Phase X : Adaptive","accountId":"0018000000Wsn5uAAB","accountName":"City of Littleton","industry":"State &amp; Local Government","region":"US SLED","subRegion":"Local Government ME","subRegionAlt":"US Local Gov ME CB","billingState":"Colorado","billingCity":"Littleton","deploymentStartDate":"Tue Dec 31 2024 00:00:00 GMT-0500 (Eastern Standard Time)","mtpDate":"Fri Jan 31 2025 00:00:00 GMT-0500 (Eastern Standard Time)","firstMtpDate":"Fri Jan 31 2025 00:00:00 GMT-0500 (Eastern Standard Time)","overallStatus":"Complete","phase":"Your Way","stage":"Post Prod","health":"Green","completionDate":"Fri Jan 31 2025 00:00:00 GMT-0500 (Eastern Standard Time)","wdEngManager":"","damFullName":"","primingPartner":"0018000000MWLslAAH","implPartner":"0018000000MWLslAAH","partner":"Collaborative Solutions, LLC","currentUpdate":"Adaptive was completed on 1/31/25","isExecutiveWatch":false,"wellnessData":null},{"deploymentId":"a0r1B00000BddPWQAZ","deploymentName":"Initial Deployment-Your Way:HCM, TT, USP, PRA","accountId":"0018000000Wsn61AAB","accountName":"City of Los Angeles","industry":"State &amp; Local Government","region":"US SLED","subRegion":"Local Government LE","subRegionAlt":"US Local Gov LE NN &amp; States West","billingState":"California","billingCity":"Los Angeles","deploymentStartDate":"Mon Apr 13 2020 00:00:00 GMT-0400 (Eastern Daylight Time)","mtpDate":"Sun May 22 2022 00:00:00 GMT-0400 (Eastern Daylight Time)","firstMtpDate":"Sun May 22 2022 00:00:00 GMT-0400 (Eastern Daylight Time)","overallStatus":"Complete","phase":"Your Way","stage":"Post Prod","health":"Green","completionDate":"Fri Sep 06 2024 00:00:00 GMT-0400 (Eastern Daylight Time)","wdEngManager":"","damFullName":"","primingPartner":"0018000000hIF6bAAG","implPartner":"0018000000hIF6bAAG","partner":"Workday Professional Services","currentUpdate":"8/26/2024:  2 weeks of Hypercare remain - transition to ESS\n\n7/29/2022: Phase 1 – Customer is Live with Workday HCM as of May 22, 2022. Post Go-Live Support concluded on July 15, 2022. This scorecard remains open to retain tenant access. No change.","isExecutiveWatch":true,"wellnessData":{"cxLeaderName":"Andrew Hamilton","executiveSummary":"Executive Summary (TURN)\n\nTrend\nYellow edging toward Yellow‑Red: architecture and SOW paths are clearer, but the ESS exit, slow adoption of key fixes, and uneven governance engagement elevate near‑term operational risk.\n\nUpdate\n\nESS ends June 30 with no funded extension; the City will bridge with internal staff, WSP, and later the bench contract (expected Aug/Sept), while closing legacy ITA backlog and routing new work through governance.\n\nThe seniority/layoff SOW is in final form as a three‑month fixed‑fee project, with lacity1 already extended to 9/1/26 and additional FIC time to be added for the seniority work once signed.\n\nLAFD strategy is converging on a hybrid architecture (Workday as HCM/Payroll SoR + external scheduler/time), while the Mayor’s Office emphasizes keeping final paycheck calculations in Workday and wants proof of reliable integrations.\n\nA demo‑only 28‑day overtime enablement has passed performance testing and is being deployed into LA City 1 to support a LAPD/LAWA POC, with a GA‑quality fix still targeted for later in the summer.\n\nAbsence Functional Review dates are set; Time and Payroll FRs remain planned but require sustained City participation. A mid‑July “day in the life” payroll close session with Controller/ITA and Workday has been tentatively scheduled to identify concrete manual steps and feed into FRs and CCB.\n\nRisk\n\nThe ESS exit + delayed bench ramp‑up create a support gap where complex issues (retro, integrations, sworn) may exceed internal capacity, even with WSP, raising the likelihood of incidents and escalations.\n\nThe Controller’s Office could continue to delay adoption of Smart Pay Calc and other high‑value fixes, keeping manual work and “payroll emergency” conditions in place.\n\nIf HRP SteerCo/CCB and the HRP Department Advisory Board do not actively prioritize and enforce decisions (seniority, performance fixes, tenant practices), progress may stall regardless of Workday recommendations.\n\n28‑day enablement remains a gating factor for LAPD/LAWA, and any slippage in demo readiness or POC execution may reinforce doubts about Workday’s fit for sworn time/scheduling.\n\nFR impact is at risk if City attendance/preparation is weak, limiting the ability to translate findings into implemented changes.\n\nNext Steps\n\nManage the ESS Exit &amp; Interim Support Carefully\n\nAlign with ITA, Controller, and Personnel on which issues will be handled via internal staff + WSP vs. deferred to bench; make explicit that non‑critical enhancements and aging ITA backlog are being decommissioned, not silently carried forward.\n\nUse Governance to Move a Small Set of High‑Value Fixes\n\nIn the upcoming governance session and HRP SteerCo, push for decisions and resourcing on:\n\nSeniority/layoff SOW sponsorship and start.\n\nSmart Pay Calc adoption (or a clear plan to implement via bench).\n\nA formal review of daily LACity7 refresh and integration runtime practices.\n\nDrive Concrete Sworn and Payroll Process Work\n\nFor sworn: execute the LAPD/LAWA POC once 28‑day is live in LA City 1, and use LAFD/Mayor’s Office meetings to refine a realistic hybrid approach that preserves Workday as pay engine while leveraging specialized scheduling.\n\nFor payroll close: ensure the July 13 “day in the life” session produces a prioritized list of manual steps and that these are routed into the FR/CCB pipeline with clear ownership and timelines."}},{"deploymentId":"a0r4X00000DbPzVQAV","deploymentName":"Subsequent-PhaseX: HCM, TT, USP, PRA","accountId":"0018000000Wsn61AAB","accountName":"City of Los Angeles","industry":"State &amp; Local Government","region":"US SLED","subRegion":"Local Government LE","subRegionAlt":"US Local Gov LE NN &amp; States West","billingState":"California","billingCity":"Los Angeles","deploymentStartDate":"Fri Jun 03 2022 00:00:00 GMT-0400 (Eastern Daylight Time)","mtpDate":"Mon Jul 08 2024 00:00:00 GMT-0400 (Eastern Daylight Time)","firstMtpDate":"Mon Jul 08 2024 00:00:00 GMT-0400 (Eastern Daylight Time)","overallStatus":"Complete","phase":"Phase X - Your Way","stage":"Post Prod","health":"Green","completionDate":"Fri Sep 06 2024 00:00:00 GMT-0400 (Eastern Daylight Time)","wdEngManager":"","damFullName":"","primingPartner":"0018000000hIF6bAAG","implPartner":"0018000000hIF6bAAG","partner":"Workday Professional Services","currentUpdate":"9/12/24: Hypercare/Post-Production Support is complete. The Extended Support Services has been moved to a new Deployment Scorecard.","isExecutiveWatch":true,"wellnessData":{"cxLeaderName":"Andrew Hamilton","executiveSummary":"Executive Summary (TURN)\n\nTrend\nYellow edging toward Yellow‑Red: architecture and SOW paths are clearer, but the ESS exit, slow adoption of key fixes, and uneven governance engagement elevate near‑term operational risk.\n\nUpdate\n\nESS ends June 30 with no funded extension; the City will bridge with internal staff, WSP, and later the bench contract (expected Aug/Sept), while closing legacy ITA backlog and routing new work through governance.\n\nThe seniority/layoff SOW is in final form as a three‑month fixed‑fee project, with lacity1 already extended to 9/1/26 and additional FIC time to be added for the seniority work once signed.\n\nLAFD strategy is converging on a hybrid architecture (Workday as HCM/Payroll SoR + external scheduler/time), while the Mayor’s Office emphasizes keeping final paycheck calculations in Workday and wants proof of reliable integrations.\n\nA demo‑only 28‑day overtime enablement has passed performance testing and is being deployed into LA City 1 to support a LAPD/LAWA POC, with a GA‑quality fix still targeted for later in the summer.\n\nAbsence Functional Review dates are set; Time and Payroll FRs remain planned but require sustained City participation. A mid‑July “day in the life” payroll close session with Controller/ITA and Workday has been tentatively scheduled to identify concrete manual steps and feed into FRs and CCB.\n\nRisk\n\nThe ESS exit + delayed bench ramp‑up create a support gap where complex issues (retro, integrations, sworn) may exceed internal capacity, even with WSP, raising the likelihood of incidents and escalations.\n\nThe Controller’s Office could continue to delay adoption of Smart Pay Calc and other high‑value fixes, keeping manual work and “payroll emergency” conditions in place.\n\nIf HRP SteerCo/CCB and the HRP Department Advisory Board do not actively prioritize and enforce decisions (seniority, performance fixes, tenant practices), progress may stall regardless of Workday recommendations.\n\n28‑day enablement remains a gating factor for LAPD/LAWA, and any slippage in demo readiness or POC execution may reinforce doubts about Workday’s fit for sworn time/scheduling.\n\nFR impact is at risk if City attendance/preparation is weak, limiting the ability to translate findings into implemented changes.\n\nNext Steps\n\nManage the ESS Exit &amp; Interim Support Carefully\n\nAlign with ITA, Controller, and Personnel on which issues will be handled via internal staff + WSP vs. deferred to bench; make explicit that non‑critical enhancements and aging ITA backlog are being decommissioned, not silently carried forward.\n\nUse Governance to Move a Small Set of High‑Value Fixes\n\nIn the upcoming governance session and HRP SteerCo, push for decisions and resourcing on:\n\nSeniority/layoff SOW sponsorship and start.\n\nSmart Pay Calc adoption (or a clear plan to implement via bench)</t>
  </si>
  <si>
    <t>a0pVT000009BqniYAC</t>
  </si>
  <si>
    <t>sfdcRows:default:chunk:3</t>
  </si>
  <si>
    <t>a0pVT000009BqnjYAC</t>
  </si>
  <si>
    <t>8/4: Doc migration complete, training and enablement ongoing. Customer Go-Live in Sept, CO in progress for hypercare in Sept</t>
  </si>
  <si>
    <t>a0rVT000015YOJ3YAO</t>
  </si>
  <si>
    <t>a0pVT000009BqnkYAC</t>
  </si>
  <si>
    <t>Equinix, Inc.</t>
  </si>
  <si>
    <t>a0pVT000009BqnlYAC</t>
  </si>
  <si>
    <t>a0pVT000009BqnmYAC</t>
  </si>
  <si>
    <t>a0pVT000009BqnnYAC</t>
  </si>
  <si>
    <t>Jamie Jackson</t>
  </si>
  <si>
    <t>a0pVT000009BqnoYAC</t>
  </si>
  <si>
    <t>7/13 - Customer will start engaging the TC.</t>
  </si>
  <si>
    <t>a0rVT00000YOQ5rYAH</t>
  </si>
  <si>
    <t>eResearchTechnology Inc.</t>
  </si>
  <si>
    <t>a0pVT000009BqnpYAC</t>
  </si>
  <si>
    <t>a0pVT000009BqnqYAC</t>
  </si>
  <si>
    <t>a0pVT000009CAEXYA4</t>
  </si>
  <si>
    <t>a0pVT000009CAEYYA4</t>
  </si>
  <si>
    <t>Project's on hold after the customer requested to turn off AI due to the Mobley Lawsuit. We've submitted a support request and are waiting for our legal team to schedule a call with theirs.</t>
  </si>
  <si>
    <t>a0pVT000009CAEZYA4</t>
  </si>
  <si>
    <t>Initial Deployment-Your Way- PRA, PRJT, TT, EXP, PRO, INV, SRC, CLM, CHCM,etc</t>
  </si>
  <si>
    <t>Erlanger Health, Inc.</t>
  </si>
  <si>
    <t>a0pVT000009CAEaYAO</t>
  </si>
  <si>
    <t>a0pVT000009CAEbYAO</t>
  </si>
  <si>
    <t>Neha Khanna</t>
  </si>
  <si>
    <t>a0pVT000009CAEcYAO</t>
  </si>
  <si>
    <t>Starting Phase 1 end to end testing and phase 2 unit testing this week.</t>
  </si>
  <si>
    <t>a0pVT00000AIqjyYAD</t>
  </si>
  <si>
    <t>ESRI Australia Pty Ltd (ABN: 16 008 852 775)</t>
  </si>
  <si>
    <t>a0pVT00000AMbxeYAD</t>
  </si>
  <si>
    <t>a0rVT0000124F72YAE</t>
  </si>
  <si>
    <t>a0pVT00000BQmsIYAT</t>
  </si>
  <si>
    <t>a0pVT0000092bJFYAY</t>
  </si>
  <si>
    <t>a0rVT000012AXU5YAO</t>
  </si>
  <si>
    <t>8/4: CI Go-Live done. Workflow deployment in progress, completing SFDC integration. Issues with SFDC and Word integration</t>
  </si>
  <si>
    <t>a0pVT000009fU50YAE</t>
  </si>
  <si>
    <t>Essentia Health</t>
  </si>
  <si>
    <t>a0pVT000009JsCRYA0</t>
  </si>
  <si>
    <t>a0rVT000012ENO5YAO</t>
  </si>
  <si>
    <t>a0pVT000009EVOXYA4</t>
  </si>
  <si>
    <t>Date: August 10th, 2026
Overall Project Status: On track
Current Status: Hypercare</t>
  </si>
  <si>
    <t>a0rVT00000s4mJtYAI</t>
  </si>
  <si>
    <t>Evergreen Healthcare Partners</t>
  </si>
  <si>
    <t>a0pVT000009ZDV4YAO</t>
  </si>
  <si>
    <t>a0pVT0000094sr3YAA</t>
  </si>
  <si>
    <t>a0pVT000009dNVpYAM</t>
  </si>
  <si>
    <t>a0rVT000012EmsjYAC</t>
  </si>
  <si>
    <t>a0pVT000009dNVrYAM</t>
  </si>
  <si>
    <t>3/4 CLM and CI are in Prod, hypercare in progress</t>
  </si>
  <si>
    <t>a0rVT00000nmzEfYAI</t>
  </si>
  <si>
    <t>a0pVT000009dNVqYAM</t>
  </si>
  <si>
    <t>Exadel, Inc.</t>
  </si>
  <si>
    <t>a0pVT000009D8QnYAK</t>
  </si>
  <si>
    <t>a0rVT000012MHq9YAG</t>
  </si>
  <si>
    <t>a0pVT000009c2wTYAQ</t>
  </si>
  <si>
    <t>3/23 - PPS completed on 2/27. Closing project without trainings being completed due to unresponsive customer. Trainer (Leo Ramirez) informed.</t>
  </si>
  <si>
    <t>a0rVT00000hOBmTYAW</t>
  </si>
  <si>
    <t>Subsequent-Adhoc: Evisort</t>
  </si>
  <si>
    <t>a0pVT00000BwwmrYAB</t>
  </si>
  <si>
    <t>Express Wash Concepts</t>
  </si>
  <si>
    <t>a0rVT000012OScbYAG</t>
  </si>
  <si>
    <t>a0pVT000009Roq3YAC</t>
  </si>
  <si>
    <t>a0rVT000012PPxdYAG</t>
  </si>
  <si>
    <t>12/18 MTP today</t>
  </si>
  <si>
    <t>a0pVT000009mNd4YAE</t>
  </si>
  <si>
    <t>Express Wash Operations LLC dba Whistle Express Car Wash</t>
  </si>
  <si>
    <t>a0pVT000009mPADYA2</t>
  </si>
  <si>
    <t>Other Retail</t>
  </si>
  <si>
    <t>a0pVT000009B5gjYAC</t>
  </si>
  <si>
    <t>US DI LE CB RHT Southeast</t>
  </si>
  <si>
    <t>a0rVT000012PeAHYA0</t>
  </si>
  <si>
    <t>a0pVT00000AJk2zYAD</t>
  </si>
  <si>
    <t>a0rVT000012PqplYAC</t>
  </si>
  <si>
    <t>a0pVT00000A32xBYAR</t>
  </si>
  <si>
    <t>a0rVT000019drwQYAQ</t>
  </si>
  <si>
    <t>Extreme Networks, Inc.</t>
  </si>
  <si>
    <t>a0pVT000009X4SfYAK</t>
  </si>
  <si>
    <t>a0pVT000009X4SgYAK</t>
  </si>
  <si>
    <t>a0pVT000009X4ShYAK</t>
  </si>
  <si>
    <t>a0pVT000009EWUHYA4</t>
  </si>
  <si>
    <t>pre-kickoff was schduled for this Monday 17th Sep</t>
  </si>
  <si>
    <t>a0rVT000012RVEAYA4</t>
  </si>
  <si>
    <t>a0rVT000013D3fNYAS</t>
  </si>
  <si>
    <t>a0pVT00000ACm4jYAD</t>
  </si>
  <si>
    <t>Faith Technologies, Inc.</t>
  </si>
  <si>
    <t>a0rVT000012SxczYAC</t>
  </si>
  <si>
    <t>.\n\nA formal review of daily LACity7 refresh and integration runtime practices.\n\nDrive Concrete Sworn and Payroll Process Work\n\nFor sworn: execute the LAPD/LAWA POC once 28‑day is live in LA City 1, and use LAFD/Mayor’s Office meetings to refine a realistic hybrid approach that preserves Workday as pay engine while leveraging specialized scheduling.\n\nFor payroll close: ensure the July 13 “day in the life” session produces a prioritized list of manual steps and that these are routed into the FR/CCB pipeline with clear ownership and timelines."}},{"deploymentId":"a0r4X00000Ef3YpQAJ","deploymentName":"Initial Deployment-Launch-HCM &amp; Pay","accountId":"0014X00002K5FyEQAV","accountName":"City of Meridian","industry":"State &amp; Local Government","region":"US SLED","subRegion":"Local Government ME","subRegionAlt":"US Local Gov ME CB","billingState":"Idaho","billingCity":"Meridian","deploymentStartDate":"Fri Feb 02 2024 00:00:00 GMT-0500 (Eastern Standard Time)","mtpDate":"Mon Jun 09 2025 00:00:00 GMT-0400 (Eastern Daylight Time)","firstMtpDate":"Mon Jun 09 2025 00:00:00 GMT-0400 (Eastern Daylight Time)","overallStatus":"Complete","phase":"Launch","stage":"Post Prod","health":"Green","completionDate":"Fri Aug 29 2025 00:00:00 GMT-0400 (Eastern Daylight Time)","wdEngManager":"","damFullName":"","primingPartner":"0018000000MWLslAAH","implPartner":"0018000000MWLslAAH","partner":"Collaborative Solutions, LLC","currentUpdate":"NJ 8/16 - Post-Production support in progress and ends on 8/29. Second payroll in progress.","isExecutiveWatch":false,"wellnessData":null},{"deploymentId":"a0r4X00000CrTG7QAN","deploymentName":"Initial Deployment-Your Way-HCM, FIN, USP, LRN, TT, etc","accountId":"0018000000kuwLOAAY","accountName":"City of Milwaukee","industry":"State &amp; Local Government","region":"US SLED","subRegion":"Local Government LE","subRegionAlt":"US Local Gov LE CB","billingState":"Wisconsin","billingCity":"Milwaukee","deploymentStartDate":"Mon Apr 22 2024 00:00:00 GMT-0400 (Eastern Daylight Time)","mtpDate":"Sat Dec 05 2026 00:00:00 GMT-0500 (Eastern Standard Time)","firstMtpDate":"","overallStatus":"Active","phase":"Your Way","stage":"Test","health":"Red","completionDate":"","wdEngManager":"","damFullName":"Alexis Celani","primingPartner":"00130000008MSknAAG","implPartner":"00130000008MSknAAG","partner":"Accenture LLP","currentUpdate":"Preparing for Parallel Cycle 2 (associated TCU in progress).  At a governance level, strong emphasis on remaining tasks to complete E2E and other critical activities in alignment with timeline.","isExecutiveWatch":false,"wellnessData":null},{"deploymentId":"a0rVT00000R4A4gYAF","deploymentName":"Initial Deployment-Your Way-HLP, JRNY, EMPVCE, CHCM, TLO, CCB, etc.","accountId":"0018000000OSpDeAAL","accountName":"City of Minneapolis (IronBrick Associates LLC)","industry":"State &amp; Local Government","region":"US SLED","subRegion":"Local Government LE","subRegionAlt":"US Local Gov LE CB","billingState":"Minnesota","billingCity":"Minneapolis","deploymentStartDate":"","mtpDate":"","firstMtpDate":"","overallStatus":"Active","phase":"Your Way","stage":"On-Boarding","health":"Green","completionDate":"","wdEngManager":"","damFullName":"","primingPartner":"","implPartner":"","partner":"","currentUpdate":"","isExecutiveWatch":false,"wellnessData":null},{"deploymentId":"a0rVT00000tMkJBYA0","deploymentName":"Initial Deployment-Launch-LDPAM, TC, AK, LOD, LDPHCM, LDPBEN,etc.","accountId":"001VT00000JlksVYAR","accountName":"City Of Moorhead, MN","industry":"State &amp; Local Government","region":"US SLED","subRegion":"Local Government ME","subRegionAlt":"US Local Gov ME CB","billingState":"Minnesota","billingCity":"Moorhead","deploymentStartDate":"Wed Apr 01 2026 00:00:00 GMT-0400 (Eastern Daylight Time)","mtpDate":"","firstMtpDate":"","overallStatus":"Active","phase":"Launch","stage":"Plan","health":"Green","completionDate":"","wdEngManager":"","damFullName":"","primingPartner":"0018000001IzqpSAAR","implPartner":"0018000001IzqpSAAR","partner":"Avaap USA, LLC","currentUpdate":"Moving to configuration stage after completing customer prep, configuration validation sessions start tomorrow","isExecutiveWatch":false,"wellnessData":null},{"deploymentId":"a0r4X00000CrSyDQAV","deploymentName":"Initial Deployment-Launch-CHCM, TLO, CCB, USP, LRN, FIN, etc","accountId":"0014X00002OtLZDQA3","accountName":"City of New Braunfels","industry":"State &amp; Local Government","region":"US SLED","subRegion":"Local Government ME","subRegionAlt":"US Local Gov ME CB","billingState":"Texas","billingCity":"New Braunfels","deploymentStartDate":"Mon Apr 15 2024 00:00:00 GMT-0400 (Eastern Daylight Time)","mtpDate":"Sun Jun 15 2025 00:00:00 GMT-0400 (Eastern Daylight Time)","firstMtpDate":"Sun Jun 15 2025 00:00:00 GMT-0400 (Eastern Daylight Time)","overallStatus":"Complete","phase":"Launch","stage":"Post Prod","health":"Green","completionDate":"Tue Aug 26 2025 00:00:00 GMT-0400 (Eastern Daylight Time)","wdEngManager":"","damFullName":"Kirk Krikorian","primingPartner":"0018000000MWLslAAH","implPartner":"0018000000MWLslAAH","partner":"Collaborative Solutions, LLC","currentUpdate":"8.25.25 Month closing and support for Adaptive and Prism in Production wraps up this week.  Please close this Scorecard!  Note the Case with WD logged to fix the Product MTP dates (throwing an error).","isExecutiveWatch":false,"wellnessData":null},{"deploymentId":"a0rVT00000vktwvYAA","deploymentName":"Initial Deployment-Launch-LDPHCM, LDPBEN, LDPUSP, LDPLRN, etc.","accountId":"0018000000Wsn6XAAR","accountName":"City of Nogales, AZ","industry":"State &amp; Local Government","region":"US SLED","subRegion":"Local Government ME","subRegionAlt":"US Local Gov ME CB","billingState":"Arizona","billingCity":"Nogales","deploymentStartDate":"Mon Mar 09 2026 00:00:00 GMT-0400 (Eastern Daylight Time)","mtpDate":"","firstMtpDate":"","overallStatus":"Active","phase":"Launch","stage":"Plan","health":"Green","completionDate":"","wdEngManager":"","damFullName":"","primingPartner":"0013000000KdrrVAAR","implPartner":"0013000000KdrrVAAR","partner":"Strada U.S. Professional Services, LLC","currentUpdate":"readiness complete; project on hold ; WD working with clients on next steps","isExecutiveWatch":false,"wellnessData":null},{"deploymentId":"a0r4X00000CrVZuQAN","deploymentName":"Initial Deployment-Your Way-CHCM, TLO, HLP, CCB, USP, LRN, MCNF, etc","accountId":"0018000000kuwK0AAI","accountName":"City of North Las Vegas","industry":"State &amp; Local Government","region":"US SLED","subRegion":"Local Government ME","subRegionAlt":"US Local Gov ME CB","billingState":"Nevada","billingCity":"North Las Vegas","deploymentStartDate":"Tue Aug 20 2024 00:00:00 GMT-0400 (Eastern Daylight Time)","mtpDate":"Wed Sep 09 2026 00:00:00 GMT-0400 (Eastern Daylight Time)","firstMtpDate":"","overallStatus":"Active","phase":"Your Way","stage":"Test","health":"Yellow","completionDate":"","wdEngManager":"","damFullName":"","primingPartner":"0018000000MWLslAAH","implPartner":"0018000000MWLslAAH","partner":"Collaborative Solutions, LLC","currentUpdate":"06/19/26 : Completed replanning for 10/1 deployment.  Will wrap up Parallel C1 next week.  Mock gold build proceeding.  Most integrations are in process of being signed off.","isExecutiveWatch":false,"wellnessData":null},{"deploymentId":"a0r4X00000DO6L6QAL","deploymentName":"Initial Deployment-Your Way: HCM, CCB, USP, REC, FIN, PLNF, PRJT, TT, PRO, etc.","accountId":"0018000000RggmzAAB","accountName":"City of Olathe (Precision Task Group, Inc.)","industry":"State &amp; Local Government","region":"US SLED","subRegion":"Local Government ME","subRegionAlt":"US Local Gov ME CB","billingState":"Kansas","billingCity":"Olathe","deploymentStartDate":"Wed Sep 01 2021 00:00:00 GMT-0400 (Eastern Daylight Time)","mtpDate":"Thu Jul 14 2022 00:00:00 GMT-0400 (Eastern Daylight Time)","firstMtpDate":"Thu Jul 14 2022 00:00:00 GMT-0400 (Eastern Daylight Time)","overallStatus":"Complete","phase":"Your Way","stage":"Post Prod","health":"Green","completionDate":"Thu Sep 01 2022 00:00:00 GMT-0400 (Eastern Daylight Time)","wdEngManager":"","damFullName":"","primingPartner":"0018000001IzqpSAAR","implPartner":"0018000001IzqpSAAR","partner":"Avaap USA, LLC","currentUpdate":"Avaap has completed the 6 weeks of Post-Production support.  Completing this phase of the deployment.","isExecutiveWatch":false,"wellnessData":null},{"deploymentId":"a0rVT000014eru2YAA","deploymentName":"Subsequent - Phase X - Adaptive Planning","accountId":"0018000000RggmzAAB","accountName":"City of Olathe (Precision Task Group, Inc.)","industry":"State &amp; Local Government","region":"US SLED","subRegion":"Local Government ME","subRegionAlt":"US Local Gov ME CB","billingState":"Kansas","billingCity":"Olathe","deploymentStartDate":"Tue May 19 2026 00:00:00 GMT-0400 (Eastern Daylight Time)","mtpDate":"Fri Nov 06 2026 00:00:00 GMT-0500 (Eastern Standard Time)","firstMtpDate":"","overallStatus":"Active","phase":"Your Way","stage":"Plan","health":"Green","completionDate":"","wdEngManager":"","damFullName":"","primingPartner":"0013000000KdrrVAAR","implPartner":"0013000000KdrrVAAR","partner":"Strada U.S. Professional Services, LLC","currentUpdate":"6/10: Kick off was completed today.  Next steps to schedule requirement sessions starting next week.","isExecutiveWatch":false,"wellnessData":null},{"deploymentId":"a0r4X00000CrUSnQAN","deploymentName":"Subsequent- Phase X- People Analytics","accountId":"0018000000RggmzAAB","accountName":"City of Olathe (Precision Task Group, Inc.)","industry":"State &amp; Local Government","region":"US SLED","subRegion":"Local Government ME","subRegionAlt":"US Local Gov ME CB","billingState":"Kansas","billingCity":"Olathe","deploymentStartDate":"Wed Jun 05 2024 00:00:00 GMT-0400 (Eastern Daylight Time)","mtpDate":"Thu Aug 22 2024 00:00:00 GMT-0400 (Eastern Daylight Time)","firstMtpDate":"Thu Aug 22 2024 00:00:00 GMT-0400 (Eastern Daylight Time)","overallStatus":"Complete","phase":"Your Way","stage":"Post Prod","health":"Green","completionDate":"Sat Sep 07 2024 00:00:00 GMT-0400 (Eastern Daylight Time)","wdEngManager":"","damFullName":"","primingPartner":"0018000000hIF6bAAG","implPartner":"0018000000hIF6bAAG","partner":"Workday Professional Services","currentUpdate":"9/19 - Project is complete and confirmed by Customer PM Aaron Goertz. Closing out the Project.","isExecutiveWatch":false,"wellnessData":null},{"deploymentId":"a0r4X00000DaCnXQAV","deploymentName":"Subsequent-PhaseX: FIN, ACCTG, ASSET, BANK, BUD, CUST, PRJ, PRO, SUPP","accountId":"0018000000RggmzAAB","accountName":"City of Olathe (Precision Task Group, Inc.)","industry":"State &amp; Local Government","region":"US SLED","subRegion":"Local Government ME","subRegionAlt":"US Local Gov ME CB","billingState":"Kansas","billingCity":"Olathe","deploymentStartDate":"Mon Jun 06 2022 00:00:00 GMT-0400 (Eastern Daylight Time)","mtpDate":"Mon Dec 18 2023 00:00:00 GMT-0500 (Eastern Standard Time)","firstMtpDate":"Mon Dec 18 2023 00:00:00 GMT-0500 (Eastern Standard Time)","overallStatus":"Complete","phase":"Phase X - Your Way","stage":"Post Prod","health":"Green","completionDate":"Fri Feb 09 2024 00:00:00 GMT-0500 (Eastern Standard Time)","wdEngManager":"","damFullName":"Machelle Starling","primingPartner":"0018000001IzqpSAAR","implPartner":"0018000001IzqpSAAR","partner":"Avaap USA, LLC","currentUpdate":"Completed Post Production Support on 2/9/24;","isExecutiveWatch":false,"wellnessData":null},{"deploymentId":"a0r4X00000DOqDYQA1","deploymentName":"Subsequent-PhaseX: PR, ABS, TT","accountId":"0018000000RggmzAAB","accountName":"City of Olathe (Precision Task Group, Inc.)","industry":"State &amp; Local Government","region":"US SLED","subRegion":"Local Government ME","subRegionAlt":"US Local Gov ME CB","billingState":"Kansas","billingCity":"Olathe","deploymentStartDate":"Mon Jan 10 2022 00:00:00 GMT-0500 (Eastern Standard Time)","mtpDate":"Mon Jun 19 2023 00:00:00 GMT-0400 (Eastern Daylight Time)","firstMtpDate":"Mon Jun 19 2023 00:00:00 GMT-0400 (Eastern Daylight Time)","overallStatus":"Complete","phase":"Phase X - Your Way","stage":"Post Prod","health":"Green","completionDate":"Fri Jul 28 2023 00:00:00 GMT-0400 (Eastern Daylight Time)","wdEngManager":"","damFullName":"","primingPartner":"0018000001IzqpSAAR","implPartner":"0018000001IzqpSAAR","partner":"Avaap USA, LLC","currentUpdate":"Client is live on PATT;\nCompleted Post-Production Support on 7/28/23;\n2nd payroll was processed the week of 7/24/23 - 7/28/23;\n2 remaining defects to resolve;","isExecutiveWatch":false,"wellnessData":null},{"deploymentId":"a0r4X00000DPy1OQAT","deploymentName":"Initial Deplyoment-Your Way: CHCM, TLO, CCB, USP, LRN, MCNF, REC, FIN, PLNF, etc","accountId":"0018000001WMHXaAAP","accountName":"City of Olympia","industry":"State &amp; Local Government","region":"US SLED","subRegion":"Local Government ME","subRegionAlt":"US Local Gov ME CB","billingState":"Washington","billingCity":"Olympia","deploymentStartDate":"Mon Jan 10 2022 00:00:00 GMT-0500 (Eastern Standard Time)","mtpDate":"Mon Dec 26 2022 00:00:00 GMT-0500 (Eastern Standard Time)","firstMtpDate":"Mon Dec 26 2022 00:00:00 GMT-0500 (Eastern Standard Time)","overallStatus":"Complete","phase":"Your Way","stage":"Post Prod","health":"Green","completionDate":"Fri Apr 28 2023 00:00:00 GMT-0400 (Eastern Daylight Time)","wdEngManager":"","damFullName":"","primingPartner":"0018000000MWLslAAH","implPartner":"0018000000MWLslAAH","partner":"Collaborative Solutions, LLC","currentUpdate":"Post Production Support Completed 4/28/2023.","isExecutiveWatch":false,"wellnessData":null},{"deploymentId":"a0r8000000499GGAAY","deploymentName":"Initial Deployment: HCM, CCB, USP","accountId":"0018000000Wsn6jAAB","accountName":"City of Ontario","industry":"State &amp; Local Government","region":"US SLED","subRegion":"Local Government ME","subRegionAlt":"US Local Gov ME CB","billingState":"California","billingCity":"Ontario","deploymentStartDate":"Mon May 18 2015 00:00:00 GMT-0400 (Eastern Daylight Time)","mtpDate":"Tue Sep 06 2016 00:00:00 GMT-0400 (Eastern Daylight Time)","firstMtpDate":"Tue Sep 06 2016 00:00:00 GMT-0400 (Eastern Daylight Time)","overallStatus":"Complete","phase":"Your Way","stage":"Deploy","health":"Green","completionDate":"Mon Dec 05 2016 00:00:00 GMT-0500 (Eastern Standard Time)","wdEngManager":"","damFullName":"","primingPartner":"0018000000hIF6bAAG","implPartner":"0018000000hIF6bAAG","partner":"Workday Professional Services","currentUpdate":"Continuing to provide post production support. Customer needs help most with payroll processing, FLSA, and one GL integration. Hoping to complete production support work in February. Customer may hire SCI for post prod support.","isExecutiveWatch":false,"wellnessData":null},{"deploymentId":"a0r4X00000Db8pHQAR","deploymentName":"Subsequent - Phase X - Adaptive and Inventory","accountId":"0018000000Wsn6jAAB","accountName":"City of Ontario","industry":"State &amp; Local Government","region":"US SLED","subRegion":"Local Government ME","subRegionAlt":"US Local Gov ME CB","billingState":"California","billingCity":"Ontario","deploymentStartDate":"Mon Aug 01 2022 00:00:00 GMT-0400 (Eastern Daylight Time)","mtpDate":"Fri Nov 18 2022 00:00:00 GMT-0500 (Eastern Standard Time)","firstMtpDate":"Fri Nov 18 2022 00:00:00 GMT-0500 (Eastern Standard Time)","overallStatus":"Complete","phase":"Phase X - Your Way","stage":"Post Prod","health":"Green","completionDate":"Mon May 15 2023 00:00:00 GMT-0400 (Eastern Daylight Time)","wdEngManager":"","damFullName":"","primingPartner":"0018000000MWLslAAH","implPartner":"0018000000MWLslAAH","partner":"Collaborative Solutions, LLC","currentUpdate":"Project is Green. Adaptive Insights MTP complete. Knowledge Transfer complete.","isExecutiveWatch":false,"wellnessData":null},{"deploymentId":"a0r4X00000BnrxOQAR","deploymentName":"Subsequent - Phase X - Fin","accountId":"0018000000Wsn6jAAB","accountName":"City of Ontario","industry":"State &amp; Local Government","region":"US SLED","subRegion":"Local Government ME","subRegionAlt":"US Local Gov ME CB","billingState":"California","billingCity":"Ontario","deploymentStartDate":"Mon Jul 20 2020 00:00:00 GMT-0400 (Eastern Daylight Time)","mtpDate":"Fri Jul 01 2022 00:00:00 GMT-0400 (Eastern Daylight Time)","firstMtpDate":"Fri Jul 01 2022 00:00:00 GMT-0400 (Eastern Daylight Time)","overallStatus":"Complete","phase":"Phase X - Your Way","stage":"Post Prod","health":"Green","completionDate":"Mon Jun 05 2023 00:00:00 GMT-0400 (Eastern Daylight Time)","wdEngManager":"","damFullName":"","primingPartner":"0018000000MWLslAAH","implPartner":"0018000000MWLslAAH","partner":"Collaborative Solutions, LLC","currentUpdate":"Project is green. Week 8 of Post Production Support is completed and the City of Ontario project is doing well. Issues are being logged and CS consultants are resolving quickly. Prep for CVS support underway.","isExecutiveWatch":false,"wellnessData":null},{"deploymentId":"a0r80000003J97iAAC","deploymentName":"Initial Deployment: HCM, CCHCM, CCB, USP, CCWP, EXP, PRO, CCSM, FIN, CCF GM","accountId":"0018000000kuwIcAAI","accountName":"City of Orlando","industry":"State &amp; Local Government","region":"US SLED","subRegion":"Local Government LE","subRegionAlt":"US Local Gov LE CB","billingState":"Florida","billingCity":"Orlando","deploymentStartDate":"Mon Jan 07 2013 00:00:00 GMT-0500 (Eastern Standard Time)","mtpDate":"Mon Feb 17 2014 00:00:00 GMT-0500 (Eastern Standard Time)","firstMtpDate":"Mon Feb 17 2014 00:00:00 GMT-0500 (Eastern Standard Time)","overallStatus":"Complete","phase":"Your Way","stage":"Post Prod","health":"Green","completionDate":"Thu Nov 20 2014 00:00:00 GMT-0500 (Eastern Standard Time)","wdEngManager":"","damFullName":"","primingPartner":"0018000000hIF6bAAG","implPartner":"0018000000hIF6bAAG","partner":"Workday Professional Services","currentUpdate":"Heatmap update \t\r\n884429","isExecutiveWatch":false,"wellnessData":null},{"deploymentId":"a0r4X00000ESL2UQAX","deploymentName":"Subsequent - Phase X: Inventory","accountId":"0018000000kuwIcAAI","accountName":"City of Orlando","industry":"State &amp; Local Government","region":"US SLED","subRegion":"Local Government LE","subRegionAlt":"US Local Gov LE CB","billingState":"Florida","billingCity":"Orlando","deploymentStartDate":"Tue Aug 01 2023 00:00:00 GMT-0400 (Eastern Daylight Time)","mtpDate":"Mon Dec 04 2023 00:00:00 GMT-0500 (Eastern Standard Time)","firstMtpDate":"Mon Dec 04 2023 00:00:00 GMT-0500 (Eastern Standard Time)","overallStatus":"Complete","phase":"Your Way","stage":"Post Prod","health":"Green","completionDate":"Fri Dec 15 2023 00:00:00 GMT-0500 (Eastern Standard Time)","wdEngManager":"","damFullName":"","primingPartner":"0018000000hIF6bAAG","implPartner":"0018000000hIF6bAAG","partner":"Workday Professional Services","currentUpdate":"12.05.23 &gt; Customer is now live with Financial Inventory; project now in post-production support.","isExecutiveWatch":false,"wellnessData":null},{"deploymentId":"a0r4X00000E1AN5QAN","deploymentName":"Subsequent-Phase X-Launch: AI Planning SVCS - CVSN","accountId":"0018000000kuwIcAAI","accountName":"City of Orlando","industry":"State &amp; Local Government","region":"US SLED","subRegion":"Local Government LE","subRegionAlt":"US Local Gov LE CB","billingState":"Florida","billingCity":"Orlando","deploymentStartDate":"Thu Mar 02 2023 00:00:00 GMT-0500 (Eastern Standard Time)","mtpDate":"Wed Sep 20 2023 00:00:00 GMT-0400 (Eastern Daylight Time)","firstMtpDate":"Wed Sep 20 2023 00:00:00 GMT-0400 (Eastern Daylight Time)","overallStatus":"Complete","phase":"Phase X - Planning","stage":"Post Prod","health":"Green","completionDate":"Mon Oct 16 2023 00:00:00 GMT-0400 (Eastern Daylight Time)","wdEngManager":"","damFullName":"","primingPartner":"0018000000hIF6bAAG","implPartner":"0018000000hIF6bAAG","partner":"Workday Professional Services","currentUpdate":"10/13: Final customer meeting held today and last remaining training items were closed out. Project is now complete. System will be used in a few months for next FY Planning.","isExecutiveWatch":false,"wellnessData":null},{"deploymentId":"a0r4X00000Ef3VWQAZ","deploymentName":"Subsequent-Phase X: REC","accountId":"0018000000kuwIcAAI","accountName":"City of Orlando","industry":"State &amp; Local Government","region":"US SLED","subRegion":"Local Government LE","subRegionAlt":"US Local Gov LE CB","billingState":"Florida","billingCity":"Orlando","deploymentStartDate":"Thu Feb 01 2024 00:00:00 GMT-0500 (Eastern Standard Time)","mtpDate":"Fri Jan 24 2025 00:00:00 GMT-0500 (Eastern Standard Time)","firstMtpDate":"Fri Jan 24 2025 00:00:00 GMT-0500 (Eastern Standard Time)","overallStatus":"Complete","phase":"Launch","stage":"Post Prod","health":"Green","completionDate":"Fri May 09 2025 00:00:00 GMT-0400 (Eastern Daylight Time)","wdEngManager":"","damFullName":"","primingPartner":"0018000000hIF6bAAG","implPartner":"0018000000hIF6bAAG","partner":"Workday Professional Services","currentUpdate":"Final remaining integration completed.  Project closed.","isExecutiveWatch":false,"wellnessData":null},{"deploymentId":"a0rVT000012SqmxYAC","deploymentName":"Subsequent-Phase X: Time Tracking","accountId":"0018000000kuwIcAAI","accountName":"City of Orlando","industry":"State &amp; Local Government","region":"US SLED","subRegion":"Local Government LE","subRegionAlt":"US Local Gov LE CB","billingState":"Florida","billingCity":"Orlando","deploymentStartDate":"Thu Apr 16 2026 00:00:00 GMT-0400 (Eastern Daylight Time)","mtpDate":"Mon Jul 27 2026 00:00:00 GMT-0400 (Eastern Daylight Time)","firstMtpDate":"","overallStatus":"Active","phase":"Your Way","stage":"Plan","health":"Green","completionDate":"","wdEngManager":"Michael Biagini","damFullName":"","primingPartner":"0018000000hIF6bAAG","implPartner":"0018000000hIF6bAAG","partner":"Workday Professional Services","currentUpdate":"Unit testing by the city began last week (06-08); targeting this week (06-15) to complete the testing with the following 10 days devoted to building E2E.","isExecutiveWatch":false,"wellnessData":null},{"deploymentId":"a0rVT00000PwfFhYAJ","deploymentName":"Subsequent-Phase X: Time Tracking and Absence","accountId":"0018000000kuwIcAAI","accountName":"City of Orlando","industry":"State &amp; Local Government","region":"US SLED","subRegion":"Local Government LE","subRegionAlt":"US Local Gov LE CB","billingState":"Florida","billingCity":"Orlando","deploymentStartDate":"Tue Feb 04 2025 00:00:00 GMT-0500 (Eastern Standard Time)","mtpDate":"Sun Aug 31 2025 00:00:00 GMT-0400 (Eastern Daylight Time)","firstMtpDate":"Sun Aug 31 2025 00:00:00 GMT-0400 (Eastern Daylight Time)","overallStatus":"Complete","phase":"Your Way","stage":"Post Prod","health":"Green","completionDate":"Fri Oct 10 2025 00:00:00 GMT-0400 (Eastern Daylight Time)","wdEngManager":"","damFullName":"","primingPartner":"0018000000hIF6bAAG","implPartner":"0018000000hIF6bAAG","partner":"Workday Professional Services","currentUpdate":"Final team meeting scheduled for Wed (10-08) to close out remaining items.","isExecutiveWatch":false,"wellnessData":null},{"deploymentId":"a0r4X00000CrUzSQAV","deploymentName":"Initial Deployment-Your Way-CHCM, TLO, CCB, USP, REC, FIN, GM, PRA, etc.","accountId":"0018000000njW92AAE","accountName":"City of Palm Bay","industry":"State &amp; Local Government","region":"US SLED","subRegion":"Local Government ME","subRegionAlt":"US Local Gov ME CB","billingState":"Florida","billingCity":"Palm Bay","deploymentStartDate":"Wed Jun 26 2024 00:00:00 GMT-0400 (Eastern Daylight Time)","mtpDate":"Thu Sep 11 2025 00:00:00 GMT-0400 (Eastern Daylight Time)","firstMtpDate":"Thu Sep 11 2025 00:00:00 GMT-0400 (Eastern Daylight Time)","overallStatus":"Active","phase":"Your Way","stage":"Post Prod","health":"Green","completionDate":"","wdEngManager":"","damFullName":"Michael Biagini","primingPartner":"0018000000MWLslAAH","implPartner":"0018000000MWLslAAH","partner":"Collaborative Solutions, LLC","currentUpdate":"6/15/2026 - Moving Prism work to Phase X.  Will then close out Phase 1.","isExecutiveWatch":false,"wellnessData":null},{"deploymentId":"a0rVT00000ostsNYAQ","deploymentName":"Subsequent-Phase X: FINS","accountId":"0018000000njW92AAE","accountName":"City of Palm Bay","industry":"State &amp; Local Government","region":"US SLED","subRegion":"Local Government ME","subRegionAlt":"US Local Gov ME CB","billingState":"Florida","billingCity":"Palm Bay","deploymentStartDate":"Mon Nov 17 2025 00:00:00 GMT-0500 (Eastern Standard Time)","mtpDate":"Fri Jun 12 2026 00:00:00 GMT-0400 (Eastern Daylight Time)","firstMtpDate":"","overallStatus":"Active","phase":"Your Way","stage":"Plan","health":"Green","completionDate":"","wdEngManager":"","damFullName":"Michael Biagini","primingPartner":"0018000000MWLslAAH","implPartner":"0018000000MWLslAAH","partner":"Collaborative Solutions, LLC","currentUpdate":"6/22 WT - Final week of Deployment stage week 5 of 5","isExecutiveWatch":false,"wellnessData":null},{"deploymentId":"a0rVT00000OUggqYAD","deploymentName":"Initial Deployment-Launch-LDPHCM, LDPCCB, LDPBEN, LDPUSP, etc","accountId":"0014X00002ejQ2sQAE","accountName":"City of Palm Desert","industry":"State &amp; Local Government","region":"US SLED","subRegion":"Local Government ME","subRegionAlt":"US Local Gov ME CB","billingState":"California","billingCity":"Palm Desert","deploymentStartDate":"Mon Mar 17 2025 00:00:00 GMT-0400 (Eastern Daylight Time)","mtpDate":"Sun May 31 2026 00:00:00 GMT-0400 (Eastern Daylight Time)","firstMtpDate":"Sun May 31 2026 00:00:00 GMT-0400 (Eastern Daylight Time)","overallStatus":"Active","phase":"Launch","stage":"Deploy","health":"Green","completionDate":"","wdEngManager":"Bill Hansen","damFullName":"","primingPartner":"0018000000hIF6bAAG","implPartner":"0018000000hIF6bAAG","partner":"Workday Professional Services","currentUpdate":"6/23: Project is live","isExecutiveWatch":false,"wellnessData":null},{"deploymentId":"a0rVT00000m8pbHYAQ","deploymentName":"Subsequent-Phase X: FINS","accountId":"0014X00002ejQ2sQAE","accountName":"City of Palm Desert","industry":"State &amp; Local Government","region":"US SLED","subRegion":"Local Government ME","subRegionAlt":"US Local Gov ME CB","billingState":"California","billingCity":"Palm Desert","deploymentStartDate":"Mon Sep 29 2025 00:00:00 GMT-0400 (Eastern Daylight Time)","mtpDate":"Wed Jul 01 2026 00:00:00 GMT-0400 (Eastern Daylight Time)","firstMtpDate":"","overallStatus":"Active","phase":"Launch","stage":"Test","health":"Green","completionDate":"","wdEngManager":"Bill Hansen","damFullName":"","primingPartner":"0018000000hIF6bAAG","implPartner":"0018000000hIF6bAAG","partner":"Workday Professional Services","currentUpdate":"6/23: E2E tessting contuies on schduled","isExecutiveWatch":false,"wellnessData":null},{"deploymentId":"a0rVT00000JfJVGYA3","deploymentName":"Initial Deployment-Launch-LDPHCM, LDPHLP, LDPEMPVCE, LDPCCB, LDPBEN, etc...","accountId":"0018000000kuwHkAAI","accountName":"City of Peoria","industry":"State &amp; Local Government","region":"US SLED","subRegion":"Local Government ME","subRegionAlt":"US Local Gov ME CB","billingState":"Arizona","billingCity":"Peoria","deploymentStartDate":"Thu Nov 14 2024 00:00:00 GMT-0500 (Eastern Standard Time)","mtpDate":"Wed Sep 17 2025 00:00:00 GMT-0400 (Eastern Daylight Time)","firstMtpDate":"Wed Sep 17 2025 00:00:00 GMT-0400 (Eastern Daylight Time)","overallStatus":"Complete","phase":"Launch","stage":"Post Prod","health":"Green","completionDate":"Fri Nov 14 2025 00:00:00 GMT-0500 (Eastern Standard Time)","wdEngManager":"","damFullName":"","primingPartner":"0018000001IzqpSAAR","implPartner":"0018000001IzqpSAAR","partner":"Avaap USA, LLC","currentUpdate":"On-Going post-production support and Knowledge Transfer activities Completed","isExecutiveWatch":false,"wellnessData":null},{"deploymentId":"a0rVT00000gL1SRYA0","deploymentName":"Subsequent- Phase X- Phase 2 HCM","accountId":"0018000000kuwHkAAI","accountName":"City of Peoria","industry":"State &amp; Local Government","region":"US SLED","subRegion":"Local Government ME","subRegionAlt":"US Local Gov ME CB","billingState":"Arizona","billingCity":"Peoria","deploymentStartDate":"Mon Apr 07 2025 00:00:00 GMT-0400 (Eastern Daylight Time)","mtpDate":"Mon Apr 06 2026 00:00:00 GMT-0400 (Eastern Daylight Time)","firstMtpDate":"","overallStatus":"Complete","phase":"Launch","stage":"Post Prod","health":"Green","completionDate":"Fri May 15 2026 00:00:00 GMT-0400 (Eastern Daylight Time)","wdEngManager":"","damFullName":"","primingPartner":"0018000001IzqpSAAR","implPartner":"0018000001IzqpSAAR","partner":"Avaap USA, LLC","currentUpdate":"Post Production Completed\nTransition to business","isExecutiveWatch":false,"wellnessData":null},{"deploymentId":"a0r4X00000Ef1ruQAB","deploymentName":"Initial Deployment-Your Way: FIN, EXP, INV, PRO, GM, PRJT, PRA, PLN","accountId":"0018000000Wsn6sAAB","accountName":"City of Philadelphia (Precision Task Group, Inc.)","industry":"State &amp; Local Government","region":"US SLED","subRegion":"Local Government LE","subRegionAlt":"US Local Gov LE CB","billingState":"Pennsylvania","billingCity":"Philadelphia","deploymentStartDate":"Wed Nov 22 2023 00:00:00 GMT-0500 (Eastern Standard Time)","mtpDate":"Thu Jul 01 2027 00:00:00 GMT-0400 (Eastern Daylight Time)","firstMtpDate":"","overallStatus":"Active","phase":"Your Way","stage":"Test","health":"Green","completionDate":"","wdEngManager":"","damFullName":"Diane Blantz","primingPartner":"00130000008MSknAAG","implPartner":"00130000008MSknAAG","partner":"Accenture LLP","currentUpdate":"We are working on closing out the deliverables for the SOW that just ended.  The new SOW picks up with some re-designs, unit tests, then we will have another round of E2E September - December 2026.","isExecutiveWatch":false,"wellnessData":null},{"deploymentId":"a0rVT00000SV8FkYAL","deploymentName":"Subsequent-Phase X-Financials","accountId":"0018000000Wsn6sAAB","accountName":"City of Philadelphia (Precision Task Group, Inc.)","industry":"State &amp; Local Government","region":"US SLED","subRegion":"Local Government LE","subRegionAlt":"US Local Gov LE CB","billingState":"Pennsylvania","billingCity":"Philadelphia","deploymentStartDate":"","mtpDate":"","firstMtpDate":"","overallStatus":"Active","phase":"Your Way","stage":"On-Boarding","health":"Green","completionDate":"","wdEngManager":"","damFullName":"","primingPartner":"","implPartner":"","partner":"","currentUpdate":"Scorecard created ahead of Opportunity close due to SFDC update and removal of DA option.","isExecutiveWatch":false,"wellnessData":null},{"deploymentId":"a0rVT00000tYEnFYAW","deploymentName":"Initial Deployment-Launch-LDPBEN, LDPUSP, LDPLRN, LDPCCLRN, LDPREC, etc.","accountId":"0018000000njW94AAE","accountName":"City of Plantation, FL","industry":"State &amp; Local Government","region":"US SLED","subRegion":"Local Government ME","subRegionAlt":"US Local Gov ME CB","billingState":"Florida","billingCity":"Plantation","deploymentStartDate":"Mon Jan 26 2026 00:00:00 GMT-0500 (Eastern Standard Time)","mtpDate":"Mon May 31 2027 00:00:00 GMT-0400 (Eastern Daylight Time)","firstMtpDate":"","overallStatus":"Active","phase":"Launch","stage":"Architect &amp; Configure","health":"Green","completionDate":"","wdEngManager":"","damFullName":"","primingPartner":"0013000000KdrrVAAR","implPartner":"0013000000KdrrVAAR","partner":"Strada U.S. Professional Services, LLC","currentUpdate":"6/22/26 - CUT testing in progress","isExecutiveWatch":false,"wellnessData":null},{"deploymentId":"a0rVT0000135GBZYA2","deploymentName":"Initial Deployment-Launch-LDPHCM, LDPREC, LDPPRA, LDPPRJT, LDPFIN, LDPGM, etc.","accountId":"0014X00002iHukXQAS","accountName":"City of Plymouth","industry":"State &amp; Local Government","region":"US SLED","subRegion":"Local Government ME","subRegionAlt":"US Local Gov ME CB","billingState":"Minnesota","billingCity":"Minneapolis","deploymentStartDate":"Mon May 04 2026 00:00:00 GMT-0400 (Eastern Daylight Time)","mtpDate":"Fri Sep 04 2026 00:00:00 GMT-0400 (Eastern Daylight Time)","firstMtpDate":"","overallStatus":"Active","phase":"Launch","stage":"Architect &amp; Configure","health":"Green","completionDate":"","wdEngManager":"Stephanie Denham","damFullName":"","primingPartner":"0018000000hIF6bAAG","implPartner":"0018000000hIF6bAAG","partner":"Workday Professional Services","currentUpdate":"6/22/2026 - E2E testing is beginning this week.","isExecutiveWatch":true,"wellnessData":{"cxLeaderName":"Christopher Curtis","executiveSummary":"Customer has signed PSA with Workday Services to restart their deployment."}},{"deploymentId":"a0rVT00000MjtN5YAJ","deploymentName":"Initial Deployment-Launch- LDPBEN, LDPUSP, LDPLRN, LDPSRCCNT, LDPSRCSM, etc","accountId":"0018000000Wsn6vAAB","accountName":"City Of Pomona","industry":"State &amp; Local Government","region":"US SLED","subRegion":"Local Government ME","subRegionAlt":"US Local Gov ME CB","billingState":"California","billingCity":"Pomona","deploymentStartDate":"Mon Feb 10 2025 00:00:00 GMT-0500 (Eastern Standard Time)","mtpDate":"Sun Dec 21 2025 00:00:00 GMT-0500 (Eastern Standard Time)","firstMtpDate":"Sun Dec 21 2025 00:00:00 GMT-0500 (Eastern Standard Time)","overallStatus":"Complete","phase":"Launch","stage":"Post Prod","health":"Green","completionDate":"Fri Apr 17 2026 00:00:00 GMT-0400 (Eastern Daylight Time)","wdEngManager":"","damFullName":"","primingPartner":"0018000000MWLslAAH","implPartner":"0018000000MWLslAAH","partner":"Collaborative Solutions, LLC","currentUpdate":"4/9/2026 - Adaptive Planning went live on 2/25.  Finalizing post production support issues.","isExecutiveWatch":false,"wellnessData":null},{"deploymentId":"a0rVT00000sB30HYAS","deploymentName":"Subsequent-Phase X: HCM/PATT","accountId":"0018000000Wsn6vAAB","accountName":"City Of Pomona","industry":"State &amp; Local Government","region":"US SLED","subRegion":"Local Government ME","subRegionAlt":"US Local Gov ME CB","billingState":"California","billingCity":"Pomona","deploymentStartDate":"Mon Dec 01 2025 00:00:00 GMT-0500 (Eastern Standard Time)","mtpDate":"Sun Sep 13 2026 00:00:00 GMT-0400 (Eastern Daylight Time)","firstMtpDate":"","overallStatus":"Active","phase":"Launch","stage":"Test","health":"Green","completionDate":"","wdEngManager":"","damFullName":"","primingPartner":"0018000000MWLslAAH","implPartner":"0018000000MWLslAAH","partner":"Collaborative Solutions, LLC","currentUpdate":"End-to-End Test Execution is in week 8 of 9.  63% of Cycle 1 test cases ran.","isExecutiveWatch":false,"wellnessData":null},{"deploymentId":"a0r1B00000BYatXQAT","deploymentName":"Initial Deployment-Your Way:FIN, PRJT, INV, PRO, GM","accountId":"0018000001ZYlV4AAL","accountName":"City of Port Orange (Inactive Account)","industry":"State &amp; Local Government","region":"US SLED","subRegion":"Local Government ME","subRegionAlt":"","billingState":"Florida","billingCity":"Port Orange","deploymentStartDate":"Thu Jan 03 2019 00:00:00 GMT-0500 (Eastern Standard Time)","mtpDate":"Thu Dec 19 2019 00:00:00 GMT-0500 (Eastern Standard Time)","firstMtpDate":"Thu Dec 19 2019 00:00:00 GMT-0500 (Eastern Standard Time)","overallStatus":"Complete","phase":"Your Way","stage":"Post Prod","health":"Green","completionDate":"Tue Feb 18 2020 00:00:00 GMT-0500 (Eastern Standard Time)","wdEngManager":"","damFullName":"","primingPartner":"0018000000MWLslAAH","implPartner":"0018000000MWLslAAH","partner":"Collaborative Solutions, LLC","currentUpdate":"Hypercare due to end by next Fri. CPO is on track and looking at CVS services with CS for additional post go-live support.","isExecutiveWatch":false,"wellnessData":null},{"deploymentId":"a0r1B00000BYaseQAD","deploymentName":"Initial Deployment-Your Way:HCM, CCB, USP, TT, REC","accountId":"0018000001ZYlV4AAL","accountName":"City of Port Orange (Inactive Account)","industry":"State &amp; Local Government","region":"US SLED","subRegion":"Local Government ME","subRegionAlt":"","billingState":"Florida","billingCity":"Port Orange","deploymentStartDate":"Thu Jan 03 2019 00:00:00 GMT-0500 (Eastern Standard Time)","mtpDate":"Thu Dec 19 2019 00:00:00 GMT-0500 (Eastern Standard Time)","firstMtpDate":"Thu Dec 19 2019 00:00:00 GMT-0500 (Eastern Standard Time)","overallStatus":"Complete","phase":"Your Way","stage":"Post Prod","health":"Green","completionDate":"Tue Feb 18 2020 00:00:00 GMT-0500 (Eastern Standard Time)","wdEngManager":"","damFullName":"","primingPartner":"0018000000MWLslAAH","implPartner":"0018000000MWLslAAH","partner":"Collaborative Solutions, LLC","currentUpdate":"Hypercare due to end by next Fri. CPO is on track and looking at CVS services with CS for additional post go-live support.","isExecutiveWatch":false,"wellnessData":null},{"deploymentId":"a0r4X00000Dca3UQAR","deploymentName":"Initial Deployment-Your Way: CHCM, TLO, CCB, USP, FIN, GM, etc.","accountId":"0018000000Wsn78AAB","accountName":"City of Rancho Cucamonga","industry":"State &amp; Local Government","region":"US SLED","subRegion":"Local Government ME","subRegionAlt":"US Local Gov ME CB","billingState":"California","billingCity":"Rancho Cucamonga","deploymentStartDate":"Tue Sep 20 2022 00:00:00 GMT-0400 (Eastern Daylight Time)","mtpDate":"Sun Jun 02 2024 00:00:00 GMT-0400 (Eastern Daylight Time)","firstMtpDate":"Sun Jun 02 2024 00:00:00 GMT-0400 (Eastern Daylight Time)","overallStatus":"Complete","phase":"Your Way","stage":"Deploy","health":"Green","completionDate":"Wed Apr 30 2025 00:00:00 GMT-0400 (Eastern Daylight Time)","wdEngManager":"","damFullName":"Bill Hansen","primingPartner":"0018000000MWLslAAH","implPartner":"0018000000MWLslAAH","partner":"Collaborative Solutions, LLC","currentUpdate":"4/20- Project ends 4/30","isExecutiveWatch":false,"wellnessData":null},{"deploymentId":"a0r4X00000Ef3XmQAJ","deploymentName":"Initial Deployment-Launch- HCM/PAY","accountId":"0018000001VMBzQAAX","accountName":"City of Richland","industry":"State &amp; Local Government","region":"US SLED","subRegion":"Local Government ME","subRegionAlt":"US Local Gov ME CB","billingState":"Washington","billingCity":"Richland","deploymentStartDate":"Thu Feb 08 2024 00:00:00 GMT-0500 (Eastern Standard Time)","mtpDate":"Tue Mar 18 2025 00:00:00 GMT-0400 (Eastern Daylight Time)","firstMtpDate":"Tue Mar 18 2025 00:00:00 GMT-0400 (Eastern Daylight Time)","overallStatus":"Complete","phase":"Launch","stage":"Deploy","health":"Green","completionDate":"Sun Aug 17 2025 00:00:00 GMT-0400 (Eastern Daylight Time)","wdEngManager":"","damFullName":"","primingPartner":"0018000000hIF6bAAG","implPartner":"0018000000hIF6bAAG","partner":"Workday Professional Services","currentUpdate":"Production support is ongoing.","isExecutiveWatch":false,"wellnessData":null},{"deploymentId":"a0r800000049riyAAA","deploymentName":"Initial Deployment: LDPHCM, LDPBEN, LDPCCB, LDPUSP, LDPO, etc.","accountId":"0018000000Wsn7DAAR","accountName":"City of Rochester","industry":"State &amp; Local Government","region":"US SLED","subRegion":"Local Government ME","subRegionAlt":"US Local Gov ME CB","billingState":"New York","billingCity":"Rochester","deploymentStartDate":"Mon Nov 02 2015 00:00:00 GMT-0500 (Eastern Standard Time)","mtpDate":"Thu Dec 28 2017 00:00:00 GMT-0500 (Eastern Standard Time)","firstMtpDate":"Thu Dec 28 2017 00:00:00 GMT-0500 (Eastern Standard Time)","overallStatus":"Complete","phase":"LDP","stage":"Post Prod","health":"Green","completionDate":"Fri Aug 31 2018 00:00:00 GMT-0400 (Eastern Daylight Time)","wdEngManager":"","damFullName":"","primingPartner":"0018000000hIF6bAAG","implPartner":"0018000000hIF6bAAG","partner":"Workday Professional Services","currentUpdate":"Customer had GO/No-Go meeting with ESC members about Payroll.  The final meeting will be held on Thursday to sign off document. 2/19 begins Payroll run date.\r\n\r\nKen C.","isExecutiveWatch":false,"wellnessData":null},{"deploymentId":"a0rVT00000Q3kFdYAJ","deploymentName":"Initial Deployment-Launch-LDPHCM, LDPHLP, LDPCCB, LDPBEN, LDPUSP, etc.","accountId":"0018000000kuwJ9AAI","accountName":"City of Salem","industry":"State &amp; Local Government","region":"US SLED","subRegion":"Local Government ME","subRegionAlt":"US Local Gov ME CB","billingState":"Oregon","billingCity":"Salem","deploymentStartDate":"Fri Apr 04 2025 00:00:00 GMT-0400 (Eastern Daylight Time)","mtpDate":"Thu Jul 16 2026 00:00:00 GMT-0400 (Eastern Daylight Time)","firstMtpDate":"","overallStatus":"Active","phase":"Launch","stage":"Test","health":"Yellow","completionDate":"","wdEngManager":"","damFullName":"","primingPartner":"0018000001IzqpSAAR","implPartner":"0018000001IzqpSAAR","partner":"Avaap USA, LLC","currentUpdate":"&lt;KO 6/19/26&gt; \nProject extension required. Proposed new timeline is for a MTP date of 9/10/26. Formal change order for extension was sent to client for review on 6/8/26. Avaap reviewing Salem's feedback of change order. Follow up meeting next week.","isExecutiveWatch":false,"wellnessData":null},{"deploymentId":"a0r4X00000DzgUeQAJ","deploymentName":"Initial Deployment-Your Way: CHCM, TLO, HLP, FIN, CCB, USP, etc.","accountId":"0018000000pMqRJAA0","accountName":"City of San Buenaventura","industry":"State &amp; Local Government","region":"US SLED","subRegion":"Local Government ME","subRegionAlt":"US Local Gov ME CB","billingState":"California","billingCity":"Ventura","deploymentStartDate":"Mon Jan 30 2023 00:00:00 GMT-0500 (Eastern Standard Time)","mtpDate":"Thu Dec 05 2024 00:00:00 GMT-0500 (Eastern Standard Time)","firstMtpDate":"Thu Dec 05 2024 00:00:00 GMT-0500 (Eastern Standard Time)","overallStatus":"Complete","phase":"Your Way","stage":"Post Prod","health":"Green","completionDate":"Fri Jan 31 2025 00:00:00 GMT-0500 (Eastern Standard Time)","wdEngManager":"","damFullName":"Bill Hansen","primingPartner":"0018000000MWLslAAH","implPartner":"0018000000MWLslAAH","partner":"Collaborative Solutions, LLC","currentUpdate":"1/31: Last day of project. Some Integration work will continue for a few days.","isExecutiveWatch":false,"wellnessData":null},{"deploymentId":"a0rVT00000P0mXkYAJ","deploymentName":"Subsequent- Phase X- Prism","accountId":"0018000000pMqRJAA0","accountName":"City of San Buenaventura","industry":"State &amp; Local Government","region":"US SLED","subRegion":"Local Government ME","subRegionAlt":"US Local Gov ME CB","billingState":"California","billingCity":"Ventura","deploymentStartDate":"Thu Jan 23 2025 00:00:00 GMT-0500 (Eastern Standard Time)","mtpDate":"Tue Jul 29 2025 00:00:00 GMT-0400 (Eastern Daylight Time)","firstMtpDate":"","overallStatus":"Complete","phase":"Your Way","stage":"Post Prod","health":"Green","completionDate":"Fri Jun 19 2026 00:00:00 GMT-0400 (Eastern Daylight Time)","wdEngManager":"","damFullName":"","primingPartner":"0018000000MWLslAAH","implPartner":"0018000000MWLslAAH","partner":"Collaborative Solutions, LLC","currentUpdate":"06/15/26:  Working on implementation of items due to benefit data being delayed. New project completion date is 06/30/26","isExecutiveWatch":false,"wellnessData":null},{"deploymentId":"a0r4X00000DCG3kQAH","deploymentName":"Subsequent-Phase X: FIN","accountId":"0018000000pMqRJAA0","accountName":"City of San Buenaventura","industry":"State &amp; Local Government","region":"US SLED","subRegion":"Local Government ME","subRegionAlt":"US Local Gov ME CB","billingState":"California","billingCity":"Ventura","deploymentStartDate":"Fri Sep 08 2023 00:00:00 GMT-0400 (Eastern Daylight Time)","mtpDate":"Thu Jun 27 2024 00:00:00 GMT-0400 (Eastern Daylight Time)","firstMtpDate":"Thu Jun 27 2024 00:00:00 GMT-0400 (Eastern Daylight Time)","overallStatus":"Complete","phase":"Your Way","stage":"Post Prod","health":"Green","completionDate":"Wed Jan 22 2025 00:00:00 GMT-0500 (Eastern Standard Time)","wdEngManager":"","damFullName":"Bill Hansen","primingPartner":"0018000000MWLslAAH","implPartner":"0018000000MWLslAAH","partner":"Collaborative Solutions, LLC","currentUpdate":"1/22/25: Adaptive Planning is live for HCM. Closing the scorecard.","isExecutiveWatch":false,"wellnessData":null},{"deploymentId":"a0r4X00000CrWebQAF","deploymentName":"Initial Deployment-Your Way-CHCM, TLO, CCB, USP, LRN, MCNF, REC, FIN, etc.","accountId":"0018000001WMHZlAAP","accountName":"City of San Leandro","industry":"State &amp; Local Government","region":"US SLED","subRegion":"Local Government ME","subRegionAlt":"US Local Gov ME CB","billingState":"California","billingCity":"San Leandro","deploymentStartDate":"Mon Nov 04 2024 00:00:00 GMT-0500 (Eastern Standard Time)","mtpDate":"Sun Jun 21 2026 00:00:00 GMT-0400 (Eastern Daylight Time)","firstMtpDate":"","overallStatus":"Active","phase":"Your Way","stage":"Test","health":"Green","completionDate":"","wdEngManager":"","damFullName":"","primingPartner":"0018000000MWLslAAH","implPartner":"0018000000MWLslAAH","partner":"Collaborative Solutions, LLC","currentUpdate":"06/08/26 - Gold build underway. Target go-live date is 7/1. Key focus on cutover plan.","isExecutiveWatch":false,"wellnessData":null},{"deploymentId":"a0r4X00000DZdkZQAT","deploymentName":"Initial Deployment-Your Way: CHCM, TLO, USP, LRN, REC,FIN, PLNF, TT, EXP, etc.","accountId":"0018000001WMFibAAH",</t>
  </si>
  <si>
    <t>a0pVT00000A3fTtYAJ</t>
  </si>
  <si>
    <t>US DI LE CB MFG Central</t>
  </si>
  <si>
    <t>a0rVT000012SzdCYAS</t>
  </si>
  <si>
    <t>sfdcRows:default:chunk:4</t>
  </si>
  <si>
    <t>a0pVT000009nYUnYAM</t>
  </si>
  <si>
    <t>a0rVT000012TjHrYAK</t>
  </si>
  <si>
    <t>Conversational_ATS</t>
  </si>
  <si>
    <t>a0pVT000009Jf8mYAC</t>
  </si>
  <si>
    <t>Build - In progress
Pending completion of Paradox intake form activities it has been 3 weeks.</t>
  </si>
  <si>
    <t>a0pVT000009Jf8kYAC</t>
  </si>
  <si>
    <t>a0rVT00000M64AvYAJ</t>
  </si>
  <si>
    <t>a0pVT000009Jf8jYAC</t>
  </si>
  <si>
    <t>Family Health Centers of San Diego, Inc.</t>
  </si>
  <si>
    <t>a0pVT000009jSZHYA2</t>
  </si>
  <si>
    <t>a0pVT000009jUCrYAM</t>
  </si>
  <si>
    <t>a0pVT00000A3fP5YAJ</t>
  </si>
  <si>
    <t>This client did a soft launch and we are still getting them live with HMTA</t>
  </si>
  <si>
    <t>a0pVT00000A3fP3YAJ</t>
  </si>
  <si>
    <t>a0rVT00000rtnMmYAI</t>
  </si>
  <si>
    <t>a0pVT00000A3fP4YAJ</t>
  </si>
  <si>
    <t>Farm Credit Canada</t>
  </si>
  <si>
    <t>a0pVT00000A24D3YAJ</t>
  </si>
  <si>
    <t>a0pVT00000AsqWvYAJ</t>
  </si>
  <si>
    <t>a0pVT000009jTlRYAU</t>
  </si>
  <si>
    <t>a0pVT000009bsvXYAQ</t>
  </si>
  <si>
    <t>Go live should be on March 30th. however, we have 2 blockers, both are bugs being investigated by the dev team. the client is yet to test complete a full test end to end. both issues are French  Canadian related , the client won't go live without those.</t>
  </si>
  <si>
    <t>a0rVT00000y3P4DYAU</t>
  </si>
  <si>
    <t>a0pVT000009dNsPYAU</t>
  </si>
  <si>
    <t>Federal Home Loan Mortgage Corporation</t>
  </si>
  <si>
    <t>a0rVT000012UJ8PYAW</t>
  </si>
  <si>
    <t>a0pVT00000A66HtYAJ</t>
  </si>
  <si>
    <t>a0rVT000012UK2rYAG</t>
  </si>
  <si>
    <t>a0pVT00000AsqrtYAB</t>
  </si>
  <si>
    <t>a0pVT000009nHsAYAU</t>
  </si>
  <si>
    <t>7/28 KJY: trying to get testing back on track, if so go green. CO in client's hands.</t>
  </si>
  <si>
    <t>a0rVT000012VA4gYAG</t>
  </si>
  <si>
    <t>a0pVT000009N70PYAS</t>
  </si>
  <si>
    <t>a0pVT00000A3iBdYAJ</t>
  </si>
  <si>
    <t>a0rVT000012UdIXYA0</t>
  </si>
  <si>
    <t>a0pVT00000A5Z5rYAF</t>
  </si>
  <si>
    <t>Fenwick &amp; West LLP</t>
  </si>
  <si>
    <t>a0rVT000012UlmDYAS</t>
  </si>
  <si>
    <t>a0pVT00000ASta5YAD</t>
  </si>
  <si>
    <t>a0rVT000012UmbqYAC</t>
  </si>
  <si>
    <t>a0pVT00000AsxmvYAB</t>
  </si>
  <si>
    <t>a0rVT000012UqCUYA0</t>
  </si>
  <si>
    <t>a0pVT00000BobPRYAZ</t>
  </si>
  <si>
    <t>7/21: Plan &amp; Prepare complete. Designs sessions are scheduled and beginning 7/31.</t>
  </si>
  <si>
    <t>a0rVT0000151mTpYAI</t>
  </si>
  <si>
    <t>a0pVT000009EhkgYAC</t>
  </si>
  <si>
    <t>Financial Ombudsman Service Limited</t>
  </si>
  <si>
    <t>Federal / National Government</t>
  </si>
  <si>
    <t>a0pVT000009EhkfYAC</t>
  </si>
  <si>
    <t>a0pVT00000AGL4LYAX</t>
  </si>
  <si>
    <t>a0rVT000012UsNtYAK</t>
  </si>
  <si>
    <t>a0pVT00000AH2ajYAD</t>
  </si>
  <si>
    <t xml:space="preserve">"accountName":"City of San Mateo","industry":"State &amp; Local Government","region":"US SLED","subRegion":"Local Government ME","subRegionAlt":"US Local Gov ME CB","billingState":"California","billingCity":"San Mateo","deploymentStartDate":"Wed Mar 16 2022 00:00:00 GMT-0400 (Eastern Daylight Time)","mtpDate":"Tue Nov 01 2022 00:00:00 GMT-0400 (Eastern Daylight Time)","firstMtpDate":"Tue Nov 01 2022 00:00:00 GMT-0400 (Eastern Daylight Time)","overallStatus":"Complete","phase":"Your Way","stage":"Deploy","health":"Green","completionDate":"Mon Jan 30 2023 00:00:00 GMT-0500 (Eastern Standard Time)","wdEngManager":"","damFullName":"","primingPartner":"0018000000MWLslAAH","implPartner":"0018000000MWLslAAH","partner":"Collaborative Solutions, LLC","currentUpdate":"Project is Green. City of San Mateo is Live on Workday Financials. Post Production support in-progress.","isExecutiveWatch":false,"wellnessData":null},{"deploymentId":"a0r4X00000DbNI0QAN","deploymentName":"Subsequent-Phase X-Your Way: PLNF, HCM, COMP, BEN, TAL, REC, LRN, ABS, TT, PAY","accountId":"0018000001WMFibAAH","accountName":"City of San Mateo","industry":"State &amp; Local Government","region":"US SLED","subRegion":"Local Government ME","subRegionAlt":"US Local Gov ME CB","billingState":"California","billingCity":"San Mateo","deploymentStartDate":"Thu Jun 02 2022 00:00:00 GMT-0400 (Eastern Daylight Time)","mtpDate":"Mon Mar 03 2025 00:00:00 GMT-0500 (Eastern Standard Time)","firstMtpDate":"Mon Mar 03 2025 00:00:00 GMT-0500 (Eastern Standard Time)","overallStatus":"Complete","phase":"Phase X - Your Way","stage":"Post Prod","health":"Green","completionDate":"Fri Jul 25 2025 00:00:00 GMT-0400 (Eastern Daylight Time)","wdEngManager":"","damFullName":"","primingPartner":"0018000000MWLslAAH","implPartner":"0018000000MWLslAAH","partner":"Collaborative Solutions, LLC","currentUpdate":"07/25 - All work complete.","isExecutiveWatch":false,"wellnessData":null},{"deploymentId":"a0rVT00000OsmhlYAB","deploymentName":"Initial Deployment-Launch-LDPHCM, LDPHLP, LDPBEN, LDPUSP, etc.","accountId":"0018000000Wsn7MAAR","accountName":"City of Santa Cruz","industry":"State &amp; Local Government","region":"US SLED","subRegion":"Local Government ME","subRegionAlt":"US Local Gov ME CB","billingState":"California","billingCity":"Santa Cruz","deploymentStartDate":"Wed Jan 22 2025 00:00:00 GMT-0500 (Eastern Standard Time)","mtpDate":"Tue Sep 01 2026 00:00:00 GMT-0400 (Eastern Daylight Time)","firstMtpDate":"","overallStatus":"Active","phase":"Launch","stage":"Test","health":"Green","completionDate":"","wdEngManager":"","damFullName":"","primingPartner":"0018000001IzqpSAAR","implPartner":"0018000001IzqpSAAR","partner":"Avaap USA, LLC","currentUpdate":"&lt;aw 6/15/26&gt; E2E testing continues in progress as planned, projected to complete by 6/19. FIN workstreams will continue testing till 6/30.","isExecutiveWatch":false,"wellnessData":null},{"deploymentId":"a0r4X00000CrVESQA3","deploymentName":"Initial Deployment-Your Way- FIN, GM, PLNF, PRA, PRJT, TT, EXP,etc","accountId":"0018000000Wsn7OAAR","accountName":"City of Santa Maria","industry":"State &amp; Local Government","region":"US SLED","subRegion":"Local Government ME","subRegionAlt":"US Local Gov ME CB","billingState":"California","billingCity":"Santa Maria","deploymentStartDate":"Mon Aug 12 2024 00:00:00 GMT-0400 (Eastern Daylight Time)","mtpDate":"Mon Jun 23 2025 00:00:00 GMT-0400 (Eastern Daylight Time)","firstMtpDate":"Mon Jun 23 2025 00:00:00 GMT-0400 (Eastern Daylight Time)","overallStatus":"Complete","phase":"Your Way","stage":"Deploy","health":"Green","completionDate":"Fri Apr 10 2026 00:00:00 GMT-0400 (Eastern Daylight Time)","wdEngManager":"","damFullName":"","primingPartner":"0018000000MWLslAAH","implPartner":"0018000000MWLslAAH","partner":"Collaborative Solutions, LLC","currentUpdate":"Week ending 04/03/26 -  Finalize project.  Transfer all Prod support to CVS services.","isExecutiveWatch":false,"wellnessData":null},{"deploymentId":"a0rVT00000PxFmVYAV","deploymentName":"Subsequent - Phase X- Phase 2: HCM","accountId":"0018000000Wsn7OAAR","accountName":"City of Santa Maria","industry":"State &amp; Local Government","region":"US SLED","subRegion":"Local Government ME","subRegionAlt":"US Local Gov ME CB","billingState":"California","billingCity":"Santa Maria","deploymentStartDate":"Mon Feb 03 2025 00:00:00 GMT-0500 (Eastern Standard Time)","mtpDate":"Mon Dec 15 2025 00:00:00 GMT-0500 (Eastern Standard Time)","firstMtpDate":"","overallStatus":"Active","phase":"Your Way","stage":"Deploy","health":"Green","completionDate":"","wdEngManager":"","damFullName":"","primingPartner":"0018000000MWLslAAH","implPartner":"0018000000MWLslAAH","partner":"Collaborative Solutions, LLC","currentUpdate":"Week ending 06/19/26. -  Post -Production support","isExecutiveWatch":false,"wellnessData":null},{"deploymentId":"a0r4X00000DQRA4QAP","deploymentName":"Initial Deployment-Your Way: CHCM, TLO, CCB, USP, LRN, REC, FIN, GM, PLNF, etc.","accountId":"0018000000njW97AAE","accountName":"City of Sarasota","industry":"State &amp; Local Government","region":"US SLED","subRegion":"Local Government ME","subRegionAlt":"US Local Gov ME CB","billingState":"Florida","billingCity":"Sarasota","deploymentStartDate":"Mon Jan 03 2022 00:00:00 GMT-0500 (Eastern Standard Time)","mtpDate":"Tue Mar 21 2023 00:00:00 GMT-0400 (Eastern Daylight Time)","firstMtpDate":"Tue Mar 21 2023 00:00:00 GMT-0400 (Eastern Daylight Time)","overallStatus":"Complete","phase":"Your Way","stage":"Post Prod","health":"Green","completionDate":"Fri May 12 2023 00:00:00 GMT-0400 (Eastern Daylight Time)","wdEngManager":"","damFullName":"","primingPartner":"0018000000MWLslAAH","implPartner":"0018000000MWLslAAH","partner":"Collaborative Solutions, LLC","currentUpdate":"Sarasota is live with all of HCM and FIN in PROD.  City is operationally stable; addressing some minor issues including an open ticket with Workday support.  1 week remaining before transitioning to LT support w/Collab.","isExecutiveWatch":false,"wellnessData":null},{"deploymentId":"a0r4X00000DQ6oXQAT","deploymentName":"Initial Deployment-Your Way: CHCM, TLO, USP, CCB, TT, PPLA, PRA","accountId":"0018000000Wsn7PAAR","accountName":"City of Seattle","industry":"State &amp; Local Government","region":"US SLED","subRegion":"Local Government LE","subRegionAlt":"US Local Gov LE CB","billingState":"Washington","billingCity":"Seattle","deploymentStartDate":"Thu Aug 25 2022 00:00:00 GMT-0400 (Eastern Daylight Time)","mtpDate":"Mon Aug 26 2024 00:00:00 GMT-0400 (Eastern Daylight Time)","firstMtpDate":"Mon Aug 26 2024 00:00:00 GMT-0400 (Eastern Daylight Time)","overallStatus":"Complete","phase":"Your Way","stage":"Post Prod","health":"Green","completionDate":"Fri Nov 22 2024 00:00:00 GMT-0500 (Eastern Standard Time)","wdEngManager":"","damFullName":"Bill Hansen","primingPartner":"0018000000nlqGOAAY","implPartner":"0018000000nlqGOAAY","partner":"Deloitte Consulting LLP (Deloitte US)","currentUpdate":"Client moved to prod and complete hyper-care.    Project has conculcated.\n\nYes, all integrations build for go live added.","isExecutiveWatch":false,"wellnessData":null},{"deploymentId":"a0r4X00000Dz4wSQAR","deploymentName":"Subsequent-Phase X-Your Way: Adaptive Planning","accountId":"0018000000Wsn7PAAR","accountName":"City of Seattle","industry":"State &amp; Local Government","region":"US SLED","subRegion":"Local Government LE","subRegionAlt":"US Local Gov LE CB","billingState":"Washington","billingCity":"Seattle","deploymentStartDate":"Mon Nov 07 2022 00:00:00 GMT-0500 (Eastern Standard Time)","mtpDate":"Wed Dec 20 2023 00:00:00 GMT-0500 (Eastern Standard Time)","firstMtpDate":"Wed Dec 20 2023 00:00:00 GMT-0500 (Eastern Standard Time)","overallStatus":"Complete","phase":"Phase X - Planning","stage":"Post Prod","health":"Green","completionDate":"Mon Feb 05 2024 00:00:00 GMT-0500 (Eastern Standard Time)","wdEngManager":"","damFullName":"","primingPartner":"0018000000hIF6bAAG","implPartner":"0018000000hIF6bAAG","partner":"Workday Professional Services","currentUpdate":"1/29: Post production support is complete, customer reviewing last documentation handed over and project is expected to close on 1/31/2024","isExecutiveWatch":false,"wellnessData":null},{"deploymentId":"a0rVT00000gAgHAYA0","deploymentName":"Initial Deployment-Launch-LDPHCM, LDPHLP, LDPGM, LDPFIN, etc.","accountId":"0011B00002CZqrWQAT","accountName":"City of South San Francisco, CA (IronBrick Associates LLC)","industry":"State &amp; Local Government","region":"US SLED","subRegion":"Local Government ME","subRegionAlt":"US Local Gov ME CB","billingState":"California","billingCity":"South San Francisco","deploymentStartDate":"Tue Aug 19 2025 00:00:00 GMT-0400 (Eastern Daylight Time)","mtpDate":"Fri Oct 23 2026 00:00:00 GMT-0400 (Eastern Daylight Time)","firstMtpDate":"","overallStatus":"Active","phase":"Launch","stage":"Test","health":"Green","completionDate":"","wdEngManager":"","damFullName":"","primingPartner":"0013000000KdrrVAAR","implPartner":"0013000000KdrrVAAR","partner":"Strada U.S. Professional Services, LLC","currentUpdate":"Project is green now as a change order was signed to extend the project timeline. Added 5 weeks to the E2E testing window. \nThe new HCM/Payroll/End-User Go-Live will be 10/23/2026.\nFINs Go-Live will now be 11/01/2026.","isExecutiveWatch":false,"wellnessData":null},{"deploymentId":"a0r4X00000CrVdNQAV","deploymentName":"Initial Deployment-Launch-LDPHCM, LDPHLP, LDPJRNY, etc.","accountId":"0014X00002iHDBEQA4","accountName":"City of Steamboat Springs","industry":"State &amp; Local Government","region":"US SLED","subRegion":"Local Government ME","subRegionAlt":"US Local Gov ME CB","billingState":"Colorado","billingCity":"Steamboat Springs","deploymentStartDate":"Thu Jul 18 2024 00:00:00 GMT-0400 (Eastern Daylight Time)","mtpDate":"Sun Sep 14 2025 00:00:00 GMT-0400 (Eastern Daylight Time)","firstMtpDate":"Sun Sep 14 2025 00:00:00 GMT-0400 (Eastern Daylight Time)","overallStatus":"Complete","phase":"Launch","stage":"Post Prod","health":"Green","completionDate":"Fri Nov 07 2025 00:00:00 GMT-0500 (Eastern Standard Time)","wdEngManager":"","damFullName":"","primingPartner":"0013000000KdrrVAAR","implPartner":"0013000000KdrrVAAR","partner":"Strada U.S. Professional Services, LLC","currentUpdate":"Nov 3 - Completed second payroll. FINS went live Oct 1. Initial FINS stabilization ends Nov 7. Stabilization extension through Dec 31, 2025.","isExecutiveWatch":false,"wellnessData":null},{"deploymentId":"a0rVT00000ecFQQYA2","deploymentName":"Initial Deployment-Launch-LDPHCM, LDPCCB, LDPUSP, LDPPRA, LDPTT, etc","accountId":"0018000000pOQxyAAG","accountName":"City of Thornton","industry":"State &amp; Local Government","region":"US SLED","subRegion":"Local Government ME","subRegionAlt":"US Local Gov ME CB","billingState":"Colorado","billingCity":"Thornton","deploymentStartDate":"Tue Jun 10 2025 00:00:00 GMT-0400 (Eastern Daylight Time)","mtpDate":"Mon Aug 03 2026 00:00:00 GMT-0400 (Eastern Daylight Time)","firstMtpDate":"","overallStatus":"Active","phase":"Launch","stage":"Test","health":"Green","completionDate":"","wdEngManager":"","damFullName":"","primingPartner":"0018000001IzqpSAAR","implPartner":"0018000001IzqpSAAR","partner":"Avaap USA, LLC","currentUpdate":"6.5.26- Payroll Parallel cycle 2 will complete next week. Cutover is in progress and gold data files are being pulled.","isExecutiveWatch":false,"wellnessData":null},{"deploymentId":"a0r4X00000BnsS7QAJ","deploymentName":"Initial Deployment-Your Way:FIN, GM, PLNW, PRA, PRJT, PRO","accountId":"0018000000Wsn7pAAB","accountName":"City of Tucson","industry":"State &amp; Local Government","region":"US SLED","subRegion":"Local Government LE","subRegionAlt":"US Local Gov LE CB","billingState":"Arizona","billingCity":"Tucson","deploymentStartDate":"Mon Dec 07 2020 00:00:00 GMT-0500 (Eastern Standard Time)","mtpDate":"Sun Sep 25 2022 00:00:00 GMT-0400 (Eastern Daylight Time)","firstMtpDate":"Sun Sep 25 2022 00:00:00 GMT-0400 (Eastern Daylight Time)","overallStatus":"Complete","phase":"Your Way","stage":"Deploy","health":"Green","completionDate":"Sat Dec 24 2022 00:00:00 GMT-0500 (Eastern Standard Time)","wdEngManager":"","damFullName":"","primingPartner":"00130000008MSknAAG","implPartner":"00130000008MSknAAG","partner":"Accenture LLP","currentUpdate":"12.12.22: Working with client to address remaining DA reviews so this scorecard can be closed out.","isExecutiveWatch":false,"wellnessData":null},{"deploymentId":"a0r4X00000BnsS2QAJ","deploymentName":"Initial Deployment-Your Way:HCM, CCB, USP, LRN, REC, PLNF, EXP","accountId":"0018000000Wsn7pAAB","accountName":"City of Tucson","industry":"State &amp; Local Government","region":"US SLED","subRegion":"Local Government LE","subRegionAlt":"US Local Gov LE CB","billingState":"Arizona","billingCity":"Tucson","deploymentStartDate":"Mon Dec 07 2020 00:00:00 GMT-0500 (Eastern Standard Time)","mtpDate":"Sun Sep 25 2022 00:00:00 GMT-0400 (Eastern Daylight Time)","firstMtpDate":"Sun Sep 25 2022 00:00:00 GMT-0400 (Eastern Daylight Time)","overallStatus":"Complete","phase":"Your Way","stage":"Deploy","health":"Green","completionDate":"Sat Dec 24 2022 00:00:00 GMT-0500 (Eastern Standard Time)","wdEngManager":"","damFullName":"","primingPartner":"00130000008MSknAAG","implPartner":"00130000008MSknAAG","partner":"Accenture LLP","currentUpdate":"12.12.22: Working with client to address remaining DA reviews so this scorecard can be closed out.","isExecutiveWatch":false,"wellnessData":null},{"deploymentId":"a0r4X00000DdZ61QAF","deploymentName":"Subsequent-Phase X- Your Way: AI Planning","accountId":"0018000000Wsn7pAAB","accountName":"City of Tucson","industry":"State &amp; Local Government","region":"US SLED","subRegion":"Local Government LE","subRegionAlt":"US Local Gov LE CB","billingState":"Arizona","billingCity":"Tucson","deploymentStartDate":"Mon Oct 03 2022 00:00:00 GMT-0400 (Eastern Daylight Time)","mtpDate":"Tue Jan 31 2023 00:00:00 GMT-0500 (Eastern Standard Time)","firstMtpDate":"Tue Jan 31 2023 00:00:00 GMT-0500 (Eastern Standard Time)","overallStatus":"Complete","phase":"Phase X - Planning","stage":"Deploy","health":"Green","completionDate":"Fri Apr 14 2023 00:00:00 GMT-0400 (Eastern Daylight Time)","wdEngManager":"","damFullName":"","primingPartner":"0018000000nlqGOAAY","implPartner":"0018000000nlqGOAAY","partner":"Deloitte Consulting LLP (Deloitte US)","currentUpdate":"DAM 3/2: DA project is complete and DA team has been reassigned. PM, please keep scorecard updated or if project is complete, mark the project complete on the Scorecard.","isExecutiveWatch":false,"wellnessData":null},{"deploymentId":"a0r4X00000Ef1QAQAZ","deploymentName":"Subsequent-PhaseX: Recruiting","accountId":"0018000000Wsn7pAAB","accountName":"City of Tucson","industry":"State &amp; Local Government","region":"US SLED","subRegion":"Local Government LE","subRegionAlt":"US Local Gov LE CB","billingState":"Arizona","billingCity":"Tucson","deploymentStartDate":"Wed Nov 01 2023 00:00:00 GMT-0400 (Eastern Daylight Time)","mtpDate":"Mon Mar 11 2024 00:00:00 GMT-0400 (Eastern Daylight Time)","firstMtpDate":"Mon Mar 11 2024 00:00:00 GMT-0400 (Eastern Daylight Time)","overallStatus":"Complete","phase":"Your Way","stage":"Deploy","health":"Green","completionDate":"Sun Apr 28 2024 00:00:00 GMT-0400 (Eastern Daylight Time)","wdEngManager":"","damFullName":"","primingPartner":"0018000000nlqGOAAY","implPartner":"0018000000nlqGOAAY","partner":"Deloitte Consulting LLP (Deloitte US)","currentUpdate":"Currently in sustainment period","isExecutiveWatch":false,"wellnessData":null},{"deploymentId":"a0r80000006yPswAAE","deploymentName":"Initial Deployment-Your Way: HCM, CCB, USP, TT, LRN, REC","accountId":"0018000001F9zK5AAJ","accountName":"City of Vancouver, WA","industry":"State &amp; Local Government","region":"US SLED","subRegion":"Local Government ME","subRegionAlt":"US Local Gov ME CB","billingState":"Washington","billingCity":"Vancouver","deploymentStartDate":"Mon Aug 28 2017 00:00:00 GMT-0400 (Eastern Daylight Time)","mtpDate":"Sun Mar 17 2019 00:00:00 GMT-0400 (Eastern Daylight Time)","firstMtpDate":"Sun Mar 17 2019 00:00:00 GMT-0400 (Eastern Daylight Time)","overallStatus":"Complete","phase":"Your Way","stage":"Post Prod","health":"Green","completionDate":"Thu May 16 2019 00:00:00 GMT-0400 (Eastern Daylight Time)","wdEngManager":"","damFullName":"","primingPartner":"0018000000nlcXyAAI","implPartner":"0018000000nlcXyAAI","partner":"Sierra-Cedar, Inc.","currentUpdate":"CoV is live on HCM, Payroll and Time Tracking.  SCI is in Post Production support.  Updated 5/16/19.","isExecutiveWatch":false,"wellnessData":null},{"deploymentId":"a0r80000006yPt1AAE","deploymentName":"Initial Deployment-Your Way:FIN, EXP, PRJT, INV, GM, PLN, PRO","accountId":"0018000001F9zK5AAJ","accountName":"City of Vancouver, WA","industry":"State &amp; Local Government","region":"US SLED","subRegion":"Local Government ME","subRegionAlt":"US Local Gov ME CB","billingState":"Washington","billingCity":"Vancouver","deploymentStartDate":"Mon Aug 28 2017 00:00:00 GMT-0400 (Eastern Daylight Time)","mtpDate":"Mon Apr 01 2019 00:00:00 GMT-0400 (Eastern Daylight Time)","firstMtpDate":"Mon Apr 01 2019 00:00:00 GMT-0400 (Eastern Daylight Time)","overallStatus":"Complete","phase":"Your Way","stage":"Post Prod","health":"Green","completionDate":"Fri May 31 2019 00:00:00 GMT-0400 (Eastern Daylight Time)","wdEngManager":"","damFullName":"","primingPartner":"0018000000nlcXyAAI","implPartner":"0018000000nlcXyAAI","partner":"Sierra-Cedar, Inc.","currentUpdate":"CoV is live on Financials.  SCI is in Post Production support.  Updated 5/16/19.","isExecutiveWatch":false,"wellnessData":null},{"deploymentId":"a0r4X00000D7rbnQAB","deploymentName":"Subsequent-Phase X-Benefits","accountId":"0018000001F9zK5AAJ","accountName":"City of Vancouver, WA","industry":"State &amp; Local Government","region":"US SLED","subRegion":"Local Government ME","subRegionAlt":"US Local Gov ME CB","billingState":"Washington","billingCity":"Vancouver","deploymentStartDate":"Mon Jun 12 2023 00:00:00 GMT-0400 (Eastern Daylight Time)","mtpDate":"Mon Jul 03 2023 00:00:00 GMT-0400 (Eastern Daylight Time)","firstMtpDate":"Mon Jul 03 2023 00:00:00 GMT-0400 (Eastern Daylight Time)","overallStatus":"Complete","phase":"Your Way","stage":"Deploy","health":"Green","completionDate":"Mon Jul 03 2023 00:00:00 GMT-0400 (Eastern Daylight Time)","wdEngManager":"","damFullName":"","primingPartner":"0014X00002K50GIQAZ","implPartner":"0014X00002K50GIQAZ","partner":"ERP Analysts Inc. dba ERPA","currentUpdate":"Project is complete","isExecutiveWatch":false,"wellnessData":null},{"deploymentId":"a0r4X00000D7r6VQAR","deploymentName":"Subsequent-Phase X-Financials","accountId":"0018000001F9zK5AAJ","accountName":"City of Vancouver, WA","industry":"State &amp; Local Government","region":"US SLED","subRegion":"Local Government ME","subRegionAlt":"US Local Gov ME CB","billingState":"Washington","billingCity":"Vancouver","deploymentStartDate":"Fri May 19 2023 00:00:00 GMT-0400 (Eastern Daylight Time)","mtpDate":"Thu Jul 20 2023 00:00:00 GMT-0400 (Eastern Daylight Time)","firstMtpDate":"Thu Jul 20 2023 00:00:00 GMT-0400 (Eastern Daylight Time)","overallStatus":"Complete","phase":"Your Way","stage":"Deploy","health":"Green","completionDate":"Thu Jul 20 2023 00:00:00 GMT-0400 (Eastern Daylight Time)","wdEngManager":"","damFullName":"","primingPartner":"0014X00002K50GIQAZ","implPartner":"0014X00002K50GIQAZ","partner":"ERP Analysts Inc. dba ERPA","currentUpdate":"Project is complete","isExecutiveWatch":false,"wellnessData":null},{"deploymentId":"a0r4X00000DCGf0QAH","deploymentName":"Initial Deployment-Your Way: CHCM, TLO, HLP, CCB, USP, LRN,","accountId":"0018000000Wsn7wAAB","accountName":"City of Virginia Beach","industry":"State &amp; Local Government","region":"US SLED","subRegion":"Local Government LE","subRegionAlt":"US Local Gov LE CB","billingState":"Virginia","billingCity":"Virginia Beach","deploymentStartDate":"Thu May 23 2024 00:00:00 GMT-0400 (Eastern Daylight Time)","mtpDate":"Thu Jun 11 2026 00:00:00 GMT-0400 (Eastern Daylight Time)","firstMtpDate":"","overallStatus":"Active","phase":"Your Way","stage":"Post Prod","health":"Green","completionDate":"","wdEngManager":"","damFullName":"","primingPartner":"0018000000nlqGOAAY","implPartner":"0018000000nlqGOAAY","partner":"Deloitte Consulting LLP (Deloitte US)","currentUpdate":"Workday is live for the City of VB\nSustainment procedures in place\nTickets managed through ServiceNow","isExecutiveWatch":false,"wellnessData":null},{"deploymentId":"a0rVT00000eiHNtYAM","deploymentName":"Initial Deployment-Launch-MCNF, LDPREC, LDPMSG, LDPTLO, LDPBEN etc.","accountId":"0018000000tT1HOAA0","accountName":"City of West Jordan (IronBrick)","industry":"State &amp; Local Government","region":"US SLED","subRegion":"Local Government ME","subRegionAlt":"US Local Gov ME CB","billingState":"Utah","billingCity":"West Jordan","deploymentStartDate":"Sun Aug 24 2025 00:00:00 GMT-0400 (Eastern Daylight Time)","mtpDate":"Thu Jun 11 2026 00:00:00 GMT-0400 (Eastern Daylight Time)","firstMtpDate":"Thu Jun 11 2026 00:00:00 GMT-0400 (Eastern Daylight Time)","overallStatus":"Active","phase":"Launch","stage":"Post Prod","health":"Green","completionDate":"","wdEngManager":"Donna Trumbower","damFullName":"","primingPartner":"0018000000hIF6bAAG","implPartner":"0018000000hIF6bAAG","partner":"Workday Professional Services","currentUpdate":"06.16 - Successful Go Live","isExecutiveWatch":false,"wellnessData":null},{"deploymentId":"a0rVT0000159bGHYAY","deploymentName":"Subsequent- Phase X- Phase 2: Core Financials","accountId":"0018000000tT1HOAA0","accountName":"City of West Jordan (IronBrick)","industry":"State &amp; Local Government","region":"US SLED","subRegion":"Local Government ME","subRegionAlt":"US Local Gov ME CB","billingState":"Utah","billingCity":"West Jordan","deploymentStartDate":"Wed May 27 2026 00:00:00 GMT-0400 (Eastern Daylight Time)","mtpDate":"","firstMtpDate":"","overallStatus":"Active","phase":"Launch","stage":"Plan","health":"Green","completionDate":"","wdEngManager":"","damFullName":"","primingPartner":"0018000000hIF6bAAG","implPartner":"0018000000hIF6bAAG","partner":"Workday Professional Services","currentUpdate":"","isExecutiveWatch":false,"wellnessData":null},{"deploymentId":"a0r4X00000DPH7mQAH","deploymentName":"Initial Deployment-Your Way: HCM, USP, FIN, EXP, INV, PRO, GM, PRJT, REC, etc","accountId":"0018000000Wsn84AAB","accountName":"City of Worcester, Massachusetts","industry":"State &amp; Local Government","region":"US SLED","subRegion":"Local Government LE","subRegionAlt":"US Local Gov LE CB","billingState":"Massachusetts","billingCity":"Worcester","deploymentStartDate":"Fri Nov 05 2021 00:00:00 GMT-0400 (Eastern Daylight Time)","mtpDate":"Sun Mar 05 2023 00:00:00 GMT-0500 (Eastern Standard Time)","firstMtpDate":"Sun Mar 05 2023 00:00:00 GMT-0500 (Eastern Standard Time)","overallStatus":"Complete","phase":"Your Way","stage":"Deploy","health":"Green","completionDate":"Fri Apr 14 2023 00:00:00 GMT-0400 (Eastern Daylight Time)","wdEngManager":"","damFullName":"","primingPartner":"00130000008MSknAAG","implPartner":"00130000008MSknAAG","partner":"Accenture LLP","currentUpdate":"Live!","isExecutiveWatch":false,"wellnessData":null},{"deploymentId":"a0r4X00000E1AQdQAN","deploymentName":"Subsequent - Phase X: HCM, PAY, BN","accountId":"0018000000Wsn84AAB","accountName":"City of Worcester, Massachusetts","industry":"State &amp; Local Government","region":"US SLED","subRegion":"Local Government LE","subRegionAlt":"US Local Gov LE CB","billingState":"Massachusetts","billingCity":"Worcester","deploymentStartDate":"Tue Sep 05 2023 00:00:00 GMT-0400 (Eastern Daylight Time)","mtpDate":"Fri Sep 18 2026 00:00:00 GMT-0400 (Eastern Daylight Time)","firstMtpDate":"","overallStatus":"Active","phase":"Phase X - Your Way","stage":"Test","health":"Green","completionDate":"","wdEngManager":"","damFullName":"Kirk Krikorian","primingPartner":"00130000008MSknAAG","implPartner":"00130000008MSknAAG","partner":"Accenture LLP","currentUpdate":"6/8/26: Parallel has started, behind target. Extension CO in progress. Awaiting signature","isExecutiveWatch":false,"wellnessData":null},{"deploymentId":"a0r4X00000ESL2FQAX","deploymentName":"Initial Deployment-Your Way - HCM+PAY: CHCM, TLO, CCB, USP, LRN, etc.","accountId":"0018000000LmcG3AAJ","accountName":"City Utilities of Springfield","industry":"Special Districts","region":"US SLED","subRegion":"Local Government ME","subRegionAlt":"US Local Gov ME CB","billingState":"Missouri","billingCity":"Springfield","deploymentStartDate":"Fri Sep 01 2023 00:00:00 GMT-0400 (Eastern Daylight Time)","mtpDate":"Thu Mar 20 2025 00:00:00 GMT-0400 (Eastern Daylight Time)","firstMtpDate":"Thu Mar 20 2025 00:00:00 GMT-0400 (Eastern Daylight Time)","overallStatus":"Complete","phase":"Your Way","stage":"Post Prod","health":"Green","completionDate":"Fri May 02 2025 00:00:00 GMT-0400 (Eastern Daylight Time)","wdEngManager":"","damFullName":"Alexis Celani","primingPartner":"0013000000KdrrVAAR","implPartner":"0013000000KdrrVAAR","partner":"Strada U.S. Professional Services, LLC","currentUpdate":"May 5th:\n-Project is completed","isExecutiveWatch":false,"wellnessData":null},{"deploymentId":"a0r4X00000DOoT0QAL","deploymentName":"Initial Deployment-Your Way: FIN, GM, PLNF, etc.","accountId":"0014X00002LARxlQAH","accountName":"City-County Information Technology Commission (CCITC)","industry":"State &amp; Local Government","region":"US SLED","subRegion":"Local Government ME","subRegionAlt":"US Local Gov ME CB","billingState":"Wisconsin","billingCity":"Wausau","deploymentStartDate":"Wed Dec 08 2021 00:00:00 GMT-0500 (Eastern Standard Time)","mtpDate":"Sun Dec 18 2022 00:00:00 GMT-0500 (Eastern Standard Time)","firstMtpDate":"Sun Dec 18 2022 00:00:00 GMT-0500 (Eastern Standard Time)","overallStatus":"Complete","phase":"Your Way","stage":"Post Prod","health":"Green","completionDate":"Fri Feb 17 2023 00:00:00 GMT-0500 (Eastern Standard Time)","wdEngManager":"","damFullName":"","primingPartner":"0018000000MWLslAAH","implPartner":"0018000000MWLslAAH","partner":"Collaborative Solutions, LLC","currentUpdate":"2/17/2023 : Completed 9th week of hyper care support.  HCM team has rolled off.  Select FIN team members will continue through 3/10/2023.","isExecutiveWatch":false,"wellnessData":null},{"deploymentId":"a0r4X00000DOoSqQAL","deploymentName":"Initial Deployment-Your Way: HCM, CCB, TLO, USP, LRN, REC, etc.","accountId":"0014X00002LARxlQAH","accountName":"City-County Information Technology Commission (CCITC)","industry":"State &amp; Local Government","region":"US SLED","subRegion":"Local Government ME","subRegionAlt":"US Local Gov ME CB","billingState":"Wisconsin","billingCity":"Wausau","deploymentStartDate":"Wed Dec 08 2021 00:00:00 GMT-0500 (Eastern Standard Time)","mtpDate":"Sun Dec 18 2022 00:00:00 GMT-0500 (Eastern Standard Time)","firstMtpDate":"Sun Dec 18 2022 00:00:00 GMT-0500 (Eastern Standard Time)","overallStatus":"Complete","phase":"Your Way","stage":"Post Prod","health":"Green","completionDate":"Tue Mar 07 2023 00:00:00 GMT-0500 (Eastern Standard Time)","wdEngManager":"","damFullName":"","primingPartner":"0018000000MWLslAAH","implPartner":"0018000000MWLslAAH","partner":"Collaborative Solutions, LLC","currentUpdate":"3/7/2023 : Completed post production hyper care support.\r\n\r\nUpdated and closed the Absence and TT DA reviews and they are now marked as complete.\r\n\r\nClosing this scorecard.","isExecutiveWatch":false,"wellnessData":null},{"deploymentId":"a0r4X00000E10wmQAB","deploymentName":"Subsequent- Phase X: Prism and Adaptive Planning","accountId":"0014X00002LARxlQAH","accountName":"City-County Information Technology Commission (CCITC)","industry":"State &amp; Local Government","region":"US SLED","subRegion":"Local Government ME","subRegionAlt":"US Local Gov ME CB","billingState":"Wisconsin","billingCity":"Wausau","deploymentStartDate":"Wed Jan 18 2023 00:00:00 GMT-0500 (Eastern Standard Time)","mtpDate":"Wed Jul 12 2023 00:00:00 GMT-0400 (Eastern Daylight Time)","firstMtpDate":"Wed Jul 12 2023 00:00:00 GMT-0400 (Eastern Daylight Time)","overallStatus":"Complete","phase":"Phase X - Your Way","stage":"Post Prod","health":"Green","completionDate":"Wed Aug 23 2023 00:00:00 GMT-0400 (Eastern Daylight Time)","wdEngManager":"","damFullName":"","primingPartner":"0018000000MWLslAAH","implPartner":"0018000000MWLslAAH","partner":"Collaborative Solutions, LLC","currentUpdate":"8/23/2023\n\nAdaptive -  Completing 3rd week of post production support.  Closing scorecard as all deliverables have been completed and no issues exist.  Support will continue for several more weeks but no substantive work on deliverables remains.","isExecutiveWatch":false,"wellnessData":null},{"deploymentId":"a0r80000005czesAAA","deploymentName":"Initial Deployment-LE: FIN, EXP, GM, PRJT, PRO","accountId":"0018000000tT1HiAAK","accountName":"Clark County (WA)","industry":"State &amp; Local Government","region":"US SLED","subRegion":"Local Government ME","subRegionAlt":"US Local Gov ME CB","billingState":"Washington","billingCity":"Vancouver","deploymentStartDate":"Mon Jan 01 2018 00:00:00 GMT-0500 (Eastern Standard Time)","mtpDate":"Mon Mar 04 2019 00:00:00 GMT-0500 (Eastern Standard Time)","firstMtpDate":"Mon Mar 04 2019 00:00:00 GMT-0500 (Eastern Standard Time)","overallStatus":"Complete","phase":"Your Way","stage":"Deploy","health":"Green","completionDate":"Sun Jun 02 2019 00:00:00 GMT-0400 (Eastern Daylight Time)","wdEngManager":"","damFullName":"","primingPartner":"0018000000nlcXyAAI","implPartner":"0018000000nlcXyAAI","partner":"Sierra-Cedar, Inc.","currentUpdate":"Go Live was 3/4/19 and has been smooth so far.  Minor issues and most have been cleared.","isExecutiveWatch":false,"wellnessData":null},{"deploymentId":"a0r80000005czenAAA","deploymentName":"Initial Deployment-LE: HCM, CCB, USP, TT, REC","accountId":"0018000000tT1HiAAK","accountName":"Clark County (WA)","industry":"State &amp; Local Government","region":"US SLED","subRegion":"Local Government ME","subRegionAlt":"US Local Gov ME CB","billingState":"Washington","billingCity":"Vancouver","deploymentStartDate":"Sat Mar 25 2017 00:00:00 GMT-0400 (Eastern Daylight Time)","mtpDate":"Sun Jun 17 2018 00:00:00 GMT-0400 (Eastern Daylight Time)","firstMtpDate":"Sun Jun 17 2018 00:00:00 GMT-0400 (Eastern Daylight Time)","overallStatus":"Complete","phase":"Your Way","stage":"Post Prod","health":"Green","completionDate":"Thu Aug 16 2018 00:00:00 GMT-0400 (Eastern Daylight Time)","wdEngManager":"","damFullName":"","primingPartner":"0018000000nlcXyAAI","implPartner":"0018000000nlcXyAAI","partner":"Sierra-Cedar, Inc.","currentUpdate":"Heatmap update - case 889954","isExecutiveWatch":false,"wellnessData":null},{"deploymentId":"a0rVT00000xZQDqYAO","deploymentName":"Subsequent - Phase X - Strategic Sourcing","accountId":"0018000000tT1HiAAK","accountName":"Clark County (WA)","industry":"State &amp; Local Government","region":"US SLED","subRegion":"Local Government ME","subRegionAlt":"US Local Gov ME CB","billingState":"Washington","billingCity":"Vancouver","deploymentStartDate":"Fri Feb 13 2026 00:00:00 GMT-0500 (Eastern Standard Time)","mtpDate":"Mon Jul 13 2026 00:00:00 GMT-0400 (Eastern Daylight Time)","firstMtpDate":"","overallStatus":"Active","phase":"Your Way","stage":"Architect &amp; Configure","health":"Green","completionDate":"","wdEngManager":"Dan Terrell","damFullName":"","primingPartner":"0018000000hIF6bAAG","implPartner":"0018000000hIF6bAAG","partner":"Workday Professional Services","currentUpdate":"6/11 &gt; project on updated schedule (Change Order forthcoming) to align with CLM Project; customer planning for WSS training","isExecutiveWatch":false,"wellnessData":null},{"deploymentId":"a0r4X00000BayRgQAJ","deploymentName":"Subsequent-Phase X: Learning/ Safety","accountId":"0018000000tT1HiAAK","accountName":"Clark County (WA)","industry":"State &amp; Local Government","region":"US SLED","subRegion":"Local Government ME","subRegionAlt":"US Local Gov ME CB","billingState":"Washington","billingCity":"Vancouver","deploymentStartDate":"Tue Aug 11 2020 00:00:00 GMT-0400 (Eastern Daylight Time)","mtpDate":"Wed Jan 13 2021 00:00:00 GMT-0500 (Eastern Standard Time)","firstMtpDate":"Wed Jan 13 2021 00:00:00 GMT-0500 (Eastern Standard Time)","overallStatus":"Complete","phase":"Phase X - Launch","stage":"Post Prod","health":"Green","completionDate":"Wed Jan 13 2021 00:00:00 GMT-0500 (Eastern Standard Time)","wdEngManager":"","damFullName":"","primingPartner":"00130000008MSknAAG","implPartner":"00130000008MSknAAG","partner":"Accenture LLP","currentUpdate":"2/15/21 - MTP 1/13/2021.  Post Prod support for LMS/ Safety deployment","isExecutiveWatch":false,"wellnessData":null},{"deploymentId":"a0r4X00000CaFHSQA3","deploymentName":"Subsequent-Phase X: Prism Analytics","accountId":"0018000000tT1HiAAK","accountName":"Clark County (WA)","industry":"State &amp; Local Government","region":"US SLED","subRegion":"Local Government ME","subRegionAlt":"US Local Gov ME CB","billingState":"Washington","billingCity":"Vancouver","deploymentStartDate":"Mon Sep 28 2020 00:00:00 GMT-0400 (Eastern Daylight Time)","mtpDate":"Tue Jan 12 2021 00:00:00 GMT-0500 (Eastern Standard Time)","firstMtpDate":"Tue Jan 12 2021 00:00:00 GMT-0500 (Eastern Standard Time)","overallStatus":"Complete","phase":"Phase X - Your Way","stage":"Post Prod","health":"Green","completionDate":"Fri Mar 05 2021 00:00:00 GMT-0500 (Eastern Standard Time)","wdEngManager":"","damFullName":"","primingPartner":"00130000008MSknAAG","implPartner":"00130000008MSknAAG","partner":"Accenture LLP","currentUpdate":"3/31/21 -  In production and PPS has ended.  Updated to include when PPLA went live/ scorecard","isExecutiveWatch":false,"wellnessData":null},{"deploymentId":"a0r4X00000CbXLAQA3","deploymentName":"Initial Deployment-Launch Suite: LDPCHCM, LDPBEN, LDPUSP, LDPFIN, LDPPLNF, etc.","accountId":"0018000000kuvprAAA","accountName":"Clay County","industry":"State &amp; Local Government","region":"US SLED","subRegion":"Local Government ME","subRegionAlt":"US Local Gov ME CB","billingState":"Florida","billingCity":"Green Cove Springs","deploymentStartDate":"Mon Jan 25 2021 00:00:00 GMT-0500 (Eastern Standard Time)","mtpDate":"Wed Dec 15 2021 00:00:00 GMT-0500 (Eastern Standard Time)","firstMtpDate":"Wed Dec 15 2021 00:00:00 GMT-0500 (Eastern Standard Time)","overallStatus":"Complete","phase":"Launch","stage":"Post Prod","health":"Green","completionDate":"Tue Feb 15 2022 00:00:00 GMT-0500 (Eastern Standard Time)","wdEngManager":"","damFullName":"","primingPartner":"0018000000hIF6bAAG","implPartner":"0018000000hIF6bAAG","partner":"Workday Professional Services","currentUpdate":"Post Prod support complete.  Closing Project scorecard..","isExecutiveWatch":false,"wellnessData":null},{"deploymentId":"a0r4X00000DY0lUQAT","deploymentName":"Subsequent - Phase X: Recruiting","accountId":"0018000000kuvprAAA","accountName":"Clay County","industry":"State &amp; Local Government","region":"US SLED","subRegion":"Local Government ME","subRegionAlt":"US Local Gov ME CB","billingState":"Florida","billingCity":"Green Cove Springs","deploymentStartDate":"Thu Mar 30 2023 00:00:00 GMT-0400 (Eastern Daylight Time)","mtpDate":"Tue Oct 31 2023 00:00:00 GMT-0400 (Eastern Daylight Time)","firstMtpDate":"Tue Oct 31 2023 00:00:00 GMT-0400 (Eastern Daylight Time)","overallStatus":"Complete","phase":"Phase X - Launch","stage":"Post Prod","health":"Green","completionDate":"Tue Oct 31 2023 00:00:00 GMT-0400 (Eastern Daylight Time)","wdEngManager":"","damFullName":"Dawn Clayton","primingPartner":"0018000001IzqpSAAR","implPartner":"0018000001IzqpSAAR","partner":"Avaap USA, LLC","currentUpdate":"12/26:  Awaiting WD DA final response/complete so can close scorecard.  Scorecard opened as per the request through case- 2269388","isExecutiveWatch":false,"wellnessData":null},{"deploymentId":"a0r4X00000CbaPKQAZ","deploymentName":"Subsequent-Phase X-Launch: AI Planning","accountId":"0018000000kuvprAAA","accountName":"Clay County","industry":"State &amp; Local Government","region":"US SLED","subRegion":"Local Government ME","subRegionAlt":"US Local Gov ME CB","billingState":"Florida","billingCity":"Green Cove Springs","deploymentStartDate":"Tue Dec 22 2020 00:00:00 GMT-0500 (Eastern Standard Time)","mtpDate":"Fri Apr 23 2021 00:00:00 GMT-0400 (Eastern Daylight Time)","firstMtpDate":"Fri Apr 23 2021 00:00:00 GMT-0400 (Eastern Daylight Time)","overallStatus":"Complete","phase":"Phase X - Planning","stage":"Post Prod","health":"Green","completionDate":"Fri Aug 12 2022 00:00:00 GMT-0400 (Eastern Daylight Time)","wdEngManager":"","damFullName":"","primingPartner":"0018000000hIF6bAAG","implPartner":"0018000000hIF6bAAG","partner":"Workday Professional Services","currentUpdate":"N/A","isExecutiveWatch":false,"wellnessData":null},{"deploymentId":"a0r4X00000E101bQAB","deploymentName":"Initial Deployment-Your Way: CHCM, CCB, USP, LRN, REC, FIN, etc.","accountId":"0018000001OiopyAAB","accountName":"Clay County Utility Authority","industry":"Special Districts","region":"US SLED","subRegion":"Local Government ME","subRegionAlt":"US Local Gov ME CB","billingState":"Florida","billingCity":"Middleburg","deploymentStartDate":"Wed Mar 29 2023 00:00:00 GMT-0400 (Eastern Daylight Time)","mtpDate":"Sun Mar 24 2024 00:00:00 GMT-0400 (Eastern Daylight Time)","firstMtpDate":"Sun Mar 24 2024 00:00:00 GMT-0400 (Eastern Daylight Time)","overallStatus":"Complete","phase":"Your Way","stage":"Post Prod","health":"Green","completionDate":"Fri May 17 2024 00:00:00 GMT-0400 (Eastern Daylight Time)","wdEngManager":"","damFullName":"Machelle Starling","primingPartner":"0018000000MWLslAAH","implPartner":"0018000000MWLslAAH","partner":"Collaborative Solutions, LLC","currentUpdate":"5/17 - we are closing out the project.","isExecutiveWatch":false,"wellnessData":null},{"deploymentId":"a0r1B00000B7qyEQAR","deploymentName":"Initial Deployment-Launch HCM+PAY:LDPHCM, LDPUSP, LDPCCB, LDPREC, LDPLRN, etc.","accountId":"0013000000JpkT8AAJ","accountName":"CNI Government, LLC","industry":"Special Districts","region":"US SLED","subRegion":"Local Government ME","subRegionAlt":"US Local Gov ME CB","billingState":"Oklahoma","billingCity":"Norman","deploymentStartDate":"Tue Jul 16 2019 00:00:00 GMT-0400 (Eastern Daylight Time)","mtpDate":"Thu Mar 12 2020 00:00:00 GMT-0400 (Eastern Daylight Time)","firstMtpDate":"Thu Mar 12 2020 00:00:00 GMT-0400 (Eastern Daylight Time)","overallStatus":"Complete","phase":"Launch","stage":"Post Prod","health":"Green","completionDate":"Fri May 22 2020 00:00:00 GMT-0400 (Eastern Daylight Time)","wdEngManager":"","damFullName":"","primingPartner":"0018000000hIF6bAAG","implPartner":"0018000000hIF6bAAG","partner":"Workday Professional Services","currentUpdate":"Closing the deployment.  All project activities completed and tenant handed over to the customer.","isExecutiveWatch":false,"wellnessData":null},{"deploymentId":"a0rVT00000QlkjdYAB","deploymentName":"Subsequent-Phase X: CNI Payroll Corrections Extend","accountId":"0013000000JpkT8AAJ","accountName":"CNI Government, LLC","industry":"Special Districts","region":"US SLED","subRegion":"Local Government ME","subRegionAlt":"US Local Gov ME CB","billingState":"Oklahoma","billingCity":"Norman","deploymentStartDate":"Mon Feb 10 2025 00:00:00 GMT-0500 (Eastern Standard Time)","mtpDate":"Wed Jun 04 2025 00:00:00 GMT-0400 (Eastern Daylight Time)","firstMtpDate":"Wed Jun 04 2025 00:00:00 GMT-0400 (Eastern Daylight Time)","overallStatus":"Complete","phase":"Launch","stage":"Post Prod","health":"Green","completionDate":"Fri Jun 13 2025 00:00:00 GMT-0400 (Eastern Daylight Time)","wdEngManager":"","damFullName":"","primingPartner":"0018000001HpL79AAF","implPartner":"0018000001HpL79AAF","partner":"Intecrowd LLC","currentUpdate":"App Sandbox testing signoff provided 5/22. Deployment cutover in flight as CNI confirms approval to update App security in Prod and communicate go-live 6/4. Go-live completed 6/4.","isExecutiveWatch":false,"wellnessData":null},{"deploymentId":"a0r4X00000ETWPXQA5","deploymentName":"Initial Deployment-Your Way-CHCM, TLO, CCB, USP, LRN, MCNF, CCLRN, etc.","accountId":"0014X00002ME76oQAD","accountName":"Coachella Valley Water District","industry":"Special Districts","region":"US SLED","subRegion":"Local Government ME","subRegionAlt":"US Local Gov ME CB","billingState":"California","billingCity":"Palm Desert","deploymentStartDate":"Thu Oct 17 2024 00:00:00 GMT-0400 (Eastern Daylight Time)","mtpDate":"Mon Aug 17 2026 00:00:00 GMT-0400 (Eastern Daylight Time)","firstMtpDate":"","overallStatus":"Active","phase":"Your Way","stage":"Test","health":"Green","completionDate":"","wdEngManager":"","damFullName":"","primingPartner":"0013000000KdrrVAAR","implPartner":"0013000000KdrrVAAR","partner":"Strada U.S. Professional Services, LLC","currentUpdate":"CVWD had decided to move forward with a fully burdened cost model to replace the extend solution and has asked to push the go live date out due to several reasons.  Moving scorecard to red as we work through the plan and proposal updates.","isExecutiveWatch":false,"wellnessData":null},{"deploymentId":"a0rVT00000rTLdiYAG","deploymentName":"Initial Deployment-Launch-LDPFIN, LDPPRA, LDPEXP, LDPPRO etc.","accountId":"0018000000OkgzBAAR","accountName":"Colorado Public Employee Retirement Association","industry":"State &amp; Local Government","region":"US SLED","subRegion":"Local Government LE","subRegionAlt":"US Local Gov LE NN &amp; States West","billingState":"Colorado","billingCity":"Denver","deploymentStartDate":"Fri Dec 05 2025 00:00:00 GMT-0500 (Eastern Standard Time)","mtpDate":"Mon Dec 28 2026 00:00:00 GMT-0500 (Eastern Standard Time)","firstMtpDate":"","overallStatus":"Active","phase":"Launch Flex","stage":"Plan","health":"Green","completionDate":"","wdEngManager":"","damFullName":"","primingPartner":"0011B00002CZvnrQAD","implPartner":"0011B00002CZvnrQAD","partner":"Guidehouse Inc","currentUpdate":"6/22/26: Unit Testing in progress (37%); INT reconciliation CO shared, Planning Phase 2 demos","isExecutiveWatch":false,"wellnessData":null},{"deploymentId":"a0r4X00000DOuVbQAL","deploymentName":"Subsequent Deployment - Planning First : Financial Planning","accountId":"0014X00002MBxpnQAD","accountName":"Columbus Metro Housing Authority","industry":"Special Districts","region":"US SLED","subRegion":"Local Government ME","subRegionAlt":"US Special Districts NN","billingState":"Ohio","billingCity":"Columbus","deploymentStartDate":"Wed Oct 09 2019 00:00:00 GMT-0400 (Eastern Daylight Time)","mtpDate":"Thu Apr 09 2020 00:00:00 GMT-0400 (Eastern Daylight Time)","firstMtpDate":"Thu Apr 09 2020 00:00:00 GMT-0400 (Eastern Daylight Time)","overallStatus":"Complete","phase":"Planning First","stage":"Post Prod","health":"Green","completionDate":"","wdEngManager":"Katherine Linchey","damFullName":"","primingPartner":"0011B00002CZYgHQAX","implPartner":"0011B00002CZYgHQAX","partner":"PBU Partner Ecosystem","currentUpdate":"Historical deployment load as part of Adaptive Systems Integration project in FY22. CSM listed as EM due to lack of historical data.","isExecutiveWatch":false,"wellnessData":null},{"deploymentId":"a0r4X00000DQlPTQA1","deploymentName":"Initial Deployment-Your Way: CHCM, TLO, CCB, USP, LRN, LRNXE, REC, FIN, etc.","accountId":"0014X00002FBlPwQAL","accountName":"Columbus Regional Airport Authority","industry":"Special Districts","region":"US SLED","subRegion":"Local Government ME","subRegionAlt":"US Local Gov ME CB","billingState":"Ohio","billingCity":"Columbus","deploymentStartDate":"Fri Apr 01 2022 00:00:00 GMT-0400 (Eastern Daylight Time)","mtpDate":"Tue Mar 14 2023 00:00:00 GMT-0400 (Eastern Daylight Time)","firstMtpDate":"Tue Mar 14 2023 00:00:00 GMT-0400 (Eastern Daylight Time)","overallStatus":"Complete","phase":"Your Way","stage":"Post Prod","health":"Green","completionDate":"","wdEngManager":"","damFullName":"","primingPartner":"0018000001IzqpSAAR","implPartner":"0018000001IzqpSAAR","partner":"Avaap USA, LLC","currentUpdate":"3/14 DAM: Closing out this project since the Advisory Workday project is now complete. Avaap Services / AMS to support remaining customer post production support fixes and long term support going forward.","isExecutiveWatch":false,"wellnessData":null},{"deploymentId":"a0r4X00000Dcq0RQAR","deploymentName":"Initial Deployment-Your Way; CHCM, TLO, USP, REC, FIN, GM, etc.","accountId":"0018000001LbyeTAAR","accountName":"Commonwealth of Kentucky Cabinet for Health and Family Services Department for Public Health","industry":"State &amp; Local Government","region":"US SLED","subRegion":"Local Government LE","subRegionAlt":"US State Gov East","billingState":"Kentucky","billingCity":"Frankfort","deploymentStartDate":"Mon Mar 06 2023 00:00:00 GMT-0500 (Eastern Standard Time)","mtpDate":"Sun Jun 16 2024 00:00:00 GMT-0400 (Eastern Daylight Time)","firstMtpDate":"Sun Jun 16 2024 00:00:00 </t>
  </si>
  <si>
    <t>a0pVT000009cVTpYAM</t>
  </si>
  <si>
    <t>sfdcRows:default:chunk:5</t>
  </si>
  <si>
    <t>As of 10/08/26: Preprod WD integration &amp; SSO (Preprod/PROD) complete. Completed HM Hub customization session. Next calls: Mon Tech (2pm), Wed Design (10:30am). Action: FOS team to update Workday disposition reasons &amp; send updated list.</t>
  </si>
  <si>
    <t>a0rVT00000hOL9BYAW</t>
  </si>
  <si>
    <t>a0pVT00000BizsfYAB</t>
  </si>
  <si>
    <t>Finastra International Limited</t>
  </si>
  <si>
    <t>a0rVT000012V0dQYAS</t>
  </si>
  <si>
    <t>Accelerate</t>
  </si>
  <si>
    <t>a0pVT00000C3qETYAZ</t>
  </si>
  <si>
    <t>a0rVT000012V1CkYAK</t>
  </si>
  <si>
    <t>a0pVT00000ADMxpYAH</t>
  </si>
  <si>
    <t>a0pVT000009NjNRYA0</t>
  </si>
  <si>
    <t>a0rVT000012V8EUYA0</t>
  </si>
  <si>
    <t>Project is set to go live this week on 19th March. Client has passed all testing successfully.</t>
  </si>
  <si>
    <t>a0rVT00000WM3MkYAL</t>
  </si>
  <si>
    <t>a0pVT00000AsrG5YAJ</t>
  </si>
  <si>
    <t>FIS Management Services, LLC</t>
  </si>
  <si>
    <t>a0pVT000009gS2jYAE</t>
  </si>
  <si>
    <t>a0rVT000012VFcDYAW</t>
  </si>
  <si>
    <t>a0pVT000009FG0sYAG</t>
  </si>
  <si>
    <t>a0rVT000012VGZtYAO</t>
  </si>
  <si>
    <t>TPP on Staging tenant done
MS Teams TPP in progress
UAT preparations in progress
UAT on Staging - Spolight &amp; HM Hub completed
UAT on Staging - HMTA - not started</t>
  </si>
  <si>
    <t>a0pVT000009SQooYAG</t>
  </si>
  <si>
    <t>a0rVT000012VIYTYA4</t>
  </si>
  <si>
    <t>Flowserve US Company</t>
  </si>
  <si>
    <t>a0pVT000009SQopYAG</t>
  </si>
  <si>
    <t>Patrick King</t>
  </si>
  <si>
    <t>Weekly Project call attended with client.  Awaiting update from WD Legal team on AI/Security contract addendum request from Flowserve.  WD Legal have advised that they will provide an update w/c 03/08/2026</t>
  </si>
  <si>
    <t>a0rVT00000MtchWYAR</t>
  </si>
  <si>
    <t>Subsequent-Ad Hoc-Other-HiredScore Only - AIRC + DEI</t>
  </si>
  <si>
    <t>Formula One Management Limited</t>
  </si>
  <si>
    <t>a0pVT000009SQonYAG</t>
  </si>
  <si>
    <t>UKI RHT</t>
  </si>
  <si>
    <t>UKI RHT ME CB</t>
  </si>
  <si>
    <t>a0pVT000009HZCIYA4</t>
  </si>
  <si>
    <t>a0rVT000012VfjbYAC</t>
  </si>
  <si>
    <t>a0pVT000009jbPeYAI</t>
  </si>
  <si>
    <t>a0rVT000012ViUXYA0</t>
  </si>
  <si>
    <t>Scorecard request: 2664998</t>
  </si>
  <si>
    <t>a0pVT00000AGEvhYAH</t>
  </si>
  <si>
    <t>a0rVT000012Vm57YAC</t>
  </si>
  <si>
    <t>FORTRA</t>
  </si>
  <si>
    <t>a0pVT00000AGEviYAH</t>
  </si>
  <si>
    <t>Marom Breuer</t>
  </si>
  <si>
    <t>Week 10
Prod migration in progress.</t>
  </si>
  <si>
    <t>a0pVT00000AGEvjYAH</t>
  </si>
  <si>
    <t>a0rVT000017fI2rYAE</t>
  </si>
  <si>
    <t>Forvis Mazars, LLP</t>
  </si>
  <si>
    <t>a0pVT000009Hlv0YAC</t>
  </si>
  <si>
    <t>a0rVT000012apvCYAQ</t>
  </si>
  <si>
    <t>a0pVT000009HqkzYAC</t>
  </si>
  <si>
    <t>Scorecard request: 3327291</t>
  </si>
  <si>
    <t>HiredScore AI for Talent</t>
  </si>
  <si>
    <t>Fragomen, Del Rey, Bernsen &amp; Loewy, LLP</t>
  </si>
  <si>
    <t>a0pVT00000A4cFSYAZ</t>
  </si>
  <si>
    <t>a0pVT00000A4cFTYAZ</t>
  </si>
  <si>
    <t>Wendi Gibbs</t>
  </si>
  <si>
    <t>Functional design and workbook sessions continue. Technical components workstream has been re-initiated. The go live has been moved to early December.</t>
  </si>
  <si>
    <t>a0pVT00000A3dVMYAZ</t>
  </si>
  <si>
    <t>a0rVT000012bJJmYAM</t>
  </si>
  <si>
    <t>Subsequent- Phase X- Paradox</t>
  </si>
  <si>
    <t>FreedomRoads, LLC</t>
  </si>
  <si>
    <t>a0pVT00000BwnExYAJ</t>
  </si>
  <si>
    <t>a0pVT00000Bws89YAB</t>
  </si>
  <si>
    <t>a0rVT000012fCd3YAE</t>
  </si>
  <si>
    <t>Career Site
• Design: pending sign off 8/11
Apply &amp; Schedule
• Design: signed off
• Build: in progress</t>
  </si>
  <si>
    <t>a0rVT00000X7YYDYA3</t>
  </si>
  <si>
    <t>a0pVT000009VzWfYAK</t>
  </si>
  <si>
    <t>Subsequent-Ad Hoc-HiredScore Only</t>
  </si>
  <si>
    <t>Fresenius Medical Care North America</t>
  </si>
  <si>
    <t>a0pVT000009Q8MXYA0</t>
  </si>
  <si>
    <t>a0rVT000012pARtYAM</t>
  </si>
  <si>
    <t>a0pVT000009TsHbYAK</t>
  </si>
  <si>
    <t>a0rVT000012slRjYAI</t>
  </si>
  <si>
    <t>Scorecard request: 2800115</t>
  </si>
  <si>
    <t>a0rVT000012VFUJYA4</t>
  </si>
  <si>
    <t>a0pVT000009k71JYAQ</t>
  </si>
  <si>
    <t>Frost Bank</t>
  </si>
  <si>
    <t>a0rVT000012tfNRYAY</t>
  </si>
  <si>
    <t>a0pVT000009S2mTYAS</t>
  </si>
  <si>
    <t>a0rVT000012tgxpYAA</t>
  </si>
  <si>
    <t>a0pVT00000AIpntYAD</t>
  </si>
  <si>
    <t>GMT-0400 (Eastern Daylight Time)","overallStatus":"Complete","phase":"Your Way","stage":"Post Prod","health":"Green","completionDate":"Thu Feb 06 2025 00:00:00 GMT-0500 (Eastern Standard Time)","wdEngManager":"","damFullName":"Stephanie Denham","primingPartner":"0018000000nlqGOAAY","implPartner":"0018000000nlqGOAAY","partner":"Deloitte Consulting LLP (Deloitte US)","currentUpdate":"Workday and Adaptive are now live and DA Checkpoint is now completed.","isExecutiveWatch":false,"wellnessData":null},{"deploymentId":"a0rVT000011drbGYAQ","deploymentName":"Initial Deployment-Your Way-CCB, USP, LRN, MCNF, PLNF, PRA, TT, etc","accountId":"0014X00002aV9owQAC","accountName":"Commonwealth of Massachusetts, Office of the Comptroller","industry":"State &amp; Local Government","region":"US SLED","subRegion":"Local Government LE","subRegionAlt":"US State Gov East","billingState":"Massachusetts","billingCity":"Boston","deploymentStartDate":"Wed Apr 22 2026 00:00:00 GMT-0400 (Eastern Daylight Time)","mtpDate":"","firstMtpDate":"","overallStatus":"Active","phase":"Your Way","stage":"Plan","health":"Green","completionDate":"","wdEngManager":"","damFullName":"","primingPartner":"00130000008MSknAAG","implPartner":"00130000008MSknAAG","partner":"Accenture LLP","currentUpdate":"","isExecutiveWatch":false,"wellnessData":null},{"deploymentId":"a0r4X00000DOuWBQA1","deploymentName":"Subsequent Deployment - Planning First : Financial Planning","accountId":"0018000000nkQJCAA2","accountName":"Connecticut Health Insurance Exchange d/b/a Access Health CT","industry":"State &amp; Local Government","region":"US SLED","subRegion":"Local Government LE","subRegionAlt":"US State Gov East","billingState":"Connecticut","billingCity":"Middletown","deploymentStartDate":"Wed Apr 02 2014 00:00:00 GMT-0400 (Eastern Daylight Time)","mtpDate":"Thu Oct 02 2014 00:00:00 GMT-0400 (Eastern Daylight Time)","firstMtpDate":"Thu Oct 02 2014 00:00:00 GMT-0400 (Eastern Daylight Time)","overallStatus":"Complete","phase":"Planning First","stage":"Post Prod","health":"Green","completionDate":"","wdEngManager":"Ji Chong","damFullName":"","primingPartner":"0011B00002H5sfJQAR","implPartner":"0011B00002H5sfJQAR","partner":"NetSuite, Inc.","currentUpdate":"Historical deployment load as part of Adaptive Systems Integration project in FY22. CSM listed as EM due to lack of historical data.","isExecutiveWatch":false,"wellnessData":null},{"deploymentId":"a0rVT00000vIg6bYAC","deploymentName":"Initial Deployment-Launch-LDPFIN, LDPPLNF, LDPHCM, LDPHLP, LDPCE, etc.","accountId":"0014X00002ME76AQAT","accountName":"Cosumnes Community Services District","industry":"Special Districts","region":"US SLED","subRegion":"Local Government ME","subRegionAlt":"US Local Gov ME CB","billingState":"California","billingCity":"Elk Grove","deploymentStartDate":"Tue Feb 03 2026 00:00:00 GMT-0500 (Eastern Standard Time)","mtpDate":"Tue Jun 01 2027 00:00:00 GMT-0400 (Eastern Daylight Time)","firstMtpDate":"","overallStatus":"Active","phase":"Launch","stage":"Architect &amp; Configure","health":"Green","completionDate":"","wdEngManager":"","damFullName":"","primingPartner":"0018000000MWLslAAH","implPartner":"0018000000MWLslAAH","partner":"Collaborative Solutions, LLC","currentUpdate":"06/22 - Finalization of remaining CCS, updating foundational tenant","isExecutiveWatch":false,"wellnessData":null},{"deploymentId":"a0r4X00000BWO9lQAH","deploymentName":"Initial Deployment-Your Way: CHCM, TLO, CCB, USP, LRN, REC, TT","accountId":"0018000000kuvrOAAQ","accountName":"County of Anoka","industry":"State &amp; Local Government","region":"US SLED","subRegion":"Local Government ME","subRegionAlt":"US Local Gov ME CB","billingState":"Minnesota","billingCity":"Anoka","deploymentStartDate":"Mon Apr 19 2021 00:00:00 GMT-0400 (Eastern Daylight Time)","mtpDate":"Tue Sep 13 2022 00:00:00 GMT-0400 (Eastern Daylight Time)","firstMtpDate":"Tue Sep 13 2022 00:00:00 GMT-0400 (Eastern Daylight Time)","overallStatus":"Complete","phase":"Your Way","stage":"Deploy","health":"Green","completionDate":"Mon Dec 12 2022 00:00:00 GMT-0500 (Eastern Standard Time)","wdEngManager":"","damFullName":"","primingPartner":"0018000000MWLslAAH","implPartner":"0018000000MWLslAAH","partner":"Collaborative Solutions, LLC","currentUpdate":"Anoka went live on 9/26. Catch up transactions mostly completed. First payroll will be run on 10/12","isExecutiveWatch":false,"wellnessData":null},{"deploymentId":"a0rVT0000107EM0YAM","deploymentName":"Subsequent-Phase X: Expense, Integrations","accountId":"0018000000kuvrOAAQ","accountName":"County of Anoka","industry":"State &amp; Local Government","region":"US SLED","subRegion":"Local Government ME","subRegionAlt":"US Local Gov ME CB","billingState":"Minnesota","billingCity":"Anoka","deploymentStartDate":"Mon Mar 16 2026 00:00:00 GMT-0400 (Eastern Daylight Time)","mtpDate":"Thu Oct 01 2026 00:00:00 GMT-0400 (Eastern Daylight Time)","firstMtpDate":"","overallStatus":"Active","phase":"Your Way","stage":"Architect &amp; Configure","health":"Green","completionDate":"","wdEngManager":"Lauren Vannini","damFullName":"","primingPartner":"0018000000hIF6bAAG","implPartner":"0018000000hIF6bAAG","partner":"Workday Professional Services","currentUpdate":"6/12/2026 - unit testing kicked off early &amp; CCS scheduled. Positive csat from customer. Likely to drop Prism scope from phase 3, but reviewing link workaround.","isExecutiveWatch":false,"wellnessData":null},{"deploymentId":"a0rVT00000aIllMYAS","deploymentName":"Subsequent-PhaseX : Fin Svcs","accountId":"0018000000kuvrOAAQ","accountName":"County of Anoka","industry":"State &amp; Local Government","region":"US SLED","subRegion":"Local Government ME","subRegionAlt":"US Local Gov ME CB","billingState":"Minnesota","billingCity":"Anoka","deploymentStartDate":"Wed May 28 2025 00:00:00 GMT-0400 (Eastern Daylight Time)","mtpDate":"Thu Jan 01 2026 00:00:00 GMT-0500 (Eastern Standard Time)","firstMtpDate":"Thu Jan 01 2026 00:00:00 GMT-0500 (Eastern Standard Time)","overallStatus":"Complete","phase":"Launch","stage":"Post Prod","health":"Green","completionDate":"Fri Mar 27 2026 00:00:00 GMT-0400 (Eastern Daylight Time)","wdEngManager":"","damFullName":"","primingPartner":"0018000000hIF6bAAG","implPartner":"0018000000hIF6bAAG","partner":"Workday Professional Services","currentUpdate":"3/31/2026 - Post production support sign-off received 3/27/2026.","isExecutiveWatch":false,"wellnessData":null},{"deploymentId":"a0r4X00000Dde0IQAR","deploymentName":"Initial Deployment-Your Way: CHCM, TLO, CCB, USP, LRN, REC, FIN, etc.","accountId":"0018000000WtyyyAAB","accountName":"County of Bell (Precision Task Group, Inc.)","industry":"State &amp; Local Government","region":"US SLED","subRegion":"Local Government ME","subRegionAlt":"US Local Gov ME CB","billingState":"Texas","billingCity":"Belton","deploymentStartDate":"Mon Nov 07 2022 00:00:00 GMT-0500 (Eastern Standard Time)","mtpDate":"Mon Dec 18 2023 00:00:00 GMT-0500 (Eastern Standard Time)","firstMtpDate":"Mon Dec 18 2023 00:00:00 GMT-0500 (Eastern Standard Time)","overallStatus":"Complete","phase":"Your Way","stage":"Deploy","health":"Green","completionDate":"Sun Mar 17 2024 00:00:00 GMT-0400 (Eastern Daylight Time)","wdEngManager":"","damFullName":"","primingPartner":"0018000000MWLslAAH","implPartner":"0018000000MWLslAAH","partner":"Collaborative Solutions, LLC","currentUpdate":"Bell county is Live (HCM &amp; FIN). Successfully completed 2 payrolls and Grants go-live moved to 4/1.","isExecutiveWatch":false,"wellnessData":null},{"deploymentId":"a0r4X00000DQ8gGQAT","deploymentName":"Initial Deployment-Your Way: CHCM, TLO, HLP, JRNY, CCB, USP, LRN, REC, PLN, etc.","accountId":"0018000000kuvreAAA","accountName":"County of Bernalillo","industry":"State &amp; Local Government","region":"US SLED","subRegion":"Local Government ME","subRegionAlt":"US Local Gov ME CB","billingState":"New Mexico","billingCity":"Albuquerque","deploymentStartDate":"Tue Feb 08 2022 00:00:00 GMT-0500 (Eastern Standard Time)","mtpDate":"Thu May 16 2024 00:00:00 GMT-0400 (Eastern Daylight Time)","firstMtpDate":"Thu May 16 2024 00:00:00 GMT-0400 (Eastern Daylight Time)","overallStatus":"Complete","phase":"Your Way","stage":"Post Prod","health":"Green","completionDate":"Mon Jul 15 2024 00:00:00 GMT-0400 (Eastern Daylight Time)","wdEngManager":"","damFullName":"Eric Frame","primingPartner":"00130000008MSknAAG","implPartner":"00130000008MSknAAG","partner":"Accenture LLP","currentUpdate":"7/15/24 -  Hyper care is complete\n6/4/24 - MRP done on time on 5/16 -- TCU completed in Prod and site opened to all users on 5/28 along with the launch of Open Enrollment. -- First payroll processing occurring this week for a 6/7 check date.","isExecutiveWatch":false,"wellnessData":null},{"deploymentId":"a0r4X00000CrUDJQA3","deploymentName":"Subsequent- Phase X- Adaptive Analytics, Prism Analytics, and People Analytics","accountId":"0018000000kuvreAAA","accountName":"County of Bernalillo","industry":"State &amp; Local Government","region":"US SLED","subRegion":"Local Government ME","subRegionAlt":"US Local Gov ME CB","billingState":"New Mexico","billingCity":"Albuquerque","deploymentStartDate":"Mon Jul 29 2024 00:00:00 GMT-0400 (Eastern Daylight Time)","mtpDate":"Fri Nov 15 2024 00:00:00 GMT-0500 (Eastern Standard Time)","firstMtpDate":"Fri Nov 15 2024 00:00:00 GMT-0500 (Eastern Standard Time)","overallStatus":"Active","phase":"Your Way","stage":"Post Prod","health":"Green","completionDate":"","wdEngManager":"","damFullName":"","primingPartner":"00130000008MSknAAG","implPartner":"00130000008MSknAAG","partner":"Accenture LLP","currentUpdate":"6.22.26-  We continue to work the existing approved solution for efficient based driver for more detailed reporting experience.   Signoff complete for  5 reports.  Final KT happening in June. Request to extend KT into July and add a new report","isExecutiveWatch":false,"wellnessData":null},{"deploymentId":"a0rVT00000Xk0oPYAR","deploymentName":"Subsequent-Phase X-Adaptive Planning","accountId":"0018000000kuvreAAA","accountName":"County of Bernalillo","industry":"State &amp; Local Government","region":"US SLED","subRegion":"Local Government ME","subRegionAlt":"US Local Gov ME CB","billingState":"New Mexico","billingCity":"Albuquerque","deploymentStartDate":"Mon Jul 07 2025 00:00:00 GMT-0400 (Eastern Daylight Time)","mtpDate":"Mon Dec 15 2025 00:00:00 GMT-0500 (Eastern Standard Time)","firstMtpDate":"","overallStatus":"Complete","phase":"Your Way","stage":"Deploy","health":"Green","completionDate":"Sun Feb 15 2026 00:00:00 GMT-0500 (Eastern Standard Time)","wdEngManager":"","damFullName":"","primingPartner":"0013000000KdrrVAAR","implPartner":"0013000000KdrrVAAR","partner":"Strada U.S. Professional Services, LLC","currentUpdate":"1/7/26 - Complete and in go-live support.  MTP is planned for 1/9/26.  After MTP Strada will conduct the integration training and additional go-live support and the project will be complete.","isExecutiveWatch":false,"wellnessData":null},{"deploymentId":"a0r4X00000CrTOVQA3","deploymentName":"Initial Deployment-Your Way-CHCM, TLO, CCB, USP, LRN, MCNF, REC, etc","accountId":"0018000000Wsn8ZAAR","accountName":"County of Bexar (Precision Task Group, Inc.)","industry":"State &amp; Local Government","region":"US SLED","subRegion":"Local Government LE","subRegionAlt":"US Local Gov LE CB","billingState":"Texas","billingCity":"San Antonio","deploymentStartDate":"Mon Apr 01 2024 00:00:00 GMT-0400 (Eastern Daylight Time)","mtpDate":"Mon Dec 15 2025 00:00:00 GMT-0500 (Eastern Standard Time)","firstMtpDate":"Mon Dec 15 2025 00:00:00 GMT-0500 (Eastern Standard Time)","overallStatus":"Complete","phase":"Your Way","stage":"Post Prod","health":"Green","completionDate":"Tue Mar 31 2026 00:00:00 GMT-0400 (Eastern Daylight Time)","wdEngManager":"","damFullName":"Seti Matua","primingPartner":"00130000008MSknAAG","implPartner":"00130000008MSknAAG","partner":"Accenture LLP","currentUpdate":"3/31 -   Bexar County has processed 6 payrolls and the Accenture hypercare period ends today.  Bexar County has Accenture AMS support to assist moving forward.  Project will be closed in the implementation status.","isExecutiveWatch":false,"wellnessData":null},{"deploymentId":"a0r80000005brHwAAI","deploymentName":"Initial Deployment-LE: HCM, USP, TT, REC","accountId":"0018000000kuvssAAA","accountName":"County of Buncombe","industry":"State &amp; Local Government","region":"US SLED","subRegion":"Local Government ME","subRegionAlt":"US Local Gov ME CB","billingState":"North Carolina","billingCity":"Asheville","deploymentStartDate":"Mon Mar 06 2017 00:00:00 GMT-0500 (Eastern Standard Time)","mtpDate":"Mon Mar 26 2018 00:00:00 GMT-0400 (Eastern Daylight Time)","firstMtpDate":"Mon Mar 26 2018 00:00:00 GMT-0400 (Eastern Daylight Time)","overallStatus":"Complete","phase":"Your Way","stage":"Post Prod","health":"Green","completionDate":"Mon May 07 2018 00:00:00 GMT-0400 (Eastern Daylight Time)","wdEngManager":"","damFullName":"","primingPartner":"0018000000MWLslAAH","implPartner":"0018000000MWLslAAH","partner":"Collaborative Solutions, LLC","currentUpdate":"5/7 Last week of Project; Project Close out activities","isExecutiveWatch":false,"wellnessData":null},{"deploymentId":"a0r80000005brI1AAI","deploymentName":"Initial Deployment-LE:FIN, PRJT, EXP, PRO, GM","accountId":"0018000000kuvssAAA","accountName":"County of Buncombe","industry":"State &amp; Local Government","region":"US SLED","subRegion":"Local Government ME","subRegionAlt":"US Local Gov ME CB","billingState":"North Carolina","billingCity":"Asheville","deploymentStartDate":"Mon Mar 06 2017 00:00:00 GMT-0500 (Eastern Standard Time)","mtpDate":"Mon Mar 26 2018 00:00:00 GMT-0400 (Eastern Daylight Time)","firstMtpDate":"Mon Mar 26 2018 00:00:00 GMT-0400 (Eastern Daylight Time)","overallStatus":"Complete","phase":"Your Way","stage":"Post Prod","health":"Green","completionDate":"Mon May 07 2018 00:00:00 GMT-0400 (Eastern Daylight Time)","wdEngManager":"","damFullName":"","primingPartner":"0018000000MWLslAAH","implPartner":"0018000000MWLslAAH","partner":"Collaborative Solutions, LLC","currentUpdate":"5/7 Last week of Project; Project Close out activities","isExecutiveWatch":false,"wellnessData":null},{"deploymentId":"a0r4X00000DNHXPQA5","deploymentName":"Subsequent-Phase X: Adaptive Planning","accountId":"0018000000kuvssAAA","accountName":"County of Buncombe","industry":"State &amp; Local Government","region":"US SLED","subRegion":"Local Government ME","subRegionAlt":"US Local Gov ME CB","billingState":"North Carolina","billingCity":"Asheville","deploymentStartDate":"Tue Jul 06 2021 00:00:00 GMT-0400 (Eastern Daylight Time)","mtpDate":"Mon Dec 13 2021 00:00:00 GMT-0500 (Eastern Standard Time)","firstMtpDate":"Mon Dec 13 2021 00:00:00 GMT-0500 (Eastern Standard Time)","overallStatus":"Complete","phase":"Phase X - Planning","stage":"Post Prod","health":"Green","completionDate":"Wed Jan 26 2022 00:00:00 GMT-0500 (Eastern Standard Time)","wdEngManager":"","damFullName":"","primingPartner":"00130000008MSknAAG","implPartner":"00130000008MSknAAG","partner":"Accenture LLP","currentUpdate":"Customer went live on 12/13.\r\nCurrently no issues.","isExecutiveWatch":false,"wellnessData":null},{"deploymentId":"a0r4X00000Cc8i6QAB","deploymentName":"Initial Deployment-Your Way: CHCM, TLO, USP, FIN, GM, PLNF, PRA, PRJT, PRO.","accountId":"0018000000kuvpYAAQ","accountName":"County of Butte","industry":"State &amp; Local Government","region":"US SLED","subRegion":"Local Government ME","subRegionAlt":"US Local Gov ME CB","billingState":"California","billingCity":"Oroville","deploymentStartDate":"Mon Mar 01 2021 00:00:00 GMT-0500 (Eastern Standard Time)","mtpDate":"Thu Dec 16 2021 00:00:00 GMT-0500 (Eastern Standard Time)","firstMtpDate":"Thu Dec 16 2021 00:00:00 GMT-0500 (Eastern Standard Time)","overallStatus":"Complete","phase":"Your Way","stage":"Deploy","health":"Green","completionDate":"Wed Mar 16 2022 00:00:00 GMT-0400 (Eastern Daylight Time)","wdEngManager":"","damFullName":"Dan Bork","primingPartner":"0013000000KdrrVAAR","implPartner":"0013000000KdrrVAAR","partner":"Strada U.S. Professional Services, LLC","currentUpdate":"We are officially live!!!  :)  Move to production activities completed successfully this morning.  Production and support tenant information have been shared with the client ops team this morning.","isExecutiveWatch":false,"wellnessData":null},{"deploymentId":"a0r4X00000DNgfZQAT","deploymentName":"Subsequent-Phase X-Your Way: AI Planning","accountId":"0018000000kuvpYAAQ","accountName":"County of Butte","industry":"State &amp; Local Government","region":"US SLED","subRegion":"Local Government ME","subRegionAlt":"US Local Gov ME CB","billingState":"California","billingCity":"Oroville","deploymentStartDate":"Wed Jul 28 2021 00:00:00 GMT-0400 (Eastern Daylight Time)","mtpDate":"Tue Dec 28 2021 00:00:00 GMT-0500 (Eastern Standard Time)","firstMtpDate":"Tue Dec 28 2021 00:00:00 GMT-0500 (Eastern Standard Time)","overallStatus":"Complete","phase":"Phase X - Planning","stage":"Post Prod","health":"Green","completionDate":"Tue Mar 08 2022 00:00:00 GMT-0500 (Eastern Standard Time)","wdEngManager":"","damFullName":"","primingPartner":"0013000000KdrrVAAR","implPartner":"0013000000KdrrVAAR","partner":"Strada U.S. Professional Services, LLC","currentUpdate":"Our 'Move to Production date' is confirmed as 12/28.  Go-live is planned for 1/17/2021 (in prep for the Budget go live).  We did get sign-off on the Workday Authorization letter.","isExecutiveWatch":false,"wellnessData":null},{"deploymentId":"a0r4X00000DQbMVQA1","deploymentName":"Subsequent-Phase X:Inventory,Benefits,Prism,Talent","accountId":"0018000000kuvpYAAQ","accountName":"County of Butte","industry":"State &amp; Local Government","region":"US SLED","subRegion":"Local Government ME","subRegionAlt":"US Local Gov ME CB","billingState":"California","billingCity":"Oroville","deploymentStartDate":"Mon Feb 14 2022 00:00:00 GMT-0500 (Eastern Standard Time)","mtpDate":"Tue Sep 06 2022 00:00:00 GMT-0400 (Eastern Daylight Time)","firstMtpDate":"Tue Sep 06 2022 00:00:00 GMT-0400 (Eastern Daylight Time)","overallStatus":"Complete","phase":"Phase X - Your Way","stage":"Deploy","health":"Green","completionDate":"Sun Jul 30 2023 00:00:00 GMT-0400 (Eastern Daylight Time)","wdEngManager":"","damFullName":"","primingPartner":"0013000000KdrrVAAR","implPartner":"0013000000KdrrVAAR","partner":"Strada U.S. Professional Services, LLC","currentUpdate":"We are extending stabilization through 6/30\r\n- CalPERS integration live.  First use on 6/1.\r\n- FINS stabilization punch list in progress.","isExecutiveWatch":false,"wellnessData":null},{"deploymentId":"a0r4X00000Ef1IWQAZ","deploymentName":"Initial Deployment-Your Way: CHCM, TLO, HLP, CCB, USP, LRN, REC, FIN, etc.","accountId":"0018000000kuvuKAAQ","accountName":"County of Chesterfield","industry":"State &amp; Local Government","region":"US SLED","subRegion":"Local Government LE","subRegionAlt":"US Local Gov LE CB","billingState":"Virginia","billingCity":"Chesterfield","deploymentStartDate":"Mon Dec 04 2023 00:00:00 GMT-0500 (Eastern Standard Time)","mtpDate":"Sat Sep 20 2025 00:00:00 GMT-0400 (Eastern Daylight Time)","firstMtpDate":"Sat Sep 20 2025 00:00:00 GMT-0400 (Eastern Daylight Time)","overallStatus":"Complete","phase":"Your Way","stage":"Post Prod","health":"Yellow","completionDate":"Thu Jan 01 2026 00:00:00 GMT-0500 (Eastern Standard Time)","wdEngManager":"","damFullName":"","primingPartner":"00130000008MSknAAG","implPartner":"00130000008MSknAAG","partner":"Accenture LLP","currentUpdate":"1/26/26- Payroll Cycle 2 for County WIP &amp; wrapping up month 1 of Hypercare","isExecutiveWatch":true,"wellnessData":{"cxLeaderName":"Andrew Hamilton","executiveSummary":"Trend: Neutral\n\nOverview\nThe overall project trend remains Neutral. Current efforts are focused on stabilizing operations. While core functions like payroll remain successful, attention is required for data remediation and triaging issues.\n\nDepartmental Updates\nFinance (FIN):\n\nThe team is currently prioritized on the year-end close and the budget cycle.\n\nTo ensure efficiency during this peak period, the team is leveraging Workday Success Plans (WSP) for feature accelerator coaching.\n\nHuman Capital Management (HCM):\n\nOperational Stability: Following Accenture’s roll-off on March 31, both the County and School systems continue to process payroll successfully.\n\nData Integrity: Targeted data clean-up efforts remain ongoing at the School level to ensure long-term system accuracy.\n\nSupport &amp; Triage: Issue resolution remains a primary concern, leveraging WSP where appropriate.\n\nClosing this plan as payroll concerns have stabilized and focusing on long term operational stability."}},{"deploymentId":"a0r4X00000Cc1a5QAB","deploymentName":"Initial Deployment-Your Way: FIN, GM, PRA, PRJT, EXP","accountId":"0018000000bKFTiAAO","accountName":"County of Contra Costa","industry":"State &amp; Local Government","region":"US SLED","subRegion":"Local Government LE","subRegionAlt":"US Local Gov LE CB","billingState":"California","billingCity":"Martinez","deploymentStartDate":"Thu Apr 01 2021 00:00:00 GMT-0400 (Eastern Daylight Time)","mtpDate":"Sun Mar 26 2023 00:00:00 GMT-0400 (Eastern Daylight Time)","firstMtpDate":"Sun Mar 26 2023 00:00:00 GMT-0400 (Eastern Daylight Time)","overallStatus":"Complete","phase":"Your Way","stage":"Post Prod","health":"Green","completionDate":"Sun Mar 26 2023 00:00:00 GMT-0400 (Eastern Daylight Time)","wdEngManager":"","damFullName":"","primingPartner":"00130000008MSknAAG","implPartner":"00130000008MSknAAG","partner":"Accenture LLP","currentUpdate":"4/27- CCC has been live in Workday approx 4 weeks.  No new major issues since the last update.  CCC continues to be able to support the Workday product with little support from Accenture.","isExecutiveWatch":false,"wellnessData":null},{"deploymentId":"a0rVT00000Njv1xYAB","deploymentName":"Initial Deployment-Launch-LDPHCM, LDPHLP, LDPCCB, LDPBEN, LDPUSP, LDPREC, etc","accountId":"0018000000kuvshAAA","accountName":"County of Davidson","industry":"State &amp; Local Government","region":"US SLED","subRegion":"Local Government ME","subRegionAlt":"US Local Gov ME CB","billingState":"North Carolina","billingCity":"Lexington","deploymentStartDate":"Wed Jan 08 2025 00:00:00 GMT-0500 (Eastern Standard Time)","mtpDate":"Sun Dec 14 2025 00:00:00 GMT-0500 (Eastern Standard Time)","firstMtpDate":"Sun Dec 14 2025 00:00:00 GMT-0500 (Eastern Standard Time)","overallStatus":"Complete","phase":"Launch","stage":"Post Prod","health":"Green","completionDate":"Fri Jan 30 2026 00:00:00 GMT-0500 (Eastern Standard Time)","wdEngManager":"","damFullName":"","primingPartner":"0018000000hIF6bAAG","implPartner":"0018000000hIF6bAAG","partner":"Workday Professional Services","currentUpdate":"1/7/2026 - Post production in process.  Keeping a small group of people to assist with second payroll processing.","isExecutiveWatch":false,"wellnessData":null},{"deploymentId":"a0r4X00000CrWKHQA3","deploymentName":"Initial Deployment-Your Way-CHCM, TLO, HLP, CCB, USP, LRN, etc.","accountId":"0018000000kuvtSAAQ","accountName":"County of Delaware, PA","industry":"State &amp; Local Government","region":"US SLED","subRegion":"Local Government LE","subRegionAlt":"US Local Gov LE CB","billingState":"Pennsylvania","billingCity":"Media","deploymentStartDate":"Mon Aug 12 2024 00:00:00 GMT-0400 (Eastern Daylight Time)","mtpDate":"Sun Sep 06 2026 00:00:00 GMT-0400 (Eastern Daylight Time)","firstMtpDate":"","overallStatus":"Active","phase":"Your Way","stage":"Architect &amp; Configure","health":"Red","completionDate":"","wdEngManager":"","damFullName":"Curtis Carter","primingPartner":"0013000000KdrrVAAR","implPartner":"0013000000KdrrVAAR","partner":"Strada U.S. Professional Services, LLC","currentUpdate":"6/19/26: CUT Milestone Approval still outstanding. CO #2 for Scope &amp; Timeline not yet approved, and has been escalated for several weeks to Leadership levels. E2E Build continues to be delayed.","isExecutiveWatch":false,"wellnessData":null},{"deploymentId":"a0r4X00000CrSowQAF","deploymentName":"Initial Deployment-Your Way-LDPHCM, LDPFIN, LDPTLO, LDPHLP, LDPCCB, LDPUSP, etc","accountId":"0018000000Wtz1WAAR","accountName":"County of Denton","industry":"State &amp; Local Government","region":"US SLED","subRegion":"Local Government ME","subRegionAlt":"US Local Gov ME CB","billingState":"Texas","billingCity":"Denton","deploymentStartDate":"Mon Apr 08 2024 00:00:00 GMT-0400 (Eastern Daylight Time)","mtpDate":"Mon Jun 02 2025 00:00:00 GMT-0400 (Eastern Daylight Time)","firstMtpDate":"Mon Jun 02 2025 00:00:00 GMT-0400 (Eastern Daylight Time)","overallStatus":"Complete","phase":"Your Way","stage":"Post Prod","health":"Green","completionDate":"Fri Aug 22 2025 00:00:00 GMT-0400 (Eastern Daylight Time)","wdEngManager":"","damFullName":"Alexis Celani","primingPartner":"0018000000MWLslAAH","implPartner":"0018000000MWLslAAH","partner":"Collaborative Solutions, LLC","currentUpdate":"NJ 8/27 - Post production support completed on 8/22","isExecutiveWatch":false,"wellnessData":null},{"deploymentId":"a0rVT000015XPgzYAG","deploymentName":"Subsequent-Phase X: Talent, Learning, Recruiting, and Workforce Planning","accountId":"0018000000Wtz1WAAR","accountName":"County of Denton","industry":"State &amp; Local Government","region":"US SLED","subRegion":"Local Government ME","subRegionAlt":"US Local Gov ME CB","billingState":"Texas","billingCity":"Denton","deploymentStartDate":"Mon Jun 01 2026 00:00:00 GMT-0400 (Eastern Daylight Time)","mtpDate":"Tue Dec 01 2026 00:00:00 GMT-0500 (Eastern Standard Time)","firstMtpDate":"","overallStatus":"Active","phase":"Your Way","stage":"Plan","health":"Green","completionDate":"","wdEngManager":"","damFullName":"","primingPartner":"0018000000MWLslAAH","implPartner":"0018000000MWLslAAH","partner":"Collaborative Solutions, LLC","currentUpdate":"6/23 - Discovery calls in process.","isExecutiveWatch":false,"wellnessData":null},{"deploymentId":"a0r4X00000E13tHQAR","deploymentName":"Initial Deployment-Your Way: CHCM, TLO, HLP, JRNY, CCB, USP, FIN, etc.","accountId":"0018000000tT1CFAA0","accountName":"County of Doña Ana","industry":"State &amp; Local Government","region":"US SLED","subRegion":"Local Government ME","subRegionAlt":"US Local Gov ME CB","billingState":"New Mexico","billingCity":"Las Cruces","deploymentStartDate":"Mon Mar 27 2023 00:00:00 GMT-0400 (Eastern Daylight Time)","mtpDate":"Mon Jun 10 2024 00:00:00 GMT-0400 (Eastern Daylight Time)","firstMtpDate":"Mon Jun 10 2024 00:00:00 GMT-0400 (Eastern Daylight Time)","overallStatus":"Complete","phase":"Your Way","stage":"Post Prod","health":"Green","completionDate":"Fri Oct 04 2024 00:00:00 GMT-0400 (Eastern Daylight Time)","wdEngManager":"","damFullName":"Ally Allen","primingPartner":"0018000000MWLslAAH","implPartner":"0018000000MWLslAAH","partner":"Collaborative Solutions, LLC","currentUpdate":"Week ending October 3, 2024\nPost Production Support provided for the client.","isExecutiveWatch":false,"wellnessData":null},{"deploymentId":"a0rVT00000YI061YAD","deploymentName":"Subsequent - Phase X: Scheduling","accountId":"0018000000tT1CFAA0","accountName":"County of Doña Ana","industry":"State &amp; Local Government","region":"US SLED","subRegion":"Local Government ME","subRegionAlt":"US Local Gov ME CB","billingState":"New Mexico","billingCity":"Las Cruces","deploymentStartDate":"Wed May 07 2025 00:00:00 GMT-0400 (Eastern Daylight Time)","mtpDate":"Thu Dec 18 2025 00:00:00 GMT-0500 (Eastern Standard Time)","firstMtpDate":"Thu Dec 18 2025 00:00:00 GMT-0500 (Eastern Standard Time)","overallStatus":"Complete","phase":"Your Way","stage":"Deploy","health":"Green","completionDate":"Thu Dec 18 2025 00:00:00 GMT-0500 (Eastern Standard Time)","wdEngManager":"","damFullName":"","primingPartner":"0018000001IzqpSAAR","implPartner":"0018000001IzqpSAAR","partner":"Avaap USA, LLC","currentUpdate":"11/20 - Scheduling Phase 2 complete. Waiting for first use in Dec before closing project.","isExecutiveWatch":false,"wellnessData":null},{"deploymentId":"a0rVT00000NMgA0YAL","deploymentName":"Initial Deployment-Launch-LDPCCLRN, LDPREC, LDPCE, LDPMSG, LDPHCM, etc","accountId":"0018000000Wtz3ZAAR","accountName":"County of Forsyth (Precision Task Group, Inc.)","industry":"State &amp; Local Government","region":"US SLED","subRegion":"Local Government ME","subRegionAlt":"US Local Gov ME CB","billingState":"Georgia","billingCity":"Cumming","deploymentStartDate":"Mon Jun 02 2025 00:00:00 GMT-0400 (Eastern Daylight Time)","mtpDate":"Tue Mar 17 2026 00:00:00 GMT-0400 (Eastern Daylight Time)","firstMtpDate":"Tue Mar 17 2026 00:00:00 GMT-0400 (Eastern Daylight Time)","overallStatus":"Active","phase":"Launch","stage":"Deploy","health":"Green","completionDate":"","wdEngManager":"Michael Biagini","damFullName":"","primingPartner":"0018000000hIF6bAAG","implPartner":"0018000000hIF6bAAG","partner":"Workday Professional Services","currentUpdate":"Phase 2 planning stage continues to progress as expected with FAS sessions now scheduled for all 3 areas in scope.  Requested a follow up meeting with the county team to discuss the addition of performance related features as part of Phase 2.","isExecutiveWatch":false,"wellnessData":null},{"deploymentId":"a0r4X00000ESKtcQAH","deploymentName":"Initial Deployment-Your Way: CHCM, TLO, CCTPP, LRN, REC, etc.","accountId":"0018000000kuvtyAAA","accountName":"County of Fort Bend (Precision Task Group, Inc.)","industry":"State &amp; Local Government","region":"US SLED","subRegion":"Local Government ME","subRegionAlt":"US Local Gov ME CB","billingState":"Texas","billingCity":"Richmond","deploymentStartDate":"Thu Aug 03 2023 00:00:00 GMT-0400 (Eastern Daylight Time)","mtpDate":"Mon Aug 19 2024 00:00:00 GMT-0400 (Eastern Daylight Time)","firstMtpDate":"Mon Aug 19 2024 00:00:00 GMT-0400 (Eastern Daylight Time)","overallStatus":"Complete","phase":"Launch","stage":"Post Prod","health":"Green","completionDate":"Fri Oct 04 2024 00:00:00 GMT-0400 (Eastern Daylight Time)","wdEngManager":"","damFullName":"","primingPartner":"0018000000hIF6bAAG","implPartner":"0018000000hIF6bAAG","partner":"Workday Professional Services","currentUpdate":"Post Prod in progress - customer went live on 8/23/24.  WD continues post prod with CO at cost through 10/4/24.","isExecutiveWatch":false,"wellnessData":null},{"deploymentId":"a0r4X00000Ef3rDQAR","deploymentName":"Subsequent-Phase X- Learning and Talent Optimization","accountId":"0018000000kuvtyAAA","accountName":"County of Fort Bend (Precision Task Group, Inc.)","industry":"State &amp; Local Government","region":"US SLED","subRegion":"Local Government ME","subRegionAlt":"US Local Gov ME CB","billingState":"Texas","billingCity":"Richmond","deploymentStartDate":"Mon Oct 21 2024 00:00:00 GMT-0400 (Eastern Daylight Time)","mtpDate":"Mon Jul 14 2025 00:00:00 GMT-0400 (Eastern Daylight Time)","firstMtpDate":"","overallStatus":"Complete","phase":"Your Way","stage":"Deploy","health":"Green","completionDate":"Sat Aug 30 2025 00:00:00 GMT-0400 (Eastern Daylight Time)","wdEngManager":"Auvniet Bajwa","damFullName":"","primingPartner":"0018000000hIF6bAAG","implPartner":"0018000000hIF6bAAG","partner":"Workday Professional Services","currentUpdate":"MTP Planning is underway.","isExecutiveWatch":false,"wellnessData":null},{"deploymentId":"a0r4X00000Ef3r8QAB","deploymentName":"Subsequent-Phase X-Workforce planning and People Analytics","accountId":"0018000000kuvtyAAA","accountName":"County of Fort Bend (Precision Task Group, Inc.)","industry":"State &amp; Local Government","region":"US SLED","subRegion":"Local Government ME","subRegionAlt":"US Local Gov ME CB","billingState":"Texas","billingCity":"Richmond","deploymentStartDate":"Sat Nov 01 2025 00:00:00 GMT-0400 (Eastern Daylight Time)","mtpDate":"Mon Jan 04 2027 00:00:00 GMT-0500 (Eastern Standard Time)","firstMtpDate":"","overallStatus":"Active","phase":"Your Way","stage":"On-Boarding","health":"Green","completionDate":"","wdEngManager":"Melissa Hearne","damFullName":"","primingPartner":"0018000000hIF6bAAG","implPartner":"0018000000hIF6bAAG","partner":"Workday Professional Services","currentUpdate":"5/18, CO scoping in progress\n5/6 still scoping for CO\n5/1/26 Working on new CO\n4/22/26 New CO still in process\n4/7/26 Outlining a new CO with customer to start 6/1/26\n2/24/26 CO still pending customer confirmation of scope.","isExecutiveWatch":false,"wellnessData":null},{"deploymentId":"a0r4X00000E0R96QAF","deploymentName":"Initial Deployment-Your Way: CHCM, TLO, CCB, USP, LRN, REC, FIN","accountId":"0018000000Wtz1bAAB","accountName":"County of Galveston (Precision Task Group, Inc.)","industry":"State &amp; Local Government","region":"US SLED","subRegion":"Local Government ME","subRegionAlt":"US Local Gov ME CB","billingState":"Texas","billingCity":"Galveston","deploymentStartDate":"Wed Apr 26 2023 00:00:00 GMT-0400 (Eastern Daylight Time)","mtpDate":"Mon Dec 16 2024 00:00:00 GMT-0500 (Eastern Standard Time)","firstMtpDate":"Mon Dec 16 2024 00:00:00 GMT-0500 (Eastern Standard Time)","overallStatus":"Complete","phase":"Your Way","stage":"Deploy","health":"Green","completionDate":"Fri May 30 2025 00:00:00 GMT-0400 (Eastern Daylight Time)","wdEngManager":"","damFullName":"","primingPartner":"0018000000MWLslAAH","implPartner":"0018000000MWLslAAH","partner":"Collaborative Solutions, LLC","currentUpdate":"Prism ends end of April and Adaptive ends end of May. Team is preparing for Adaptive Go-Live.","isExecutiveWatch":false,"wellnessData":null},{"deploymentId":"a0r4X00000CrUp3QAF","deploymentName":"Initial Deployment-Your Way-CHCM, TLO, JRNY, CCB, CCTPP, REC , etc","accountId":"0018000000tT0yvAAC","accountName":"County of Greene","industry":"State &amp; Local Government","region":"US SLED","subRegion":"Local Government ME","subRegionAlt":"US Local Gov ME CB","billingState":"Ohio","billingCity":"Xenia","deploymentStartDate":"Thu Jun 20 2024 00:00:00 GMT-0400 (Eastern Daylight Time)","mtpDate":"Sun Feb 16 2025 00:00:00 GMT-0500 (Eastern Standard Time)","firstMtpDate":"Sun Feb 16 2025 00:00:00 GMT-0500 (Eastern Standard Time)","overallStatus":"Complete","phase":"Launch","stage":"Post Prod","health":"Green","completionDate":"Wed May 14 2025 00:00:00 GMT-0400 (Eastern Daylight Time)","wdEngManager":"","damFullName":"Brandi Cahill","primingPartner":"0018000000MWLslAAH","implPartner":"0018000000MWLslAAH","partner":"Collaborative Solutions, LLC","currentUpdate":"5/23/25-   Post Production - - support ended 5/14 so closing project","isExecutiveWatch":false,"wellnessData":null},{"deploymentId":"a0r4X00000ETVx4QAH","deploymentName":"Initial Deployment-Launch-LDPHCM, LDPCCB, LDPBEN, LDPUSP, LDPLRN, etc.","accountId":"0018000001WMHklAAH","accountName":"County of Gregg","industry":"State &amp; Local Government","region":"US SLED","subRegion":"Local Government ME","subRegionAlt":"US Local Gov ME CB","billingState":"Texas","billingCity":"Longview","deploymentStartDate":"Tue Oct 01 2024 00:00:00 GMT-0400 (Eastern Daylight Time)","mtpDate":"Thu Dec 11 2025 00:00:00 GMT-0500 (Eastern Standard Time)","firstMtpDate":"","overallStatus":"Complete","phase":"Launch","stage":"Post Prod","health":"Green","completionDate":"Fri Feb 27 2026 00:00:00 GMT-0500 (Eastern Standard Time)","wdEngManager":"","damFullName":"","primingPartner":"0018000000vTnDgAAK","implPartner":"0018000000vTnDgAAK","partner":"Precision Task Group Inc.","currentUpdate":"3/2/26 - Phase 2 wrapping up. Making the request for an AMS scorecard.","isExecutiveWatch":false,"wellnessData":null},{"deploymentId":"a0r4X00000DZyFcQAL","deploymentName":"Initial Deployment-Your Way: CHCM, TLO, CCB, USP, LRN, REC, TT, FIN, etc.","accountId":"0018000000Wtz49AAB","accountName":"County of Hamilton (Indiana)","industry":"State &amp; Local Government","region":"US SLED","subRegion":"Local Government ME","subRegionAlt":"US Local Gov ME CB","billingState":"Indiana","billingCity":"Noblesville","deploymentStartDate":"Wed Mar 30 2022 00:00:00 GMT-0400 (Eastern Daylight Time)","mtpDate":"Sun Dec 03 2023 00:00:00 GMT-0500 (Eastern Standard Time)","firstMtpDate":"Sun Dec 03 2023 00:00:00 GMT-0500 (Eastern Standard Time)","overallStatus":"Complete","phase":"Your Way","stage":"Post Prod","health":"Green","completionDate":"Fri Jun 21 2024 00:00:00 GMT-0400 (Eastern Daylight Time)","wdEngManager":"","damFullName":"Stephanie Denham","primingPartner":"0018000000MWLslAAH","implPartner":"0018000000MWLslAAH","partner":"Collaborative Solutions, LLC","currentUpdate":"06/21/2024 :  Adaptive Model Build DA review was completed this week and that is the last task.  The scorecard is being closed today.","isExecutiveWatch":false,"wellnessData":null},{"deploymentId":"a0r4X00000Dcr3CQAR","deploymentName":"Initial Deployment-Launch Suite: CHCM, FIN, TLO, HLP, CCB, USP, LRN, etc.","accountId":"0018000000ORqnZAAT","accountName":"County of Jackson (Precision Task Group, Inc.)","industry":"State &amp; Local Government","region":"US SLED","subRegion":"Local Government ME","subRegionAlt":"US Local Gov ME CB","billingState":"Texas","billingCity":"Houston","deploymentStartDate":"Tue Nov 01 2022 00:00:00 GMT-0400 (Eastern Daylight Time)","mtpDate":"Mon Dec 18 2023 00:00:00 GMT-0500 (Eastern Standard Time)","firstMtpDate":"Mon Dec 18 2023 00:00:00 GMT-0500 (Eastern Standard Time)","overallStatus":"Complete","phase":"Launch","stage":"Post Prod","health":"Green","completionDate":"Thu Feb 29 2024 00:00:00 GMT-0500 (Eastern Standard Time)","wdEngManager":"","damFullName":"","primingPartner":"0018000000hIF6bAAG","implPartner":"0018000000hIF6bAAG","partner":"Workday Professional Services","currentUpdate":"1/22/2024 Post Production support continues to address FIN data loads now that the FY24\n\n12/18/2023 - Phase 1 moved to Production\n\n12/11/2023 Deploy Stage is underway.  Jackson County is wrapping up catch up transactions .  Go No-Go meeting  is this week.","isExecutiveWatch":false,"wellnessData":null},{"deploymentId":"a0r4X00000Ef3AxQAJ","deploymentName":"Subsequent-Phase X-Planning, Learning and Talent","accountId":"0018000000ORqnZAAT","accountName":"County of Jackson (Precision Task Group, Inc.)","industry":"State &amp; Local Government","region":"US SLED","subRegion":"Local Government ME","subRegionAlt":"US Local Gov ME CB","billingState":"Texas","billingCity":"Houston","deploymentStartDate":"Mon Jan 22 2024 00:00:00 GMT-0500 (Eastern Standard Time)","mtpDate":"Wed Jul 03 2024 00:00:00 GMT-0400 (Eastern Daylight Time)","firstMtpDate":"Wed Jul 03 2024 00:00:00 GMT-0400 (Eastern Daylight Time)","overallStatus":"Complete","phase":"Launch","stage":"Post Prod","health":"Green","completionDate":"Fri Jul 26 2024 00:00:00 GMT-0400 (Eastern Daylight Time)","wdEngManager":"","damFullName":"","primingPartner":"0018000000hIF6bAAG","implPartner":"0018000000hIF6bAAG","partner":"Workday Professional Services","currentUpdate":"Post production support in progress and finishing 7/26","isExecutiveWatch":false,"wellnessData":null},{"deploymentId":"a0r4X00000Ef2ieQAB","deploymentName":"Subsequent-Phase X-Prism","accountId":"0018000000ORqnZAAT","accountName":"County of Jackson (Precision Task Group, Inc.)","industry":"State &amp; Local Government","region":"US SLED","subRegion":"Local Government ME","subRegionAlt":"US Local Gov ME CB","billingState":"Texas","billingCity":"Houston","deploymentStartDate":"Thu Jan 04 2024 00:00:00 GMT-0500 (Eastern Standard Time)","mtpDate":"Wed Jul 31 2024 00:00:00 GMT-0400 (Eastern Daylight Time)","firstMtpDate":"Wed Jul 31 2024 00:00:00 GMT-0400 (Eastern Daylight Time)","overallStatus":"Complete","phase":"Your Way","stage":"Post Prod","health":"Green","completionDate":"Thu Aug 08 2024 00:00:00 GMT-0400 (Eastern Daylight Time)","wdEngManager":"","damFullName":"","primingPartner":"0018000000vTnDgAAK","implPartner":"0018000000vTnDgAAK","partner":"Precision Task Group Inc.","currentUpdate":"Scorecard marked complete - 2518345","isExecutiveWatch":false,"wellnessData":null},{"deploymentId":"a0r1B00000B7l3CQAR","deploymentName":"Initial Deployment-Your Way:HCM, CCB, USP, PRJT, EXP","accountId":"0018000000pMOE1AAO","accountName":"County of Jefferson, State of Colorado","industry":"State &amp; Local Government","region":"US SLED","subRegion":"Local Government ME","subRegionAlt":"US Local Gov ME CB","billingState":"Colorado","billingCity":"Golden","deploymentStartDate":"Fri May 17 2019 00:00:00 GMT-0400 (Eastern Daylight Time)","mtpDate":"Sun Dec 20 2020 00:00:00 GMT-0500 (Eastern Standard Time)","firstMtpDate":"Sun Dec 20 2020 00:00:00 GMT-0500 (Eastern Standard Time)","overallStatus":"Complete","phase":"Your Way","stage":"Post Prod","health":"Green","completionDate":"Mon Aug 22 2022 00:00:00 GMT-0400 (Eastern Daylight Time)","wdEngManager":"","damFullName":"","primingPartner":"00130000008MSknAAG","implPartner":"00130000008MSknAAG","partner":"Accenture LLP","currentUpdate":"Cutover to Production underway and on schedule.","isExecutiveWatch":false,"wellnessData":null},{"deploymentId":"a0r1B00000B7l3HQAR","deploymentName":"Initial Deployment-Your Way:INV, PRO, FIN, GM","accountId":"0018000000pMOE1AAO","accountName":"County of Jefferson, State of Colorado","industry":"State &amp; Local Government","region":"US SLED","subRegion":"Local Government ME","subRegionAlt":"US Local Gov ME CB","billingState":"Colorado","billingCity":"Golden","deploymentStartDate":"Fri May 17 2019 00:00:00 GMT-0400 (Eastern Daylight Time)","mtpDate":"Mon Jan 04 2021 00:00:00 GMT-0500 (Eastern Standard Time)","firstMtpDate":"Mon Jan 04 2021 00:00:00 GMT-0500 (Eastern Standard Time)","overallStatus":"Complete","phase":"Your Way","stage":"Deploy","health":"Green","completionDate":"Sun Apr 04 2021 00:00:00 GMT-0400 (Eastern Daylight Time)","wdEngManager":"","damFullName":"","primingPartner":"00130000008MSknAAG","implPartner":"00130000008MSknAAG","partner":"Accenture LLP","currentUpdate":"Cutover to Production underway and near complete.","isExecutiveWatch":false,"wellnessData":null},{"deploymentId":"a0r4X00000CbKLCQA3","deploymentName":"Subsequent-Phase X-Your Way: AI Planning","accountId":"0018000000pMOE1AAO","accountName":"County of Jefferson, State of Colorado","industry":"State &amp; Local Government","region":"US SLED","subRegion":"Local Government ME","subRegionAlt":"US Local Gov ME CB","billingState":"Colorado","billingCity":"Golden","deploymentStartDate":"Mon Dec 07 2020 00:00:00 GMT-0500 (Eastern Standard Time)","mtpDate":"Tue Apr 13 2021 00:00:00 GMT-0400 (Eastern Daylight Time)","firstMtpDate":"Tue Apr 13 2021 00:00:00 GMT-0400 (Eastern Daylight Time)","overallStatus":"Complete","phase":"Phase X - Planning","stage":"Post Prod","health":"Green","completionDate":"Fri Apr 30 2021 00:00:00 GMT-0400 (Eastern Daylight Time)","wdEngManager":"","damFullName":"","primingPartner":"0018000000hIF6bAAG","implPartner":"0018000000hIF6bAAG","partner":"Workday Professional Services","currentUpdate":"4/30 - Project closeout anticipated 4/30; under budget; referenceable customer.","isExecutiveWatch":false,"wellnessData":null},{"deploymentId":"a0r4X00000DNghQQAT","deploymentName":"Subsequent-Phase X: Time Tracking","accountId":"0018000000pMOE1AAO","accountName":"County of Jefferson, State of Colorado","industry":"State &amp; Local Government","region":"US SLED","subRegion":"Local Government ME","subRegionAlt":"US Local Gov ME CB","billingState":"Colorado","billingCity":"Golden","deploymentStartDate":"Wed Jul 28 2021 00:00:00 GMT-0400 (Eastern Daylight Time)","mtpDate":"Sat Oct 08 2022 00:00:00 GMT-0400 (Eastern Daylight Time)","firstMtpDate":"Sat Oct 08 2022 00:00:00 GMT-0400 (Eastern Daylight Time)","overallStatus":"Complete","phase":"Phase X - Your Way","stage":"Post Prod","health":"Green","completionDate":"Thu Dec 08 2022 00:00:00 GMT-0500 (Eastern Standard Time)","wdEngManager":"","damFullName":"","primingPartner":"0013000000KdrrVAAR","implPartner":"0013000000KdrrVAAR","partner":"Strada U.S. Professional Services, LLC","currentUpdate":"Updating Deployment Scorecard as complete.  Implementation (10/09) and then Post-Go-Live completed on 11/23.","isExecutiveWatch":false,"wellnessData":null},{"deploymentId":"a0r4X00000BWwCoQAL","deploymentName":"Initial Deployment-Your Way: CHCM, TLO, CCB, USP, LRN, TT, etc.","accountId":"0018000000kuvqLAAQ","accountName":"County of Kauai","industry":"State &amp; Local Government","region":"US SLED","subRegion":"Local Government ME","subRegionAlt":"US Local Gov ME CB","billingState":"Hawaii","billingCity":"Lihue","deploymentStartDate":"Wed May 12 2021 00:00:00 GMT-0400 (Eastern Daylight Time)","mtpDate":"Mon Dec 19 2022 00:00:00 GMT-0500 (Eastern Standard Time)","firstMtpDate":"Mon Dec 19 2022 00:00:00 GMT-0500 (Eastern Standard Time)","overallStatus":"Complete","phase":"Your Way","stage":"Post Prod","health":"Green","completionDate":"Mon Dec 19 2022 00:00:00 GMT-0500 (Eastern Standard Time)","wdEngManager":"","damFullName":"","primingPartner":"00130000008MSknAAG","implPartner":"00130000008MSknAAG","partner":"Accenture LLP","currentUpdate":"The project is in post-producti</t>
  </si>
  <si>
    <t>sfdcRows:default:chunk:6</t>
  </si>
  <si>
    <t>a0pVT00000ANhZZYA1</t>
  </si>
  <si>
    <t>a0rVT0000133JGnYAM</t>
  </si>
  <si>
    <t>Initial Deployment-Launch-LDPFIN, LDPEXP, LDPCLM, LDPHCM, LDPCCB, LDPBEN, etc.</t>
  </si>
  <si>
    <t>G. H. Smart &amp; Company, LLC</t>
  </si>
  <si>
    <t>a0pVT00000ANV8cYAH</t>
  </si>
  <si>
    <t>a0pVT00000ANhbBYAT</t>
  </si>
  <si>
    <t>8/14 - End to end testing through 8/28, signed contract for USP, implementation starting week of 8/17 with kick-off and Disco.</t>
  </si>
  <si>
    <t>a0rVT00000drFSHYA2</t>
  </si>
  <si>
    <t>GE Vernova International LLC</t>
  </si>
  <si>
    <t>a0pVT00000ANhcnYAD</t>
  </si>
  <si>
    <t>a0pVT00000ANhkrYAD</t>
  </si>
  <si>
    <t>a0pVT00000ANhphYAD</t>
  </si>
  <si>
    <t>Hypercare concluded Thursday May 21.</t>
  </si>
  <si>
    <t>Geisinger System Services</t>
  </si>
  <si>
    <t>a0pVT00000AMftDYAT</t>
  </si>
  <si>
    <t>Al Menendez</t>
  </si>
  <si>
    <t>a0pVT000009c3VxYAI</t>
  </si>
  <si>
    <t>S2S held 5/1
PM Call held 5/19
Timeline review session held 5/26, 6/30
Preparation Wkbk shared
Plan &amp; Prepare KO 6/15
Internal Extended Timeline Request Review
Scheduling P&amp;P Check-In Sessions WIP
Workbook is WIP as of 8/14
Targeting 9/7 Kickoff</t>
  </si>
  <si>
    <t>a0rVT000015WRUmYAO</t>
  </si>
  <si>
    <t>Gemological Institute Of America, Inc.</t>
  </si>
  <si>
    <t>a0pVT000009YxoTYAS</t>
  </si>
  <si>
    <t>a0pVT000009YxwXYAS</t>
  </si>
  <si>
    <t>General Mills Services, Inc.</t>
  </si>
  <si>
    <t>a0pVT000009ebi1YAA</t>
  </si>
  <si>
    <t>a0rVT000013IvIZYA0</t>
  </si>
  <si>
    <t>a0pVT000009ebi2YAA</t>
  </si>
  <si>
    <t>a0pVT000009rVEzYAM</t>
  </si>
  <si>
    <t>07/28: CI is live. 5 workflows moved to Production. Remaining 5 workflows in design. 3 Custom AI models are in UAT.</t>
  </si>
  <si>
    <t>a0rVT000013SIatYAG</t>
  </si>
  <si>
    <t>GK Software SE</t>
  </si>
  <si>
    <t>a0pVT000009rVF0YAM</t>
  </si>
  <si>
    <t>Germany ME CB 2</t>
  </si>
  <si>
    <t>a0pVT00000Adk5HYAR</t>
  </si>
  <si>
    <t>a0rVT000013T6CfYAK</t>
  </si>
  <si>
    <t>07/20 NDA UAT is currently in progress. We are targeting UAT sign-off .Buy Procurement/Sell Workflows: Currently paused pending the finalized signing matrix.</t>
  </si>
  <si>
    <t>a0rVT00000y9rpxYAA</t>
  </si>
  <si>
    <t>a0pVT00000BjX6MYAV</t>
  </si>
  <si>
    <t>Glitnor Sweden AB</t>
  </si>
  <si>
    <t>a0rVT000013UQXVYA4</t>
  </si>
  <si>
    <t>a0pVT00000BjX6LYAV</t>
  </si>
  <si>
    <t>on and the Accenture AMS team is now supporting Kauai moving forward.  From a delivery perspective, this project is complete.","isExecutiveWatch":false,"wellnessData":null},{"deploymentId":"a0r4X00000CrSy4QAF","deploymentName":"Subsequent-Phase X: Recruiting and Talent","accountId":"0018000000kuvqLAAQ","accountName":"County of Kauai","industry":"State &amp; Local Government","region":"US SLED","subRegion":"Local Government ME","subRegionAlt":"US Local Gov ME CB","billingState":"Hawaii","billingCity":"Lihue","deploymentStartDate":"Mon Apr 08 2024 00:00:00 GMT-0400 (Eastern Daylight Time)","mtpDate":"Fri Nov 15 2024 00:00:00 GMT-0500 (Eastern Standard Time)","firstMtpDate":"Fri Nov 15 2024 00:00:00 GMT-0500 (Eastern Standard Time)","overallStatus":"Complete","phase":"Your Way","stage":"Post Prod","health":"Green","completionDate":"Fri Jan 31 2025 00:00:00 GMT-0500 (Eastern Standard Time)","wdEngManager":"","damFullName":"","primingPartner":"00130000008MSknAAG","implPartner":"00130000008MSknAAG","partner":"Accenture LLP","currentUpdate":"1/22: Continuing post production support for Talent  &amp; Recruiting. Hypercare to complete 1/31.","isExecutiveWatch":false,"wellnessData":null},{"deploymentId":"a0r4X00000DCH2YQAX","deploymentName":"Initial Deployment-Your Way: CM, TLO, HLP, JRNY, CCB, USP, LRN, etc.","accountId":"0018000000Wtz1iAAB","accountName":"County of Kern","industry":"State &amp; Local Government","region":"US SLED","subRegion":"Local Government LE","subRegionAlt":"US Local Gov LE CB","billingState":"California","billingCity":"Bakersfield","deploymentStartDate":"Thu Feb 01 2024 00:00:00 GMT-0500 (Eastern Standard Time)","mtpDate":"Fri May 30 2025 00:00:00 GMT-0400 (Eastern Daylight Time)","firstMtpDate":"Fri May 30 2025 00:00:00 GMT-0400 (Eastern Daylight Time)","overallStatus":"Complete","phase":"Your Way","stage":"Post Prod","health":"Green","completionDate":"Sun Aug 31 2025 00:00:00 GMT-0400 (Eastern Daylight Time)","wdEngManager":"","damFullName":"Hope Douglass","primingPartner":"0011B00002CZvnrQAD","implPartner":"0011B00002CZvnrQAD","partner":"Guidehouse Inc","currentUpdate":"9/02/2025: Deployment complete- phase acceptance has been signed off.","isExecutiveWatch":false,"wellnessData":null},{"deploymentId":"a0r4X00000DCHGzQAP","deploymentName":"Subsequent-Phase X-HCM/Payroll","accountId":"0018000000Wtz1iAAB","accountName":"County of Kern","industry":"State &amp; Local Government","region":"US SLED","subRegion":"Local Government LE","subRegionAlt":"US Local Gov LE CB","billingState":"California","billingCity":"Bakersfield","deploymentStartDate":"Mon Apr 01 2024 00:00:00 GMT-0400 (Eastern Daylight Time)","mtpDate":"Fri Jun 12 2026 00:00:00 GMT-0400 (Eastern Daylight Time)","firstMtpDate":"","overallStatus":"Active","phase":"Your Way","stage":"Test","health":"Green","completionDate":"","wdEngManager":"","damFullName":"","primingPartner":"0011B00002CZvnrQAD","implPartner":"0011B00002CZvnrQAD","partner":"Guidehouse Inc","currentUpdate":"End to End testing in progress and teams tracking defects closely.  Testing aiming for a 7/31 completion.  Payroll Parallel tenant build prep activities will begin in next week.","isExecutiveWatch":false,"wellnessData":null},{"deploymentId":"a0rVT00000h7rRqYAI","deploymentName":"Initial Deployment-Launch-LDPFIN, LDPGM, LDPPLNF, LDPPRA, etc.","accountId":"0014X00002fGJctQAG","accountName":"County of Lancaster","industry":"State &amp; Local Government","region":"US SLED","subRegion":"Local Government ME","subRegionAlt":"US Local Gov ME CB","billingState":"South Carolina","billingCity":"Lancaster","deploymentStartDate":"Thu Jul 31 2025 00:00:00 GMT-0400 (Eastern Daylight Time)","mtpDate":"Wed Jul 01 2026 00:00:00 GMT-0400 (Eastern Daylight Time)","firstMtpDate":"","overallStatus":"Active","phase":"Launch","stage":"Deploy","health":"Green","completionDate":"","wdEngManager":"Josh Van Meter","damFullName":"","primingPartner":"0018000000hIF6bAAG","implPartner":"0018000000hIF6bAAG","partner":"Workday Professional Services","currentUpdate":"6/12 - On Track - E2E testing complete and signed off. Gold Build complete and validation week of 6/15. WSS Scope and timeline being developed for Phase 2 with CLM sync. Working with customer and partner for training activities.","isExecutiveWatch":false,"wellnessData":null},{"deploymentId":"a0r4X00000Ef2XbQAJ","deploymentName":"Initial Deployment-Launch Suite: CHCM, TLO, HLP, CCB, USP, LRN, FIN, etc.","accountId":"0013000000JMEIgAAP","accountName":"County of Lancaster PA","industry":"State &amp; Local Government","region":"US SLED","subRegion":"Local Government ME","subRegionAlt":"US Local Gov ME CB","billingState":"Pennsylvania","billingCity":"Lancaster","deploymentStartDate":"Mon Jan 15 2024 00:00:00 GMT-0500 (Eastern Standard Time)","mtpDate":"Mon Mar 09 2026 00:00:00 GMT-0400 (Eastern Daylight Time)","firstMtpDate":"","overallStatus":"Complete","phase":"Launch","stage":"Deploy","health":"Green","completionDate":"Fri Mar 20 2026 00:00:00 GMT-0400 (Eastern Daylight Time)","wdEngManager":"","damFullName":"","primingPartner":"0018000000MWLslAAH","implPartner":"0018000000MWLslAAH","partner":"Collaborative Solutions, LLC","currentUpdate":"Solution moved to production.  Support transitioned to Cognizant CVS team.","isExecutiveWatch":false,"wellnessData":null},{"deploymentId":"a0rVT00000tvUg2YAE","deploymentName":"Initial Deployment-Launch-LDPHCM, LDPCCB, LDPBEN, etc.","accountId":"0014X00002l5Fv5QAE","accountName":"County of Lea, (Iron Brick Associates LLC)","industry":"State &amp; Local Government","region":"US SLED","subRegion":"Local Government ME","subRegionAlt":"US Local Gov ME CB","billingState":"New Mexico","billingCity":"Lovington","deploymentStartDate":"Mon Feb 02 2026 00:00:00 GMT-0500 (Eastern Standard Time)","mtpDate":"","firstMtpDate":"","overallStatus":"Active","phase":"Launch","stage":"Plan","health":"Green","completionDate":"","wdEngManager":"","damFullName":"","primingPartner":"0013000000KdrrVAAR","implPartner":"0013000000KdrrVAAR","partner":"Strada U.S. Professional Services, LLC","currentUpdate":"6/15/2026:\n-Change order was approved to extend the go live to end of year to accommodate benefit changes\n-Configuration Unit Testing completed on 6/12\n-E2E tenant build started on 6/15\n-E2E testing scheduled to begin week of 7/6","isExecutiveWatch":false,"wellnessData":null},{"deploymentId":"a0r4X00000Da7P7QAJ","deploymentName":"Initial Deployment-Your Way: CHCM,TLO,CCB, USP, LRN, REC, FIN, GM, PRA, etc.","accountId":"0018000000Wtz1mAAB","accountName":"County of Macomb","industry":"State &amp; Local Government","region":"US SLED","subRegion":"Local Government ME","subRegionAlt":"US Local Gov ME CB","billingState":"Michigan","billingCity":"Mount Clemens","deploymentStartDate":"Tue Apr 05 2022 00:00:00 GMT-0400 (Eastern Daylight Time)","mtpDate":"Sun Oct 01 2023 00:00:00 GMT-0400 (Eastern Daylight Time)","firstMtpDate":"Sun Oct 01 2023 00:00:00 GMT-0400 (Eastern Daylight Time)","overallStatus":"Complete","phase":"Your Way","stage":"Post Prod","health":"Green","completionDate":"Sun Dec 31 2023 00:00:00 GMT-0500 (Eastern Standard Time)","wdEngManager":"","damFullName":"","primingPartner":"0013000000KdrrVAAR","implPartner":"0013000000KdrrVAAR","partner":"Strada U.S. Professional Services, LLC","currentUpdate":"Dec 11 - Macomb County and Alight continue to discuss the stabilization end date. Macomb County has an AMS contract in place with Guidehouse.","isExecutiveWatch":false,"wellnessData":null},{"deploymentId":"a0r4X00000DapY0QAJ","deploymentName":"Subsequent-Phase X: FIN &amp; Prism Analytics","accountId":"0018000000Wtz1mAAB","accountName":"County of Macomb","industry":"State &amp; Local Government","region":"US SLED","subRegion":"Local Government ME","subRegionAlt":"US Local Gov ME CB","billingState":"Michigan","billingCity":"Mount Clemens","deploymentStartDate":"Thu Apr 14 2022 00:00:00 GMT-0400 (Eastern Daylight Time)","mtpDate":"Sun Oct 01 2023 00:00:00 GMT-0400 (Eastern Daylight Time)","firstMtpDate":"Sun Oct 01 2023 00:00:00 GMT-0400 (Eastern Daylight Time)","overallStatus":"Complete","phase":"Phase X - Launch","stage":"Post Prod","health":"Green","completionDate":"Sun Dec 31 2023 00:00:00 GMT-0500 (Eastern Standard Time)","wdEngManager":"","damFullName":"","primingPartner":"0013000000KdrrVAAR","implPartner":"0013000000KdrrVAAR","partner":"Strada U.S. Professional Services, LLC","currentUpdate":"Dec 11 - Prism work targeted to complete Friday, Dec 15. Macomb County and Alight continue to discuss the stabilization end date. Macomb County has an AMS contract in place with Guidehouse.","isExecutiveWatch":false,"wellnessData":null},{"deploymentId":"a0r80000005hGYVAA2","deploymentName":"Initial deployment-Your Way:HCM, USP, TT, LRN, REC","accountId":"0018000000kuvqMAAQ","accountName":"County of Maui","industry":"State &amp; Local Government","region":"US SLED","subRegion":"Local Government ME","subRegionAlt":"US Local Gov ME CB","billingState":"Hawaii","billingCity":"Wailuku","deploymentStartDate":"Fri Jul 14 2017 00:00:00 GMT-0400 (Eastern Daylight Time)","mtpDate":"Mon Apr 01 2019 00:00:00 GMT-0400 (Eastern Daylight Time)","firstMtpDate":"Mon Apr 01 2019 00:00:00 GMT-0400 (Eastern Daylight Time)","overallStatus":"Complete","phase":"Your Way","stage":"Post Prod","health":"Green","completionDate":"Tue Dec 31 2019 00:00:00 GMT-0500 (Eastern Standard Time)","wdEngManager":"","damFullName":"","primingPartner":"0018000000nlcXyAAI","implPartner":"0018000000nlcXyAAI","partner":"Sierra-Cedar, Inc.","currentUpdate":"Initial implementation support for TT/ABS has ended. Customer has purchased post-production support services from SCI that covers through 6/30/20.","isExecutiveWatch":false,"wellnessData":null},{"deploymentId":"a0r1B00000BdENUQA3","deploymentName":"Subsequent-Phase X: Learning, Performance, Recruiting","accountId":"0018000000kuvqMAAQ","accountName":"County of Maui","industry":"State &amp; Local Government","region":"US SLED","subRegion":"Local Government ME","subRegionAlt":"US Local Gov ME CB","billingState":"Hawaii","billingCity":"Wailuku","deploymentStartDate":"Tue Aug 06 2019 00:00:00 GMT-0400 (Eastern Daylight Time)","mtpDate":"Fri Nov 01 2019 00:00:00 GMT-0400 (Eastern Daylight Time)","firstMtpDate":"Fri Nov 01 2019 00:00:00 GMT-0400 (Eastern Daylight Time)","overallStatus":"Complete","phase":"Phase X - Launch","stage":"Post Prod","health":"Green","completionDate":"Sat Feb 29 2020 00:00:00 GMT-0500 (Eastern Standard Time)","wdEngManager":"","damFullName":"","primingPartner":"0011B00002H9DAaQAN","implPartner":"0011B00002H9DAaQAN","partner":"SCI WDSFMS Services, LLC","currentUpdate":"Post-production support has ended. Customer has signed a PPS contract with SCI for additional support.","isExecutiveWatch":false,"wellnessData":null},{"deploymentId":"a0r4X00000Ef34pQAB","deploymentName":"Initial Deployment-Your Way: CHCM, TLO, FIN, CCB, USP, etc.","accountId":"0018000001P4K4SAAV","accountName":"County of Mesa","industry":"State &amp; Local Government","region":"US SLED","subRegion":"Local Government ME","subRegionAlt":"US Local Gov ME CB","billingState":"Colorado","billingCity":"Grand Junction","deploymentStartDate":"Wed Jan 24 2024 00:00:00 GMT-0500 (Eastern Standard Time)","mtpDate":"Wed Mar 12 2025 00:00:00 GMT-0400 (Eastern Daylight Time)","firstMtpDate":"Wed Mar 12 2025 00:00:00 GMT-0400 (Eastern Daylight Time)","overallStatus":"Complete","phase":"Your Way","stage":"Deploy","health":"Green","completionDate":"Mon Oct 20 2025 00:00:00 GMT-0400 (Eastern Daylight Time)","wdEngManager":"","damFullName":"","primingPartner":"0018000000MWLslAAH","implPartner":"0018000000MWLslAAH","partner":"Collaborative Solutions, LLC","currentUpdate":"10/23/2025 : Prism deployed on 10/20/2025.  Continued work on Phase 1 issues [3].","isExecutiveWatch":false,"wellnessData":null},{"deploymentId":"a0r4X00000CrVFfQAN","deploymentName":"Initial Deployment-Your Way-FIN, GM, PLNF, PRA, PRJT, etc.","accountId":"0018000001WMFt0AAH","accountName":"County of Missoula","industry":"State &amp; Local Government","region":"US SLED","subRegion":"Local Government ME","subRegionAlt":"US Local Gov ME CB","billingState":"Montana","billingCity":"Missoula","deploymentStartDate":"Mon Jun 03 2024 00:00:00 GMT-0400 (Eastern Daylight Time)","mtpDate":"Thu Apr 24 2025 00:00:00 GMT-0400 (Eastern Daylight Time)","firstMtpDate":"Thu Apr 24 2025 00:00:00 GMT-0400 (Eastern Daylight Time)","overallStatus":"Active","phase":"Your Way","stage":"Deploy","health":"Green","completionDate":"","wdEngManager":"","damFullName":"","primingPartner":"0018000000MWLslAAH","implPartner":"0018000000MWLslAAH","partner":"Collaborative Solutions, LLC","currentUpdate":"06/23/2026 - restarting Open Gov integration development.  Will push Adaptive Planning, Prism, and WSS go live.  Design has not started.","isExecutiveWatch":false,"wellnessData":null},{"deploymentId":"a0rVT00000TnhUZYAZ","deploymentName":"Subsequent-PhaseX-HCM","accountId":"0018000001WMFt0AAH","accountName":"County of Missoula","industry":"State &amp; Local Government","region":"US SLED","subRegion":"Local Government ME","subRegionAlt":"US Local Gov ME CB","billingState":"Montana","billingCity":"Missoula","deploymentStartDate":"Mon Apr 14 2025 00:00:00 GMT-0400 (Eastern Daylight Time)","mtpDate":"Wed Jul 01 2026 00:00:00 GMT-0400 (Eastern Daylight Time)","firstMtpDate":"","overallStatus":"Active","phase":"Your Way","stage":"Test","health":"Green","completionDate":"","wdEngManager":"","damFullName":"","primingPartner":"0018000000MWLslAAH","implPartner":"0018000000MWLslAAH","partner":"Collaborative Solutions, LLC","currentUpdate":"06/23/2026 - Post Production Support.","isExecutiveWatch":false,"wellnessData":null},{"deploymentId":"a0r4X00000CrU6wQAF","deploymentName":"Initial Deployment-Your Way-CHCM, TLO, JRNY, CCB, USP, LRN, etc","accountId":"0018000000kuvpmAAA","accountName":"County of Monroe","industry":"State &amp; Local Government","region":"US SLED","subRegion":"Local Government LE","subRegionAlt":"US Local Gov LE CB","billingState":"New York","billingCity":"Rochester","deploymentStartDate":"Thu May 23 2024 00:00:00 GMT-0400 (Eastern Daylight Time)","mtpDate":"Thu May 07 2026 00:00:00 GMT-0400 (Eastern Daylight Time)","firstMtpDate":"","overallStatus":"Active","phase":"Your Way","stage":"Deploy","health":"Green","completionDate":"","wdEngManager":"","damFullName":"","primingPartner":"0018000001IzqpSAAR","implPartner":"0018000001IzqpSAAR","partner":"Avaap USA, LLC","currentUpdate":"6/9:  HCM Go-Live has been delayed until 7/18.  FIN Go-Live has been delayed until 8/1.","isExecutiveWatch":false,"wellnessData":null},{"deploymentId":"a0r4X00000ETWJyQAP","deploymentName":"Initial Deployment-Launch-LDPHCM, LDPBEN, LDPUSP, LDPTLO, LDPFIN, etc","accountId":"0018000000Wtz1zAAB","accountName":"County of Nevada","industry":"State &amp; Local Government","region":"US SLED","subRegion":"Local Government ME","subRegionAlt":"US Local Gov ME CB","billingState":"California","billingCity":"Nevada City","deploymentStartDate":"Wed Oct 16 2024 00:00:00 GMT-0400 (Eastern Daylight Time)","mtpDate":"Tue Dec 23 2025 00:00:00 GMT-0500 (Eastern Standard Time)","firstMtpDate":"","overallStatus":"Complete","phase":"Launch","stage":"Post Prod","health":"Green","completionDate":"Mon Mar 30 2026 00:00:00 GMT-0400 (Eastern Daylight Time)","wdEngManager":"","damFullName":"","primingPartner":"0018000000MWLslAAH","implPartner":"0018000000MWLslAAH","partner":"Collaborative Solutions, LLC","currentUpdate":"3/27 Project Complete\nScorecard complete, case# 3211264","isExecutiveWatch":false,"wellnessData":null},{"deploymentId":"a0rVT00000tHiMoYAK","deploymentName":"Subsequent-Phase X: Adaptive Planning","accountId":"0018000000Wtz1zAAB","accountName":"County of Nevada","industry":"State &amp; Local Government","region":"US SLED","subRegion":"Local Government ME","subRegionAlt":"US Local Gov ME CB","billingState":"California","billingCity":"Nevada City","deploymentStartDate":"Wed Dec 17 2025 00:00:00 GMT-0500 (Eastern Standard Time)","mtpDate":"Fri Sep 18 2026 00:00:00 GMT-0400 (Eastern Daylight Time)","firstMtpDate":"","overallStatus":"Active","phase":"Launch","stage":"Plan","health":"Green","completionDate":"","wdEngManager":"","damFullName":"","primingPartner":"0018000000MWLslAAH","implPartner":"0018000000MWLslAAH","partner":"Collaborative Solutions, LLC","currentUpdate":"6/23 - Adaptive Kickoff Meeting completed 6/22","isExecutiveWatch":false,"wellnessData":null},{"deploymentId":"a0rVT00000tIlKAYA0","deploymentName":"Subsequent-Phase X: HCM","accountId":"0018000000Wtz1zAAB","accountName":"County of Nevada","industry":"State &amp; Local Government","region":"US SLED","subRegion":"Local Government ME","subRegionAlt":"US Local Gov ME CB","billingState":"California","billingCity":"Nevada City","deploymentStartDate":"Mon Jan 19 2026 00:00:00 GMT-0500 (Eastern Standard Time)","mtpDate":"Fri Dec 11 2026 00:00:00 GMT-0500 (Eastern Standard Time)","firstMtpDate":"","overallStatus":"Active","phase":"Launch","stage":"Architect &amp; Configure","health":"Green","completionDate":"","wdEngManager":"","damFullName":"","primingPartner":"0018000000MWLslAAH","implPartner":"0018000000MWLslAAH","partner":"Collaborative Solutions, LLC","currentUpdate":"6/23/26 - Unit testing week 4/4 this week.","isExecutiveWatch":false,"wellnessData":null},{"deploymentId":"a0r4X00000E0B08QAF","deploymentName":"Initial Deployment-Your Way: CHCM, TLO, CCB, USP, LRN, REC, FIN, etc.","accountId":"0018000000kuvtvAAA","accountName":"County of Nueces","industry":"State &amp; Local Government","region":"US SLED","subRegion":"Local Government ME","subRegionAlt":"US Local Gov ME CB","billingState":"Texas","billingCity":"Corpus Christi","deploymentStartDate":"Mon Feb 06 2023 00:00:00 GMT-0500 (Eastern Standard Time)","mtpDate":"Fri Dec 15 2023 00:00:00 GMT-0500 (Eastern Standard Time)","firstMtpDate":"Fri Dec 15 2023 00:00:00 GMT-0500 (Eastern Standard Time)","overallStatus":"Complete","phase":"Launch","stage":"Post Prod","health":"Green","completionDate":"Fri May 10 2024 00:00:00 GMT-0400 (Eastern Daylight Time)","wdEngManager":"","damFullName":"Stephanie Denham","primingPartner":"0013000000KdrrVAAR","implPartner":"0013000000KdrrVAAR","partner":"Strada U.S. Professional Services, LLC","currentUpdate":"4/30\n- Adaptive is live, continue to assist with post implementation support, client would like to extended support until 5/30.","isExecutiveWatch":false,"wellnessData":null},{"deploymentId":"a0r80000009rPpzAAE","deploymentName":"Initial Deployment-Your Way:FIN, PRO, PRJT, GM","accountId":"0018000000Wtz7MAAR","accountName":"County of Oakland","industry":"State &amp; Local Government","region":"US SLED","subRegion":"Local Government LE","subRegionAlt":"US Local Gov LE CB","billingState":"Michigan","billingCity":"Pontiac","deploymentStartDate":"Wed Jan 01 2020 00:00:00 GMT-0500 (Eastern Standard Time)","mtpDate":"Mon May 02 2022 00:00:00 GMT-0400 (Eastern Daylight Time)","firstMtpDate":"Mon May 02 2022 00:00:00 GMT-0400 (Eastern Daylight Time)","overallStatus":"Complete","phase":"Your Way","stage":"Deploy","health":"Green","completionDate":"Sun Jul 31 2022 00:00:00 GMT-0400 (Eastern Daylight Time)","wdEngManager":"","damFullName":"Waleed Khan","primingPartner":"00130000008MSknAAG","implPartner":"00130000008MSknAAG","partner":"Accenture LLP","currentUpdate":"Move to production happened this weekend. Post prod has officially started.","isExecutiveWatch":false,"wellnessData":null},{"deploymentId":"a0r80000009rPpuAAE","deploymentName":"Initial Deployment-Your Way:HCM, USP,LRN, TT, CCB","accountId":"0018000000Wtz7MAAR","accountName":"County of Oakland","industry":"State &amp; Local Government","region":"US SLED","subRegion":"Local Government LE","subRegionAlt":"US Local Gov LE CB","billingState":"Michigan","billingCity":"Pontiac","deploymentStartDate":"Fri Mar 01 2019 00:00:00 GMT-0500 (Eastern Standard Time)","mtpDate":"Thu Jul 09 2020 00:00:00 GMT-0400 (Eastern Daylight Time)","firstMtpDate":"Thu Jul 09 2020 00:00:00 GMT-0400 (Eastern Daylight Time)","overallStatus":"Complete","phase":"Your Way","stage":"Post Prod","health":"Green","completionDate":"Fri Sep 04 2020 00:00:00 GMT-0400 (Eastern Daylight Time)","wdEngManager":"","damFullName":"","primingPartner":"00130000008MSknAAG","implPartner":"00130000008MSknAAG","partner":"Accenture LLP","currentUpdate":"Validating production. Will start catch up transactions today","isExecutiveWatch":false,"wellnessData":null},{"deploymentId":"a0r1B00000BUzX6QAL","deploymentName":"Subsequent - Phase X: Talent and Performance","accountId":"0018000000Wtz7MAAR","accountName":"County of Oakland","industry":"State &amp; Local Government","region":"US SLED","subRegion":"Local Government LE","subRegionAlt":"US Local Gov LE CB","billingState":"Michigan","billingCity":"Pontiac","deploymentStartDate":"Mon Jun 01 2020 00:00:00 GMT-0400 (Eastern Daylight Time)","mtpDate":"Mon Jan 25 2021 00:00:00 GMT-0500 (Eastern Standard Time)","firstMtpDate":"Mon Jan 25 2021 00:00:00 GMT-0500 (Eastern Standard Time)","overallStatus":"Complete","phase":"Phase X - Your Way","stage":"Post Prod","health":"Green","completionDate":"Mon Feb 01 2021 00:00:00 GMT-0500 (Eastern Standard Time)","wdEngManager":"","damFullName":"","primingPartner":"00130000008MSknAAG","implPartner":"00130000008MSknAAG","partner":"Accenture LLP","currentUpdate":"MTP 1/24-25/2021","isExecutiveWatch":false,"wellnessData":null},{"deploymentId":"a0r4X00000Ef40UQAR","deploymentName":"Subsequent-Phase X - Peakon Add-on Base","accountId":"0018000000Wtz7MAAR","accountName":"County of Oakland","industry":"State &amp; Local Government","region":"US SLED","subRegion":"Local Government LE","subRegionAlt":"US Local Gov LE CB","billingState":"Michigan","billingCity":"Pontiac","deploymentStartDate":"Tue Feb 20 2024 00:00:00 GMT-0500 (Eastern Standard Time)","mtpDate":"Mon May 13 2024 00:00:00 GMT-0400 (Eastern Daylight Time)","firstMtpDate":"Mon May 13 2024 00:00:00 GMT-0400 (Eastern Daylight Time)","overallStatus":"Complete","phase":"Your Way","stage":"Post Prod","health":"Green","completionDate":"","wdEngManager":"","damFullName":"","primingPartner":"0018000000hIF6bAAG","implPartner":"0018000000hIF6bAAG","partner":"Workday Professional Services","currentUpdate":"- Project is Completed. Pending Deliverables Completed.","isExecutiveWatch":false,"wellnessData":null},{"deploymentId":"a0r4X00000DcBpzQAF","deploymentName":"Subsequent-Phase X- Your Way: AI Planning","accountId":"0018000000Wtz7MAAR","accountName":"County of Oakland","industry":"State &amp; Local Government","region":"US SLED","subRegion":"Local Government LE","subRegionAlt":"US Local Gov LE CB","billingState":"Michigan","billingCity":"Pontiac","deploymentStartDate":"Fri Jul 22 2022 00:00:00 GMT-0400 (Eastern Daylight Time)","mtpDate":"Wed Mar 01 2023 00:00:00 GMT-0500 (Eastern Standard Time)","firstMtpDate":"Wed Mar 01 2023 00:00:00 GMT-0500 (Eastern Standard Time)","overallStatus":"Complete","phase":"Phase X - Planning","stage":"Post Prod","health":"Green","completionDate":"Sun Apr 30 2023 00:00:00 GMT-0400 (Eastern Daylight Time)","wdEngManager":"","damFullName":"","primingPartner":"00130000008MSknAAG","implPartner":"00130000008MSknAAG","partner":"Accenture LLP","currentUpdate":"5/10 PM Upd - received final approval for reporting from customer and closed out final DA checkpoint.","isExecutiveWatch":false,"wellnessData":null},{"deploymentId":"a0rVT00000mUU5SYAW","deploymentName":"Subsequent-Phase X-Launch: HCM","accountId":"0018000000Wtz7MAAR","accountName":"County of Oakland","industry":"State &amp; Local Government","region":"US SLED","subRegion":"Local Government LE","subRegionAlt":"US Local Gov LE CB","billingState":"Michigan","billingCity":"Pontiac","deploymentStartDate":"Mon Sep 22 2025 00:00:00 GMT-0400 (Eastern Daylight Time)","mtpDate":"Tue Jan 20 2026 00:00:00 GMT-0500 (Eastern Standard Time)","firstMtpDate":"Tue Jan 20 2026 00:00:00 GMT-0500 (Eastern Standard Time)","overallStatus":"Complete","phase":"Your Way","stage":"Post Prod","health":"Green","completionDate":"Fri Feb 13 2026 00:00:00 GMT-0500 (Eastern Standard Time)","wdEngManager":"","damFullName":"","primingPartner":"0018000000hIF6bAAG","implPartner":"0018000000hIF6bAAG","partner":"Workday Professional Services","currentUpdate":"02.17.26 - Project Closed and transitioned to CSM Connie WIlson.","isExecutiveWatch":false,"wellnessData":null},{"deploymentId":"a0r4X00000CrThDQAV","deploymentName":"Subsequent-Phase X-Workday Prism","accountId":"0018000000Wtz7MAAR","accountName":"County of Oakland","industry":"State &amp; Local Government","region":"US SLED","subRegion":"Local Government LE","subRegionAlt":"US Local Gov LE CB","billingState":"Michigan","billingCity":"Pontiac","deploymentStartDate":"Thu May 02 2024 00:00:00 GMT-0400 (Eastern Daylight Time)","mtpDate":"Mon Mar 31 2025 00:00:00 GMT-0400 (Eastern Daylight Time)","firstMtpDate":"Mon Mar 31 2025 00:00:00 GMT-0400 (Eastern Daylight Time)","overallStatus":"Complete","phase":"Launch","stage":"Deploy","health":"Green","completionDate":"Mon Mar 31 2025 00:00:00 GMT-0400 (Eastern Daylight Time)","wdEngManager":"","damFullName":"Dawn Clayton","primingPartner":"0011B00002CZvnrQAD","implPartner":"0011B00002CZvnrQAD","partner":"Guidehouse Inc","currentUpdate":"Project is slated to end 3/31/25.  We are currently in the PPS/Optimization phase of the project.","isExecutiveWatch":false,"wellnessData":null},{"deploymentId":"a0r4X00000ETWINQA5","deploymentName":"Subsequent-Phase X: Workday Extend Essentials","accountId":"0018000000Wtz7MAAR","accountName":"County of Oakland","industry":"State &amp; Local Government","region":"US SLED","subRegion":"Local Government LE","subRegionAlt":"US Local Gov LE CB","billingState":"Michigan","billingCity":"Pontiac","deploymentStartDate":"Tue Oct 15 2024 00:00:00 GMT-0400 (Eastern Daylight Time)","mtpDate":"Mon Jan 13 2025 00:00:00 GMT-0500 (Eastern Standard Time)","firstMtpDate":"Mon Jan 13 2025 00:00:00 GMT-0500 (Eastern Standard Time)","overallStatus":"Complete","phase":"Your Way","stage":"Deploy","health":"Green","completionDate":"Tue Jan 21 2025 00:00:00 GMT-0500 (Eastern Standard Time)","wdEngManager":"","damFullName":"","primingPartner":"0018000000hIF6bAAG","implPartner":"0018000000hIF6bAAG","partner":"Workday Professional Services","currentUpdate":"1/17: Customer is now Live on Workday Extend and all functionality is working as per requirements and design.","isExecutiveWatch":false,"wellnessData":null},{"deploymentId":"a0rVT00000qMQqmYAG","deploymentName":"Initial Deployment-Your Way-CCB, USP, LRN, EXP, PRO, INV, CCLRN, REC,","accountId":"0018000000kuvqAAAQ","accountName":"County of Pinellas (Iron Brick Associates LLC)","industry":"State &amp; Local Government","region":"US SLED","subRegion":"Local Government LE","subRegionAlt":"US Local Gov LE CB","billingState":"Florida","billingCity":"Clearwater","deploymentStartDate":"Thu Dec 18 2025 00:00:00 GMT-0500 (Eastern Standard Time)","mtpDate":"Thu Oct 01 2026 00:00:00 GMT-0400 (Eastern Daylight Time)","firstMtpDate":"","overallStatus":"Active","phase":"Your Way","stage":"Plan","health":"Green","completionDate":"","wdEngManager":"","damFullName":"","primingPartner":"0011B00002CZvnrQAD","implPartner":"0011B00002CZvnrQAD","partner":"Guidehouse Inc","currentUpdate":"6/23/26:  E2E build being finalized this week. E2E testing set to start next week - on track","isExecutiveWatch":false,"wellnessData":null},{"deploymentId":"a0r80000005cDj4AAE","deploymentName":"Initial Deployment-LE: FIN, INV, PRO, GM, PB, EXP, PRJT","accountId":"0018000000Wtz27AAB","accountName":"County of Placer","industry":"State &amp; Local Government","region":"US SLED","subRegion":"Local Government ME","subRegionAlt":"US Local Gov ME CB","billingState":"California","billingCity":"Auburn","deploymentStartDate":"Wed Mar 15 2017 00:00:00 GMT-0400 (Eastern Daylight Time)","mtpDate":"Thu Jun 28 2018 00:00:00 GMT-0400 (Eastern Daylight Time)","firstMtpDate":"Thu Jun 28 2018 00:00:00 GMT-0400 (Eastern Daylight Time)","overallStatus":"Complete","phase":"Your Way","stage":"Deploy","health":"Green","completionDate":"Wed Sep 26 2018 00:00:00 GMT-0400 (Eastern Daylight Time)","wdEngManager":"","damFullName":"","primingPartner":"0018000000nlcXyAAI","implPartner":"0018000000nlcXyAAI","partner":"Sierra-Cedar, Inc.","currentUpdate":"Ongoing Post Production support. Performance issues still intermittent. Treasury work around solution still rocky.","isExecutiveWatch":false,"wellnessData":null},{"deploymentId":"a0r80000005cDizAAE","deploymentName":"Initial Deployment-LE:HCM, CCB, USP, TT","accountId":"0018000000Wtz27AAB","accountName":"County of Placer","industry":"State &amp; Local Government","region":"US SLED","subRegion":"Local Government ME","subRegionAlt":"US Local Gov ME CB","billingState":"California","billingCity":"Auburn","deploymentStartDate":"Wed Mar 15 2017 00:00:00 GMT-0400 (Eastern Daylight Time)","mtpDate":"Mon Jun 17 2019 00:00:00 GMT-0400 (Eastern Daylight Time)","firstMtpDate":"Mon Jun 17 2019 00:00:00 GMT-0400 (Eastern Daylight Time)","overallStatus":"Complete","phase":"Your Way","stage":"Deploy","health":"Green","completionDate":"Sun Sep 15 2019 00:00:00 GMT-0400 (Eastern Daylight Time)","wdEngManager":"","damFullName":"","primingPartner":"0018000000nlcXyAAI","implPartner":"0018000000nlcXyAAI","partner":"Sierra-Cedar, Inc.","currentUpdate":"Post Production support is on-going.  A performance evaluation ticket was opened. Otherwise, there are no major issues to report.","isExecutiveWatch":false,"wellnessData":null},{"deploymentId":"a0r4X00000ESKseQAH","deploymentName":"Initial Deployment-Your Way-CHCM, CCB, USP, FIN, etc.","accountId":"0018000000kuvpgAAA","accountName":"County of Pueblo","industry":"State &amp; Local Government","region":"US SLED","subRegion":"Local Government ME","subRegionAlt":"US Local Gov ME CB","billingState":"Colorado","billingCity":"Pueblo","deploymentStartDate":"Mon Aug 21 2023 00:00:00 GMT-0400 (Eastern Daylight Time)","mtpDate":"Sun Dec 15 2024 00:00:00 GMT-0500 (Eastern Standard Time)","firstMtpDate":"Sun Dec 15 2024 00:00:00 GMT-0500 (Eastern Standard Time)","overallStatus":"Complete","phase":"Your Way","stage":"Post Prod","health":"Green","completionDate":"Fri Feb 28 2025 00:00:00 GMT-0500 (Eastern Standard Time)","wdEngManager":"","damFullName":"Seti Matua","primingPartner":"0013000000KdrrVAAR","implPartner":"0013000000KdrrVAAR","partner":"Strada U.S. Professional Services, LLC","currentUpdate":"2/24:  Final week of Ph1 deployment.  Currently working through open items to determine whether they are likely to be closed by the end of this week or if they will need to be supported by the AMS team.","isExecutiveWatch":false,"wellnessData":null},{"deploymentId":"a0rVT00000Or577YAB","deploymentName":"Subsequent-Phase X: Financial Planning and Prism","accountId":"0018000000kuvpgAAA","accountName":"County of Pueblo","industry":"State &amp; Local Government","region":"US SLED","subRegion":"Local Government ME","subRegionAlt":"US Local Gov ME CB","billingState":"Colorado","billingCity":"Pueblo","deploymentStartDate":"Tue Jan 21 2025 00:00:00 GMT-0500 (Eastern Standard Time)","mtpDate":"Mon Jun 16 2025 00:00:00 GMT-0400 (Eastern Daylight Time)","firstMtpDate":"Mon Jun 16 2025 00:00:00 GMT-0400 (Eastern Daylight Time)","overallStatus":"Complete","phase":"Your Way","stage":"Post Prod","health":"Green","completionDate":"Fri Jul 18 2025 00:00:00 GMT-0400 (Eastern Daylight Time)","wdEngManager":"","damFullName":"","primingPartner":"0013000000KdrrVAAR","implPartner":"0013000000KdrrVAAR","partner":"Strada U.S. Professional Services, LLC","currentUpdate":"7/14:  Final week of project.  Project close on track for 7/18.","isExecutiveWatch":false,"wellnessData":null},{"deploymentId":"a0r4X00000Dd83oQAB","deploymentName":"Initial Deployment-Your Way: CHCM, TLO, FIN, CCB, USP, LRN, etc.","accountId":"0018000000kuvsyAAA","accountName":"County of Richland","industry":"State &amp; Local Government","region":"US SLED","subRegion":"Local Government ME","subRegionAlt":"US Local Gov ME CB","billingState":"South Carolina","billingCity":"Columbia","deploymentStartDate":"Thu Nov 03 2022 00:00:00 GMT-0400 (Eastern Daylight Time)","mtpDate":"Tue Mar 12 2024 00:00:00 GMT-0400 (Eastern Daylight Time)","firstMtpDate":"Tue Mar 12 2024 00:00:00 GMT-0400 (Eastern Daylight Time)","overallStatus":"Complete","phase":"Your Way","stage":"Post Prod","health":"Green","completionDate":"Fri May 31 2024 00:00:00 GMT-0400 (Eastern Daylight Time)","wdEngManager":"","damFullName":"Stephen Patmont","primingPartner":"0018000000MWLslAAH","implPartner":"0018000000MWLslAAH","partner":"Collaborative Solutions, LLC","currentUpdate":"CVS team will provide ongoing support.  Adaptive Planning has been removed from scope. The only remaining item is Prism and a new scorecard was created for Prism.","isExecutiveWatch":false,"wellnessData":null},{"deploymentId":"a0r4X00000CrU5yQAF","deploymentName":"Subsequent - Phase X: Prism","accountId":"0018000000kuvsyAAA","accountName":"County of Richland","industry":"State &amp; Local Government","region":"US SLED","subRegion":"Local Government ME","subRegionAlt":"US Local Gov ME CB","billingState":"South Carolina","billingCity":"Columbia","deploymentStartDate":"Mon Jun 03 2024 00:00:00 GMT-0400 (Eastern Daylight Time)","mtpDate":"Thu Dec 12 2024 00:00:00 GMT-0500 (Eastern Standard Time)","firstMtpDate":"Thu Dec 12 2024 00:00:00 GMT-0500 (Eastern Standard Time)","overallStatus":"Complete","phase":"Your Way","stage":"Post Prod","health":"Green","completionDate":"Fri Dec 27 2024 00:00:00 GMT-0500 (Eastern Standard Time)","wdEngManager":"","damFullName":"Stephen Patmont","primingPartner":"0018000000MWLslAAH","implPartner":"0018000000MWLslAAH","partner":"Collaborative Solutions, LLC","currentUpdate":"Completed KT and handoff with Richland. Prism implementation is complete.","isExecutiveWatch":false,"wellnessData":null},{"deploymentId":"a0r4X00000CrVjLQAV","deploymentName":"Initial Deployment-Your Way-CHCM, TLO, HLP, CCB, USP, LRN, MCNF, FIN, etc.","accountId":"0018000000Wtz2JAAR","accountName":"County of San Joaquin","industry":"State &amp; Local Government","region":"US SLED","subRegion":"Local Government LE","subRegionAlt":"US Local Gov LE CB","billingState":"California","billingCity":"Stockton","deploymentStartDate":"Thu Aug 01 2024 00:00:00 GMT-0400 (Eastern Daylight Time)","mtpDate":"Mon Jan 26 2026 00:00:00 GMT-0500 (Eastern Standard Time)","firstMtpDate":"Mon Jan 26 2026 00:00:00 GMT-0500 (Eastern Standard Time)","overallStatus":"Complete","phase":"Your Way","stage":"Post Prod","health":"Green","completionDate":"Fri May 01 2026 00:00:00 GMT-0400 (Eastern Daylight Time)","wdEngManager":"","damFullName":"","primingPartner":"0011B00002CZvnrQAD","implPartner":"0011B00002CZvnrQAD","partner":"Guidehouse Inc","currentUpdate":"4/27/26 Last week of Post Prod support","isExecutiveWatch":false,"wellnessData":null},{"deploymentId":"a0r4X00000CrVxdQAF","deploymentName":"Subsequent-Phase X-HCM","accountId":"0018000000Wtz2JAAR","accountName":"County of San Joaquin","industry":"State &amp; Local Government","region":"US SLED","subRegion":"Local Government LE","subRegionAlt":"US Local Gov LE CB","billingState":"California","billingCity":"Stockton","deploymentStartDate":"Wed Apr 01 2026 00:00:00 GMT-0400 (Eastern Daylight Time)","mtpDate":"","firstMtpDate":"","overallStatus":"Active","phase":"Launch","stage":"Architect &amp; Configure","health":"Green","completionDate":"","wdEngManager":"","damFullName":"","primingPartner":"0011B00002CZvnrQAD","implPartner":"0011B00002CZvnrQAD","partner":"Guidehouse Inc","currentUpdate":"6/22/26 Continuing Workset A with Time Tracking","isExecutiveWatch":false,"wellnessData":null},{"deploymentId":"a0rVT00000mRekEYAS","deploymentName":"Initial Deployment-Your Way-FIN, CHCM, TLO, SRCEXP, CLM, etc.","accountId":"0018000000Wtz2KAAR","accountName":"County of San Luis Obispo, CA (Iron Brick Associates, LLC)","industry":"State &amp; Local Government","region":"US SLED","subRegion":"Local Government ME","subRegionAlt":"US Local Gov ME CB","billingState":"California","billingCity":"San Luis Obispo","deploymentStartDate":"Mon Oct 06 2025 00:00:00 GMT-0400 (Eastern Daylight Time)","mtpDate":"Wed Mar 31 2027 00:00:00 GMT-0400 (Eastern Daylight Time)","firstMtpDate":"","overallStatus":"Active","phase":"Your Way","stage":"Architect &amp; Configure","health":"Green","completionDate":"","wdEngManager":"","damFullName":"","primingPartner":"0018000000MWLslAAH","implPartner":"0018000000MWLslAAH","partner":"Collaborative Solutions, LLC","currentUpdate":"06/22/26:  Continued updates to outstanding unit test. Week 4 of 4 (E2E build)","isExecutiveWatch":false,"wellnessData":null},{"deploymentId":"a0r80000003KksYAAS","deploymentName":"Initial Deployment: HCM, CCHCM, CCB, USP, CCWP","accountId":"0018000000Wtz2LAAR","accountName":"County of San Mateo","industry":"State &amp; Local Government","region":"US SLED","subRegion":"Local Government LE","subRegionAlt":"US Local Gov LE CB","billingState":"California","billingCity":"Redwood City","deploymentStartDate":"Mon Sep 16 2013 00:00:00 GMT-0400 (Eastern Daylight Time)","mtpDate":"Wed Mar 18 2015 00:00:00 GMT-0400 (Eastern Daylight Time)","firstMtpDate":"Wed Mar 18 2015 00:00:00 GMT-0400 (Eastern Daylight Time)","overallStatus":"Complete","phase":"Your Way","stage":"Post Prod","health":"Green","completionDate":"Mon Jun 01 2015 00:00:00 GMT-0400 (Eastern Daylight Time)","wdEngManager":"Krishna Kuchibhotla","damFullName":"","primingPartner":"0018000000hIF6bAAG","implPartner":"0018000000hIF6bAAG","partner":"Workday Professional Services","currentUpdate":"Heatmap update 876141","isExecutiveWatch":false,"wellnessData":null},{"deploymentId":"a0rVT00000tFsq1YAC","deploymentName":"Subsequent- Phase X- Learning","accountId":"0018000000Wtz2LAAR","accountName":"County of San Mateo","industry":"State &amp; Local Government","region":"US SLED","subRegion":"Local Government LE","subRegionAlt":"US Local Gov LE CB","billingState":"California","billingCity":"Redwood City","deploymentStartDate":"Tue Dec 16 2025 00:00:00 GMT-0500 (Eastern Standard Time)","mtpDate":"Mon Apr 27 2026 00:00:00 GMT-0400 (Eastern Daylight Time)","firstMtpDate":"Mon Apr 27 2026 00:00:00 GMT-0400 (Eastern Daylight Time)","overallStatus":"Active","phase":"Your Way","stage":"Post Prod","health":"Green","completionDate":"","wdEngManager":"","damFullName":"","primingPartner":"0018000000MWLrxAAH","implPartner":"0018000000MWLrxAAH","partner":"Mercer (US) LLC","currentUpdate":"6/22:  Hypercare support ongoing for Learning deployment.\nPeakon testing complete.  Project progessing as planned.\nBoth module's go live date is planned for 7/1.","isExecutiveWatch":false,"wellnessData":null},{"deploymentId":"a0r4X00000CbB92QAF","deploymentName":"Subsequent-Phase X-Prism Analytics","accountId":"0018000000Wtz2LAAR","accountName":"County of San Mateo","industry":"State &amp; Local Government","region":"US SLED","subRegion":"Local Government LE","subRegionAlt":"US Local Gov LE CB","billingState":"California","billingCity":"Redwood City","deploymentStartDate":"Fri Nov 13 2020 00:00:00 GMT-0500 (Eastern Standard Time)","mtpDate":"Wed Jun 02 2021 00:00:00 GMT-0400 (Eastern Daylight Time)","firstMtpDate":"Wed Jun 02 2021 00:00:00 GMT-0400 (Eastern Daylight Time)","overallStatus":"Complete","phase":"Phase X - Your Way","stage":"Post Prod","health":"Green","completionDate":"Wed Jun 30 2021 00:00:00 GMT-0400 (Eastern Daylight Time)","wdEngManager":"","damFullName":"","primingPartner":"0018000000hIF6bAAG","implPartner":"0018000000hIF6bAAG","partner":"Workday Professional Services","currentUpdate":"06/24/21: The final project close out meeting with the customer was completed on June 22nd. The final invoice has been sent to the customer and the project will be closed next week.","isExecutiveWatch":false,"wellnessData":null},{"deploymentId":"a0r4X00000DZbvGQAT","deploymentName":"Subsequent-Phase X: Expenses","accountId":"0018000000Wtz2LAAR","accountName":"County of San Mateo","industry":"State &amp; Local Government","region":"US SLED","subRegion":"Local Government LE","subRegionAlt":"US Local Gov LE CB","billingState":"California","billingCity":"Redwood City","deploymentStartDate":"Wed Feb 23 2022 00:00:00 GMT-0500 (Eastern Standard Time)","mtpDate":"Wed Jul 13 2022 00:00:00 GMT-0400 (Eastern Daylight Time)","firstMtpDate":"Wed Jul 13 2022 00:00:00 GMT-0400 (Eastern Daylight Time)","overallStatus":"Complete","phase":"Phase X - Your Way","stage":"Deploy","health":"Green","completionDate":"Tue Oct 11 2022 00:00:00 GMT-0400 (Eastern Daylight Time)","wdEngManager":"Holly Hall-Perry","damFullName":"","primingPartner":"0018000000hIF6bAAG","implPartner":"0018000000hIF6bAAG","partner":"Workday Professional Services","currentUpdate":"7/31/22 - Knowledge Transfer complete. Production support complete. Customer successfully live. Last communication was email check-in on 8/17/22, and things were going well.","isExecutiveWatch":false,"wellnessData":null},{"deploymentId":"a0r4X00000CbUO6QAN","deploymentName":"Subsequent-Phase X: People Analytics","accountId":"0018000000Wtz2LAAR","accountName":"County of San Mateo","industry":"State &amp; Local Government","region":"US SLED","subRegion":"Local Government LE","subRegionAlt":"US Local Gov LE CB","billingState":"California","billingCity":"Redwood City","deploymentStartDate":"Wed Dec 16 2020 00:00:00 GMT-0500 (Eastern Standard Time)","mtpDate":"Tue Apr 13 2021 00:00:00 GMT-0400 (Eastern Daylight Time)","firstMtpDate":"Tue Apr 13 2021 00:00:00 GMT-0400 (Eastern Daylight Time)","overallStatus":"Complete","phase":"Phase X - Your Way","stage":"Post Prod","health":"Green","completionDate":"Fri Apr 30 2021 00:00:00 GMT-0400 (Eastern Daylight Time)","wdEngManager":"","damFullName":"","primingPartner":"0018000000hIF6bAAG","implPartner":"0018000000hIF6bAAG","partner":"Workday Professional Services","currentUpdate":"04/30/21: Project is complete and PSA project has been closed.","isExecutiveWatch":false,"wellnessData":null},{"deploymentId":"a0r4X00000DbGpzQAF","deploymentName":"Initial Deployment-Your Way: CHCM, TLO, CCB, USP, LRN, MCNF, REC, FIN, etc.","accountId":"0018000000UheznAAB","accountName":"County of Santa Barbara","industry":"State &amp; Local Government","region":"US SLED","subRegion":"Local Government LE","subRegionAlt":"US Local Gov LE CB","billingState":"California","billingCity":"Santa Barbara","deploymentStartDate":"Thu Jun 23 2022 00:00:00 GMT-0400 (Eastern Daylight Time)","mtpDate":"Sun Jul 27 2025 00:00:00 GMT-0400 (Eastern Daylight Time)","firstMtpDate":"","overallStatus":"Complete","phase":"Your Way","stage":"Post Prod","health":"Green","completionDate":"Wed Dec 31 2025 00:00:00 GMT-0500 (Eastern Standard Time)","wdEngManager":"","damFullName":"Bill Hansen","primingPartner":"00130000008MSknAAG","implPartner":"00130000008MSknAAG","partner":"Accenture LLP","currentUpdate":"Phase III - Prism use cases are complete, moved to SBX, and validated by the client.  Client will move into PRD after the start of the year once approved by the change control board. Contract with ACN is complete as of 12/31. ACN to mark complete at MTP.","isExecutiveWatch":false,"wellnessData":null},{"deploymentId":"a0r4X00000CrVBOQA3","deploymentName":"Initial Deployment-Your Way-CHCM, TLO, CCB, USP, PRA, TT, etc.","accountId":"0018000000Wtz2OAAR","accountName":"County of Santa Cruz","industry":"State &amp; Local Government","region":"US SLED","subRegion":"Local Government ME","subRegionAlt":"US Local Gov ME CB","billingState":"California","billingCity":"Santa Cruz","deploymentStartDate":"Thu Jul 11 2024 00:00:00 GMT-0400 (Eastern Daylight Time)","mtpDate":"Mon Apr 06 2026 00:00:00 GMT-0400 (Eastern Daylight Time)","firstMtpDate":"","overallStatus":"Active","phase":"Your Way","stage":"Plan","health":"Green","completionDate":"","wdEngManager":"","damFullName":"","primingPartner":"0011B00002CZvnrQAD","implPartner":"0011B00002CZvnrQAD","partner":"Guidehouse Inc","currentUpdate":"6/22/26 - ESS/MSS Go Live today.","isExecutiveWatch":false,"wellnessData":null},{"deploymentId":"a0r4X00000D7sbtQAB","deploymentName":"Initial Deployment-Your Way: CHCM, CCB, USP, LRN, LRNXE, REC, FIN, etc.","accountId":"0018000001WtCLpAAN","accountName":"County of Scott","industry":"State &amp; Local Government","region":"US SLED","subRegion":"Local Government ME","subRegionAlt":"US Local Gov ME CB","billingState":"Minnesota","billingCity":"Shakopee","deploymentStartDate":"Mon Aug 07 2023 00:00:00 GMT-0400 (Eastern Daylight Time)","mtpDate":"Sun Dec 07 2025 00:00:00 GMT-0500 (Eastern Standard Time)","firstMtpDate":"Sun Dec 07 2025 00:00:00 GMT-0500 (Eastern Standard Time)","overallStatus":"Complete","phase":"Your Way","stage":"Post Prod","health":"Green","completionDate":"Tue Mar 10 2026 00:00:00 GMT-0400 (Eastern Daylight Time)","wdEngManager":"","damFullName":"Kirk Krikorian","primingPartner":"0013000000KdrrVAAR","implPartner":"0013000000KdrrVAAR","partner":"Strada U.S. Professi</t>
  </si>
  <si>
    <t>Netherlands ME NN</t>
  </si>
  <si>
    <t>sfdcRows:default:chunk:7</t>
  </si>
  <si>
    <t>a0pVT000009dJ7FYAU</t>
  </si>
  <si>
    <t>a0rVT000013WJTVYA4</t>
  </si>
  <si>
    <t>07/27 Deploy to PROD didn't occurred on 07/22 .MTD 07/31</t>
  </si>
  <si>
    <t>a0pVT000009dJ7GYAU</t>
  </si>
  <si>
    <t>a0rVT000012VKwrYAG</t>
  </si>
  <si>
    <t>Gogo Business Aviation LLC</t>
  </si>
  <si>
    <t>a0pVT000009gbIvYAI</t>
  </si>
  <si>
    <t>a0rVT000013eXpRYAU</t>
  </si>
  <si>
    <t>a0rVT00000XYchPYAT</t>
  </si>
  <si>
    <t>Subsequent-Phase X: HiredScore</t>
  </si>
  <si>
    <t>Golub Capital LLC</t>
  </si>
  <si>
    <t>a0pVT00000AGL5xYAH</t>
  </si>
  <si>
    <t>a0rVT000013mVldYAE</t>
  </si>
  <si>
    <t>a0pVT000009rVA9YAM</t>
  </si>
  <si>
    <t>a0rVT000013xmpZYAQ</t>
  </si>
  <si>
    <t>Customer is expected to complete sign off and migrate Workday Configuration to Production this week. 4 weeks until go-live. Setup complete, 
The client is live but they want to  receive clarification regarding the claim.</t>
  </si>
  <si>
    <t>Goodwin Procter LLP</t>
  </si>
  <si>
    <t>a0pVT000009rVBlYAM</t>
  </si>
  <si>
    <t>a0pVT000009y9McYAI</t>
  </si>
  <si>
    <t>Client decided to hold off the project due to the mobely case. latest from the client : “The collective action against Workday, alleging the AI-based applicant recommendation software had negatively affected candidates aged 40 and up in the hiring process</t>
  </si>
  <si>
    <t>a0rVT0000148iqfYAA</t>
  </si>
  <si>
    <t>a0rVT000015kpddYAA</t>
  </si>
  <si>
    <t>Subsequent-PhaseX-Paradox</t>
  </si>
  <si>
    <t>Government Employees Insurance Company</t>
  </si>
  <si>
    <t>a0pVT000009y9MbYAI</t>
  </si>
  <si>
    <t>Raj Menon</t>
  </si>
  <si>
    <t>a0pVT000009v4zNYAQ</t>
  </si>
  <si>
    <t>a0rVT000014AGAUYA4</t>
  </si>
  <si>
    <t>Conducted 3 design overview sessions with different end user groups to walk them thru future solution. Received excellent feedback from session participants. Onboarded technical consultant to the project and scheduled technical sessions with the customer.</t>
  </si>
  <si>
    <t>a0rVT00000P3fRjYAJ</t>
  </si>
  <si>
    <t>Granite Construction Incorporated</t>
  </si>
  <si>
    <t>a0pVT00000A6t5iYAB</t>
  </si>
  <si>
    <t>a0pVT00000A6t5hYAB</t>
  </si>
  <si>
    <t>a0pVT000009mW0WYAU</t>
  </si>
  <si>
    <t>a0rVT000014EOMEYA4</t>
  </si>
  <si>
    <t>Client is Live</t>
  </si>
  <si>
    <t>a0pVT000009mW0QYAU</t>
  </si>
  <si>
    <t>Gray &amp; Company, Inc.</t>
  </si>
  <si>
    <t>a0pVT000009mW0RYAU</t>
  </si>
  <si>
    <t>Client paused during contract load due to resource constraints. Replanning underway</t>
  </si>
  <si>
    <t>Green Infrastructure Partners Inc.</t>
  </si>
  <si>
    <t>a0pVT000009mW0SYAU</t>
  </si>
  <si>
    <t>Canada DI LE West</t>
  </si>
  <si>
    <t>a0pVT000009mW0TYAU</t>
  </si>
  <si>
    <t>The project went live today as planned and now it's in 4 weeks of hypercare period</t>
  </si>
  <si>
    <t>a0rVT0000178HITYA2</t>
  </si>
  <si>
    <t>a0pVT000009mW0UYAU</t>
  </si>
  <si>
    <t>Greenix Holdings LLC</t>
  </si>
  <si>
    <t>a0pVT000009mW0VYAU</t>
  </si>
  <si>
    <t>onal Services, LLC","currentUpdate":"02/27/2026: Preparing for Adaptive Final Go/No Go meeting. Continue working on JIRAs and other support during hypercare.  Awaiting AMS vendor name to coordinate KT sessions.","isExecutiveWatch":false,"wellnessData":null},{"deploymentId":"a0r4X00000Ef44vQAB","deploymentName":"Initial Deployment-Launch-HCM &amp; PATT","accountId":"0018000000tT0wWAAS","accountName":"County of Stearns","industry":"State &amp; Local Government","region":"US SLED","subRegion":"Local Government ME","subRegionAlt":"US Local Gov ME CB","billingState":"Minnesota","billingCity":"Saint Cloud","deploymentStartDate":"Fri Feb 23 2024 00:00:00 GMT-0500 (Eastern Standard Time)","mtpDate":"Fri Jun 06 2025 00:00:00 GMT-0400 (Eastern Daylight Time)","firstMtpDate":"Fri Jun 06 2025 00:00:00 GMT-0400 (Eastern Daylight Time)","overallStatus":"Complete","phase":"Launch","stage":"Post Prod","health":"Green","completionDate":"Thu Jul 31 2025 00:00:00 GMT-0400 (Eastern Daylight Time)","wdEngManager":"","damFullName":"Kirk Krikorian","primingPartner":"0018000001IzqpSAAR","implPartner":"0018000001IzqpSAAR","partner":"Avaap USA, LLC","currentUpdate":"JMS: 07.25.25  - Completion of 2nd live payroll successful. Prepping material  for future processing with Retros. OCM complete.","isExecutiveWatch":false,"wellnessData":null},{"deploymentId":"a0r1B00000CkqczQAB","deploymentName":"initial Deployment-Your Way:HCM, CCB, USP, LRN, REC, TT","accountId":"0018000000Wtz9CAAR","accountName":"County of Suffolk","industry":"State &amp; Local Government","region":"US SLED","subRegion":"Local Government LE","subRegionAlt":"US Local Gov LE CB","billingState":"New York","billingCity":"Hauppauge","deploymentStartDate":"Tue Jun 09 2020 00:00:00 GMT-0400 (Eastern Daylight Time)","mtpDate":"Sun Dec 12 2021 00:00:00 GMT-0500 (Eastern Standard Time)","firstMtpDate":"Sun Dec 12 2021 00:00:00 GMT-0500 (Eastern Standard Time)","overallStatus":"Complete","phase":"Your Way","stage":"Deploy","health":"Green","completionDate":"Sat Mar 12 2022 00:00:00 GMT-0500 (Eastern Standard Time)","wdEngManager":"","damFullName":"Banjo Simbahan","primingPartner":"00130000008MSknAAG","implPartner":"00130000008MSknAAG","partner":"Accenture LLP","currentUpdate":"Project is live on HCM and Payroll - End Users are in the system as of 12/27/21.","isExecutiveWatch":false,"wellnessData":null},{"deploymentId":"a0rVT00000sUZJ0YAO","deploymentName":"Subsequent-Phase X-Your Way: Expenses","accountId":"0018000000Wtz9CAAR","accountName":"County of Suffolk","industry":"State &amp; Local Government","region":"US SLED","subRegion":"Local Government LE","subRegionAlt":"US Local Gov LE CB","billingState":"New York","billingCity":"Hauppauge","deploymentStartDate":"Mon Dec 01 2025 00:00:00 GMT-0500 (Eastern Standard Time)","mtpDate":"Fri Jul 31 2026 00:00:00 GMT-0400 (Eastern Daylight Time)","firstMtpDate":"","overallStatus":"Active","phase":"Your Way","stage":"Test","health":"Green","completionDate":"","wdEngManager":"Pawan Sutrala","damFullName":"","primingPartner":"0018000000hIF6bAAG","implPartner":"0018000000hIF6bAAG","partner":"Workday Professional Services","currentUpdate":"06/09 - Deployment date to be confirmed today in team call","isExecutiveWatch":false,"wellnessData":null},{"deploymentId":"a0rVT00000rvb7lYAA","deploymentName":"Subsequent-Phase X: Adaptive Planning","accountId":"0018000000Wtz9CAAR","accountName":"County of Suffolk","industry":"State &amp; Local Government","region":"US SLED","subRegion":"Local Government LE","subRegionAlt":"US Local Gov LE CB","billingState":"New York","billingCity":"Hauppauge","deploymentStartDate":"Mon Jan 05 2026 00:00:00 GMT-0500 (Eastern Standard Time)","mtpDate":"Mon Jun 01 2026 00:00:00 GMT-0400 (Eastern Daylight Time)","firstMtpDate":"Mon Jun 01 2026 00:00:00 GMT-0400 (Eastern Daylight Time)","overallStatus":"Complete","phase":"Your Way","stage":"Post Prod","health":"Green","completionDate":"Mon Jun 15 2026 00:00:00 GMT-0400 (Eastern Daylight Time)","wdEngManager":"Pawan Sutrala","damFullName":"","primingPartner":"0018000000hIF6bAAG","implPartner":"0018000000hIF6bAAG","partner":"Workday Professional Services","currentUpdate":"06/09 - Customer is live in Production","isExecutiveWatch":false,"wellnessData":null},{"deploymentId":"a0r4X00000DcJ7tQAF","deploymentName":"Initial Deployment-Launch Suite: LDPHCM, LDPCCB, LDPBEN, LDPUSP, LDPFIN, etc.","accountId":"0018000000kuvpQAAQ","accountName":"County of Sutter","industry":"State &amp; Local Government","region":"US SLED","subRegion":"Local Government ME","subRegionAlt":"US Local Gov ME CB","billingState":"California","billingCity":"Yuba City","deploymentStartDate":"Thu Aug 18 2022 00:00:00 GMT-0400 (Eastern Daylight Time)","mtpDate":"Thu Apr 11 2024 00:00:00 GMT-0400 (Eastern Daylight Time)","firstMtpDate":"Thu Apr 11 2024 00:00:00 GMT-0400 (Eastern Daylight Time)","overallStatus":"Complete","phase":"Launch","stage":"Post Prod","health":"Green","completionDate":"Tue Dec 31 2024 00:00:00 GMT-0500 (Eastern Standard Time)","wdEngManager":"","damFullName":"","primingPartner":"0018000000hIF6bAAG","implPartner":"0018000000hIF6bAAG","partner":"Workday Professional Services","currentUpdate":"01/24: CCS was completed an Testing has started.  No material issues.","isExecutiveWatch":false,"wellnessData":null},{"deploymentId":"a0rVT000016HPNsYAO","deploymentName":"Subsequent-Phase X: Learning","accountId":"0018000000kuvpQAAQ","accountName":"County of Sutter","industry":"State &amp; Local Government","region":"US SLED","subRegion":"Local Government ME","subRegionAlt":"US Local Gov ME CB","billingState":"California","billingCity":"Yuba City","deploymentStartDate":"Thu Jun 11 2026 00:00:00 GMT-0400 (Eastern Daylight Time)","mtpDate":"","firstMtpDate":"","overallStatus":"Active","phase":"Launch","stage":"Plan","health":"Green","completionDate":"","wdEngManager":"","damFullName":"","primingPartner":"0018000001IzqpSAAR","implPartner":"0018000001IzqpSAAR","partner":"Avaap USA, LLC","currentUpdate":"6/11:  Planning phase for Learning project.","isExecutiveWatch":false,"wellnessData":null},{"deploymentId":"a0rVT00000SFgOcYAL","deploymentName":"Initial Deployment-Launch-LDPTT, LDPAM, LDPEXP, LDPPRO, TC, WSP, etc.","accountId":"0014X00002lth0vQAA","accountName":"County of Walla Walla, WA","industry":"State &amp; Local Government","region":"US SLED","subRegion":"Local Government ME","subRegionAlt":"US Local Gov ME CB","billingState":"Washington","billingCity":"Walla Walla","deploymentStartDate":"Thu Feb 27 2025 00:00:00 GMT-0500 (Eastern Standard Time)","mtpDate":"Sun Dec 21 2025 00:00:00 GMT-0500 (Eastern Standard Time)","firstMtpDate":"Sun Dec 21 2025 00:00:00 GMT-0500 (Eastern Standard Time)","overallStatus":"Active","phase":"Launch","stage":"Deploy","health":"Green","completionDate":"","wdEngManager":"","damFullName":"","primingPartner":"0018000000MWLslAAH","implPartner":"0018000000MWLslAAH","partner":"Collaborative Solutions, LLC","currentUpdate":"6/3/26 - Finalizing Prism reports.  Supporting conversion of business assets.  All other project work is completed.","isExecutiveWatch":false,"wellnessData":null},{"deploymentId":"a0rVT00000x7GKfYAM","deploymentName":"Subsequent- Phase X- Phase 2: HCM","accountId":"0014X00002lth0vQAA","accountName":"County of Walla Walla, WA","industry":"State &amp; Local Government","region":"US SLED","subRegion":"Local Government ME","subRegionAlt":"US Local Gov ME CB","billingState":"Washington","billingCity":"Walla Walla","deploymentStartDate":"Tue Feb 10 2026 00:00:00 GMT-0500 (Eastern Standard Time)","mtpDate":"","firstMtpDate":"","overallStatus":"Active","phase":"Launch","stage":"Architect &amp; Configure","health":"Green","completionDate":"","wdEngManager":"","damFullName":"","primingPartner":"0018000000MWLslAAH","implPartner":"0018000000MWLslAAH","partner":"Collaborative Solutions, LLC","currentUpdate":"6/23 - Wrapping up A&amp;C stage.  Finalizing change orders for scope updates. Building end to end tenant for testing to begin 7/12.","isExecutiveWatch":false,"wellnessData":null},{"deploymentId":"a0r4X00000ETX33QAH","deploymentName":"Initial Deployment-Launch-LDPHCM, LDPCCB, LDPBEN, LDPUSP, LDPFIN, etc.","accountId":"0018000000WtzAiAAJ","accountName":"County of Warren (Precision Task Group, Inc.)","industry":"State &amp; Local Government","region":"US SLED","subRegion":"Local Government ME","subRegionAlt":"US Local Gov ME CB","billingState":"Mississippi","billingCity":"Vicksburg","deploymentStartDate":"Mon Mar 17 2025 00:00:00 GMT-0400 (Eastern Daylight Time)","mtpDate":"Wed Apr 01 2026 00:00:00 GMT-0400 (Eastern Daylight Time)","firstMtpDate":"Wed Apr 01 2026 00:00:00 GMT-0400 (Eastern Daylight Time)","overallStatus":"Active","phase":"Launch","stage":"Deploy","health":"Green","completionDate":"","wdEngManager":"Cortney Wanca","damFullName":"","primingPartner":"0018000000hIF6bAAG","implPartner":"0018000000hIF6bAAG","partner":"Workday Professional Services","currentUpdate":"6/23/2026 - Integration and Reporting have open items.  Working with consultants and customer to close out those items.","isExecutiveWatch":false,"wellnessData":null},{"deploymentId":"a0rVT00000wIG05YAG","deploymentName":"Subsequent-Phase X: HCM, Pay, Absence, Benefits, Time Tracking","accountId":"0018000000WtzAiAAJ","accountName":"County of Warren (Precision Task Group, Inc.)","industry":"State &amp; Local Government","region":"US SLED","subRegion":"Local Government ME","subRegionAlt":"US Local Gov ME CB","billingState":"Mississippi","billingCity":"Vicksburg","deploymentStartDate":"Mon Mar 02 2026 00:00:00 GMT-0500 (Eastern Standard Time)","mtpDate":"","firstMtpDate":"","overallStatus":"Active","phase":"Launch","stage":"Plan","health":"Green","completionDate":"","wdEngManager":"Cortney Wanca","damFullName":"","primingPartner":"0018000000hIF6bAAG","implPartner":"0018000000hIF6bAAG","partner":"Workday Professional Services","currentUpdate":"6/23/2026 - Warren County is working on data extracts.  HCM Consultants are engaging with customer, but Warren County is slow to respond with requests and decisions.","isExecutiveWatch":false,"wellnessData":null},{"deploymentId":"a0r4X00000Ef2b4QAB","deploymentName":"Initial Deployment-Your Way: CHCM, TLO, CCB, USP, LRN, etc.","accountId":"0018000000WtzB1AAJ","accountName":"County of Waukesha","industry":"State &amp; Local Government","region":"US SLED","subRegion":"Local Government ME","subRegionAlt":"US Local Gov ME CB","billingState":"Wisconsin","billingCity":"Waukesha","deploymentStartDate":"Fri Jan 05 2024 00:00:00 GMT-0500 (Eastern Standard Time)","mtpDate":"Mon Apr 14 2025 00:00:00 GMT-0400 (Eastern Daylight Time)","firstMtpDate":"Mon Apr 14 2025 00:00:00 GMT-0400 (Eastern Daylight Time)","overallStatus":"Complete","phase":"Your Way","stage":"Post Prod","health":"Green","completionDate":"Tue May 27 2025 00:00:00 GMT-0400 (Eastern Daylight Time)","wdEngManager":"","damFullName":"","primingPartner":"0018000001IzqpSAAR","implPartner":"0018000001IzqpSAAR","partner":"Avaap USA, LLC","currentUpdate":"Production support in progress","isExecutiveWatch":false,"wellnessData":null},{"deploymentId":"a0rVT00000UpTGPYA3","deploymentName":"Subsequent-Phase X:Workday Extend, SS, Learning and Prism Analytics","accountId":"0018000000WtzB1AAJ","accountName":"County of Waukesha","industry":"State &amp; Local Government","region":"US SLED","subRegion":"Local Government ME","subRegionAlt":"US Local Gov ME CB","billingState":"Wisconsin","billingCity":"Waukesha","deploymentStartDate":"Mon Jun 30 2025 00:00:00 GMT-0400 (Eastern Daylight Time)","mtpDate":"Fri Jan 16 2026 00:00:00 GMT-0500 (Eastern Standard Time)","firstMtpDate":"","overallStatus":"Complete","phase":"Your Way","stage":"Post Prod","health":"Green","completionDate":"Fri Feb 27 2026 00:00:00 GMT-0500 (Eastern Standard Time)","wdEngManager":"","damFullName":"Dan Terrell","primingPartner":"0018000001IzqpSAAR","implPartner":"0018000001IzqpSAAR","partner":"Avaap USA, LLC","currentUpdate":"2/27/26 JD - project complete","isExecutiveWatch":false,"wellnessData":null},{"deploymentId":"a0r4X00000ETWIbQAP","deploymentName":"Initial Deployment-Launch-LDPHCM, LDPJRNY, LDPCCB, LDPBEN, LDPUSP, etc","accountId":"0018000001WMFbUAAX","accountName":"County of Waupaca","industry":"State &amp; Local Government","region":"US SLED","subRegion":"Local Government ME","subRegionAlt":"US Local Gov ME CB","billingState":"Wisconsin","billingCity":"Waupaca","deploymentStartDate":"Wed Oct 16 2024 00:00:00 GMT-0400 (Eastern Daylight Time)","mtpDate":"Sun Dec 14 2025 00:00:00 GMT-0500 (Eastern Standard Time)","firstMtpDate":"Sun Dec 14 2025 00:00:00 GMT-0500 (Eastern Standard Time)","overallStatus":"Active","phase":"Launch","stage":"Deploy","health":"Green","completionDate":"","wdEngManager":"Danni Harris","damFullName":"","primingPartner":"0018000000hIF6bAAG","implPartner":"0018000000hIF6bAAG","partner":"Workday Professional Services","currentUpdate":"6/9- Deploy stage is underway and sign off to MTP has been received from the client. Go live day is projected for 6/29 and we are on target as of today.","isExecutiveWatch":false,"wellnessData":null},{"deploymentId":"a0r4X00000E10SrQAJ","deploymentName":"Initial Deployment-Your Way: CHCM, TLO, FIN, CCB, USP, LRN, etc.","accountId":"0018000000kuvphAAA","accountName":"County of Weld","industry":"State &amp; Local Government","region":"US SLED","subRegion":"Local Government ME","subRegionAlt":"US Local Gov ME CB","billingState":"Colorado","billingCity":"Greeley","deploymentStartDate":"Mon Mar 06 2023 00:00:00 GMT-0500 (Eastern Standard Time)","mtpDate":"Mon Jun 10 2024 00:00:00 GMT-0400 (Eastern Daylight Time)","firstMtpDate":"Mon Jun 10 2024 00:00:00 GMT-0400 (Eastern Daylight Time)","overallStatus":"Complete","phase":"Your Way","stage":"Post Prod","health":"Green","completionDate":"Fri Aug 30 2024 00:00:00 GMT-0400 (Eastern Daylight Time)","wdEngManager":"","damFullName":"Michael Biagini","primingPartner":"0018000000MWLslAAH","implPartner":"0018000000MWLslAAH","partner":"Collaborative Solutions, LLC","currentUpdate":"Post Production activities have concluded.   Scorecard will be closed at the end of this week as we transition to Phase-2 FINS project.","isExecutiveWatch":false,"wellnessData":null},{"deploymentId":"a0r4X00000DCG7IQAX","deploymentName":"Subsequent-PhaseX: Phase 2","accountId":"0018000000kuvphAAA","accountName":"County of Weld","industry":"State &amp; Local Government","region":"US SLED","subRegion":"Local Government ME","subRegionAlt":"US Local Gov ME CB","billingState":"Colorado","billingCity":"Greeley","deploymentStartDate":"Mon Jul 29 2024 00:00:00 GMT-0400 (Eastern Daylight Time)","mtpDate":"Wed Apr 08 2026 00:00:00 GMT-0400 (Eastern Daylight Time)","firstMtpDate":"Wed Apr 08 2026 00:00:00 GMT-0400 (Eastern Daylight Time)","overallStatus":"Complete","phase":"Your Way","stage":"Post Prod","health":"Green","completionDate":"Tue Apr 28 2026 00:00:00 GMT-0400 (Eastern Daylight Time)","wdEngManager":"","damFullName":"Michael Biagini","primingPartner":"0018000000MWLslAAH","implPartner":"0018000000MWLslAAH","partner":"Collaborative Solutions, LLC","currentUpdate":"Adaptive Planning final week of support is this week.  Grants roll-out will continue thru mid-year with support from Cognizant.","isExecutiveWatch":false,"wellnessData":null},{"deploymentId":"a0rVT00000rOKbnYAG","deploymentName":"Initial Deployment-Launch-LDPPLNF, LDPPRA, LDPPRJT, LDPCLM, TC, WSP, LDPUSP etc.","accountId":"0018000000kuvtrAAA","accountName":"County of Williamson, TX","industry":"State &amp; Local Government","region":"US SLED","subRegion":"Local Government ME","subRegionAlt":"US Local Gov ME CB","billingState":"Texas","billingCity":"Georgetown","deploymentStartDate":"Thu Nov 13 2025 00:00:00 GMT-0500 (Eastern Standard Time)","mtpDate":"Mon Dec 07 2026 00:00:00 GMT-0500 (Eastern Standard Time)","firstMtpDate":"","overallStatus":"Active","phase":"Launch","stage":"Architect &amp; Configure","health":"Green","completionDate":"","wdEngManager":"","damFullName":"","primingPartner":"0018000001IzqpSAAR","implPartner":"0018000001IzqpSAAR","partner":"Avaap USA, LLC","currentUpdate":"6/23 - CM - E2E Build activities and Planning is in progress.  Data Extraction and load is approx. 3 days behind, but no significant issues at this time. Integration work continues as well as reporting and OCM.","isExecutiveWatch":false,"wellnessData":null},{"deploymentId":"a0r1B00000BUykMQAT","deploymentName":"Initial Deployment-Your Way:FIN, PRO, INV, GM, EXP, PB, PRJT","accountId":"0018000000kuvuOAAQ","accountName":"County of Yakima","industry":"State &amp; Local Government","region":"US SLED","subRegion":"Local Government ME","subRegionAlt":"US Local Gov ME CB","billingState":"Washington","billingCity":"Yakima","deploymentStartDate":"Mon May 06 2019 00:00:00 GMT-0400 (Eastern Daylight Time)","mtpDate":"Tue Jun 30 2020 00:00:00 GMT-0400 (Eastern Daylight Time)","firstMtpDate":"Tue Jun 30 2020 00:00:00 GMT-0400 (Eastern Daylight Time)","overallStatus":"Complete","phase":"Your Way","stage":"Post Prod","health":"Green","completionDate":"Mon Sep 14 2020 00:00:00 GMT-0400 (Eastern Daylight Time)","wdEngManager":"","damFullName":"","primingPartner":"00130000008MSknAAG","implPartner":"00130000008MSknAAG","partner":"Accenture LLP","currentUpdate":"09.14.20: Client has completed July Financials Month End Close. New optimizations being tracked through support contract. Closing this project.","isExecutiveWatch":false,"wellnessData":null},{"deploymentId":"a0r1B00000BUykHQAT","deploymentName":"Initial Deployment-Your Way:HCM, CCB, USP, TT, PLN, REC","accountId":"0018000000kuvuOAAQ","accountName":"County of Yakima","industry":"State &amp; Local Government","region":"US SLED","subRegion":"Local Government ME","subRegionAlt":"US Local Gov ME CB","billingState":"Washington","billingCity":"Yakima","deploymentStartDate":"Mon May 06 2019 00:00:00 GMT-0400 (Eastern Daylight Time)","mtpDate":"Wed Jul 01 2020 00:00:00 GMT-0400 (Eastern Daylight Time)","firstMtpDate":"Wed Jul 01 2020 00:00:00 GMT-0400 (Eastern Daylight Time)","overallStatus":"Complete","phase":"Your Way","stage":"Deploy","health":"Green","completionDate":"Tue Sep 29 2020 00:00:00 GMT-0400 (Eastern Daylight Time)","wdEngManager":"","damFullName":"","primingPartner":"00130000008MSknAAG","implPartner":"00130000008MSknAAG","partner":"Accenture LLP","currentUpdate":"09.27.20: Client testing remaining post-production changes.  Extending consultants through December.  New optimizations being tracked through support contract.","isExecutiveWatch":false,"wellnessData":null},{"deploymentId":"a0r4X00000CcFOIQA3","deploymentName":"Subsequent-Phase X-Talent&amp;Performance","accountId":"0018000000kuvuOAAQ","accountName":"County of Yakima","industry":"State &amp; Local Government","region":"US SLED","subRegion":"Local Government ME","subRegionAlt":"US Local Gov ME CB","billingState":"Washington","billingCity":"Yakima","deploymentStartDate":"Thu Feb 04 2021 00:00:00 GMT-0500 (Eastern Standard Time)","mtpDate":"Mon Feb 14 2022 00:00:00 GMT-0500 (Eastern Standard Time)","firstMtpDate":"Mon Feb 14 2022 00:00:00 GMT-0500 (Eastern Standard Time)","overallStatus":"Complete","phase":"Phase X - Launch","stage":"Post Prod","health":"Green","completionDate":"Fri Mar 11 2022 00:00:00 GMT-0500 (Eastern Standard Time)","wdEngManager":"","damFullName":"","primingPartner":"00130000008MSknAAG","implPartner":"00130000008MSknAAG","partner":"Accenture LLP","currentUpdate":"2.14.22 ~  Live!  Knowledge Transfer and PPS","isExecutiveWatch":false,"wellnessData":null},{"deploymentId":"a0r4X00000CbDIBQA3","deploymentName":"Subsequent-Phase X: AI Planning","accountId":"0018000000kuvuOAAQ","accountName":"County of Yakima","industry":"State &amp; Local Government","region":"US SLED","subRegion":"Local Government ME","subRegionAlt":"US Local Gov ME CB","billingState":"Washington","billingCity":"Yakima","deploymentStartDate":"Tue Dec 01 2020 00:00:00 GMT-0500 (Eastern Standard Time)","mtpDate":"Fri May 14 2021 00:00:00 GMT-0400 (Eastern Daylight Time)","firstMtpDate":"Fri May 14 2021 00:00:00 GMT-0400 (Eastern Daylight Time)","overallStatus":"Complete","phase":"Phase X - Planning","stage":"Post Prod","health":"Green","completionDate":"Thu Jul 15 2021 00:00:00 GMT-0400 (Eastern Daylight Time)","wdEngManager":"","damFullName":"","primingPartner":"00130000008MSknAAG","implPartner":"00130000008MSknAAG","partner":"Accenture LLP","currentUpdate":"6/1/21 -  Wrap up E2E testing \r\n\r\nTarget go live moved to  5/14/21","isExecutiveWatch":false,"wellnessData":null},{"deploymentId":"a0r4X00000DCGIBQA5","deploymentName":"Initial Deployment-Your Way: CHCM, TLO, CCB, USP, LRN, REC, FIN, etc.","accountId":"0011B00002FdxVLQAZ","accountName":"Cowlitz Tribal Gaming Authority dba ilani","industry":"Special Districts","region":"US SLED","subRegion":"Local Government ME","subRegionAlt":"US Local Gov ME CB","billingState":"Washington","billingCity":"Ridgefield","deploymentStartDate":"Mon Oct 02 2023 00:00:00 GMT-0400 (Eastern Daylight Time)","mtpDate":"Thu Apr 11 2024 00:00:00 GMT-0400 (Eastern Daylight Time)","firstMtpDate":"Thu Apr 11 2024 00:00:00 GMT-0400 (Eastern Daylight Time)","overallStatus":"Complete","phase":"Your Way","stage":"Post Prod","health":"Green","completionDate":"Fri Jul 19 2024 00:00:00 GMT-0400 (Eastern Daylight Time)","wdEngManager":"","damFullName":"Mindy Stanley","primingPartner":"0013000000HRzHgAAL","implPartner":"0013000000HRzHgAAL","partner":"PricewaterhouseCoopers Advisory Services LLC (USA)","currentUpdate":"Go-live complete. Extend DA review pending on customer review.","isExecutiveWatch":false,"wellnessData":null},{"deploymentId":"a0rVT00000Xi1lPYAR","deploymentName":"Subsequent-Phase X-Time Tracking","accountId":"0011B00002FdxVLQAZ","accountName":"Cowlitz Tribal Gaming Authority dba ilani","industry":"Special Districts","region":"US SLED","subRegion":"Local Government ME","subRegionAlt":"US Local Gov ME CB","billingState":"Washington","billingCity":"Ridgefield","deploymentStartDate":"Mon Mar 17 2025 00:00:00 GMT-0400 (Eastern Daylight Time)","mtpDate":"Fri Aug 15 2025 00:00:00 GMT-0400 (Eastern Daylight Time)","firstMtpDate":"Fri Aug 15 2025 00:00:00 GMT-0400 (Eastern Daylight Time)","overallStatus":"Complete","phase":"Your Way","stage":"Post Prod","health":"Green","completionDate":"Fri Oct 03 2025 00:00:00 GMT-0400 (Eastern Daylight Time)","wdEngManager":"","damFullName":"","primingPartner":"0013000000HRzHgAAL","implPartner":"0013000000HRzHgAAL","partner":"PricewaterhouseCoopers Advisory Services LLC (USA)","currentUpdate":"Engagement is complete.","isExecutiveWatch":false,"wellnessData":null},{"deploymentId":"a0rVT00000N8aQrYAJ","deploymentName":"Subsequent-Phase X: Adaptive Planning","accountId":"0011B00002FdxVLQAZ","accountName":"Cowlitz Tribal Gaming Authority dba ilani","industry":"Special Districts","region":"US SLED","subRegion":"Local Government ME","subRegionAlt":"US Local Gov ME CB","billingState":"Washington","billingCity":"Ridgefield","deploymentStartDate":"Fri Dec 27 2024 00:00:00 GMT-0500 (Eastern Standard Time)","mtpDate":"Fri Mar 28 2025 00:00:00 GMT-0400 (Eastern Daylight Time)","firstMtpDate":"Fri Mar 28 2025 00:00:00 GMT-0400 (Eastern Daylight Time)","overallStatus":"Complete","phase":"Your Way","stage":"Post Prod","health":"Green","completionDate":"Fri Apr 11 2025 00:00:00 GMT-0400 (Eastern Daylight Time)","wdEngManager":"","damFullName":"","primingPartner":"0013000000HRzHgAAL","implPartner":"0013000000HRzHgAAL","partner":"PricewaterhouseCoopers Advisory Services LLC (USA)","currentUpdate":"New case logged with Workday to log customer details. Case completed and scorecard can be closed now.","isExecutiveWatch":false,"wellnessData":null},{"deploymentId":"a0rVT00000KUo0kYAD","deploymentName":"Specialized-Initial Deployment-Adaptive Planning","accountId":"0014X00002ej1m0QAA","accountName":"Crown Administrators","industry":"State &amp; Local Government","region":"US SLED","subRegion":"Local Government LE","subRegionAlt":"US Local Gov LE NN &amp; States West","billingState":"Texas","billingCity":"Austin","deploymentStartDate":"Thu Nov 21 2024 00:00:00 GMT-0500 (Eastern Standard Time)","mtpDate":"Tue Sep 30 2025 00:00:00 GMT-0400 (Eastern Daylight Time)","firstMtpDate":"Tue Sep 30 2025 00:00:00 GMT-0400 (Eastern Daylight Time)","overallStatus":"Active","phase":"Your Way","stage":"Post Prod","health":"Green","completionDate":"","wdEngManager":"","damFullName":"","primingPartner":"0011B00002GOCXVQA5","implPartner":"0011B00002GOCXVQA5","partner":"Okorio, LLC","currentUpdate":"06/22 JH: Providing support as directed by the client.","isExecutiveWatch":false,"wellnessData":null},{"deploymentId":"a0r4X00000DNEpaQAH","deploymentName":"Initial Deployment-Your Way: HCM, CCB, CCTPP, REC, PRA","accountId":"0018000000bImYhAAK","accountName":"Dallas Area Rapid Transit (DART) (Precision Task Group, Inc.)","industry":"Special Districts","region":"US SLED","subRegion":"Local Government LE","subRegionAlt":"US Local Gov LE CB","billingState":"Texas","billingCity":"Dallas","deploymentStartDate":"Wed Sep 01 2021 00:00:00 GMT-0400 (Eastern Daylight Time)","mtpDate":"Mon Sep 26 2022 00:00:00 GMT-0400 (Eastern Daylight Time)","firstMtpDate":"Mon Sep 26 2022 00:00:00 GMT-0400 (Eastern Daylight Time)","overallStatus":"Complete","phase":"Your Way","stage":"Post Prod","health":"Green","completionDate":"Mon Sep 26 2022 00:00:00 GMT-0400 (Eastern Daylight Time)","wdEngManager":"","damFullName":"","primingPartner":"00130000008MSknAAG","implPartner":"00130000008MSknAAG","partner":"Accenture LLP","currentUpdate":"Stabilization activities in progress. Agency go-live on 10/10.  Open Enrollment began on 10/17.","isExecutiveWatch":false,"wellnessData":null},{"deploymentId":"a0r4X00000DaZAMQA3","deploymentName":"Subsequent-Phase X: Payroll","accountId":"0018000000bImYhAAK","accountName":"Dallas Area Rapid Transit (DART) (Precision Task Group, Inc.)","industry":"Special Districts","region":"US SLED","subRegion":"Local Government LE","subRegionAlt":"US Local Gov LE CB","billingState":"Texas","billingCity":"Dallas","deploymentStartDate":"Wed Apr 20 2022 00:00:00 GMT-0400 (Eastern Daylight Time)","mtpDate":"Thu Jan 12 2023 00:00:00 GMT-0500 (Eastern Standard Time)","firstMtpDate":"Thu Jan 12 2023 00:00:00 GMT-0500 (Eastern Standard Time)","overallStatus":"Complete","phase":"Phase X - Your Way","stage":"Post Prod","health":"Green","completionDate":"Tue Jan 31 2023 00:00:00 GMT-0500 (Eastern Standard Time)","wdEngManager":"","damFullName":"","primingPartner":"00130000008MSknAAG","implPartner":"00130000008MSknAAG","partner":"Accenture LLP","currentUpdate":"Go-Live completed.  First paychecks completed.","isExecutiveWatch":false,"wellnessData":null},{"deploymentId":"a0r4X00000DOuZ8QAL","deploymentName":"Subsequent Deployment - Planning First : Financial Planning","accountId":"0011B00002CXVIpQAP","accountName":"Detroit Windsor Tunnel, LLC","industry":"Special Districts","region":"US SLED","subRegion":"Local Government ME","subRegionAlt":"US Special Districts NN","billingState":"Michigan","billingCity":"Detroit","deploymentStartDate":"Wed Jun 10 2015 00:00:00 GMT-0400 (Eastern Daylight Time)","mtpDate":"Thu Dec 10 2015 00:00:00 GMT-0500 (Eastern Standard Time)","firstMtpDate":"Thu Dec 10 2015 00:00:00 GMT-0500 (Eastern Standard Time)","overallStatus":"Complete","phase":"Planning First","stage":"Post Prod","health":"Green","completionDate":"","wdEngManager":"Jamie Blaser","damFullName":"","primingPartner":"0011B00002H5sfJQAR","implPartner":"0011B00002H5sfJQAR","partner":"NetSuite, Inc.","currentUpdate":"Historical deployment load as part of Adaptive Systems Integration project in FY22. CSM listed as EM due to lack of historical data.","isExecutiveWatch":false,"wellnessData":null},{"deploymentId":"a0r4X00000DCGIGQA5","deploymentName":"Initial Deployment-Your Way: CHCM, TLO, CCB, USP, LRN, etc.","accountId":"0018000000qZJlRAAW","accountName":"DFW International Airport (Precision Task Group, Inc.)","industry":"Special Districts","region":"US SLED","subRegion":"Local Government ME","subRegionAlt":"US Local Gov ME CB","billingState":"Texas","billingCity":"Dallas","deploymentStartDate":"Mon Oct 09 2023 00:00:00 GMT-0400 (Eastern Daylight Time)","mtpDate":"Mon Dec 16 2024 00:00:00 GMT-0500 (Eastern Standard Time)","firstMtpDate":"Mon Dec 16 2024 00:00:00 GMT-0500 (Eastern Standard Time)","overallStatus":"Complete","phase":"Your Way","stage":"Post Prod","health":"Green","completionDate":"Fri Jan 31 2025 00:00:00 GMT-0500 (Eastern Standard Time)","wdEngManager":"","damFullName":"Seti Matua","primingPartner":"00130000008MSknAAG","implPartner":"00130000008MSknAAG","partner":"Accenture LLP","currentUpdate":"1/30/25: Final days of hypercare. DFW exploring AMS contracts for continued support.","isExecutiveWatch":false,"wellnessData":null},{"deploymentId":"a0rVT00000PXTo3YAH","deploymentName":"Subsequent - Phase 2 - TT-Peakon-Int-Learning","accountId":"0018000000qZJlRAAW","accountName":"DFW International Airport (Precision Task Group, Inc.)","industry":"Special Districts","region":"US SLED","subRegion":"Local Government ME","subRegionAlt":"US Local Gov ME CB","billingState":"Texas","billingCity":"Dallas","deploymentStartDate":"Mon Feb 03 2025 00:00:00 GMT-0500 (Eastern Standard Time)","mtpDate":"Mon Sep 22 2025 00:00:00 GMT-0400 (Eastern Daylight Time)","firstMtpDate":"Mon Sep 22 2025 00:00:00 GMT-0400 (Eastern Daylight Time)","overallStatus":"Complete","phase":"Your Way","stage":"Post Prod","health":"Green","completionDate":"Fri Apr 10 2026 00:00:00 GMT-0400 (Eastern Daylight Time)","wdEngManager":"","damFullName":"","primingPartner":"00130000008MSknAAG","implPartner":"00130000008MSknAAG","partner":"Accenture LLP","currentUpdate":"4/10: Hypercare is complete.","isExecutiveWatch":false,"wellnessData":null},{"deploymentId":"a0rVT00000vnqkiYAA","deploymentName":"Initial Deployment-Launch-LDPAM, WSP, LDPHCM, LDPUSP,etc","accountId":"0013000000HVlzsAAD","accountName":"East Bay Municipal Utility District (Strada U.S. Professional Services, LLC)","industry":"Special Districts","region":"US SLED","subRegion":"Local Government ME","subRegionAlt":"US Local Gov ME CB","billingState":"California","billingCity":"Oakland","deploymentStartDate":"Mon Mar 09 2026 00:00:00 GMT-0400 (Eastern Daylight Time)","mtpDate":"Fri Dec 18 2026 00:00:00 GMT-0500 (Eastern Standard Time)","firstMtpDate":"","overallStatus":"Active","phase":"Launch","stage":"Architect &amp; Configure","health":"Green","completionDate":"","wdEngManager":"","damFullName":"","primingPartner":"0013000000KdrrVAAR","implPartner":"0013000000KdrrVAAR","partner":"Strada U.S. Professional Services, LLC","currentUpdate":"6/10:  CCS sessions are underway and CUT testing starts 6/15.  HCM and Change Management are complete and we have Payroll 6/11 and 6/12. ABS was moved to 6/17.","isExecutiveWatch":false,"wellnessData":null},{"deploymentId":"a0rVT00000uXpyIYAS","deploymentName":"Initial Deployment-Launch-LDPHCM, LDPCCB, LDPBEN, LDPPRO, LDPINV, etc.","accountId":"0014X00002ME6zOQAT","accountName":"East Bay Regional Park District","industry":"Special Districts","region":"US SLED","subRegion":"Local Government ME","subRegionAlt":"US Local Gov ME CB","billingState":"California","billingCity":"Oakland","deploymentStartDate":"Mon Jan 19 2026 00:00:00 GMT-0500 (Eastern Standard Time)","mtpDate":"Mon Dec 21 2026 00:00:00 GMT-0500 (Eastern Standard Time)","firstMtpDate":"","overallStatus":"Active","phase":"Launch","stage":"Plan","health":"Green","completionDate":"","wdEngManager":"","damFullName":"","primingPartner":"0013000000KdrrVAAR","implPartner":"0013000000KdrrVAAR","partner":"Strada U.S. Professional Services, LLC","currentUpdate":"We are in A&amp;C, having completed our Foundation tenant build &amp; Customer Confirmation Sessions. Config Unit Testing is underway. Integrations requirements are being finalized and development is starting. Custom Reports Inventory being finalized.","isExecutiveWatch":false,"wellnessData":null},{"deploymentId":"a0r4X00000CrWKCQA3","deploymentName":"Initial Deployment-Your Way-CHCM, TLO, CCB, USP, LRN, MCNF, REC, FIN, GM, etc.","accountId":"0018000000x2gFMAAY","accountName":"Eastern Municipal Water District","industry":"Special Districts","region":"US SLED","subRegion":"Local Government ME","subRegionAlt":"US Local Gov ME CB","billingState":"California","billingCity":"Perris","deploymentStartDate":"Mon Aug 05 2024 00:00:00 GMT-0400 (Eastern Daylight Time)","mtpDate":"Mon Dec 29 2025 00:00:00 GMT-0500 (Eastern Standard Time)","firstMtpDate":"","overallStatus":"Active","phase":"Your Way","stage":"Deploy","health":"Green","completionDate":"","wdEngManager":"Bill Hansen","damFullName":"","primingPartner":"0013000000KdrrVAAR","implPartner":"0013000000KdrrVAAR","partner":"Strada U.S. Professional Services, LLC","currentUpdate":"6/23: Prim, and Strategic Sourcing A&amp;C Stages are progressing to but are behind schedule. Customer is behind schedule on testing and providing files.  Adaptive Planning is on schedule with no material issues.","isExecutiveWatch":false,"wellnessData":null},{"deploymentId":"a0r1B00000BYlMXQA1","deploymentName":"Initial Deployment-Your Way: FIN, GM","accountId":"0018000001f6dqcAAA","accountName":"Eastern Nebraska Regional Agency on Human Services","industry":"State &amp; Local Government","region":"US SLED","subRegion":"Local Government LE","subRegionAlt":"US State Gov East","billingState":"Nebraska","billingCity":"Omaha","deploymentStartDate":"Fri Feb 08 2019 00:00:00 GMT-0500 (Eastern Standard Time)","mtpDate":"Fri Jan 03 2020 00:00:00 GMT-0500 (Eastern Standard Time)","firstMtpDate":"Fri Jan 03 2020 00:00:00 GMT-0500 (Eastern Standard Time)","overallStatus":"Complete","phase":"Your Way","stage":"Deploy","health":"Green","completionDate":"Thu Apr 02 2020 00:00:00 GMT-0400 (Eastern Daylight Time)","wdEngManager":"","damFullName":"","primingPartner":"0018000001IzqpSAAR","implPartner":"0018000001IzqpSAAR","partner":"Avaap USA, LLC","currentUpdate":"Financials went live as scheduled Jan-03-2020","isExecutiveWatch":false,"wellnessData":null},{"deploymentId":"a0r1B00000BYlMSQA1","deploymentName":"Initial Deployment-Your Way:HCM, USP, TT, REC","accountId":"0018000001f6dqcAAA","accountName":"Eastern Nebraska Regional Agency on Human Services","industry":"State &amp; Local Government","region":"US SLED","subRegion":"Local Government LE","subRegionAlt":"US State Gov East","billingState":"Nebraska","billingCity":"Omaha","deploymentStartDate":"Fri Feb 08 2019 00:00:00 GMT-0500 (Eastern Standard Time)","mtpDate":"Mon Dec 16 2019 00:00:00 GMT-0500 (Eastern Standard Time)","firstMtpDate":"Mon Dec 16 2019 00:00:00 GMT-0500 (Eastern Standard Time)","overallStatus":"Complete","phase":"Your Way","stage":"Post Prod","health":"Green","completionDate":"Fri Jan 31 2020 00:00:00 GMT-0500 (Eastern Standard Time)","wdEngManager":"","damFullName":"","primingPartner":"0018000001IzqpSAAR","implPartner":"0018000001IzqpSAAR","partner":"Avaap USA, LLC","currentUpdate":"Financials went live Jan, 03-2020. The first payroll in Workday scheduled for Jan 10-2020. The Go-Live Announcement send by the Executive Sponsor. Production Support will continue until mid Feb-2020.","isExecutiveWatch":false,"wellnessData":null},{"deploymentId":"a0r800000049OYLAA2","deploymentName":"Financials Initial Deployment: FIN, PRO, EXP, PRJT, PB","accountId":"0018000001DAbkHAAT","accountName":"Electric Reliability Council of Texas, Inc. (ERCOT)","industry":"Special Districts","region":"US SLED","subRegion":"Local Government ME","subRegionAlt":"US Local Gov ME CB","billingState":"Texas","billingCity":"Austin","deploymentStartDate":"Mon Jul 27 2015 00:00:00 GMT-0400 (Eastern Daylight Time)","mtpDate":"Mon Sep 19 2016 00:00:00 GMT-0400 (Eastern Daylight Time)","firstMtpDate":"Mon Sep 19 2016 00:00:00 GMT-0400 (Eastern Daylight Time)","overallStatus":"Complete","phase":"Your Way","stage":"Deploy","health":"Green","completionDate":"Sun Dec 18 2016 00:00:00 GMT-0500 (Eastern Standard Time)","wdEngManager":"","damFullName":"","primingPartner":"0018000000mN4f0AAC","implPartner":"0018000000mN4f0AAC","partner":"International Business Machines Corporation [Global Business Services]","currentUpdate":"[12/13] project team providing Prod Support.","isExecutiveWatch":false,"wellnessData":null},{"deploymentId":"a0r800000049OYGAA2","deploymentName":"Initial Deployment: HCM, CCB, USP, TT, REC","accountId":"0018000001DAbkHAAT","accountName":"Electric Reliability Council of Texas, Inc. (ERCOT)","industry":"Special Districts","region":"US SLED","subRegion":"Local Government ME","subRegionAlt":"US Local Gov ME CB","billingState":"Texas","billingCity":"Austin","deploymentStartDate":"Mon Jul 27 2015 00:00:00 GMT-0400 (Eastern Daylight Time)","mtpDate":"Mon Sep 19 2016 00:00:00 GMT-0400 (Eastern Daylight Time)","firstMtpDate":"Mon Sep 19 2016 00:00:00 GMT-0400 (Eastern Daylight Time)","overallStatus":"Complete","phase":"Your Way","stage":"Post Prod","health":"Green","completionDate":"Tue May 02 2017 00:00:00 GMT-0400 (Eastern Daylight Time)","wdEngManager":"","damFullName":"","primingPartner":"0018000000mN4f0AAC","implPartner":"0018000000mN4f0AAC","partner":"International Business Machines Corporation [Global Business Services]","currentUpdate":"[05/02].  Project complete.","isExecutiveWatch":false,"wellnessData":null},{"deploymentId":"a0r4X00000ESLCjQAP","deploymentName":"Legacy VNDLY ERCOT: Phase 1","accountId":"0018000001DAbkHAAT","accountName":"Electric Reliability Council of Texas, Inc. (ERCOT)","industry":"Special Districts","region":"US SLED","subRegion":"Local Government ME","subRegionAlt":"US Local Gov ME CB","billingState":"Texas","billingCity":"Austin","deploymentStartDate":"","mtpDate":"Mon Dec 09 2019 00:00:00 GMT-0500 (Eastern Standard Time)","firstMtpDate":"Mon Dec 09 2019 00:00:00 GMT-0500 (Eastern Standard Time)","overallStatus":"Complete","phase":"Your Way","stage":"Post Prod","health":"","completionDate":"","wdEngManager":"Carlos Vasquez","damFullName":"","primingPartner":"0018000000hIF6bAAG","implPartner":"0018000000hIF6bAAG","partner":"Workday Professional Services","currentUpdate":"","isExecutiveWatch":false,"wellnessData":null},{"deploymentId":"a0rVT00000pfsNLYAY","deploymentName":"Subsequent -Phase X-Prism Analytics Essentials","accountId":"0018000001DAbkHAAT","accountName":"Electric Reliability Council of Texas, Inc. (ERCOT)","industry":"Special Districts","region":"US SLED","subRegion":"Local Government ME","subRegionAlt":"US Local Gov ME CB","billingState":"Texas","billingCity":"Austin","deploymentStartDate":"Thu Oct 23 2025 00:00:00 GMT-0400 (Eastern Daylight Time)","mtpDate":"Fri Mar 26 2027 00:00:00 GMT-0400 (Eastern Daylight Time)","firstMtpDate":"","overallStatus":"Active","phase":"Your Way","stage":"Architect &amp; Configure","health":"Green","completionDate":"","wdEngManager":"","damFullName":"","primingPartner":"0018000000MWLslAAH","implPartner":"0018000000MWLslAAH","partner":"Collaborative Solutions, LLC","currentUpdate":"GREEN - Requirements gathering in progress","isExecutiveWatch":false,"wellnessData":null},{"deploymentId":"a0r4X00000Ca3slQAB","deploymentName":"Subsequent Deployment - Phase X - Sourcing : Strategic Sourcing","accountId":"0018000001DAbkHAAT","accountName":"Electric Reliability Council of Texas, Inc. (ERCOT)","industry":"Special Districts","region":"US SLED","subRegion":"Local Government ME","subRegionAlt":"US Local Gov ME CB","billingState":"Texas","billingCity":"Austin","deploymentStartDate":"","mtpDate":"Wed Jul 01 2020 00:00:00 GMT-0400 (Eastern Daylight Time)","firstMtpDate":"Wed Jul 01 2020 00:00:00 GMT-0400 (Eastern Daylight Time)","overallStatus":"Complete","phase":"Phase X - Sourcing","stage":"Post Prod","health":"Green","completionDate":"","wdEngManager":"Chris Evangelista","damFullName":"","primingPartner":"0018000000hIF6bAAG","implPartner":"0018000000hIF6bAAG","partner":"Workday Professional Services","currentUpdate":"","isExecutiveWatch":false,"wellnessData":null},{"deploymentId":"a0rVT00000iWG9xYAG","deploymentName":"Subsequent-Phase X: VNDLY","accountId":"0018000001DAbkHAAT","accountName":"Electric Reliability Council of Texas, Inc. (ERCOT)","industry":"Special Districts","region":"US SLED","subRegion":"Local Government ME","subRegionAlt":"US Local Gov ME CB","billingState":"Texas","billingCity":"Austin","deploymentStartDate":"Wed Jul 09 2025 00:00:00 GMT-0400 (Eastern Daylight Time)","mtpDate":"Mon Jan 12 2026 00:00:00 GMT-0500 (Eastern Standard Time)","firstMtpDate":"Mon Jan 12 2026 00:00:00 GMT-0500 (Eastern Standard Time)","overallStatus":"Complete","phase":"Your Way","stage":"Post Prod","health":"Green","completionDate":"Mon Feb 23 2026 00:00:00 GMT-0500 (Eastern Standard Time)","wdEngManager":"","damFullName":"","primingPartner":"0018000000hIF6bAAG","implPartner":"0018000000hIF6bAAG","partner":"Workday Professional Services","currentUpdate":"Hyper care ending this week\nClosed - 3166437","isExecutiveWatch":false,"wellnessData":null},{"deploymentId":"a0rVT00000iWFtpYAG","deploymentName":"Subsequent-Phase X: VNDLY","accountId":"0018000001DAbkHAAT","accountName":"Electric Reliability Council of Texas, Inc. (ERCOT)","industry":"Special Districts","region":"US SLED","subRegion":"Local Government ME","subRegionAlt":"US Local Gov ME CB","billingState":"Texas","billingCity":"Austin","deploymentStartDate":"Wed Jul 09 2025 00:00:00 GMT-0400 (Eastern Daylight Time)","mtpDate":"","firstMtpDate":"","overallStatus":"Active","phase":"Your Way","stage":"Plan","health":"Green","completionDate":"","wdEngManager":"","damFullName":"","primingPartner":"0018000000hIF6bAAG","implPartner":"0018000000hIF6bAAG","partner":"Workday Professional Services","currentUpdate":"","isExecutiveWatch":false,"wellnessData":null},{"deploymentId":"a0r4X00000DOuavQAD","deploymentName":"Subsequent Deployment - Planning First : Financial Planning","accountId":"0018000000oh8IFAAY","accountName":"ElectriCities of North Carolina, Inc.","industry":"Special Districts","region":"US SLED","subRegion":"Local Government ME","subRegionAlt":"US Special Districts NN","billingState":"North Carolina","billingCity":"Raleigh","deploymentStartDate":"Thu Dec 17 2015 00:00:00 GMT-0500 (Eastern Standard Time)","mtpDate":"Fri Jun 17 2016 00:00:00 GMT-0400 (Eastern Daylight Time)","firstMtpDate":"Fri Jun 17 2016 00:00:00 GMT-0400 (Eastern Daylight Time)","overallStatus":"Complete","phase":"Planning First","stage":"Post Prod","health":"Green","completionDate":"","wdEngManager":"Sherry Fields","damFullName":"","primingPartner":"0011B00002CZYgHQAX","implPartner":"0011B00002CZYgHQAX","partner":"PBU Partner Ecosystem","currentUpdate":"Historical deployment load as part of Adaptive Systems Integration project in FY22. CSM listed as EM due to lack of historical data.","isExecutiveWatch":false,"wellnessData":null},{"deploymentId":"a0r4X00000CaelNQAR","deploymentName":"Initial Deployment-Your Way: HCM, CCB, USP, REC, TT","accountId":"0018000000kuvwsAAA","accountName":"Energy Northwest","industry":"Special Districts","region":"US SLED","subRegion":"Local Government ME","subRegionAlt":"US Local Gov ME CB","billingState":"Washington","billingCity":"Richland","deploymentStartDate":"Wed Mar 24 2021 00:00:00 GMT-0400 (Eastern Daylight Time)","mtpDate":"Sun Sep 17 2023 00:00:00 GMT-0400 (Eastern Daylight Time)","firstMtpDate":"Sun Sep 17 2023 00:00:00 GMT-0400 (Eastern Daylight Time)","overallStatus":"Complete","phase":"Your Way","stage":"Post Prod","health":"Green","completionDate":"Thu Nov 30 2023 00:00:00 GMT-0500 (Eastern Standard Time)","wdEngManager":"","damFullName":"Keith Fraser","primingPartner":"0013000000KdrrVAAR","implPartner":"0013000000KdrrVAAR","partner":"Strada U.S. Professional Services, LLC","currentUpdate":"November 30:\n-Project complete\n-Standard hypercare completed on 11/30/2023\n-Extended hypercare continues through 1/31/2024","isExecutiveWatch":false,"wellnessData":null},{"deploymentId":"a0r4X00000CaelSQAR","deploymentName":"Initial Deployment-Your Way:FIN, PLNF, PRA, PRJT","accountId":"0018000000kuvwsAAA","accountName":"Energy Northwest","industry":"Special Districts","region":"US SLED","subRegion":"Local Government ME","subRegionAlt":"US Local Gov ME CB","billingState":"Washington","billingCity":"Richland","deploymentStartDate":"Wed Mar 24 2021 00:00:00 GMT-0400 (Eastern Daylight Time)","mtpDate":"Sun Sep 17 2023 00:00:00 GMT-0400 (Eastern Daylight Time)","firstMtpDate":"Sun Sep 17 2023 00:00:00 GMT-0400 (Eastern Daylight Time)","overallStatus":"Complete","phase":"Your Way","stage":"Post Prod","health":"Green","completionDate":"Thu Nov 30 2023 00:00:00 GMT-0500 (Eastern Standard Time)","wdEngManager":"","damFullName":"","primingPartner":"0013000000KdrrVAAR","implPartner":"0013000000KdrrVAAR","partner":"Strada U.S. Professional Services, LLC","currentUpdate":"November 30:\n-Project complete\n-Standard hypercare completed on 11/30/2023\n-Extended hypercare continues through 1/31/2024","isExecutiveWatch":false,"we</t>
  </si>
  <si>
    <t>sfdcRows:default:chunk:8</t>
  </si>
  <si>
    <t>8/3: Design sessions in progress</t>
  </si>
  <si>
    <t>a0pVT000009mW0XYAU</t>
  </si>
  <si>
    <t>a0rVT000014hWppYAE</t>
  </si>
  <si>
    <t>Journeys for Activation</t>
  </si>
  <si>
    <t>Grossmont-Cuyamaca Community College District</t>
  </si>
  <si>
    <t>a0pVT000009mqbqYAA</t>
  </si>
  <si>
    <t>a0pVT000009msk5YAA</t>
  </si>
  <si>
    <t>08/17 - Grossmont is completing testing this week</t>
  </si>
  <si>
    <t>a0pVT000009oCs2YAE</t>
  </si>
  <si>
    <t>a0rVT000014H6FuYAK</t>
  </si>
  <si>
    <t>Groundworks Companies, LLC</t>
  </si>
  <si>
    <t>a0pVT000009oCs5YAE</t>
  </si>
  <si>
    <t>a0pVT000009oCs3YAE</t>
  </si>
  <si>
    <t>Build in progress and client is being prepared for testing phase.</t>
  </si>
  <si>
    <t>a0rVT00000b6iCMYAY</t>
  </si>
  <si>
    <t>a0pVT000009oCs9YAE</t>
  </si>
  <si>
    <t>Guardant Health, Inc.</t>
  </si>
  <si>
    <t>a0pVT000009oCs8YAE</t>
  </si>
  <si>
    <t>a0pVT000009oCs7YAE</t>
  </si>
  <si>
    <t>The project is managed by Julie Lee's team because of the claim. Thomas is no longer managing this project.</t>
  </si>
  <si>
    <t>a0r4X00000ETVpyQAH</t>
  </si>
  <si>
    <t>Guidewire Software, Inc.</t>
  </si>
  <si>
    <t>a0pVT000009oCs6YAE</t>
  </si>
  <si>
    <t>US FSI ME CB West</t>
  </si>
  <si>
    <t>a0pVT000009oCs4YAE</t>
  </si>
  <si>
    <t>Scorecard closed: 2704329</t>
  </si>
  <si>
    <t>Contract and Document Intelligence Core</t>
  </si>
  <si>
    <t>Guzman y Gomez Franchising Pty Ltd</t>
  </si>
  <si>
    <t>a0pVT00000AqsL7YAJ</t>
  </si>
  <si>
    <t>a0pVT000009qo1yYAA</t>
  </si>
  <si>
    <t>a0rVT000014IVvUYAW</t>
  </si>
  <si>
    <t>a0rVT00000kowskYAA</t>
  </si>
  <si>
    <t>H. Lee Moffitt Cancer Center and Research Institute, Inc., a Florida not-for-profit corporation organized pursuant to Section 1004.43, Florida Statutes</t>
  </si>
  <si>
    <t>a0pVT000009qo1xYAA</t>
  </si>
  <si>
    <t>a0pVT000009tOu9YAE</t>
  </si>
  <si>
    <t>04/14: Both workflows and CI have gone live. 5 Custom AI models have been built and Moffitt team are validating before publishing. 1 Custom AI model published, remaining 4 are being validated by Moffitt</t>
  </si>
  <si>
    <t>a0rVT000014LvuvYAC</t>
  </si>
  <si>
    <t>a0rVT00000OzN57YAF</t>
  </si>
  <si>
    <t>Subsequent-Phase X-HiredScore Only</t>
  </si>
  <si>
    <t>H.B. Fuller Company</t>
  </si>
  <si>
    <t>a0pVT00000A8VdZYAV</t>
  </si>
  <si>
    <t>a0rVT000014W9a6YAC</t>
  </si>
  <si>
    <t>The hypercare for the MS Teams project has been extended until September 16th due to ongoing issues, including the Daily Digest email template. The project is still not live after six weeks, which may lead to an escalation and require a further extension.</t>
  </si>
  <si>
    <t>a0rVT000019nVoAYAU</t>
  </si>
  <si>
    <t>a0pVT000009zjkbYAA</t>
  </si>
  <si>
    <t>Harley-Davidson Inc</t>
  </si>
  <si>
    <t>a0rVT000014h8igYAA</t>
  </si>
  <si>
    <t>a0pVT00000ARUsQYAX</t>
  </si>
  <si>
    <t>a0rVT000014hL9dYAE</t>
  </si>
  <si>
    <t>a0pVT00000ARUsUYAX</t>
  </si>
  <si>
    <t>Havas</t>
  </si>
  <si>
    <t>a0pVT00000ARUsTYAX</t>
  </si>
  <si>
    <t>EM taken over scorecard on 5 June.
Initial meeting with Havas (+ ramp partner) planned for 9 June.
Initial meeting with Havas + Cognizant has taken place. Now in P&amp;P phase
26 June - P&amp;P starting
3 Jul - P&amp;P phase ongoing.
5 Aug - now commenced Design</t>
  </si>
  <si>
    <t>a0pVT00000ARUsSYAX</t>
  </si>
  <si>
    <t>a0rVT00001AFZonYAH</t>
  </si>
  <si>
    <t>a0pVT00000ARUsRYAX</t>
  </si>
  <si>
    <t>a0rVT00000ddOwzYAE</t>
  </si>
  <si>
    <t>Initial Deployment-Your Way-SRC, CLM, CLMAIM, CHCM, TLO, HLP, JRNY etc.</t>
  </si>
  <si>
    <t>Health Network Laboratories, LLC, d/b/a HNL Lab Medicine</t>
  </si>
  <si>
    <t>Justin Watts</t>
  </si>
  <si>
    <t>a0pVT00000ARUsVYAX</t>
  </si>
  <si>
    <t>The project is now Yellow, HNL has decided to pause the project and merge into the new Jefferson tenant. They indicated they would revist the divestiture afterwards.</t>
  </si>
  <si>
    <t>Healthcare Services Group, Inc.</t>
  </si>
  <si>
    <t>a0pVT00000ARUsPYAX</t>
  </si>
  <si>
    <t>George Barton</t>
  </si>
  <si>
    <t>a0pVT00000ARUsOYAX</t>
  </si>
  <si>
    <t>Tagging fix implemented. 
Sunil is continuing with HCSG AI models</t>
  </si>
  <si>
    <t>Highmark Health</t>
  </si>
  <si>
    <t>a0pVT00000ARUsNYAX</t>
  </si>
  <si>
    <t>llnessData":null},{"deploymentId":"a0rVT00000jsujYYAQ","deploymentName":"Subsequent–Phase X: Expenses","accountId":"0018000000kuvwsAAA","accountName":"Energy Northwest","industry":"Special Districts","region":"US SLED","subRegion":"Local Government ME","subRegionAlt":"US Local Gov ME CB","billingState":"Washington","billingCity":"Richland","deploymentStartDate":"Thu Aug 28 2025 00:00:00 GMT-0400 (Eastern Daylight Time)","mtpDate":"","firstMtpDate":"","overallStatus":"Active","phase":"Your Way","stage":"Plan","health":"Green","completionDate":"","wdEngManager":"","damFullName":"","primingPartner":"0018000001IzqpSAAR","implPartner":"0018000001IzqpSAAR","partner":"Avaap USA, LLC","currentUpdate":"6/19 - In progress - OCM added to project - Go Live potentially extending to 9/30/26","isExecutiveWatch":false,"wellnessData":null},{"deploymentId":"a0rVT00000bcvGMYAY","deploymentName":"Intial Deployment-Your Way- WSP, SRCEXP, XTND, CHCM, TLO, CCB, USP, etc","accountId":"0018000000Wtz3nAAB","accountName":"Georgia Ports Authority","industry":"Special Districts","region":"US SLED","subRegion":"Local Government ME","subRegionAlt":"US Local Gov ME CB","billingState":"Georgia","billingCity":"Garden City","deploymentStartDate":"Mon Sep 29 2025 00:00:00 GMT-0400 (Eastern Daylight Time)","mtpDate":"Thu Jul 01 2027 00:00:00 GMT-0400 (Eastern Daylight Time)","firstMtpDate":"","overallStatus":"Active","phase":"Your Way","stage":"Plan","health":"Green","completionDate":"","wdEngManager":"","damFullName":"","primingPartner":"0018000000MWLslAAH","implPartner":"0018000000MWLslAAH","partner":"Collaborative Solutions, LLC","currentUpdate":"2026-06-23: Architect and Configure - FIN Workset B Design and HCM Workset C Design","isExecutiveWatch":false,"wellnessData":null},{"deploymentId":"a0r4X00000DOufbQAD","deploymentName":"Subsequent Deployment - Planning First : Financial Planning","accountId":"0011B00002CXVf1QAH","accountName":"Glades Electric Cooperative, Inc.","industry":"Special Districts","region":"US SLED","subRegion":"Local Government ME","subRegionAlt":"US Special Districts NN","billingState":"Florida","billingCity":"Lake Placid","deploymentStartDate":"Fri Sep 11 2015 00:00:00 GMT-0400 (Eastern Daylight Time)","mtpDate":"Fri Mar 11 2016 00:00:00 GMT-0500 (Eastern Standard Time)","firstMtpDate":"Fri Mar 11 2016 00:00:00 GMT-0500 (Eastern Standard Time)","overallStatus":"Complete","phase":"Planning First","stage":"Post Prod","health":"Green","completionDate":"","wdEngManager":"Kristen Hagarty","damFullName":"","primingPartner":"0011B00002H5sezQAB","implPartner":"0011B00002H5sezQAB","partner":"Kainos Planning","currentUpdate":"Historical deployment load as part of Adaptive Systems Integration project in FY22. CSM listed as EM due to lack of historical data.","isExecutiveWatch":false,"wellnessData":null},{"deploymentId":"a0r4X00000ETUwFQAX","deploymentName":"Initial Deployment-Launch-CHCM, TLO, CCB, USP, LRN, MCNF, REC, PRA, etc.","accountId":"0014X00002OvPpxQAF","accountName":"Grand River Dam Authority","industry":"Special Districts","region":"US SLED","subRegion":"Local Government LE","subRegionAlt":"US Local Gov LE NN &amp; States West","billingState":"Oklahoma","billingCity":"Chouteau","deploymentStartDate":"Thu Sep 12 2024 00:00:00 GMT-0400 (Eastern Daylight Time)","mtpDate":"Mon May 05 2025 00:00:00 GMT-0400 (Eastern Daylight Time)","firstMtpDate":"Mon May 05 2025 00:00:00 GMT-0400 (Eastern Daylight Time)","overallStatus":"Complete","phase":"Launch","stage":"Post Prod","health":"Green","completionDate":"Fri Sep 05 2025 00:00:00 GMT-0400 (Eastern Daylight Time)","wdEngManager":"","damFullName":"","primingPartner":"0013000000KdrrVAAR","implPartner":"0013000000KdrrVAAR","partner":"Strada U.S. Professional Services, LLC","currentUpdate":"2025-09-16:  \nProject complete.  closing scorecard.","isExecutiveWatch":false,"wellnessData":null},{"deploymentId":"a0rVT000016NcgYYAS","deploymentName":"Subsequent-Phase X: HCM","accountId":"0014X00002OvPpxQAF","accountName":"Grand River Dam Authority","industry":"Special Districts","region":"US SLED","subRegion":"Local Government LE","subRegionAlt":"US Local Gov LE NN &amp; States West","billingState":"Oklahoma","billingCity":"Chouteau","deploymentStartDate":"Fri Jun 12 2026 00:00:00 GMT-0400 (Eastern Daylight Time)","mtpDate":"","firstMtpDate":"","overallStatus":"Active","phase":"Your Way","stage":"Plan","health":"Green","completionDate":"","wdEngManager":"","damFullName":"","primingPartner":"0013000000KdrrVAAR","implPartner":"0013000000KdrrVAAR","partner":"Strada U.S. Professional Services, LLC","currentUpdate":"Scorecard request: 3305653","isExecutiveWatch":false,"wellnessData":null},{"deploymentId":"a0r4X00000DOkZZQA1","deploymentName":"Initial Deployment-Launch Suite: LDPHCM, LDPUSP, LDPFIN, DPREC, LDPTLO, etc.","accountId":"0018000000kuvrFAAQ","accountName":"Grand Traverse County","industry":"State &amp; Local Government","region":"US SLED","subRegion":"Local Government ME","subRegionAlt":"US Local Gov ME CB","billingState":"Michigan","billingCity":"Traverse City","deploymentStartDate":"Fri Oct 01 2021 00:00:00 GMT-0400 (Eastern Daylight Time)","mtpDate":"Mon Oct 24 2022 00:00:00 GMT-0400 (Eastern Daylight Time)","firstMtpDate":"Mon Oct 24 2022 00:00:00 GMT-0400 (Eastern Daylight Time)","overallStatus":"Complete","phase":"Launch","stage":"Deploy","health":"Green","completionDate":"Sun Jan 22 2023 00:00:00 GMT-0500 (Eastern Standard Time)","wdEngManager":"Michael Biagini","damFullName":"","primingPartner":"0018000000hIF6bAAG","implPartner":"0018000000hIF6bAAG","partner":"Workday Professional Services","currentUpdate":"Workday team continues to provide extended post-prod support.  Work has begun on items that were included as part of the signed CO.","isExecutiveWatch":false,"wellnessData":null},{"deploymentId":"a0r4X00000DaGHpQAN","deploymentName":"Initial Deployment-Your Way: CHCM, FIN, TLO, CCB, USP, LRN, REC, GM, etc.","accountId":"0018000001VkcbRAAR","accountName":"Great Lakes Water Authority","industry":"Special Districts","region":"US SLED","subRegion":"Local Government ME","subRegionAlt":"US Local Gov ME CB","billingState":"Michigan","billingCity":"Detroit","deploymentStartDate":"Tue May 31 2022 00:00:00 GMT-0400 (Eastern Daylight Time)","mtpDate":"Mon Dec 11 2023 00:00:00 GMT-0500 (Eastern Standard Time)","firstMtpDate":"Mon Dec 11 2023 00:00:00 GMT-0500 (Eastern Standard Time)","overallStatus":"Complete","phase":"Your Way","stage":"Post Prod","health":"Green","completionDate":"Fri Feb 21 2025 00:00:00 GMT-0500 (Eastern Standard Time)","wdEngManager":"","damFullName":"Hope Douglass","primingPartner":"0013000000KdrrVAAR","implPartner":"0013000000KdrrVAAR","partner":"Strada U.S. Professional Services, LLC","currentUpdate":"2/21 -Extended Stabilization is complete.  to Feb 21 2025.  No further effort with GLWA.","isExecutiveWatch":false,"wellnessData":null},{"deploymentId":"a0r4X00000DOugdQAD","deploymentName":"Subsequent Deployment - Planning First : Financial Planning","accountId":"0011B00002HkFftQAF","accountName":"Green Mountain Care Board (GMCB)","industry":"State &amp; Local Government","region":"US SLED","subRegion":"Local Government LE","subRegionAlt":"US State Gov East","billingState":"Vermont","billingCity":"Montpelier","deploymentStartDate":"Fri Mar 22 2013 00:00:00 GMT-0400 (Eastern Daylight Time)","mtpDate":"Sun Sep 22 2013 00:00:00 GMT-0400 (Eastern Daylight Time)","firstMtpDate":"Sun Sep 22 2013 00:00:00 GMT-0400 (Eastern Daylight Time)","overallStatus":"Complete","phase":"Planning First","stage":"Post Prod","health":"Green","completionDate":"","wdEngManager":"Sherry Fields","damFullName":"","primingPartner":"0011B00002CZYgHQAX","implPartner":"0011B00002CZYgHQAX","partner":"PBU Partner Ecosystem","currentUpdate":"Historical deployment load as part of Adaptive Systems Integration project in FY22. CSM listed as EM due to lack of historical data.","isExecutiveWatch":false,"wellnessData":null},{"deploymentId":"a0r4X00000DCGHrQAP","deploymentName":"Initial Deployment-Launch Suite: CHCM, TLO, CCB, USP, LRN, REC, FIN, etc.","accountId":"0014X00002U2rJvQAJ","accountName":"Gulf Coast Authority (Precision Task Group, Inc.)","industry":"Special Districts","region":"US SLED","subRegion":"Local Government ME","subRegionAlt":"US Local Gov ME CB","billingState":"Texas","billingCity":"Houston","deploymentStartDate":"Mon Oct 16 2023 00:00:00 GMT-0400 (Eastern Daylight Time)","mtpDate":"Thu Mar 27 2025 00:00:00 GMT-0400 (Eastern Daylight Time)","firstMtpDate":"Thu Mar 27 2025 00:00:00 GMT-0400 (Eastern Daylight Time)","overallStatus":"Complete","phase":"Launch","stage":"Post Prod","health":"Green","completionDate":"Fri Jun 27 2025 00:00:00 GMT-0400 (Eastern Daylight Time)","wdEngManager":"","damFullName":"","primingPartner":"0013000000KdrrVAAR","implPartner":"0013000000KdrrVAAR","partner":"Strada U.S. Professional Services, LLC","currentUpdate":"Final week of hypercare in progress, then wrapping up 6/27.","isExecutiveWatch":false,"wellnessData":null},{"deploymentId":"a0r4X00000CrWQ0QAN","deploymentName":"Initial Deployment -Your Way-CHCM, TLO, HLP, CCB, USP, LRN, etc","accountId":"0013000000JLxuuAAD","accountName":"Hampton Roads Transit","industry":"Special Districts","region":"US SLED","subRegion":"Local Government ME","subRegionAlt":"US Local Gov ME CB","billingState":"Virginia","billingCity":"Hampton","deploymentStartDate":"Mon Sep 09 2024 00:00:00 GMT-0400 (Eastern Daylight Time)","mtpDate":"Sun Dec 14 2025 00:00:00 GMT-0500 (Eastern Standard Time)","firstMtpDate":"Sun Dec 14 2025 00:00:00 GMT-0500 (Eastern Standard Time)","overallStatus":"Complete","phase":"Your Way","stage":"Post Prod","health":"Green","completionDate":"Fri Jan 30 2026 00:00:00 GMT-0500 (Eastern Standard Time)","wdEngManager":"","damFullName":"","primingPartner":"0018000000MWLslAAH","implPartner":"0018000000MWLslAAH","partner":"Collaborative Solutions, LLC","currentUpdate":"This project ended on January 30, 2026.  Two Payrolls have been processed.  HRT has signed a staff augmentation agreement and lean on services with Cognizant.","isExecutiveWatch":false,"wellnessData":null},{"deploymentId":"a0r80000007tbjSAAQ","deploymentName":"Initial Deployment-Your Way:FIN, PRO, PRJT, EXP, GM","accountId":"0018000000kuvr4AAA","accountName":"Harford County, Maryland","industry":"State &amp; Local Government","region":"US SLED","subRegion":"Local Government LE","subRegionAlt":"US Local Gov LE CB","billingState":"Maryland","billingCity":"Bel Air","deploymentStartDate":"Mon Feb 05 2018 00:00:00 GMT-0500 (Eastern Standard Time)","mtpDate":"Thu Mar 28 2019 00:00:00 GMT-0400 (Eastern Daylight Time)","firstMtpDate":"Thu Mar 28 2019 00:00:00 GMT-0400 (Eastern Daylight Time)","overallStatus":"Complete","phase":"Your Way","stage":"Post Prod","health":"Green","completionDate":"Tue Apr 30 2019 00:00:00 GMT-0400 (Eastern Daylight Time)","wdEngManager":"","damFullName":"","primingPartner":"0018000000MWLslAAH","implPartner":"0018000000MWLslAAH","partner":"Collaborative Solutions, LLC","currentUpdate":"Post prod complete.  Transitioned to CVS.\r\n\r\n\r\n\r\n.","isExecutiveWatch":false,"wellnessData":null},{"deploymentId":"a0rVT00000P50llYAB","deploymentName":"Subsequent- Phase X- Prism Analytics Enterprise","accountId":"0018000000kuvr4AAA","accountName":"Harford County, Maryland","industry":"State &amp; Local Government","region":"US SLED","subRegion":"Local Government LE","subRegionAlt":"US Local Gov LE CB","billingState":"Maryland","billingCity":"Bel Air","deploymentStartDate":"Mon Oct 13 2025 00:00:00 GMT-0400 (Eastern Daylight Time)","mtpDate":"Mon Jan 05 2026 00:00:00 GMT-0500 (Eastern Standard Time)","firstMtpDate":"Mon Jan 05 2026 00:00:00 GMT-0500 (Eastern Standard Time)","overallStatus":"Complete","phase":"Your Way","stage":"Post Prod","health":"Green","completionDate":"Fri Jan 23 2026 00:00:00 GMT-0500 (Eastern Standard Time)","wdEngManager":"","damFullName":"","primingPartner":"0018000000MWLslAAH","implPartner":"0018000000MWLslAAH","partner":"Collaborative Solutions, LLC","currentUpdate":"01/26/2026 - Project completed\nMarkes as complete per case 3130937","isExecutiveWatch":false,"wellnessData":null},{"deploymentId":"a0r4X00000Ef32yQAB","deploymentName":"Subsequent-Your way-HCM","accountId":"0018000000kuvr4AAA","accountName":"Harford County, Maryland","industry":"State &amp; Local Government","region":"US SLED","subRegion":"Local Government LE","subRegionAlt":"US Local Gov LE CB","billingState":"Maryland","billingCity":"Bel Air","deploymentStartDate":"Mon Nov 27 2023 00:00:00 GMT-0500 (Eastern Standard Time)","mtpDate":"Wed Jul 09 2025 00:00:00 GMT-0400 (Eastern Daylight Time)","firstMtpDate":"Wed Jul 09 2025 00:00:00 GMT-0400 (Eastern Daylight Time)","overallStatus":"Complete","phase":"Your Way","stage":"Post Prod","health":"Green","completionDate":"Fri Oct 10 2025 00:00:00 GMT-0400 (Eastern Daylight Time)","wdEngManager":"","damFullName":"Dawn Clayton","primingPartner":"0018000000MWLslAAH","implPartner":"0018000000MWLslAAH","partner":"Collaborative Solutions, LLC","currentUpdate":"10/13/2025 -Project close activities completed.","isExecutiveWatch":false,"wellnessData":null},{"deploymentId":"a0r4X00000D7rGzQAJ","deploymentName":"Initial Deployment-Launch Suite: CHCM, TLO, CCB, USP, REC, FIN, TT, EXP, PRO","accountId":"0018000000Wtz4BAAR","accountName":"Harris Central Appraisal District (Precision Task Group, Inc.)","industry":"Special Districts","region":"US SLED","subRegion":"Local Government ME","subRegionAlt":"US Local Gov ME CB","billingState":"Texas","billingCity":"Houston","deploymentStartDate":"Thu Jun 01 2023 00:00:00 GMT-0400 (Eastern Daylight Time)","mtpDate":"Sun Jan 28 2024 00:00:00 GMT-0500 (Eastern Standard Time)","firstMtpDate":"Sun Jan 28 2024 00:00:00 GMT-0500 (Eastern Standard Time)","overallStatus":"Complete","phase":"Launch","stage":"Deploy","health":"Green","completionDate":"Sun Jun 01 2025 00:00:00 GMT-0400 (Eastern Daylight Time)","wdEngManager":"Mindy Stanley","damFullName":"","primingPartner":"0018000000hIF6bAAG","implPartner":"0018000000hIF6bAAG","partner":"Workday Professional Services","currentUpdate":"5/23/25    5/2/25-HCM-Pay 1 TAC integration ran twice in production.  Per Allie Botello \"The 4/29 files were successfully loaded and processed\"  On 4/17 Mindy sent congrats on 2nd run in prod email to Carol Williams cc David Nisenfeld.  Closing project.","isExecutiveWatch":false,"wellnessData":null},{"deploymentId":"a0r4X00000Db8byQAB","deploymentName":"Initial Deployment-Your Way: FIN","accountId":"0018000000tStgZAAS","accountName":"Hinds County, Mississippi","industry":"State &amp; Local Government","region":"US SLED","subRegion":"Local Government ME","subRegionAlt":"US Local Gov ME CB","billingState":"Mississippi","billingCity":"Jackson","deploymentStartDate":"Mon Jun 13 2022 00:00:00 GMT-0400 (Eastern Daylight Time)","mtpDate":"Sun Apr 02 2023 00:00:00 GMT-0400 (Eastern Daylight Time)","firstMtpDate":"Sun Apr 02 2023 00:00:00 GMT-0400 (Eastern Daylight Time)","overallStatus":"Complete","phase":"Your Way","stage":"Post Prod","health":"Green","completionDate":"Fri May 12 2023 00:00:00 GMT-0400 (Eastern Daylight Time)","wdEngManager":"","damFullName":"","primingPartner":"0018000001IzqpSAAR","implPartner":"0018000001IzqpSAAR","partner":"Avaap USA, LLC","currentUpdate":"Done: Production support. In progress: Transition to Avaap AMS. Upcoming: Avaap AMS support starts May 15. Will close the scorecard on May 15.","isExecutiveWatch":false,"wellnessData":null},{"deploymentId":"a0r4X00000DbiUsQAJ","deploymentName":"Subsequent-Phase X: HCM/PAY","accountId":"0018000000tStgZAAS","accountName":"Hinds County, Mississippi","industry":"State &amp; Local Government","region":"US SLED","subRegion":"Local Government ME","subRegionAlt":"US Local Gov ME CB","billingState":"Mississippi","billingCity":"Jackson","deploymentStartDate":"Mon Mar 27 2023 00:00:00 GMT-0400 (Eastern Daylight Time)","mtpDate":"Tue Dec 26 2023 00:00:00 GMT-0500 (Eastern Standard Time)","firstMtpDate":"Tue Dec 26 2023 00:00:00 GMT-0500 (Eastern Standard Time)","overallStatus":"Complete","phase":"Phase X - Your Way","stage":"Post Prod","health":"Green","completionDate":"Wed Feb 28 2024 00:00:00 GMT-0500 (Eastern Standard Time)","wdEngManager":"","damFullName":"Machelle Starling","primingPartner":"0018000001IzqpSAAR","implPartner":"0018000001IzqpSAAR","partner":"Avaap USA, LLC","currentUpdate":"Support for second payroll week of Feb. 18. In progress: Production support and transition to Avaap AMS. The project will complete and the scorecard will be closed about Feb. 28, 2024.","isExecutiveWatch":false,"wellnessData":null},{"deploymentId":"a0rVT00000ddT0TYAU","deploymentName":"Initial Deployment-Your Way-LRN, MCNF, CCLRN, REC, CHCM, TLO etc.","accountId":"0014X00002ME6uUQAT","accountName":"Intercity Transit Authority","industry":"Special Districts","region":"US SLED","subRegion":"Local Government ME","subRegionAlt":"US Local Gov ME CB","billingState":"Washington","billingCity":"Olympia","deploymentStartDate":"Tue Jul 15 2025 00:00:00 GMT-0400 (Eastern Daylight Time)","mtpDate":"Thu Dec 31 2026 00:00:00 GMT-0500 (Eastern Standard Time)","firstMtpDate":"","overallStatus":"Active","phase":"Your Way","stage":"Architect &amp; Configure","health":"Green","completionDate":"","wdEngManager":"","damFullName":"","primingPartner":"0018000001IzqpSAAR","implPartner":"0018000001IzqpSAAR","partner":"Avaap USA, LLC","currentUpdate":"Unit testing wrapped up. CCS is underway, and we are also preparing for E2E testing.","isExecutiveWatch":false,"wellnessData":null},{"deploymentId":"a0r1B00000BdNDDQA3","deploymentName":"Initial Deployment-Your Way: HCM, CCB, USP, TT, ABS, BEN, EXP","accountId":"0018000000mJYyeAAG","accountName":"Iowa Department of Management","industry":"State &amp; Local Government","region":"US SLED","subRegion":"Local Government LE","subRegionAlt":"US State Gov East","billingState":"Iowa","billingCity":"Des Moines","deploymentStartDate":"Thu Oct 31 2019 00:00:00 GMT-0400 (Eastern Daylight Time)","mtpDate":"Sun Sep 05 2021 00:00:00 GMT-0400 (Eastern Daylight Time)","firstMtpDate":"Sun Sep 05 2021 00:00:00 GMT-0400 (Eastern Daylight Time)","overallStatus":"Complete","phase":"Your Way","stage":"Deploy","health":"Green","completionDate":"Mon Nov 01 2021 00:00:00 GMT-0400 (Eastern Daylight Time)","wdEngManager":"","damFullName":"","primingPartner":"0018000000hIF6bAAG","implPartner":"0018000000hIF6bAAG","partner":"Workday Professional Services","currentUpdate":"Post-production support completed, though a few items lingering that will be addressed through conversation with Iowa.  Will need to continue to work with Iowa on resolving ongoing absence impact on tenant performance.","isExecutiveWatch":false,"wellnessData":null},{"deploymentId":"a0r1B00000CkourQAB","deploymentName":"Subsequent-Phase X: AI Planning","accountId":"0018000000mJYyeAAG","accountName":"Iowa Department of Management","industry":"State &amp; Local Government","region":"US SLED","subRegion":"Local Government LE","subRegionAlt":"US State Gov East","billingState":"Iowa","billingCity":"Des Moines","deploymentStartDate":"Mon May 11 2020 00:00:00 GMT-0400 (Eastern Daylight Time)","mtpDate":"Fri Oct 30 2020 00:00:00 GMT-0400 (Eastern Daylight Time)","firstMtpDate":"Fri Oct 30 2020 00:00:00 GMT-0400 (Eastern Daylight Time)","overallStatus":"Complete","phase":"Planning First","stage":"Deploy","health":"Green","completionDate":"Thu Jan 28 2021 00:00:00 GMT-0500 (Eastern Standard Time)","wdEngManager":"","damFullName":"","primingPartner":"0018000000hIF6bAAG","implPartner":"0018000000hIF6bAAG","partner":"Workday Professional Services","currentUpdate":"- Go live successful on 10/30/2020\r\n- 4 weeks of ongoing support in November for administrators and users\r\n- Additional versions of current and prior year budget to be loaded in November\r\n- Additional training for administrators, executive and power users","isExecutiveWatch":false,"wellnessData":null},{"deploymentId":"a0r4X00000DY18JQAT","deploymentName":"Subsequent-Phase X: HCM","accountId":"0018000000mJYyeAAG","accountName":"Iowa Department of Management","industry":"State &amp; Local Government","region":"US SLED","subRegion":"Local Government LE","subRegionAlt":"US State Gov East","billingState":"Iowa","billingCity":"Des Moines","deploymentStartDate":"Wed Apr 12 2023 00:00:00 GMT-0400 (Eastern Daylight Time)","mtpDate":"Fri Dec 29 2023 00:00:00 GMT-0500 (Eastern Standard Time)","firstMtpDate":"Fri Dec 29 2023 00:00:00 GMT-0500 (Eastern Standard Time)","overallStatus":"Complete","phase":"Phase X - Your Way","stage":"Post Prod","health":"Green","completionDate":"Fri Dec 29 2023 00:00:00 GMT-0500 (Eastern Standard Time)","wdEngManager":"","damFullName":"","primingPartner":"0018000000hIF6bAAG","implPartner":"0018000000hIF6bAAG","partner":"Workday Professional Services","currentUpdate":"Final production changes made prior to holiday.","isExecutiveWatch":false,"wellnessData":null},{"deploymentId":"a0r800000079ufBAAQ","deploymentName":"Initial Deployment-Your Way: FIN, PRJT, EXP, INV, PRO, PRA, GM, PLN","accountId":"0018000001SYhYyAAL","accountName":"Iowa Department of Transportation","industry":"State &amp; Local Government","region":"US SLED","subRegion":"Local Government LE","subRegionAlt":"US State Gov East","billingState":"Iowa","billingCity":"Ames","deploymentStartDate":"Mon Jan 01 2018 00:00:00 GMT-0500 (Eastern Standard Time)","mtpDate":"Thu Jul 01 2021 00:00:00 GMT-0400 (Eastern Daylight Time)","firstMtpDate":"Thu Jul 01 2021 00:00:00 GMT-0400 (Eastern Daylight Time)","overallStatus":"Complete","phase":"Your Way","stage":"Deploy","health":"Green","completionDate":"Wed Sep 29 2021 00:00:00 GMT-0400 (Eastern Daylight Time)","wdEngManager":"Banjo Simbahan","damFullName":"","primingPartner":"0018000000hIF6bAAG","implPartner":"0018000000hIF6bAAG","partner":"Workday Professional Services","currentUpdate":"Iowa DOT is now Live on Workday FInancials!","isExecutiveWatch":false,"wellnessData":null},{"deploymentId":"a0r800000079uf6AAA","deploymentName":"Initial Deployment-Your Way:HCM, BEN, USP, TT, REC, LRN","accountId":"0018000001SYhYyAAL","accountName":"Iowa Department of Transportation","industry":"State &amp; Local Government","region":"US SLED","subRegion":"Local Government LE","subRegionAlt":"US State Gov East","billingState":"Iowa","billingCity":"Ames","deploymentStartDate":"Fri Nov 10 2017 00:00:00 GMT-0500 (Eastern Standard Time)","mtpDate":"Mon May 13 2019 00:00:00 GMT-0400 (Eastern Daylight Time)","firstMtpDate":"Mon May 13 2019 00:00:00 GMT-0400 (Eastern Daylight Time)","overallStatus":"Complete","phase":"Your Way","stage":"Deploy","health":"Green","completionDate":"Sun Aug 11 2019 00:00:00 GMT-0400 (Eastern Daylight Time)","wdEngManager":"","damFullName":"","primingPartner":"0018000000hIF6bAAG","implPartner":"0018000000hIF6bAAG","partner":"Workday Professional Services","currentUpdate":"Customer is in production now.  First pay cycle starts 5/17 for the 1st pay date of June (6/7 pay date). ESS will be enabled for 5/24.","isExecutiveWatch":false,"wellnessData":null},{"deploymentId":"a0r4X00000Ca5k5QAB","deploymentName":"Subsequent Phase X: Planning","accountId":"0018000001SYhYyAAL","accountName":"Iowa Department of Transportation","industry":"State &amp; Local Government","region":"US SLED","subRegion":"Local Government LE","subRegionAlt":"US State Gov East","billingState":"Iowa","billingCity":"Ames","deploymentStartDate":"Wed Aug 05 2020 00:00:00 GMT-0400 (Eastern Daylight Time)","mtpDate":"Thu Dec 17 2020 00:00:00 GMT-0500 (Eastern Standard Time)","firstMtpDate":"Thu Dec 17 2020 00:00:00 GMT-0500 (Eastern Standard Time)","overallStatus":"Complete","phase":"Phase X - Planning","stage":"Post Prod","health":"Green","completionDate":"Thu Feb 18 2021 00:00:00 GMT-0500 (Eastern Standard Time)","wdEngManager":"","damFullName":"","primingPartner":"0018000000hIF6bAAG","implPartner":"0018000000hIF6bAAG","partner":"Workday Professional Services","currentUpdate":"Customer is live as of 12/17.\r\nScheduled close meeting for 2/10 but needed to reschedule for 2/18 due to customer schedule conflict.","isExecutiveWatch":false,"wellnessData":null},{"deploymentId":"a0r4X00000DOulfQAD","deploymentName":"Subsequent Deployment - Planning First : Financial Planning","accountId":"0011B00002CXVuzQAH","accountName":"Iowa Finance Authority","industry":"Special Districts","region":"US SLED","subRegion":"Local Government ME","subRegionAlt":"US Special Districts NN","billingState":"Iowa","billingCity":"Des Moines","deploymentStartDate":"Wed Dec 24 2014 00:00:00 GMT-0500 (Eastern Standard Time)","mtpDate":"Wed Jun 24 2015 00:00:00 GMT-0400 (Eastern Daylight Time)","firstMtpDate":"Wed Jun 24 2015 00:00:00 GMT-0400 (Eastern Daylight Time)","overallStatus":"Complete","phase":"Planning First","stage":"Post Prod","health":"Green","completionDate":"","wdEngManager":"Stephen Eddinger","damFullName":"","primingPartner":"0011B00002CZYgHQAX","implPartner":"0011B00002CZYgHQAX","partner":"PBU Partner Ecosystem","currentUpdate":"Historical deployment load as part of Adaptive Systems Integration project in FY22. CSM listed as EM due to lack of historical data.","isExecutiveWatch":false,"wellnessData":null},{"deploymentId":"a0rVT00000qdTvRYAU","deploymentName":"Initial Deployment-Launch LDPMSG, LDPACM, LDPTLO, LDPGM, etc","accountId":"0014X00002ME6wtQAD","accountName":"Irvine Ranch Water District","industry":"Special Districts","region":"US SLED","subRegion":"Local Government ME","subRegionAlt":"US Local Gov ME CB","billingState":"California","billingCity":"Irvine","deploymentStartDate":"Tue Nov 25 2025 00:00:00 GMT-0500 (Eastern Standard Time)","mtpDate":"Fri Mar 12 2027 00:00:00 GMT-0500 (Eastern Standard Time)","firstMtpDate":"","overallStatus":"Active","phase":"Launch","stage":"Architect &amp; Configure","health":"Green","completionDate":"","wdEngManager":"","damFullName":"","primingPartner":"0013000000KdrrVAAR","implPartner":"0013000000KdrrVAAR","partner":"Strada U.S. Professional Services, LLC","currentUpdate":"Configuration Unit Testing (CUT) continues and will continue through the end of July. Integrations and customer reports requirements are being sent, approved and build starting.","isExecutiveWatch":false,"wellnessData":null},{"deploymentId":"a0r1B00000BdWHAQA3","deploymentName":"Initial Deployment-Your Way:HCM, FIN, USP, LRN, EXP, TT, etc.","accountId":"0018000000oiWQ3AAM","accountName":"Jackson County, Mississippi","industry":"State &amp; Local Government","region":"US SLED","subRegion":"Local Government ME","subRegionAlt":"US Local Gov ME CB","billingState":"Mississippi","billingCity":"Pascagoula","deploymentStartDate":"Tue Jun 23 2020 00:00:00 GMT-0400 (Eastern Daylight Time)","mtpDate":"Wed Sep 08 2021 00:00:00 GMT-0400 (Eastern Daylight Time)","firstMtpDate":"Wed Sep 08 2021 00:00:00 GMT-0400 (Eastern Daylight Time)","overallStatus":"Complete","phase":"Your Way","stage":"Deploy","health":"Green","completionDate":"Tue Dec 07 2021 00:00:00 GMT-0500 (Eastern Standard Time)","wdEngManager":"","damFullName":"","primingPartner":"0018000000MWLslAAH","implPartner":"0018000000MWLslAAH","partner":"Collaborative Solutions, LLC","currentUpdate":"11/1 -  Move to Production Completed on 9/8.    Employees go-live was 9/18.  Financials go-live was on 10/1.  First 2 payrolls have been run successfully.  Project closed on 11/24.  Transitioned to CVSAMS to continue post prod support.","isExecutiveWatch":false,"wellnessData":null},{"deploymentId":"a0r80000005hHytAAE","deploymentName":"Initial Deployment-Your Way: HCM, REC","accountId":"0018000001UohztAAB","accountName":"Jefferson County Personnel Board","industry":"State &amp; Local Government","region":"US SLED","subRegion":"Local Government LE","subRegionAlt":"US Local Gov LE CB","billingState":"Alabama","billingCity":"Birmingham","deploymentStartDate":"Tue Jul 25 2017 00:00:00 GMT-0400 (Eastern Daylight Time)","mtpDate":"Mon Jul 30 2018 00:00:00 GMT-0400 (Eastern Daylight Time)","firstMtpDate":"Mon Jul 30 2018 00:00:00 GMT-0400 (Eastern Daylight Time)","overallStatus":"Complete","phase":"Your Way","stage":"Post Prod","health":"Green","completionDate":"Fri Aug 31 2018 00:00:00 GMT-0400 (Eastern Daylight Time)","wdEngManager":"","damFullName":"","primingPartner":"0018000000hIF6bAAG","implPartner":"0018000000hIF6bAAG","partner":"Workday Professional Services","currentUpdate":"Project Completed - post prod completed 8/28/18","isExecutiveWatch":false,"wellnessData":null},{"deploymentId":"a0r1B00000B7nIjQAJ","deploymentName":"Subsequent-PhaseX: Talent and Performance","accountId":"0018000001UohztAAB","accountName":"Jefferson County Personnel Board","industry":"State &amp; Local Government","region":"US SLED","subRegion":"Local Government LE","subRegionAlt":"US Local Gov LE CB","billingState":"Alabama","billingCity":"Birmingham","deploymentStartDate":"Mon May 20 2019 00:00:00 GMT-0400 (Eastern Daylight Time)","mtpDate":"Fri Sep 27 2019 00:00:00 GMT-0400 (Eastern Daylight Time)","firstMtpDate":"Fri Sep 27 2019 00:00:00 GMT-0400 (Eastern Daylight Time)","overallStatus":"Complete","phase":"Phase X - Your Way","stage":"Post Prod","health":"Green","completionDate":"Fri Oct 11 2019 00:00:00 GMT-0400 (Eastern Daylight Time)","wdEngManager":"","damFullName":"","primingPartner":"0018000001HpL79AAF","implPartner":"0018000001HpL79AAF","partner":"Intecrowd LLC","currentUpdate":"MTP finished over the weekend","isExecutiveWatch":false,"wellnessData":null},{"deploymentId":"a0r4X00000CrTQqQAN","deploymentName":"Initial Deployment-Launch-CHCM, CCB, USP, LRN, MCNF, REC, FIN, etc","accountId":"0018000001bJDetAAG","accountName":"Johnson County (IA)","industry":"State &amp; Local Government","region":"US SLED","subRegion":"Local Government ME","subRegionAlt":"US Local Gov ME CB","billingState":"Iowa","billingCity":"Iowa City","deploymentStartDate":"Fri Apr 26 2024 00:00:00 GMT-0400 (Eastern Daylight Time)","mtpDate":"Thu Sep 18 2025 00:00:00 GMT-0400 (Eastern Daylight Time)","firstMtpDate":"Thu Sep 18 2025 00:00:00 GMT-0400 (Eastern Daylight Time)","overallStatus":"Complete","phase":"Launch","stage":"Post Prod","health":"Green","completionDate":"Fri Nov 21 2025 00:00:00 GMT-0500 (Eastern Standard Time)","wdEngManager":"","damFullName":"Kirk Krikorian","primingPartner":"0018000001IzqpSAAR","implPartner":"0018000001IzqpSAAR","partner":"Avaap USA, LLC","currentUpdate":"11.17.25 - JMS: Transitioning to AMS now that final ESC was held.","isExecutiveWatch":false,"wellnessData":null},{"deploymentId":"a0rVT00000uJ9FTYA0","deploymentName":"New Deployment-Your Way-CHCM, TLO, CCB, USP, LRN, CCLRN, REC, FIN, etc.","accountId":"0018000000O0AktAAF","accountName":"Kansas City, Missouri (Iron Brick Associates LLC)","industry":"State &amp; Local Government","region":"US SLED","subRegion":"Local Government LE","subRegionAlt":"US Local Gov LE CB","billingState":"Missouri","billingCity":"Kansas City","deploymentStartDate":"Mon May 25 2026 00:00:00 GMT-0400 (Eastern Daylight Time)","mtpDate":"Thu Sep 30 2027 00:00:00 GMT-0400 (Eastern Daylight Time)","firstMtpDate":"","overallStatus":"Active","phase":"Your Way","stage":"Plan","health":"Green","completionDate":"","wdEngManager":"","damFullName":"","primingPartner":"00130000008MSknAAG","implPartner":"00130000008MSknAAG","partner":"Accenture LLP","currentUpdate":"Continuing on with the BPA Phase.","isExecutiveWatch":false,"wellnessData":null},{"deploymentId":"a0rVT00000vq0zpYAA","deploymentName":"Initial Deployment-Launch-LDPREC, LDPTLO, LDPTT, LDPAM, LDPSC, etc.","accountId":"0011B00002B8Rl1QAF","accountName":"Kenton County Airport Board","industry":"Special Districts","region":"US SLED","subRegion":"Local Government ME","subRegionAlt":"US Local Gov ME CB","billingState":"Kentucky","billingCity":"Erlanger","deploymentStartDate":"Mon Mar 09 2026 00:00:00 GMT-0400 (Eastern Daylight Time)","mtpDate":"Thu Mar 18 2027 00:00:00 GMT-0400 (Eastern Daylight Time)","firstMtpDate":"","overallStatus":"Active","phase":"Launch","stage":"Plan","health":"Green","completionDate":"","wdEngManager":"","damFullName":"","primingPartner":"0018000001IzqpSAAR","implPartner":"0018000001IzqpSAAR","partner":"Avaap USA, LLC","currentUpdate":"6/14 - Middle of FAS\n6/15 - 7/3 Config build \n7/6 - 8/14 Unit testing\n8/24 - 8/28 Customer Confirmation Sessions\n9/21 - 10/23 E2E Config Build","isExecutiveWatch":false,"wellnessData":null},{"deploymentId":"a0r4X00000DOunWQAT","deploymentName":"Subsequent Deployment - Planning First : Financial Planning","accountId":"0011B00002CXU4rQAH","accountName":"Kickapoo Lucky Eagle Casino","industry":"Special Districts","region":"US SLED","subRegion":"Local Government ME","subRegionAlt":"US Special Districts NN","billingState":"Texas","billingCity":"Eagle Pass","deploymentStartDate":"Thu Oct 29 2015 00:00:00 GMT-0400 (Eastern Daylight Time)","mtpDate":"Fri Apr 29 2016 00:00:00 GMT-0400 (Eastern Daylight Time)","firstMtpDate":"Fri Apr 29 2016 00:00:00 GMT-0400 (Eastern Daylight Time)","overallStatus":"Complete","phase":"Planning First","stage":"Post Prod","health":"Green","completionDate":"","wdEngManager":"Stephen Eddinger","damFullName":"","primingPartner":"0011B00002CZYgHQAX","implPartner":"0011B00002CZYgHQAX","partner":"PBU Partner Ecosystem","currentUpdate":"Historical deployment load as part of Adaptive Systems Integration project in FY22. CSM listed as EM due to lack of historical data.","isExecutiveWatch":false,"wellnessData":null},{"deploymentId":"a0r4X00000DOunlQAD","deploymentName":"Subsequent Deployment - Planning First : Financial Planning","accountId":"0011B00002CXVzpQAH","accountName":"Kissimmee Utility Authority","industry":"Special Districts","region":"US SLED","subRegion":"Local Government ME","subRegionAlt":"US Special Districts NN","billingState":"Florida","billingCity":"Kissimmee","deploymentStartDate":"Wed Sep 30 2009 00:00:00 GMT-0400 (Eastern Daylight Time)","mtpDate":"Tue Mar 30 2010 00:00:00 GMT-0400 (Eastern Daylight Time)","firstMtpDate":"Tue Mar 30 2010 00:00:00 GMT-0400 (Eastern Daylight Time)","overallStatus":"Complete","phase":"Planning First","stage":"Post Prod","health":"Green","completionDate":"","wdEngManager":"Shane McPherson","damFullName":"","primingPartner":"0011B00002CZYgHQAX","implPartner":"0011B00002CZYgHQAX","partner":"PBU Partner Ecosystem","currentUpdate":"Historical deployment load as part of Adaptive Systems Integration project in FY22. CSM listed as EM due to lack of historical data.","isExecutiveWatch":false,"wellnessData":null},{"deploymentId":"a0r1B00000BQPOiQAP","deploymentName":"Initial Deployment-Your Way:FIN, PRJT, GM","accountId":"0018000000kuvuNAAQ","accountName":"Kitsap County","industry":"State &amp; Local Government","region":"US SLED","subRegion":"Local Government ME","subRegionAlt":"US Local Gov ME CB","billingState":"Washington","billingCity":"Port Orchard","deploymentStartDate":"Mon Sep 07 2020 00:00:00 GMT-0400 (Eastern Daylight Time)","mtpDate":"Thu Apr 15 2021 00:00:00 GMT-0400 (Eastern Daylight Time)","firstMtpDate":"Thu Apr 15 2021 00:00:00 GMT-0400 (Eastern Daylight Time)","overallStatus":"Complete","phase":"Your Way","stage":"Post Prod","health":"Green","completionDate":"Fri Sep 10 2021 00:00:00 GMT-0400 (Eastern Daylight Time)","wdEngManager":"","damFullName":"","primingPartner":"0018000000MWLslAAH","implPartner":"0018000000MWLslAAH","partner":"Collaborative Solutions, LLC","currentUpdate":"Week Ending 09/10/21\r\nLast Week of Post Production Support","isExecutiveWatch":false,"wellnessData":null},{"deploymentId":"a0r1B00000BQPOVQA5","deploymentName":"Initial Deployment-Your Way:HCM, CCB, USP, USP, TT, EXP, etc.","accountId":"0018000000kuvuNAAQ","accountName":"Kitsap County","industry":"State &amp; Local Government","region":"US SLED","subRegion":"Local Government ME","subRegionAlt":"US Local Gov ME CB","billingState":"Washington","billingCity":"Port Orchard","deploymentStartDate":"Mon Apr 15 2019 00:00:00 GMT-0400 (Eastern Daylight Time)","mtpDate":"Wed Mar 25 2020 00:00:00 GMT-0400 (Eastern Daylight Time)","firstMtpDate":"Wed Mar 25 2020 00:00:00 GMT-0400 (Eastern Daylight Time)","overallStatus":"Complete","phase":"Your Way","stage":"Deploy","health":"Green","completionDate":"Tue Jun 23 2020 00:00:00 GMT-0400 (Eastern Daylight Time)","wdEngManager":"","damFullName":"","primingPartner":"0018000000MWLslAAH","implPartner":"0018000000MWLslAAH","partner":"Collaborative Solutions, LLC","currentUpdate":"Kitsap go live date was 3/30/20.  Post production closed out.","isExecutiveWatch":false,"wellnessData":null},{"deploymentId":"a0r4X00000D7qqIQAR","deploymentName":"Subsequent - Planning First - Launch: PLNF SVCS","accountId":"0018000000kuvuNAAQ","accountName":"Kitsap County","industry":"State &amp; Local Government","region":"US SLED","subRegion":"Local Government ME","subRegionAlt":"US Local Gov ME CB","billingState":"Washington","billingCity":"Port Orchard","deploymentStartDate":"Fri Apr 21 2023 00:00:00 GMT-0400 (Eastern Daylight Time)","mtpDate":"Fri Jul 07 2023 00:00:00 GMT-0400 (Eastern Daylight Time)","firstMtpDate":"Fri Jul 07 2023 00:00:00 GMT-0400 (Eastern Daylight Time)","overallStatus":"Complete","phase":"Your Way","stage":"Post Prod","health":"Green","completionDate":"Fri Aug 18 2023 00:00:00 GMT-0400 (Eastern Daylight Time)","wdEngManager":"","damFullName":"","primingPartner":"0018000000hIF6bAAG","implPartner":"0018000000hIF6bAAG","partner":"Workday Professional Services","currentUpdate":"Customer transition to CSM completed","isExecutiveWatch":false,"wellnessData":null},{"deploymentId":"a0rVT00000PtYNdYAN","deploymentName":"Initial Deployment-Launch-LDPMSG, LDPTLO, LDPFIN, LDPPRA, etc.","accountId":"0018000000mKzpXAAS","accountName":"Lake County CA","industry":"State &amp; Local Government","region":"US SLED","subRegion":"Local Government ME","subRegionAlt":"US Local Gov ME CB","billingState":"California","billingCity":"Lakeport","deploymentStartDate":"Tue Feb 04 2025 00:00:00 GMT-0500 (Eastern Standard Time)","mtpDate":"Thu Sep 17 2026 00:00:00 GMT-0400 (Eastern Daylight Time)","firstMtpDate":"","overallStatus":"Active","phase":"Launch","stage":"Test","health":"Red","completionDate":"","wdEngManager":"Subhasish Moitra","damFullName":"","primingPartner":"0018000000hIF6bAAG","implPartner":"0018000000hIF6bAAG","partner":"Workday Professional Services","currentUpdate":"6/15: CO in processing, expected signatures by 6/30. GOLD tenant build complete, copy to new E2E and PPT on 6/16 -","isExecutiveWatch":false,"wellnessData":null},{"deploymentId":"a0r4X00000ETWLfQAP","deploymentName":"Initial Deployment-Your Way-CHCM, TLO, HLP, JRNY, EMPVCE, CCB, etc.","accountId":"0018000001D82uSAAR","accountName":"Lake County Illinois (Precision Task Group, Inc.)","industry":"State &amp; Local Government","region":"US SLED","subRegion":"Local Government ME","subRegionAlt":"US Local Gov ME CB","billingState":"Illinois","billingCity":"Waukegan","deploymentStartDate":"Mon Oct 28 2024 00:00:00 GMT-0400 (Eastern Daylight Time)","mtpDate":"Mon Sep 07 2026 00:00:00 GMT-0400 (Eastern Daylight Time)","firstMtpDate":"","overallStatus":"Active","phase":"Your Way","stage":"Architect &amp; Configure","health":"Green","completionDate":"","wdEngManager":"","damFullName":"","primingPartner":"0013000000KdrrVAAR","implPartner":"0013000000KdrrVAAR","partner":"Strada U.S. Professional Services, LLC","currentUpdate":"E2E 2.0 configuration and data conversion is underway.  E2E testing begins June 29, 2026","isExecutiveWatch":false,"wellnessData":null},{"deploymentId":"a0r4X00000CrWKgQAN","deploymentName":"Initial Deployment-Launch-LDPHCM, LDPCCB, LDPBEN, LDPUSP, LDPLRN, etc.","accountId":"0014X00002ltprTQAQ","accountName":"Lake County Sheriff's Office","industry":"State &amp; Local Government","region":"US SLED","subRegion":"Local Government ME","subRegionAlt":"US Local Gov ME CB","billingState":"Florida","billingCity":"Tavares","deploymentStartDate":"Mon Sep 02 2024 00:00:00 GMT-0400 (Eastern Daylight Time)","mtpDate":"Thu Sep 11 2025 00:00:00 GMT-0400 (Eastern Daylight Time)","firstMtpDate":"Thu Sep 11 2025 00:00:00 GMT-0400 (Eastern Daylight Time)","overallStatus":"Complete","phase":"Launch","stage":"Post Prod","health":"Green","completionDate":"Mon Mar 23 2026 00:00:00 GMT-0400 (Eastern Daylight Time)","wdEngManager":"","damFullName":"","primingPartner":"0018000000hIF6bAAG","implPartner":"0018000000hIF6bAAG","partner":"Workday Professional Services","currentUpdate":"3/23: Phase 2 start date in discussion with customer, new scorecard for Phase 2 created, closing out this scorecard.","isExecutiveWatch":false,"wellnessData":null},{"deploymentId":"a0rVT000010i7brYAA","deploymentName":"Subsequent-Phase X: REC, LRNG, PRISM, INV.","accountId":"0014X00002ltprTQAQ","accountName":"Lake County Sheriff's Office","industry":"State &amp; Local Government","region":"US SLED","subRegion":"Local Government ME","subRegionAlt":"US Local Gov ME CB","billingState":"Florida","billingCity":"Tavares","deploymentStartDate":"Mon Mar 23 2026 00:00:00 GMT-0400 (Eastern Daylight Time)","mtpDate":"Mon Mar 23 2026 00:00:00 GMT-0400 (Eastern Daylight Time)","firstMtpDate":"","overallStatus":"Active","phase":"Launch","stage":"Test","health":"Green","completionDate":"","wdEngManager":"Lauren Vannini","damFullName":"","primingPartner":"0018000000hIF6bAAG","implPartner":"0018000000hIF6bAAG","partner":"Workday Professional Services","currentUpdate":"6/9/2026 - A&amp;C plan sign-off","isExecutiveWatch":false,"wellnessData":null},{"deploymentId":"a0rVT000012rifZYAQ","deploymentName":"Initial Deployment-Launch-LDPGM, LDPFIN, LDPPLNF, LDPPRJT, LDPPRO, WSP, TC","accountId":"001VT00000a6NGaYAM","accountName":"Lakehaven Water and Sewer District (Precision Task Group, Inc.)","industry":"Special Districts","region":"US SLED","subRegion":"Local Government ME","subRegionAlt":"US Special Districts NN","billingState":"Washington","billingCity":"Federal Way","deploymentStartDate":"","mtpDate":"","firstMtpDate":"","overallStatus":"Active","phase":"Launch","stage":"On-Boarding","health":"Green","completionDate":"","wdEngManager":"","damFullName":"","primingPartner":"","implPartner":"","partner":"","currentUpdate":"","isExecutiveWatch":false,"wellnessData":null},{"deploymentId":"a0r4X00000ESL7tQAH","deploymentName":"Initial Deployment-Your Way: CHCM, TLO, CCB, USP, LRN, etc.,","accountId":"0018000001VkKAUAA3","accountName":"Lansing Board of Water and Light","industry":"Special Districts","region":"US SLED","subRegion":"Local Government ME","subRegionAlt":"US Local Gov ME CB","billingState":"Michigan","billingCity":"Lansing","deploymentStartDate":"Mon Nov 13 2023 00:00:00 GMT-0500 (Eastern Standard Time)","mtpDate":"Mon Dec 09 2024 00:00:00 GMT-0500 (Eastern Standard Time)","firstMtpDate":"Mon Dec 09 2024 00:00:00 GMT-0500 (Eastern Standard Time)","overallStatus":"Complete","phase":"Your Way","stage":"Post Prod","health":"Green","completionDate":"Fri Jan 17 2025 00:00:00 GMT-0500 (Eastern Standard Time)","wdEngManager":"","damFullName":"Hope Douglass","primingPartner":"0013000000KdrrVAAR","implPartner":"0013000000KdrrVAAR","partner":"Strada U.S. Professional Services, LLC","currentUpdate":"Project completed.  Hyper-care support has ended.","isExecutiveWatch":false,"wellnessData":null},{"deploymentId":"a0rVT00000p45DRYAY","deploymentName":"Subsequent-Phase X- Open Enrollment and Benefit integration build","accountId":"0018000001VkKAUAA3","accountName":"Lansing Board of Water and Light","industry":"Special Districts","region":"US SLED","subRegion":"Local Government ME","subRegionAlt":"US Local Gov ME CB","billingState":"Michigan","billingCity":"Lansing","deploymentStartDate":"Thu Oct 16 2025 00:00:00 GMT-0400 (Eastern Daylight Time)","mtpDate":"Mon Oct 20 2025 00:00:00 GMT-0400 (Eastern Daylight Time)","firstMtpDate":"Mon Oct 20 2025 00:00:00 GMT-0400 (Eastern Daylight Time)","overallStatus":"Complete","phase":"Your Way","stage":"Post Prod","health":"Green","completionDate":"Thu Apr 30 2026 00:00:00 GMT-0400 (Eastern Daylight Time)","wdEngManager":"","damFullName":"","primingPartner":"0014X00002K50GIQAZ","implPartner":"0014X00002K50GIQAZ","partner":"ERP Analysts Inc. dba ERPA","currentUpdate":"3/18 - Continued work - Union plans esablished and integrations are in build. Working with vendor for mappings.","isExecutiveWatch":false,"wellnessData":null},{"deploymentId":"a0rVT00000RVF6TYAX","deploymentName":"Subsequent-Phase X: Phase 2","accountId":"0018000001VkKAUAA3","accountName":"Lansing Board of Water and Light","industry":"Special Districts","region":"US SLED","subRegion":"Local Government ME","subRegionAlt":"US Local Gov ME CB","billingState":"Michigan","billingCity":"Lansing","deploymentStartDate":"Tue Feb 18 2025 00:00:00 GMT-0500 (Eastern Standard Time)","mtpDate":"Fri Jun 20 2025 00:00:00 GMT-0400 (Eastern Daylight Time)","firstMtpDate":"Fri Jun 20 2025 00:00:00 GMT-0400 (Eastern Daylight Time)","overallStatus":"Complete","phase":"Launch","stage":"Deploy","health":"Green","</t>
  </si>
  <si>
    <t>sfdcRows:default:chunk:9</t>
  </si>
  <si>
    <t>a0pVT00000ARUp4YAH</t>
  </si>
  <si>
    <t>14/8 Working through hypercare queries</t>
  </si>
  <si>
    <t>Specialized-Initial Deployment-Evisort Only</t>
  </si>
  <si>
    <t>Hilton Worldwide Holdings Inc.</t>
  </si>
  <si>
    <t>a0pVT00000ARUp3YAH</t>
  </si>
  <si>
    <t>US DI LE NN RHT South</t>
  </si>
  <si>
    <t>a0pVT00000ARUNeYAP</t>
  </si>
  <si>
    <t>a0pVT00000ARUNdYAP</t>
  </si>
  <si>
    <t>8/6: R2 - Release 2 completed on 3/31. Franchise Agreement Build is in progress. Release 2b (delta migration of docs) in progress. Added to CLM R2 EA, Further impact assessments in progress. See DHP for Red</t>
  </si>
  <si>
    <t>a0rVT0000191h3dYAA</t>
  </si>
  <si>
    <t>Hiscox Underwriting Group Services Limited</t>
  </si>
  <si>
    <t>a0pVT00000ARUsMYAX</t>
  </si>
  <si>
    <t>UKI FSI</t>
  </si>
  <si>
    <t>UKI FSI ME CB</t>
  </si>
  <si>
    <t>a0pVT00000ARUsLYAX</t>
  </si>
  <si>
    <t>Scorecard request: 3352168</t>
  </si>
  <si>
    <t>a0pVT00000ARUsKYAX</t>
  </si>
  <si>
    <t>a0rVT00000pLSqYYAW</t>
  </si>
  <si>
    <t>Hitachi, Ltd.</t>
  </si>
  <si>
    <t>Japan</t>
  </si>
  <si>
    <t>Japan Sales 2</t>
  </si>
  <si>
    <t>Japan 2</t>
  </si>
  <si>
    <t>a0pVT00000ARUsJYAX</t>
  </si>
  <si>
    <t>05/07/2026
Overall Project Status: in Hypercare - last meeting on July 6th
Current Project Phase (choose from list): Go live
Week: 29 out of 26
Open Topics: CO signature
Next Steps: Go live</t>
  </si>
  <si>
    <t>Hofstra University</t>
  </si>
  <si>
    <t>a0pVT00000ARUsIYAX</t>
  </si>
  <si>
    <t>US Higher Ed ME NN Northeast</t>
  </si>
  <si>
    <t>a0pVT00000ARUsHYAX</t>
  </si>
  <si>
    <t>Proposal to have WF 1, 2 &amp; 3 and CI signed off by 8/27. Waiting on HU exec sponsor to return on 8/18</t>
  </si>
  <si>
    <t>Subsequent-Phase X-Paradox-CE</t>
  </si>
  <si>
    <t>Home Depot Store Support, Inc.</t>
  </si>
  <si>
    <t>a0pVT00000ARUp8YAH</t>
  </si>
  <si>
    <t>a0pVT00000ARUp7YAH</t>
  </si>
  <si>
    <t>Brad Whitford</t>
  </si>
  <si>
    <t>Project on track despite challenging timeline. SIT complete, one item to close out. Prepping for UAT kickoff on 8/13. Likely to move Go-live to 10/5 due to project buffer.</t>
  </si>
  <si>
    <t>a0pVT00000ARUp6YAH</t>
  </si>
  <si>
    <t>a0rVT00000voAbFYAU</t>
  </si>
  <si>
    <t>HonorHealth</t>
  </si>
  <si>
    <t>a0pVT00000ARUp5YAH</t>
  </si>
  <si>
    <t>a0pVT00000BlG4bYAF</t>
  </si>
  <si>
    <t>Honorhealth: hypercare week 4. Grading &amp; Testing: The client raised concerns that grades are not meeting their expectations. I investigated and shared the underlying reasons.</t>
  </si>
  <si>
    <t>a0rVT00001AqcR7YAJ</t>
  </si>
  <si>
    <t>Subsequent-Phase X: Paradox Implementation</t>
  </si>
  <si>
    <t>a0pVT00000ASIKQYA5</t>
  </si>
  <si>
    <t>a0rVT000014it2uYAA</t>
  </si>
  <si>
    <t>a0pVT00000ASIKPYA5</t>
  </si>
  <si>
    <t>Kicking off project the week of 8/17; Providing initial documentation to keep project moving forward. Targeting February 2027 Go-Live.</t>
  </si>
  <si>
    <t>Howden Group Services Limited</t>
  </si>
  <si>
    <t>UKI FSI LE CB</t>
  </si>
  <si>
    <t>a0pVT00000B22iXYAR</t>
  </si>
  <si>
    <t>13/8 Staying yellow but may trend red - we still do not have technical resources assigned from the Howden side - looks like this will be end of August. Design is more or less finalised and we are now blocked with TPP and Build until resources are assigned</t>
  </si>
  <si>
    <t>a0pVT00000B5fNZYAZ</t>
  </si>
  <si>
    <t>a0rVT00000gh8wcYAA</t>
  </si>
  <si>
    <t>a0rVT0000151oNZYAY</t>
  </si>
  <si>
    <t>Hummingbird Healthcare</t>
  </si>
  <si>
    <t>a0pVT00000BoQgvYAF</t>
  </si>
  <si>
    <t>a0pVT00000BoQnNYAV</t>
  </si>
  <si>
    <t>KJY 2/6
* Budget: overbudget. seeking fic
* Project Status: determining this internally</t>
  </si>
  <si>
    <t>Hylant Group, Inc.</t>
  </si>
  <si>
    <t>a0pVT00000A9DhpYAF</t>
  </si>
  <si>
    <t>Adam Kmet</t>
  </si>
  <si>
    <t>a0pVT00000A9Dl3YAF</t>
  </si>
  <si>
    <t>a0rVT00001ARV9ZYAX</t>
  </si>
  <si>
    <t>Iberdrola SA</t>
  </si>
  <si>
    <t>a0pVT00000AdtmsYAB</t>
  </si>
  <si>
    <t>a0rVT000015KsFNYA0</t>
  </si>
  <si>
    <t>Contract Intelligence Agent</t>
  </si>
  <si>
    <t>a0pVT00000AdtmrYAB</t>
  </si>
  <si>
    <t>Morde Yoiris</t>
  </si>
  <si>
    <t>a0rVT00001BS989YAD</t>
  </si>
  <si>
    <t>a0pVT00000BwnYIYAZ</t>
  </si>
  <si>
    <t>ICON Clinical Research Limited</t>
  </si>
  <si>
    <t>a0pVT00000A8Ms4YAF</t>
  </si>
  <si>
    <t>a0pVT00000A8Ms5YAF</t>
  </si>
  <si>
    <t>a0rVT00000OzNTJYA3</t>
  </si>
  <si>
    <t>IHC Health Services, Inc. (Intermountain)</t>
  </si>
  <si>
    <t>a0pVT00000A8Ms1YAF</t>
  </si>
  <si>
    <t>a0pVT00000AwZdyYAF</t>
  </si>
  <si>
    <t>completionDate":"Sun Sep 28 2025 00:00:00 GMT-0400 (Eastern Daylight Time)","wdEngManager":"Stephanie Denham","damFullName":"","primingPartner":"0018000000hIF6bAAG","implPartner":"0018000000hIF6bAAG","partner":"Workday Professional Services","currentUpdate":"8/20/2025 - Blue Cross Blue Shield INT is still being tested at this time.","isExecutiveWatch":false,"wellnessData":null},{"deploymentId":"a0r80000003wH7jAAE","deploymentName":"Initial Implementation - LDP: LDPHCM,LDPTT,LDPREC,LDPBEN,LDPUSP,LDPPD,LDPACM,LDP","accountId":"0018000001KfA5EAAV","accountName":"Las Vegas Valley Water District","industry":"Special Districts","region":"US SLED","subRegion":"Local Government ME","subRegionAlt":"US Local Gov ME CB","billingState":"Nevada","billingCity":"Las Vegas","deploymentStartDate":"Tue Nov 01 2016 00:00:00 GMT-0400 (Eastern Daylight Time)","mtpDate":"Mon Oct 02 2017 00:00:00 GMT-0400 (Eastern Daylight Time)","firstMtpDate":"Mon Oct 02 2017 00:00:00 GMT-0400 (Eastern Daylight Time)","overallStatus":"Complete","phase":"LDP","stage":"Post Prod","health":"Green","completionDate":"Tue Oct 31 2017 00:00:00 GMT-0400 (Eastern Daylight Time)","wdEngManager":"","damFullName":"","primingPartner":"0018000000nlcXyAAI","implPartner":"0018000000nlcXyAAI","partner":"Sierra-Cedar, Inc.","currentUpdate":"LVVWD is live in Production.  The initial deployment is complete.","isExecutiveWatch":false,"wellnessData":null},{"deploymentId":"a0r80000007A02DAAS","deploymentName":"Subsequent - PhaseX:Recruiting","accountId":"0018000001KfA5EAAV","accountName":"Las Vegas Valley Water District","industry":"Special Districts","region":"US SLED","subRegion":"Local Government ME","subRegionAlt":"US Local Gov ME CB","billingState":"Nevada","billingCity":"Las Vegas","deploymentStartDate":"Mon Oct 30 2017 00:00:00 GMT-0400 (Eastern Daylight Time)","mtpDate":"Mon May 07 2018 00:00:00 GMT-0400 (Eastern Daylight Time)","firstMtpDate":"Mon May 07 2018 00:00:00 GMT-0400 (Eastern Daylight Time)","overallStatus":"Complete","phase":"Phase X","stage":"Post Prod","health":"Green","completionDate":"Fri Jun 29 2018 00:00:00 GMT-0400 (Eastern Daylight Time)","wdEngManager":"","damFullName":"","primingPartner":"0018000000nlcXyAAI","implPartner":"0018000000nlcXyAAI","partner":"Sierra-Cedar, Inc.","currentUpdate":"Recruiting is live.  SCI just completed out Post Production support.  Completing this Scorecard.","isExecutiveWatch":false,"wellnessData":null},{"deploymentId":"a0r1B00000BdVxAQAV","deploymentName":"Subsequent-Phase X: Expenses","accountId":"0018000001KfA5EAAV","accountName":"Las Vegas Valley Water District","industry":"Special Districts","region":"US SLED","subRegion":"Local Government ME","subRegionAlt":"US Local Gov ME CB","billingState":"Nevada","billingCity":"Las Vegas","deploymentStartDate":"Fri Jan 24 2020 00:00:00 GMT-0500 (Eastern Standard Time)","mtpDate":"Mon Jun 29 2020 00:00:00 GMT-0400 (Eastern Daylight Time)","firstMtpDate":"Mon Jun 29 2020 00:00:00 GMT-0400 (Eastern Daylight Time)","overallStatus":"Complete","phase":"Phase X - Launch","stage":"Deploy","health":"Green","completionDate":"Sun Sep 27 2020 00:00:00 GMT-0400 (Eastern Daylight Time)","wdEngManager":"","damFullName":"","primingPartner":"0018000000hIF6bAAG","implPartner":"0018000000hIF6bAAG","partner":"Workday Professional Services","currentUpdate":"Final go-live date will be Monday, June 29.","isExecutiveWatch":false,"wellnessData":null},{"deploymentId":"a0r1B00000BYkypQAD","deploymentName":"Subsequent-Phase X: Learning","accountId":"0018000001KfA5EAAV","accountName":"Las Vegas Valley Water District","industry":"Special Districts","region":"US SLED","subRegion":"Local Government ME","subRegionAlt":"US Local Gov ME CB","billingState":"Nevada","billingCity":"Las Vegas","deploymentStartDate":"Mon Jan 07 2019 00:00:00 GMT-0500 (Eastern Standard Time)","mtpDate":"Tue Aug 20 2019 00:00:00 GMT-0400 (Eastern Daylight Time)","firstMtpDate":"Tue Aug 20 2019 00:00:00 GMT-0400 (Eastern Daylight Time)","overallStatus":"Complete","phase":"Phase X - Your Way","stage":"Post Prod","health":"Green","completionDate":"Mon Sep 16 2019 00:00:00 GMT-0400 (Eastern Daylight Time)","wdEngManager":"","damFullName":"","primingPartner":"0018000000nlcXyAAI","implPartner":"0018000000nlcXyAAI","partner":"Sierra-Cedar, Inc.","currentUpdate":"Post production support ended on 8/31/2019.  Closing out scorecard.","isExecutiveWatch":false,"wellnessData":null},{"deploymentId":"a0r4X00000BWhT1QAL","deploymentName":"Initial Deployment-Your Way: FIN, GM, PRJT, PB, etc.","accountId":"0018000000oh8GmAAI","accountName":"Los Angeles Department of Water and Power (LADWP)","industry":"Special Districts","region":"US SLED","subRegion":"Local Government LE","subRegionAlt":"US Local Gov LE NN &amp; States West","billingState":"California","billingCity":"Los Angeles","deploymentStartDate":"Thu Jul 01 2021 00:00:00 GMT-0400 (Eastern Daylight Time)","mtpDate":"Wed Jul 01 2026 00:00:00 GMT-0400 (Eastern Daylight Time)","firstMtpDate":"","overallStatus":"Active","phase":"Your Way","stage":"Deploy","health":"Green","completionDate":"","wdEngManager":"Banjo Simbahan","damFullName":"","primingPartner":"0018000000hIF6bAAG","implPartner":"0018000000hIF6bAAG","partner":"Workday Professional Services","currentUpdate":"0612- PRE-PROD tenant validation completed. PROD config update on schedule to start 15 Jun. DA reviews on going. Team preparing for Go live.","isExecutiveWatch":false,"wellnessData":null},{"deploymentId":"a0r4X00000BWhSrQAL","deploymentName":"Initial Deployment-Your Way: HCM, CCB, USP, LRN, EXP, REC, PRA, TT, etc.","accountId":"0018000000oh8GmAAI","accountName":"Los Angeles Department of Water and Power (LADWP)","industry":"Special Districts","region":"US SLED","subRegion":"Local Government LE","subRegionAlt":"US Local Gov LE NN &amp; States West","billingState":"California","billingCity":"Los Angeles","deploymentStartDate":"Thu Apr 15 2021 00:00:00 GMT-0400 (Eastern Daylight Time)","mtpDate":"Sun Jun 08 2025 00:00:00 GMT-0400 (Eastern Daylight Time)","firstMtpDate":"Sun Jun 08 2025 00:00:00 GMT-0400 (Eastern Daylight Time)","overallStatus":"Complete","phase":"Your Way","stage":"Post Prod","health":"Green","completionDate":"Sat Jan 31 2026 00:00:00 GMT-0500 (Eastern Standard Time)","wdEngManager":"","damFullName":"","primingPartner":"0018000000hIF6bAAG","implPartner":"0018000000hIF6bAAG","partner":"Workday Professional Services","currentUpdate":"11/17/2025: Hypercare closed on 10/31.  Continued support through end of January 2026.","isExecutiveWatch":false,"wellnessData":null},{"deploymentId":"a0rVT00000x3XbEYAU","deploymentName":"Subsequent-Phase X: HCM/PAY AMS","accountId":"0018000000oh8GmAAI","accountName":"Los Angeles Department of Water and Power (LADWP)","industry":"Special Districts","region":"US SLED","subRegion":"Local Government LE","subRegionAlt":"US Local Gov LE NN &amp; States West","billingState":"California","billingCity":"Los Angeles","deploymentStartDate":"Mon Feb 09 2026 00:00:00 GMT-0500 (Eastern Standard Time)","mtpDate":"Sat Oct 31 2026 00:00:00 GMT-0400 (Eastern Daylight Time)","firstMtpDate":"","overallStatus":"Active","phase":"Your Way","stage":"Deploy","health":"Green","completionDate":"","wdEngManager":"Eric Frame","damFullName":"","primingPartner":"0018000000hIF6bAAG","implPartner":"0018000000hIF6bAAG","partner":"Workday Professional Services","currentUpdate":"No changes.  AMS support is in progress and continues through October.","isExecutiveWatch":false,"wellnessData":null},{"deploymentId":"a0rVT00000x3OESYA2","deploymentName":"Subsequent-Phase X: MCP3/TRCA (Extend)","accountId":"0018000000oh8GmAAI","accountName":"Los Angeles Department of Water and Power (LADWP)","industry":"Special Districts","region":"US SLED","subRegion":"Local Government LE","subRegionAlt":"US Local Gov LE NN &amp; States West","billingState":"California","billingCity":"Los Angeles","deploymentStartDate":"Mon Feb 09 2026 00:00:00 GMT-0500 (Eastern Standard Time)","mtpDate":"Fri Nov 20 2026 00:00:00 GMT-0500 (Eastern Standard Time)","firstMtpDate":"","overallStatus":"Active","phase":"Your Way","stage":"Architect &amp; Configure","health":"Green","completionDate":"","wdEngManager":"Eric Frame","damFullName":"","primingPartner":"0018000000hIF6bAAG","implPartner":"0018000000hIF6bAAG","partner":"Workday Professional Services","currentUpdate":"Development is in progress.  Preparing / reviewing test scenarios.","isExecutiveWatch":false,"wellnessData":null},{"deploymentId":"a0r4X00000Ca3A5QAJ","deploymentName":"Subsequent-Planning First: AI Planning","accountId":"0011B00002IuziXQAR","accountName":"Louisville Metropolitan Sewer District","industry":"Special Districts","region":"US SLED","subRegion":"Local Government ME","subRegionAlt":"US Special Districts NN","billingState":"Kentucky","billingCity":"Louisville","deploymentStartDate":"Tue Aug 18 2020 00:00:00 GMT-0400 (Eastern Daylight Time)","mtpDate":"Wed Dec 09 2020 00:00:00 GMT-0500 (Eastern Standard Time)","firstMtpDate":"Wed Dec 09 2020 00:00:00 GMT-0500 (Eastern Standard Time)","overallStatus":"Complete","phase":"Planning First","stage":"Post Prod","health":"Green","completionDate":"Mon Dec 21 2020 00:00:00 GMT-0500 (Eastern Standard Time)","wdEngManager":"","damFullName":"","primingPartner":"0018000000hIF6bAAG","implPartner":"0018000000hIF6bAAG","partner":"Workday Professional Services","currentUpdate":"12/15 - Go-live support in process; closeout 12/22.","isExecutiveWatch":false,"wellnessData":null},{"deploymentId":"a0r1B00000Cko5eQAB","deploymentName":"Initial Deployment-Your Way;HCM, CCB, USP, LRN, REC,","accountId":"0018000000kuwIzAAI","accountName":"Louisville-Jefferson County Metro Government","industry":"State &amp; Local Government","region":"US SLED","subRegion":"Local Government LE","subRegionAlt":"US Local Gov LE CB","billingState":"Kentucky","billingCity":"Louisville","deploymentStartDate":"Mon May 11 2020 00:00:00 GMT-0400 (Eastern Daylight Time)","mtpDate":"Mon Sep 19 2022 00:00:00 GMT-0400 (Eastern Daylight Time)","firstMtpDate":"Mon Sep 19 2022 00:00:00 GMT-0400 (Eastern Daylight Time)","overallStatus":"Complete","phase":"Your Way","stage":"Post Prod","health":"Green","completionDate":"Fri Dec 09 2022 00:00:00 GMT-0500 (Eastern Standard Time)","wdEngManager":"","damFullName":"","primingPartner":"0018000000MWLslAAH","implPartner":"0018000000MWLslAAH","partner":"Collaborative Solutions, LLC","currentUpdate":"SE - 10/7 Go Live was on 10/3 and we have processed payroll effective a 10/7 check.   CS team will continue to support post prod work until 11/11 unless a CO for additional time is signed for the 12/9 date.","isExecutiveWatch":false,"wellnessData":null},{"deploymentId":"a0r1B00000Cko5jQAB","deploymentName":"Initial Deployment-Your Way:FIN, GM, PLN, PRA, PRJT","accountId":"0018000000kuwIzAAI","accountName":"Louisville-Jefferson County Metro Government","industry":"State &amp; Local Government","region":"US SLED","subRegion":"Local Government LE","subRegionAlt":"US Local Gov LE CB","billingState":"Kentucky","billingCity":"Louisville","deploymentStartDate":"Mon May 11 2020 00:00:00 GMT-0400 (Eastern Daylight Time)","mtpDate":"Mon Sep 19 2022 00:00:00 GMT-0400 (Eastern Daylight Time)","firstMtpDate":"Mon Sep 19 2022 00:00:00 GMT-0400 (Eastern Daylight Time)","overallStatus":"Complete","phase":"Your Way","stage":"Post Prod","health":"Green","completionDate":"Fri Dec 09 2022 00:00:00 GMT-0500 (Eastern Standard Time)","wdEngManager":"","damFullName":"","primingPartner":"0018000000MWLslAAH","implPartner":"0018000000MWLslAAH","partner":"Collaborative Solutions, LLC","currentUpdate":"SE - 10/7 Go Live was on 10/3 and we have processed payroll effective a 10/7 check.   CS team will continue to support post prod work until 11/11 unless a CO for additional time is signed for the 12/9 date.","isExecutiveWatch":false,"wellnessData":null},{"deploymentId":"a0r4X00000DcDbMQAV","deploymentName":"Subsequent- Phase X- Adaptive Planning","accountId":"0018000000kuwIzAAI","accountName":"Louisville-Jefferson County Metro Government","industry":"State &amp; Local Government","region":"US SLED","subRegion":"Local Government LE","subRegionAlt":"US Local Gov LE CB","billingState":"Kentucky","billingCity":"Louisville","deploymentStartDate":"Tue Jul 26 2022 00:00:00 GMT-0400 (Eastern Daylight Time)","mtpDate":"Fri Nov 18 2022 00:00:00 GMT-0500 (Eastern Standard Time)","firstMtpDate":"Fri Nov 18 2022 00:00:00 GMT-0500 (Eastern Standard Time)","overallStatus":"Complete","phase":"Phase X - Planning","stage":"Post Prod","health":"Green","completionDate":"Fri Jan 13 2023 00:00:00 GMT-0500 (Eastern Standard Time)","wdEngManager":"","damFullName":"","primingPartner":"0018000000MWLslAAH","implPartner":"0018000000MWLslAAH","partner":"Collaborative Solutions, LLC","currentUpdate":"1/17: Post-production support is complete","isExecutiveWatch":false,"wellnessData":null},{"deploymentId":"a0r4X00000ESLI3QAP","deploymentName":"Legacy VNDLY LCRA","accountId":"0018000000kuvwnAAA","accountName":"Lower Colorado River Authority","industry":"Special Districts","region":"US SLED","subRegion":"Local Government ME","subRegionAlt":"US Special Districts NN","billingState":"Texas","billingCity":"Austin","deploymentStartDate":"Wed Jul 28 2021 00:00:00 GMT-0400 (Eastern Daylight Time)","mtpDate":"Mon Sep 20 2021 00:00:00 GMT-0400 (Eastern Daylight Time)","firstMtpDate":"Mon Sep 20 2021 00:00:00 GMT-0400 (Eastern Daylight Time)","overallStatus":"Complete","phase":"Your Way","stage":"Post Prod","health":"Green","completionDate":"","wdEngManager":"","damFullName":"","primingPartner":"0018000000hIF6bAAG","implPartner":"0018000000hIF6bAAG","partner":"Workday Professional Services","currentUpdate":"","isExecutiveWatch":false,"wellnessData":null},{"deploymentId":"a0r4X00000DY1ZjQAL","deploymentName":"Subsequent - VNDLY First: Lower Colorado River Authority VNDLY - LDPEWM, LDSTOW","accountId":"0018000000kuvwnAAA","accountName":"Lower Colorado River Authority","industry":"Special Districts","region":"US SLED","subRegion":"Local Government ME","subRegionAlt":"US Special Districts NN","billingState":"Texas","billingCity":"Austin","deploymentStartDate":"Mon Apr 24 2023 00:00:00 GMT-0400 (Eastern Daylight Time)","mtpDate":"Mon Sep 11 2023 00:00:00 GMT-0400 (Eastern Daylight Time)","firstMtpDate":"Mon Sep 11 2023 00:00:00 GMT-0400 (Eastern Daylight Time)","overallStatus":"Complete","phase":"Launch","stage":"Post Prod","health":"Green","completionDate":"Fri Nov 03 2023 00:00:00 GMT-0400 (Eastern Daylight Time)","wdEngManager":"","damFullName":"","primingPartner":"0018000000hIF6bAAG","implPartner":"0018000000hIF6bAAG","partner":"Workday Professional Services","currentUpdate":"- completed 2 successful invoices as of Oct 11th\n- handover call on Oct 19th to transition to Support/CSM\n10/30: completed handover with CSM/client","isExecutiveWatch":false,"wellnessData":null},{"deploymentId":"a0rVT00000nFdWJYA0","deploymentName":"Initial Deployment-Launch-LDPAM, LDPEXP, LDPPRO, LDPINV, LDPUSP, LDPLRN, etc","accountId":"0014X00002l5CMHQA2","accountName":"Madison Metropolitan Sewerage District","industry":"Special Districts","region":"US SLED","subRegion":"Local Government ME","subRegionAlt":"US Local Gov ME CB","billingState":"Wisconsin","billingCity":"Madison","deploymentStartDate":"Mon Sep 29 2025 00:00:00 GMT-0400 (Eastern Daylight Time)","mtpDate":"Fri Sep 25 2026 00:00:00 GMT-0400 (Eastern Daylight Time)","firstMtpDate":"","overallStatus":"Active","phase":"Launch","stage":"Architect &amp; Configure","health":"Green","completionDate":"","wdEngManager":"","damFullName":"","primingPartner":"0013000000KdrrVAAR","implPartner":"0013000000KdrrVAAR","partner":"Strada U.S. Professional Services, LLC","currentUpdate":"June 22 - End-to-End (E2E) Tenant Build, week 3 of 3","isExecutiveWatch":false,"wellnessData":null},{"deploymentId":"a0rVT00000YvLJEYA3","deploymentName":"Initial Deployment-Launch: HCM, FIN","accountId":"0014X00002kjWgBQAU","accountName":"Maricopa Association of Governments","industry":"Special Districts","region":"US SLED","subRegion":"Local Government ME","subRegionAlt":"US Local Gov ME CB","billingState":"Arizona","billingCity":"Phoenix","deploymentStartDate":"Wed May 14 2025 00:00:00 GMT-0400 (Eastern Daylight Time)","mtpDate":"Mon Jul 06 2026 00:00:00 GMT-0400 (Eastern Daylight Time)","firstMtpDate":"","overallStatus":"Active","phase":"Launch","stage":"Deploy","health":"Green","completionDate":"","wdEngManager":"Beatriz Fernandez","damFullName":"","primingPartner":"0018000000hIF6bAAG","implPartner":"0018000000hIF6bAAG","partner":"Workday Professional Services","currentUpdate":"Received Test Stage Sign-Off.  CO signed for 7/6 Go Live. MAG validating Gold Build this week. MTP Case created with MTP Sign-Off expected 6/22. Reporting &amp; Integrations Sign-Off expected 6/15. Cutover daily check-ins in progress.","isExecutiveWatch":false,"wellnessData":null},{"deploymentId":"a0r4X00000CbABWQA3","deploymentName":"Initial Deployment-Your Way: CHCM, MMTS, ANSR, CCB, USP, LRN, MCNF, LRNXE, etc.","accountId":"0018000000Wtz5OAAR","accountName":"Maricopa County","industry":"State &amp; Local Government","region":"US SLED","subRegion":"Local Government LE","subRegionAlt":"US Local Gov LE CB","billingState":"Arizona","billingCity":"Phoenix","deploymentStartDate":"Tue Dec 22 2020 00:00:00 GMT-0500 (Eastern Standard Time)","mtpDate":"Sun Sep 18 2022 00:00:00 GMT-0400 (Eastern Daylight Time)","firstMtpDate":"Sun Sep 18 2022 00:00:00 GMT-0400 (Eastern Daylight Time)","overallStatus":"Complete","phase":"Your Way","stage":"Deploy","health":"Green","completionDate":"Sat Dec 17 2022 00:00:00 GMT-0500 (Eastern Standard Time)","wdEngManager":"","damFullName":"Londa Caine","primingPartner":"00130000008MSknAAG","implPartner":"00130000008MSknAAG","partner":"Accenture LLP","currentUpdate":"We have two more weeks of Post Production support, then will be done with this deployment.","isExecutiveWatch":false,"wellnessData":null},{"deploymentId":"a0r4X00000DcksIQAR","deploymentName":"Subsequent-Phase X: Prism","accountId":"0018000000Wtz5OAAR","accountName":"Maricopa County","industry":"State &amp; Local Government","region":"US SLED","subRegion":"Local Government LE","subRegionAlt":"US Local Gov LE CB","billingState":"Arizona","billingCity":"Phoenix","deploymentStartDate":"Mon Dec 12 2022 00:00:00 GMT-0500 (Eastern Standard Time)","mtpDate":"Fri Aug 18 2023 00:00:00 GMT-0400 (Eastern Daylight Time)","firstMtpDate":"Fri Aug 18 2023 00:00:00 GMT-0400 (Eastern Daylight Time)","overallStatus":"Complete","phase":"Phase X - Your Way","stage":"Post Prod","health":"Green","completionDate":"Fri Sep 08 2023 00:00:00 GMT-0400 (Eastern Daylight Time)","wdEngManager":"","damFullName":"","primingPartner":"00130000008MSknAAG","implPartner":"00130000008MSknAAG","partner":"Accenture LLP","currentUpdate":"The PRISM reports and data have been moved to Production.  Maricopa is reviewing the reports for accuracy and validate the data points were moved into Production correctly.","isExecutiveWatch":false,"wellnessData":null},{"deploymentId":"a0r80000009tkW0AAI","deploymentName":"Initial Deployment-Your Way;HCM, USP, TT, REC","accountId":"0018000001ZYBOAAA5","accountName":"Maryland Environmental Service","industry":"State &amp; Local Government","region":"US SLED","subRegion":"Local Government LE","subRegionAlt":"US State Gov East","billingState":"Maryland","billingCity":"Millersville","deploymentStartDate":"Thu Aug 16 2018 00:00:00 GMT-0400 (Eastern Daylight Time)","mtpDate":"Sun Jun 23 2019 00:00:00 GMT-0400 (Eastern Daylight Time)","firstMtpDate":"Sun Jun 23 2019 00:00:00 GMT-0400 (Eastern Daylight Time)","overallStatus":"Complete","phase":"Your Way","stage":"Post Prod","health":"Green","completionDate":"Thu Aug 22 2019 00:00:00 GMT-0400 (Eastern Daylight Time)","wdEngManager":"","damFullName":"","primingPartner":"0018000000MWLslAAH","implPartner":"0018000000MWLslAAH","partner":"Collaborative Solutions, LLC","currentUpdate":"Production support in progress","isExecutiveWatch":false,"wellnessData":null},{"deploymentId":"a0r80000009tkW5AAI","deploymentName":"Initial Deployment-Your Way:PRO, FIN, PB, GM","accountId":"0018000001ZYBOAAA5","accountName":"Maryland Environmental Service","industry":"State &amp; Local Government","region":"US SLED","subRegion":"Local Government LE","subRegionAlt":"US State Gov East","billingState":"Maryland","billingCity":"Millersville","deploymentStartDate":"Thu Aug 16 2018 00:00:00 GMT-0400 (Eastern Daylight Time)","mtpDate":"Sun Jun 23 2019 00:00:00 GMT-0400 (Eastern Daylight Time)","firstMtpDate":"Sun Jun 23 2019 00:00:00 GMT-0400 (Eastern Daylight Time)","overallStatus":"Complete","phase":"Your Way","stage":"Post Prod","health":"Green","completionDate":"Thu Aug 22 2019 00:00:00 GMT-0400 (Eastern Daylight Time)","wdEngManager":"","damFullName":"","primingPartner":"0018000000MWLslAAH","implPartner":"0018000000MWLslAAH","partner":"Collaborative Solutions, LLC","currentUpdate":"Production support in progress","isExecutiveWatch":false,"wellnessData":null},{"deploymentId":"a0r4X00000ETVjqQAH","deploymentName":"Initial Deployment-Launch-CHCM, TLO, USP, LRN, MCNF, REC, etc","accountId":"0014X00002iHXb2QAG","accountName":"Maryland General Assembly, Department of Legislative Services","industry":"State &amp; Local Government","region":"US SLED","subRegion":"Local Government LE","subRegionAlt":"US State Gov East","billingState":"Maryland","billingCity":"Annapolis","deploymentStartDate":"Fri Sep 27 2024 00:00:00 GMT-0400 (Eastern Daylight Time)","mtpDate":"Sun Oct 18 2026 00:00:00 GMT-0400 (Eastern Daylight Time)","firstMtpDate":"","overallStatus":"Active","phase":"Launch","stage":"Test","health":"Green","completionDate":"","wdEngManager":"Mindy Stanley","damFullName":"","primingPartner":"0018000000hIF6bAAG","implPartner":"0018000000hIF6bAAG","partner":"Workday Professional Services","currentUpdate":"6/8/26-E2E Val TEST pass 99% (274 of 277). E2E2.0 757 of 1086. 70%  36 on hold.  vs 698 of 1097 64% 5/29/26. Eliminated the request to move to UMSA. MGA didn't understand Supplier Invoice Workbench process. Testing slow, but improving.","isExecutiveWatch":false,"wellnessData":null},{"deploymentId":"a0r4X00000DOurCQAT","deploymentName":"Subsequent Deployment - Planning First : Financial Planning","accountId":"0011B00002CXWBgQAP","accountName":"Massachusetts Housing Partnership (MHP)","industry":"Special Districts","region":"US SLED","subRegion":"Local Government ME","subRegionAlt":"US Special Districts NN","billingState":"Massachusetts","billingCity":"Boston","deploymentStartDate":"Fri Oct 27 2017 00:00:00 GMT-0400 (Eastern Daylight Time)","mtpDate":"Fri Apr 27 2018 00:00:00 GMT-0400 (Eastern Daylight Time)","firstMtpDate":"Fri Apr 27 2018 00:00:00 GMT-0400 (Eastern Daylight Time)","overallStatus":"Complete","phase":"Planning First","stage":"Post Prod","health":"Green","completionDate":"","wdEngManager":"Sherry Fields","damFullName":"","primingPartner":"0013000000KdrrVAAR","implPartner":"0013000000KdrrVAAR","partner":"Strada U.S. Professional Services, LLC","currentUpdate":"Historical deployment load as part of Adaptive Systems Integration project in FY22. CSM listed as EM due to lack of historical data.","isExecutiveWatch":false,"wellnessData":null},{"deploymentId":"a0r1B00000B7rtGQAR","deploymentName":"Initial Deployment-Your Way:FIN, GM, INV","accountId":"0018000000Wtz0GAAR","accountName":"Mayor and City Council of Baltimore","industry":"State &amp; Local Government","region":"US SLED","subRegion":"Local Government LE","subRegionAlt":"US Local Gov LE CB","billingState":"Maryland","billingCity":"Baltimore","deploymentStartDate":"Sat Feb 01 2020 00:00:00 GMT-0500 (Eastern Standard Time)","mtpDate":"Mon Aug 01 2022 00:00:00 GMT-0400 (Eastern Daylight Time)","firstMtpDate":"Mon Aug 01 2022 00:00:00 GMT-0400 (Eastern Daylight Time)","overallStatus":"Complete","phase":"Your Way","stage":"Post Prod","health":"Green","completionDate":"Sun Oct 30 2022 00:00:00 GMT-0400 (Eastern Daylight Time)","wdEngManager":"","damFullName":"Waleed Khan","primingPartner":"00130000008MSknAAG","implPartner":"00130000008MSknAAG","partner":"Accenture LLP","currentUpdate":"• MTP August 1st with employee go-live August 8th\r\n• In Hypercare transitioned to operations.\r\n• Adding AMS component to help support COB LT to be led by Dawn Maguregui","isExecutiveWatch":false,"wellnessData":null},{"deploymentId":"a0r1B00000B7rtBQAR","deploymentName":"Initial Deployment-Your Way:HCM, USP, TT, EXP, LRN, REC","accountId":"0018000000Wtz0GAAR","accountName":"Mayor and City Council of Baltimore","industry":"State &amp; Local Government","region":"US SLED","subRegion":"Local Government LE","subRegionAlt":"US Local Gov LE CB","billingState":"Maryland","billingCity":"Baltimore","deploymentStartDate":"Mon Jul 01 2019 00:00:00 GMT-0400 (Eastern Daylight Time)","mtpDate":"Sun Oct 18 2020 00:00:00 GMT-0400 (Eastern Daylight Time)","firstMtpDate":"Sun Oct 18 2020 00:00:00 GMT-0400 (Eastern Daylight Time)","overallStatus":"Complete","phase":"Your Way","stage":"Post Prod","health":"Green","completionDate":"Fri Feb 26 2021 00:00:00 GMT-0500 (Eastern Standard Time)","wdEngManager":"","damFullName":"","primingPartner":"00130000008MSknAAG","implPartner":"00130000008MSknAAG","partner":"Accenture LLP","currentUpdate":"Closing the scorecard. Production support is largely complete, although a few activities are ongoing.","isExecutiveWatch":false,"wellnessData":null},{"deploymentId":"a0r4X00000DQZxnQAH","deploymentName":"Subsequent-Phase X-Learning","accountId":"0018000000Wtz0GAAR","accountName":"Mayor and City Council of Baltimore","industry":"State &amp; Local Government","region":"US SLED","subRegion":"Local Government LE","subRegionAlt":"US Local Gov LE CB","billingState":"Maryland","billingCity":"Baltimore","deploymentStartDate":"Mon Jan 17 2022 00:00:00 GMT-0500 (Eastern Standard Time)","mtpDate":"Mon Aug 29 2022 00:00:00 GMT-0400 (Eastern Daylight Time)","firstMtpDate":"Mon Aug 29 2022 00:00:00 GMT-0400 (Eastern Daylight Time)","overallStatus":"Complete","phase":"Phase X - Your Way","stage":"Post Prod","health":"Green","completionDate":"Mon Aug 29 2022 00:00:00 GMT-0400 (Eastern Daylight Time)","wdEngManager":"","damFullName":"","primingPartner":"00130000008MSknAAG","implPartner":"00130000008MSknAAG","partner":"Accenture LLP","currentUpdate":"11.15.22 - updating Scorecard. Learning is now in production and two months of PPS has ended.","isExecutiveWatch":false,"wellnessData":null},{"deploymentId":"a0r4X00000DQZxiQAH","deploymentName":"Subsequent-Phase X-Talent&amp;Performance","accountId":"0018000000Wtz0GAAR","accountName":"Mayor and City Council of Baltimore","industry":"State &amp; Local Government","region":"US SLED","subRegion":"Local Government LE","subRegionAlt":"US Local Gov LE CB","billingState":"Maryland","billingCity":"Baltimore","deploymentStartDate":"Mon Jan 17 2022 00:00:00 GMT-0500 (Eastern Standard Time)","mtpDate":"Tue Jun 27 2023 00:00:00 GMT-0400 (Eastern Daylight Time)","firstMtpDate":"Tue Jun 27 2023 00:00:00 GMT-0400 (Eastern Daylight Time)","overallStatus":"Complete","phase":"Phase X - Your Way","stage":"Deploy","health":"Green","completionDate":"Tue Jun 27 2023 00:00:00 GMT-0400 (Eastern Daylight Time)","wdEngManager":"","damFullName":"","primingPartner":"00130000008MSknAAG","implPartner":"00130000008MSknAAG","partner":"Accenture LLP","currentUpdate":"6.26.23\n\nFinalized  manager change performance reviews.","isExecutiveWatch":false,"wellnessData":null},{"deploymentId":"a0r4X00000E04GOQAZ","deploymentName":"Subsequent-Phase X: Adaptive Planning","accountId":"0018000000Wtz0GAAR","accountName":"Mayor and City Council of Baltimore","industry":"State &amp; Local Government","region":"US SLED","subRegion":"Local Government LE","subRegionAlt":"US Local Gov LE CB","billingState":"Maryland","billingCity":"Baltimore","deploymentStartDate":"Thu Dec 15 2022 00:00:00 GMT-0500 (Eastern Standard Time)","mtpDate":"Mon Nov 13 2023 00:00:00 GMT-0500 (Eastern Standard Time)","firstMtpDate":"Mon Nov 13 2023 00:00:00 GMT-0500 (Eastern Standard Time)","overallStatus":"Complete","phase":"Phase X - Planning","stage":"Post Prod","health":"Green","completionDate":"Fri Dec 29 2023 00:00:00 GMT-0500 (Eastern Standard Time)","wdEngManager":"","damFullName":"Subhasish Moitra","primingPartner":"00130000008MSknAAG","implPartner":"00130000008MSknAAG","partner":"Accenture LLP","currentUpdate":"1.5.24.  Closing  as existing contract for Adaptive Planning has ended and customer is live with Adaptive Planning.  Support now with Accenture AMS Services.","isExecutiveWatch":false,"wellnessData":null},{"deploymentId":"a0r4X00000Dze37QAB","deploymentName":"Subsequent-Phase X: Recruiting","accountId":"0018000000Wtz0GAAR","accountName":"Mayor and City Council of Baltimore","industry":"State &amp; Local Government","region":"US SLED","subRegion":"Local Government LE","subRegionAlt":"US Local Gov LE CB","billingState":"Maryland","billingCity":"Baltimore","deploymentStartDate":"Sun May 01 2022 00:00:00 GMT-0400 (Eastern Daylight Time)","mtpDate":"Thu Dec 01 2022 00:00:00 GMT-0500 (Eastern Standard Time)","firstMtpDate":"Thu Dec 01 2022 00:00:00 GMT-0500 (Eastern Standard Time)","overallStatus":"Complete","phase":"Phase X - Your Way","stage":"Deploy","health":"Green","completionDate":"Wed Mar 01 2023 00:00:00 GMT-0500 (Eastern Standard Time)","wdEngManager":"","damFullName":"","primingPartner":"00130000008MSknAAG","implPartner":"00130000008MSknAAG","partner":"Accenture LLP","currentUpdate":"3.2.23-End of February - hypercare ended and client is in production","isExecutiveWatch":false,"wellnessData":null},{"deploymentId":"a0r1B00000B1yfpQAB","deploymentName":"Initial Deployment-Your Way:FIN, PRJT, EXP, INV, PRO","accountId":"0018000001ZVRLsAAP","accountName":"Memphis-Shelby County Airport Authority","industry":"Special Districts","region":"US SLED","subRegion":"Local Government ME","subRegionAlt":"US Local Gov ME CB","billingState":"Tennessee","billingCity":"Memphis","deploymentStartDate":"Mon Nov 04 2019 00:00:00 GMT-0500 (Eastern Standard Time)","mtpDate":"Mon Jul 06 2020 00:00:00 GMT-0400 (Eastern Daylight Time)","firstMtpDate":"Mon Jul 06 2020 00:00:00 GMT-0400 (Eastern Daylight Time)","overallStatus":"Complete","phase":"Your Way","stage":"Post Prod","health":"Green","completionDate":"Fri Jul 17 2020 00:00:00 GMT-0400 (Eastern Daylight Time)","wdEngManager":"","damFullName":"","primingPartner":"0018000001IzqpSAAR","implPartner":"0018000001IzqpSAAR","partner":"Avaap USA, LLC","currentUpdate":"7/7 - Go-live completed 7/6. Now focusing on releasing to end users and transitioning to post-prod support. This goes through July.","isExecutiveWatch":false,"wellnessData":null},{"deploymentId":"a0r1B00000B1yffQAB","deploymentName":"Initial Deployment-Your Way:HCM, CCB, USP, REC, TT, LRN,","accountId":"0018000001ZVRLsAAP","accountName":"Memphis-Shelby County Airport Authority","industry":"Special Districts","region":"US SLED","subRegion":"Local Government ME","subRegionAlt":"US Local Gov ME CB","billingState":"Tennessee","billingCity":"Memphis","deploymentStartDate":"Mon Apr 29 2019 00:00:00 GMT-0400 (Eastern Daylight Time)","mtpDate":"Thu Dec 19 2019 00:00:00 GMT-0500 (Eastern Standard Time)","firstMtpDate":"Thu Dec 19 2019 00:00:00 GMT-0500 (Eastern Standard Time)","overallStatus":"Complete","phase":"Your Way","stage":"Deploy","health":"Green","completionDate":"Wed Mar 18 2020 00:00:00 GMT-0400 (Eastern Daylight Time)","wdEngManager":"","damFullName":"","primingPartner":"0018000001IzqpSAAR","implPartner":"0018000001IzqpSAAR","partner":"Avaap USA, LLC","currentUpdate":"2/19 - AMS support contract signed","isExecutiveWatch":false,"wellnessData":null},{"deploymentId":"a0r4X00000CrUJvQAN","deploymentName":"Subsequent – Phase X: Learning","accountId":"0018000001ZVRLsAAP","accountName":"Memphis-Shelby County Airport Authority","industry":"Special Districts","region":"US SLED","subRegion":"Local Government ME","subRegionAlt":"US Local Gov ME CB","billingState":"Tennessee","billingCity":"Memphis","deploymentStartDate":"Fri May 31 2024 00:00:00 GMT-0400 (Eastern Daylight Time)","mtpDate":"Thu Jul 31 2025 00:00:00 GMT-0400 (Eastern Daylight Time)","firstMtpDate":"Thu Jul 31 2025 00:00:00 GMT-0400 (Eastern Daylight Time)","overallStatus":"Complete","phase":"Your Way","stage":"Deploy","health":"Green","completionDate":"Thu Jul 31 2025 00:00:00 GMT-0400 (Eastern Daylight Time)","wdEngManager":"","damFullName":"","primingPartner":"0018000001IzqpSAAR","implPartner":"0018000001IzqpSAAR","partner":"Avaap USA, LLC","currentUpdate":"7/31 - Project complete","isExecutiveWatch":false,"wellnessData":null},{"deploymentId":"a0rVT00001471e5YAA","deploymentName":"Subsequent-Phase X-Your Way: Extend","accountId":"0018000001ZVRLsAAP","accountName":"Memphis-Shelby County Airport Authority","industry":"Special Districts","region":"US SLED","subRegion":"Local Government ME","subRegionAlt":"US Local Gov ME CB","billingState":"Tennessee","billingCity":"Memphis","deploymentStartDate":"Tue May 12 2026 00:00:00 GMT-0400 (Eastern Daylight Time)","mtpDate":"","firstMtpDate":"","overallStatus":"Active","phase":"Your Way","stage":"Plan","health":"Green","completionDate":"","wdEngManager":"","damFullName":"","primingPartner":"0014X00002ltVqkQAE","implPartner":"0014X00002ltVqkQAE","partner":"Makse Group LLC","currentUpdate":"","isExecutiveWatch":false,"wellnessData":null},{"deploymentId":"a0rVT000016lr3KYAQ","deploymentName":"Subsequent-Phase X: Financial Management Extend and Optimize - Expense","accountId":"0018000001ZVRLsAAP","accountName":"Memphis-Shelby County Airport Authority","industry":"Special Districts","region":"US SLED","subRegion":"Local Government ME","subRegionAlt":"US Local Gov ME CB","billingState":"Tennessee","billingCity":"Memphis","deploymentStartDate":"Thu Jun 18 2026 00:00:00 GMT-0400 (Eastern Daylight Time)","mtpDate":"","firstMtpDate":"","overallStatus":"Active","phase":"Your Way","stage":"Plan","health":"Green","completionDate":"","wdEngManager":"","damFullName":"","primingPartner":"0014X00002ltTnZQAU","implPartner":"0014X00002ltTnZQAU","partner":"Groove Global LLC","currentUpdate":"","isExecutiveWatch":false,"wellnessData":null},{"deploymentId":"a0rVT00000ySxp0YAC","deploymentName":"Initial Deployment-Launch-LDPPRJT, LDPTHUB, LDPEXP, LDPREC, etc","accountId":"0014X00002FBmp8QAD","accountName":"Metro","industry":"Special Districts","region":"US SLED","subRegion":"Local Government ME","subRegionAlt":"US Local Gov ME CB","billingState":"Oregon","billingCity":"Portland","deploymentStartDate":"Mon Mar 09 2026 00:00:00 GMT-0400 (Eastern Daylight Time)","mtpDate":"","firstMtpDate":"","overallStatus":"Active","phase":"Launch","stage":"Plan","health":"Green","completionDate":"","wdEngManager":"","damFullName":"","primingPartner":"0018000000nlqGOAAY","implPartner":"0018000000nlqGOAAY","partner":"Deloitte Consulting LLP (Deloitte US)","currentUpdate":"Design sessions almost complete. Time Tracking coming into scope.\n\nIntegation sprints and conversion data mapping starting up.","isExecutiveWatch":false,"wellnessData":null},{"deploymentId":"a0rVT00000qOStUYAW","deploymentName":"Initial Deployment-Your Way-CHCM, CCB, USP, REC, etc","accountId":"0018000000kuvwpAAA","accountName":"Metropolitan Transit Authority of Harris County (Precision Task Group Inc.)","industry":"Special Districts","region":"US SLED","subRegion":"Local Government LE","subRegionAlt":"US Local Gov LE CB","billingState":"Texas","billingCity":"Houston","deploymentStartDate":"","mtpDate":"","firstMtpDate":"","overallStatus":"Active","phase":"Your Way","stage":"On-Boarding","health":"Green","completionDate":"","wdEngManager":"","damFullName":"","primingPartner":"","implPartner":"","partner":"","currentUpdate":"","isExecutiveWatch":false,"wellnessData":null},{"deploymentId":"a0rVT00000rSgrfYAC","deploymentName":"Initial Deployment-Your WayCHCM, CCB, USP, REC, TT, WS","accountId":"0018000000kuvwpAAA","accountName":"Metropolitan Transit Authority of Harris County (Precision Task Group Inc.)","industry":"Special Districts","region":"US SLED","subRegion":"Local Government LE","subRegionAlt":"US Local Gov LE CB","billingState":"Texas","billingCity":"Houston","deploymentStartDate":"Mon Nov 10 2025 00:00:00 GMT-0500 (Eastern Standard Time)","mtpDate":"Mon Aug 03 2026 00:00:00 GMT-0400 (Eastern Daylight Time)","firstMtpDate":"","overallStatus":"Active","phase":"Your Way","stage":"Architect &amp; Configure","health":"Yellow","completionDate":"","wdEngManager":"","damFullName":"","primingPartner":"0018000000vTnDgAAK","implPartner":"0018000000vTnDgAAK","partner":"Precision Task Group Inc.","currentUpdate":"6/12/26: Project is still Yellow. Revised timelines, heatmap, Milestones tracker submitted to Metro. Client is planning to share the draft SOW by Friday 6/12 as per call. METRO to revise SOW and send back any redlines to METRO for final review prior","isExecutiveWatch":false,"wellnessData":null},{"deploymentId":"a0r4X00000CrT38QAF","deploymentName":"Initial Deployment-Your Way-CHCM,TLO, CCB, CCTPP, PRA, TT, etc","accountId":"0014X00002hU9JmQAK","accountName":"Michigan Senate","industry":"State &amp; Local Government","region":"US SLED","subRegion":"Local Government LE","subRegionAlt":"US State Gov East","billingState":"Michigan","billingCity":"Lansing","deploymentStartDate":"Wed Apr 10 2024 00:00:00 GMT-0400 (Eastern Daylight Time)","mtpDate":"Sun Sep 29 2024 00:00:00 GMT-0400 (Eastern Daylight Time)","firstMtpDate":"Sun Sep 29 2024 00:00:00 GMT-0400 (Eastern Daylight Time)","overallStatus":"Complete","phase":"Your Way","stage":"Post Prod","health":"Green","completionDate":"Thu Oct 31 2024 00:00:00 GMT-0400 (Eastern Daylight Time)","wdEngManager":"","damFullName":"Banjo Simbahan","primingPartner":"0011B00002CZvnrQAD","implPartner":"0011B00002CZvnrQAD","partner":"Guidehouse Inc","currentUpdate":"11/14/2024 - Open DA items had to be closed with status of \"will not do\" in order to close the scorecard.  I have emailed DA team to get guidance on how to resolve remaining open DA items after the client is live.  We had a PM leave causing miss com.","isExecutiveWatch":false,"wellnessData":null},{"deploymentId":"a0r1B00000BdUujQAF","deploymentName":"Initial Deployment-Launch Suite: LDPHCM, LDPFIN, LDPCCB, LDPBEN, LDPUSP, etc.","accountId":"0018000001JinEtAAJ","accountName":"Mille Lacs Corporate Ventures (MLCV)","industry":"Special Districts","region":"US SLED","subRegion":"Local Government ME","subRegionAlt":"US Local Gov ME CB","billingState":"Minnesota","billingCity":"Onamia","deploymentStartDate":"Tue Feb 04 2020 00:00:00 GMT-0500 (Eastern Standard Time)","mtpDate":"Tue Dec 15 2020 00:00:00 GMT-0500 (Eastern Standard Time)","firstMtpDate":"Tue Dec 15 2020 00:00:00 GMT-0500 (Eastern Standard Time)","overallStatus":"Complete","phase":"Launch","stage":"Post Prod","health":"Green","completionDate":"Mon Feb 15 2021 00:00:00 GMT-0500 (Eastern Standard Time)","wdEngManager":"","damFullName":"","primingPartner":"0018000000mN4f0AAC","implPartner":"0018000000mN4f0AAC","partner":"International Business Machines Corporation [Global Business Services]","currentUpdate":"Completed deployment go-live for HCM and FIN.  In process of providing go-live hyper-care for month-end close...","isExecutiveWatch":false,"wellnessData":null},{"deploymentId":"a0r4X00000DPX7OQAX","deploymentName":"Subsequent - Phase X- People Analytics","accountId":"0018000001JinEtAAJ","accountName":"Mille Lacs Corporate Ventures (MLCV)","industry":"Special Districts","region":"US SLED","subRegion":"Local Government ME","subRegionAlt":"US Local Gov ME CB","billingState":"Minnesota","billingCity":"Onamia","deploymentStartDate":"Fri Nov 12 2021 00:00:00 GMT-0500 (Eastern Standard Time)","mtpDate":"Mon Mar 21 2022 00:00:00 GMT-0400 (Eastern Daylight Time)","firstMtpDate":"Mon Mar 21 2022 00:00:00 GMT-0400 (Eastern Daylight Time)","overallStatus":"Complete","phase":"Phase X - Your Way","stage":"Post Prod","health":"Green","completionDate":"Fri Apr 08 2022 00:00:00 GMT-0400 (Eastern Daylight Time)","wdEngManager":"","damFullName":"","primingPartner":"0018000000hIF6bAAG","implPartner":"0018000000hIF6bAAG","partner":"Workday Professional Services","currentUpdate":"Project is fully complete. PSA is closed out. Marking this scorecard as complete.","isExecutiveWatch":false,"wellnessData":null},{"deploymentId":"a0r4X00000BVzAyQAL","deploymentName":"Subsequent - Phase X: AI Planning","accountId":"0018000001JinEtAAJ","accountName":"Mille Lacs Corporate Ventures (MLCV)","industry":"Special Districts","region":"US SLED","subRegion":"Local Government ME","subRegionAlt":"US Local Gov ME CB","billingState":"Minnesota","billingCity":"Onamia","deploymentStartDate":"Mon Feb 22 2021 00:00:00 GMT-0500 (Eastern Standard Time)","mtpDate":"Mon Aug 02 2021 00:00:00 GMT-0400 (Eastern Daylight Time)","firstMtpDate":"Mon Aug 02 2021 00:00:00 GMT-0400 (Eastern Daylight Time)","overallStatus":"Complete","phase":"Phase X - Planning","stage":"Post Prod","health":"Green","completionDate":"Mon Aug 16 2021 00:00:00 GMT-0400 (Eastern Daylight Time)","wdEngManager":"","damFullName":"","primingPartner":"0018000000uhTrkAAE","implPartner":"0018000000uhTrkAAE","partner":"IBM Global","currentUpdate":"Completed Functional Admin training.  Completed FY2022 budget load.  Completed Move to Production.  Report development continues.","isExecutiveWatch":false,"wellnessData":null},{"deploymentId":"a0r4X00000DcS2nQAF","deploymentName":"Subsequent-Phase X: Advanced Compensation","accountId":"0018000001JinEtAAJ","accountName":"Mille Lacs Corporate Ventures (MLCV)","industry":"Special Districts","region":"US SLED","subRegion":"Local Government ME","subRegionAlt":"US Local Gov ME CB","billingState":"Minnesota","billingCity":"Onamia","deploymentStartDate":"Wed Aug 17 2022 00:00:00 GMT-0400 (Eastern Daylight Time)","mtpDate":"Mon Jan 16 2023 00:00:00 GMT-0500 (Eastern Standard Time)","firstMtpDate":"Mon Jan 16 2023 00:00:00 GMT-0500 (Eastern Standard Time)","overallStatus":"Complete","phase":"Phase X - Launch","stage":"Post Prod","health":"Green","completionDate":"Mon Jan 30 2023 00:00:00 GMT-0500 (Eastern Standard Time)","wdEngManager":"","damFullName":"","primingPartner":"0018000000hIF6bAAG","implPartner":"0018000000hIF6bAAG","partner":"Workday Professional Services","currentUpdate":"Post-prod support is complete and Workday team has rolled off project. Customer will Go Live with Advanced Compensation early February 2023. PSA project is closed and project is complete.","isExecutiveWatch":false,"wellnessData":null},{"deploymentId":"a0r4X00000DP6TMQA1","deploymentName":"Subsequent-PhaseX: Learning and Prism","accountId":"0018000001JinEtAAJ","accountName":"Mille Lacs Corporate Ventures (MLCV)","industry":"Special Districts","region":"US SLED","subRegion":"Local Government ME","subRegionAlt":"US Local Gov ME CB","billingState":"Minnesota","billingCity":"Onamia","deploymentStartDate":"Wed Oct 20 2021 00:00:00 GMT-0400 (Eastern Daylight Time)","mtpDate":"Mon Jan 24 2022 00:00:00 GMT-0500 (Eastern Standard Time)","firstMtpDate":"Mon Jan 24 2022 00:00:00 GMT-0500 (Eastern Standard Time)","overallStatus":"Complete","phase":"Phase X - Your Way","stage":"Post Prod","health":"Green","completionDate":"Mon Jan 24 2022 00:00:00 GMT-0500 (Eastern Standard Time)","wdEngManager":"","damFullName":"","primingPartner":"0011B00002H5seyQAB","implPartner":"0011B00002H5seyQAB","partner":"International Business Machines Corporation (IBM)","currentUpdate":"As of 2/15, both projects are in Post-Production Support. Learning ends 2/18 and Prism has been extended for additional enhancements through 3/4.","isExecutiveWatch":false,"wellnessData":null},{"deploymentId":"a0r4X00000Ef1BKQAZ","deploymentName":"Initial Deployment-Your Way: CHCM, HLP, CCTPP, LRN, FIN, PRA, TT, etc.","accountId":"0014X00002U1etRQAR","accountName":"Mississippi Division of Medicaid (Precision Task Group, Inc.)","industry":"State &amp; Local Government","region":"US SLED","subRegion":"Local Government LE","subRegionAlt":"US State Gov East","billingState":"Mississippi","billingCity":"Jackson, MS","deploymentStartDate":"Mon Dec 04 2023 00:00:00 GMT-0500 (Eastern Standard Time)","mtpDate":"Mon Jul 22 2024 00:00:00 GMT-0400 (Eastern Daylight Time)","firstMtpDate":"Mon Jul 22 2024 00:00:00 GMT-0400 (Eastern Daylight Time)","overallStatus":"Complete","phase":"Your Way","stage":"Deploy","health":"Green","completionDate":"Sun Oct 13 2024 00:00:00 GMT-0400 (Eastern Daylight Time)","wdEngManager":"","damFullName":"","primingPartner":"0018000000MWLslAAH","implPartner":"0018000000MWLslAAH","partner":"Collaborative Solutions, LLC","currentUpdate":"9/12/24 - Post Production Stage (7/22-9/13) week 8 of 8 - completed remaining 2 DA reviews and resolving 1 open integration issue. PP stage ending 9/13 signed off. Cognizant CVS SOW signed to start support 9/16.","isExecutiveWatch":false,"wellnessData":null},{"deploymen</t>
  </si>
  <si>
    <t>a0rVT000019X3MPYA0</t>
  </si>
  <si>
    <t>a0pVT00000AwZdxYAF</t>
  </si>
  <si>
    <t>sfdcRows:default:chunk:10</t>
  </si>
  <si>
    <t>IMEG Consultants Corp.</t>
  </si>
  <si>
    <t>a0pVT00000A70IUYAZ</t>
  </si>
  <si>
    <t>a0pVT00000A70ITYAZ</t>
  </si>
  <si>
    <t>Kickoff to take place Monday Aug 17</t>
  </si>
  <si>
    <t>a0pVT00000AZWk1YAH</t>
  </si>
  <si>
    <t>a0rVT00000shTHQYA2</t>
  </si>
  <si>
    <t>Included Health, Inc.</t>
  </si>
  <si>
    <t>a0pVT00000AJRWfYAP</t>
  </si>
  <si>
    <t>a0rVT000015ddB4YAI</t>
  </si>
  <si>
    <t>Recruiting Agent</t>
  </si>
  <si>
    <t>0014X00002kjrzVQAQ</t>
  </si>
  <si>
    <t>a0pVT00000AbYZeYAN</t>
  </si>
  <si>
    <t>a0rVT000015gB5JYAU</t>
  </si>
  <si>
    <t>Kognitiv, Inc.</t>
  </si>
  <si>
    <t>preparing for kick-off</t>
  </si>
  <si>
    <t>Ingram Micro, Inc.</t>
  </si>
  <si>
    <t>a0pVT00000AGB4zYAH</t>
  </si>
  <si>
    <t>a0rVT000015iUlOYAU</t>
  </si>
  <si>
    <t>a0pVT00000AA5IPYA1</t>
  </si>
  <si>
    <t>Cassidy Pruner</t>
  </si>
  <si>
    <t>a0pVT00000AQ9xxYAD</t>
  </si>
  <si>
    <t>a0rVT000015kvZlYAI</t>
  </si>
  <si>
    <t>21 July: Design calls complete. export complete, build phase started</t>
  </si>
  <si>
    <t>a0rVT00000heFPXYA2</t>
  </si>
  <si>
    <t>Inmar, Inc.</t>
  </si>
  <si>
    <t>a0pVT00000AeNOMYA3</t>
  </si>
  <si>
    <t>a0rVT000015lCXFYA2</t>
  </si>
  <si>
    <t>a0pVT00000BjmF4YAJ</t>
  </si>
  <si>
    <t>a0rVT00001639PNYAY</t>
  </si>
  <si>
    <t>1/26/2026: Customer is live in Production on 1/26/26</t>
  </si>
  <si>
    <t>a0pVT00000BjmF3YAJ</t>
  </si>
  <si>
    <t>a0rVT000012U8swYAC</t>
  </si>
  <si>
    <t>insightsoftware, LLC</t>
  </si>
  <si>
    <t>a0pVT00000ATBGrYAP</t>
  </si>
  <si>
    <t>a0rVT0000165ozeYAA</t>
  </si>
  <si>
    <t>a0pVT00000BDyKzYAL</t>
  </si>
  <si>
    <t>a0rVT00000e8yJKYAY</t>
  </si>
  <si>
    <t>a0pVT00000BlH0fYAF</t>
  </si>
  <si>
    <t>a0rVT000016BPQXYA4</t>
  </si>
  <si>
    <t>Insmed Incorporated</t>
  </si>
  <si>
    <t>a0pVT00000AIcykYAD</t>
  </si>
  <si>
    <t>a0rVT000016EHkzYAG</t>
  </si>
  <si>
    <t>tId":"a0r4X00000DP1v3QAD","deploymentName":"Initial Deployment-Your Way: FIN, GM, etc.","accountId":"0018000000kuvpDAAQ","accountName":"Mobile County, AL","industry":"State &amp; Local Government","region":"US SLED","subRegion":"Local Government ME","subRegionAlt":"US Local Gov ME CB","billingState":"Alabama","billingCity":"Mobile","deploymentStartDate":"Mon Nov 01 2021 00:00:00 GMT-0400 (Eastern Daylight Time)","mtpDate":"Mon Jul 25 2022 00:00:00 GMT-0400 (Eastern Daylight Time)","firstMtpDate":"Mon Jul 25 2022 00:00:00 GMT-0400 (Eastern Daylight Time)","overallStatus":"Complete","phase":"Your Way","stage":"Post Prod","health":"Green","completionDate":"Mon Oct 10 2022 00:00:00 GMT-0400 (Eastern Daylight Time)","wdEngManager":"","damFullName":"","primingPartner":"0018000001IzqpSAAR","implPartner":"0018000001IzqpSAAR","partner":"Avaap USA, LLC","currentUpdate":"Deployment complete.","isExecutiveWatch":false,"wellnessData":null},{"deploymentId":"a0r4X00000DzzpsQAB","deploymentName":"Subsequent - Phase X: HCM, BEN, TT, ABS, US PAY, GRANT","accountId":"0018000000kuvpDAAQ","accountName":"Mobile County, AL","industry":"State &amp; Local Government","region":"US SLED","subRegion":"Local Government ME","subRegionAlt":"US Local Gov ME CB","billingState":"Alabama","billingCity":"Mobile","deploymentStartDate":"Mon Nov 28 2022 00:00:00 GMT-0500 (Eastern Standard Time)","mtpDate":"Sat Jul 22 2023 00:00:00 GMT-0400 (Eastern Daylight Time)","firstMtpDate":"Sat Jul 22 2023 00:00:00 GMT-0400 (Eastern Daylight Time)","overallStatus":"Complete","phase":"Phase X - Your Way","stage":"Post Prod","health":"Green","completionDate":"Fri Sep 01 2023 00:00:00 GMT-0400 (Eastern Daylight Time)","wdEngManager":"","damFullName":"","primingPartner":"0013000000KdrrVAAR","implPartner":"0013000000KdrrVAAR","partner":"Strada U.S. Professional Services, LLC","currentUpdate":"Project is closed, team has rolled off of the project.","isExecutiveWatch":false,"wellnessData":null},{"deploymentId":"a0r1B00000CkqbcQAB","deploymentName":"Initial Deployment-Your Way:FIN, PRJT, TT, PRO, INV, GM","accountId":"0011B000024UONUQA4","accountName":"Monroe County Clerk of Circuit Courts &amp; Comptroller","industry":"State &amp; Local Government","region":"US SLED","subRegion":"Local Government ME","subRegionAlt":"US Local Gov ME CB","billingState":"Florida","billingCity":"Key West","deploymentStartDate":"Mon Jun 22 2020 00:00:00 GMT-0400 (Eastern Daylight Time)","mtpDate":"Fri Jun 18 2021 00:00:00 GMT-0400 (Eastern Daylight Time)","firstMtpDate":"Fri Jun 18 2021 00:00:00 GMT-0400 (Eastern Daylight Time)","overallStatus":"Complete","phase":"Your Way","stage":"Post Prod","health":"Green","completionDate":"Sat Aug 14 2021 00:00:00 GMT-0400 (Eastern Daylight Time)","wdEngManager":"","damFullName":"","primingPartner":"0018000000MWLslAAH","implPartner":"0018000000MWLslAAH","partner":"Collaborative Solutions, LLC","currentUpdate":"Into week 6 of 6 of post live support. Financials live on 7/1.","isExecutiveWatch":false,"wellnessData":null},{"deploymentId":"a0r1B00000CkqbXQAR","deploymentName":"Initial Deployment-Your Way:HCM, CCB, LRN, USP, EXP, REC","accountId":"0011B000024UONUQA4","accountName":"Monroe County Clerk of Circuit Courts &amp; Comptroller","industry":"State &amp; Local Government","region":"US SLED","subRegion":"Local Government ME","subRegionAlt":"US Local Gov ME CB","billingState":"Florida","billingCity":"Key West","deploymentStartDate":"Mon Jun 22 2020 00:00:00 GMT-0400 (Eastern Daylight Time)","mtpDate":"Fri Jun 18 2021 00:00:00 GMT-0400 (Eastern Daylight Time)","firstMtpDate":"Fri Jun 18 2021 00:00:00 GMT-0400 (Eastern Daylight Time)","overallStatus":"Complete","phase":"Your Way","stage":"Post Prod","health":"Green","completionDate":"Fri Aug 13 2021 00:00:00 GMT-0400 (Eastern Daylight Time)","wdEngManager":"","damFullName":"","primingPartner":"0018000000MWLslAAH","implPartner":"0018000000MWLslAAH","partner":"Collaborative Solutions, LLC","currentUpdate":"Into week 6 of 6 of post live support.","isExecutiveWatch":false,"wellnessData":null},{"deploymentId":"a0r80000005ahFTAAY","deploymentName":"Initial Deployment-LE: FIN, EXP, INV, GM","accountId":"0018000000kuvtJAAQ","accountName":"Multnomah County","industry":"State &amp; Local Government","region":"US SLED","subRegion":"Local Government LE","subRegionAlt":"US Local Gov LE CB","billingState":"Oregon","billingCity":"Portland","deploymentStartDate":"Mon May 01 2017 00:00:00 GMT-0400 (Eastern Daylight Time)","mtpDate":"Sun Dec 30 2018 00:00:00 GMT-0500 (Eastern Standard Time)","firstMtpDate":"Sun Dec 30 2018 00:00:00 GMT-0500 (Eastern Standard Time)","overallStatus":"Complete","phase":"Your Way","stage":"Deploy","health":"Green","completionDate":"Sat Mar 30 2019 00:00:00 GMT-0400 (Eastern Daylight Time)","wdEngManager":"","damFullName":"","primingPartner":"0018000000nlqGOAAY","implPartner":"0018000000nlqGOAAY","partner":"Deloitte Consulting LLP (Deloitte US)","currentUpdate":"Payroll continues to process easier each run. Official support ends this week but will likely get extended through end of April. Finance close continues to go well.","isExecutiveWatch":false,"wellnessData":null},{"deploymentId":"a0r80000005ahFYAAY","deploymentName":"Initial Deployment-LE: HCM, CCB, USP, TT, LRN, REC","accountId":"0018000000kuvtJAAQ","accountName":"Multnomah County","industry":"State &amp; Local Government","region":"US SLED","subRegion":"Local Government LE","subRegionAlt":"US Local Gov LE CB","billingState":"Oregon","billingCity":"Portland","deploymentStartDate":"Mon May 29 2017 00:00:00 GMT-0400 (Eastern Daylight Time)","mtpDate":"Sun Dec 30 2018 00:00:00 GMT-0500 (Eastern Standard Time)","firstMtpDate":"Sun Dec 30 2018 00:00:00 GMT-0500 (Eastern Standard Time)","overallStatus":"Complete","phase":"Your Way","stage":"Deploy","health":"Green","completionDate":"Sat Mar 30 2019 00:00:00 GMT-0400 (Eastern Daylight Time)","wdEngManager":"","damFullName":"","primingPartner":"0018000000nlqGOAAY","implPartner":"0018000000nlqGOAAY","partner":"Deloitte Consulting LLP (Deloitte US)","currentUpdate":"Payroll continues to process easier each run. Official support ends this week but will likely get extended through end of April.","isExecutiveWatch":false,"wellnessData":null},{"deploymentId":"a0r4X00000DNDEOQA5","deploymentName":"Initial Deployment-Your Way: CHCM, CCB, USP, TT, etc.","accountId":"0014X00002K6AOhQAN","accountName":"Municipal Authority of Westmoreland County","industry":"Special Districts","region":"US SLED","subRegion":"Local Government ME","subRegionAlt":"US Local Gov ME CB","billingState":"Pennsylvania","billingCity":"New Stanton","deploymentStartDate":"Tue Aug 03 2021 00:00:00 GMT-0400 (Eastern Daylight Time)","mtpDate":"Sun Apr 10 2022 00:00:00 GMT-0400 (Eastern Daylight Time)","firstMtpDate":"Sun Apr 10 2022 00:00:00 GMT-0400 (Eastern Daylight Time)","overallStatus":"Complete","phase":"Your Way","stage":"Post Prod","health":"Green","completionDate":"Fri Jun 03 2022 00:00:00 GMT-0400 (Eastern Daylight Time)","wdEngManager":"","damFullName":"","primingPartner":"0013000000KdrrVAAR","implPartner":"0013000000KdrrVAAR","partner":"Strada U.S. Professional Services, LLC","currentUpdate":"6 June - Marking project as complete","isExecutiveWatch":false,"wellnessData":null},{"deploymentId":"a0r4X00000DNDDCQA5","deploymentName":"Initial Deployment-Your Way: FIN, PLNF, PRA, PRJT, PRO, INV, etc.","accountId":"0014X00002K6AOhQAN","accountName":"Municipal Authority of Westmoreland County","industry":"Special Districts","region":"US SLED","subRegion":"Local Government ME","subRegionAlt":"US Local Gov ME CB","billingState":"Pennsylvania","billingCity":"New Stanton","deploymentStartDate":"Tue Aug 03 2021 00:00:00 GMT-0400 (Eastern Daylight Time)","mtpDate":"Sun Apr 10 2022 00:00:00 GMT-0400 (Eastern Daylight Time)","firstMtpDate":"Sun Apr 10 2022 00:00:00 GMT-0400 (Eastern Daylight Time)","overallStatus":"Complete","phase":"Your Way","stage":"Post Prod","health":"Green","completionDate":"Fri Jun 03 2022 00:00:00 GMT-0400 (Eastern Daylight Time)","wdEngManager":"","damFullName":"","primingPartner":"0013000000KdrrVAAR","implPartner":"0013000000KdrrVAAR","partner":"Strada U.S. Professional Services, LLC","currentUpdate":"6 June - Marking project as complete","isExecutiveWatch":false,"wellnessData":null},{"deploymentId":"a0r4X00000Dbq2hQAB","deploymentName":"Subsequent-Phase X: Prism, Planning","accountId":"0014X00002K6AOhQAN","accountName":"Municipal Authority of Westmoreland County","industry":"Special Districts","region":"US SLED","subRegion":"Local Government ME","subRegionAlt":"US Local Gov ME CB","billingState":"Pennsylvania","billingCity":"New Stanton","deploymentStartDate":"Wed Jun 29 2022 00:00:00 GMT-0400 (Eastern Daylight Time)","mtpDate":"Mon Oct 31 2022 00:00:00 GMT-0400 (Eastern Daylight Time)","firstMtpDate":"Mon Oct 31 2022 00:00:00 GMT-0400 (Eastern Daylight Time)","overallStatus":"Complete","phase":"Phase X - Your Way","stage":"Post Prod","health":"Green","completionDate":"Wed Dec 07 2022 00:00:00 GMT-0500 (Eastern Standard Time)","wdEngManager":"","damFullName":"","primingPartner":"0013000000KdrrVAAR","implPartner":"0013000000KdrrVAAR","partner":"Strada U.S. Professional Services, LLC","currentUpdate":"7 Dec - Adaptive go live occurred on 31 October.  PRISM go live occurred on 14 November.  Project will close following 3 weeks of support.","isExecutiveWatch":false,"wellnessData":null},{"deploymentId":"a0r4X00000DOuu7QAD","deploymentName":"Subsequent Deployment - Planning First : Financial Planning","accountId":"0013000000KLaDgAAL","accountName":"NANA Management Services","industry":"Special Districts","region":"US SLED","subRegion":"Local Government ME","subRegionAlt":"US Special Districts NN","billingState":"Alaska","billingCity":"Anchorage","deploymentStartDate":"Wed Sep 30 2009 00:00:00 GMT-0400 (Eastern Daylight Time)","mtpDate":"Tue Mar 30 2010 00:00:00 GMT-0400 (Eastern Daylight Time)","firstMtpDate":"Tue Mar 30 2010 00:00:00 GMT-0400 (Eastern Daylight Time)","overallStatus":"Complete","phase":"Planning First","stage":"Post Prod","health":"Green","completionDate":"","wdEngManager":"Anne Marie Atkinson","damFullName":"","primingPartner":"0011B00002CZYgHQAX","implPartner":"0011B00002CZYgHQAX","partner":"PBU Partner Ecosystem","currentUpdate":"Historical deployment load as part of Adaptive Systems Integration project in FY22. CSM listed as EM due to lack of historical data.","isExecutiveWatch":false,"wellnessData":null},{"deploymentId":"a0r4X00000D7qyvQAB","deploymentName":"Initial Deployment-Your Way: FIN","accountId":"0014X00002dT0feQAC","accountName":"New York City Department of Education Division of Early Childhood Education Division (Inactive Account)","industry":"State &amp; Local Government","region":"US SLED","subRegion":"Local Government LE","subRegionAlt":"US State Gov East","billingState":"New York","billingCity":"New York","deploymentStartDate":"Thu May 18 2023 00:00:00 GMT-0400 (Eastern Daylight Time)","mtpDate":"Sun Jul 02 2023 00:00:00 GMT-0400 (Eastern Daylight Time)","firstMtpDate":"Sun Jul 02 2023 00:00:00 GMT-0400 (Eastern Daylight Time)","overallStatus":"Complete","phase":"Your Way","stage":"Post Prod","health":"Green","completionDate":"Fri Dec 01 2023 00:00:00 GMT-0500 (Eastern Standard Time)","wdEngManager":"","damFullName":"","primingPartner":"0011B00002CZvnrQAD","implPartner":"0011B00002CZvnrQAD","partner":"Guidehouse Inc","currentUpdate":"Guidehouse continues to provide the client with post production support.","isExecutiveWatch":false,"wellnessData":null},{"deploymentId":"a0rVT00000SVEt2YAH","deploymentName":"Initial Deployment-Your Way-FIN, PLNF, PRA, PRJT, EXP, INV, etc","accountId":"0018000000pM2UKAA0","accountName":"New York City Department of Finance (Oakland Consulting Group, Inc.)","industry":"State &amp; Local Government","region":"US SLED","subRegion":"Local Government LE","subRegionAlt":"US State Gov East","billingState":"New York","billingCity":"NEW YORK","deploymentStartDate":"Tue Apr 08 2025 00:00:00 GMT-0400 (Eastern Daylight Time)","mtpDate":"","firstMtpDate":"","overallStatus":"Active","phase":"Your Way","stage":"Plan","health":"Green","completionDate":"","wdEngManager":"","damFullName":"Banjo Simbahan","primingPartner":"0011B00002CZvnrQAD","implPartner":"0011B00002CZvnrQAD","partner":"Guidehouse Inc","currentUpdate":"6/22/26: Working on CO for 8/1 and 11/a go lives, Phase 1b unit testing signed off, E2E build in progress, 1a Go No Go 6/29","isExecutiveWatch":false,"wellnessData":null},{"deploymentId":"a0r4X00000E13rfQAB","deploymentName":"Initial Deployment-Your Way: CHCM, TLO, HLP, CCTPP, REC, PRA","accountId":"0018000000Wsn6TAAR","accountName":"New York City Housing Authority (Emergent, LLC)","industry":"Special Districts","region":"US SLED","subRegion":"Local Government LE","subRegionAlt":"US State Gov East","billingState":"New York","billingCity":"New York","deploymentStartDate":"Wed Feb 08 2023 00:00:00 GMT-0500 (Eastern Standard Time)","mtpDate":"Wed Jun 11 2025 00:00:00 GMT-0400 (Eastern Daylight Time)","firstMtpDate":"Wed Jun 11 2025 00:00:00 GMT-0400 (Eastern Daylight Time)","overallStatus":"Active","phase":"Your Way","stage":"Test","health":"Green","completionDate":"","wdEngManager":"","damFullName":"Stephanie Denham","primingPartner":"0011B00002CZvnrQAD","implPartner":"0011B00002CZvnrQAD","partner":"Guidehouse Inc","currentUpdate":"Ongoing ESS Preparation activities.  ESS go-live date still TBD by NYCHA PMO.","isExecutiveWatch":false,"wellnessData":null},{"deploymentId":"a0r80000002slNUAAY","deploymentName":"HCM Deployment","accountId":"0018000000P0T6pAAF","accountName":"New York City School Construction Authority (Oakland Consulting Group, Inc.)","industry":"Special Districts","region":"US SLED","subRegion":"Local Government LE","subRegionAlt":"US State Gov East","billingState":"New York","billingCity":"Long Island City","deploymentStartDate":"Thu Aug 06 2009 00:00:00 GMT-0400 (Eastern Daylight Time)","mtpDate":"Fri Feb 26 2010 00:00:00 GMT-0500 (Eastern Standard Time)","firstMtpDate":"Fri Feb 26 2010 00:00:00 GMT-0500 (Eastern Standard Time)","overallStatus":"Complete","phase":"Your Way","stage":"Post Prod","health":"Green","completionDate":"Fri Feb 26 2010 00:00:00 GMT-0500 (Eastern Standard Time)","wdEngManager":"","damFullName":"","primingPartner":"0018000000hIF6bAAG","implPartner":"0018000000ggEqQAAU","partner":"RCM Technologies","currentUpdate":"","isExecutiveWatch":false,"wellnessData":null},{"deploymentId":"a0r80000002sntrAAA","deploymentName":"HCM Phase 2","accountId":"0018000000P0T6pAAF","accountName":"New York City School Construction Authority (Oakland Consulting Group, Inc.)","industry":"Special Districts","region":"US SLED","subRegion":"Local Government LE","subRegionAlt":"US State Gov East","billingState":"New York","billingCity":"Long Island City","deploymentStartDate":"","mtpDate":"","firstMtpDate":"","overallStatus":"Complete","phase":"Phase X","stage":"Post Prod","health":"Green","completionDate":"Fri Feb 18 2011 00:00:00 GMT-0500 (Eastern Standard Time)","wdEngManager":"","damFullName":"","primingPartner":"0018000000ggEqQAAU","implPartner":"0018000000ggEqQAAU","partner":"RCM Technologies","currentUpdate":"Performance, ESS/MSS, Ceridian Data synch &amp; WD 11 support","isExecutiveWatch":false,"wellnessData":null},{"deploymentId":"a0r800000049EOTAA2","deploymentName":"Phase 3 (Expenses)","accountId":"0018000000P0T6pAAF","accountName":"New York City School Construction Authority (Oakland Consulting Group, Inc.)","industry":"Special Districts","region":"US SLED","subRegion":"Local Government LE","subRegionAlt":"US State Gov East","billingState":"New York","billingCity":"Long Island City","deploymentStartDate":"Mon Jun 22 2015 00:00:00 GMT-0400 (Eastern Daylight Time)","mtpDate":"Mon Nov 02 2015 00:00:00 GMT-0500 (Eastern Standard Time)","firstMtpDate":"Mon Nov 02 2015 00:00:00 GMT-0500 (Eastern Standard Time)","overallStatus":"Complete","phase":"Phase X","stage":"Post Prod","health":"Green","completionDate":"Wed Feb 24 2016 00:00:00 GMT-0500 (Eastern Standard Time)","wdEngManager":"","damFullName":"Anita Brown","primingPartner":"0018000000MWLslAAH","implPartner":"0018000000MWLslAAH","partner":"Collaborative Solutions, LLC","currentUpdate":"17-Feb-2016:  Change order in progress to continue to assist NYC SCA with Post production support.  No post prod issues.","isExecutiveWatch":false,"wellnessData":null},{"deploymentId":"a0r1B00000BdLvmQAF","deploymentName":"Subsequent - PhaseX: Recruiting","accountId":"0018000000P0T6pAAF","accountName":"New York City School Construction Authority (Oakland Consulting Group, Inc.)","industry":"Special Districts","region":"US SLED","subRegion":"Local Government LE","subRegionAlt":"US State Gov East","billingState":"New York","billingCity":"Long Island City","deploymentStartDate":"Tue Oct 22 2019 00:00:00 GMT-0400 (Eastern Daylight Time)","mtpDate":"Tue Feb 18 2020 00:00:00 GMT-0500 (Eastern Standard Time)","firstMtpDate":"Tue Feb 18 2020 00:00:00 GMT-0500 (Eastern Standard Time)","overallStatus":"Complete","phase":"Phase X - Your Way","stage":"Post Prod","health":"Green","completionDate":"Fri Mar 20 2020 00:00:00 GMT-0400 (Eastern Daylight Time)","wdEngManager":"","damFullName":"","primingPartner":"0018000000nlqGOAAY","implPartner":"0018000000nlqGOAAY","partner":"Deloitte Consulting LLP (Deloitte US)","currentUpdate":"Starting project to add Recruiting to the existing School Construction Authority HCM deployment. Oct 19 Design Sessions, Dec 19 Prototype Review, Jan 20 Testing, Feb 20 Go-Live, Mar 20 Support","isExecutiveWatch":false,"wellnessData":null},{"deploymentId":"a0rVT00000yYYhlYAG","deploymentName":"Initial Deployment-Your Way-CHCM, TLO, HLP, GPC, REC, etc.","accountId":"0018000000Wtz6lAAB","accountName":"New York State Department Of Transportation","industry":"State &amp; Local Government","region":"US SLED","subRegion":"Local Government LE","subRegionAlt":"US State Gov East","billingState":"New York","billingCity":"Albany","deploymentStartDate":"Thu Feb 26 2026 00:00:00 GMT-0500 (Eastern Standard Time)","mtpDate":"","firstMtpDate":"","overallStatus":"Active","phase":"Your Way","stage":"Plan","health":"Green","completionDate":"","wdEngManager":"","damFullName":"","primingPartner":"0011B00002H5sfEQAR","implPartner":"0011B00002H5sfEQAR","partner":"Meridian Partners, LLC","currentUpdate":"","isExecutiveWatch":false,"wellnessData":null},{"deploymentId":"a0rVT00000mlAI7YAM","deploymentName":"Initial Deployment-Your Way-CHCM,TLO,HLP,GPC,etc","accountId":"0014X00002l5OV2QAM","accountName":"New York State Office of Information Technology Services","industry":"State &amp; Local Government","region":"US SLED","subRegion":"Local Government LE","subRegionAlt":"US State Gov East","billingState":"New York","billingCity":"Albany","deploymentStartDate":"Fri Jan 09 2026 00:00:00 GMT-0500 (Eastern Standard Time)","mtpDate":"Sun Jun 28 2026 00:00:00 GMT-0400 (Eastern Daylight Time)","firstMtpDate":"","overallStatus":"Active","phase":"Your Way","stage":"Architect &amp; Configure","health":"Yellow","completionDate":"","wdEngManager":"","damFullName":"","primingPartner":"0011B00002H5sfEQAR","implPartner":"0011B00002H5sfEQAR","partner":"Meridian Partners, LLC","currentUpdate":"5/22/26 - E2E tenant is built. E2E Testing is approximately 6-8 weeks unfavorable to plan due to delays by client in delivering files / data for inbound integrations and changes to the approach. The project is pending further action from the client.","isExecutiveWatch":false,"wellnessData":null},{"deploymentId":"a0r4X00000ETUqgQAH","deploymentName":"Initial Deployment-Your Way-CHCM, TLO, CCB, USP, REC, CE, MSG, FIN, PLNF, etc.","accountId":"0018000000uiWnZAAU","accountName":"New York State Teachers' Retirement System","industry":"State &amp; Local Government","region":"US SLED","subRegion":"Local Government LE","subRegionAlt":"US State Gov East","billingState":"New York","billingCity":"Albany","deploymentStartDate":"Thu Aug 15 2024 00:00:00 GMT-0400 (Eastern Daylight Time)","mtpDate":"Mon Mar 23 2026 00:00:00 GMT-0400 (Eastern Daylight Time)","firstMtpDate":"Mon Mar 23 2026 00:00:00 GMT-0400 (Eastern Daylight Time)","overallStatus":"Active","phase":"Your Way","stage":"Post Prod","health":"Green","completionDate":"","wdEngManager":"","damFullName":"Pawan Sutrala","primingPartner":"00130000008MSknAAG","implPartner":"00130000008MSknAAG","partner":"Accenture LLP","currentUpdate":"Hypercare is scheduled to continue through June 30, 2026. We are working on Prism Use Case #2, #3, and #4. We are closing out discovery and design for Adaptive this week.","isExecutiveWatch":false,"wellnessData":null},{"deploymentId":"a0r4X00000ETWthQAH","deploymentName":"Initial Deployment-Your Way-CHCM, TLO, HLP, JRNY, CCB, USP, REC, FIN, PLNF, etc.","accountId":"0014X00002ME6tLQAT","accountName":"North Texas Municipal Water District","industry":"Special Districts","region":"US SLED","subRegion":"Local Government ME","subRegionAlt":"US Local Gov ME CB","billingState":"Texas","billingCity":"Wylie","deploymentStartDate":"Mon May 12 2025 00:00:00 GMT-0400 (Eastern Daylight Time)","mtpDate":"Mon Sep 21 2026 00:00:00 GMT-0400 (Eastern Daylight Time)","firstMtpDate":"","overallStatus":"Active","phase":"Your Way","stage":"Test","health":"Green","completionDate":"","wdEngManager":"","damFullName":"","primingPartner":"0018000000MWLslAAH","implPartner":"0018000000MWLslAAH","partner":"Collaborative Solutions, LLC","currentUpdate":"Build in progress starting pay par monday","isExecutiveWatch":false,"wellnessData":null},{"deploymentId":"a0r4X00000ETW1VQAX","deploymentName":"Initial Deployment-Your Way-CHCM, TLO, HLP, JRNY, EMPVCE, CCB, USP, LRN, etc.","accountId":"0011B00002HinwUQAR","accountName":"North Texas Tollway Authority (Precision Task Group, Inc.)","industry":"Special Districts","region":"US SLED","subRegion":"Local Government ME","subRegionAlt":"US Local Gov ME CB","billingState":"Texas","billingCity":"Dallas","deploymentStartDate":"Fri Oct 11 2024 00:00:00 GMT-0400 (Eastern Daylight Time)","mtpDate":"Mon Jun 15 2026 00:00:00 GMT-0400 (Eastern Daylight Time)","firstMtpDate":"","overallStatus":"Active","phase":"Your Way","stage":"Deploy","health":"Green","completionDate":"","wdEngManager":"","damFullName":"","primingPartner":"0018000000vTnDgAAK","implPartner":"0018000000vTnDgAAK","partner":"Precision Task Group Inc.","currentUpdate":"06/17/26: Current status is Green. Project is successfully  Go Live on 6/15 for all in scope HCM track. FINS tracks \"ON TRACK\" for Aug 1st Go Live . Data catch up in Progress .","isExecutiveWatch":false,"wellnessData":null},{"deploymentId":"a0rVT000016K5afYAC","deploymentName":"Subsequent-Phase X: ADV, PE, PRISM, PA, PK, SS","accountId":"0011B00002HinwUQAR","accountName":"North Texas Tollway Authority (Precision Task Group, Inc.)","industry":"Special Districts","region":"US SLED","subRegion":"Local Government ME","subRegionAlt":"US Local Gov ME CB","billingState":"Texas","billingCity":"Dallas","deploymentStartDate":"Mon Jun 22 2026 00:00:00 GMT-0400 (Eastern Daylight Time)","mtpDate":"Mon Feb 01 2027 00:00:00 GMT-0500 (Eastern Standard Time)","firstMtpDate":"","overallStatus":"Active","phase":"Your Way","stage":"Plan","health":"Green","completionDate":"","wdEngManager":"","damFullName":"","primingPartner":"0018000000vTnDgAAK","implPartner":"0013000000KdrrVAAR","partner":"Strada U.S. Professional Services, LLC","currentUpdate":"","isExecutiveWatch":false,"wellnessData":null},{"deploymentId":"a0r4X00000DOux2QAD","deploymentName":"Subsequent Deployment - Planning First : Financial Planning","accountId":"0011B00002HkFgYQAV","accountName":"Ohio Department of Medicaid","industry":"State &amp; Local Government","region":"US SLED","subRegion":"Local Government LE","subRegionAlt":"US State Gov East","billingState":"Ohio","billingCity":"Columbus","deploymentStartDate":"Fri May 20 2016 00:00:00 GMT-0400 (Eastern Daylight Time)","mtpDate":"Sun Nov 20 2016 00:00:00 GMT-0500 (Eastern Standard Time)","firstMtpDate":"Sun Nov 20 2016 00:00:00 GMT-0500 (Eastern Standard Time)","overallStatus":"Complete","phase":"Planning First","stage":"Post Prod","health":"Green","completionDate":"","wdEngManager":"Bryan Kowalk","damFullName":"","primingPartner":"0011B00002CZYgHQAX","implPartner":"0011B00002CZYgHQAX","partner":"PBU Partner Ecosystem","currentUpdate":"Historical deployment load as part of Adaptive Systems Integration project in FY22. CSM listed as EM due to lack of historical data.","isExecutiveWatch":false,"wellnessData":null},{"deploymentId":"a0rVT00000kgQEyYAM","deploymentName":"Initial Deployment-Launch-HCM &amp; FIN","accountId":"0018000000Wtz7XAAR","accountName":"Okaloosa County Clerk of Circuit Court and Comptroller (IronBrick Associates, LLC)","industry":"State &amp; Local Government","region":"US SLED","subRegion":"Local Government ME","subRegionAlt":"US Local Gov ME CB","billingState":"Florida","billingCity":"Crestview","deploymentStartDate":"Thu Sep 04 2025 00:00:00 GMT-0400 (Eastern Daylight Time)","mtpDate":"Fri Oct 02 2026 00:00:00 GMT-0400 (Eastern Daylight Time)","firstMtpDate":"","overallStatus":"Active","phase":"Launch","stage":"Architect &amp; Configure","health":"Red","completionDate":"","wdEngManager":"Tyler Lotharius","damFullName":"","primingPartner":"0018000000hIF6bAAG","implPartner":"0018000000hIF6bAAG","partner":"Workday Professional Services","currentUpdate":"05/30/2026 - Unit testing 6 weeks overdue and testing continues. Completing Unit testing, FDM updates and DCDD's in order to move forward Project leadership selected April Go live - working on CO for the changes","isExecutiveWatch":false,"wellnessData":null},{"deploymentId":"a0r800000079vFHAAY","deploymentName":"Initial Deployment-Your Way: HCM, CCB, USP, TT","accountId":"0018000001VkdVeAAJ","accountName":"Ontario International Airport Authority","industry":"Special Districts","region":"US SLED","subRegion":"Local Government ME","subRegionAlt":"US Local Gov ME CB","billingState":"California","billingCity":"Ontario","deploymentStartDate":"Wed Nov 01 2017 00:00:00 GMT-0400 (Eastern Daylight Time)","mtpDate":"Thu Mar 29 2018 00:00:00 GMT-0400 (Eastern Daylight Time)","firstMtpDate":"Thu Mar 29 2018 00:00:00 GMT-0400 (Eastern Daylight Time)","overallStatus":"Complete","phase":"Your Way","stage":"Post Prod","health":"Green","completionDate":"Mon Apr 30 2018 00:00:00 GMT-0400 (Eastern Daylight Time)","wdEngManager":"","damFullName":"","primingPartner":"0018000000nlcXyAAI","implPartner":"0018000000nlcXyAAI","partner":"Sierra-Cedar, Inc.","currentUpdate":"05.01.18: Post Production support complete.","isExecutiveWatch":false,"wellnessData":null},{"deploymentId":"a0r800000079vFRAAY","deploymentName":"Initial Deployment-Your Way:FIN, PB, PRJT, EXP, INV, PRO, GM, PLN","accountId":"0018000001VkdVeAAJ","accountName":"Ontario International Airport Authority","industry":"Special Districts","region":"US SLED","subRegion":"Local Government ME","subRegionAlt":"US Local Gov ME CB","billingState":"California","billingCity":"Ontario","deploymentStartDate":"Wed Nov 01 2017 00:00:00 GMT-0400 (Eastern Daylight Time)","mtpDate":"Thu Mar 29 2018 00:00:00 GMT-0400 (Eastern Daylight Time)","firstMtpDate":"Thu Mar 29 2018 00:00:00 GMT-0400 (Eastern Daylight Time)","overallStatus":"Complete","phase":"Your Way","stage":"Post Prod","health":"Green","completionDate":"Mon Apr 30 2018 00:00:00 GMT-0400 (Eastern Daylight Time)","wdEngManager":"","damFullName":"","primingPartner":"0018000000nlcXyAAI","implPartner":"0018000000nlcXyAAI","partner":"Sierra-Cedar, Inc.","currentUpdate":"5.01.18: Post Production support complete.","isExecutiveWatch":false,"wellnessData":null},{"deploymentId":"a0rVT00000pM5lSYAS","deploymentName":"Subsequent - Phase X - Projects Add-on","accountId":"0018000001VkdVeAAJ","accountName":"Ontario International Airport Authority","industry":"Special Districts","region":"US SLED","subRegion":"Local Government ME","subRegionAlt":"US Local Gov ME CB","billingState":"California","billingCity":"Ontario","deploymentStartDate":"Mon Oct 20 2025 00:00:00 GMT-0400 (Eastern Daylight Time)","mtpDate":"Wed Jul 01 2026 00:00:00 GMT-0400 (Eastern Daylight Time)","firstMtpDate":"","overallStatus":"Active","phase":"Your Way","stage":"Plan","health":"Green","completionDate":"","wdEngManager":"","damFullName":"","primingPartner":"0014X00002ltTnZQAU","implPartner":"0014X00002ltTnZQAU","partner":"Groove Global LLC","currentUpdate":"Trainings occurring this week. Final testing in place.","isExecutiveWatch":false,"wellnessData":null},{"deploymentId":"a0r1B00000BdYdiQAF","deploymentName":"Subsequent - PhaseX: AI Planning","accountId":"0018000001VkdVeAAJ","accountName":"Ontario International Airport Authority","industry":"Special Districts","region":"US SLED","subRegion":"Local Government ME","subRegionAlt":"US Local Gov ME CB","billingState":"California","billingCity":"Ontario","deploymentStartDate":"Thu Feb 07 2019 00:00:00 GMT-0500 (Eastern Standard Time)","mtpDate":"Mon Jan 27 2020 00:00:00 GMT-0500 (Eastern Standard Time)","firstMtpDate":"Mon Jan 27 2020 00:00:00 GMT-0500 (Eastern Standard Time)","overallStatus":"Complete","phase":"Phase X - Planning","stage":"Post Prod","health":"Green","completionDate":"Mon Jan 27 2020 00:00:00 GMT-0500 (Eastern Standard Time)","wdEngManager":"","damFullName":"","primingPartner":"0018000000hIF6bAAG","implPartner":"0018000000hIF6bAAG","partner":"Workday Professional Services","currentUpdate":"AI legacy information","isExecutiveWatch":false,"wellnessData":null},{"deploymentId":"a0r80000008VadzAAC","deploymentName":"Subsequent - PhaseX: USP, TT, Absence, Onboarding, etc.","accountId":"0018000001VkdVeAAJ","accountName":"Ontario International Airport Authority","industry":"Special Districts","region":"US SLED","subRegion":"Local Government ME","subRegionAlt":"US Local Gov ME CB","billingState":"California","billingCity":"Ontario","deploymentStartDate":"Fri Mar 09 2018 00:00:00 GMT-0500 (Eastern Standard Time)","mtpDate":"Mon Jul 02 2018 00:00:00 GMT-0400 (Eastern Daylight Time)","firstMtpDate":"Mon Jul 02 2018 00:00:00 GMT-0400 (Eastern Daylight Time)","overallStatus":"Complete","phase":"Phase X","stage":"Post Prod","health":"Green","completionDate":"Thu Jan 31 2019 00:00:00 GMT-0500 (Eastern Standard Time)","wdEngManager":"","damFullName":"","primingPartner":"0011B00002H9DAaQAN","implPartner":"0011B00002H9DAaQAN","partner":"SCI WDSFMS Services, LLC","currentUpdate":"01.15.19: Post Production Support extended thru 01.31.19.","isExecutiveWatch":false,"wellnessData":null},{"deploymentId":"a0rVT00000tss0XYAQ","deploymentName":"Subsequent- Phase X- Learning","accountId":"0018000001VkdVeAAJ","accountName":"Ontario International Airport Authority","industry":"Special Districts","region":"US SLED","subRegion":"Local Government ME","subRegionAlt":"US Local Gov ME CB","billingState":"California","billingCity":"Ontario","deploymentStartDate":"Mon Jan 05 2026 00:00:00 GMT-0500 (Eastern Standard Time)","mtpDate":"Mon May 11 2026 00:00:00 GMT-0400 (Eastern Daylight Time)","firstMtpDate":"Mon May 11 2026 00:00:00 GMT-0400 (Eastern Daylight Time)","overallStatus":"Complete","phase":"Your Way","stage":"Post Prod","health":"Green","completionDate":"Fri Jun 05 2026 00:00:00 GMT-0400 (Eastern Daylight Time)","wdEngManager":"","damFullName":"","primingPartner":"0014X00002ltTnZQAU","implPartner":"0014X00002ltTnZQAU","partner":"Groove Global LLC","currentUpdate":"Project set to complete this week.","isExecutiveWatch":false,"wellnessData":null},{"deploymentId":"a0r4X00000DCFtzQAH","deploymentName":"Subsequent-Phase X-Sourcing","accountId":"0018000001VkdVeAAJ","accountName":"Ontario International Airport Authority","industry":"Special Districts","region":"US SLED","subRegion":"Local Government ME","subRegionAlt":"US Local Gov ME CB","billingState":"California","billingCity":"Ontario","deploymentStartDate":"Fri Sep 01 2023 00:00:00 GMT-0400 (Eastern Daylight Time)","mtpDate":"Fri Jan 05 2024 00:00:00 GMT-0500 (Eastern Standard Time)","firstMtpDate":"Fri Jan 05 2024 00:00:00 GMT-0500 (Eastern Standard Time)","overallStatus":"Complete","phase":"Your Way","stage":"Post Prod","health":"Green","completionDate":"Fri Feb 09 2024 00:00:00 GMT-0500 (Eastern Standard Time)","wdEngManager":"","damFullName":"","primingPartner":"0018000000hIF6bAAG","implPartner":"0018000000hIF6bAAG","partner":"Workday Professional Services","currentUpdate":"1/30/24: OIAA is currently live on WSS: Contracts Only. I am awaiting a final meeting with the Customer to draft and publish the internal go-live announcement.","isExecutiveWatch":false,"wellnessData":null},{"deploymentId":"a0r4X00000CrSwbQAF","deploymentName":"Initial Deployment-Your Way-CHCM, TLO, CCB, USP, LRN, MCNF, REC, etc","accountId":"0018000000MSGUlAAP","accountName":"Orange County Transportation Authority (Precision Task Group, Inc.)","industry":"Special Districts","region":"US SLED","subRegion":"Local Government ME","subRegionAlt":"US Local Gov ME CB","billingState":"California","billingCity":"Orange","deploymentStartDate":"Fri Apr 05 2024 00:00:00 GMT-0400 (Eastern Daylight Time)","mtpDate":"Wed Dec 10 2025 00:00:00 GMT-0500 (Eastern Standard Time)","firstMtpDate":"","overallStatus":"Complete","phase":"Your Way","stage":"Post Prod","health":"Green","completionDate":"Fri Jan 30 2026 00:00:00 GMT-0500 (Eastern Standard Time)","wdEngManager":"","damFullName":"","primingPartner":"0018000000vTnDgAAK","implPartner":"0018000000vTnDgAAK","partner":"Precision Task Group Inc.","currentUpdate":"1/31/26 :  Post Go Live Hyper Support closed successfully. Post Production AMS phase starting on Feb 2nd. Helpdesk tool is setup. Project is Green","isExecutiveWatch":false,"wellnessData":null},{"deploymentId":"a0rVT0000111W3BYAU","deploymentName":"Initial Deployment-Launch-LDPHCM, LDPCCB, LDPBEN, LDPREC, LDPTLO, etc","accountId":"001VT00000dD5DCYA0","accountName":"Palmdale Water District","industry":"Special Districts","region":"US SLED","subRegion":"Local Government ME","subRegionAlt":"US Special Districts NN","billingState":"California","billingCity":"Palmdale","deploymentStartDate":"Wed May 06 2026 00:00:00 GMT-0400 (Eastern Daylight Time)","mtpDate":"Mon Dec 14 2026 00:00:00 GMT-0500 (Eastern Standard Time)","firstMtpDate":"","overallStatus":"Active","phase":"Launch Express","stage":"Plan","health":"Green","completionDate":"","wdEngManager":"","damFullName":"","primingPartner":"0014X00002K50GIQAZ","implPartner":"0014X00002K50GIQAZ","partner":"ERP Analysts Inc. dba ERPA","currentUpdate":"Workshops continue through next week, Client planning WD training, tracking WB due dates, team following up on help with WBs and Due Dates.  Integrations changing per SOW, vendor reachout underway.  Scope reconciliation TBD = July","isExecutiveWatch":false,"wellnessData":null},{"deploymentId":"a0r4X00000DCGoCQAX","deploymentName":"Initial Deployment-Your Way: CHCM, TLO, HLP, CCB, USP, LRN, REC, FIN, etc.,","accountId":"0014X00002Otg6sQAB","accountName":"Pennsylvania Housing Finance Agency (Meridian Government Services LLC)","industry":"Special Districts","region":"US SLED","subRegion":"Local Government LE","subRegionAlt":"US State Gov East","billingState":"Pennsylvania","billingCity":"Harrisburg","deploymentStartDate":"Tue Oct 03 2023 00:00:00 GMT-0400 (Eastern Daylight Time)","mtpDate":"Thu Jul 25 2024 00:00:00 GMT-0400 (Eastern Daylight Time)","firstMtpDate":"Thu Jul 25 2024 00:00:00 GMT-0400 (Eastern Daylight Time)","overallStatus":"Active","phase":"Launch","stage":"Test","health":"Green","completionDate":"","wdEngManager":"Eric Frame","damFullName":"","primingPartner":"0011B00002H5sfEQAR","implPartner":"0011B00002H5sfEQAR","partner":"Meridian Partners, LLC","currentUpdate":"Customer is increasing scope to add Relish connector.  This pushes the end date past when the WD consultant is available.  Meridian has transitioned their consultant onto the project.","isExecutiveWatch":false,"wellnessData":null},{"deploymentId":"a0r80000003J1ZVAA0","deploymentName":"Initial Deployment: HCM, USP, TT, CCHCM, CCB, CCWP","accountId":"0018000000iVpk0AAC","accountName":"Pierce County","industry":"State &amp; Local Government","region":"US SLED","subRegion":"Local Government LE","subRegionAlt":"US Local Gov LE CB","billingState":"Washington","billingCity":"Tacoma","deploymentStartDate":"Mon Sep 10 2012 00:00:00 GMT-0400 (Eastern Daylight Time)","mtpDate":"Mon Sep 30 2013 00:00:00 GMT-0400 (Eastern Daylight Time)","firstMtpDate":"Mon Sep 30 2013 00:00:00 GMT-0400 (Eastern Daylight Time)","overallStatus":"Complete","phase":"Your Way","stage":"Post Prod","health":"Green","completionDate":"Fri Mar 07 2014 00:00:00 GMT-0500 (Eastern Standard Time)","wdEngManager":"Krishna Kuchibhotla","damFullName":"","primingPartner":"0018000000hIF6bAAG","implPartner":"0018000000hIF6bAAG","partner":"Workday Professional Services","currentUpdate":"Heatmap update 876158","isExecutiveWatch":false,"wellnessData":null},{"deploymentId":"a0r800000046i2eAAA","deploymentName":"Phase 2: Financials","accountId":"0018000000iVpk0AAC","accountName":"Pierce County","industry":"State &amp; Local Government","region":"US SLED","subRegion":"Local Government LE","subRegionAlt":"US Local Gov LE CB","billingState":"Washington","billingCity":"Tacoma","deploymentStartDate":"Mon Feb 03 2014 00:00:00 GMT-0500 (Eastern Standard Time)","mtpDate":"Wed Apr 08 2015 00:00:00 GMT-0400 (Eastern Daylight Time)","firstMtpDate":"Wed Apr 08 2015 00:00:00 GMT-0400 (Eastern Daylight Time)","overallStatus":"Complete","phase":"Phase X","stage":"Post Prod","health":"Green","completionDate":"Fri Jun 19 2015 00:00:00 GMT-0400 (Eastern Daylight Time)","wdEngManager":"Krishna Kuchibhotla","damFullName":"","primingPartner":"0018000000hIF6bAAG","implPartner":"0018000000hIF6bAAG","partner":"Workday Professional Services","currentUpdate":"Heatmap update 876158","isExecutiveWatch":false,"wellnessData":null},{"deploymentId":"a0r800000079zMnAAI","deploymentName":"Subsequent - PhaseX: Learning","accountId":"0018000000iVpk0AAC","accountName":"Pierce County","industry":"State &amp; Local Government","region":"US SLED","subRegion":"Local Government LE","subRegionAlt":"US Local Gov LE CB","billingState":"Washington","billingCity":"Tacoma","deploymentStartDate":"Mon Oct 02 2017 00:00:00 GMT-0400 (Eastern Daylight Time)","mtpDate":"Thu Dec 21 2017 00:00:00 GMT-0500 (Eastern Standard Time)","firstMtpDate":"Thu Dec 21 2017 00:00:00 GMT-0500 (Eastern Standard Time)","overallStatus":"Complete","phase":"Phase X","stage":"Post Prod","health":"Green","completionDate":"Mon Jan 08 2018 00:00:00 GMT-0500 (Eastern Standard Time)","wdEngManager":"","damFullName":"","primingPartner":"0018000000hIF6bAAG","implPartner":"0018000000hIF6bAAG","partner":"Workday Professional Services","currentUpdate":"Closing project this week. Customer does not require further post production support.","isExecutiveWatch":false,"wellnessData":null},{"deploymentId":"a0r4X00000E17IeQAJ","deploymentName":"Initial Deployment-Your Way: HCM, TLO, HLP, JRNY, CCB, USP, LRN, FIN, etc.","accountId":"0018000000Wtz26AAB","accountName":"Pima County","industry":"State &amp; Local Government","region":"US SLED","subRegion":"Local Government LE","subRegionAlt":"US Local Gov LE CB","billingState":"Arizona","billingCity":"Tucson","deploymentStartDate":"Wed Mar 01 2023 00:00:00 GMT-0500 (Eastern Standard Time)","mtpDate":"Mon Jul 01 2024 00:00:00 GMT-0400 (Eastern Daylight Time)","firstMtpDate":"Mon Jul 01 2024 00:00:00 GMT-0400 (Eastern Daylight Time)","overallStatus":"Complete","phase":"Your Way","stage":"Post Prod","health":"Green","completionDate":"Thu Oct 31 2024 00:00:00 GMT-0400 (Eastern Daylight Time)","wdEngManager":"","damFullName":"Aviv Raveh","primingPartner":"0018000000mN4f0AAC","implPartner":"0018000000mN4f0AAC","partner":"International Business Machines Corporation [Global Business Services]","currentUpdate":"9/6/24 Revised completion date to accommodate the Adaptive implementation.","isExecutiveWatch":false,"wellnessData":null},{"deploymentId":"a0r4X00000DY0tEQAT","deploymentName":"Subsequent-Phase X: HCM","accountId":"0018000000Wtz26AAB","accountName":"Pima County","industry":"State &amp; Local Government","region":"US SLED","subRegion":"Local Government LE","subRegionAlt":"US Local Gov LE CB","billingState":"Arizona","billingCity":"Tucson","deploymentStartDate":"Mon Jan 01 2024 00:00:00 GMT-0500 (Eastern Standard Time)","mtpDate":"Sun Dec 15 2024 00:00:00 GMT-0500 (Eastern Standard Time)","firstMtpDate":"Sun Dec 15 2024 00:00:00 GMT-0500 (Eastern Standard Time)","overallStatus":"Complete","phase":"Your Way","stage":"Deploy","health":"Green","completionDate":"Wed Apr 30 2025 00:00:00 GMT-0400 (Eastern Daylight Time)","wdEngManager":"","damFullName":"","primingPartner":"0018000000mN4f0AAC","implPartner":"0018000000mN4f0AAC","partner":"International Business Machines Corporation [Global Business Services]","currentUpdate":"Additional Integration Support - Project has gone live in production","isExecutiveWatch":false,"wellnessData":null},{"deploymentId":"a0rVT000014UVeiYAG","deploymentName":"Subsequent-Phase X: Your Way: Grants Implementation","accountId":"0018000000Wtz26AAB","accountName":"Pima County","industry":"State &amp; Local Government","region":"US SLED","subRegion":"Local Government LE","subRegionAlt":"US Local Gov LE CB","billingState":"Arizona","billingCity":"Tucson","deploymentStartDate":"Sun May 17 2026 00:00:00 GMT-0400 (Eastern Daylight Time)","mtpDate":"","firstMtpDate":"","overallStatus":"Active","phase":"Your Way","stage":"Plan","health":"Green","completionDate":"","wdEngManager":"","damFullName":"","primingPartner":"0014X00002ltTnZQAU","implPartner":"0014X00002ltTnZQAU","partner":"Groove Global LLC","currentUpdate":"6/16 - Workbook review and integrations Discovery in progress","isExecutiveWatch":false,"wellnessData":null},{"deploymentId":"a0r4X00000DPVhfQAH","deploymentName":"Subsequent Deployment - Peakon First : Peakon Employee Voice","accountId":"0014X00002ME6eLQAT","accountName":"Police Department of Baltimore City (Inactive Account)","industry":"State &amp; Local Government","region":"US SLED","subRegion":"Local Government LE","subRegionAlt":"US Local Gov LE CB","billingState":"Maryland","billingCity":"Baltimore","deploymentStartDate":"Mon Jun 29 2020 00:00:00 GMT-0400 (Eastern Daylight Time)","mtpDate":"Thu Apr 01 2021 00:00:00 GMT-0400 (Eastern Daylight Time)","firstMtpDate":"Thu Apr 01 2021 00:00:00 GMT-0400 (Eastern Daylight Time)","overallStatus":"Complete","phase":"Peakon First","stage":"Post Prod","health":"Green","completionDate":"Thu Apr 01 2021 00:00:00 GMT-0400 (Eastern Daylight Time)","wdEngManager":"Alexandra Kurnath","damFullName":"","primingPartner":"0018000000hIF6bAAG","implPartner":"0018000000hIF6bAAG","partner":"Workday Professional Services","currentUpdate":"Historical deployment load as part of Peakon Integration project in FY22.Peakon CSM listed as EM.","isExecutiveWatch":false,"wellnessData":null},{"deploymentId":"a0r4X00000D7rdeQAB","deploymentName":"Initial Deployment-Your Way: HCM, TLO, CCB, USP, LRN, REC, FIN, etc.","accountId":"0018000000Wtz85AAB","accountName":"Port of Houston Authority (Precision Task Group, Inc.)","industry":"Special Districts","region":"US SLED","subRegion":"Local Government ME","subRegionAlt":"US Local Gov ME CB","billingState":"Texas","billingCity":"Houston","deploymentStartDate":"Thu May 02 2024 00:00:00 GMT-0400 (Eastern Daylight Time)","mtpDate":"Mon Dec 15 2025 00:00:00 GMT-0500 (Eastern Standard Time)","firstMtpDate":"Mon Dec 15 2025 00:00:00 GMT-0500 (Eastern Standard Time)","overallStatus":"Active","phase":"Your Way","stage":"Test","health":"Green","completionDate":"","wdEngManager":"","damFullName":"Alexis Celani","primingPartner":"0013000000KdrrVAAR","implPartner":"0013000000KdrrVAAR","partner":"Strada U.S. Professional Services, LLC","currentUpdate":"Revenue Planning: Testing in progress.\nTesting: Non-compensation testing signed off \nWorkforce planning testing signed off","isExecutiveWatch":false,"wellnessData":null},{"deploymentId":"a0r4X00000DOv07QAD","deploymentName":"Subsequent Deployment - Planning First : Financial Planning","accountId":"0018000000ZjsVnAAJ","accountName":"Port of Seattle","industry":"Special Districts","region":"US SLED","subRegion":"Local Government ME","subRegionAlt":"US Special Districts NN","billingState":"Washington","billingCity":"Seattle","deploymentStartDate":"Tue Sep 03 2019 00:00:00 GMT-0400 (Eastern Daylight Time)","mtpDate":"Tue Mar 03 2020 00:00:00 GMT-0500 (Eastern Standard Time)","firstMtpDate":"Tue Mar 03 2020 00:00:00 GMT-0500 (Eastern Standard Time)","overallStatus":"Complete","phase":"Planning First","stage":"Post Prod","health":"Green","completionDate":"","wdEngManager":"Kelley Bowles","damFullName":"","primingPartner":"0011B00002CZYgHQAX","implPartner":"0011B00002CZYgHQAX","partner":"PBU Partner Ecosystem","currentUpdate":"Historical d</t>
  </si>
  <si>
    <t>a0pVT00000AIzTtYAL</t>
  </si>
  <si>
    <t>sfdcRows:default:chunk:11</t>
  </si>
  <si>
    <t>a0pVT00000AUsi2YAD</t>
  </si>
  <si>
    <t>a0rVT000016Y2t1YAC</t>
  </si>
  <si>
    <t>End of hypercare.</t>
  </si>
  <si>
    <t>a0rVT00001BI7dhYAD</t>
  </si>
  <si>
    <t>a0pVT00000AUeAMYA1</t>
  </si>
  <si>
    <t>a0rVT000016bZIzYAM</t>
  </si>
  <si>
    <t>Insomnia Cookies LLC</t>
  </si>
  <si>
    <t>a0pVT00000AUeALYA1</t>
  </si>
  <si>
    <t>John Hawkins</t>
  </si>
  <si>
    <t>a0pVT00000Ah6fVYAR</t>
  </si>
  <si>
    <t>a0rVT000016dasTYAQ</t>
  </si>
  <si>
    <t>a0rVT00000gnhusYAA</t>
  </si>
  <si>
    <t>Institute on Aging</t>
  </si>
  <si>
    <t>a0pVT00000ArLN7YAN</t>
  </si>
  <si>
    <t>a0rVT000016ehQZYAY</t>
  </si>
  <si>
    <t>a0pVT00000BGMSrYAP</t>
  </si>
  <si>
    <t>a0rVT000016el4LYAQ</t>
  </si>
  <si>
    <t>a0pVT00000BGwzNYAT</t>
  </si>
  <si>
    <t>a0rVT000016esAnYAI</t>
  </si>
  <si>
    <t>Hypercare phase.</t>
  </si>
  <si>
    <t>a0rVT00000YOx6cYAD</t>
  </si>
  <si>
    <t>a0pVT00000BGwzOYAT</t>
  </si>
  <si>
    <t>Intel Corporation</t>
  </si>
  <si>
    <t>a0pVT00000AegMAYAZ</t>
  </si>
  <si>
    <t>a0rVT000016ezP6YAI</t>
  </si>
  <si>
    <t>a0pVT00000BvD0cYAF</t>
  </si>
  <si>
    <t>a0pVT00000Axly3YAB</t>
  </si>
  <si>
    <t>a0rVT000016iGEtYAM</t>
  </si>
  <si>
    <t>a0pVT00000BdmZXYAZ</t>
  </si>
  <si>
    <t>a0rVT000016iTITYA2</t>
  </si>
  <si>
    <t>In production with Teams and Fetch Auto Outreach</t>
  </si>
  <si>
    <t>Subsequent - Phase X -Paradox</t>
  </si>
  <si>
    <t>a0pVT00000Ak5zpYAB</t>
  </si>
  <si>
    <t>International Flavors &amp; Fragrances, Inc.</t>
  </si>
  <si>
    <t>a0rVT000016iTYbYAM</t>
  </si>
  <si>
    <t>a0pVT00000Ak61RYAR</t>
  </si>
  <si>
    <t>a0pVT00000AsUhhYAF</t>
  </si>
  <si>
    <t>a0rVT000016iUjDYAU</t>
  </si>
  <si>
    <t>a0pVT00000BUC0cYAH</t>
  </si>
  <si>
    <t>Felix Cordero</t>
  </si>
  <si>
    <t>a0pVT00000AwjQQYAZ</t>
  </si>
  <si>
    <t>E2E testing started</t>
  </si>
  <si>
    <t>a0rVT000016lqTpYAI</t>
  </si>
  <si>
    <t>a0rVT00000m4jUMYAY</t>
  </si>
  <si>
    <t>a0pVT00000AwjQPYAZ</t>
  </si>
  <si>
    <t>a0pVT00000AwjQRYAZ</t>
  </si>
  <si>
    <t>a0pVT00000AdgfyYAB</t>
  </si>
  <si>
    <t>a0rVT0000175k0rYAA</t>
  </si>
  <si>
    <t>a0pVT00000AsrO9YAJ</t>
  </si>
  <si>
    <t>a0rVT0000177jBxYAI</t>
  </si>
  <si>
    <t>eployment load as part of Adaptive Systems Integration project in FY22. CSM listed as EM due to lack of historical data.","isExecutiveWatch":false,"wellnessData":null},{"deploymentId":"a0rVT00000tIJcPYAW","deploymentName":"Initial Deployment-Launch-LDPREC, LDPTLO, LDPACC, LDPAM, etc","accountId":"0018000000x16mxAAA","accountName":"Prairie Band Potawatomi Entertainment Corporation dba Prairie Band Casino &amp; Resort","industry":"Special Districts","region":"US SLED","subRegion":"Local Government ME","subRegionAlt":"US Local Gov ME CB","billingState":"Kansas","billingCity":"Mayetta","deploymentStartDate":"Fri Feb 20 2026 00:00:00 GMT-0500 (Eastern Standard Time)","mtpDate":"","firstMtpDate":"","overallStatus":"Active","phase":"Launch","stage":"Architect &amp; Configure","health":"Green","completionDate":"","wdEngManager":"","damFullName":"","primingPartner":"0011B00002H5sfIQAR","implPartner":"0011B00002H5sfIQAR","partner":"Eisner Advisory Group LLC","currentUpdate":"entering CCS, finishing workbooks, passing to CV config team","isExecutiveWatch":false,"wellnessData":null},{"deploymentId":"a0r4X00000DOv0PQAT","deploymentName":"Subsequent Deployment - Planning First : Financial Planning","accountId":"0018000000x16mxAAA","accountName":"Prairie Band Potawatomi Entertainment Corporation dba Prairie Band Casino &amp; Resort","industry":"Special Districts","region":"US SLED","subRegion":"Local Government ME","subRegionAlt":"US Local Gov ME CB","billingState":"Kansas","billingCity":"Mayetta","deploymentStartDate":"Fri May 27 2016 00:00:00 GMT-0400 (Eastern Daylight Time)","mtpDate":"Sun Nov 27 2016 00:00:00 GMT-0500 (Eastern Standard Time)","firstMtpDate":"Sun Nov 27 2016 00:00:00 GMT-0500 (Eastern Standard Time)","overallStatus":"Complete","phase":"Planning First","stage":"Post Prod","health":"Green","completionDate":"","wdEngManager":"Anne Yates","damFullName":"","primingPartner":"0011B00002CZYgHQAX","implPartner":"0011B00002CZYgHQAX","partner":"PBU Partner Ecosystem","currentUpdate":"Historical deployment load as part of Adaptive Systems Integration project in FY22. CSM listed as EM due to lack of historical data.","isExecutiveWatch":false,"wellnessData":null},{"deploymentId":"a0rVT00000vPhc9YAC","deploymentName":"Subsequent-Phase X: HCM, PAY, TT, ABS. FIN, EXP, etc.","accountId":"0018000000x16mxAAA","accountName":"Prairie Band Potawatomi Entertainment Corporation dba Prairie Band Casino &amp; Resort","industry":"Special Districts","region":"US SLED","subRegion":"Local Government ME","subRegionAlt":"US Local Gov ME CB","billingState":"Kansas","billingCity":"Mayetta","deploymentStartDate":"Wed Jan 28 2026 00:00:00 GMT-0500 (Eastern Standard Time)","mtpDate":"Sun Dec 27 2026 00:00:00 GMT-0500 (Eastern Standard Time)","firstMtpDate":"","overallStatus":"Active","phase":"Launch","stage":"Architect &amp; Configure","health":"Green","completionDate":"","wdEngManager":"","damFullName":"","primingPartner":"0014X00002U3CrYQAV","implPartner":"0014X00002U3CrYQAV","partner":"CrossVue, LLC","currentUpdate":"Update 06/22:  CCS completed, Unit Testing is underway  for both HCM and FINS.","isExecutiveWatch":false,"wellnessData":null},{"deploymentId":"a0r1B00000CkoHkQAJ","deploymentName":"Initial Deployment-Your Way:HCM, CCB, USP, LRN, MCNF, REC, PRA, TT","accountId":"0018000000mKmPzAAK","accountName":"Provo City","industry":"State &amp; Local Government","region":"US SLED","subRegion":"Local Government ME","subRegionAlt":"US Local Gov ME CB","billingState":"Utah","billingCity":"Provo","deploymentStartDate":"Mon May 04 2020 00:00:00 GMT-0400 (Eastern Daylight Time)","mtpDate":"Mon Jun 21 2021 00:00:00 GMT-0400 (Eastern Daylight Time)","firstMtpDate":"Mon Jun 21 2021 00:00:00 GMT-0400 (Eastern Daylight Time)","overallStatus":"Complete","phase":"Your Way","stage":"Post Prod","health":"Green","completionDate":"Mon Jan 26 2026 00:00:00 GMT-0500 (Eastern Standard Time)","wdEngManager":"","damFullName":"","primingPartner":"0018000001IzqpSAAR","implPartner":"0018000001IzqpSAAR","partner":"Avaap USA, LLC","currentUpdate":"3127692: close","isExecutiveWatch":false,"wellnessData":null},{"deploymentId":"a0r4X00000DPqZlQAL","deploymentName":"Subsequent-Phase X: Learning","accountId":"0018000000mKmPzAAK","accountName":"Provo City","industry":"State &amp; Local Government","region":"US SLED","subRegion":"Local Government ME","subRegionAlt":"US Local Gov ME CB","billingState":"Utah","billingCity":"Provo","deploymentStartDate":"Thu Dec 02 2021 00:00:00 GMT-0500 (Eastern Standard Time)","mtpDate":"Tue Jul 26 2022 00:00:00 GMT-0400 (Eastern Daylight Time)","firstMtpDate":"Tue Jul 26 2022 00:00:00 GMT-0400 (Eastern Daylight Time)","overallStatus":"Complete","phase":"Phase X - Your Way","stage":"Post Prod","health":"Green","completionDate":"Tue Aug 16 2022 00:00:00 GMT-0400 (Eastern Daylight Time)","wdEngManager":"","damFullName":"","primingPartner":"0018000001IzqpSAAR","implPartner":"0018000001IzqpSAAR","partner":"Avaap USA, LLC","currentUpdate":"08/16/22 - Project closed","isExecutiveWatch":false,"wellnessData":null},{"deploymentId":"a0r4X00000DQy65QAD","deploymentName":"Subsequent-Phase X: Talent &amp; Learning","accountId":"0018000000mKmPzAAK","accountName":"Provo City","industry":"State &amp; Local Government","region":"US SLED","subRegion":"Local Government ME","subRegionAlt":"US Local Gov ME CB","billingState":"Utah","billingCity":"Provo","deploymentStartDate":"Tue Feb 08 2022 00:00:00 GMT-0500 (Eastern Standard Time)","mtpDate":"Tue Jan 03 2023 00:00:00 GMT-0500 (Eastern Standard Time)","firstMtpDate":"Tue Jan 03 2023 00:00:00 GMT-0500 (Eastern Standard Time)","overallStatus":"Complete","phase":"Phase X - Your Way","stage":"Post Prod","health":"Green","completionDate":"Fri Jan 20 2023 00:00:00 GMT-0500 (Eastern Standard Time)","wdEngManager":"","damFullName":"","primingPartner":"0018000001IzqpSAAR","implPartner":"0018000001IzqpSAAR","partner":"Avaap USA, LLC","currentUpdate":"Project complete as of EOB 01/20/23.","isExecutiveWatch":false,"wellnessData":null},{"deploymentId":"a0rVT00000WZC0oYAH","deploymentName":"Initial Deployment-Your Way-PRO, SRC, SCLO, TT, SC, EXP, CHCM, CCB, USP, etc.","accountId":"0018000000Wtz2AAAR","accountName":"Ramsey County","industry":"State &amp; Local Government","region":"US SLED","subRegion":"Local Government LE","subRegionAlt":"US Local Gov LE CB","billingState":"Minnesota","billingCity":"Saint Paul","deploymentStartDate":"Fri Apr 18 2025 00:00:00 GMT-0400 (Eastern Daylight Time)","mtpDate":"Mon Dec 14 2026 00:00:00 GMT-0500 (Eastern Standard Time)","firstMtpDate":"","overallStatus":"Active","phase":"Your Way","stage":"Test","health":"Green","completionDate":"","wdEngManager":"","damFullName":"","primingPartner":"0018000000MWLslAAH","implPartner":"0018000000MWLslAAH","partner":"Collaborative Solutions, LLC","currentUpdate":"E2E testing 18th week in progress, Currently at 73% run rate and continuing behind pace. E2E testing is divided into 2 cycles and 3 pay periods, cycle 2 completed on 5/15. E2E testing will be completed on 7/2. Parallel tenant build will start on 7/6.","isExecutiveWatch":false,"wellnessData":null},{"deploymentId":"a0r1B00000BQPlLQAX","deploymentName":"Initial Deployment-Your Way:HCM, CCB, USP, TT, LRN, MCNF, REC","accountId":"0018000000kuvwKAAQ","accountName":"Regional Transportation District","industry":"Special Districts","region":"US SLED","subRegion":"Local Government LE","subRegionAlt":"US Local Gov LE CB","billingState":"Colorado","billingCity":"Denver","deploymentStartDate":"Wed Aug 28 2019 00:00:00 GMT-0400 (Eastern Daylight Time)","mtpDate":"Tue Sep 15 2020 00:00:00 GMT-0400 (Eastern Daylight Time)","firstMtpDate":"Tue Sep 15 2020 00:00:00 GMT-0400 (Eastern Daylight Time)","overallStatus":"Complete","phase":"Your Way","stage":"Post Prod","health":"Green","completionDate":"Fri Oct 30 2020 00:00:00 GMT-0400 (Eastern Daylight Time)","wdEngManager":"","damFullName":"","primingPartner":"0018000000MWLslAAH","implPartner":"0018000000MWLslAAH","partner":"Collaborative Solutions, LLC","currentUpdate":"10/30 - Closing the project out, as it has been live in production since 9/27.","isExecutiveWatch":false,"wellnessData":null},{"deploymentId":"a0r4X00000CaleiQAB","deploymentName":"Initial Deployment-Launch HCM+PAY: LDPHCM, LDPFIN, LDPUSP, LDPLRN, LDPREC, etc.","accountId":"0011B00002IOjxbQAD","accountName":"Renewable Water Resources","industry":"Special Districts","region":"US SLED","subRegion":"Local Government ME","subRegionAlt":"US Local Gov ME CB","billingState":"South Carolina","billingCity":"Greenville","deploymentStartDate":"Thu Jan 28 2021 00:00:00 GMT-0500 (Eastern Standard Time)","mtpDate":"Tue Sep 14 2021 00:00:00 GMT-0400 (Eastern Daylight Time)","firstMtpDate":"Tue Sep 14 2021 00:00:00 GMT-0400 (Eastern Daylight Time)","overallStatus":"Complete","phase":"Launch","stage":"Post Prod","health":"Green","completionDate":"Mon Jun 20 2022 00:00:00 GMT-0400 (Eastern Daylight Time)","wdEngManager":"","damFullName":"","primingPartner":"0018000000ggEp4AAE","implPartner":"0018000000ggEp4AAE","partner":"OneSource Virtual, Inc.","currentUpdate":"Closing scorecard.  Thank you!!!","isExecutiveWatch":false,"wellnessData":null},{"deploymentId":"a0r4X00000DcEIVQA3","deploymentName":"Subsequent-PhaseX: Planning","accountId":"0011B00002IOjxbQAD","accountName":"Renewable Water Resources","industry":"Special Districts","region":"US SLED","subRegion":"Local Government ME","subRegionAlt":"US Local Gov ME CB","billingState":"South Carolina","billingCity":"Greenville","deploymentStartDate":"Wed Jul 27 2022 00:00:00 GMT-0400 (Eastern Daylight Time)","mtpDate":"Wed Nov 30 2022 00:00:00 GMT-0500 (Eastern Standard Time)","firstMtpDate":"Wed Nov 30 2022 00:00:00 GMT-0500 (Eastern Standard Time)","overallStatus":"Complete","phase":"Phase X - Planning","stage":"Deploy","health":"Green","completionDate":"Tue Feb 28 2023 00:00:00 GMT-0500 (Eastern Standard Time)","wdEngManager":"Subhasish Moitra","damFullName":"","primingPartner":"0018000000hIF6bAAG","implPartner":"0018000000hIF6bAAG","partner":"Workday Professional Services","currentUpdate":"DAM 1/4: Customer is live, some post production data / signage issues being reviewed and resolved.","isExecutiveWatch":false,"wellnessData":null},{"deploymentId":"a0r4X00000ETX2oQAH","deploymentName":"Initial Deployment- Your Way - CHCM, TLO, CCB, USP, LRN, MCNF, REC, FIN, GM, etc","accountId":"0014X00002ME6vvQAD","accountName":"Roaring Fork Transportation Authority","industry":"Special Districts","region":"US SLED","subRegion":"Local Government ME","subRegionAlt":"US Local Gov ME CB","billingState":"Colorado","billingCity":"Aspen","deploymentStartDate":"Tue Dec 10 2024 00:00:00 GMT-0500 (Eastern Standard Time)","mtpDate":"Sun Feb 22 2026 00:00:00 GMT-0500 (Eastern Standard Time)","firstMtpDate":"Sun Feb 22 2026 00:00:00 GMT-0500 (Eastern Standard Time)","overallStatus":"Active","phase":"Your Way","stage":"Deploy","health":"Green","completionDate":"","wdEngManager":"","damFullName":"Jason Jackson","primingPartner":"0011B00002CZvnrQAD","implPartner":"0011B00002CZvnrQAD","partner":"Guidehouse Inc","currentUpdate":"Customer is live and stable.  Post Support period has ended for the first 2 phases.  Learning and Talent is left in Phase 3.","isExecutiveWatch":false,"wellnessData":null},{"deploymentId":"a0r4X00000DOv4OQAT","deploymentName":"Subsequent Deployment - Planning First : Financial Planning","accountId":"0011B00002CXUTmQAP","accountName":"Sacramento County Airport System","industry":"Special Districts","region":"US SLED","subRegion":"Local Government ME","subRegionAlt":"US Special Districts NN","billingState":"California","billingCity":"Sacramento","deploymentStartDate":"Tue Sep 03 2013 00:00:00 GMT-0400 (Eastern Daylight Time)","mtpDate":"Mon Mar 03 2014 00:00:00 GMT-0500 (Eastern Standard Time)","firstMtpDate":"Mon Mar 03 2014 00:00:00 GMT-0500 (Eastern Standard Time)","overallStatus":"Complete","phase":"Planning First","stage":"Post Prod","health":"Green","completionDate":"","wdEngManager":"Christian Melendez","damFullName":"","primingPartner":"0011B00002CZYgHQAX","implPartner":"0011B00002CZYgHQAX","partner":"PBU Partner Ecosystem","currentUpdate":"Historical deployment load as part of Adaptive Systems Integration project in FY22. CSM listed as EM due to lack of historical data.","isExecutiveWatch":false,"wellnessData":null},{"deploymentId":"a0r4X00000DOv4PQAT","deploymentName":"Subsequent Deployment - Planning First : Financial Planning","accountId":"0011B00002CXTmsQAH","accountName":"Sacramento County Department of Technology","industry":"State &amp; Local Government","region":"US SLED","subRegion":"Local Government ME","subRegionAlt":"US Local Gov ME NN West","billingState":"California","billingCity":"Sacramento","deploymentStartDate":"Fri May 02 2014 00:00:00 GMT-0400 (Eastern Daylight Time)","mtpDate":"Sun Nov 02 2014 00:00:00 GMT-0400 (Eastern Daylight Time)","firstMtpDate":"Sun Nov 02 2014 00:00:00 GMT-0400 (Eastern Daylight Time)","overallStatus":"Complete","phase":"Planning First","stage":"Post Prod","health":"Green","completionDate":"","wdEngManager":"Katherine Linchey","damFullName":"","primingPartner":"0011B00002CZYgHQAX","implPartner":"0011B00002CZYgHQAX","partner":"PBU Partner Ecosystem","currentUpdate":"Historical deployment load as part of Adaptive Systems Integration project in FY22. CSM listed as EM due to lack of historical data.","isExecutiveWatch":false,"wellnessData":null},{"deploymentId":"a0r4X00000DOv4ZQAT","deploymentName":"Subsequent Deployment - Planning First : Financial Planning","accountId":"0013000000Kdi9hAAB","accountName":"Saginaw Chippewa Indian Tribe of Michigan","industry":"Special Districts","region":"US SLED","subRegion":"Local Government ME","subRegionAlt":"US Special Districts NN","billingState":"Michigan","billingCity":"Mount Pleasant","deploymentStartDate":"Mon Nov 07 2016 00:00:00 GMT-0500 (Eastern Standard Time)","mtpDate":"Sun May 07 2017 00:00:00 GMT-0400 (Eastern Daylight Time)","firstMtpDate":"Sun May 07 2017 00:00:00 GMT-0400 (Eastern Daylight Time)","overallStatus":"Complete","phase":"Planning First","stage":"Post Prod","health":"Green","completionDate":"","wdEngManager":"Julia Schwartz","damFullName":"","primingPartner":"0011B000029UdEuQAK","implPartner":"0011B000029UdEuQAK","partner":"Armanino Advisory LLC","currentUpdate":"Historical deployment load as part of Adaptive Systems Integration project in FY22. CSM listed as EM due to lack of historical data.","isExecutiveWatch":false,"wellnessData":null},{"deploymentId":"a0r4X00000DNGH6QAP","deploymentName":"Initial Deployment-Your Way: CHCM, TLO, CCB, USP, LRN, EXP, TT, REC, PPLA , etc.","accountId":"0018000000kuwL3AAI","accountName":"Salt Lake City Corporation","industry":"State &amp; Local Government","region":"US SLED","subRegion":"Local Government LE","subRegionAlt":"US Local Gov LE CB","billingState":"Utah","billingCity":"Salt Lake City","deploymentStartDate":"Mon Aug 02 2021 00:00:00 GMT-0400 (Eastern Daylight Time)","mtpDate":"Mon Jun 27 2022 00:00:00 GMT-0400 (Eastern Daylight Time)","firstMtpDate":"Mon Jun 27 2022 00:00:00 GMT-0400 (Eastern Daylight Time)","overallStatus":"Complete","phase":"Your Way","stage":"Post Prod","health":"Green","completionDate":"Fri Dec 02 2022 00:00:00 GMT-0500 (Eastern Standard Time)","wdEngManager":"","damFullName":"","primingPartner":"0018000001IzqpSAAR","implPartner":"0018000001IzqpSAAR","partner":"Avaap USA, LLC","currentUpdate":"12/2:  Post Prod Complete","isExecutiveWatch":false,"wellnessData":null},{"deploymentId":"a0r4X00000DNGHBQA5","deploymentName":"Initial Deployment-Your Way: FIN, GM, PLNF, PRA, PRJT, PRO, etc.","accountId":"0018000000kuwL3AAI","accountName":"Salt Lake City Corporation","industry":"State &amp; Local Government","region":"US SLED","subRegion":"Local Government LE","subRegionAlt":"US Local Gov LE CB","billingState":"Utah","billingCity":"Salt Lake City","deploymentStartDate":"Tue Feb 01 2022 00:00:00 GMT-0500 (Eastern Standard Time)","mtpDate":"Mon Jun 05 2023 00:00:00 GMT-0400 (Eastern Daylight Time)","firstMtpDate":"Mon Jun 05 2023 00:00:00 GMT-0400 (Eastern Daylight Time)","overallStatus":"Complete","phase":"Your Way","stage":"Post Prod","health":"Green","completionDate":"Thu Aug 24 2023 00:00:00 GMT-0400 (Eastern Daylight Time)","wdEngManager":"","damFullName":"","primingPartner":"0018000001IzqpSAAR","implPartner":"0018000001IzqpSAAR","partner":"Avaap USA, LLC","currentUpdate":"8/18 - Finalize DA by 8/25 to complete","isExecutiveWatch":false,"wellnessData":null},{"deploymentId":"a0r4X00000DzucAQAR","deploymentName":"Subsequent-Phase X: Adaptive Planning","accountId":"0018000000kuwL3AAI","accountName":"Salt Lake City Corporation","industry":"State &amp; Local Government","region":"US SLED","subRegion":"Local Government LE","subRegionAlt":"US Local Gov LE CB","billingState":"Utah","billingCity":"Salt Lake City","deploymentStartDate":"Mon Nov 14 2022 00:00:00 GMT-0500 (Eastern Standard Time)","mtpDate":"Mon Nov 06 2023 00:00:00 GMT-0500 (Eastern Standard Time)","firstMtpDate":"Mon Nov 06 2023 00:00:00 GMT-0500 (Eastern Standard Time)","overallStatus":"Complete","phase":"Phase X - Planning","stage":"Post Prod","health":"Green","completionDate":"","wdEngManager":"","damFullName":"","primingPartner":"0018000001IzqpSAAR","implPartner":"0018000001IzqpSAAR","partner":"Avaap USA, LLC","currentUpdate":"12/14: Customer went live on 11/6/23 and partner completed the project on 12/10/23. Project is now complete.","isExecutiveWatch":false,"wellnessData":null},{"deploymentId":"a0r4X00000DaVviQAF","deploymentName":"Subsequent-PhaseX: TT, ABS, PAY, BEN","accountId":"0018000000kuwL3AAI","accountName":"Salt Lake City Corporation","industry":"State &amp; Local Government","region":"US SLED","subRegion":"Local Government LE","subRegionAlt":"US Local Gov LE CB","billingState":"Utah","billingCity":"Salt Lake City","deploymentStartDate":"Mon Aug 02 2021 00:00:00 GMT-0400 (Eastern Daylight Time)","mtpDate":"Mon Jun 05 2023 00:00:00 GMT-0400 (Eastern Daylight Time)","firstMtpDate":"Mon Jun 05 2023 00:00:00 GMT-0400 (Eastern Daylight Time)","overallStatus":"Complete","phase":"Phase X - Your Way","stage":"Post Prod","health":"Green","completionDate":"Thu Aug 24 2023 00:00:00 GMT-0400 (Eastern Daylight Time)","wdEngManager":"","damFullName":"","primingPartner":"0018000001IzqpSAAR","implPartner":"0018000001IzqpSAAR","partner":"Avaap USA, LLC","currentUpdate":"8/18 - Finalize DA by 8/25 to complete project","isExecutiveWatch":false,"wellnessData":null},{"deploymentId":"a0r4X00000DOv4lQAD","deploymentName":"Subsequent Deployment - Planning First : Financial Planning","accountId":"0011B00002CXWwmQAH","accountName":"San Diego County Regional Airport Authority","industry":"Special Districts","region":"US SLED","subRegion":"Local Government ME","subRegionAlt":"US Special Districts NN","billingState":"California","billingCity":"San Diego","deploymentStartDate":"Wed Sep 13 2017 00:00:00 GMT-0400 (Eastern Daylight Time)","mtpDate":"Tue Mar 13 2018 00:00:00 GMT-0400 (Eastern Daylight Time)","firstMtpDate":"Tue Mar 13 2018 00:00:00 GMT-0400 (Eastern Daylight Time)","overallStatus":"Complete","phase":"Planning First","stage":"Post Prod","health":"Green","completionDate":"","wdEngManager":"Julia Schwartz","damFullName":"","primingPartner":"0011B000029UdEuQAK","implPartner":"0011B000029UdEuQAK","partner":"Armanino Advisory LLC","currentUpdate":"Historical deployment load as part of Adaptive Systems Integration project in FY22. CSM listed as EM due to lack of historical data.","isExecutiveWatch":false,"wellnessData":null},{"deploymentId":"a0rVT00000PsEKYYA3","deploymentName":"Initial Deployment-Launch-LDPHCM, LDPCCB, LDPBEN, LDPUSP, etc.","accountId":"0014X00002dT3aiQAC","accountName":"Sandoval County, New Mexico","industry":"State &amp; Local Government","region":"US SLED","subRegion":"Local Government ME","subRegionAlt":"US Local Gov ME CB","billingState":"New Mexico","billingCity":"Bernalillo","deploymentStartDate":"Mon Mar 10 2025 00:00:00 GMT-0400 (Eastern Daylight Time)","mtpDate":"Mon May 18 2026 00:00:00 GMT-0400 (Eastern Daylight Time)","firstMtpDate":"Mon May 18 2026 00:00:00 GMT-0400 (Eastern Daylight Time)","overallStatus":"Active","phase":"Launch","stage":"Post Prod","health":"Green","completionDate":"","wdEngManager":"Mindy Stanley","damFullName":"","primingPartner":"0018000000hIF6bAAG","implPartner":"0018000000hIF6bAAG","partner":"Workday Professional Services","currentUpdate":"6/23/26- Sandoval is working with Workday to resolve go-live issues and are being tracked in RAIDQ.  Second Payroll run is scheduled for week of 6/22/2026.  We are working to resolve as many issues as possible prior to payroll processing.","isExecutiveWatch":false,"wellnessData":null},{"deploymentId":"a0r4X00000CrVnSQAV","deploymentName":"Initial Deployment-LAunch- LDPHCM, LDPCCB, LDPBEN, LDPUSP, LDPFIN, etc","accountId":"001800000173lQ1AAI","accountName":"Sandy City","industry":"State &amp; Local Government","region":"US SLED","subRegion":"Local Government ME","subRegionAlt":"US Local Gov ME CB","billingState":"Utah","billingCity":"SANDY","deploymentStartDate":"Thu Jul 25 2024 00:00:00 GMT-0400 (Eastern Daylight Time)","mtpDate":"Sun Jun 08 2025 00:00:00 GMT-0400 (Eastern Daylight Time)","firstMtpDate":"Sun Jun 08 2025 00:00:00 GMT-0400 (Eastern Daylight Time)","overallStatus":"Complete","phase":"Launch","stage":"Post Prod","health":"Green","completionDate":"Sun Aug 17 2025 00:00:00 GMT-0400 (Eastern Daylight Time)","wdEngManager":"","damFullName":"","primingPartner":"0018000000hIF6bAAG","implPartner":"0018000000hIF6bAAG","partner":"Workday Professional Services","currentUpdate":"2935400: scorecard close request","isExecutiveWatch":false,"wellnessData":null},{"deploymentId":"a0r4X00000ETVQoQAP","deploymentName":"Subsequent- Phase X: Talent, Learning, Messaging, Fin Plan","accountId":"001800000173lQ1AAI","accountName":"Sandy City","industry":"State &amp; Local Government","region":"US SLED","subRegion":"Local Government ME","subRegionAlt":"US Local Gov ME CB","billingState":"Utah","billingCity":"SANDY","deploymentStartDate":"Mon Jul 28 2025 00:00:00 GMT-0400 (Eastern Daylight Time)","mtpDate":"Tue Nov 25 2025 00:00:00 GMT-0500 (Eastern Standard Time)","firstMtpDate":"Tue Nov 25 2025 00:00:00 GMT-0500 (Eastern Standard Time)","overallStatus":"Complete","phase":"Launch","stage":"Post Prod","health":"Green","completionDate":"Wed Dec 24 2025 00:00:00 GMT-0500 (Eastern Standard Time)","wdEngManager":"","damFullName":"","primingPartner":"0018000000hIF6bAAG","implPartner":"0018000000hIF6bAAG","partner":"Workday Professional Services","currentUpdate":"Customer has completed E2E testing and migration to sandbox of talent, learning and recruiting is in progress.","isExecutiveWatch":false,"wellnessData":null},{"deploymentId":"a0rVT00000e8rA7YAI","deploymentName":"Initial Deployment-Your Way CCB, USP, PRA, PRJT, CHCM, etc","accountId":"0018000000QanI6AAJ","accountName":"Santa Clara Valley Transportation Authority","industry":"Special Districts","region":"US SLED","subRegion":"Local Government ME","subRegionAlt":"US Local Gov ME CB","billingState":"California","billingCity":"San Jose","deploymentStartDate":"Wed Aug 06 2025 00:00:00 GMT-0400 (Eastern Daylight Time)","mtpDate":"Tue Jun 30 2026 00:00:00 GMT-0400 (Eastern Daylight Time)","firstMtpDate":"","overallStatus":"Active","phase":"Your Way","stage":"Architect &amp; Configure","health":"Green","completionDate":"","wdEngManager":"","damFullName":"","primingPartner":"0018000000mN4f0AAC","implPartner":"0018000000mN4f0AAC","partner":"International Business Machines Corporation [Global Business Services]","currentUpdate":"A&amp;C phase 3+ months delayed due to both consultant and client resource availability.  Client did not attend WD Training leading to delayed decision making.    Continued Go Live replanning and PCR in progress with client.  TBC Target: July 1, 2027.","isExecutiveWatch":false,"wellnessData":null},{"deploymentId":"a0r4X00000DcvhWQAR","deploymentName":"Initial Deployment-Your Way: CHCM, TLO, CCB, USP, LRN, REC, FIN, etc.","accountId":"0014X00002MB6hqQAD","accountName":"Santa Cruz Metropolitan Transit District","industry":"Special Districts","region":"US SLED","subRegion":"Local Government ME","subRegionAlt":"US Local Gov ME CB","billingState":"California","billingCity":"Santa Cruz","deploymentStartDate":"Wed Oct 12 2022 00:00:00 GMT-0400 (Eastern Daylight Time)","mtpDate":"Mon Mar 04 2024 00:00:00 GMT-0500 (Eastern Standard Time)","firstMtpDate":"Mon Mar 04 2024 00:00:00 GMT-0500 (Eastern Standard Time)","overallStatus":"Complete","phase":"Your Way","stage":"Post Prod","health":"Green","completionDate":"Tue Apr 15 2025 00:00:00 GMT-0400 (Eastern Daylight Time)","wdEngManager":"","damFullName":"Ally Allen","primingPartner":"0018000001IzqpSAAR","implPartner":"0018000001IzqpSAAR","partner":"Avaap USA, LLC","currentUpdate":"Adaptive planning - officially moved to production and into hypercare.","isExecutiveWatch":false,"wellnessData":null},{"deploymentId":"a0r80000007A2qtAAC","deploymentName":"Initial Deployment-Your Way:HCM, CCB, CCTPP","accountId":"0018000000Wtz2PAAR","accountName":"Sarasota County (Iron Brick Associates LLC)","industry":"State &amp; Local Government","region":"US SLED","subRegion":"Local Government ME","subRegionAlt":"US Local Gov ME CB","billingState":"Florida","billingCity":"Sarasota","deploymentStartDate":"Wed Nov 01 2017 00:00:00 GMT-0400 (Eastern Daylight Time)","mtpDate":"Mon Aug 06 2018 00:00:00 GMT-0400 (Eastern Daylight Time)","firstMtpDate":"Mon Aug 06 2018 00:00:00 GMT-0400 (Eastern Daylight Time)","overallStatus":"Complete","phase":"Your Way","stage":"Post Prod","health":"Green","completionDate":"Thu Sep 06 2018 00:00:00 GMT-0400 (Eastern Daylight Time)","wdEngManager":"","damFullName":"","primingPartner":"0018000000hIF6bAAG","implPartner":"0018000000hIF6bAAG","partner":"Workday Professional Services","currentUpdate":"Post production support completed 9/4.  Will mark project complete 9/7","isExecutiveWatch":false,"wellnessData":null},{"deploymentId":"a0r4X00000Dbvg3QAB","deploymentName":"Subsequent-Phase X-Absence &amp; Time Tracking","accountId":"0018000000Wtz2PAAR","accountName":"Sarasota County (Iron Brick Associates LLC)","industry":"State &amp; Local Government","region":"US SLED","subRegion":"Local Government ME","subRegionAlt":"US Local Gov ME CB","billingState":"Florida","billingCity":"Sarasota","deploymentStartDate":"Mon Jun 20 2022 00:00:00 GMT-0400 (Eastern Daylight Time)","mtpDate":"Sat Aug 26 2023 00:00:00 GMT-0400 (Eastern Daylight Time)","firstMtpDate":"Sat Aug 26 2023 00:00:00 GMT-0400 (Eastern Daylight Time)","overallStatus":"Complete","phase":"Phase X - Launch","stage":"Post Prod","health":"Green","completionDate":"Fri Sep 29 2023 00:00:00 GMT-0400 (Eastern Daylight Time)","wdEngManager":"","damFullName":"","primingPartner":"0018000000MWLslAAH","implPartner":"0018000000MWLslAAH","partner":"Collaborative Solutions, LLC","currentUpdate":"October 3, 2023.  Post prouduction support completed September 29, 2023. \n Trying to update Scorecard with completion date but get a hard stop to update project type - but have no ability to update project type.","isExecutiveWatch":false,"wellnessData":null},{"deploymentId":"a0r1B00000BnohrQAB","deploymentName":"Subsequent-Phase X: Prism","accountId":"0018000000Wtz2PAAR","accountName":"Sarasota County (Iron Brick Associates LLC)","industry":"State &amp; Local Government","region":"US SLED","subRegion":"Local Government ME","subRegionAlt":"US Local Gov ME CB","billingState":"Florida","billingCity":"Sarasota","deploymentStartDate":"Fri Jun 05 2020 00:00:00 GMT-0400 (Eastern Daylight Time)","mtpDate":"Sun Nov 01 2020 00:00:00 GMT-0400 (Eastern Daylight Time)","firstMtpDate":"Sun Nov 01 2020 00:00:00 GMT-0400 (Eastern Daylight Time)","overallStatus":"Complete","phase":"Phase X - Launch","stage":"Deploy","health":"Green","completionDate":"Sat Jan 30 2021 00:00:00 GMT-0500 (Eastern Standard Time)","wdEngManager":"","damFullName":"","primingPartner":"0018000000hIF6bAAG","implPartner":"0018000000hIF6bAAG","partner":"Workday Professional Services","currentUpdate":"11/1/2020- Solution set deployed to PROD and SBOX. Will conduct full review and KT this week.","isExecutiveWatch":false,"wellnessData":null},{"deploymentId":"a0rVT00000vqVOfYAM","deploymentName":"Initial Deployment-Launch-LDPFIN, LDPLRN, LDPCCLRN, LDPREC, LDPHCM, etc.","accountId":"0014X00002l5PkJQAU","accountName":"Sarasota County Sheriff's Office","industry":"State &amp; Local Government","region":"US SLED","subRegion":"Local Government ME","subRegionAlt":"US Local Gov ME CB","billingState":"Florida","billingCity":"Sarasota","deploymentStartDate":"Tue Jan 27 2026 00:00:00 GMT-0500 (Eastern Standard Time)","mtpDate":"Mon Dec 14 2026 00:00:00 GMT-0500 (Eastern Standard Time)","firstMtpDate":"","overallStatus":"Active","phase":"Launch Flex","stage":"Architect &amp; Configure","health":"Green","completionDate":"","wdEngManager":"Cortney Wanca","damFullName":"","primingPartner":"0018000000hIF6bAAG","implPartner":"0018000000hIF6bAAG","partner":"Workday Professional Services","currentUpdate":"6/23/2026 - Currently in Unit Testing.","isExecutiveWatch":false,"wellnessData":null},{"deploymentId":"a0r4X00000DOv5LQAT","deploymentName":"Subsequent Deployment - Planning First : Financial Planning","accountId":"0011B00002HkFbJQAV","accountName":"School Employees Retirement System of Ohio","industry":"State &amp; Local Government","region":"US SLED","subRegion":"Local Government LE","subRegionAlt":"US State Gov East","billingState":"Ohio","billingCity":"Columbus","deploymentStartDate":"Fri May 31 2019 00:00:00 GMT-0400 (Eastern Daylight Time)","mtpDate":"Sat Nov 30 2019 00:00:00 GMT-0500 (Eastern Standard Time)","firstMtpDate":"Sat Nov 30 2019 00:00:00 GMT-0500 (Eastern Standard Time)","overallStatus":"Complete","phase":"Planning First","stage":"Post Prod","health":"Green","completionDate":"","wdEngManager":"Sherry Fields","damFullName":"","primingPartner":"0013000000KdrrVAAR","implPartner":"0013000000KdrrVAAR","partner":"Strada U.S. Professional Services, LLC","currentUpdate":"Historical deployment load as part of Adaptive Systems Integration project in FY22. CSM listed as EM due to lack of historical data.","isExecutiveWatch":false,"wellnessData":null},{"deploymentId":"a0r4X00000ETWRsQAP","deploymentName":"Initial Deployment-Your Way: CHCM, TLO, HLP, CCB, USP, CP, LRN, LRNXE, REC, PRA","accountId":"0018000000QbkJyAAJ","accountName":"Seminole Hard Rock Support Services, LLC","industry":"Special Districts","region":"US SLED","subRegion":"Local Government LE","subRegionAlt":"US Local Gov LE CB","billingState":"Florida","billingCity":"Davie","deploymentStartDate":"Fri Oct 18 2024 00:00:00 GMT-0400 (Eastern Daylight Time)","mtpDate":"Wed Mar 11 2026 00:00:00 GMT-0400 (Eastern Daylight Time)","firstMtpDate":"Wed Mar 11 2026 00:00:00 GMT-0400 (Eastern Daylight Time)","overallStatus":"Complete","phase":"Your Way","stage":"Post Prod","health":"Green","completionDate":"Mon Jun 22 2026 00:00:00 GMT-0400 (Eastern Daylight Time)","wdEngManager":"","damFullName":"","primingPartner":"0013000000HRzHgAAL","implPartner":"0013000000HRzHgAAL","partner":"PricewaterhouseCoopers Advisory Services LLC (USA)","currentUpdate":"All properties are live. Hypercare support wrapped up on 4/17. Client in the process of making a decision to extend PwC support in certain areas (Absence, Compensation, Benefits and Integrations).","isExecutiveWatch":false,"wellnessData":null},{"deploymentId":"a0r4X00000Ef3geQAB","deploymentName":"Initial Deployment-Launch-HCM&amp;PAY","accountId":"0011B000028DvElQAK","accountName":"Seneca Gaming Corporation","industry":"Special Districts","region":"US SLED","subRegion":"Local Government LE","subRegionAlt":"US Local Gov LE CB","billingState":"New York","billingCity":"Niagara Falls","deploymentStartDate":"Thu Feb 08 2024 00:00:00 GMT-0500 (Eastern Standard Time)","mtpDate":"Mon Mar 24 2025 00:00:00 GMT-0400 (Eastern Daylight Time)","firstMtpDate":"Mon Mar 24 2025 00:00:00 GMT-0400 (Eastern Daylight Time)","overallStatus":"Complete","phase":"Launch","stage":"Post Prod","health":"Green","completionDate":"Fri Jun 12 2026 00:00:00 GMT-0400 (Eastern Daylight Time)","wdEngManager":"Bill Hansen","damFullName":"","primingPartner":"0018000000hIF6bAAG","implPartner":"0018000000hIF6bAAG","partner":"Workday Professional Services","currentUpdate":"6/15: Project has been signed off by customer.  Scorecard will be closed this week.  Project will be kept open until 7/13 to allow the contigency to be taken","isExecutiveWatch":false,"wellnessData":null},{"deploymentId":"a0r80000005bJVlAAM","deploymentName":"Initial Deployment-LDP:LDPFIN, LDPPRO, LDPINV, LDPPLN, LDPPRJT, LDPEXP","accountId":"0018000001BOdoXAAT","accountName":"Shingle Springs Tribal Gaming Authority, dba: Red Hawk Casino","industry":"Special Districts","region":"US SLED","subRegion":"Local Government ME","subRegionAlt":"US Local Gov ME CB","billingState":"California","billingCity":"Placerville","deploymentStartDate":"Wed Mar 15 2017 00:00:00 GMT-0400 (Eastern Daylight Time)","mtpDate":"Mon Sep 18 2017 00:00:00 GMT-0400 (Eastern Daylight Time)","firstMtpDate":"Mon Sep 18 2017 00:00:00 GMT-0400 (Eastern Daylight Time)","overallStatus":"Complete","phase":"LDP","stage":"Post Prod","health":"Green","completionDate":"Fri Nov 10 2017 00:00:00 GMT-0500 (Eastern Standard Time)","wdEngManager":"","damFullName":"","primingPartner":"0018000000mN4f0AAC","implPartner":"0018000000mN4f0AAC","partner":"International Business Machines Corporation [Global Business Services]","currentUpdate":"Post Production Support","isExecutiveWatch":false,"wellnessData":null},{"deploymentId":"a0r1B00000BdNTQQA3","deploymentName":"Initial Deployment-Your Way:FIN, PRO, PLN","accountId":"0011B00002CW5JWQA1","accountName":"Sourcewell","industry":"State &amp; Local Government","region":"US SLED","subRegion":"Local Government LE","subRegionAlt":"US State Gov East","billingState":"Minnesota","billingCity":"Staples","deploymentStartDate":"Wed Jan 15 2020 00:00:00 GMT-0500 (Eastern Standard Time)","mtpDate":"Thu Dec 17 2020 00:00:00 GMT-0500 (Eastern Standard Time)","firstMtpDate":"Thu Dec 17 2020 00:00:00 GMT-0500 (Eastern Standard Time)","overallStatus":"Complete","phase":"Your Way","stage":"Deploy","health":"Green","completionDate":"","wdEngManager":"","damFullName":"","primingPartner":"0018000001IzqpSAAR","implPartner":"0018000001IzqpSAAR","partner":"Avaap USA, LLC","currentUpdate":"1/01/2021\r\nSystem opened to all users 12/28/2020 Successfully\r\nFirst payroll 12/27-1/9, Check Date 1/15/21\r\nFirst Month End Close- 2/15/2021","isExecutiveWatch":false,"wellnessData":null},{"deploymentId":"a0r1B00000BdNTLQA3","deploymentName":"Initial Deployment-Your Way:HCM, CCB, USP, TT, EXP, REC,LRN","accountId":"0011B00002CW5JWQA1","accountName":"Sourcewell","industry":"State &amp; Local Government","region":"US SLED","subRegion":"Local Government LE","subRegionAlt":"US State Gov East","billingState":"Minnesota","billingCity":"Staples","deploymentStartDate":"Wed Jan 15 2020 00:00:00 GMT-0500 (Eastern Standard Time)","mtpDate":"Thu Dec 17 2020 00:00:00 GMT-0500 (Eastern Standard Time)","firstMtpDate":"Thu Dec 17 2020 00:00:00 GMT-0500 (Eastern Standard Time)","overallStatus":"Complete","phase":"Your Way","stage":"Deploy","health":"Green","completionDate":"Wed Mar 17 2021 00:00:00 GMT-0400 (Eastern Daylight Time)","wdEngManager":"","damFullName":"","primingPartner":"0018000001IzqpSAAR","implPartner":"0018000001IzqpSAAR","partner":"Avaap USA, LLC","currentUpdate":"1/01/2021\r\nSystem opened to all users 12/28/2020 Successfully\r\nFirst payroll 12/27-1/9, Check Date 1/15/21\r\nFirst Month End Close- 2/15/2021","isExecutiveWatch":false,"wellnessData":null},{"deploymentId":"a0rVT00000X64CPYAZ","deploymentName":"Subsequent-Phase X - Adaptive Planning","accountId":"0011B00002CW5JWQA1","accountName":"Sourcewell","industry":"State &amp; Local Government","region":"US SLED","subRegion":"Local Government LE","subRegionAlt":"US State Gov East","billingState":"Minnesota","billingCity":"Staples","deploymentStartDate":"Fri Apr 25 2025 00:00:00 GMT-0400 (Eastern Daylight Time)","mtpDate":"","firstMtpDate":"","overallStatus":"Active","phase":"Your Way","stage":"Plan","health":"Green","completionDate":"","wdEngManager":"","damFullName":"","primingPartner":"0011B00002GOCXVQA5","implPartner":"0011B00002GOCXVQA5","partner":"Okorio, LLC","currentUpdate":"06/22 JH: Providing Support on Publish Plan and Annual merit Increase Troubleshooting.","isExecutiveWatch":false,"wellnessData":null},{"deploymentId":"a0r4X00000DNciKQAT","deploymentName":"Subsequent-Phase X: Learning","accountId":"0011B00002CW5JWQA1","accountName":"Sourcewell","industry":"State &amp; Local Government","region":"US SLED","subRegion":"Local Government LE","subRegionAlt":"US State Gov East","billingState":"Minnesota","billingCity":"Staples","deploymentStartDate":"Fri Jul 23 2021 00:00:00 GMT-0400 (Eastern Daylight Time)","mtpDate":"Mon Nov 15 2021 00:00:00 GMT-0500 (Eastern Standard Time)","firstMtpDate":"Mon Nov 15 2021 00:00:00 GMT-0500 (Eastern Standard Time)","overallStatus":"Complete","phase":"Phase X - Your Way","stage":"Post Prod","health":"Green","completionDate":"Fri Nov 19 2021 00:00:00 GMT-0500 (Eastern Standard Time)","wdEngManager":"","damFullName":"","primingPartner":"0018000001IzqpSAAR","implPartner":"0018000001IzqpSAAR","partner":"Avaap USA, LLC","currentUpdate":"11/15- Go-live day.  Post Production support in progress, no major issues reported.","isExecutiveWatch":false,"wellnessData":null},{"deploymentId":"a0r4X00000Cc66yQAB","deploymentName":"Subsequent-Phase X: Performance Optimization","accountId":"0011B00002CW5JWQA1","accountName":"Sourcewell","industry":"State &amp; Local Government","region":"US SLED","subRegion":"Local Government LE","subRegionAlt":"US State Gov East","billingState":"Minnesota","billingCity":"Staples","deploymentStartDate":"Tue Jan 26 2021 00:00:00 GMT-0500 (Eastern Standard Time)","mtpDate":"Fri Apr 16 2021 00:00:00 GMT-0400 (Eastern Daylight Time)","firstMtpDate":"Fri Apr 16 2021 00:00:00 GMT-0400 (Eastern Daylight Time)","overallStatus":"Complete","phase":"Phase X - Your Way","stage":"Deploy","health":"Green","completionDate":"Thu Jul 15 2021 00:00:00 GMT-0400 (Eastern Daylight Time)","wdEngManager":"","damFullName":"","primingPartner":"0018000001IzqpSAAR","implPartner":"0018000001IzqpSAAR","partner":"Avaap USA, LLC","currentUpdate":"","isExecutiveWatch":false,"wellnessData":null},{"deploymentId":"a0r4X00000DOv7sQAD","deploymentName":"Subsequent Deployment - Planning First : Financial Planning","accountId":"0011B00002CXX68QAH","accountName":"South Central Indiana REMC (SCI REMC)","industry":"Special Districts","region":"US SLED","subRegion":"Local Government ME","subRegionAlt":"US Special Districts NN","billingState":"Indiana","billingCity":"Martinsville","deploymentStartDate":"Thu Sep 18 2008 00:00:00 GMT-0400 (Eastern Daylight Time)","mtpDate":"Wed Mar 18 2009 00:00:00 GMT-0400 (Eastern Daylight Time)","firstMtpDate":"Wed Mar 18 2009 00:00:00 GMT-0400 (Eastern Daylight Time)","overallStatus":"Complete","phase":"Planning First","stage":"Post Prod","health":"Green","completionDate":"","wdEngManager":"Natalie Challier","damFullName":"","primingPartner":"0011B00002CZYgHQAX","implPartner":"0011B00002CZYgHQAX","partner":"PBU Partner Ecosystem","currentUpdate":"Historical deployment load as part of Adaptive Systems Integration project in FY22. CSM listed as EM due to lack of historical data.","isExecutiveWatch":false,"wellnessData":null},{"deploymentId":"a0rVT00000vwFp9YAE","deploymentName":"Initial Deployment-Launch-LDPHCM, LDPCCB, LDPBEN, LDPUSP, LDPLRN, LDPFIN, etc.","accountId":"0018000001ZWCJgAAP","accountName":"Southern Ute Indian Tribe DBA Southern Ute Indian Tribe Shared Services","industry":"Special Districts","region":"US SLED","subRegion":"Local Government ME","subRegionAlt":"US Local Gov ME CB","billingState":"Colorado","billingCity":"Ignacio","deploymentStartDate":"Mon Mar 02 2026 00:00:00 GMT-0500 (Eastern Standard Time)","mtpDate":"Mon Jul 26 2027 00:00:00 GMT-0400 (Eastern Daylight Time)","firstMtpDate":"","overallStatus":"Active","phase":"Launch","stage":"Plan","health":"Green","completionDate":"","wdEngManager":"","damFullName":"","primingPartner":"0014X00002U3CrYQAV","implPartner":"0014X00002U3CrYQAV","partner":"CrossVue, LLC","currentUpdate":"Transformation workshops continue.  Prep for the Foundation tenant build is underway. The June Steering Committee meeting is on June 24. Integration Landscape meetings are complete. Data conversion activities are on track.","isExecutiveWatch":false,"wellnessData":null},{"deploymentId":"a0r4X00000DOv81QAD","deploymentName":"Subsequent Deployment - Planning First : Financial Planning","accountId":"0018000001ZWCJgAAP","accountName":"Southern Ute Indian Tribe DBA Southern Ute Indian Tribe Shared Services","industry":"Special Districts","region":"US SLED","subRegion":"Local Government ME","subRegionAlt":"US Local Gov ME CB","billingState":"Colorado","billingCity":"Ignacio","deploymentStartDate":"Sat Dec 22 2018 00:00:00 GMT-0500 (Eastern Standard Time)","mtpDate":"Sat Jun 22 2019 00:00:00 GMT-0400 (Eastern Daylight Time)","firstMtpDate":"Sat Jun 22 2019 00:00:00 GMT-0400 (Eastern Daylight Time)","overallStatus":"Complete","phase":"Planning First","stage":"Post Prod","health":"Green","completionDate":"","wdEngManager":"Julia Schwartz","damFullName":"","primingPartner":"0011B00002H5sezQAB","implPartner":"0011B00002H5sezQAB","partner":"Kainos Planning","currentUpdate":"Historical deployment load as part of Adaptive Systems Integration project in FY22. CSM listed as EM due to lack of historical data.","isExecutiveWatch":false,"wellnessData":null},{"deploymentId":"a0r4X00000DY1iWQAT","deploymentName":"Initial Deployment-Your Way: CHCM, TLO, HLP, CCB, USP, LRN, FIN, REC","accountId":"0013000000JNNbrAAH","accountName":"Spokane County","industry":"State &amp; Local Government","region":"US SLED","subRegion":"Local Government ME","subRegionAlt":"US Local Gov ME CB","billingState":"Washington","billingCity":"Spokane","deploymentStartDate":"Fri Jul 07 2023 00:00:00 GMT-0400 (Eastern Daylight Time)","mtpDate":"Sun Dec 29 2024 00:00:00 GMT-0500 (Eastern Standard Time)","firstMtpDate":"Sun Dec 29 2024 00:00:00 GMT-0500 (Eastern Standard Time)","overallStatus":"Complete","phase":"Your Way","stage":"Post Prod","health":"Green","completionDate":"Fri Mar 07 2025 00:00:00 GMT-0500 (Eastern Standard Time)","wdEngManager":"","damFullName":"Eric Frame","primingPartner":"0011B00002CZvnrQAD","implPartner":"0011B00002CZvnrQAD","partner":"Guidehouse Inc","currentUpdate":"Post production for Phase I completed, Guidehouse remaining engaged with Spokane through November 2025 for additional phases.  Will address PPS items as needed for Phase I.","isExecutiveWatch":false,"wellnessData":null},{"deploymentId":"a0r4X00000Ef1diQAB","deploymentName":"Subsequent-Phase X: Adaptive Planning","accountId":"0013000000JNNbrAAH","accountName":"Spokane County","industry":"State &amp; Local Government","region":"US SLED","subRegion":"Local Government ME","subRegionAlt":"US Local Gov ME CB","billingState":"Washington","billingCity":"Spokane","deploymentStartDate":"Mon Dec 02 2024 00:00:00 GMT-0500 (Eastern Standard Time)","mtpDate":"Mon Jun 30 2025 00:00:00 GMT-0400 (Eastern Daylight Time)","firstMtpDate":"Mon Jun 30 2025 00:00:00 GMT-0400 (Eastern Daylight Time)","overallStatus":"Complete","phase":"Your Way","stage":"Post Prod","health":"Green","completionDate":"Fri Aug 15 2025 00:00:00 GMT-0400 (Eastern Daylight Time)","wdEngManager":"","damFullName":"Eric Frame","primingPartner":"0011B00002CZvnrQAD","implPartner":"0011B00002CZvnrQAD","partner":"Guidehouse Inc","currentUpdate":"Spokane County has completed the implementation.","isExecutiveWatch":false,"wellnessData":null},{"deploymentId":"a0r4X00000Ef1dnQAB","deploymentName":"Subsequent-Phase X: HCM (Talent, People Analytics, Learning)","accountId":"0013000000JNNbrAAH","accountName":"Spokane County","industry":"State &amp; Local Government","region":"US SLED","subRegion":"Local Government ME","subRegionAlt":"US Local Gov ME CB","billingState":"Washington","billingCity":"Spokane","deploymentStartDate":"Sat Feb 03 2024 00:00:00 GMT-0500 (Eastern Standard Time)","mtpDate":"Sun Dec 21 2025 00:00:00 GMT-0500 (Eastern Standard Time)","firstMtpDate":"Sun Dec 21 2025 00:00:00 GMT-0500 (Eastern Standard Time)","overallStatus":"Active","phase":"Your Way","stage":"Architect &amp; Configure","health":"Green","completionDate":"","wdEngManager":"","damFullName":"","primingPartner":"0011B00002CZvnrQAD","implPartner":"0011B00002CZvnrQAD","partner":"Guidehouse Inc","currentUpdate":"PPLA implementation in progress, aiming for August move to production.","isExecutiveWatch":false,"wellnessData":null},{"deploymentId":"a0r4X00000Ef1dsQAB","deploy</t>
  </si>
  <si>
    <t>a0pVT00000AuoxFYAR</t>
  </si>
  <si>
    <t>10/04 smoke testing signed off  after some CF issues that delayed the proces. all set for go live on Monday 13/04 - preference to go -live on a Monday for the team</t>
  </si>
  <si>
    <t>a0rVT00000k9UCaYAM</t>
  </si>
  <si>
    <t>sfdcRows:default:chunk:12</t>
  </si>
  <si>
    <t>a0pVT00000Af0MWYAZ</t>
  </si>
  <si>
    <t>International Schools Partnership Limited</t>
  </si>
  <si>
    <t>a0rVT0000178pgjYAA</t>
  </si>
  <si>
    <t>a0pVT00000Af0MVYAZ</t>
  </si>
  <si>
    <t>a0pVT00000AjuxyYAB</t>
  </si>
  <si>
    <t>a0rVT000017Iai1YAC</t>
  </si>
  <si>
    <t>Financial Planning - Reporting &amp; Analytics</t>
  </si>
  <si>
    <t>a0pVT00000AjuxxYAB</t>
  </si>
  <si>
    <t>Financial Planning - Other</t>
  </si>
  <si>
    <t>a0pVT00000B2wb3YAB</t>
  </si>
  <si>
    <t>a0rVT000017JtUCYA0</t>
  </si>
  <si>
    <t>Subsequent- Phase X- Strategic Sourcing and Contract Life Management (Evisort)</t>
  </si>
  <si>
    <t>International-Matex Tank Terminals (IMTT)</t>
  </si>
  <si>
    <t>a0pVT00000B2wcfYAB</t>
  </si>
  <si>
    <t>0018000001HpL79AAF</t>
  </si>
  <si>
    <t>a0pVT00000AuDknYAF</t>
  </si>
  <si>
    <t>a0rVT000017Ke6PYAS</t>
  </si>
  <si>
    <t>Intecrowd LLC</t>
  </si>
  <si>
    <t>8/17  - CLM Document management is live. WSS conducting E2E testing.</t>
  </si>
  <si>
    <t>Subsequent-PhaseX-Procurement, Strategic Sourcing ,Evisort.</t>
  </si>
  <si>
    <t>a0pVT00000AuDkoYAF</t>
  </si>
  <si>
    <t>IOOF Service Co Pty Ltd</t>
  </si>
  <si>
    <t>a0pVT00000BbSa7YAF</t>
  </si>
  <si>
    <t>a0rVT000017T3u4YAC</t>
  </si>
  <si>
    <t>a0pVT00000BDSpmYAH</t>
  </si>
  <si>
    <t>0018000001Hq6ltAAB</t>
  </si>
  <si>
    <t>a0rVT000017TNzHYAW</t>
  </si>
  <si>
    <t>Accenture Australia Pty Limited</t>
  </si>
  <si>
    <t>a0pVT00000BDSplYAH</t>
  </si>
  <si>
    <t>a0rVT00000yLuO4YAK</t>
  </si>
  <si>
    <t>Initial - Specialised - Evisort</t>
  </si>
  <si>
    <t>IPX Power USA, LLC</t>
  </si>
  <si>
    <t>a0pVT00000BFelBYAT</t>
  </si>
  <si>
    <t>a0rVT000017YW3BYAW</t>
  </si>
  <si>
    <t>US DI Commercial NN Northwest</t>
  </si>
  <si>
    <t>a0pVT00000B5X0FYAV</t>
  </si>
  <si>
    <t>a0rVT000012T2MXYA0</t>
  </si>
  <si>
    <t>iRhythm Technologies, Inc.</t>
  </si>
  <si>
    <t>a0pVT00000B5X0GYAV</t>
  </si>
  <si>
    <t>a0pVT00000B1RG7YAN</t>
  </si>
  <si>
    <t>a0rVT000017dpULYAY</t>
  </si>
  <si>
    <t>mentName":"Subsequent-Phase X: HCM Suite","accountId":"0013000000JNNbrAAH","accountName":"Spokane County","industry":"State &amp; Local Government","region":"US SLED","subRegion":"Local Government ME","subRegionAlt":"US Local Gov ME CB","billingState":"Washington","billingCity":"Spokane","deploymentStartDate":"Mon Jan 08 2024 00:00:00 GMT-0500 (Eastern Standard Time)","mtpDate":"Sun Dec 21 2025 00:00:00 GMT-0500 (Eastern Standard Time)","firstMtpDate":"Sun Dec 21 2025 00:00:00 GMT-0500 (Eastern Standard Time)","overallStatus":"Active","phase":"Your Way","stage":"Post Prod","health":"Green","completionDate":"","wdEngManager":"","damFullName":"Eric Frame","primingPartner":"0011B00002CZvnrQAD","implPartner":"0011B00002CZvnrQAD","partner":"Guidehouse Inc","currentUpdate":"GH will be seeking Phase II signoff once DRS INT updates are completed and tested, aiming for the end of June.","isExecutiveWatch":false,"wellnessData":null},{"deploymentId":"a0r4X00000CrWhLQAV","deploymentName":"Initial Deployment-Launch-CHCM, TLO, CCB, USP, LRN, MCNF, etc.","accountId":"0018000000Wtz8lAAB","accountName":"St. Johns County, Florida","industry":"State &amp; Local Government","region":"US SLED","subRegion":"Local Government ME","subRegionAlt":"US Local Gov ME CB","billingState":"Florida","billingCity":"St. Augustine","deploymentStartDate":"Mon Oct 14 2024 00:00:00 GMT-0400 (Eastern Daylight Time)","mtpDate":"Fri Dec 12 2025 00:00:00 GMT-0500 (Eastern Standard Time)","firstMtpDate":"","overallStatus":"Complete","phase":"Launch","stage":"Post Prod","health":"Green","completionDate":"Sun Mar 29 2026 00:00:00 GMT-0400 (Eastern Daylight Time)","wdEngManager":"","damFullName":"","primingPartner":"0018000000MWLslAAH","implPartner":"0018000000MWLslAAH","partner":"Collaborative Solutions, LLC","currentUpdate":"3/26/26 -DA checkpoint unable to be closed. There is a system error which does not allow us to update the status as well. Scorecard is unable to be closed without closing the DA checkpoint which is with the DA manager.","isExecutiveWatch":false,"wellnessData":null},{"deploymentId":"a0rVT00000Q8bBVYAZ","deploymentName":"Initial Deployment-Your Way-CHCM, TLO, CCB, LRN, MCNF, etc.","accountId":"0018000000Wtz2FAAR","accountName":"St. Louis County (Precision Task Group Inc.)","industry":"State &amp; Local Government","region":"US SLED","subRegion":"Local Government LE","subRegionAlt":"US Local Gov LE CB","billingState":"Missouri","billingCity":"Clayton","deploymentStartDate":"Fri Feb 14 2025 00:00:00 GMT-0500 (Eastern Standard Time)","mtpDate":"Sun Aug 23 2026 00:00:00 GMT-0400 (Eastern Daylight Time)","firstMtpDate":"","overallStatus":"Active","phase":"Your Way","stage":"Test","health":"Green","completionDate":"","wdEngManager":"","damFullName":"","primingPartner":"0018000000MWLslAAH","implPartner":"0018000000MWLslAAH","partner":"Collaborative Solutions, LLC","currentUpdate":"6.22 Extended timeline continues this week with 2nd cycle of parallel payroll","isExecutiveWatch":false,"wellnessData":null},{"deploymentId":"a0rVT00000vU5EOYA0","deploymentName":"Initial Deployment-Your Way-HLP, LRN, REC, PRA, etc","accountId":"0013000000KHwo5AAD","accountName":"State Compensation Insurance Fund","industry":"State &amp; Local Government","region":"US SLED","subRegion":"Local Government LE","subRegionAlt":"US Local Gov LE NN &amp; States West","billingState":"California","billingCity":"Sacramento","deploymentStartDate":"Fri Jun 19 2026 00:00:00 GMT-0400 (Eastern Daylight Time)","mtpDate":"Sun Jun 27 2027 00:00:00 GMT-0400 (Eastern Daylight Time)","firstMtpDate":"","overallStatus":"Active","phase":"Your Way","stage":"Plan","health":"Green","completionDate":"","wdEngManager":"","damFullName":"","primingPartner":"0018000000rOEhkAAG","implPartner":"0018000000rOEhkAAG","partner":"KPMG LLP [US]","currentUpdate":"Planning is in progress.","isExecutiveWatch":false,"wellnessData":null},{"deploymentId":"a0r4X00000Dc1uaQAB","deploymentName":"Initial Deployment-Your Way: CHCM, LRN, CCTPP, CCB","accountId":"0011B00002H7J3nQAF","accountName":"State of California, Department of Fair Employment Housing (Taborda Solutions, Inc.) (Inactive Account)","industry":"State &amp; Local Government","region":"US SLED","subRegion":"Local Government LE","subRegionAlt":"US Local Gov LE NN &amp; States West","billingState":"California","billingCity":"Elk Grove","deploymentStartDate":"","mtpDate":"","firstMtpDate":"","overallStatus":"Active","phase":"Your Way","stage":"On-Boarding","health":"Green","completionDate":"","wdEngManager":"","damFullName":"","primingPartner":"","implPartner":"","partner":"","currentUpdate":"","isExecutiveWatch":false,"wellnessData":null},{"deploymentId":"a0r4X00000E0nctQAB","deploymentName":"Initial Deployment-Your Way: CHCM, CCTPP, REC, PRA, TT, etc.","accountId":"0011B00002H7J3lQAF","accountName":"State of California, Department of Office of Emergency Services (Precision Task Group, Inc.)","industry":"State &amp; Local Government","region":"US SLED","subRegion":"Local Government LE","subRegionAlt":"US Local Gov LE NN &amp; States West","billingState":"California","billingCity":"Mather","deploymentStartDate":"Tue Mar 21 2023 00:00:00 GMT-0400 (Eastern Daylight Time)","mtpDate":"Thu Jul 11 2024 00:00:00 GMT-0400 (Eastern Daylight Time)","firstMtpDate":"Thu Jul 11 2024 00:00:00 GMT-0400 (Eastern Daylight Time)","overallStatus":"Complete","phase":"Your Way","stage":"Post Prod","health":"Green","completionDate":"Mon Sep 30 2024 00:00:00 GMT-0400 (Eastern Daylight Time)","wdEngManager":"","damFullName":"Sarah Schwartz","primingPartner":"0011B00002CZvnrQAD","implPartner":"0011B00002CZvnrQAD","partner":"Guidehouse Inc","currentUpdate":"Cal OES has successfully moved to production and sent out Go Live announcement.  Post production services in progress as we move through the rest September.  No major issues identified.","isExecutiveWatch":false,"wellnessData":null},{"deploymentId":"a0r4X00000CrWXVQA3","deploymentName":"Subsequent- Phase X: Core HR, Recruiting, Onboarding, Prism","accountId":"0011B00002H7J3lQAF","accountName":"State of California, Department of Office of Emergency Services (Precision Task Group, Inc.)","industry":"State &amp; Local Government","region":"US SLED","subRegion":"Local Government LE","subRegionAlt":"US Local Gov LE NN &amp; States West","billingState":"California","billingCity":"Mather","deploymentStartDate":"Mon Aug 12 2024 00:00:00 GMT-0400 (Eastern Daylight Time)","mtpDate":"Mon Mar 23 2026 00:00:00 GMT-0400 (Eastern Daylight Time)","firstMtpDate":"Mon Mar 23 2026 00:00:00 GMT-0400 (Eastern Daylight Time)","overallStatus":"Active","phase":"Your Way","stage":"Post Prod","health":"Green","completionDate":"","wdEngManager":"","damFullName":"","primingPartner":"0011B00002CZvnrQAD","implPartner":"0011B00002CZvnrQAD","partner":"Guidehouse Inc","currentUpdate":"Guidehouse has a postproduction contract for the next year.  Guidehouse supporting OES as needed.","isExecutiveWatch":false,"wellnessData":null},{"deploymentId":"a0r4X00000D7sOaQAJ","deploymentName":"Initial Deployment-Your Way: CHCM, TLO, CCTPP, LRN, REC, PRJT, TT","accountId":"0018000000WtyzNAAR","accountName":"State of California, Dept of Forestry and Fire (Oakland Consulting Group, Inc)","industry":"State &amp; Local Government","region":"US SLED","subRegion":"Local Government LE","subRegionAlt":"US Local Gov LE NN &amp; States West","billingState":"California","billingCity":"Sacramento","deploymentStartDate":"Tue Sep 19 2023 00:00:00 GMT-0400 (Eastern Daylight Time)","mtpDate":"","firstMtpDate":"","overallStatus":"Active","phase":"Your Way","stage":"Plan","health":"Green","completionDate":"","wdEngManager":"","damFullName":"","primingPartner":"0018000000hIF6bAAG","implPartner":"0018000000hIF6bAAG","partner":"Workday Professional Services","currentUpdate":"Flagging as WD primed for downstream impacts, this is customer led","isExecutiveWatch":false,"wellnessData":null},{"deploymentId":"a0rVT0000111F5kYAE","deploymentName":"Initial Deployment-Your Way-CHCM, TLO, PRA, PRJT, TT, WSP, TC","accountId":"0018000000WtyzSAAR","accountName":"State of California, Dept of Health Care Services (Oakland Consulting Group, Inc.)","industry":"State &amp; Local Government","region":"US SLED","subRegion":"Local Government LE","subRegionAlt":"US Local Gov LE NN &amp; States West","billingState":"California","billingCity":"Sacramento","deploymentStartDate":"Fri Apr 10 2026 00:00:00 GMT-0400 (Eastern Daylight Time)","mtpDate":"","firstMtpDate":"","overallStatus":"Active","phase":"Your Way","stage":"Plan","health":"Green","completionDate":"","wdEngManager":"","damFullName":"","primingPartner":"0018000001UoP1FAAV","implPartner":"0018000000rOEhkAAG","partner":"KPMG LLP [US]","currentUpdate":"The program remains on schedule. Core HCM design sessions are progressing as planned and are expected to conclude by 6/25. Time Tracking and Attendance design sessions are scheduled to begin on 7/6, with additional workstreams starting as well.","isExecutiveWatch":false,"wellnessData":null},{"deploymentId":"a0r4X00000CcT4lQAF","deploymentName":"Initial Deployment-Your Way: CHCM, CCTPP, PRA, TT","accountId":"0018000000mJLj1AAG","accountName":"State of California, Dept of Justice (Oakland Consulting Group, Inc.) &amp; (IronBrick Associates LLC)","industry":"State &amp; Local Government","region":"US SLED","subRegion":"Local Government LE","subRegionAlt":"US Local Gov LE NN &amp; States West","billingState":"California","billingCity":"Sacramento","deploymentStartDate":"Tue Aug 03 2021 00:00:00 GMT-0400 (Eastern Daylight Time)","mtpDate":"Mon Oct 31 2022 00:00:00 GMT-0400 (Eastern Daylight Time)","firstMtpDate":"Mon Oct 31 2022 00:00:00 GMT-0400 (Eastern Daylight Time)","overallStatus":"Complete","phase":"Your Way","stage":"Post Prod","health":"Green","completionDate":"Mon Oct 31 2022 00:00:00 GMT-0400 (Eastern Daylight Time)","wdEngManager":"","damFullName":"","primingPartner":"00130000008MSknAAG","implPartner":"00130000008MSknAAG","partner":"Accenture LLP","currentUpdate":"DOJ moved to production on 10/31/22.  They are in their second week of go live.","isExecutiveWatch":false,"wellnessData":null},{"deploymentId":"a0rVT00000xt1hXYAQ","deploymentName":"Intial Deployment-Your Way-LRNXE, CCLRN, REC, SRC, PRO, XTND, TC, WSP,etc","accountId":"0018000000M4hdmAAB","accountName":"State of Delaware","industry":"State &amp; Local Government","region":"US SLED","subRegion":"Local Government LE","subRegionAlt":"US State Gov East","billingState":"Delaware","billingCity":"Dover","deploymentStartDate":"","mtpDate":"","firstMtpDate":"","overallStatus":"Active","phase":"Your Way","stage":"On-Boarding","health":"Green","completionDate":"","wdEngManager":"","damFullName":"","primingPartner":"","implPartner":"","partner":"","currentUpdate":"","isExecutiveWatch":false,"wellnessData":null},{"deploymentId":"a0r4X00000E14IgQAJ","deploymentName":"Initial Deployment-Your Way: CHCM, USP, LRN, REC, GM, PRJT, PRO, INV, TLO, etc.","accountId":"0018000000Wtz8rAAB","accountName":"State of Georgia","industry":"State &amp; Local Government","region":"US SLED","subRegion":"Local Government LE","subRegionAlt":"US State Gov East","billingState":"Georgia","billingCity":"Atlanta","deploymentStartDate":"Mon Dec 11 2023 00:00:00 GMT-0500 (Eastern Standard Time)","mtpDate":"Sun Jun 21 2026 00:00:00 GMT-0400 (Eastern Daylight Time)","firstMtpDate":"","overallStatus":"Active","phase":"Your Way","stage":"Deploy","health":"Yellow","completionDate":"","wdEngManager":"","damFullName":"Karen Gendron","primingPartner":"0018000000nlqGOAAY","implPartner":"0018000000nlqGOAAY","partner":"Deloitte Consulting LLP (Deloitte US)","currentUpdate":"Key risk areas for non GDOT July 2026 go-live are Benefits and Grants. Cutover plan in final stages for approval.   Sustainment meetings on going.  Gold tenant build ongoing and moving towards MTP","isExecutiveWatch":true,"wellnessData":{"cxLeaderName":"Andrew Hamilton","executiveSummary":"12/29/2025 update remains current. State is humming along toward go-live.\n\nGDOT has their timeline from Deloitte and they are working through resource planning, etc. Contract with Deloitte for that work is not yet signed.\n\n1/15/26 - Meeting with Carl, Sheri, Lynn + GDOT Commissioner, SAO Hines, DOAS Commissioner Sullivan for update on status of the now separate GDOT project."}},{"deploymentId":"a0rVT00000KrE69YAF","deploymentName":"Initial Deployment-Launch-CHCM, CCB, CCTPP, REC, FIN, etc","accountId":"0014X00002iICRYQA4","accountName":"State of Hawaii Dept of Law Enforcement","industry":"State &amp; Local Government","region":"US SLED","subRegion":"Local Government LE","subRegionAlt":"US Local Gov LE NN &amp; States West","billingState":"Hawaii","billingCity":"Honolulu","deploymentStartDate":"Mon Jan 06 2025 00:00:00 GMT-0500 (Eastern Standard Time)","mtpDate":"Sun Nov 09 2025 00:00:00 GMT-0500 (Eastern Standard Time)","firstMtpDate":"Sun Nov 09 2025 00:00:00 GMT-0500 (Eastern Standard Time)","overallStatus":"Complete","phase":"Launch","stage":"Post Prod","health":"Green","completionDate":"Sat Dec 20 2025 00:00:00 GMT-0500 (Eastern Standard Time)","wdEngManager":"","damFullName":"","primingPartner":"0018000000hIF6bAAG","implPartner":"0018000000hIF6bAAG","partner":"Workday Professional Services","currentUpdate":"Customer is in post production support.  Extended post production to 12/20 to support their data cleanup efforts","isExecutiveWatch":false,"wellnessData":null},{"deploymentId":"a0rVT00001351R3YAI","deploymentName":"Initial Deployment-Your Way-CHCM, TLO, HLP,etc","accountId":"001VT00000gsQQNYA2","accountName":"State of Illinois - Office of State Pre-Trial Services (OSPS) - (IronBrick Associates LLC)","industry":"State &amp; Local Government","region":"US SLED","subRegion":"Local Government LE","subRegionAlt":"US State Gov East","billingState":"Illinois","billingCity":"Springfield","deploymentStartDate":"","mtpDate":"","firstMtpDate":"","overallStatus":"Active","phase":"Your Way","stage":"Plan","health":"Green","completionDate":"","wdEngManager":"","damFullName":"","primingPartner":"0011B00002CZvnrQAD","implPartner":"0011B00002CZvnrQAD","partner":"Guidehouse Inc","currentUpdate":"Plan Stage starting July 1.  Currently wrapping up GH Basecamp activities. Initial tenants created.","isExecutiveWatch":false,"wellnessData":null},{"deploymentId":"a0rVT00000quzT2YAI","deploymentName":"Initial Deployment-Your Way-CCB, GPC, LRN, CCLRN, REC, CE, CHCM, etc","accountId":"0018000000rQjN9AAK","accountName":"State of Illinois, Supreme Court (Iron Brick Associates LLC)","industry":"State &amp; Local Government","region":"US SLED","subRegion":"Local Government LE","subRegionAlt":"US State Gov East","billingState":"Illinois","billingCity":"Springfield","deploymentStartDate":"Mon Jun 01 2026 00:00:00 GMT-0400 (Eastern Daylight Time)","mtpDate":"Fri Jan 01 2027 00:00:00 GMT-0500 (Eastern Standard Time)","firstMtpDate":"","overallStatus":"Active","phase":"Launch","stage":"Plan","health":"Green","completionDate":"","wdEngManager":"","damFullName":"","primingPartner":"0013000000KdrrVAAR","implPartner":"0013000000KdrrVAAR","partner":"Strada U.S. Professional Services, LLC","currentUpdate":"Project planning activities are progressing on schedule. Workstream meetings are being coordinated, and requirements discussions are underway. No significant risks or issues have been identified at this time","isExecutiveWatch":false,"wellnessData":null},{"deploymentId":"a0r4X00000Dcpo1QAB","deploymentName":"Initial Deployment-Your Way:HCM, CCB, USP, TT, LRN, MCNF, REC","accountId":"0018000000njtV8AAI","accountName":"State of Maine","industry":"State &amp; Local Government","region":"US SLED","subRegion":"Local Government LE","subRegionAlt":"US State Gov East","billingState":"Maine","billingCity":"Augusta","deploymentStartDate":"Tue Sep 27 2022 00:00:00 GMT-0400 (Eastern Daylight Time)","mtpDate":"Sun Aug 31 2025 00:00:00 GMT-0400 (Eastern Daylight Time)","firstMtpDate":"Sun Aug 31 2025 00:00:00 GMT-0400 (Eastern Daylight Time)","overallStatus":"Complete","phase":"Your Way","stage":"Post Prod","health":"Green","completionDate":"Sun Nov 30 2025 00:00:00 GMT-0500 (Eastern Standard Time)","wdEngManager":"","damFullName":"","primingPartner":"00130000008MSknAAG","implPartner":"00130000008MSknAAG","partner":"Accenture LLP","currentUpdate":"Scorecard re-open request- 3116730","isExecutiveWatch":false,"wellnessData":null},{"deploymentId":"a0r800000046X2uAAE","deploymentName":"Initial Deployment: HCM, CCHCM, CCB, USP, CCTPP, CCWP, TT","accountId":"0018000000Wtz5aAAB","accountName":"State of Maryland (Oakland Consulting Group, Inc.) &amp; (WD)","industry":"State &amp; Local Government","region":"US SLED","subRegion":"Local Government LE","subRegionAlt":"US State Gov East","billingState":"Maryland","billingCity":"Reisterstown","deploymentStartDate":"Mon Jan 13 2014 00:00:00 GMT-0500 (Eastern Standard Time)","mtpDate":"Mon Nov 17 2014 00:00:00 GMT-0500 (Eastern Standard Time)","firstMtpDate":"Mon Nov 17 2014 00:00:00 GMT-0500 (Eastern Standard Time)","overallStatus":"Complete","phase":"Your Way","stage":"Post Prod","health":"Green","completionDate":"Fri Nov 10 2017 00:00:00 GMT-0500 (Eastern Standard Time)","wdEngManager":"","damFullName":"","primingPartner":"0018000000hIF6bAAG","implPartner":"0018000000hIF6bAAG","partner":"Workday Professional Services","currentUpdate":"Heatmap update 881529","isExecutiveWatch":true,"wellnessData":{"cxLeaderName":"Christopher Curtis","executiveSummary":"Wellness Plan moved to correct customer deployment scorecard."}},{"deploymentId":"a0r800000048s1FAAQ","deploymentName":"Phase 2 TT/Absence/PY Gross","accountId":"0018000000Wtz5aAAB","accountName":"State of Maryland (Oakland Consulting Group, Inc.) &amp; (WD)","industry":"State &amp; Local Government","region":"US SLED","subRegion":"Local Government LE","subRegionAlt":"US State Gov East","billingState":"Maryland","billingCity":"Reisterstown","deploymentStartDate":"Mon Mar 09 2015 00:00:00 GMT-0400 (Eastern Daylight Time)","mtpDate":"Tue Jun 07 2016 00:00:00 GMT-0400 (Eastern Daylight Time)","firstMtpDate":"Tue Jun 07 2016 00:00:00 GMT-0400 (Eastern Daylight Time)","overallStatus":"Complete","phase":"Phase X","stage":"Post Prod","health":"Green","completionDate":"Sun Apr 30 2017 00:00:00 GMT-0400 (Eastern Daylight Time)","wdEngManager":"","damFullName":"","primingPartner":"0018000000hIF6bAAG","implPartner":"0018000000hIF6bAAG","partner":"Workday Professional Services","currentUpdate":"4-20-17: FM1/FM2 was moved into PROD last week; monitoring is taking place this week.","isExecutiveWatch":true,"wellnessData":{"cxLeaderName":"Christopher Curtis","executiveSummary":"Wellness Plan moved to correct customer deployment scorecard."}},{"deploymentId":"a0r800000048FllAAE","deploymentName":"Phase 3 Benefits/HCM","accountId":"0018000000Wtz5aAAB","accountName":"State of Maryland (Oakland Consulting Group, Inc.) &amp; (WD)","industry":"State &amp; Local Government","region":"US SLED","subRegion":"Local Government LE","subRegionAlt":"US State Gov East","billingState":"Maryland","billingCity":"Reisterstown","deploymentStartDate":"Mon Jan 05 2015 00:00:00 GMT-0500 (Eastern Standard Time)","mtpDate":"Mon Sep 11 2017 00:00:00 GMT-0400 (Eastern Daylight Time)","firstMtpDate":"Mon Sep 11 2017 00:00:00 GMT-0400 (Eastern Daylight Time)","overallStatus":"Complete","phase":"Phase X","stage":"Post Prod","health":"Green","completionDate":"Sun Dec 10 2017 00:00:00 GMT-0500 (Eastern Standard Time)","wdEngManager":"","damFullName":"","primingPartner":"0018000000hIF6bAAG","implPartner":"0018000000hIF6bAAG","partner":"Workday Professional Services","currentUpdate":"9-14-17: SoMD went live with Benefits for their initially population of 500 EEs in DoIT and DBM.  Post-production support period of 3 weeks began on 9/11/17 per the request by the State.","isExecutiveWatch":true,"wellnessData":{"cxLeaderName":"Christopher Curtis","executiveSummary":"Wellness Plan moved to correct customer deployment scorecard."}},{"deploymentId":"a0r4X00000CrVjpQAF","deploymentName":"Subsequent- Phase X- Payroll Implementation","accountId":"0018000000Wtz5aAAB","accountName":"State of Maryland (Oakland Consulting Group, Inc.) &amp; (WD)","industry":"State &amp; Local Government","region":"US SLED","subRegion":"Local Government LE","subRegionAlt":"US State Gov East","billingState":"Maryland","billingCity":"Reisterstown","deploymentStartDate":"Wed Jul 24 2024 00:00:00 GMT-0400 (Eastern Daylight Time)","mtpDate":"Tue Dec 29 2026 00:00:00 GMT-0500 (Eastern Standard Time)","firstMtpDate":"","overallStatus":"Active","phase":"Your Way","stage":"Test","health":"Green","completionDate":"","wdEngManager":"Dan Terrell","damFullName":"","primingPartner":"0018000001UoP1FAAV","implPartner":"0018000001UoP1FAAV","partner":"Oakland Consulting Group, Inc.","currentUpdate":"6/11 &gt; Project on track; E2E testing wrapping up; agency / vendor engagements going well and on track; working through FMIS issues and prepping for payroll parallel","isExecutiveWatch":true,"wellnessData":{"cxLeaderName":"Christopher Curtis","executiveSummary":"Wellness Plan moved to correct customer deployment scorecard."}},{"deploymentId":"a0r4X00000CrUDxQAN","deploymentName":"Subsequent-Phase X-Learning, LRNXE and CCLRN","accountId":"0018000000Wtz5aAAB","accountName":"State of Maryland (Oakland Consulting Group, Inc.) &amp; (WD)","industry":"State &amp; Local Government","region":"US SLED","subRegion":"Local Government LE","subRegionAlt":"US State Gov East","billingState":"Maryland","billingCity":"Reisterstown","deploymentStartDate":"Wed May 29 2024 00:00:00 GMT-0400 (Eastern Daylight Time)","mtpDate":"Fri Oct 11 2024 00:00:00 GMT-0400 (Eastern Daylight Time)","firstMtpDate":"Fri Oct 11 2024 00:00:00 GMT-0400 (Eastern Daylight Time)","overallStatus":"Complete","phase":"Your Way","stage":"Post Prod","health":"Green","completionDate":"Fri Oct 11 2024 00:00:00 GMT-0400 (Eastern Daylight Time)","wdEngManager":"","damFullName":"Michael Biagini","primingPartner":"0018000001UoP1FAAV","implPartner":"0018000001UoP1FAAV","partner":"Oakland Consulting Group, Inc.","currentUpdate":"MD Learning is now Live in production.  We are now in post production mode.  Catchup transactions will be loaded in production on Sunday, October 13th 2024.","isExecutiveWatch":true,"wellnessData":{"cxLeaderName":"Christopher Curtis","executiveSummary":"Wellness Plan moved to correct customer deployment scorecard."}},{"deploymentId":"a0r4X00000DzqXLQAZ","deploymentName":"Subsequent-Phase X-Prism Analytics","accountId":"0018000000Wtz5aAAB","accountName":"State of Maryland (Oakland Consulting Group, Inc.) &amp; (WD)","industry":"State &amp; Local Government","region":"US SLED","subRegion":"Local Government LE","subRegionAlt":"US State Gov East","billingState":"Maryland","billingCity":"Reisterstown","deploymentStartDate":"Wed Dec 07 2022 00:00:00 GMT-0500 (Eastern Standard Time)","mtpDate":"Fri Mar 31 2023 00:00:00 GMT-0400 (Eastern Daylight Time)","firstMtpDate":"Fri Mar 31 2023 00:00:00 GMT-0400 (Eastern Daylight Time)","overallStatus":"Complete","phase":"Phase X - Your Way","stage":"Post Prod","health":"Green","completionDate":"Tue Apr 18 2023 00:00:00 GMT-0400 (Eastern Daylight Time)","wdEngManager":"","damFullName":"","primingPartner":"0018000000hIF6bAAG","implPartner":"0018000000hIF6bAAG","partner":"Workday Professional Services","currentUpdate":"4/17/23 - Completed DA, KT, and Sandbox Load.  Deployed to production on 3/31/23.  Consultant confirmed the project is complete and ready to offboard.  Customer happy.\r\nComplete 2062729","isExecutiveWatch":true,"wellnessData":{"cxLeaderName":"Christopher Curtis","executiveSummary":"Wellness Plan moved to correct customer deployment scorecard."}},{"deploymentId":"a0rVT000011GUibYAG","deploymentName":"Initial Deployment-Your Way-FIN, PLNF, CHCM, TLO, USP, LRN, etc.","accountId":"0014X00002l5OnuQAE","accountName":"State of Missouri, LAGERS (Local Government Employees Retirement System)","industry":"State &amp; Local Government","region":"US SLED","subRegion":"Local Government LE","subRegionAlt":"US State Gov East","billingState":"Missouri","billingCity":"Jefferson City","deploymentStartDate":"","mtpDate":"","firstMtpDate":"","overallStatus":"Active","phase":"Your Way","stage":"On-Boarding","health":"Green","completionDate":"","wdEngManager":"","damFullName":"","primingPartner":"","implPartner":"","partner":"","currentUpdate":"","isExecutiveWatch":false,"wellnessData":null},{"deploymentId":"a0r80000002skR4AAI","deploymentName":"HCM &amp; Benefits - Phase 1","accountId":"0018000000pM7UxAAK","accountName":"State of Nebraska (Precision Task Group, Inc.)","industry":"State &amp; Local Government","region":"US SLED","subRegion":"Local Government LE","subRegionAlt":"US State Gov East","billingState":"Nebraska","billingCity":"Lincoln","deploymentStartDate":"Mon Sep 27 2010 00:00:00 GMT-0400 (Eastern Daylight Time)","mtpDate":"Fri Dec 30 2011 00:00:00 GMT-0500 (Eastern Standard Time)","firstMtpDate":"Fri Dec 30 2011 00:00:00 GMT-0500 (Eastern Standard Time)","overallStatus":"Complete","phase":"Your Way","stage":"Post Prod","health":"Green","completionDate":"Sun Mar 03 2013 00:00:00 GMT-0500 (Eastern Standard Time)","wdEngManager":"Dave Krueger","damFullName":"","primingPartner":"0018000000hIF6bAAG","implPartner":"0018000000hIF6bAAG","partner":"Workday Professional Services","currentUpdate":"Received confirmation from Dovi to close this deployment. Any work on the outstanding NEOgov integration will need to be under a new SOW. Setting completion date to 3/3/13 as that is when we move the CSoD integration to Production.","isExecutiveWatch":false,"wellnessData":null},{"deploymentId":"a0r4X00000DywgCQAR","deploymentName":"Subsequent- Phase X-Learning, Recruitment, Talent","accountId":"0018000000pM7UxAAK","accountName":"State of Nebraska (Precision Task Group, Inc.)","industry":"State &amp; Local Government","region":"US SLED","subRegion":"Local Government LE","subRegionAlt":"US State Gov East","billingState":"Nebraska","billingCity":"Lincoln","deploymentStartDate":"Thu Nov 03 2022 00:00:00 GMT-0400 (Eastern Daylight Time)","mtpDate":"Thu Sep 28 2023 00:00:00 GMT-0400 (Eastern Daylight Time)","firstMtpDate":"Thu Sep 28 2023 00:00:00 GMT-0400 (Eastern Daylight Time)","overallStatus":"Complete","phase":"Phase X - Your Way","stage":"Post Prod","health":"Green","completionDate":"Mon Nov 27 2023 00:00:00 GMT-0500 (Eastern Standard Time)","wdEngManager":"","damFullName":"","primingPartner":"0018000000hIF6bAAG","implPartner":"0018000000hIF6bAAG","partner":"Workday Professional Services","currentUpdate":"Project is completed.","isExecutiveWatch":false,"wellnessData":null},{"deploymentId":"a0rVT00000uL4UzYAK","deploymentName":"Subsequent-Phase X-Your Way: Payroll and Time Tracking","accountId":"0018000000pM7UxAAK","accountName":"State of Nebraska (Precision Task Group, Inc.)","industry":"State &amp; Local Government","region":"US SLED","subRegion":"Local Government LE","subRegionAlt":"US State Gov East","billingState":"Nebraska","billingCity":"Lincoln","deploymentStartDate":"Tue Jan 13 2026 00:00:00 GMT-0500 (Eastern Standard Time)","mtpDate":"Sat Dec 05 2026 00:00:00 GMT-0500 (Eastern Standard Time)","firstMtpDate":"","overallStatus":"Active","phase":"Your Way","stage":"Architect &amp; Configure","health":"Green","completionDate":"","wdEngManager":"","damFullName":"","primingPartner":"0018000000nlqGOAAY","implPartner":"0018000000nlqGOAAY","partner":"Deloitte Consulting LLP (Deloitte US)","currentUpdate":"Adv Scheduling design was delayed, team working to accelerate config for Testing. Data Conversion fallouts being addressed. Report development trailing later than planned, but should catchup during E2E.","isExecutiveWatch":false,"wellnessData":null},{"deploymentId":"a0rVT00000pKxBfYAK","deploymentName":"Initial Deployment-Your Way-CHCM, CCB, GPC, PLNF","accountId":"001VT00000YwwPsYAJ","accountName":"State of New York Office of Addiction Services and Supports","industry":"State &amp; Local Government","region":"US SLED","subRegion":"Local Government LE","subRegionAlt":"US State Gov East","billingState":"New York","billingCity":"Albany","deploymentStartDate":"","mtpDate":"","firstMtpDate":"","overallStatus":"Active","phase":"Your Way","stage":"On-Boarding","health":"Green","completionDate":"","wdEngManager":"","damFullName":"","primingPartner":"","implPartner":"","partner":"","currentUpdate":"","isExecutiveWatch":false,"wellnessData":null},{"deploymentId":"a0rVT00000tv0MzYAI","deploymentName":"Initial Deployment-Your Way-CHCM, TLO, CCB, LRN, GPC, etc.","accountId":"0014X00002MDFhCQAX","accountName":"State of New York Unified Court System (Meridian Government Services LLC)","industry":"State &amp; Local Government","region":"US SLED","subRegion":"Local Government LE","subRegionAlt":"US State Gov East","billingState":"New York","billingCity":"New York","deploymentStartDate":"Tue Feb 24 2026 00:00:00 GMT-0500 (Eastern Standard Time)","mtpDate":"","firstMtpDate":"","overallStatus":"Active","phase":"Your Way","stage":"Plan","health":"Green","completionDate":"","wdEngManager":"","damFullName":"","primingPartner":"0011B00002H5sfEQAR","implPartner":"0011B00002H5sfEQAR","partner":"Meridian Partners, LLC","currentUpdate":"5/22/26 - The project is wrapping up the Plan stage, Charter, Tenant Mgmt. Plan  and Project plan are under review with the client to finalize for sign off.","isExecutiveWatch":false,"wellnessData":null},{"deploymentId":"a0rVT00000bbLcrYAE","deploymentName":"Initial Deployment-Your Way-CHCM, TLO, HLP, EMPVCE, CCB, etc.","accountId":"0018000000Wtz6nAAB","accountName":"State of New York, New York Power Authority","industry":"Special Districts","region":"US SLED","subRegion":"Local Government LE","subRegionAlt":"US State Gov East","billingState":"New York","billingCity":"White Plains","deploymentStartDate":"Tue Jun 10 2025 00:00:00 GMT-0400 (Eastern Daylight Time)","mtpDate":"Mon May 03 2027 00:00:00 GMT-0400 (Eastern Daylight Time)","firstMtpDate":"","overallStatus":"Active","phase":"Your Way","stage":"Test","health":"Green","completionDate":"","wdEngManager":"","damFullName":"","primingPartner":"0018000000nlqGOAAY","implPartner":"0018000000nlqGOAAY","partner":"Deloitte Consulting LLP (Deloitte US)","currentUpdate":"Due to delays in integrated technology (Finance and Supply Chain Systems), a Steering Committee decision was reached to delay go-live until May 2027. Replanning underway.","isExecutiveWatch":false,"wellnessData":null},{"deploymentId":"a0rVT000011r44PYAQ","deploymentName":"Initial Deployment-Your Way-TT, SC, SCLO, XTND, WSP, CHCM, GPC, REC, PLNF","accountId":"0018000000Wtz7LAAR","accountName":"State of New York, Office for People With Developmental Disabilities (Meridian Government Services LLC )","industry":"State &amp; Local Government","region":"US SLED","subRegion":"Local Government LE","subRegionAlt":"US State Gov East","billingState":"New York","billingCity":"Albany","deploymentStartDate":"Tue May 05 2026 00:00:00 GMT-0400 (Eastern Daylight Time)","mtpDate":"","firstMtpDate":"","overallStatus":"Active","phase":"Your Way","stage":"Plan","health":"Green","completionDate":"","wdEngManager":"","damFullName":"","primingPartner":"0018000000vTnDgAAK","implPartner":"0018000000vTnDgAAK","partner":"Precision Task Group Inc.","currentUpdate":"Received sign off on the project charter.  Starting the A&amp;C Phase on 6/22.  On track - Green","isExecutiveWatch":false,"wellnessData":null},{"deploymentId":"a0rVT00000Np8uMYAR","deploymentName":"Initial Deployment-Your Way-CHCM, CCTPP, REC, CE, MSG, PRA, etc.","accountId":"0018000000Wtz92AAB","accountName":"State of North Carolina","industry":"State &amp; Local Government","region":"US SLED","subRegion":"Local Government LE","subRegionAlt":"US State Gov East","billingState":"North Carolina","billingCity":"Raleigh","deploymentStartDate":"Thu Jan 09 2025 00:00:00 GMT-0500 (Eastern Standard Time)","mtpDate":"Wed Oct 01 2025 00:00:00 GMT-0400 (Eastern Daylight Time)","firstMtpDate":"Wed Oct 01 2025 00:00:00 GMT-0400 (Eastern Daylight Time)","overallStatus":"Complete","phase":"Your Way","stage":"Post Prod","health":"Green","completionDate":"Fri Oct 31 2025 00:00:00 GMT-0400 (Eastern Daylight Time)","wdEngManager":"","damFullName":"","primingPartner":"0018000000nlqGOAAY","implPartner":"0018000000nlqGOAAY","partner":"Deloitte Consulting LLP (Deloitte US)","currentUpdate":"10/15- The production environment is running successfully and all users now have access.  We are working on system stabilization.","isExecutiveWatch":false,"wellnessData":null},{"deploymentId":"a0r4X00000Bnt5xQAB","deploymentName":"Initial Deployment-Your Way:HCM, CCB, USP, LRN, REC, PRA, TT","accountId":"0018000000Wtz93AAB","accountName":"State of Oklahoma by and through the Office of Management and Enterprise Services","industry":"State &amp; Local Government","region":"US SLED","subRegion":"Local Government LE","subRegionAlt":"US Local Gov LE NN &amp; States West","billingState":"Oklahoma","billingCity":"Oklahoma City","deploymentStartDate":"Mon Aug 03 2020 00:00:00 GMT-0400 (Eastern Daylight Time)","mtpDate":"Sun Aug 07 2022 00:00:00 GMT-0400 (Eastern Daylight Time)","firstMtpDate":"Sun Aug 07 2022 00:00:00 GMT-0400 (Eastern Daylight Time)","overallStatus":"Complete","phase":"Your Way","stage":"Post Prod","health":"Green","completionDate":"Fri Sep 30 2022 00:00:00 GMT-0400 (Eastern Daylight Time)","wdEngManager":"","damFullName":"","primingPartner":"0018000000hIF6bAAG","implPartner":"0018000000hIF6bAAG","partner":"Workday Professional Services","currentUpdate":"State is live and production support on this SOW ended 9/30/22","isExecutiveWatch":false,"wellnessData":null},{"deploymentId":"a0r4X00000D7s9LQAR","deploymentName":"Subsequent-Phase X: VNDLY LDPEWM, LDPSTOW - SVCS","accountId":"0018000000Wtz93AAB","accountName":"State of Oklahoma by and through the Office of Management and Enterprise Services","industry":"State &amp; Local Government","region":"US SLED","subRegion":"Local Government LE","subRegionAlt":"US Local Gov LE NN &amp; States West","billingState":"Oklahoma","billingCity":"Oklahoma City","deploymentStartDate":"Mon Jul 03 2023 00:00:00 GMT-0400 (Eastern Daylight Time)","mtpDate":"Mon Feb 26 2024 00:00:00 GMT-0500 (Eastern Standard Time)","firstMtpDate":"Mon Feb 26 2024 00:00:00 GMT-0500 (Eastern Standard Time)","overallStatus":"Complete","phase":"Your Way","stage":"Post Prod","health":"Green","completionDate":"Fri May 31 2024 00:00:00 GMT-0400 (Eastern Daylight Time)","wdEngManager":"","damFullName":"","primingPartner":"0018000000hIF6bAAG","implPartner":"0018000000hIF6bAAG","partner":"Workday Professional Services","currentUpdate":"Impl continues to support hypercare items but is starting to route client to submit cases to Support for standard items. Client identified invoicing changes that need to be applied, FC team working on those updates &amp; testing.","isExecutiveWatch":false,"wellnessData":null},{"deploymentId":"a0r80000005hClGAAU","deploymentName":"Initial Deployment-LE:HCM, CCTPP, REC, PLN","accountId":"0018000000kKq2DAAS","accountName":"State of Oregon","industry":"State &amp; Local Government","region":"US SLED","subRegion":"Local Government LE","subRegionAlt":"US Local Gov LE NN &amp; States West","billingState":"Oregon","billingCity":"Salem","deploymentStartDate":"Thu Jun 29 2017 00:00:00 GMT-0400 (Eastern Daylight Time)","mtpDate":"Sun Jan 27 2019 00:00:00 GMT-0500 (Eastern Standard Time)","firstMtpDate":"Sun Jan 27 2019 00:00:00 GMT-0500 (Eastern Standard Time)","overallStatus":"Complete","phase":"Your Way","stage":"Deploy","health":"Green","completionDate":"Sat Apr 27 2019 00:00:00 GMT-0400 (Eastern Daylight Time)","wdEngManager":"","damFullName":"","primingPartner":"0018000000mN4f0AAC","implPartner":"0018000000mN4f0AAC","partner":"International Business Machines Corporation [Global Business Services]","currentUpdate":"4/23 - No Change.\r\nFull go-live completed 2/19. Client workload is beginning to normalize.  Payroll integration management continues to tax the team - the State has added 2 resources and are now getting caught up.","isExecutiveWatch":false,"wellnessData":null},{"deploymentId":"a0r4X00000Ca9HvQAJ","deploymentName":"Subsequent - Phase X: LMS","accountId":"0018000000kKq2DAAS","accountName":"State of Oregon","industry":"State &amp; Local Government","region":"US SLED","subRegion":"Local Government LE","subRegionAlt":"US Local Gov LE NN &amp; States West","billingState":"Oregon","billingCity":"Salem","deploymentStartDate":"Mon Sep 28 2020 00:00:00 GMT-0400 (Eastern Daylight Time)","mtpDate":"Sat May 22 2021 00:00:00 GMT-0400 (Eastern Daylight Time)","firstMtpDate":"Sat May 22 2021 00:00:00 GMT-0400 (Eastern Daylight Time)","overallStatus":"Complete","phase":"Phase X - Your Way","stage":"Deploy","health":"Green","completionDate":"Fri Aug 20 2021 00:00:00 GMT-0400 (Eastern Daylight Time)","wdEngManager":"","damFullName":"Sarah Schwartz","primingPartner":"0018000000mN4f0AAC","implPartner":"0018000000mN4f0AAC","partner":"International Business Machines Corporation [Global Business Services]","currentUpdate":"Main go-live occurred on 6/16. It was a midweek go-live which did have its challenges, but combined project team is managing successfully.","isExecutiveWatch":false,"wellnessData":null},{"deploymentId":"a0r4X00000CbetiQAB","deploymentName":"Subsequent-Phase X: Payroll and TT","accountId":"0018000000kKq2DAAS","accountName":"State of Oregon","industry":"State &amp; Local Government","region":"US SLED","subRegion":"Local Government LE","subRegionAlt":"US Local Gov LE NN &amp; States West","billingState":"Oregon","billingCity":"Salem","deploymentStartDate":"Tue Dec 29 2020 00:00:00 GMT-0500 (Eastern Standard Time)","mtpDate":"Thu Dec 01 2022 00:00:00 GMT-0500 (Eastern Standard Time)","firstMtpDate":"Thu Dec 01 2022 00:00:00 GMT-0500 (Eastern Standard Time)","overallStatus":"Complete","phase":"Phase X - Your Way","stage":"Post Prod","health":"Green","completionDate":"Fri Mar 31 2023 00:00:00 GMT-0400 (Eastern Daylight Time)","wdEngManager":"","damFullName":"","primingPartner":"0018000000mN4f0AAC","implPartner":"0018000000mN4f0AAC","partner":"International Business Machines Corporation [Global Business Services]","currentUpdate":"Project is complete.","isExecutiveWatch":false,"wellnessData":null},{"deploymentId":"a0r4X00000DObJ1QAL","deploymentName":"Subsequent-Phase X: Workday Extend","accountId":"0018000000kKq2DAAS","accountName":"State of Oregon","industry":"State &amp; Local Government","region":"US SLED","subRegion":"Local Government LE","subRegionAlt":"US Local Gov LE NN &amp; States West","billingState":"Oregon","billingCity":"Salem","deploymentStartDate":"Mon Sep 20 2021 00:00:00 GMT-0400 (Eastern Daylight Time)","mtpDate":"Mon Oct 11 2021 00:00:00 GMT-0400 (Eastern Daylight Time)","firstMtpDate":"Mon Oct 11 2021 00:00:00 GMT-0400 (Eastern Daylight Time)","overallStatus":"Complete","phase":"Phase X - Your Way","stage":"Post Prod","health":"Green","completionDate":"Fri Dec 10 2021 00:00:00 GMT-0500 (Eastern Standard Time)","wdEngManager":"","damFullName":"","primingPartner":"0018000000mN4f0AAC","implPartner":"0018000000mN4f0AAC","partner":"International Business Machines Corporation [Global Business Services]","currentUpdate":"Project Complete","isExecutiveWatch":false,"wellnessData":null},{"deploymentId":"a0r4X00000DznVtQAJ","deploymentName":"Initial Deployment-Your Way: CHCM, TLO, HLP, CCB, USP, LRN, REC, FIN, etc.","accountId":"0014X00002XJwAeQAL","accountName":"State of Rhode Island Department of Administration (Precision Task Group, Inc)","industry":"State &amp; Local Government","region":"US SLED","subRegion":"Local Government LE","subRegionAlt":"US State Gov East","billingState":"Rhode Island","billingCity":"Providence","deploymentStartDate":"Mon Jan 09 2023 00:00:00 GMT-0500 (Eastern Standard Time)","mtpDate":"Sun Nov 16 2025 00:00:00 GMT-0500 (Eastern Standard Time)","firstMtpDate":"","overallStatus":"Complete","phase":"Your Way","stage":"Deploy","health":"Green","completionDate":"Tue Mar 31 2026 00:00:00 GMT-0400 (Eastern Daylight Time)","wdEngManager":"","damFullName":"Jason Jackson","primingPartner":"00130000008MSknAAG","implPartner":"00130000008MSknAAG","partner":"Accenture LLP","currentUpdate":"3/23/26 -  Workday is in Production and Hypercare is complete as of 2/28/26","isExecutiveWatch":false,"wellnessData":null},{"deploymentId":"a0r4X00000E14f1QAB","deploymentName":"Subsequent-Phase X-Financials","accountId":"0014X00002XJwAeQAL","accountName":"State of Rhode Island Department of Administration (Precision Task Group, Inc)","industry":"State &amp; Local Government","region":"US SLED","subRegion":"Local Government LE","subRegionAlt":"US State Gov East","billingState":"Rhode Island","billingCity":"Providence","deploymentStartDate":"Mon Jan 01 2024 00:00:00 GMT-0500 (Eastern Standard Time)","mtpDate":"Thu Jun 26 2025 00:00:00 GMT-0400 (Eastern Daylight Time)","firstMtpDate":"Thu Jun 26 2025 00:00:00 GMT-0400 (Eastern Daylight Time)","overallStatus":"Complete","phase":"Phase X - Your Way","stage":"Deploy","health":"Green","completionDate":"Thu Oct 30 2025 00:00:00 GMT-0400 (Eastern Daylight Time)","wdEngManager":"","damFullName":"","primingPartner":"00130000008MSknAAG","implPartner":"00130000008MSknAAG","partner":"Accenture LLP","currentUpdate":"10/17.  Whether you're a brother or whether you're a mother, FIN is stayin' (a)live.  FIN hypercare has ended.  This project will complete and scorecard expire as planned.","isExecutiveWatch":false,"wellnessData":null},{"deploymentId":"a0r4X00000DbLU9QAN","deploymentName":"Initial Deployment-Your Way; CHCM, TLO, HLP, CCB, USP, LRN, REC, FIN, etc.","accountId":"0018000000nkQNHAA2","accountName":"State of Vermont","industry":"State &amp; Local Government","region":"US SLED","subRegion":"Local Government LE","subRegionAlt":"US State Gov East","billingState":"Vermont","billingCity":"Montpelier","deploymentStartDate":"Mon Mar 17 2025 00:00:00 GMT-0400 (Eastern Daylight Time)","mtpDate":"Sun Aug 24 2025 00:00:00 GMT-0400 (Eastern Daylight Time)","firstMtpDate":"","overallStatus":"Active","phase":"Your Way","stage":"Configure and Prototype","health":"Red","completionDate":"","wdEngManager":"","damFullName":"","primingPartner":"0011B00002CZvnrQAD","implPartner":"0011B00002CZvnrQAD","partner":"Guidehouse Inc","currentUpdate":"6/22:  Planning underway for unified timeline.","isExecutiveWatch":false,"wellnessData":null},{"deploymentId":"a0rVT00000xahu8YAA","deploymentName":"Initial Deployment-Your Way-CHCM, GPC, FIN, GM, PLNF, PRA, etc","accountId":"0018000000cYwFMAA0","accountName":"State of Virginia (Commonwealth), Information Technologies Agency-VITA","industry":"State &amp; Local Government","region":"US SLED","subRegion":"Local Government LE","subRegionAlt":"US State Gov East","billingState":"Virginia","billingCity":"Chester","deploymentStartDate":"Wed Apr 22 2026 00:00:00 GMT-0400 (Eastern Daylight Time)","mtpDate":"","firstMtpDate":"","overallStatus":"Active","phase":"Your Way","stage":"Architect &amp; Configure","health":"Green","completionDate":"","wdEngManager":"","damFullName":"","primingPartner":"0018000000nlqGOAAY","implPartner":"0018000000nlqGOAAY","partner":"Deloitte Consulting LLP (Deloitte US)","currentUpdate":"Team working through design sessions for both functional and technical on track.","isExecutiveWatch":false,"wellnessData":null},{"deploymentId":"a0r1B00000BdaDXQAZ","deploymentName":"Initial Deployment-Your Way:FIN, GM, PLNF, PLNW, PRA, PRJT, PB, etc.","accountId":"0018000000Wtz95AAB","accountName":"State of Washington Office of Financial Management","industry":"State &amp; Local Government","region":"US SLED","subRegion":"Local Government LE","subRegionAlt":"US Local Gov LE NN &amp; States West","billingState":"Washington","billingCity":"Olympia","deploymentStartDate":"Fri Jan 15 2021 00:00:00 GMT-0500 (Eastern Standard Time)","mtpDate":"Fri Oct 01 2027 00:00:00 GMT-0400 (Eastern Daylight Time)","firstMtpDate":"","overallStatus":"Active","phase":"Your Way","stage":"Configure and Prototype","health":"Red","completionDate":"","wdEngManager":"","damFullName":"Keith Fraser","primingPartner":"0018000000nlqGOAAY","implPartner":"0018000000nlqGOAAY","partner":"Deloitte Consulting LLP (Deloitte US)","currentUpdate":"The ESC decided in Nov. 2024 that the go-live date is planned to be between 10/2027 - 10/2028. Client Leadership considering range 2027-2028. Schedule baseline at pushed to late June. Tech CR-re-architecture CRs continue.","isExecutiveWatch":true,"wellnessData":{"cxLeaderName":"Andrew Hamilton","executiveSummary":"The Wellness Plan is being closed due to strong project momentum and stabilized program execution. While the formal schedule re-baseline has deferred to late June, this shift is a strategic decision to maintain a flexible target range and preserve political confidence with the Governor and legislature, rather than a failure of program execution. With FY 2027 funding allocations locked and foundational release scope finalized, the account is healthy and no lo</t>
  </si>
  <si>
    <t>sfdcRows:default:chunk:13</t>
  </si>
  <si>
    <t>a0pVT00000Aub8nYAB</t>
  </si>
  <si>
    <t>Design Spotlight &amp; Fetch session held successfully with client.  A few decisions taken offline by iRhythm tbc w/c 03/07/2026.</t>
  </si>
  <si>
    <t>a0pVT00000B28EYYAZ</t>
  </si>
  <si>
    <t>a0rVT000017fn6fYAA</t>
  </si>
  <si>
    <t>a0rVT00001AHz5fYAD</t>
  </si>
  <si>
    <t>Initial Deployment-Launch-LDPINV, LDPPRO, LDPCLMB, TC, etc.</t>
  </si>
  <si>
    <t>ISSQUARED INC</t>
  </si>
  <si>
    <t>a0pVT00000B28ETYAZ</t>
  </si>
  <si>
    <t>US Healthcare ME NN West</t>
  </si>
  <si>
    <t>Expense Management</t>
  </si>
  <si>
    <t>a0r4X00000ETX3xQAH</t>
  </si>
  <si>
    <t>a0pVT00000B28EUYAZ</t>
  </si>
  <si>
    <t>J.B. Hunt Transport, Inc.</t>
  </si>
  <si>
    <t>a0pVT00000B28EVYAZ</t>
  </si>
  <si>
    <t>a0pVT00000B28EWYAZ</t>
  </si>
  <si>
    <t>The project is Live (Complete) - June 30th, 2025. I am unable to update anything on the Product Area due to the known issue.
2880522 - scorecard set to complete</t>
  </si>
  <si>
    <t>a0pVT00000B28EXYAZ</t>
  </si>
  <si>
    <t>JD.com, Inc.</t>
  </si>
  <si>
    <t>HK &amp; TW</t>
  </si>
  <si>
    <t>Hong Kong LE &amp; CB</t>
  </si>
  <si>
    <t>a0pVT00000AushVYAR</t>
  </si>
  <si>
    <t>Hong Kong CB</t>
  </si>
  <si>
    <t>a0pVT00000BwqO6YAJ</t>
  </si>
  <si>
    <t>BRD and ICD document is waiting for approval.
SIT completed. Zoom integration is not working which is critical.. Technical team is trying to fix the same. UAT will be completed  by 18th Jun. Production cutover to be planned in the week of 22nd Jun</t>
  </si>
  <si>
    <t>JetSuiteX, Inc.</t>
  </si>
  <si>
    <t>a0pVT00000BOxQQYA1</t>
  </si>
  <si>
    <t>a0rVT000017lAyhYAE</t>
  </si>
  <si>
    <t>a0pVT00000BOxQPYA1</t>
  </si>
  <si>
    <t>Design Sessions 7/20-8/28 still in progress
Build Sessions 8/31-9/18
SIT 9/21-10/2
E2E/UAT Testing 10/5-10/23
Production Migration 10/26-11/6
Go Live 11/9
Hypercare 11/16-12/2</t>
  </si>
  <si>
    <t>a0rVT00000feyqkYAA</t>
  </si>
  <si>
    <t>John Bean Technologies Corporation</t>
  </si>
  <si>
    <t>a0pVT00000BOxQRYA1</t>
  </si>
  <si>
    <t>US DI LE CB MFG Midwest</t>
  </si>
  <si>
    <t>a0pVT00000B1zhRYAR</t>
  </si>
  <si>
    <t>Live as of Jun 29th</t>
  </si>
  <si>
    <t>a0rVT00000bQFVzYAO</t>
  </si>
  <si>
    <t>John Wiley &amp; Sons, Inc</t>
  </si>
  <si>
    <t>a0pVT00000BBgFOYA1</t>
  </si>
  <si>
    <t>a0pVT00000BvMa9YAF</t>
  </si>
  <si>
    <t>a0rVT000018CmGfYAK</t>
  </si>
  <si>
    <t>all 3 products are live</t>
  </si>
  <si>
    <t>a0rVT00000fyphdYAA</t>
  </si>
  <si>
    <t>a0pVT00000BCeHtYAL</t>
  </si>
  <si>
    <t>Johnson &amp; Johnson Services, Inc.</t>
  </si>
  <si>
    <t>nger requires formal wellness monitoring."}},{"deploymentId":"a0rVT00000vtwYyYAI","deploymentName":"Initial Deployment-Launch Flex- CHCM","accountId":"0018000000mLerBAAS","accountName":"State of Washington, Dept of Fish and Wildlife","industry":"State &amp; Local Government","region":"US SLED","subRegion":"Local Government LE","subRegionAlt":"US Local Gov LE NN &amp; States West","billingState":"Washington","billingCity":"Olympia","deploymentStartDate":"Tue Jan 27 2026 00:00:00 GMT-0500 (Eastern Standard Time)","mtpDate":"Mon Jun 08 2026 00:00:00 GMT-0400 (Eastern Daylight Time)","firstMtpDate":"Mon Jun 08 2026 00:00:00 GMT-0400 (Eastern Daylight Time)","overallStatus":"Active","phase":"Launch Flex","stage":"Post Prod","health":"Green","completionDate":"","wdEngManager":"Stephanie Denham","damFullName":"","primingPartner":"0018000000hIF6bAAG","implPartner":"0018000000hIF6bAAG","partner":"Workday Professional Services","currentUpdate":"6/22/2026 - Post Production support through 7/10/2026.  This week DFW rolls out Workday to a team within the department.  Team is working through minior adjustments Post Go Live.","isExecutiveWatch":false,"wellnessData":null},{"deploymentId":"a0r4X00000CrU2uQAF","deploymentName":"Initial Deployment - Your Way - CHCM, TLO, CCTPP, REC, FIN, PLNF, etc","accountId":"0014X00002FBmmoQAD","accountName":"State of Wisconsin Investment Board","industry":"State &amp; Local Government","region":"US SLED","subRegion":"Local Government LE","subRegionAlt":"US State Gov East","billingState":"Wisconsin","billingCity":"Madison","deploymentStartDate":"Mon Jul 08 2024 00:00:00 GMT-0400 (Eastern Daylight Time)","mtpDate":"Mon Dec 23 2024 00:00:00 GMT-0500 (Eastern Standard Time)","firstMtpDate":"Mon Dec 23 2024 00:00:00 GMT-0500 (Eastern Standard Time)","overallStatus":"Complete","phase":"Your Way","stage":"Post Prod","health":"Green","completionDate":"Mon Jun 30 2025 00:00:00 GMT-0400 (Eastern Daylight Time)","wdEngManager":"","damFullName":"Dan Terrell","primingPartner":"0018000000nlqGOAAY","implPartner":"0018000000nlqGOAAY","partner":"Deloitte Consulting LLP (Deloitte US)","currentUpdate":"Hypercare complete. Evaluating need for tenant actions with Adaptive.","isExecutiveWatch":false,"wellnessData":null},{"deploymentId":"a0r4X00000DQlL2QAL","deploymentName":"Initial Deployment-Launch Suite: LDPCHCM, LDPFIN, LDPHLP, LDPBEN, LDPUSP, etc.","accountId":"0014X00002FBnGRQA1","accountName":"State Teachers Retirement System of Ohio","industry":"State &amp; Local Government","region":"US SLED","subRegion":"Local Government LE","subRegionAlt":"US State Gov East","billingState":"Ohio","billingCity":"Columbus","deploymentStartDate":"Mon Apr 04 2022 00:00:00 GMT-0400 (Eastern Daylight Time)","mtpDate":"Fri Jan 06 2023 00:00:00 GMT-0500 (Eastern Standard Time)","firstMtpDate":"Fri Jan 06 2023 00:00:00 GMT-0500 (Eastern Standard Time)","overallStatus":"Complete","phase":"Launch","stage":"Post Prod","health":"Green","completionDate":"Mon Jan 09 2023 00:00:00 GMT-0500 (Eastern Standard Time)","wdEngManager":"","damFullName":"","primingPartner":"0018000001IzqpSAAR","implPartner":"0018000001IzqpSAAR","partner":"Avaap USA, LLC","currentUpdate":"Go live is complete.","isExecutiveWatch":false,"wellnessData":null},{"deploymentId":"a0r4X00000CrVozQAF","deploymentName":"Subsequent- Phase X- Core Financials","accountId":"0014X00002FBnGRQA1","accountName":"State Teachers Retirement System of Ohio","industry":"State &amp; Local Government","region":"US SLED","subRegion":"Local Government LE","subRegionAlt":"US State Gov East","billingState":"Ohio","billingCity":"Columbus","deploymentStartDate":"Fri Jul 26 2024 00:00:00 GMT-0400 (Eastern Daylight Time)","mtpDate":"Mon Jun 30 2025 00:00:00 GMT-0400 (Eastern Daylight Time)","firstMtpDate":"Mon Jun 30 2025 00:00:00 GMT-0400 (Eastern Daylight Time)","overallStatus":"Complete","phase":"Launch","stage":"Post Prod","health":"Green","completionDate":"Fri Feb 13 2026 00:00:00 GMT-0500 (Eastern Standard Time)","wdEngManager":"","damFullName":"","primingPartner":"0018000001IzqpSAAR","implPartner":"0018000001IzqpSAAR","partner":"Avaap USA, LLC","currentUpdate":"2/13/26 JD - project is completed","isExecutiveWatch":false,"wellnessData":null},{"deploymentId":"a0r4X00000E12xNQAR","deploymentName":"Subsequent-Phase X: Talent, Advanced Compensation, and Learning","accountId":"0014X00002FBnGRQA1","accountName":"State Teachers Retirement System of Ohio","industry":"State &amp; Local Government","region":"US SLED","subRegion":"Local Government LE","subRegionAlt":"US State Gov East","billingState":"Ohio","billingCity":"Columbus","deploymentStartDate":"Tue Jan 24 2023 00:00:00 GMT-0500 (Eastern Standard Time)","mtpDate":"Fri Jun 30 2023 00:00:00 GMT-0400 (Eastern Daylight Time)","firstMtpDate":"Fri Jun 30 2023 00:00:00 GMT-0400 (Eastern Daylight Time)","overallStatus":"Complete","phase":"Phase X - Launch","stage":"Post Prod","health":"Green","completionDate":"Fri Jun 30 2023 00:00:00 GMT-0400 (Eastern Daylight Time)","wdEngManager":"","damFullName":"","primingPartner":"0018000001IzqpSAAR","implPartner":"0018000001IzqpSAAR","partner":"Avaap USA, LLC","currentUpdate":"6/30:  Talent and Advanced Compensation rolling adoption project support complete.","isExecutiveWatch":false,"wellnessData":null},{"deploymentId":"a0r1B00000BYYq2QAH","deploymentName":"Initial Deployment-Your Way:HCM, CCB, USP, TT, REC","accountId":"0018000001dHVkAAAW","accountName":"Superior Court of California, County of Alameda","industry":"State &amp; Local Government","region":"US SLED","subRegion":"Local Government LE","subRegionAlt":"US Local Gov LE NN &amp; States West","billingState":"California","billingCity":"Oakland","deploymentStartDate":"Tue Feb 19 2019 00:00:00 GMT-0500 (Eastern Standard Time)","mtpDate":"Sun Dec 29 2019 00:00:00 GMT-0500 (Eastern Standard Time)","firstMtpDate":"Sun Dec 29 2019 00:00:00 GMT-0500 (Eastern Standard Time)","overallStatus":"Complete","phase":"Your Way","stage":"Post Prod","health":"Green","completionDate":"Fri Feb 28 2020 00:00:00 GMT-0500 (Eastern Standard Time)","wdEngManager":"","damFullName":"","primingPartner":"0011B00002H9DAaQAN","implPartner":"0011B00002H9DAaQAN","partner":"SCI WDSFMS Services, LLC","currentUpdate":"Implementation post-production has completed. Client has signed a PPS agreement with SCI.","isExecutiveWatch":false,"wellnessData":null},{"deploymentId":"a0r4X00000DOvPHQA1","deploymentName":"Subsequent Deployment - Planning First : Financial Planning","accountId":"0014X00002OsVBzQAN","accountName":"Tacoma Housing Authority","industry":"Special Districts","region":"US SLED","subRegion":"Local Government ME","subRegionAlt":"US Special Districts NN","billingState":"Washington","billingCity":"Tacoma","deploymentStartDate":"Thu Jul 25 2019 00:00:00 GMT-0400 (Eastern Daylight Time)","mtpDate":"Sat Jan 25 2020 00:00:00 GMT-0500 (Eastern Standard Time)","firstMtpDate":"Sat Jan 25 2020 00:00:00 GMT-0500 (Eastern Standard Time)","overallStatus":"Complete","phase":"Planning First","stage":"Post Prod","health":"Green","completionDate":"","wdEngManager":"Katherine Linchey","damFullName":"","primingPartner":"0011B00002CZYgHQAX","implPartner":"0011B00002CZYgHQAX","partner":"PBU Partner Ecosystem","currentUpdate":"Historical deployment load as part of Adaptive Systems Integration project in FY22. CSM listed as EM due to lack of historical data.","isExecutiveWatch":false,"wellnessData":null},{"deploymentId":"a0r1B00000BdY0oQAF","deploymentName":"Subsequent-Planning First: AI Planning","accountId":"0018000000ohBm0AAE","accountName":"Tacoma Power","industry":"Special Districts","region":"US SLED","subRegion":"Local Government LE","subRegionAlt":"US Local Gov LE NN &amp; States West","billingState":"Washington","billingCity":"Tacoma","deploymentStartDate":"Tue Oct 01 2019 00:00:00 GMT-0400 (Eastern Daylight Time)","mtpDate":"Sat Feb 15 2020 00:00:00 GMT-0500 (Eastern Standard Time)","firstMtpDate":"Sat Feb 15 2020 00:00:00 GMT-0500 (Eastern Standard Time)","overallStatus":"Complete","phase":"Planning First","stage":"Deploy","health":"Green","completionDate":"Fri Mar 05 2021 00:00:00 GMT-0500 (Eastern Standard Time)","wdEngManager":"","damFullName":"","primingPartner":"0018000000hIF6bAAG","implPartner":"0018000000hIF6bAAG","partner":"Workday Professional Services","currentUpdate":"Scorecard complete per case 1401808","isExecutiveWatch":false,"wellnessData":null},{"deploymentId":"a0r4X00000CrSy8QAF","deploymentName":"Initial Deployment-Launch-LDPHCM, LDPFIN,LDPPLN, LDPUSP etc","accountId":"0014X00002dLmTkQAK","accountName":"Tarrant Regional Water District (Precision Task Group, Inc.)","industry":"Special Districts","region":"US SLED","subRegion":"Local Government ME","subRegionAlt":"US Local Gov ME CB","billingState":"Texas","billingCity":"Fort Worth","deploymentStartDate":"Mon Apr 08 2024 00:00:00 GMT-0400 (Eastern Daylight Time)","mtpDate":"Thu Mar 20 2025 00:00:00 GMT-0400 (Eastern Daylight Time)","firstMtpDate":"Thu Mar 20 2025 00:00:00 GMT-0400 (Eastern Daylight Time)","overallStatus":"Complete","phase":"Launch","stage":"Post Prod","health":"Green","completionDate":"Fri May 16 2025 00:00:00 GMT-0400 (Eastern Daylight Time)","wdEngManager":"","damFullName":"Kirk Krikorian","primingPartner":"0018000000vTnDgAAK","implPartner":"0018000000vTnDgAAK","partner":"Precision Task Group Inc.","currentUpdate":"5/13/25 -Last week of Post Production Support in progress.  Final prep for project close in progress. Project is Green.","isExecutiveWatch":false,"wellnessData":null},{"deploymentId":"a0rVT00000gq40zYAA","deploymentName":"Subsequent-Phase X-Your Way: Adaptive Planning","accountId":"0014X00002dLmTkQAK","accountName":"Tarrant Regional Water District (Precision Task Group, Inc.)","industry":"Special Districts","region":"US SLED","subRegion":"Local Government ME","subRegionAlt":"US Local Gov ME CB","billingState":"Texas","billingCity":"Fort Worth","deploymentStartDate":"Wed Jul 16 2025 00:00:00 GMT-0400 (Eastern Daylight Time)","mtpDate":"Wed Sep 30 2026 00:00:00 GMT-0400 (Eastern Daylight Time)","firstMtpDate":"","overallStatus":"Active","phase":"Your Way","stage":"Plan","health":"Green","completionDate":"","wdEngManager":"","damFullName":"","primingPartner":"0011B00002CZvnrQAD","implPartner":"0011B00002CZvnrQAD","partner":"Guidehouse Inc","currentUpdate":"Partnering with the client to plan &amp; design the project according to new specifications including financial planning and workforce planning.","isExecutiveWatch":false,"wellnessData":null},{"deploymentId":"a0r4X00000Ef3zRQAR","deploymentName":"Initial Deployment-Launch Express-HCM &amp; PAY","accountId":"0014X00002eidgzQAA","accountName":"Teachers' Retirement System of the State of Illinois (Precision Task Group, Inc.)","industry":"State &amp; Local Government","region":"US SLED","subRegion":"Local Government LE","subRegionAlt":"US State Gov East","billingState":"Illinois","billingCity":"Springfield","deploymentStartDate":"Sun Feb 04 2024 00:00:00 GMT-0500 (Eastern Standard Time)","mtpDate":"Fri Nov 01 2024 00:00:00 GMT-0400 (Eastern Daylight Time)","firstMtpDate":"Fri Nov 01 2024 00:00:00 GMT-0400 (Eastern Daylight Time)","overallStatus":"Complete","phase":"Launch Express","stage":"Post Prod","health":"Green","completionDate":"Tue Dec 31 2024 00:00:00 GMT-0500 (Eastern Standard Time)","wdEngManager":"","damFullName":"","primingPartner":"0013000000KdrrVAAR","implPartner":"0013000000KdrrVAAR","partner":"Strada U.S. Professional Services, LLC","currentUpdate":"MTP Complete Sandbox Exemption in place.","isExecutiveWatch":false,"wellnessData":null},{"deploymentId":"a0rVT000010ulBpYAI","deploymentName":"Subsequent-Phase X: FIN","accountId":"0014X00002eidgzQAA","accountName":"Teachers' Retirement System of the State of Illinois (Precision Task Group, Inc.)","industry":"State &amp; Local Government","region":"US SLED","subRegion":"Local Government LE","subRegionAlt":"US State Gov East","billingState":"Illinois","billingCity":"Springfield","deploymentStartDate":"Wed Mar 25 2026 00:00:00 GMT-0400 (Eastern Daylight Time)","mtpDate":"Fri Mar 05 2027 00:00:00 GMT-0500 (Eastern Standard Time)","firstMtpDate":"","overallStatus":"Active","phase":"Your Way","stage":"Architect &amp; Configure","health":"Green","completionDate":"","wdEngManager":"","damFullName":"","primingPartner":"0013000000KdrrVAAR","implPartner":"0013000000KdrrVAAR","partner":"Strada U.S. Professional Services, LLC","currentUpdate":"06/15/2026: Updating RDG's and workbooks for tenant augmentation. Foundation Alignment Sessions Completed June 8-12, 2026. Continue refining requirements and beginning Integration requirements.","isExecutiveWatch":false,"wellnessData":null},{"deploymentId":"a0rVT00000OIKnGYAX","deploymentName":"Subsequent-Phase X: Learning, Performance Enablement, Peakon, Recruiting","accountId":"0014X00002eidgzQAA","accountName":"Teachers' Retirement System of the State of Illinois (Precision Task Group, Inc.)","industry":"State &amp; Local Government","region":"US SLED","subRegion":"Local Government LE","subRegionAlt":"US State Gov East","billingState":"Illinois","billingCity":"Springfield","deploymentStartDate":"Tue Jan 14 2025 00:00:00 GMT-0500 (Eastern Standard Time)","mtpDate":"Mon Mar 24 2025 00:00:00 GMT-0400 (Eastern Daylight Time)","firstMtpDate":"Mon Mar 24 2025 00:00:00 GMT-0400 (Eastern Daylight Time)","overallStatus":"Complete","phase":"Launch Express","stage":"Post Prod","health":"Green","completionDate":"Fri Apr 18 2025 00:00:00 GMT-0400 (Eastern Daylight Time)","wdEngManager":"","damFullName":"","primingPartner":"0013000000KdrrVAAR","implPartner":"0013000000KdrrVAAR","partner":"Strada U.S. Professional Services, LLC","currentUpdate":"Stabilization is complete.","isExecutiveWatch":false,"wellnessData":null},{"deploymentId":"a0rVT000015CVSrYAO","deploymentName":"Initial Deployment-Your Way-CHCM, TLO, GPC,etc.","accountId":"0018000000RRFBPAA5","accountName":"Texas Education Agency (Precision Task Group Inc.)","industry":"State &amp; Local Government","region":"US SLED","subRegion":"Local Government LE","subRegionAlt":"US Local Gov LE NN &amp; States West","billingState":"Texas","billingCity":"Austin","deploymentStartDate":"Wed May 27 2026 00:00:00 GMT-0400 (Eastern Daylight Time)","mtpDate":"","firstMtpDate":"","overallStatus":"Active","phase":"Your Way","stage":"Plan","health":"Green","completionDate":"","wdEngManager":"","damFullName":"","primingPartner":"0018000000vTnDgAAK","implPartner":"0018000000vTnDgAAK","partner":"Precision Task Group Inc.","currentUpdate":"","isExecutiveWatch":false,"wellnessData":null},{"deploymentId":"a0rVT00000RZPqPYAX","deploymentName":"Initial Deployment-Your Way-CHCM, TLO, HLP, GPC, LRN, MCNF,etc.","accountId":"0014X00002eila5QAA","accountName":"Texas Permanent School Fund Corporation (Precision Task Group, Inc.)","industry":"State &amp; Local Government","region":"US SLED","subRegion":"Local Government LE","subRegionAlt":"US Local Gov LE NN &amp; States West","billingState":"Texas","billingCity":"Austin","deploymentStartDate":"Wed Feb 19 2025 00:00:00 GMT-0500 (Eastern Standard Time)","mtpDate":"Sun Jun 01 2025 00:00:00 GMT-0400 (Eastern Daylight Time)","firstMtpDate":"","overallStatus":"Complete","phase":"Your Way","stage":"Post Prod","health":"Green","completionDate":"Mon May 04 2026 00:00:00 GMT-0400 (Eastern Daylight Time)","wdEngManager":"","damFullName":"","primingPartner":"0018000000vTnDgAAK","implPartner":"0018000000vTnDgAAK","partner":"Precision Task Group Inc.","currentUpdate":"MTP Completed for Workforce Planning.  Project can be closed out.","isExecutiveWatch":false,"wellnessData":null},{"deploymentId":"a0r1B00000BdXAoQAN","deploymentName":"Initial Deployment-Your Way:HCM, CCB, CCTPP, LRN, MCNF, PRA, TT","accountId":"0018000001VN8lRAAT","accountName":"The California Health Benefit Exchange/Covered California (Oakland Consulting Group, Inc.)","industry":"State &amp; Local Government","region":"US SLED","subRegion":"Local Government LE","subRegionAlt":"US Local Gov LE NN &amp; States West","billingState":"California","billingCity":"Sacramento","deploymentStartDate":"Wed Jul 15 2020 00:00:00 GMT-0400 (Eastern Daylight Time)","mtpDate":"Sun Jun 06 2021 00:00:00 GMT-0400 (Eastern Daylight Time)","firstMtpDate":"Sun Jun 06 2021 00:00:00 GMT-0400 (Eastern Daylight Time)","overallStatus":"Complete","phase":"Your Way","stage":"Post Prod","health":"Green","completionDate":"Mon Aug 30 2021 00:00:00 GMT-0400 (Eastern Daylight Time)","wdEngManager":"","damFullName":"","primingPartner":"00130000008MSknAAG","implPartner":"00130000008MSknAAG","partner":"Accenture LLP","currentUpdate":"In Production. Transaction catchup and training in progress. End user rollout 8/2. Only outstanding DA item is reporting, which is prepared and pending final list of reports that will be moved to Production.\nScorecard set to active: 2581826","isExecutiveWatch":false,"wellnessData":null},{"deploymentId":"a0r80000002szolAAA","deploymentName":"HCM, Benefits, Payroll","accountId":"0018000001Rl1qAAAR","accountName":"The Housing Authority of The City of Atlanta, Georgia","industry":"Special Districts","region":"US SLED","subRegion":"Local Government ME","subRegionAlt":"US Local Gov ME CB","billingState":"Georgia","billingCity":"Atlanta","deploymentStartDate":"Wed Aug 24 2011 00:00:00 GMT-0400 (Eastern Daylight Time)","mtpDate":"Sun Jan 01 2012 00:00:00 GMT-0500 (Eastern Standard Time)","firstMtpDate":"Sun Jan 01 2012 00:00:00 GMT-0500 (Eastern Standard Time)","overallStatus":"Complete","phase":"Your Way","stage":"Plan","health":"Green","completionDate":"Fri Dec 30 2011 00:00:00 GMT-0500 (Eastern Standard Time)","wdEngManager":"","damFullName":"","primingPartner":"0018000000ggEp4AAE","implPartner":"0018000000ggEp4AAE","partner":"OneSource Virtual, Inc.","currentUpdate":"","isExecutiveWatch":false,"wellnessData":null},{"deploymentId":"a0rVT00000b6OjtYAE","deploymentName":"Subsequent-Phase X-Your Way: Learning &amp; Recruiting","accountId":"0018000001Rl1qAAAR","accountName":"The Housing Authority of The City of Atlanta, Georgia","industry":"Special Districts","region":"US SLED","subRegion":"Local Government ME","subRegionAlt":"US Local Gov ME CB","billingState":"Georgia","billingCity":"Atlanta","deploymentStartDate":"Mon May 26 2025 00:00:00 GMT-0400 (Eastern Daylight Time)","mtpDate":"Mon Oct 06 2025 00:00:00 GMT-0400 (Eastern Daylight Time)","firstMtpDate":"Mon Oct 06 2025 00:00:00 GMT-0400 (Eastern Daylight Time)","overallStatus":"Complete","phase":"Launch","stage":"Post Prod","health":"Green","completionDate":"Fri Oct 17 2025 00:00:00 GMT-0400 (Eastern Daylight Time)","wdEngManager":"","damFullName":"","primingPartner":"0013000000KdrrVAAR","implPartner":"0013000000KdrrVAAR","partner":"Strada U.S. Professional Services, LLC","currentUpdate":"10/20  Hyper care support complete. closing or marking this as complete","isExecutiveWatch":false,"wellnessData":null},{"deploymentId":"a0r80000003wHPSAA2","deploymentName":"Initial Deployment-LE: FIN, PRO, GM, PB, EXP, INV","accountId":"0013000000KKISPAA5","accountName":"The Metropolitan Washington Airports Authority","industry":"Special Districts","region":"US SLED","subRegion":"Local Government ME","subRegionAlt":"US Local Gov ME CB","billingState":"District of Columbia","billingCity":"Washington","deploymentStartDate":"Mon Apr 03 2017 00:00:00 GMT-0400 (Eastern Daylight Time)","mtpDate":"Sun Jul 01 2018 00:00:00 GMT-0400 (Eastern Daylight Time)","firstMtpDate":"Sun Jul 01 2018 00:00:00 GMT-0400 (Eastern Daylight Time)","overallStatus":"Complete","phase":"Your Way","stage":"Post Prod","health":"Green","completionDate":"Fri Aug 31 2018 00:00:00 GMT-0400 (Eastern Daylight Time)","wdEngManager":"","damFullName":"","primingPartner":"0018000000nlcXyAAI","implPartner":"0018000000nlcXyAAI","partner":"Sierra-Cedar, Inc.","currentUpdate":"2018-08-31 MWAA FIN Project support ending today, 8/31. Working on minor support issues and follow-up on Cases submitted to WD. A separate client-direct support contract is expect to be in place for 9/1.","isExecutiveWatch":false,"wellnessData":null},{"deploymentId":"a0r80000003wHPNAA2","deploymentName":"Initial Deployment-LE: HCM, CCB, USP, PRJT, TT, PLN, REC","accountId":"0013000000KKISPAA5","accountName":"The Metropolitan Washington Airports Authority","industry":"Special Districts","region":"US SLED","subRegion":"Local Government ME","subRegionAlt":"US Local Gov ME CB","billingState":"District of Columbia","billingCity":"Washington","deploymentStartDate":"Tue Jan 03 2017 00:00:00 GMT-0500 (Eastern Standard Time)","mtpDate":"Sun Mar 18 2018 00:00:00 GMT-0400 (Eastern Daylight Time)","firstMtpDate":"Sun Mar 18 2018 00:00:00 GMT-0400 (Eastern Daylight Time)","overallStatus":"Complete","phase":"Your Way","stage":"Post Prod","health":"Green","completionDate":"Fri May 18 2018 00:00:00 GMT-0400 (Eastern Daylight Time)","wdEngManager":"","damFullName":"","primingPartner":"0018000000nlcXyAAI","implPartner":"0018000000nlcXyAAI","partner":"Sierra-Cedar, Inc.","currentUpdate":"Heatmap update 881561","isExecutiveWatch":false,"wellnessData":null},{"deploymentId":"a0rVT00000nJPeXYAW","deploymentName":"Initial Deployment-Launch-LDPPRO, LDPSRCESS, LDPSRCINT, LDPSRCSM etc.","accountId":"0014X00002fGJg7QAG","accountName":"Town of Collierville (Iron Brick Associates, LLC)","industry":"State &amp; Local Government","region":"US SLED","subRegion":"Local Government ME","subRegionAlt":"US Local Gov ME CB","billingState":"Tennessee","billingCity":"Collierville","deploymentStartDate":"Fri Sep 26 2025 00:00:00 GMT-0400 (Eastern Daylight Time)","mtpDate":"Wed Sep 16 2026 00:00:00 GMT-0400 (Eastern Daylight Time)","firstMtpDate":"","overallStatus":"Active","phase":"Launch","stage":"Architect &amp; Configure","health":"Red","completionDate":"","wdEngManager":"Donna Trumbower","damFullName":"","primingPartner":"0018000000hIF6bAAG","implPartner":"0018000000hIF6bAAG","partner":"Workday Professional Services","currentUpdate":"06.23.26 -E2E tenant build validation have not been completed and A&amp;C stage signoff has not been received. Test/E2E is now behind schedule.  Team onsite this week re-purposed from E2E testing to addressing TOC concerns.","isExecutiveWatch":false,"wellnessData":null},{"deploymentId":"a0rVT00000YvFmtYAF","deploymentName":"Initial Deployment-Launch LDPHCM, LDPHLP, LDPJRNY, etc","accountId":"0018000001KAD0EAAX","accountName":"Town of Vail, CO","industry":"State &amp; Local Government","region":"US SLED","subRegion":"Local Government ME","subRegionAlt":"US Local Gov ME CB","billingState":"Colorado","billingCity":"Vail","deploymentStartDate":"Thu Jun 12 2025 00:00:00 GMT-0400 (Eastern Daylight Time)","mtpDate":"Sun Oct 05 2025 00:00:00 GMT-0400 (Eastern Daylight Time)","firstMtpDate":"Sun Oct 05 2025 00:00:00 GMT-0400 (Eastern Daylight Time)","overallStatus":"Complete","phase":"Launch","stage":"Post Prod","health":"Green","completionDate":"Fri Jan 16 2026 00:00:00 GMT-0500 (Eastern Standard Time)","wdEngManager":"","damFullName":"","primingPartner":"0013000000KdrrVAAR","implPartner":"0013000000KdrrVAAR","partner":"Strada U.S. Professional Services, LLC","currentUpdate":"Jan 12:\n- LIVE Phase-x(Absence, Time Tracking, Scheduling, US Payroll)\n- Stabilization support continues\n- Processing second payroll in Workday","isExecutiveWatch":false,"wellnessData":null},{"deploymentId":"a0rVT00000vAX3VYAW","deploymentName":"Subsequent - Phase X - Phase 2","accountId":"0018000001KAD0EAAX","accountName":"Town of Vail, CO","industry":"State &amp; Local Government","region":"US SLED","subRegion":"Local Government ME","subRegionAlt":"US Local Gov ME CB","billingState":"Colorado","billingCity":"Vail","deploymentStartDate":"Mon Mar 23 2026 00:00:00 GMT-0400 (Eastern Daylight Time)","mtpDate":"Sat Aug 15 2026 00:00:00 GMT-0400 (Eastern Daylight Time)","firstMtpDate":"","overallStatus":"Active","phase":"Launch","stage":"Architect &amp; Configure","health":"Green","completionDate":"","wdEngManager":"","damFullName":"","primingPartner":"0013000000KdrrVAAR","implPartner":"0013000000KdrrVAAR","partner":"Strada U.S. Professional Services, LLC","currentUpdate":"June 22 - Final Issue Resolution and Retest (week 1 of 1)","isExecutiveWatch":false,"wellnessData":null},{"deploymentId":"a0r4X00000DOvDiQAL","deploymentName":"Subsequent Deployment - Planning First : Financial Planning","accountId":"0011B00002CXXLDQA5","accountName":"Truckee Meadows Water Authority","industry":"Special Districts","region":"US SLED","subRegion":"Local Government ME","subRegionAlt":"US Special Districts NN","billingState":"Nevada","billingCity":"Reno","deploymentStartDate":"Tue Aug 28 2018 00:00:00 GMT-0400 (Eastern Daylight Time)","mtpDate":"Thu Feb 28 2019 00:00:00 GMT-0500 (Eastern Standard Time)","firstMtpDate":"Thu Feb 28 2019 00:00:00 GMT-0500 (Eastern Standard Time)","overallStatus":"Complete","phase":"Planning First","stage":"Post Prod","health":"Green","completionDate":"","wdEngManager":"Justin Maxson","damFullName":"","primingPartner":"0011B00002CZYgHQAX","implPartner":"0011B00002CZYgHQAX","partner":"PBU Partner Ecosystem","currentUpdate":"Historical deployment load as part of Adaptive Systems Integration project in FY22. CSM listed as EM due to lack of historical data.","isExecutiveWatch":false,"wellnessData":null},{"deploymentId":"a0r4X00000Bnsq9QAB","deploymentName":"Initial Deployment-Your Way:CHCM, TLO, CCB, USP, LRN, EXP, REC, PRA, TT","accountId":"0018000000kuwIwAAI","accountName":"Unified Government of Wyandotte County and Kansas City, Kansas","industry":"State &amp; Local Government","region":"US SLED","subRegion":"Local Government ME","subRegionAlt":"US Local Gov ME CB","billingState":"Kansas","billingCity":"Kansas City","deploymentStartDate":"Tue Nov 10 2020 00:00:00 GMT-0500 (Eastern Standard Time)","mtpDate":"Sun Oct 02 2022 00:00:00 GMT-0400 (Eastern Daylight Time)","firstMtpDate":"Sun Oct 02 2022 00:00:00 GMT-0400 (Eastern Daylight Time)","overallStatus":"Complete","phase":"Your Way","stage":"Post Prod","health":"Green","completionDate":"Wed Nov 02 2022 00:00:00 GMT-0400 (Eastern Daylight Time)","wdEngManager":"","damFullName":"","primingPartner":"00130000008MSknAAG","implPartner":"00130000008MSknAAG","partner":"Accenture LLP","currentUpdate":"Scorecard marked complete - 2064069","isExecutiveWatch":false,"wellnessData":null},{"deploymentId":"a0r4X00000BnsqEQAR","deploymentName":"Initial Deployment-Your Way:FIN, GM, PLNF, PLNW, PRJT, PRO, INV","accountId":"0018000000kuwIwAAI","accountName":"Unified Government of Wyandotte County and Kansas City, Kansas","industry":"State &amp; Local Government","region":"US SLED","subRegion":"Local Government ME","subRegionAlt":"US Local Gov ME CB","billingState":"Kansas","billingCity":"Kansas City","deploymentStartDate":"Tue Nov 10 2020 00:00:00 GMT-0500 (Eastern Standard Time)","mtpDate":"Sat Dec 31 2022 00:00:00 GMT-0500 (Eastern Standard Time)","firstMtpDate":"Sat Dec 31 2022 00:00:00 GMT-0500 (Eastern Standard Time)","overallStatus":"Complete","phase":"Your Way","stage":"Post Prod","health":"Green","completionDate":"Tue Jan 31 2023 00:00:00 GMT-0500 (Eastern Standard Time)","wdEngManager":"","damFullName":"Londa Caine","primingPartner":"00130000008MSknAAG","implPartner":"00130000008MSknAAG","partner":"Accenture LLP","currentUpdate":"The project is now in post-production and hypercare state.  UG will perform their FIN catch up transactions this week and Accenture is standing by for any support needed.","isExecutiveWatch":false,"wellnessData":null},{"deploymentId":"a0r4X00000DcjVdQAJ","deploymentName":"Subsequent-Phase X: PATT","accountId":"0018000000kuwIwAAI","accountName":"Unified Government of Wyandotte County and Kansas City, Kansas","industry":"State &amp; Local Government","region":"US SLED","subRegion":"Local Government ME","subRegionAlt":"US Local Gov ME CB","billingState":"Kansas","billingCity":"Kansas City","deploymentStartDate":"Fri Sep 09 2022 00:00:00 GMT-0400 (Eastern Daylight Time)","mtpDate":"Thu Nov 30 2023 00:00:00 GMT-0500 (Eastern Standard Time)","firstMtpDate":"Thu Nov 30 2023 00:00:00 GMT-0500 (Eastern Standard Time)","overallStatus":"Complete","phase":"Phase X - Your Way","stage":"Deploy","health":"Green","completionDate":"Wed Dec 27 2023 00:00:00 GMT-0500 (Eastern Standard Time)","wdEngManager":"","damFullName":"Londa Caine","primingPartner":"00130000008MSknAAG","implPartner":"00130000008MSknAAG","partner":"Accenture LLP","currentUpdate":"5 payrolls completed during hyper care support. 30-day support period has ended.","isExecutiveWatch":false,"wellnessData":null},{"deploymentId":"a0r4X00000DdjCxQAJ","deploymentName":"Subsequent-PhaseX: Recruiting and Talent &amp; Performance","accountId":"0018000000kuwIwAAI","accountName":"Unified Government of Wyandotte County and Kansas City, Kansas","industry":"State &amp; Local Government","region":"US SLED","subRegion":"Local Government ME","subRegionAlt":"US Local Gov ME CB","billingState":"Kansas","billingCity":"Kansas City","deploymentStartDate":"Wed Oct 26 2022 00:00:00 GMT-0400 (Eastern Daylight Time)","mtpDate":"Sun Apr 09 2023 00:00:00 GMT-0400 (Eastern Daylight Time)","firstMtpDate":"Sun Apr 09 2023 00:00:00 GMT-0400 (Eastern Daylight Time)","overallStatus":"Complete","phase":"Phase X - Your Way","stage":"Post Prod","health":"Green","completionDate":"Mon May 15 2023 00:00:00 GMT-0400 (Eastern Daylight Time)","wdEngManager":"","damFullName":"","primingPartner":"00130000008MSknAAG","implPartner":"00130000008MSknAAG","partner":"Accenture LLP","currentUpdate":"The Accenture team helping UG with postproduction activities.","isExecutiveWatch":false,"wellnessData":null},{"deploymentId":"a0r80000005sWW1AAM","deploymentName":"Initial Deployment-LE: HCM, USP, TT, REC, CCB","accountId":"0018000000tT1ChAAK","accountName":"Utah County Government","industry":"State &amp; Local Government","region":"US SLED","subRegion":"Local Government ME","subRegionAlt":"US Local Gov ME CB","billingState":"Utah","billingCity":"Provo","deploymentStartDate":"Fri May 19 2017 00:00:00 GMT-0400 (Eastern Daylight Time)","mtpDate":"Thu Oct 05 2017 00:00:00 GMT-0400 (Eastern Daylight Time)","firstMtpDate":"Thu Oct 05 2017 00:00:00 GMT-0400 (Eastern Daylight Time)","overallStatus":"Complete","phase":"Your Way","stage":"Post Prod","health":"Green","completionDate":"Fri Mar 16 2018 00:00:00 GMT-0400 (Eastern Daylight Time)","wdEngManager":"","damFullName":"","primingPartner":"0018000000ukhw7AAA","implPartner":"0018000000ukhw7AAA","partner":"CPSG Partners LLC","currentUpdate":"Still working through remaining phase 1 items, getting closer to wrap up","isExecutiveWatch":false,"wellnessData":null},{"deploymentId":"a0r80000008W2MHAA0","deploymentName":"Subsequent - PhaseX: Recruiting and Talent","accountId":"0018000000tT1ChAAK","accountName":"Utah County Government","industry":"State &amp; Local Government","region":"US SLED","subRegion":"Local Government ME","subRegionAlt":"US Local Gov ME CB","billingState":"Utah","billingCity":"Provo","deploymentStartDate":"Sun Mar 11 2018 00:00:00 GMT-0500 (Eastern Standard Time)","mtpDate":"Fri Jun 29 2018 00:00:00 GMT-0400 (Eastern Daylight Time)","firstMtpDate":"Fri Jun 29 2018 00:00:00 GMT-0400 (Eastern Daylight Time)","overallStatus":"Complete","phase":"Phase X","stage":"Post Prod","health":"Green","completionDate":"Thu Sep 20 2018 00:00:00 GMT-0400 (Eastern Daylight Time)","wdEngManager":"","damFullName":"","primingPartner":"0018000000MWLrxAAH","implPartner":"0018000000MWLrxAAH","partner":"Mercer (US) LLC","currentUpdate":"Completed all Phase 1 and 2 updates with exception to Performance. Client advised on 09/12 that Performance deployment will be placed on hold until further notice. Final activities list sent to client on 09/18 for reference.","isExecutiveWatch":false,"wellnessData":null},{"deploymentId":"a0r1B00000B7oV2QAJ","deploymentName":"Subsequent-Phase X- Talent and Performance","accountId":"0018000000tT1ChAAK","accountName":"Utah County Government","industry":"State &amp; Local Government","region":"US SLED","subRegion":"Local Government ME","subRegionAlt":"US Local Gov ME CB","billingState":"Utah","billingCity":"Provo","deploymentStartDate":"Fri May 24 2019 00:00:00 GMT-0400 (Eastern Daylight Time)","mtpDate":"Mon Sep 09 2019 00:00:00 GMT-0400 (Eastern Daylight Time)","firstMtpDate":"Mon Sep 09 2019 00:00:00 GMT-0400 (Eastern Daylight Time)","overallStatus":"Complete","phase":"Phase X - Your Way","stage":"Deploy","health":"Green","completionDate":"Sun Dec 08 2019 00:00:00 GMT-0500 (Eastern Standard Time)","wdEngManager":"","damFullName":"","primingPartner":"0018000000MWLrxAAH","implPartner":"0018000000MWLrxAAH","partner":"Mercer (US) LLC","currentUpdate":"The functionality is available in PROD.","isExecutiveWatch":false,"wellnessData":null},{"deploymentId":"a0r4X00000Ef3V2QAJ","deploymentName":"Initial Deployment-Your Way-HCM, TALO, CCB, TT, REC, LRN, CCTPP, etc","accountId":"0018000000kuvwqAAA","accountName":"Utah Transit Authority","industry":"Special Districts","region":"US SLED","subRegion":"Local Government ME","subRegionAlt":"US Local Gov ME CB","billingState":"Utah","billingCity":"Salt Lake City","deploymentStartDate":"Thu Feb 01 2024 00:00:00 GMT-0500 (Eastern Standard Time)","mtpDate":"Sun Nov 30 2025 00:00:00 GMT-0500 (Eastern Standard Time)","firstMtpDate":"Sun Nov 30 2025 00:00:00 GMT-0500 (Eastern Standard Time)","overallStatus":"Complete","phase":"Your Way","stage":"Post Prod","health":"Green","completionDate":"Fri Mar 20 2026 00:00:00 GMT-0400 (Eastern Daylight Time)","wdEngManager":"","damFullName":"","primingPartner":"0018000000hIF6bAAG","implPartner":"0018000000hIF6bAAG","partner":"Workday Professional Services","currentUpdate":"3/23: Post Go Live support has completed.  No material issues","isExecutiveWatch":false,"wellnessData":null},{"deploymentId":"a0rVT00000PqoP9YAJ","deploymentName":"Initial Deployment-Launch-CHCM, TLO, HLP, JRNY, EMPVCE, CCB, CCTPP, etc.","accountId":"0013000000J2kUcAAJ","accountName":"Viejas Casino &amp; Resort","industry":"Special Districts","region":"US SLED","subRegion":"Local Government ME","subRegionAlt":"US Local Gov ME CB","billingState":"California","billingCity":"Alpine","deploymentStartDate":"Mon Apr 28 2025 00:00:00 GMT-0400 (Eastern Daylight Time)","mtpDate":"Wed Mar 11 2026 00:00:00 GMT-0400 (Eastern Daylight Time)","firstMtpDate":"Wed Mar 11 2026 00:00:00 GMT-0400 (Eastern Daylight Time)","overallStatus":"Active","phase":"Launch","stage":"Post Prod","health":"Green","completionDate":"","wdEngManager":"","damFullName":"","primingPartner":"0014X00002U3CrYQAV","implPartner":"0014X00002U3CrYQAV","partner":"CrossVue, LLC","currentUpdate":"Adaptive reporting A&amp;C: 4/27-6/12","isExecutiveWatch":false,"wellnessData":null},{"deploymentId":"a0rVT00000YXI2cYAH","deploymentName":"Initial Deployment-Your Way-MSG, PPLA, PRA, TT, WSP, GPC, MCNF, etc.","accountId":"0014X00002ltTyDQAU","accountName":"Virginia Retirement System","industry":"State &amp; Local Government","region":"US SLED","subRegion":"Local Government LE","subRegionAlt":"US State Gov East","billingState":"Virginia","billingCity":"Richmond","deploymentStartDate":"Tue Jun 10 2025 00:00:00 GMT-0400 (Eastern Daylight Time)","mtpDate":"Mon Apr 27 2026 00:00:00 GMT-0400 (Eastern Daylight Time)","firstMtpDate":"","overallStatus":"Active","phase":"Your Way","stage":"Plan","health":"Green","completionDate":"","wdEngManager":"","damFullName":"","primingPartner":"0011B00002CZvnrQAD","implPartner":"0011B00002CZvnrQAD","partner":"Guidehouse Inc","currentUpdate":"ongoing stabilization activities.","isExecutiveWatch":false,"wellnessData":null},{"deploymentId":"a0rVT00000ny5f4YAA","deploymentName":"Specialized-Initial Deployment-Adaptive Planning","accountId":"0014X00002ltTyDQAU","accountName":"Virginia Retirement System","industry":"State &amp; Local Government","region":"US SLED","subRegion":"Local Government LE","subRegionAlt":"US State Gov East","billingState":"Virginia","billingCity":"Richmond","deploymentStartDate":"Mon Dec 01 2025 00:00:00 GMT-0500 (Eastern Standard Time)","mtpDate":"Fri May 29 2026 00:00:00 GMT-0400 (Eastern Daylight Time)","firstMtpDate":"Fri May 29 2026 00:00:00 GMT-0400 (Eastern Daylight Time)","overallStatus":"Active","phase":"Your Way","stage":"Plan","health":"Green","completionDate":"","wdEngManager":"","damFullName":"","primingPartner":"0011B00002CZvnrQAD","implPartner":"0011B00002CZvnrQAD","partner":"Guidehouse Inc","currentUpdate":"ongoing stabilization activities.","isExecutiveWatch":false,"wellnessData":null},{"deploymentId":"a0rVT00000STYXfYAP","deploymentName":"Initial Deployment-Your Way- FIN, GM, PRA, PRJT, EXP, PRO, etc.","accountId":"0018000000Wtz2eAAB","accountName":"Wake County","industry":"State &amp; Local Government","region":"US SLED","subRegion":"Local Government LE","subRegionAlt":"US Local Gov LE CB","billingState":"North Carolina","billingCity":"Raleigh","deploymentStartDate":"Mon Mar 03 2025 00:00:00 GMT-0500 (Eastern Standard Time)","mtpDate":"Thu Oct 01 2026 00:00:00 GMT-0400 (Eastern Daylight Time)","firstMtpDate":"","overallStatus":"Active","phase":"Your Way","stage":"Test","health":"Green","completionDate":"","wdEngManager":"","damFullName":"","primingPartner":"00130000008MSknAAG","implPartner":"00130000008MSknAAG","partner":"Accenture LLP","currentUpdate":"End to end testing started on 3/9 and will run through 7/17. Next ESC will be 6/30. Testing on track.","isExecutiveWatch":false,"wellnessData":null},{"deploymentId":"a0r4X00000CrUJMQA3","deploymentName":"Initial Deployment-Your Way - HCM, TLO, CCB, USP, LRN, FIN, etc","accountId":"0018000000qYGTFAA4","accountName":"Washington County, Oregon","industry":"State &amp; Local Government","region":"US SLED","subRegion":"Local Government ME","subRegionAlt":"US Local Gov ME CB","billingState":"Oregon","billingCity":"Hillsboro","deploymentStartDate":"Thu May 30 2024 00:00:00 GMT-0400 (Eastern Daylight Time)","mtpDate":"Mon Dec 08 2025 00:00:00 GMT-0500 (Eastern Standard Time)","firstMtpDate":"Mon Dec 08 2025 00:00:00 GMT-0500 (Eastern Standard Time)","overallStatus":"Active","phase":"Your Way","stage":"Post Prod","health":"Green","completionDate":"","wdEngManager":"","damFullName":"","primingPartner":"0018000000MWLslAAH","implPartner":"0018000000MWLslAAH","partner":"Collaborative Solutions, LLC","currentUpdate":"6/19 - The County completed their first close this week. wrapping up one remaining item related to a report change in prism. Looking to close project next week.","isExecutiveWatch":false,"wellnessData":null},{"deploymentId":"a0r4X00000DOvHTQA1","deploymentName":"Subsequent Deployment - Planning First : Financial Planning","accountId":"0011B00002CXXXOQA5","accountName":"Wyoming Community Development Authority","industry":"Special Districts","region":"US SLED","subRegion":"Local Government ME","subRegionAlt":"US Special Districts NN","billingState":"Wyoming","billingCity":"Casper","deploymentStartDate":"Tue Mar 07 2017 00:00:00 GMT-0500 (Eastern Standard Time)","mtpDate":"Thu Sep 07 2017 00:00:00 GMT-0400 (Eastern Daylight Time)","firstMtpDate":"Thu Sep 07 2017 00:00:00 GMT-0400 (Eastern Daylight Time)","overallStatus":"Complete","phase":"Planning First","stage":"Post Prod","health":"Green","completionDate":"","wdEngManager":"Summer Pilgeram","damFullName":"","primingPartner":"0011B00002CZYgHQAX","implPartner":"0011B00002CZYgHQAX","partner":"PBU Partner Ecosystem","currentUpdate":"Historical deployment load as part of Adaptive Systems Integration project in FY22. CSM listed as EM due to lack of historical data.","isExecutiveWatch":false,"wellnessData":null},{"deploymentId":"a0r4X00000DOZfKQAX","deploymentName":"Subsequent-Planning First-Your Way","accountId":"0014X00002FC0afQAD","accountName":"Wyoming Game and Fish Commission","industry":"State &amp; Local Government","region":"US SLED","subRegion":"Local Government LE","subRegionAlt":"US Local Gov LE NN &amp; States West","billingState":"Wyoming","billingCity":"Cheyenne","deploymentStartDate":"Tue Jun 01 2021 00:00:00 GMT-0400 (Eastern Daylight Time)","mtpDate":"Mon Nov 01 2021 00:00:00 GMT-0400 (Eastern Daylight Time)","firstMtpDate":"Mon Nov 01 2021 00:00:00 GMT-0400 (Eastern Daylight Time)","overallStatus":"Complete","phase":"Planning First","stage":"Post Prod","health":"Green","completionDate":"Mon Jan 03 2022 00:00:00 GMT-0500 (Eastern Standard Time)","wdEngManager":"","damFullName":"","primingPartner":"0011B00002CZYgHQAX","implPartner":"0011B00002CZYgHQAX","partner":"PBU Partner Ecosystem","currentUpdate":"Customer is live, Model review internal meeting complete, final customer call 12/9 then project closure.","isExecutiveWatch":false,"wellnessData":null},{"deploymentId":"a0r80000005czfHAAQ","deploymentName":"Initial Deployment-LDP:LDPHCM, LDPBEN, LDPCCB, LDPTT, LDPAM, LDPACM, LDPPD, etc.","accountId":"00180000010IBWvAAO","accountName":"Yuhaaviatam of San Manuel Nation","industry":"Special Districts","region":"US SLED","subRegion":"Local Government LE","subRegionAlt":"US Local Gov LE CB","billingState":"California","billingCity":"Highland","deploymentStartDate":"Mon Apr 24 2017 00:00:00 GMT-0400 (Eastern Daylight Time)","mtpDate":"Fri Dec 15 2017 00:00:00 GMT-0500 (Eastern Standard Time)","firstMtpDate":"Fri Dec 15 2017 00:00:00 GMT-0500 (Eastern Standard Time)","overallStatus":"Complete","phase":"LDP","stage":"Deploy","health":"Green","completionDate":"Mon Jul 29 2019 00:00:00 GMT-0400 (Eastern Daylight Time)","wdEngManager":"","damFullName":"","primingPartner":"0013000000KdrrVAAR","implPartner":"0013000000KdrrVAAR","partner":"Strada U.S. Professional Services, LLC","currentUpdate":"Closing per case 1037499","isExecutiveWatch":false,"wellnessData":null},{"deploymentId":"a0r4X00000DY0ysQAD","deploymentName":"Subsequent - Phase X - Your Way - Strategic Sourcing","accountId":"00180000010IBWvAAO","accountName":"Yuhaaviatam of San Manuel Nation","industry":"Special Districts","region":"US SLED","subRegion":"Local Government LE","subRegionAlt":"US Local Gov LE CB","billingState":"California","billingCity":"Highland","deploymentStartDate":"Fri May 05 2023 00:00:00 GMT-0400 (Eastern Daylight Time)","mtpDate":"Fri Sep 15 2023 00:00:00 GMT-0400 (Eastern Daylight Time)","firstMtpDate":"Fri Sep 15 2023 00:00:00 GMT-0400 (Eastern Daylight Time)","overallStatus":"Complete","phase":"Phase X - Sourcing","stage":"Deploy","health":"Green","completionDate":"Tue Oct 31 2023 00:00:00 GMT-0400 (Eastern Daylight Time)","wdEngManager":"Don Murphy","damFullName":"","primingPartner":"0018000000hIF6bAAG","implPartner":"0018000000hIF6bAAG","partner":"Workday Professional Services","currentUpdate":"Testing completed. Move to production approved and completed 9/15/23. Awaiting user go live confirmation from customer.","isExecutiveWatch":false,"wellnessData":null},{"deploymentId":"a0r80000009aRp4AAE","deploymentName":"Subsequent -Phase X-Recruiting","accountId":"00180000010IBWvAAO","accountName":"Yuhaaviatam of San Manuel Nation","industry":"Special Districts","region":"US SLED","subRegion":"Local Government LE","subRegionAlt":"US Local Gov LE CB","billingState":"California","billingCity":"Highland","deploymentStartDate":"Thu Jun 07 2018 00:00:00 GMT-0400 (Eastern Daylight Time)","mtpDate":"Fri Dec 28 2018 00:00:00 GMT-0500 (Eastern Standard Time)","firstMtpDate":"Fri Dec 28 2018 00:00:00 GMT-0500 (Eastern Standard Time)","overallStatus":"Complete","phase":"Phase X","stage":"Post Prod","health":"Green","completionDate":"Mon Feb 04 2019 00:00:00 GMT-0500 (Eastern Standard Time)","wdEngManager":"","damFullName":"","primingPartner":"0013000000KdrrVAAR","implPartner":"0013000000KdrrVAAR","partner":"Strada U.S. Professional Services, LLC","currentUpdate":"01/21&gt; post production support","isExecutiveWatch":false,"wellnessData":null},{"deploymentId":"a0r4X00000ESKmRQAX","deploymentName":"Subsequent-PhaseX: Extend","accountId":"00180000010IBWvAAO","accountName":"Yuhaaviatam of San Manuel Nation","industry":"Special Districts","region":"US SLED","subRegion":"Local Government LE","subRegionAlt":"US Local Gov LE CB","billingState":"California","billingCity":"Highland","deploymentStartDate":"Wed Jul 26 2023 00:00:00 GMT-0400 (Eastern Daylight Time)","mtpDate":"Thu Oct 31 2024 00:00:00 GMT-0400 (Eastern Daylight Time)","firstMtpDate":"","overallStatus":"Complete","phase":"Your Way","stage":"Deploy","health":"Green","completionDate":"Tue Feb 18 2025 00:00:00 GMT-0500 (Eastern Standard Time)","wdEngManager":"","damFullName":"","primingPartner":"0014X00002U3CrYQAV","implPartner":"0014X00002U3CrYQAV","partner":"CrossVue, LLC","currentUpdate":"- KR [10/7/24] Currently in testing for extend protected cases app","isExecutiveWatch":false,"wellnessData":null},{"deploymentId":"a0r4X00000E1A9DQAV","deploymentName":"Subsequent-PhaseX: Learning","accountId":"00180000010IBWvAAO","accountName":"Yuhaaviatam of San Manuel Nation","industry":"Special Districts","region":"US SLED","subRegion":"Local Government LE","subRegionAlt":"US Local Gov LE CB","billingState":"California","billingCity":"Highland","deplo</t>
  </si>
  <si>
    <t>a0pVT00000BCThTYAX</t>
  </si>
  <si>
    <t>sfdcRows:default:chunk:14</t>
  </si>
  <si>
    <t>ymentStartDate":"Wed Feb 22 2023 00:00:00 GMT-0500 (Eastern Standard Time)","mtpDate":"Tue Jun 06 2023 00:00:00 GMT-0400 (Eastern Daylight Time)","firstMtpDate":"Tue Jun 06 2023 00:00:00 GMT-0400 (Eastern Daylight Time)","overallStatus":"Complete","phase":"Phase X - Launch","stage":"Post Prod","health":"Green","completionDate":"Tue Jun 06 2023 00:00:00 GMT-0400 (Eastern Daylight Time)","wdEngManager":"","damFullName":"","primingPartner":"0014X00002U3CrYQAV","implPartner":"0014X00002U3CrYQAV","partner":"CrossVue, LLC","currentUpdate":"- Delivery Assurance (Completed)\n\n- Deploy (Completed)\n    Execute Cutover Plan (Completed)\n    Production Build (Completed)\n    Smoke Testing (Completed)","isExecutiveWatch":false,"wellnessData":null}]</t>
  </si>
  <si>
    <t>a0pVT00000BJKXmYAP</t>
  </si>
  <si>
    <t>sfdcRows:SLG_DH:chunk:0</t>
  </si>
  <si>
    <t>1/12/2026: Currently in hypercare. No outstanding issues, but not much adoption yet from Hiring Managers.</t>
  </si>
  <si>
    <t>a0rVT00000so7DhYAI</t>
  </si>
  <si>
    <t>Subsequent-Ad Hoc-Other-HiredScore Only-AITM-Career-Hub</t>
  </si>
  <si>
    <t>a0pVT00000BJKXnYAP</t>
  </si>
  <si>
    <t>a0pVT00000BJKXlYAP</t>
  </si>
  <si>
    <t>13-May-2026: J&amp;J has gone live with Career Hub and an Internal Fetch pilot for 21 users on April 15th</t>
  </si>
  <si>
    <t>a0r4X00000ETVpZQAX</t>
  </si>
  <si>
    <t>a0pVT00000BPMJyYAP</t>
  </si>
  <si>
    <t>a0rVT000018ijQvYAI</t>
  </si>
  <si>
    <t>Johnson Controls, Inc.</t>
  </si>
  <si>
    <t>a0pVT00000BPMJxYAP</t>
  </si>
  <si>
    <t>a0pVT00000BUuXtYAL</t>
  </si>
  <si>
    <t>a0rVT000018j6nOYAQ</t>
  </si>
  <si>
    <t>Tenant Request Case #2617272
Deployment Start Date: Oct 6, 2024
Deployment Target Go live Date: Mar 30, 2025
Products you are deploying: HiredScore AI for Recruiting
Employee count per country: United States 44,000
Source Tenant:</t>
  </si>
  <si>
    <t>a0rVT00000goMq2YAE</t>
  </si>
  <si>
    <t>a0pVT00000BL7MoYAL</t>
  </si>
  <si>
    <t>a0rVT000018k04xYAA</t>
  </si>
  <si>
    <t>Jones Lang LaSalle Americas, Inc.</t>
  </si>
  <si>
    <t>a0pVT00000BohWTYAZ</t>
  </si>
  <si>
    <t>a0rVT000018m33JYAQ</t>
  </si>
  <si>
    <t>a0pVT00000BohWYYAZ</t>
  </si>
  <si>
    <t>Date: May25, 2026
Overall Project Status: Good 
Currennt Status:
HyperCare
Next Steps:
Live
Detailed status in Slack:
https://workday.enterprise.slack.com/archives/C0AM7G7T7SM</t>
  </si>
  <si>
    <t>a0rVT000010HbSnYAK</t>
  </si>
  <si>
    <t>a0pVT00000BohWWYAZ</t>
  </si>
  <si>
    <t>Subsequent-Ad Hoc-Other-HiredScore Only-FastLane-automation</t>
  </si>
  <si>
    <t>a0pVT00000BohWVYAZ</t>
  </si>
  <si>
    <t>a0pVT00000BohWUYAZ</t>
  </si>
  <si>
    <t>a0pVT00000BohWXYAZ</t>
  </si>
  <si>
    <t>a0rVT000011a0q1YAA</t>
  </si>
  <si>
    <t>a0pVT00000BRQBNYA5</t>
  </si>
  <si>
    <t>a0rVT000018nyyrYAA</t>
  </si>
  <si>
    <t>a0pVT00000BOJWHYA5</t>
  </si>
  <si>
    <t>a0rVT000018uYGPYA2</t>
  </si>
  <si>
    <t>a0pVT00000BvMjpYAF</t>
  </si>
  <si>
    <t>a0rVT0000191HvdYAE</t>
  </si>
  <si>
    <t>Scorecard request: 3216863</t>
  </si>
  <si>
    <t>a0rVT00000h5UhbYAE</t>
  </si>
  <si>
    <t>Jump Operations, LLC</t>
  </si>
  <si>
    <t>a0pVT00000BcvyDYAR</t>
  </si>
  <si>
    <t>a0rVT0000191b34YAA</t>
  </si>
  <si>
    <t>a0pVT00000BQYPWYA5</t>
  </si>
  <si>
    <t>a0rVT0000191ogEYAQ</t>
  </si>
  <si>
    <t>a0pVT00000BQYPVYA5</t>
  </si>
  <si>
    <t>a0pVT00000Bc0FDYAZ</t>
  </si>
  <si>
    <t>Jump went live with the Evisort solution on 7/31/25. Hypercare support in progress.</t>
  </si>
  <si>
    <t>a0rVT00000xHAkXYAW</t>
  </si>
  <si>
    <t>a0pVT00000BUmaLYAT</t>
  </si>
  <si>
    <t>Kardex Germany GmbH</t>
  </si>
  <si>
    <t>a0rVT0000192FLSYA2</t>
  </si>
  <si>
    <t>a0pVT00000BUmaMYAT</t>
  </si>
  <si>
    <t>a0pVT00000BSqwbYAD</t>
  </si>
  <si>
    <t>a0rVT0000196iVJYAY</t>
  </si>
  <si>
    <t>uly 6 Go-Live on hold despite successful UAT due to Germany AI/works council review (set for July 22). Client may decouple Germany from scope. Next step: assess timeline, resource, and Change Order cost impacts of a delay or scope change by July 22.</t>
  </si>
  <si>
    <t>a0pVT00000BUhijYAD</t>
  </si>
  <si>
    <t>KBP Brands, LLC</t>
  </si>
  <si>
    <t>a0pVT00000BdI6nYAF</t>
  </si>
  <si>
    <t>a0rVT000019VosTYAS</t>
  </si>
  <si>
    <t>a0pVT00000BfS8TYAV</t>
  </si>
  <si>
    <t>Statement of Work</t>
  </si>
  <si>
    <t>Post support period ends today 8/17
This project can be closed</t>
  </si>
  <si>
    <t>a0pVT00000BdI6oYAF</t>
  </si>
  <si>
    <t>a0rVT00000fdKIoYAM</t>
  </si>
  <si>
    <t>Kenvue Brands LLC</t>
  </si>
  <si>
    <t>a0pVT00000Bbzz3YAB</t>
  </si>
  <si>
    <t>a0pVT00000Bbzz4YAB</t>
  </si>
  <si>
    <t>Initial Deployment-Your Way-PRO, INV, SRCEXP, CLM, XTND, EMPVCE, CCB,etc</t>
  </si>
  <si>
    <t>a0pVT00000BjvDVYAZ</t>
  </si>
  <si>
    <t>Kettering Adventist Healthcare dba Kettering Health</t>
  </si>
  <si>
    <t>a0pVT00000C3V8PYAV</t>
  </si>
  <si>
    <t>Client has successfully entered Test and is on track with Unit Testing. CCS completed week of 7/27.</t>
  </si>
  <si>
    <t>a0pVT00000BsbHCYAZ</t>
  </si>
  <si>
    <t>KeyBank N.A.</t>
  </si>
  <si>
    <t>a0pVT00000C3VZqYAN</t>
  </si>
  <si>
    <t>a0rVT00001A2Kh7YAF</t>
  </si>
  <si>
    <t>sfdcRows:SLG_DH:chunk:1</t>
  </si>
  <si>
    <t>Joe Finnegan</t>
  </si>
  <si>
    <t>a0pVT00000Bvf89YAB</t>
  </si>
  <si>
    <t>a0rVT00001APYEjYAP</t>
  </si>
  <si>
    <t>14-Aug-2026 - ECG and Career Hub are live in Prod. KeyBank planning staggered roll out to employees. KeyBank have raised an issue with inconsistence product naming within ECG which is now being addressed.</t>
  </si>
  <si>
    <t>a0rVT00000hBuJCYA0</t>
  </si>
  <si>
    <t>Specilized-Initial Deployment-Evisort</t>
  </si>
  <si>
    <t>a0pVT00000Bv0L8YAJ</t>
  </si>
  <si>
    <t>Kikoff</t>
  </si>
  <si>
    <t>a0pVT00000Bumi1YAB</t>
  </si>
  <si>
    <t>a0pVT00000BvlQTYAZ</t>
  </si>
  <si>
    <t>a0rVT00001ASqThYAL</t>
  </si>
  <si>
    <t>Solution deployed. Last day of hypercare and proj close is 9/17.</t>
  </si>
  <si>
    <t>Subsequent-Phase X-Your Way: Paradox</t>
  </si>
  <si>
    <t>KION Information Management Services GmbH</t>
  </si>
  <si>
    <t>a0pVT00000Bvo3OYAR</t>
  </si>
  <si>
    <t>a0rVT00001ATaJjYAL</t>
  </si>
  <si>
    <t>a0pVT00000Bz52rYAB</t>
  </si>
  <si>
    <t>a0rVT00001AgAccYAF</t>
  </si>
  <si>
    <t>a0pVT00000BqRtpYAF</t>
  </si>
  <si>
    <t>Discovery complete and design sessions started.
Workday staffing an issue and causing project to report as Amber - if TC not assigned by end of Aug project will go on hold.</t>
  </si>
  <si>
    <t>a0rVT000011IcfIYAS</t>
  </si>
  <si>
    <t>KIPP DC</t>
  </si>
  <si>
    <t>a0pVT00000BqRsDYAV</t>
  </si>
  <si>
    <t>a0pVT00000Bz52sYAB</t>
  </si>
  <si>
    <t>Project completed</t>
  </si>
  <si>
    <t>a0rVT00000ay9RwYAI</t>
  </si>
  <si>
    <t>KLA Corporation</t>
  </si>
  <si>
    <t>a0pVT00000Bz52tYAB</t>
  </si>
  <si>
    <t>Strategic Sourcing - Contracts</t>
  </si>
  <si>
    <t>a0pVT00000Bz52uYAB</t>
  </si>
  <si>
    <t>12/2: Customer Hypercare has ended. Customer is live with limited user group.</t>
  </si>
  <si>
    <t>Kognitiv Inc</t>
  </si>
  <si>
    <t>a0pVT00000Bz52vYAB</t>
  </si>
  <si>
    <t>a0pVT00000BvlNFYAZ</t>
  </si>
  <si>
    <t>Design sessions ongoing.</t>
  </si>
  <si>
    <t>a0pVT00000C3uy1YAB</t>
  </si>
  <si>
    <t>La Française des Jeux</t>
  </si>
  <si>
    <t>a0pVT00000C3CH6YAN</t>
  </si>
  <si>
    <t>a0pVT00000C2fg5YAB</t>
  </si>
  <si>
    <t>a0pVT00000C2feTYAR</t>
  </si>
  <si>
    <t>a0rVT00001BHkKZYA1</t>
  </si>
  <si>
    <t>July 21:  Design calls finished, Export successfully completed, build phase has started</t>
  </si>
  <si>
    <t>a0rVT00000XKmXKYA1</t>
  </si>
  <si>
    <t>Laboratory Corporation of America Holdings</t>
  </si>
  <si>
    <t>10/04 CF issues resolved focus has returned to ECG</t>
  </si>
  <si>
    <t>LEGO System A/S</t>
  </si>
  <si>
    <t>Nordics</t>
  </si>
  <si>
    <t>Denmark CB</t>
  </si>
  <si>
    <t>Date: August 17, 2026
Overall Project Status: On track 
Current Status:
HyperCare
Next Steps:
Live
Detailed status in Slack:
https://workday.enterprise.slack.com/archives/C0AE2R0BT89</t>
  </si>
  <si>
    <t>a0rVT000015skQfYAI</t>
  </si>
  <si>
    <t>Leidos, Inc.</t>
  </si>
  <si>
    <t>US Federal</t>
  </si>
  <si>
    <t>US Federal Defense &amp; Intel</t>
  </si>
  <si>
    <t>Felix Mishiev</t>
  </si>
  <si>
    <t>Scorecard request: 3296753</t>
  </si>
  <si>
    <t>Lauri Crespi</t>
  </si>
  <si>
    <t>8/14: Design and TPP in progress, TPP validations in progress</t>
  </si>
  <si>
    <t>Lendlease Management Services Limited</t>
  </si>
  <si>
    <t>30/07/2026
Overall Project Status: on track
Current Project Phase: Design
Week: 7 out of 32
Open Topics: NA
Next Steps: stage integration, security approvals</t>
  </si>
  <si>
    <t>sfdcRows:SLG_DH:chunk:2</t>
  </si>
  <si>
    <t>a0rVT000012UDZRYA4</t>
  </si>
  <si>
    <t>Lennar Homes, LLC</t>
  </si>
  <si>
    <t>US DI LE CB TM &amp; PS Southeast</t>
  </si>
  <si>
    <t>Leonardo S.P.A.</t>
  </si>
  <si>
    <t>Italy</t>
  </si>
  <si>
    <t>Italy LE CB</t>
  </si>
  <si>
    <t>Live with Internal Fetch as of July 20th. ECG will be made live at a later date as decided by Leonardo.</t>
  </si>
  <si>
    <t>a0r4X00000ETVRwQAP</t>
  </si>
  <si>
    <t>2884168 - c360 has been changed to deployed</t>
  </si>
  <si>
    <t>Levi Strauss &amp; Co.</t>
  </si>
  <si>
    <t>Taylor Mitchell</t>
  </si>
  <si>
    <t>Wrapping up SIT</t>
  </si>
  <si>
    <t>Subsequent-Phase X-Launch: Evisort</t>
  </si>
  <si>
    <t>LHMSH, LLC dba Larry H. Miller Senior Health</t>
  </si>
  <si>
    <t>Post support period from 8/17 to 8/31</t>
  </si>
  <si>
    <t>a0rVT00000uZRYbYAO</t>
  </si>
  <si>
    <t>Light &amp; Wonder</t>
  </si>
  <si>
    <t>timestamp</t>
  </si>
  <si>
    <t>appId</t>
  </si>
  <si>
    <t>21-Jul-2026 - Spotlight and the HM Hub went live on June 23rd. The HM&lt;&gt;TA Collaborator went fully live on July 20th.</t>
  </si>
  <si>
    <t>monthLabel</t>
  </si>
  <si>
    <t>fromAlias</t>
  </si>
  <si>
    <t>Subsequent-Ad Hoc-Other-Paradox Only</t>
  </si>
  <si>
    <t>subject</t>
  </si>
  <si>
    <t>toCount</t>
  </si>
  <si>
    <t>ccCount</t>
  </si>
  <si>
    <t>toList</t>
  </si>
  <si>
    <t>ccList</t>
  </si>
  <si>
    <t>status</t>
  </si>
  <si>
    <t>Shane Cline</t>
  </si>
  <si>
    <t>error</t>
  </si>
  <si>
    <t>messageId</t>
  </si>
  <si>
    <t>threadId</t>
  </si>
  <si>
    <t>Legacy project signed in Paradox paper. EM is a Cielo Resource under PDX agreement. PSA project created as R0 Light &amp; Wonder - Apply/Sched w WD Paradox (Non Billable) for time tracking and forecasting only - not billable, no utilization credits</t>
  </si>
  <si>
    <t>captureMethod</t>
  </si>
  <si>
    <t>a0rVT00000XkGtJYAV</t>
  </si>
  <si>
    <t>sentBy</t>
  </si>
  <si>
    <t>LinkedIn Corporation</t>
  </si>
  <si>
    <t>mode</t>
  </si>
  <si>
    <t>category</t>
  </si>
  <si>
    <t>notificationKey</t>
  </si>
  <si>
    <t>US DI LE CB TM &amp; PS Northwest</t>
  </si>
  <si>
    <t>bccCount</t>
  </si>
  <si>
    <t>bccList</t>
  </si>
  <si>
    <t>5/7: Linkedin published all 5 custom ai models in prod. Project closure approved.</t>
  </si>
  <si>
    <t>a0rVT00000jSJ4HYAW</t>
  </si>
  <si>
    <t>Lloyds Bank plc</t>
  </si>
  <si>
    <t>UKI FSI LE NN</t>
  </si>
  <si>
    <t>Hypercare has ended.</t>
  </si>
  <si>
    <t>a0rVT00000n2tnZYAQ</t>
  </si>
  <si>
    <t>Lowe's Companies, Inc.</t>
  </si>
  <si>
    <t>Date: March 30, 2026
Overall Project Status: Plan - On track
Current Project Phase: Deploay
Week:21 out of 22
Open Topics:
Change Config to Default-Opt-in
Next Steps 
* HyperCare
Detailed status in Slack</t>
  </si>
  <si>
    <t>a0rVT000015A5xVYAS</t>
  </si>
  <si>
    <t>Raviraj Nair</t>
  </si>
  <si>
    <t>Project status is Green (Week 8/7) with migration complete. Client updates are live in Production, and an active Support ticket is open for the BP update. No next steps.</t>
  </si>
  <si>
    <t>sfdcRows:SLG_DH:chunk:3</t>
  </si>
  <si>
    <t>LUMA Energy ServCo, LLC</t>
  </si>
  <si>
    <t>a0rVT00000hO4RcYAK</t>
  </si>
  <si>
    <t>Specialized Initial-Evisort Only</t>
  </si>
  <si>
    <t>Lumexa Imaging, Inc.</t>
  </si>
  <si>
    <t>US Healthcare LE NN East</t>
  </si>
  <si>
    <t>Scorecard Close- 3035198</t>
  </si>
  <si>
    <t>Lynn University, Inc.</t>
  </si>
  <si>
    <t>Yohana Gomez</t>
  </si>
  <si>
    <t>08.17: As of today, we've officially delivered the complete scope of work as committed to Lynn University.
- SOW: 2 Workflows + 2 AI Models, + 3rd workflow for them. 
- Go-live for 08.31 and we can kick-off our Hypercare starting 09.01
- Prod 8.24</t>
  </si>
  <si>
    <t>Initial Deployment-Launch-LDPJRNY-ACT, LDPFIN, LDPCLMB</t>
  </si>
  <si>
    <t>M&amp;O Agencies, LLC</t>
  </si>
  <si>
    <t>Launch Now</t>
  </si>
  <si>
    <t>0014X00002L9Vz2QAF</t>
  </si>
  <si>
    <t>Knowbrist Corp d/b/a Three Link Solutions</t>
  </si>
  <si>
    <t>Going through CIW and FDM.</t>
  </si>
  <si>
    <t>Magnum ICC Global Services BV</t>
  </si>
  <si>
    <t>August 16, 2026
Getting everythnig ready for the move to prod for this client; still waiting on confirmation of how to move forward with HMTA</t>
  </si>
  <si>
    <t>a0rVT00000dZ4TlYAK</t>
  </si>
  <si>
    <t>Main Street Sports Group, LLC</t>
  </si>
  <si>
    <t>1/6 sent termination agreement to close out project.</t>
  </si>
  <si>
    <t>a0rVT00000Pv73MYAR</t>
  </si>
  <si>
    <t>Marcus &amp; Millichap Inc.</t>
  </si>
  <si>
    <t>Client wend live successfully.</t>
  </si>
  <si>
    <t>a0rVT0000190B5qYAE</t>
  </si>
  <si>
    <t>Maricopa County Special Health Care District dba Valleywise Health (Precision Task Group, Inc.)</t>
  </si>
  <si>
    <t>sfdcRows:SLG_DH:chunk:4</t>
  </si>
  <si>
    <t>Andrew Pratt</t>
  </si>
  <si>
    <t>Kickoff today. Project on track and resources ready to engage</t>
  </si>
  <si>
    <t>a0rVT00000iRiLOYA0</t>
  </si>
  <si>
    <t>Marvin Lumber and Cedar Company, LLC</t>
  </si>
  <si>
    <t>went live on 8/18. closing on 8/29</t>
  </si>
  <si>
    <t>a0rVT000017gp9dYAA</t>
  </si>
  <si>
    <t>Initial Deployment-Launch-XTND, CLMB, LRNSNA,etc</t>
  </si>
  <si>
    <t>Maryland-National Capital Park and Planning Commission</t>
  </si>
  <si>
    <t>a0rVT00000shy8HYAQ</t>
  </si>
  <si>
    <t>Maverick Transportation, LLC</t>
  </si>
  <si>
    <t>3/30: moved workflows to production, in hypercare, offering support for a few weeks before roll off.</t>
  </si>
  <si>
    <t>Medical Transportation Management, Inc.</t>
  </si>
  <si>
    <t>a0rVT00000tT3u5YAC</t>
  </si>
  <si>
    <t>Medtronic, Inc.</t>
  </si>
  <si>
    <t>"30/07/2026
Overall Project Status: Hypercare ended. Discussion on HMTA
Current Project Phase: Discussion on HMTA
Week: 28 out of 28
Open Topics: HMTA review
Next Steps: HMTA discussion"</t>
  </si>
  <si>
    <t>a0rVT000015AEfpYAG</t>
  </si>
  <si>
    <t>Memorial Sloan-Kettering Cancer Center</t>
  </si>
  <si>
    <t>Tenant provisioned and BP provided and internal testing complete and passed to MSK, this is last week of project and they have confirmed no CR is needed and will raise a ticket to move changes to production</t>
  </si>
  <si>
    <t>a0rVT00000YPIhJYAX</t>
  </si>
  <si>
    <t>* MS team UAT bug fixing in progress
* The Prod UAT planned to today</t>
  </si>
  <si>
    <t>Subsequent-Phase X-Paradox</t>
  </si>
  <si>
    <t>This project is managed by Invisors, participating on Wd Collab program.</t>
  </si>
  <si>
    <t>a0rVT00000XL4U3YAL</t>
  </si>
  <si>
    <t>Merck Sharp &amp; Dohme LLC</t>
  </si>
  <si>
    <t>Client went live successfully onDecember 5th.</t>
  </si>
  <si>
    <t>Subsequent- Phase X- VNDLY and Paradox</t>
  </si>
  <si>
    <t>Mercy Health</t>
  </si>
  <si>
    <t>sfdcRows:SLG_DH:chunk:5</t>
  </si>
  <si>
    <t>8/17 - Paradox: Discovery sessions in progress until 9/4
VNDLY: design sessions wrapping up by 8/21</t>
  </si>
  <si>
    <t>a0rVT00000bRM94YAG</t>
  </si>
  <si>
    <t>Client is live 12/8/2025</t>
  </si>
  <si>
    <t>a0rVT00000n8059YAA</t>
  </si>
  <si>
    <t>Evisort Legacy Scorecard</t>
  </si>
  <si>
    <t>Merit Energy</t>
  </si>
  <si>
    <t>ME NN MFG</t>
  </si>
  <si>
    <t>US DI ME NN MFG South</t>
  </si>
  <si>
    <t>a0rVT00001B5sNXYAZ</t>
  </si>
  <si>
    <t>Merit Financial Group, LLC</t>
  </si>
  <si>
    <t>0014X00002ej7IIQAY</t>
  </si>
  <si>
    <t>Syssero, Inc.</t>
  </si>
  <si>
    <t>8/11: just received scorecard, proceed to submit a wd case to provision a tenant</t>
  </si>
  <si>
    <t>a0r4X00000ETX3NQAX</t>
  </si>
  <si>
    <t>Methodist Health System</t>
  </si>
  <si>
    <t>Client is already live.</t>
  </si>
  <si>
    <t>a0rVT00000a7OAdYAM</t>
  </si>
  <si>
    <t>Metrocare Services</t>
  </si>
  <si>
    <t>Client is Live now</t>
  </si>
  <si>
    <t>a0rVT00000jGUbRYAW</t>
  </si>
  <si>
    <t>Michels Corporation</t>
  </si>
  <si>
    <t>Project has not begun. Larger workday team working with Customer to determine when CLM can be brought into the fold. There is a larger WD implementation occuring in paralle.</t>
  </si>
  <si>
    <t>Mitsui Sumitomo Marine Management (U.S.A.), Inc.</t>
  </si>
  <si>
    <t>Art of the possible demo scheduled for 8/13. working sessions scheduled for 8/18</t>
  </si>
  <si>
    <t>a0rVT00000uZorPYAS</t>
  </si>
  <si>
    <t>ModernaTX, Inc.</t>
  </si>
  <si>
    <t>Project status is Green (Week 25/22) in the Hypercare phase with no open topics. Next steps are focused on answering all questions raised by the client.</t>
  </si>
  <si>
    <t>Momentive Performance Materials Inc</t>
  </si>
  <si>
    <t>Completed: Fucmtional Design Sessions
In Progress: TPP Setup
Next Milestones
Aug 28: Staging TPP complete
Aug 31 – Sep 18: Staging Build
Sep 21 – Sep 25: Staging UAT
Sep 28 – Oct 2: Prod Migration
Oct 19 Go Live</t>
  </si>
  <si>
    <t>Mondelez Global LLC</t>
  </si>
  <si>
    <t>13/8  Accenture working through their build items with HiredScore TPP due to begin next week on 17th August - SSO already in place for preprod. Product team are working through a review of design decisions to determine items not required for Gold Standard</t>
  </si>
  <si>
    <t>a0rVT00000nlBtRYAU</t>
  </si>
  <si>
    <t>Moneris Solutions Corporation</t>
  </si>
  <si>
    <t>Canada ME Central</t>
  </si>
  <si>
    <t>Mar 8 - Went live on Feb 19. Currently in hypercare</t>
  </si>
  <si>
    <t>Moneysupermarket.com Financial Group Limited</t>
  </si>
  <si>
    <t>sfdcRows:SLG_DH:chunk:6</t>
  </si>
  <si>
    <t>0018000000rO5RfAAK</t>
  </si>
  <si>
    <t>Kainos Worksmart Limited</t>
  </si>
  <si>
    <t>Discussions ongoing with the customer about the outcomes of the project and alignment to business goals. Workday engaged for ramp up.</t>
  </si>
  <si>
    <t>Subsequent- Phase X- Evisort CLM</t>
  </si>
  <si>
    <t>Motion Picture Association Inc</t>
  </si>
  <si>
    <t>Allowed fromAlias values (must be verified Gmail send-as aliases): jeffrey.ditty@workday.com</t>
  </si>
  <si>
    <t>Motorola Solutions, Inc.</t>
  </si>
  <si>
    <t>enabled</t>
  </si>
  <si>
    <t>type</t>
  </si>
  <si>
    <t>toRole</t>
  </si>
  <si>
    <t>to</t>
  </si>
  <si>
    <t>cc</t>
  </si>
  <si>
    <t>grouping</t>
  </si>
  <si>
    <t>leadDays</t>
  </si>
  <si>
    <t>Week 7, Go Live Nov. 16
TPP - in progress, on track
Design - in progress, on track
*Paradox design completed</t>
  </si>
  <si>
    <t>finalDays</t>
  </si>
  <si>
    <t>windowDays</t>
  </si>
  <si>
    <t>cadence</t>
  </si>
  <si>
    <t>sendDay</t>
  </si>
  <si>
    <t>bodyTemplate</t>
  </si>
  <si>
    <t>em_reminder_first</t>
  </si>
  <si>
    <t>Eric Evans</t>
  </si>
  <si>
    <t>7/29: BRD and ICD Signed off.  Functional and Technical builds starting</t>
  </si>
  <si>
    <t>em_reminder</t>
  </si>
  <si>
    <t>MultiCare Health System</t>
  </si>
  <si>
    <t>engagementManager</t>
  </si>
  <si>
    <t>jeffrey.ditty@workday.com</t>
  </si>
  <si>
    <t>07/22 Initial forecast</t>
  </si>
  <si>
    <t>MV Transportation, Inc.</t>
  </si>
  <si>
    <t>Transit Systems</t>
  </si>
  <si>
    <t>sfdcRows:SLG_DH:chunk:7</t>
  </si>
  <si>
    <t>Design Status
Project Kickoff: Complete (Jul 29).
Tpp will be completed by Osnat (No resources on the client's end).</t>
  </si>
  <si>
    <t>Reminder: {{surveyType}} survey for {{account}} in {{daysUntil}} days</t>
  </si>
  <si>
    <t>&lt;p&gt;Hi {{emName}},&lt;/p&gt;&lt;p&gt;This is a reminder that a &lt;strong&gt;{{surveyType}}&lt;/strong&gt; survey for &lt;strong&gt;{{account}}&lt;/strong&gt; is coming up on &lt;strong&gt;{{eventDate}}&lt;/strong&gt; ({{daysUntil}} days).  Please login to Salesforce and update all data within the scorecard as needed to successfully initiate this process.&lt;/p&gt;&lt;p&gt;The Current MTP Date for &lt;strong&gt;{{deploymentName}}&lt;/strong&gt; is &lt;strong&gt;{{mtpDate}}&lt;/strong&gt;.&lt;/p&gt;
&lt;p&gt;&lt;strong&gt;Please review your current contacts for your deployment:&lt;/strong&gt;&lt;/p&gt;
{{contactList}}&lt;p&gt;Delivery Director: {{dd}}&lt;/p&gt;</t>
  </si>
  <si>
    <t>✓ valid</t>
  </si>
  <si>
    <t>em_reminder_final</t>
  </si>
  <si>
    <t>Teresa Jenkins</t>
  </si>
  <si>
    <t>8.11.26: Build in progress, integrations in progress. Demo and testing to start 8/24.</t>
  </si>
  <si>
    <t>MVP Health Plan, Inc.</t>
  </si>
  <si>
    <t>Alex Dagher</t>
  </si>
  <si>
    <t>Document migration ongoing; workflow sessions in progress; training planning scheduled for next couple weeks.</t>
  </si>
  <si>
    <t>a0rVT00000iS4aUYAS</t>
  </si>
  <si>
    <t>National Veterinary Associates Inc</t>
  </si>
  <si>
    <t>Final reminder: {{surveyType}} survey for {{account}} in {{daysUntil}} days</t>
  </si>
  <si>
    <t>US Healthcare LE NN West</t>
  </si>
  <si>
    <t>&lt;p&gt;Hi {{emName}},&lt;/p&gt;&lt;p&gt;&lt;strong&gt;Final reminder:&lt;/strong&gt; the &lt;strong&gt;{{surveyType}}&lt;/strong&gt; survey for &lt;strong&gt;{{account}}&lt;/strong&gt; ({{deploymentName}}) is on &lt;strong&gt;{{eventDate}}&lt;/strong&gt; ({{daysUntil}} days).&lt;/p&gt;&lt;p&gt;Delivery Director: {{dd}}&lt;/p&gt;</t>
  </si>
  <si>
    <t>dd_digest</t>
  </si>
  <si>
    <t>KJY 9/29 trying to close this out
Scorecard closed as per Case# 2997651</t>
  </si>
  <si>
    <t>deliveryDirector</t>
  </si>
  <si>
    <t>a0rVT00000sGiVpYAK</t>
  </si>
  <si>
    <t>all</t>
  </si>
  <si>
    <t>monthly</t>
  </si>
  <si>
    <t>Upcoming MDS/PGL events — {{periodLabel}}</t>
  </si>
  <si>
    <t>NAV CANADA</t>
  </si>
  <si>
    <t>&lt;p&gt;Hi {{ddName}},&lt;/p&gt;&lt;p&gt;Here are upcoming MDS/PGL events in the next {{windowDays}} days ({{periodLabel}}):&lt;/p&gt;{{upcomingList}}</t>
  </si>
  <si>
    <t>Shane Griffith</t>
  </si>
  <si>
    <t>UAT has gone two weeks over. Client will not sign off due to following an internal audit process and resource limitations their side. There was some bugs and translation limitations early in UAT which have been resolved, will be engaging for CO next week</t>
  </si>
  <si>
    <t>a0rVT00001BTzvhYAD</t>
  </si>
  <si>
    <t>Subsequent-Ad Hoc-Other: HiredScore</t>
  </si>
  <si>
    <t>NBT Bancorp, Inc.</t>
  </si>
  <si>
    <t>Initial Deployment-Launch-LDPPRJT, LDPEXP, LDPCLM,etc</t>
  </si>
  <si>
    <t>Neighborcare Health</t>
  </si>
  <si>
    <t>Jonathan Wen</t>
  </si>
  <si>
    <t>0011B00002FfET3QAN</t>
  </si>
  <si>
    <t>Nordic Consulting Partners, Inc.</t>
  </si>
  <si>
    <t>Go live was 7/1/26 for all but expenses and capital projects</t>
  </si>
  <si>
    <t>a0rVT00000t2nmaYAA</t>
  </si>
  <si>
    <t>sfdcRows:SLG_DH:chunk:8</t>
  </si>
  <si>
    <t>Project Completed. Customer currently in Post-Prod</t>
  </si>
  <si>
    <t>Neurocrine Biosciences, Inc.</t>
  </si>
  <si>
    <t>client Signed off UAT moving to Prod</t>
  </si>
  <si>
    <t>Subsequent-Phase X: Strategic Sourcing, CLM, Procurement</t>
  </si>
  <si>
    <t>Newfold Digital, Inc.</t>
  </si>
  <si>
    <t>UPW complete and USI complete</t>
  </si>
  <si>
    <t>Northeast Georgia Medical Center, Inc.</t>
  </si>
  <si>
    <t>KJY 7/28: Nearly through CI reqs... but not sure where client is at on migration because 3rd party is unstacking. possible risk here. We have started discussing workflows</t>
  </si>
  <si>
    <t>Subsequent-Phase X-Launch: Evisort (CLM)</t>
  </si>
  <si>
    <t>Northeastern Illinois University (Precision Task Group, Inc)</t>
  </si>
  <si>
    <t>Post Prod continues through September.  No concerns at this point</t>
  </si>
  <si>
    <t>a0rVT00000bRrsZYAS</t>
  </si>
  <si>
    <t>Novartis Pharma AG</t>
  </si>
  <si>
    <t>Alps</t>
  </si>
  <si>
    <t>Alps LE CB</t>
  </si>
  <si>
    <t>11/01/2026
Overall Project Status: Live
Current Project Phase (choose from list): hypercare
Week: 27 out of 27
Open Topics: commercial items - preprod env request and Penn test
Next Steps: Hypercare review</t>
  </si>
  <si>
    <t>a0rVT000012B9zRYAS</t>
  </si>
  <si>
    <t>Subsequent-Ad Hoc-Other-HiredScore-newJobApplication Only</t>
  </si>
  <si>
    <t>Scorecard request: 3228080</t>
  </si>
  <si>
    <t>Specialized - Initial Deployment: Paradox</t>
  </si>
  <si>
    <t>Oaklawn Jockey Club, Inc.</t>
  </si>
  <si>
    <t>Invisors EM confirmed that they are in the planning phase and no issues to report as of today</t>
  </si>
  <si>
    <t>OGI Shared Service Center – Advertising, LLC</t>
  </si>
  <si>
    <t>Testing in progress - will run UAT concurrent with the 4th week of Testing.</t>
  </si>
  <si>
    <t>a0rVT0000145DrRYAU</t>
  </si>
  <si>
    <t>Omni-Invictus LLC, d/b/a Array</t>
  </si>
  <si>
    <t>Client completed Hyper-care successfully no meagre issues here raised during the Hyper-care. Hand over was done to the HS CSM.</t>
  </si>
  <si>
    <t>OneDigital</t>
  </si>
  <si>
    <t>Currently testing our config in Teams</t>
  </si>
  <si>
    <t>a0rVT00000bRf1oYAC</t>
  </si>
  <si>
    <t>OneOncology LLC</t>
  </si>
  <si>
    <t>The project is in the Hypercare period following a successful Go-Live last week (week 22 out of 21). There are no open topics. The immediate next steps are the scheduled weekly check-in calls.</t>
  </si>
  <si>
    <t>OneSource Virtual, Inc.</t>
  </si>
  <si>
    <t>sfdcRows:SLG_DH:chunk:9</t>
  </si>
  <si>
    <t>07/01 Testing Salesforce connector before CI Migration</t>
  </si>
  <si>
    <t>a0rVT00000vY0nLYAS</t>
  </si>
  <si>
    <t>OneSpan North America Inc.</t>
  </si>
  <si>
    <t>Doing training and then closing out project</t>
  </si>
  <si>
    <t>Opera Norway AS</t>
  </si>
  <si>
    <t>Norway CB</t>
  </si>
  <si>
    <t>Project FC transitioned from Sunil Patel to Stacy Feldman.
project is on hold
Customer is on vacation until august and have items that Sunil needs to escalate to support their SOX requirements to use workflow</t>
  </si>
  <si>
    <t>Oregon State University</t>
  </si>
  <si>
    <t>US Higher Ed LE West</t>
  </si>
  <si>
    <t>8/10: OSU decided to skip doc migration and focus on WFs. 1 WF build and soft Go-Live with core users completed on 7/6. WF Disco complete, waiting OSU team to confirm tenants for WSS integration</t>
  </si>
  <si>
    <t>Osaic, Inc.</t>
  </si>
  <si>
    <t>7/27: Extended PP support to 9/4 due to product issues. Project budget can support</t>
  </si>
  <si>
    <t>a0rVT00000jVqBhYAK</t>
  </si>
  <si>
    <t>Specialized-Initial-Ad Hoc-Other-Evisort Only</t>
  </si>
  <si>
    <t>Otsuka America Pharmaceutical, Inc.</t>
  </si>
  <si>
    <t>US DI ME NN MFG Northeast</t>
  </si>
  <si>
    <t>12/9 KJY: closing project, project complete</t>
  </si>
  <si>
    <t>a0rVT00000p3zhbYAA</t>
  </si>
  <si>
    <t>Subsequent-AdHoc-Evisort Supplemental Support</t>
  </si>
  <si>
    <t>Otsuka America, Inc.</t>
  </si>
  <si>
    <t>11/26 live</t>
  </si>
  <si>
    <t>a0rVT00000eW2MFYA0</t>
  </si>
  <si>
    <t>OU Medicine, Inc.</t>
  </si>
  <si>
    <t>1/15/2026: Customer is live in Production on 1/15/26
UPDATE 1/15: Received official Production sign off</t>
  </si>
  <si>
    <t>a0rVT00000nYeoWYAS</t>
  </si>
  <si>
    <t>Ovation Healthcare</t>
  </si>
  <si>
    <t>sfdcRows:SLG_DH:chunk:10</t>
  </si>
  <si>
    <t>Week: 18
Current Status: Hypercare complete and agreed with client
Open Topics:
- Internal: Fetch job is not running correctly. To be reviewed before handover to support.
Next Steps:
(1) Review Fetch set-up and complete support handover (2) Retrospective</t>
  </si>
  <si>
    <t>a0rVT00000b7yweYAA</t>
  </si>
  <si>
    <t>Palo Alto Networks, Inc.</t>
  </si>
  <si>
    <t>Production integrations have been validated, internal Production Build and testing is underway. Client Production UAT is scheduled for 2/4/26</t>
  </si>
  <si>
    <t>Patagonia Works</t>
  </si>
  <si>
    <t>08/17 - Discovery/ design going on until 9/10</t>
  </si>
  <si>
    <t>a0rVT00000gnAitYAE</t>
  </si>
  <si>
    <t>Pax8, Inc.</t>
  </si>
  <si>
    <t>The Prod Design Migration completed. The prod UAT is planned for Week of Feb 23rd.</t>
  </si>
  <si>
    <t>a0rVT00000pcnQgYAI</t>
  </si>
  <si>
    <t>Specialized- Initial Deployment - Evisort</t>
  </si>
  <si>
    <t>Percheron LLC</t>
  </si>
  <si>
    <t>US DI ME NN PBS TOLA</t>
  </si>
  <si>
    <t>Project is completed</t>
  </si>
  <si>
    <t>a0rVT00000SRwxUYAT</t>
  </si>
  <si>
    <t>Pernod Ricard SA</t>
  </si>
  <si>
    <t>Change order signed by client. New go live date set to October 13th.</t>
  </si>
  <si>
    <t>a0rVT00001B7EDtYAN</t>
  </si>
  <si>
    <t>Pfizer, Inc.</t>
  </si>
  <si>
    <t>sfdcRows:SLG_DH:chunk:11</t>
  </si>
  <si>
    <t>a0rVT00000xQGToYAO</t>
  </si>
  <si>
    <t>Currently in UAT</t>
  </si>
  <si>
    <t>a0rVT00000sCrxVYAS</t>
  </si>
  <si>
    <t>Pharmavite LLC</t>
  </si>
  <si>
    <t>Japan Sales 1</t>
  </si>
  <si>
    <t>Japan 1</t>
  </si>
  <si>
    <t>Phoenix Children's Hospital, Inc.</t>
  </si>
  <si>
    <t>Update 08/17/26: Currently in planning phase for Workflows (2 out of 5 Workflow requirements complete). Re-baselined timeline to account for additional time to extract contracts from legacy system from Symplr.</t>
  </si>
  <si>
    <t>Pilot Travel Centers LLC</t>
  </si>
  <si>
    <t>Met the customer on 8/10. Provided the P&amp;P workbook and resources. Working on scheduling a weekly check-in until consultants join on 8/24.</t>
  </si>
  <si>
    <t>Plusgrade Inc.</t>
  </si>
  <si>
    <t>Canada ME East</t>
  </si>
  <si>
    <t>08/10 Meeting schedule with the client to resumed work on August 28th</t>
  </si>
  <si>
    <t>PM Pediatrics Management Group, LLC</t>
  </si>
  <si>
    <t>David Zucker</t>
  </si>
  <si>
    <t>07/27 3rd Design session scheduled on 07/28</t>
  </si>
  <si>
    <t>PNC Bank National Association</t>
  </si>
  <si>
    <t>Kick off completed on July 22nd
TKO completed on July 23rd
New start date is October 5th.</t>
  </si>
  <si>
    <t>Subsequent- Phase X- CEXP- Paradox</t>
  </si>
  <si>
    <t>Power Leisure Bookmakers Limited</t>
  </si>
  <si>
    <t>sfdcRows:SLG_DH:chunk:12</t>
  </si>
  <si>
    <t>Yuriy Yushchenko</t>
  </si>
  <si>
    <t>Project moved to A&amp;C phase on 14/07, customer Kick-Off was conducted. Design sessions are currently in progress</t>
  </si>
  <si>
    <t>a0rVT000011ySGTYA2</t>
  </si>
  <si>
    <t>Discovery sessions to started
Customer working on the Prep Workbook</t>
  </si>
  <si>
    <t>Initial Deployment-Your Way CHCM, GPC, REC, AIRC, CI, CLM, WSP</t>
  </si>
  <si>
    <t>Prada S.p.A.</t>
  </si>
  <si>
    <t>Italy LE NN</t>
  </si>
  <si>
    <t>0018000000xmq4GAAQ</t>
  </si>
  <si>
    <t>Accenture Solutions Private Limited [India]</t>
  </si>
  <si>
    <t>E2E testing is in progress
Gold build checklist creation is in progress
Gold build starts from Aug 19</t>
  </si>
  <si>
    <t>a0rVT000019nKzWYAU</t>
  </si>
  <si>
    <t>Prime Therapeutics LLC</t>
  </si>
  <si>
    <t>a0rVT00000ViYCGYA3</t>
  </si>
  <si>
    <t>Progyny, Inc.</t>
  </si>
  <si>
    <t>Scorecard request:</t>
  </si>
  <si>
    <t>a0rVT00000loLNxYAM</t>
  </si>
  <si>
    <t>Prologis, L.P.</t>
  </si>
  <si>
    <t>Waiting for the customer's approval on Project Go-Live for Jan 5th. Everything is in place from HiredScore. Planned GO-Live = Jan 5th</t>
  </si>
  <si>
    <t>a0rVT00000kexRtYAI</t>
  </si>
  <si>
    <t>Proquire Plus Inc.</t>
  </si>
  <si>
    <t>Project was deployed in Sept, is live as of Sept 21</t>
  </si>
  <si>
    <t>a0rVT00000uHgiaYAC</t>
  </si>
  <si>
    <t>Subsequent - Ad Hoc - CI and CLM Implementation</t>
  </si>
  <si>
    <t>Providence Administrative Consulting Services, Inc.</t>
  </si>
  <si>
    <t>Initial batch of cointracts loaded to Evisort, hygiene and internal parties being added.  Pushing client to begin workflow discovery.  Pushing Latham to tell us what they need to do their contract analysis</t>
  </si>
  <si>
    <t>a0rVT00000uDN6bYAG</t>
  </si>
  <si>
    <t>sfdcRows:SLG_DH:chunk:13</t>
  </si>
  <si>
    <t>PTC Inc.</t>
  </si>
  <si>
    <t>July 30th design sign off complete build pending. Working through some minor MS Teams verifications. Awaiting access to PTC production to complete config there too</t>
  </si>
  <si>
    <t>a0rVT000012UupVYAS</t>
  </si>
  <si>
    <t>Pursuit Attractions and Hospitality, Inc.</t>
  </si>
  <si>
    <t>Cole Miltenberger</t>
  </si>
  <si>
    <t>CM 8/3, Design phase in process.</t>
  </si>
  <si>
    <t>a0rVT00000nvtS3YAI</t>
  </si>
  <si>
    <t>Q-CTRL PTY LTD (ABN 78 622 325 535)</t>
  </si>
  <si>
    <t>ANZ AU ME NN SOUTH / COM</t>
  </si>
  <si>
    <t>6/1: CI Go-Live and 2 WF deployment successful. Currently in hypercare, ending on 6/5</t>
  </si>
  <si>
    <t>Qualys, Inc.</t>
  </si>
  <si>
    <t>06 Aug - hypercare has been extended by two weeks</t>
  </si>
  <si>
    <t>Rackspace US, Inc.</t>
  </si>
  <si>
    <t>Bhavika Patel</t>
  </si>
  <si>
    <t>-E2E testing complete
- UET in progress
- Train the trainer session complete
- Career sites Mock round 4 in progress 
- Go Live shifted to 08/31</t>
  </si>
  <si>
    <t>Completed UAT, now in deploy phase. Moving up the MTP by one week (14/8).</t>
  </si>
  <si>
    <t>a0rVT000012Uuj8YAC</t>
  </si>
  <si>
    <t>Raynor Garage Doors</t>
  </si>
  <si>
    <t>sfdcRows:SLG_DH:chunk:14</t>
  </si>
  <si>
    <t>ddFromContacts:SLG_DH</t>
  </si>
  <si>
    <t>{"a0r1B00000BdaDXQAZ":[{"email":"steve.rogers@workday.com","name":"Steve Rogers"}],"a0r4X00000BWhT1QAL":[{"email":"lisa.coulter@workday.com","name":"Lisa Coulter"},{"email":"eric.warshower@workday.com","name":"Eric Warshower"},{"email":"steve.rogers@workday.com","name":"Steve Rogers"}],"a0r4X00000CrTG7QAN":[{"email":"roman.cortes@workday.com","name":"Roman Cortes"}],"a0r4X00000CrTjJQAV":[{"email":"lakshmi.visvanathan@workday.com","name":"Lakshmi Visvanathan"}],"a0r4X00000CrToJQAV":[{"email":"roman.cortes@workday.com","name":"Roman Cortes"}],"a0r4X00000CrUzSQAV":[{"email":"roman.cortes@workday.com","name":"Roman Cortes"},{"email":"steve.rogers@workday.com","name":"Steve Rogers"}],"a0r4X00000CrVBOQA3":[{"email":"steve.rogers@workday.com","name":"Steve Rogers"}],"a0r4X00000CrVjpQAF":[{"email":"roman.cortes@workday.com","name":"Roman Cortes"}],"a0r4X00000D7rdeQAB":[{"email":"lakshmi.visvanathan@workday.com","name":"Lakshmi Visvanathan"}],"a0r4X00000D7sOaQAJ":[{"email":"steve.rogers@workday.com","name":"Steve Rogers"}],"a0r4X00000DCGf0QAH":[{"email":"roman.cortes@workday.com","name":"Roman Cortes"}],"a0r4X00000DCHVQQA5":[{"email":"roman.cortes@workday.com","name":"Roman Cortes"}],"a0r4X00000DbLU9QAN":[{"email":"lakshmi.visvanathan@workday.com","name":"Lakshmi Visvanathan"}],"a0r4X00000Dc1uaQAB":[{"email":"steve.rogers@workday.com","name":"Steve Rogers"}],"a0r4X00000E13rfQAB":[{"email":"lakshmi.visvanathan@workday.com","name":"Lakshmi Visvanathan"}],"a0r4X00000E14IgQAJ":[{"email":"steve.rogers@workday.com","name":"Steve Rogers"}],"a0r4X00000E1AQdQAN":[{"email":"roman.cortes@workday.com","name":"Roman Cortes"}],"a0r4X00000ETUqgQAH":[{"email":"roman.cortes@workday.com","name":"Roman Cortes"}],"a0r4X00000ETVJYQA5":[{"email":"steve.rogers@workday.com","name":"Steve Rogers"},{"email":"brad.hoenshell@workday.com","name":"Bradley Hoenshell"}],"a0r4X00000ETVjqQAH":[{"email":"roman.cortes@workday.com","name":"Roman Cortes"},{"email":"lakshmi.visvanathan@workday.com","name":"Lakshmi Visvanathan"}],"a0r4X00000ETWIbQAP":[{"email":"roman.cortes@workday.com","name":"Roman Cortes"},{"email":"lakshmi.visvanathan@workday.com","name":"Lakshmi Visvanathan"}],"a0r4X00000ETX33QAH":[{"email":"brad.hoenshell@workday.com","name":"Bradley Hoenshell"},{"email":"roman.cortes@workday.com","name":"Roman Cortes"}],"a0r4X00000Ef1ruQAB":[{"email":"lakshmi.visvanathan@workday.com","name":"Lakshmi Visvanathan"}],"a0r4X00000Ef2DRQAZ":[{"email":"lakshmi.visvanathan@workday.com","name":"Lakshmi Visvanathan"}],"a0rVT00000NMgA0YAL":[{"email":"lakshmi.visvanathan@workday.com","name":"Lakshmi Visvanathan"}],"a0rVT00000PgySnYAJ":[{"email":"lakshmi.visvanathan@workday.com","name":"Lakshmi Visvanathan"}],"a0rVT00000PrglzYAB":[{"email":"roman.cortes@workday.com","name":"Roman Cortes"}],"a0rVT00000PsEKYYA3":[{"email":"steve.rogers@workday.com","name":"Steve Rogers"}],"a0rVT00000PtYNdYAN":[{"email":"naveen.athuluru@workday.com","name":"Naveen Athuluru"},{"email":"steve.rogers@workday.com","name":"Steve Rogers"}],"a0rVT00000U02bkYAB":[{"email":"brad.hoenshell@workday.com","name":"Bradley Hoenshell"}],"a0rVT00000Xb1tRYAR":[{"email":"lakshmi.visvanathan@workday.com","name":"Lakshmi Visvanathan"}],"a0rVT00000YvLJEYA3":[{"email":"lakshmi.visvanathan@workday.com","name":"Lakshmi Visvanathan"}],"a0rVT00000eiHNtYAM":[{"email":"roman.cortes@workday.com","name":"Roman Cortes"}],"a0rVT00000h7rRqYAI":[{"email":"lakshmi.visvanathan@workday.com","name":"Lakshmi Visvanathan"}],"a0rVT00000hOPhFYAW":[{"email":"roman.cortes@workday.com","name":"Roman Cortes"}],"a0rVT00000hh6hLYAQ":[{"email":"roman.cortes@workday.com","name":"Roman Cortes"}],"a0rVT00000jTwYAYA0":[{"email":"sunil.wadhwa@workday.com","name":"Sunil Wadhwa"}],"a0rVT00000kgQEyYAM":[{"email":"steve.rogers@workday.com","name":"Steve Rogers"}],"a0rVT00000lgCzTYAU":[{"email":"mridhula.raghupathy@workday.com","name":"Mridhula Raghupathy"}],"a0rVT00000m8pbHYAQ":[{"email":"lakshmi.visvanathan@workday.com","name":"Lakshmi Visvanathan"}],"a0rVT00000mRekEYAS":[{"email":"naveen.athuluru@workday.com","name":"Naveen Athuluru"}],"a0rVT00000nJPeXYAW":[{"email":"roman.cortes@workday.com","name":"Roman Cortes"}],"a0rVT00000sUZJ0YAO":[{"email":"roman.cortes@workday.com","name":"Roman Cortes"}],"a0rVT00000utORLYA2":[{"email":"roman.cortes@workday.com","name":"Roman Cortes"}],"a0rVT00000vafrpYAA":[{"email":"steve.rogers@workday.com","name":"Steve Rogers"}],"a0rVT00000vqVOfYAM":[{"email":"roman.cortes@workday.com","name":"Roman Cortes"}],"a0rVT00000vtwYyYAI":[{"email":"roman.cortes@workday.com","name":"Roman Cortes"},{"email":"steve.rogers@workday.com","name":"Steve Rogers"}],"a0rVT00000wIG05YAG":[{"email":"roman.cortes@workday.com","name":"Roman Cortes"}],"a0rVT00000x3OESYA2":[{"email":"steve.rogers@workday.com","name":"Steve Rogers"}],"a0rVT00000x3XbEYAU":[{"email":"steve.rogers@workday.com","name":"Steve Rogers"}],"a0rVT00000xZQDqYAO":[{"email":"lakshmi.visvanathan@workday.com","name":"Lakshmi Visvanathan"}],"a0rVT00000z8sDBYAY":[{"email":"steve.rogers@workday.com","name":"Steve Rogers"}],"a0rVT0000107EM0YAM":[{"email":"roman.cortes@workday.com","name":"Roman Cortes"}],"a0rVT000010i7brYAA":[{"email":"roman.cortes@workday.com","name":"Roman Cortes"}],"a0rVT0000135GBZYA2":[{"email":"lakshmi.visvanathan@workday.com","name":"Lakshmi Visvanathan"}],"a0rVT000013EyuyYAC":[{"email":"sunil.wadhwa@workday.com","name":"Sunil Wadhwa"}]}</t>
  </si>
  <si>
    <t>Subsequent-Adhoc-Other: HiredScore Only</t>
  </si>
  <si>
    <t>Razer (Asia-Pacific) Pte. Ltd.</t>
  </si>
  <si>
    <t>ASEAN</t>
  </si>
  <si>
    <t>Singapore CB</t>
  </si>
  <si>
    <t>Date: July 27, 2026
Overall Project Status: On track 
Current Status: GOLIVE
Next Steps:
HyperCare
Detailed status in Slack:
https://workday.enterprise.slack.com/archives/C0ASKE38U2F</t>
  </si>
  <si>
    <t>a0rVT000012UmdXYAS</t>
  </si>
  <si>
    <t>RBW Logistics</t>
  </si>
  <si>
    <t>Alexander Schell</t>
  </si>
  <si>
    <t>Kick-off complete; scheduling design sessions.</t>
  </si>
  <si>
    <t>Redstone Federal Credit Union</t>
  </si>
  <si>
    <t>UPDATE 08/17/26: Project on track, currently in the Configure/Architect stage. Both workflows are in the final stages of configuration and review with the client.</t>
  </si>
  <si>
    <t>Subsequent-Phase X: Paradox Conversational Scheduling</t>
  </si>
  <si>
    <t>Regeneron Pharmaceuticals, Inc.</t>
  </si>
  <si>
    <t>In SIT, challenges and blockers have been overcome. Mostly due to misalignment on level of testing from RGN side during SIT. At risk of pushing SIT further out. Go-live scheduled for 10/12. $0 CO in process now.</t>
  </si>
  <si>
    <t>Regnology Group GmbH</t>
  </si>
  <si>
    <t>We had our kick-off meeting. We also plan to this week our workflow walkthrough.</t>
  </si>
  <si>
    <t>Initial Deployment-Launch-LDPFIN, LDPCLMB, LDPEXPM, FLXCRD, TC etc.</t>
  </si>
  <si>
    <t>Republic Finance, LLC</t>
  </si>
  <si>
    <t>FSI ME NN</t>
  </si>
  <si>
    <t>US FSI ME NN South</t>
  </si>
  <si>
    <t>Kickoff completed, moving into initial build and discovery</t>
  </si>
  <si>
    <t>a0rVT00001BSKEgYAP</t>
  </si>
  <si>
    <t>Resource Innovations, Inc.</t>
  </si>
  <si>
    <t>Yoav Michaeli</t>
  </si>
  <si>
    <t>Richemont International SA</t>
  </si>
  <si>
    <t>a0rVT00000usNSPYA2</t>
  </si>
  <si>
    <t>enrichmentMap:SLG:chunk:0</t>
  </si>
  <si>
    <t>Rimini Street, Inc.</t>
  </si>
  <si>
    <t>April 19 update - we are live with joint VNDLY-HiredScore in Prod.</t>
  </si>
  <si>
    <t>Deployment__r.Id</t>
  </si>
  <si>
    <t>Rio Tinto Services Limited, as agent for and on behalf of Technological Resources Pty Limited</t>
  </si>
  <si>
    <t>Diversified Metals and Mining</t>
  </si>
  <si>
    <t>Client went live on August 17th. Hypercare ends on August 14th</t>
  </si>
  <si>
    <t>a0rVT00000e4wrCYAQ</t>
  </si>
  <si>
    <t>Riverside Health System</t>
  </si>
  <si>
    <t>5/6: Go-Live and hypercare complete. CSM transition complete</t>
  </si>
  <si>
    <t>a0rVT00001ATh9lYAD</t>
  </si>
  <si>
    <t>Roku, Inc.</t>
  </si>
  <si>
    <t>Deployment__r.Name</t>
  </si>
  <si>
    <t>Connecting with partner EM to determine next steps and gather basics from project status. My admin hours are still pending to be confirmed where to be billed by Gaby Aceves</t>
  </si>
  <si>
    <t>a0rVT00000lBjs2YAC</t>
  </si>
  <si>
    <t>Subsequent-Ad Hoc-Other Deployment-Evisort</t>
  </si>
  <si>
    <t>KJY 2/6: project back in green. working through Advisory Hours.</t>
  </si>
  <si>
    <t>Deployment__r.Customer__c</t>
  </si>
  <si>
    <t>Deployment__r.Customer__r</t>
  </si>
  <si>
    <t>{"a0r1B00000B1tMqQAJ":{"isPhased":false,"upcomingDates":[],"nextGoLiveDate":null,"recentDates":[{"date":"2019-09-22","products":["Human Capital Management","Payroll"]}],"lastGoLiveDate":"2019-09-22","productFunctionCount":2},"a0r1B00000B1tMvQAJ":{"isPhased":false,"upcomingDates":[],"nextGoLiveDate":null,"recentDates":[{"date":"2020-04-06","products":["Financials"]}],"lastGoLiveDate":"2020-04-06","productFunctionCount":1},"a0r1B00000B1yffQAB":{"isPhased":false,"upcomingDates":[],"nextGoLiveDate":null,"recentDates":[{"date":"2019-12-19","products":["Human Capital Management","Payroll","Talent Optimization"]}],"lastGoLiveDate":"2019-12-19","productFunctionCount":3},"a0r1B00000B1yfpQAB":{"isPhased":false,"upcomingDates":[],"nextGoLiveDate":null,"recentDates":[{"date":"2020-07-06","products":["Financials"]}],"lastGoLiveDate":"2020-07-06","productFunctionCount":1},"a0r1B00000B26NCQAZ":{"isPhased":false,"upcomingDates":[],"nextGoLiveDate":null,"recentDates":[{"date":"2019-04-29","products":["Human Capital Management"]}],"lastGoLiveDate":"2019-04-29","productFunctionCount":1},"a0r1B00000B7l3CQAR":{"isPhased":true,"upcomingDates":[],"nextGoLiveDate":null,"recentDates":[{"date":"2020-12-20","products":["Human Capital Management","Payroll"]},{"date":"2021-01-04","products":["Human Capital Management","Talent Optimization"]}],"lastGoLiveDate":"2021-01-04","productFunctionCount":4},"a0r1B00000B7l3HQAR":{"isPhased":false,"upcomingDates":[],"nextGoLiveDate":null,"recentDates":[{"date":"2021-01-04","products":["Financials"]}],"lastGoLiveDate":"2021-01-04","productFunctionCount":1},"a0r1B00000B7nIjQAJ":{"isPhased":false,"upcomingDates":[],"nextGoLiveDate":null,"recentDates":[{"date":"2019-09-27","products":["Talent Optimization"]}],"lastGoLiveDate":"2019-09-27","productFunctionCount":1},"a0r1B00000B7oV2QAJ":{"isPhased":false,"upcomingDates":[],"nextGoLiveDate":null,"recentDates":[{"date":"2019-09-09","products":["Talent Optimization"]}],"lastGoLiveDate":"2019-09-09","productFunctionCount":1},"a0r1B00000B7qyEQAR":{"isPhased":false,"upcomingDates":[],"nextGoLiveDate":null,"recentDates":[{"date":"2020-03-12","products":["Financials","Human Capital Management","Payroll","Talent Optimization"]}],"lastGoLiveDate":"2020-03-12","productFunctionCount":4},"a0r1B00000B7rtBQAR":{"isPhased":true,"upcomingDates":[],"nextGoLiveDate":null,"recentDates":[{"date":"2020-10-18","products":["Human Capital Management"]},{"date":"2020-12-13","products":["Human Capital Management","Payroll"]}],"lastGoLiveDate":"2020-12-13","productFunctionCount":3},"a0r1B00000B7rtGQAR":{"isPhased":false,"upcomingDates":[],"nextGoLiveDate":null,"recentDates":[{"date":"2022-08-01","products":["Financials","Human Capital Management","Planning"]}],"lastGoLiveDate":"2022-08-01","productFunctionCount":3},"a0r1B00000BQPOVQA5":{"isPhased":false,"upcomingDates":[],"nextGoLiveDate":null,"recentDates":[{"date":"2020-03-25","products":["Human Capital Management","Payroll","Talent Optimization"]}],"lastGoLiveDate":"2020-03-25","productFunctionCount":3},"a0r1B00000BQPOiQAP":{"isPhased":true,"upcomingDates":[],"nextGoLiveDate":null,"recentDates":[{"date":"2021-04-15","products":["Human Capital Management"]},{"date":"2021-07-23","products":["Financials"]}],"lastGoLiveDate":"2021-07-23","productFunctionCount":2},"a0r1B00000BQPlLQAX":{"isPhased":false,"upcomingDates":[],"nextGoLiveDate":null,"recentDates":[{"date":"2020-09-15","products":["Human Capital Management","Payroll","Talent Optimization"]}],"lastGoLiveDate":"2020-09-15","productFunctionCount":3},"a0r1B00000BUykHQAT":{"isPhased":false,"upcomingDates":[],"nextGoLiveDate":null,"recentDates":[{"date":"2020-07-01","products":["Human Capital Management","Payroll"]}],"lastGoLiveDate":"2020-07-01","productFunctionCount":2},"a0r1B00000BUykMQAT":{"isPhased":false,"upcomingDates":[],"nextGoLiveDate":null,"recentDates":[{"date":"2020-06-30","products":["Financials"]}],"lastGoLiveDate":"2020-06-30","productFunctionCount":1},"a0r1B00000BUymEQAT":{"isPhased":false,"upcomingDates":[],"nextGoLiveDate":null,"recentDates":[{"date":"2021-06-24","products":["Human Capital Management","Payroll","Talent Optimization"]}],"lastGoLiveDate":"2021-06-24","productFunctionCount":3},"a0r1B00000BUymJQAT":{"isPhased":false,"upcomingDates":[],"nextGoLiveDate":null,"recentDates":[{"date":"2021-06-24","products":["Financials","Planning"]}],"lastGoLiveDate":"2021-06-24","productFunctionCount":2},"a0r1B00000BUzX6QAL":{"isPhased":false,"upcomingDates":[],"nextGoLiveDate":null,"recentDates":[{"date":"2021-01-25","products":["Talent Optimization"]}],"lastGoLiveDate":"2021-01-25","productFunctionCount":1},"a0r1B00000BYYq2QAH":{"isPhased":false,"upcomingDates":[],"nextGoLiveDate":null,"recentDates":[{"date":"2019-12-29","products":["Human Capital Management","Payroll"]}],"lastGoLiveDate":"2019-12-29","productFunctionCount":2},"a0r1B00000BYaseQAD":{"isPhased":false,"upcomingDates":[],"nextGoLiveDate":null,"recentDates":[{"date":"2019-12-19","products":["Human Capital Management","Payroll"]}],"lastGoLiveDate":"2019-12-19","productFunctionCount":2},"a0r1B00000BYatXQAT":{"isPhased":false,"upcomingDates":[],"nextGoLiveDate":null,"recentDates":[{"date":"2019-12-19","products":["Financials"]}],"lastGoLiveDate":"2019-12-19","productFunctionCount":1},"a0r1B00000BYkypQAD":{"isPhased":false,"upcomingDates":[],"nextGoLiveDate":null,"recentDates":[{"date":"2019-08-20","products":["Human Capital Management"]}],"lastGoLiveDate":"2019-08-20","productFunctionCount":1},"a0r1B00000BYlMSQA1":{"isPhased":true,"upcomingDates":[],"nextGoLiveDate":null,"recentDates":[{"date":"2019-12-16","products":["Human Capital Management","Payroll"]},{"date":"2020-01-03","products":["Financials"]}],"lastGoLiveDate":"2020-01-03","productFunctionCount":3},"a0r1B00000BYlMXQA1":{"isPhased":false,"upcomingDates":[],"nextGoLiveDate":null,"recentDates":[{"date":"2020-01-03","products":["Financials"]}],"lastGoLiveDate":"2020-01-03","productFunctionCount":1},"a0r1B00000BdENUQA3":{"isPhased":true,"upcomingDates":[],"nextGoLiveDate":null,"recentDates":[{"date":"2019-11-01","products":["Human Capital Management"]},{"date":"2020-01-02","products":["Talent Optimization"]},{"date":"2020-01-26","products":["Human Capital Management"]}],"lastGoLiveDate":"2020-01-26","productFunctionCount":3},"a0r1B00000BdIEMQA3":{"isPhased":false,"upcomingDates":[],"nextGoLiveDate":null,"recentDates":[{"date":"2020-01-30","products":["Prism Analytics"]}],"lastGoLiveDate":"2020-01-30","productFunctionCount":1},"a0r1B00000BdLvmQAF":{"isPhased":false,"upcomingDates":[],"nextGoLiveDate":null,"recentDates":[{"date":"2020-02-18","products":["Human Capital Management"]}],"lastGoLiveDate":"2020-02-18","productFunctionCount":1},"a0r1B00000BdNDDQA3":{"isPhased":false,"upcomingDates":[],"nextGoLiveDate":null,"recentDates":[{"date":"2021-09-05","products":["Financials","Human Capital Management","Payroll","Prism Analytics"]}],"lastGoLiveDate":"2021-09-05","productFunctionCount":4},"a0r1B00000BdNTLQA3":{"isPhased":false,"upcomingDates":[],"nextGoLiveDate":null,"recentDates":[{"date":"2020-12-17","products":["Human Capital Management","Payroll"]}],"lastGoLiveDate":"2020-12-17","productFunctionCount":2},"a0r1B00000BdNTQQA3":{"isPhased":true,"upcomingDates":[],"nextGoLiveDate":null,"recentDates":[{"date":"2020-12-17","products":["Financials"]},{"date":"2021-04-28","products":["Planning"]}],"lastGoLiveDate":"2021-04-28","productFunctionCount":2},"a0r1B00000BdPMbQAN":{"isPhased":false,"upcomingDates":[],"nextGoLiveDate":null,"recentDates":[{"date":"2020-12-06","products":["Human Capital Management","Payroll","Talent Optimization"]}],"lastGoLiveDate":"2020-12-06","productFunctionCount":3},"a0r1B00000BdSy5QAF":{"isPhased":false,"upcomingDates":[],"nextGoLiveDate":null,"recentDates":[{"date":"2021-03-18","products":["Human Capital Management","Payroll","Talent Optimization"]}],"lastGoLiveDate":"2021-03-18","productFunctionCount":3},"a0r1B00000BdSyAQAV":{"isPhased":false,"upcomingDates":[],"nextGoLiveDate":null,"recentDates":[{"date":"2021-03-18","products":["Financials"]}],"lastGoLiveDate":"2021-03-18","productFunctionCount":1},"a0r1B00000BdUujQAF":{"isPhased":false,"upcomingDates":[],"nextGoLiveDate":null,"recentDates":[{"date":"2020-12-15","products":["Financials","Human Capital Management","Payroll","Talent Optimization"]}],"lastGoLiveDate":"2020-12-15","productFunctionCount":4},"a0r1B00000BdVxAQAV":{"isPhased":false,"upcomingDates":[],"nextGoLiveDate":null,"recentDates":[{"date":"2020-06-29","products":["Financials"]}],"lastGoLiveDate":"2020-06-29","productFunctionCount":1},"a0r1B00000BdWHAQA3":{"isPhased":false,"upcomingDates":[],"nextGoLiveDate":null,"recentDates":[{"date":"2021-09-08","products":["Financials","Human Capital Management","Payroll","Talent Optimization"]}],"lastGoLiveDate":"2021-09-08","productFunctionCount":4},"a0r1B00000BdWIwQAN":{"isPhased":true,"upcomingDates":[],"nextGoLiveDate":null,"recentDates":[{"date":"2022-06-23","products":["Human Capital Management"]},{"date":"2023-04-28","products":["Human Capital Management","Payroll"]}],"lastGoLiveDate":"2023-04-28","productFunctionCount":3},"a0r1B00000BdWJ1QAN":{"isPhased":false,"upcomingDates":[],"nextGoLiveDate":null,"recentDates":[{"date":"2022-06-23","products":["Financials"]}],"lastGoLiveDate":"2022-06-23","productFunctionCount":1},"a0r1B00000BdXAoQAN":{"isPhased":true,"upcomingDates":[],"nextGoLiveDate":null,"recentDates":[{"date":"2021-06-06","products":["Human Capital Management","Talent Optimization"]},{"date":"2021-06-07","products":["Prism Analytics"]}],"lastGoLiveDate":"2021-06-07","productFunctionCount":3},"a0r1B00000BdY0oQAF":{"isPhased":false,"upcomingDates":[],"nextGoLiveDate":null,"recentDates":[{"date":"2020-02-15","products":["Planning"]}],"lastGoLiveDate":"2020-02-15","productFunctionCount":1},"a0r1B00000BdYdiQAF":{"isPhased":false,"upcomingDates":[],"nextGoLiveDate":null,"recentDates":[{"date":"2020-01-27","products":["Planning"]}],"lastGoLiveDate":"2020-01-27","productFunctionCount":1},"a0r1B00000BdaDXQAZ":{"isPhased":false,"upcomingDates":[{"date":"2027-10-01","products":["Core HCM","Financials"]}],"nextGoLiveDate":"2027-10-01","recentDates":[],"lastGoLiveDate":null,"productFunctionCount":2},"a0r1B00000BdaKnQAJ":{"isPhased":false,"upcomingDates":[],"nextGoLiveDate":null,"recentDates":[{"date":"2021-09-29","products":["Human Capital Management","Payroll"]}],"lastGoLiveDate":"2021-09-29","productFunctionCount":2},"a0r1B00000BddPWQAZ":{"isPhased":false,"upcomingDates":[],"nextGoLiveDate":null,"recentDates":[{"date":"2022-05-22","products":["Human Capital Management","Prism Analytics"]}],"lastGoLiveDate":"2022-05-22","productFunctionCount":2},"a0r1B00000BdeWxQAJ":{"isPhased":false,"upcomingDates":[],"nextGoLiveDate":null,"recentDates":[{"date":"2021-03-16","products":["Financials","Human Capital Management","Payroll","Talent Optimization"]}],"lastGoLiveDate":"2021-03-16","productFunctionCount":4},"a0r1B00000BnohrQAB":{"isPhased":false,"upcomingDates":[],"nextGoLiveDate":null,"recentDates":[{"date":"2020-11-01","products":["Prism Analytics"]}],"lastGoLiveDate":"2020-11-01","productFunctionCount":1},"a0r1B00000BnpNEQAZ":{"isPhased":false,"upcomingDates":[],"nextGoLiveDate":null,"recentDates":[{"date":"2021-01-01","products":["Planning"]}],"lastGoLiveDate":"2021-01-01","productFunctionCount":1},"a0r1B00000BnpNJQAZ":{"isPhased":false,"upcomingDates":[],"nextGoLiveDate":null,"recentDates":[{"date":"2021-04-08","products":["Human Capital Management"]}],"lastGoLiveDate":"2021-04-08","productFunctionCount":1},"a0r1B00000Cko5eQAB":{"isPhased":false,"upcomingDates":[],"nextGoLiveDate":null,"recentDates":[{"date":"2022-09-19","products":["Human Capital Management","Payroll"]}],"lastGoLiveDate":"2022-09-19","productFunctionCount":2},"a0r1B00000Cko5jQAB":{"isPhased":false,"upcomingDates":[],"nextGoLiveDate":null,"recentDates":[{"date":"2022-09-19","products":["Financials"]}],"lastGoLiveDate":"2022-09-19","productFunctionCount":1},"a0r1B00000CkoHkQAJ":{"isPhased":true,"upcomingDates":[],"nextGoLiveDate":null,"recentDates":[{"date":"2021-06-21","products":["Human Capital Management","Payroll"]},{"date":"2021-06-27","products":["Payroll"]},{"date":"2021-07-06","products":["Prism Analytics"]}],"lastGoLiveDate":"2021-07-06","productFunctionCount":4},"a0r1B00000CkourQAB":{"isPhased":false,"upcomingDates":[],"nextGoLiveDate":null,"recentDates":[{"date":"2020-10-30","products":["Planning"]}],"lastGoLiveDate":"2020-10-30","productFunctionCount":1},"a0r1B00000CkqbXQAR":{"isPhased":false,"upcomingDates":[],"nextGoLiveDate":null,"recentDates":[{"date":"2021-06-18","products":["Human Capital Management","Payroll","Talent Optimization"]}],"lastGoLiveDate":"2021-06-18","productFunctionCount":3},"a0r1B00000CkqbcQAB":{"isPhased":false,"upcomingDates":[],"nextGoLiveDate":null,"recentDates":[{"date":"2021-06-18","products":["Financials"]}],"lastGoLiveDate":"2021-06-18","productFunctionCount":1},"a0r1B00000CkqczQAB":{"isPhased":false,"upcomingDates":[],"nextGoLiveDate":null,"recentDates":[{"date":"2021-12-12","products":["Human Capital Management","Payroll","Talent Optimization"]}],"lastGoLiveDate":"2021-12-12","productFunctionCount":3},"a0r4X00000BVzAyQAL":{"isPhased":false,"upcomingDates":[],"nextGoLiveDate":null,"recentDates":[{"date":"2021-08-02","products":["Planning"]}],"lastGoLiveDate":"2021-08-02","productFunctionCount":1},"a0r4X00000BWO9lQAH":{"isPhased":false,"upcomingDates":[],"nextGoLiveDate":null,"recentDates":[{"date":"2022-09-13","products":["Core HCM","Human Capital Management","Payroll","Talent Optimization"]}],"lastGoLiveDate":"2022-09-13","productFunctionCount":4},"a0r4X00000BWhSrQAL":{"isPhased":false,"upcomingDates":[],"nextGoLiveDate":null,"recentDates":[{"date":"2025-06-08","products":["Human Capital Management","Payroll","Prism Analytics","Talent Optimization","Workday Extend"]}],"lastGoLiveDate":"2025-06-08","productFunctionCount":5},"a0r4X00000BWhT1QAL":{"isPhased":false,"upcomingDates":[],"nextGoLiveDate":null,"recentDates":[{"date":"2026-07-01","products":["Financials"]}],"lastGoLiveDate":"2026-07-01","productFunctionCount":1},"a0r4X00000BWwCoQAL":{"isPhased":false,"upcomingDates":[],"nextGoLiveDate":null,"recentDates":[{"date":"2022-12-19","products":["Human Capital Management","Payroll"]}],"lastGoLiveDate":"2022-12-19","productFunctionCount":2},"a0r4X00000BayRgQAJ":{"isPhased":false,"upcomingDates":[],"nextGoLiveDate":null,"recentDates":[{"date":"2021-01-13","products":["Human Capital Management"]}],"lastGoLiveDate":"2021-01-13","productFunctionCount":1},"a0r4X00000BnrxOQAR":{"isPhased":true,"upcomingDates":[],"nextGoLiveDate":null,"recentDates":[{"date":"2022-07-01","products":["Financials","Human Capital Management"]},{"date":"2022-07-17","products":["Prism Analytics"]}],"lastGoLiveDate":"2022-07-17","productFunctionCount":3},"a0r4X00000BnsS2QAJ":{"isPhased":false,"upcomingDates":[],"nextGoLiveDate":null,"recentDates":[{"date":"2022-09-25","products":["Human Capital Management","Payroll"]}],"lastGoLiveDate":"2022-09-25","productFunctionCount":2},"a0r4X00000BnsS7QAJ":{"isPhased":false,"upcomingDates":[],"nextGoLiveDate":null,"recentDates":[{"date":"2022-09-25","products":["Financials"]}],"lastGoLiveDate":"2022-09-25","productFunctionCount":1},"a0r4X00000Bnsq9QAB":{"isPhased":false,"upcomingDates":[],"nextGoLiveDate":null,"recentDates":[{"date":"2022-10-02","products":["Core HCM"]}],"lastGoLiveDate":"2022-10-02","productFunctionCount":1},"a0r4X00000BnsqEQAR":{"isPhased":false,"upcomingDates":[],"nextGoLiveDate":null,"recentDates":[{"date":"2022-12-31","products":["Financials"]}],"lastGoLiveDate":"2022-12-31","productFunctionCount":1},"a0r4X00000Bnsr7QAB":{"isPhased":false,"upcomingDates":[],"nextGoLiveDate":null,"recentDates":[{"date":"2021-03-29","products":["Human Capital Management"]}],"lastGoLiveDate":"2021-03-29","productFunctionCount":1},"a0r4X00000BnswHQAR":{"isPhased":false,"upcomingDates":[],"nextGoLiveDate":null,"recentDates":[{"date":"2022-05-02","products":["Financials"]}],"lastGoLiveDate":"2022-05-02","productFunctionCount":1},"a0r4X00000Bnt04QAB":{"isPhased":false,"upcomingDates":[],"nextGoLiveDate":null,"recentDates":[{"date":"2023-09-30","products":["Prism Analytics"]}],"lastGoLiveDate":"2023-09-30","productFunctionCount":1},"a0r4X00000Bnt5xQAB":{"isPhased":false,"upcomingDates":[],"nextGoLiveDate":null,"recentDates":[{"date":"2022-08-07","products":["Human Capital Management","Payroll","Prism Analytics","Talent Optimization"]}],"lastGoLiveDate":"2022-08-07","productFunctionCount":4},"a0r4X00000Ca3A5QAJ":{"isPhased":false,"upcomingDates":[],"nextGoLiveDate":null,"recentDates":[{"date":"2020-12-09","products":["Planning"]}],"lastGoLiveDate":"2020-12-09","productFunctionCount":1},"a0r4X00000Ca3slQAB":{"isPhased":false,"upcomingDates":[],"nextGoLiveDate":null,"recentDates":[{"date":"2020-07-01","products":["Financials"]}],"lastGoLiveDate":"2020-07-01","productFunctionCount":1},"a0r4X00000Ca5k5QAB":{"isPhased":false,"upcomingDates":[],"nextGoLiveDate":null,"recentDates":[{"date":"2020-12-17","products":["Planning"]}],"lastGoLiveDate":"2020-12-17","productFunctionCount":1},"a0r4X00000Ca9HvQAJ":{"isPhased":false,"upcomingDates":[],"nextGoLiveDate":null,"recentDates":[{"date":"2021-05-22","products":["Human Capital Management"]}],"lastGoLiveDate":"2021-05-22","productFunctionCount":1},"a0r4X00000CaDOMQA3":{"isPhased":false,"upcomingDates":[],"nextGoLiveDate":null,"recentDates":[{"date":"2021-08-01","products":["Financials"]}],"lastGoLiveDate":"2021-08-01","productFunctionCount":1},"a0r4X00000CaFHSQA3":{"isPhased":true,"upcomingDates":[],"nextGoLiveDate":null,"recentDates":[{"date":"2021-01-12","products":["Prism Analytics"]},{"date":"2021-02-17","products":["Prism Analytics"]}],"lastGoLiveDate":"2021-02-17","productFunctionCount":2},"a0r4X00000CaelNQAR":{"isPhased":false,"upcomingDates":[],"nextGoLiveDate":null,"recentDates":[{"date":"2023-09-17","products":["Human Capital Management","Payroll","Workday Extend"]}],"lastGoLiveDate":"2023-09-17","productFunctionCount":3},"a0r4X00000CaelSQAR":{"isPhased":false,"upcomingDates":[],"nextGoLiveDate":null,"recentDates":[{"date":"2023-09-17","products":["Financials","Human Capital Management","Prism Analytics"]}],"lastGoLiveDate":"2023-09-17","productFunctionCount":3},"a0r4X00000CaleiQAB":{"isPhased":true,"upcomingDates":[],"nextGoLiveDate":null,"recentDates":[{"date":"2021-09-14","products":["Financials","Human Capital Management","Payroll"]},{"date":"2021-12-13","products":["Financials"]},{"date":"2022-05-13","products":["Human Capital Management"]}],"lastGoLiveDate":"2022-05-13","productFunctionCount":5},"a0r4X00000CalfvQAB":{"isPhased":false,"upcomingDates":[],"nextGoLiveDate":null,"recentDates":[{"date":"2021-12-23","products":["Core HCM","Financials","Human Capital Management","Payroll","Prism Analytics"]}],"lastGoLiveDate":"2021-12-23","productFunctionCount":5},"a0r4X00000Calg0QAB":{"isPhased":false,"upcomingDates":[],"nextGoLiveDate":null,"recentDates":[{"date":"2021-12-24","products":["Financials","Planning"]}],"lastGoLiveDate":"2021-12-24","productFunctionCount":2},"a0r4X00000CbABWQA3":{"isPhased":false,"upcomingDates":[],"nextGoLiveDate":null,"recentDates":[{"date":"2022-09-18","products":["Core HCM","Human Capital Management","Payroll","People Experience"]}],"lastGoLiveDate":"2022-09-18","productFunctionCount":4},"a0r4X00000CbB92QAF":{"isPhased":false,"upcomingDates":[],"nextGoLiveDate":null,"recentDates":[{"date":"2021-06-02","products":["Prism Analytics"]}],"lastGoLiveDate":"2021-06-02","productFunctionCount":1},"a0r4X00000CbDIBQA3":{"isPhased":false,"upcomingDates":[],"nextGoLiveDate":null,"recentDates":[{"date":"2021-05-14","products":["Planning"]}],"lastGoLiveDate":"2021-05-14","productFunctionCount":1},"a0r4X00000CbKLCQA3":{"isPhased":false,"upcomingDates":[],"nextGoLiveDate":null,"recentDates":[{"date":"2021-04-13","products":["Planning"]}],"lastGoLiveDate":"2021-04-13","productFunctionCount":1},"a0r4X00000CbUO6QAN":{"isPhased":false,"upcomingDates":[],"nextGoLiveDate":null,"recentDates":[{"date":"2021-04-13","products":["Prism Analytics"]}],"lastGoLiveDate":"2021-04-13","productFunctionCount":1},"a0r4X00000CbXLAQA3":{"isPhased":false,"upcomingDates":[],"nextGoLiveDate":null,"recentDates":[{"date":"2021-12-15","products":["Financials","Human Capital Management","Payroll"]}],"lastGoLiveDate":"2021-12-15","productFunctionCount":3},"a0r4X00000CbYjSQAV":{"isPhased":true,"upcomingDates":[],"nextGoLiveDate":null,"recentDates":[{"date":"2022-10-31","products":["Human Capital Management"]},{"date":"2022-11-07","products":["Core HCM","Financials","Human Capital Management","Payroll"]}],"lastGoLiveDate":"2022-11-07","productFunctionCount":5},"a0r4X00000CbaPKQAZ":{"isPhased":true,"upcomingDates":[],"nextGoLiveDate":null,"recentDates":[{"date":"2021-04-23","products":["Planning"]},{"date":"2022-06-10","products":["Planning"]}],"lastGoLiveDate":"2022-06-10","productFunctionCount":2},"a0r4X00000CbetiQAB":{"isPhased":true,"upcomingDates":[],"nextGoLiveDate":null,"recentDates":[{"date":"2022-12-01","products":["Human Capital Management"]},{"date":"2022-12-09","products":["Payroll"]}],"lastGoLiveDate":"2022-12-09","productFunctionCount":2},"a0r4X00000Cc1a5QAB":{"isPhased":false,"upcomingDates":[],"nextGoLiveDate":null,"recentDates":[{"date":"2023-03-26","products":["Financials"]}],"lastGoLiveDate":"2023-03-26","productFunctionCount":1},"a0r4X00000Cc66yQAB":{"isPhased":false,"upcomingDates":[],"nextGoLiveDate":null,"recentDates":[{"date":"2021-04-16","products":["Talent Optimization"]}],"lastGoLiveDate":"2021-04-16","productFunctionCount":1},"a0r4X00000Cc8i6QAB":{"isPhased":false,"upcomingDates":[],"nextGoLiveDate":null,"recentDates":[{"date":"2021-12-16","products":["Core HCM","Financials","Payroll"]}],"lastGoLiveDate":"2021-12-16","productFunctionCount":3},"a0r4X00000CcFOIQA3":{"isPhased":false,"upcomingDates":[],"nextGoLiveDate":null,"recentDates":[{"date":"2022-02-14","products":["Talent Optimization"]}],"lastGoLiveDate":"2022-02-14","productFunctionCount":1},"a0r4X00000CcT4lQAF":{"isPhased":false,"upcomingDates":[],"nextGoLiveDate":null,"recentDates":[{"date":"2022-10-31","products":["Core HCM","Prism Analytics"]}],"lastGoLiveDate":"2022-10-31","productFunctionCount":2},"a0r4X00000CcXCFQA3":{"isPhased":true,"upcomingDates":[],"nextGoLiveDate":null,"recentDates":[{"date":"2021-11-22","products":["Planning"]},{"date":"2023-12-12","products":["Planning"]}],"lastGoLiveDate":"2023-12-12","productFunctionCount":2},"a0r4X00000CrSowQAF":{"isPhased":true,"upcomingDates":[],"nextGoLiveDate":null,"recentDates":[{"date":"2025-06-02","products":["Financials","Human Capital Management","Payroll","People Experience","Prism Analytics"]},{"date":"2025-06-12","products":["Planning"]}],"lastGoLiveDate":"2025-06-12","productFunctionCount":6},"a0r4X00000CrSwbQAF":{"isPhased":false,"upcomingDates":[],"nextGoLiveDate":null,"recentDates":[{"date":"2025-12-10","products":["Human Capital Management","Payroll","Prism Analytics","Talent Optimization"]}],"lastGoLiveDate":"2025-12-10","productFunctionCount":4},"a0r4X00000CrSy4QAF":{"isPhased":true,"upcomingDates":[],"nextGoLiveDate":null,"recentDates":[{"date":"2024-11-15","products":["Talent Optimization"]},{"date":"2025-01-06","products":["Human Capital Management"]}],"lastGoLiveDate":"2025-01-06","productFunctionCount":2},"a0r4X00000CrSy8QAF":{"isPhased":false,"upcomingDates":[],"nextGoLiveDate":null,"recentDates":[{"date":"2025-03-20","products":["Financials","Human Capital Management","Payroll","Talent Optimization"]}],"lastGoLiveDate":"2025-03-20","productFunctionCount":4},"a0r4X00000CrSyDQAV":{"isPhased":true,"upcomingDates":[],"nextGoLiveDate":null,"recentDates":[{"date":"2025-06-15","products":["Financials","Human Capital Management","Payroll","Planning","Talent Optimization"]},{"date":"2025-06-20","products":["Financials"]},{"date":"2025-08-15","products":["Prism Analytics"]}],"lastGoLiveDate":"2025-08-15","productFunctionCount":7},"a0r4X00000CrT38QAF":{"isPhased":false,"upcomingDates":[],"nextGoLiveDate":null,"recentDates":[{"date":"2024-09-29","products":["Human Capital Management","Prism Analytics","Talent Optimization"]}],"lastGoLiveDate":"2024-09-29","productFunctionCount":3},"a0r4X00000CrTG7QAN":{"isPhased":false,"upcomingDates":[{"date":"2026-12-05","products":["Financials","Human Capital Management","Payroll","People Experience","Prism Analytics","Talent Optimization"]}],"nextGoLiveDate":"2026-12-05","recentDates":[],"lastGoLiveDate":null,"productFunctionCount":6},"a0r4X00000CrTOVQA3":{"isPhased":false,"upcomingDates":[],"nextGoLiveDate":null,"recentDates":[{"date":"2025-12-15","products":["Human Capital Management","Payroll","Prism Analytics"]}],"lastGoLiveDate":"2025-12-15","productFunctionCount":3},"a0r4X00000CrTQqQAN":{"isPhased":true,"upcomingDates":[],"nextGoLiveDate":null,"recentDates":[{"date":"2025-09-18","products":["Financials","Human Capital Management","Payroll"]},{"date":"2025-10-03","products":["Planning"]}],"lastGoLiveDate":"2025-10-03","productFunctionCount":4},"a0r4X00000CrThDQAV":{"isPhased":false,"upcomingDates":[],"nextGoLiveDate":null,"recentDates":[{"date":"2025-03-31","products":["Prism Analytics"]}],"lastGoLiveDate":"2025-03-31","productFunctionCount":1},"a0r4X00000CrToJQAV":{"isPhased":true,"upcomingDates":[{"date":"2027-02-28","products":["Financials"]},{"date":"2027-05-15","products":["Human Capital Management"]},{"date":"2027-06-12","products":["Prism Analytics"]}],"nextGoLiveDate":"2027-02-28","recentDates":[{"date":"2025-06-08","products":["Financials","Human Capital Management","Payroll"]},{"date":"2026-02-02","products":["Planning"]},{"date":"2026-05-08","products":["Human Capital Management"]}],"lastGoLiveDate":"2026-05-08","productFunctionCount":8},"a0r4X00000CrTosQAF":{"isPhased":false,"upcomingDates":[],"nextGoLiveDate":null,"recentDates":[{"date":"2025-04-14","products":["Human Capital Management"]}],"lastGoLiveDate":"2025-04-14","productFunctionCount":1},"a0r4X00000CrU2pQAF":{"isPhased":false,"upcomingDates":[],"nextGoLiveDate":null,"recentDates":[{"date":"2025-06-19","products":["Financials","Human Capital Management","Payroll"]}],"lastGoLiveDate":"2025-06-19","productFunctionCount":3},"a0r4X00000CrU2uQAF":{"isPhased":true,"upcomingDates":[],"nextGoLiveDate":null,"recentDates":[{"date":"2024-12-23","products":["Human Capital Management","Talent Optimization"]},{"date":"2025-05-02","products":["Financials","Human Capital Management"]}],"lastGoLiveDate":"2025-05-02","productFunctionCount":4},"a0r4X00000CrU5yQAF":{"isPhased":false,"upcomingDates":[],"nextGoLiveDate":null,"recentDates":[{"date":"2024-12-12","products":["Prism Analytics"]}],"lastGoLiveDate":"2024-12-12","productFunctionCount":1},"a0r4X00000CrU6wQAF":{"isPhased":true,"upcomingDates":[{"date":"2026-08-01","products":["Financials"]}],"nextGoLiveDate":"2026-08-01","recentDates":[{"date":"2026-05-07","products":["Human Capital Management","Payroll","People Experience"]}],"lastGoLiveDate":"2026-05-07","productFunctionCount":4},"a0r4X00000CrUDJQA3":{"isPhased":true,"upcomingDates":[],"nextGoLiveDate":null,"recentDates":[{"date":"2024-11-15","products":["Prism Analytics"]},{"date":"2025-02-28","products":["Planning","Prism Analytics"]}],"lastGoLiveDate":"2025-02-28","productFunctionCount":3},"a0r4X00000CrUDxQAN":{"isPhased":false,"upcomingDates":[],"nextGoLiveDate":null,"recentDates":[{"date":"2024-10-11","products":["Human Capital Management"]}],"lastGoLiveDate":"2024-10-11","productFunctionCount":1},"a0r4X00000CrUJMQA3":{"isPhased":true,"upcomingDates":[],"nextGoLiveDate":null,"recentDates":[{"date":"2025-12-08","products":["Financials","Human Capital Management","Payroll","Talent Optimization"]},{"date":"2025-12-29","products":["Financials","Prism Analytics"]}],"lastGoLiveDate":"2025-12-29","productFunctionCount":6},"a0r4X00000CrUJvQAN":{"isPhased":false,"upcomingDates":[],"nextGoLiveDate":null,"recentDates":[{"date":"2025-07-31","products":["Human Capital Management"]}],"lastGoLiveDate":"2025-07-31","productFunctionCount":1},"a0r4X00000CrURQQA3":{"isPhased":true,"upcomingDates":[],"nextGoLiveDate":null,"recentDates":[{"date":"2025-08-01","products":["Financials","Human Capital Management","Payroll"]},{"date":"2025-08-15","products":["Workday Extend"]}],"lastGoLiveDate":"2025-08-15","productFunctionCount":4},"a0r4X00000CrUSnQAN":{"isPhased":false,"upcomingDates":[],"nextGoLiveDate":null,"recentDates":[{"date":"2024-08-22","products":["Prism Analytics"]}],"lastGoLiveDate":"2024-08-22","productFunctionCount":1},"a0r4X00000CrUa3QAF":{"isPhased":false,"upcomingDates":[],"nextGoLiveDate":null,"recentDates":[{"date":"2025-09-14","products":["Human Capital Management","Payroll","Talent Optimization"]}],"lastGoLiveDate":"2025-09-14","productFunctionCount":3},"a0r4X00000CrUp3QAF":{"isPhased":false,"upcomingDates":[],"nextGoLiveDate":null,"recentDates":[{"date":"2025-02-16","products":["Human Capital Management","People Experience","Talent Optimization"]}],"lastGoLiveDate":"2025-02-16","productFunctionCount":3},"a0r4X00000CrUzSQAV":{"isPhased":false,"upcomingDates":[],"nextGoLiveDate":null,"recentDates":[{"date":"2025-09-11","products":["Core HCM","Human Capital Management","Payroll","Talent Optimization"]}],"lastGoLiveDate":"2025-09-11","productFunctionCount":4},"a0r4X00000CrVBOQA3":{"isPhased":false,"upcomingDates":[],"nextGoLiveDate":null,"recentDates":[{"date":"2026-06-14","products":["Human Capital Management","Payroll","Prism Analytics","Talent Optimization"]}],"lastGoLiveDate":"2026-06-14","productFunctionCount":4},"a0r4X00000CrVESQA3":{"isPhased":true,"upcomingDates":[],"nextGoLiveDate":null,"recentDates":[{"date":"2025-06-23","products":["Financials"]},{"date":"2025-10-01","products":["Financials"]},{"date":"2026-02-27","products":["Human Capital Management"]}],"lastGoLiveDate":"2026-02-27","productFunctionCount":3},"a0r4X00000CrVFfQAN":{"isPhased":true,"upcomingDates":[{"date":"2026-12-31","products":["Financials","Workday Success Plans"]}],"nextGoLiveDate":"2026-12-31","recentDates":[{"date":"2025-04-24","products":["Financials"]}],"lastGoLiveDate":"2025-04-24","productFunctionCount":3},"a0r4X00000CrVZuQAN":{"isPhased":true,"upcomingDates":[{"date":"2026-09-09","products":["Core HCM","Financials","Human Capital Management","Payroll","People Experience","Prism Analytics","Talent Optimization"]},{"date":"2026-10-15","products":["Planning"]}],"nextGoLiveDate":"2026-09-09","recentDates":[],"lastGoLiveDate":null,"productFunctionCount":8},"a0r4X00000CrVdNQAV":{"isPhased":false,"upcomingDates":[],"nextGoLiveDate":null,"recentDates":[{"date":"2025-09-14","products":["Financials","Human Capital Management","Payroll","People Experience","Talent Optimization"]}],"lastGoLiveDate":"2025-09-14","productFunctionCount":5},"a0r4X00000CrVjLQAV":{"isPhased":false,"upcomingDates":[],"nextGoLiveDate":null,"recentDates":[{"date":"2026-01-26","products":["Financials","Prism Analytics"]}],"lastGoLiveDate":"2026-01-26","productFunctionCount":2},"a0r4X00000CrVjpQAF":{"isPhased":false,"upcomingDates":[{"date":"2026-12-29","products":["Human Capital Management","Payroll"]}],"nextGoLiveDate":"2026-12-29","recentDates":[],"lastGoLiveDate":null,"productFunctionCount":2},"a0r4X00000CrVnSQAV":{"isPhased":false,"upcomingDates":[],"nextGoLiveDate":null,"recentDates":[{"date":"2025-06-08","products":["Core HCM","Financials","Payroll","Prism Analytics"]}],"lastGoLiveDate":"2025-06-08","productFunctionCount":4},"a0r4X00000CrVozQAF":{"isPhased":true,"upcomingDates":[],"nextGoLiveDate":null,"recentDates":[{"date":"2025-06-30","products":["Financials"]},{"date":"2026-02-02","products":["Human Capital Management"]}],"lastGoLiveDate":"2026-02-02","productFunctionCount":2},"a0r4X00000CrVq2QAF":{"isPhased":false,"upcomingDates":[],"nextGoLiveDate":null,"recentDates":[{"date":"2025-02-18","products":["Financials"]}],"lastGoLiveDate":"2025-02-18","productFunctionCount":1},"a0r4X00000CrVxdQAF":{"isPhased":false,"upcomingDates":[{"date":"2027-10-01","products":["Core HCM","Human Capital Management","Payroll","People Experience","Talent Optimization"]}],"nextGoLiveDate":"2027-10-01","recentDates":[],"lastGoLiveDate":null,"productFunctionCount":5},"a0r4X00000CrWKCQA3":{"isPhased":true,"upcomingDates":[{"date":"2026-08-17","products":["Prism Analytics"]},{"date":"2026-08-26","products":["Contract Management and Document Intelligence","Financials"]}],"nextGoLiveDate":"2026-08-17","recentDates":[{"date":"2025-12-29","products":["Core HCM","Financials","Human Capital Management","Payroll","Talent Optimization"]}],"lastGoLiveDate":"2025-12-29","productFunctionCount":8},"a0r4X00000CrWKHQA3":{"isPhased":false,"upcomingDates":[{"date":"2026-09-07","products":["Core HCM","Financials","Human Capital Management","Payroll","People Experience","Prism Analytics","Talent Optimization","Workday Extend"]}],"nextGoLiveDate":"2026-09-07","recentDates":[],"lastGoLiveDate":null,"productFunctionCount":8},"a0r4X00000CrWKgQAN":{"isPhased":false,"upcomingDates":[],"nextGoLiveDate":null,"recentDates":[{"date":"2025-09-11","products":["Financials","Human Capital Management","Payroll"]}],"lastGoLiveDate":"2025-09-11","productFunctionCount":3},"a0r4X00000CrWQ0QAN":{"isPhased":false,"upcomingDates":[],"nextGoLiveDate":null,"recentDates":[{"date":"2025-12-14","products":["Human Capital Management","Payroll","Prism Analytics","Talent Optimization"]}],"lastGoLiveDate":"2025-12-14","productFunctionCount":4},"a0r4X00000CrWUlQAN":{"isPhased":false,"upcomingDates":[],"nextGoLiveDate":null,"recentDates":[{"date":"2025-07-28","products":["Financials","Prism Analytics"]}],"lastGoLiveDate":"2025-07-28","productFunctionCount":2},"a0r4X00000CrWXVQA3":{"isPhased":false,"upcomingDates":[],"nextGoLiveDate":null,"recentDates":[{"date":"2026-03-23","products":["Human Capital Management","Prism Analytics"]}],"lastGoLiveDate":"2026-03-23","productFunctionCount":2},"a0r4X00000CrWebQAF":{"isPhased":true,"upcomingDates":[{"date":"2026-08-01","products":["Financials"]},{"date":"2026-10-04","products":["Human Capital Management","Prism Analytics"]}],"nextGoLiveDate":"2026-08-01","recentDates":[],"lastGoLiveDate":null,"productFunctionCount":3},"a0r4X00000CrWhLQAV":{"isPhased":false,"upcomingDates":[],"nextGoLiveDate":null,"recentDates":[{"date":"2025-12-12","products":["Core HCM","Financials","Human Capital Management","Payroll","Prism Analytics","Talent Optimization"]}],"lastGoLiveDate":"2025-12-12","productFunctionCount":6},"a0r4X00000D7qqIQAR":{"isPhased":false,"upcomingDates":[],"nextGoLiveDate":null,"recentDates":[{"date":"2023-07-07","products":["Planning"]}],"lastGoLiveDate":"2023-07-07","productFunctionCount":1},"a0r4X00000D7qyvQAB":{"isPhased":false,"upcomingDates":[],"nextGoLiveDate":null,"recentDates":[{"date":"2023-07-02","products":["Financials"]}],"lastGoLiveDate":"2023-07-02","productFunctionCount":1},"a0r4X00000D7r6VQAR":{"isPhased":false,"upcomingDates":[],"nextGoLiveDate":null,"recentDates":[{"date":"2023-07-20","products":["Financials"]}],"lastGoLiveDate":"2023-07-20","productFunctionCount":1},"a0r4X00000D7rGzQAJ":{"isPhased":true,"upcomingDates":[],"nextGoLiveDate":null,"recentDates":[{"date":"2024-01-28","products":["Financials"]},{"date":"2024-05-29","products":["Human Capital Management","Payroll"]},{"date":"2024-07-19","products":["Human Capital Management","Talent Optimization"]},{"date":"2024-10-22","products":["Planning"]},{"date":"2025-03-21","products":["Human Capital Management"]}],"lastGoLiveDate":"2025-03-21","productFunctionCount":7},"a0r4X00000D7rbnQAB":{"isPhased":false,"upcomingDates":[],"nextGoLiveDate":null,"recentDates":[{"date":"2023-07-03","products":["Human Capital Management"]}],"lastGoLiveDate":"2023-07-03","productFunctionCount":1},"a0r4X00000D7rdeQAB":{"isPhased":false,"upcomingDates":[],"nextGoLiveDate":null,"recentDates":[{"date":"2025-12-15","products":["Core HCM","Financials","Human Capital Management","Payroll","People Experience","Prism Analytics","Talent Optimization"]}],"lastGoLiveDate":"2025-12-15","productFunctionCount":7},"a0r4X00000D7s9LQAR":{"isPhased":false,"upcomingDates":[],"nextGoLiveDate":null,"recentDates":[{"date":"2024-02-26","products":["VNDLY"]}],"lastGoLiveDate":"2024-02-26","productFunctionCount":1},"a0r4X00000D7sB2QAJ":{"isPhased":false,"upcomingDates":[],"nextGoLiveDate":null,"recentDates":[{"date":"2024-02-14","products":["Human Capital Management","Talent Optimization"]}],"lastGoLiveDate":"2024-02-14","productFunctionCount":2},"a0r4X00000D7sOaQAJ":{"isPhased":false,"upcomingDates":[],"nextGoLiveDate":null,"recentDates":[],"lastGoLiveDate":null,"productFunctionCount":0},"a0r4X00000D7sbKQAR":{"isPhased":true,"upcomingDates":[],"nextGoLiveDate":null,"recentDates":[{"date":"2024-09-02","products":["Financials","Prism Analytics"]},{"date":"2025-03-31","products":["Human Capital Management","Payroll","Talent Optimization"]}],"lastGoLiveDate":"2025-03-31","productFunctionCount":5},"a0r4X00000D7sbtQAB":{"isPhased":true,"upcomingDates":[],"nextGoLiveDate":null,"recentDates":[{"date":"2025-12-07","products":["Core HCM","Financials","Human Capital Management","Payroll","People Experience","Talent Optimization"]},{"date":"2026-03-06","products":["Planning"]}],"lastGoLiveDate":"2026-03-06","productFunctionCount":7},"a0r4X00000DCFtzQAH":{"isPhased":false,"upcomingDates":[],"nextGoLiveDate":null,"recentDates":[{"date":"2024-01-05","products":["Financials"]}],"lastGoLiveDate":"2024-01-05","productFunctionCount":1},"a0r4X00000DCFx8QAH":{"isPhased":false,"upcomingDates":[],"nextGoLiveDate":null,"recentDates":[{"date":"2024-12-15","products":["Financials","Prism Analytics"]}],"lastGoLiveDate":"2024-12-15","productFunctionCount":2},"a0r4X00000DCG3kQAH":{"isPhased":false,"upcomingDates":[],"nextGoLiveDate":null,"recentDates":[{"date":"2024-06-27","products":["Financials"]}],"lastGoLiveDate":"2024-06-27","productFunctionCount":1},"a0r4X00000DCG7IQAX":{"isPhased":true,"upcomingDates":[],"nextGoLiveDate":null,"recentDates":[{"date":"2025-12-31","products":["Financials"]},{"date":"2026-04-08","products":["Planning","Prism Analytics"]}],"lastGoLiveDate":"2026-04-08","productFunctionCount":3},"a0r4X00000DCGHrQAP":{"isPhased":true,"upcomingDates":[],"nextGoLiveDate":null,"recentDates":[{"date":"2025-03-27","products":["Financials","Human Capital Management","Payroll","Talent Optimization"]},{"date":"2025-03-31","products":["Payroll"]},{"date":"2025-05-30","products":["Planning"]}],"lastGoLiveDate":"2025-05-30","productFunctionCount":6},"a0r4X00000DCGIBQA5":{"isPhased":false,"upcomingDates":[],"nextGoLiveDate":null,"recentDates":[{"date":"2024-04-11","products":["Financials","Human Capital Management","Payroll","Workday Extend"]}],"lastGoLiveDate":"2024-04-11","productFunctionCount":4},"a0r4X00000DCGIGQA5":{"isPhased":false,"upcomingDates":[],"nextGoLiveDate":null,"recentDates":[{"date":"2024-12-16","products":["Core HCM","Human Capital Management","Payroll","Prism Analytics","Talent Optimization"]}],"lastGoLiveDate":"2024-12-16","productFunctionCount":5},"a0r4X00000DCGf0QAH":{"isPhased":false,"upcomingDates":[],"nextGoLiveDate":null,"recentDates":[{"date":"2026-06-11","products":["Human Capital Management","Payroll","Prism Analytics","Talent Optimization"]}],"lastGoLiveDate":"2026-06-11","productFunctionCount":4},"a0r4X00000DCGoCQAX":{"isPhased":true,"upcomingDates":[{"date":"2026-08-01","products":["Prism Analytics"]},{"date":"2026-09-18","products":["Financials"]}],"nextGoLiveDate":"2026-08-01","recentDates":[{"date":"2024-07-25","products":["Human Capital Management","Payroll"]},{"date":"2025-10-01","products":["Financials"]}],"lastGoLiveDate":"2025-10-01","productFunctionCount":5},"a0r4X00000DCH2YQAX":{"isPhased":false,"upcomingDates":[],"nextGoLiveDate":null,"recentDates":[{"date":"2025-05-30","products":["Financials","People Experience","Prism Analytics"]}],"lastGoLiveDate":"2025-05-30","productFunctionCount":3},"a0r4X00000DCH5SQAX":{"isPhased":false,"upcomingDates":[],"nextGoLiveDate":null,"recentDates":[{"date":"2024-12-20","products":["Human Capital Management"]}],"lastGoLiveDate":"2024-12-20","productFunctionCount":1},"a0r4X00000DCHEAQA5":{"isPhased":false,"upcomingDates":[],"nextGoLiveDate":null,"recentDates":[{"date":"2024-12-12","products":["Human Capital Management","Payroll","Talent Optimization"]}],"lastGoLiveDate":"2024-12-12","productFunctionCount":3},"a0r4X00000DCHGzQAP":{"isPhased":false,"upcomingDates":[{"date":"2027-03-12","products":["Human Capital Management","Payroll","People Experience","Prism Analytics","Talent Optimization","Workday Extend"]}],"nextGoLiveDate":"2027-03-12","recentDates":[],"lastGoLiveDate":null,"productFunctionCount":6},"a0r4X00000DCHVQQA5":{"isPhased":true,"upcomingDates":[],"nextGoLiveDate":null,"recentDates":[{"date":"2025-09-28","products":["Financials","Human Capital Management","Payroll","People Experience","Talent Optimization"]},{"date":"2025-12-05","products":["Prism Analytics"]}],"lastGoLiveDate":"2025-12-05","productFunctionCount":6},"a0r4X00000DNBq6QAH":{"isPhased":false,"upcomingDates":[],"nextGoLiveDate":null,"recentDates":[{"date":"2022-12-15","products":["Core HCM","Human Capital Management","Payroll","Talent Optimization"]}],"lastGoLiveDate":"2022-12-15","productFunctionCount":4},"a0r4X00000DNDDCQA5":{"isPhased":false,"upcomingDates":[],"nextGoLiveDate":null,"recentDates":[{"date":"2022-04-10","products":["Financials"]}],"lastGoLiveDate":"2022-04-10","productFunctionCount":1},"a0r4X00000DNDEOQA5":{"isPhased":false,"upcomingDates":[],"nextGoLiveDate":null,"recentDates":[{"date":"2022-04-10","products":["Core HCM","Payroll"]}],"lastGoLiveDate":"2022-04-10","productFunctionCount":2},"a0r4X00000DNEpaQAH":{"isPhased":true,"upcomingDates":[],"nextGoLiveDate":null,"recentDates":[{"date":"2022-09-26","products":["Human Capital Management","Talent Optimization"]},{"date":"2022-11-14","products":["Prism Analytics"]}],"lastGoLiveDate":"2022-11-14","productFunctionCount":3},"a0r4X00000DNGH6QAP":{"isPhased":true,"upcomingDates":[],"nextGoLiveDate":null,"recentDates":[{"date":"2022-06-27","products":["Core HCM","Human Capital Management"]},{"date":"2022-07-05","products":["Core HCM"]},{"date":"2022-11-03","products":["Prism Analytics"]}],"lastGoLiveDate":"2022-11-03","productFunctionCount":4},"a0r4X00000DNGHBQA5":{"isPhased":true,"upcomingDates":[],"nextGoLiveDate":null,"recentDates":[{"date":"2023-06-05","products":["Financials"]},{"date":"2023-06-26","products":["Financials"]}],"lastGoLiveDate":"2023-06-26","productFunctionCount":2},"a0r4X00000DNHXPQA5":{"isPhased":false,"upcomingDates":[],"nextGoLiveDate":null,"recentDates":[{"date":"2021-12-13","products":["Planning"]}],"lastGoLiveDate":"2021-12-13","productFunctionCount":1},"a0r4X00000DNciKQAT":{"isPhased":false,"upcomingDates":[],"nextGoLiveDate":null,"recentDates":[{"date":"2021-11-15","products":["Human Capital Management"]}],"lastGoLiveDate":"2021-11-15","productFunctionCount":1},"a0r4X00000DNgfZQAT":{"isPhased":false,"upcomingDates":[],"nextGoLiveDate":null,"recentDates":[{"date":"2021-12-28","products":["Planning"]}],"lastGoLiveDate":"2021-12-28","productFunctionCount":1},"a0r4X00000DNghQQAT":{"isPhased":false,"upcomingDates":[],"nextGoLiveDate":null,"recentDates":[{"date":"2022-10-08","products":["Human Capital Management"]}],"lastGoLiveDate":"2022-10-08","productFunctionCount":1},"a0r4X00000DNiEpQAL":{"isPhased":false,"upcomingDates":[],"nextGoLiveDate":null,"recentDates":[{"date":"2022-03-07","products":["Planning"]}],"lastGoLiveDate":"2022-03-07","productFunctionCount":1},"a0r4X00000DO6L6QAL":{"isPhased":false,"upcomingDates":[],"nextGoLiveDate":null,"recentDates":[{"date":"2022-07-14","products":["Core HCM","Human Capital Management"]}],"lastGoLiveDate":"2022-07-14","productFunctionCount":2},"a0r4X00000DOZfKQAX":{"isPhased":false,"upcomingDates":[],"nextGoLiveDate":null,"recentDates":[{"date":"2021-11-01","products":["Planning"]}],"lastGoLiveDate":"2021-11-01","productFunctionCount":1},"a0r4X00000DObJ1QAL":{"isPhased":false,"upcomingDates":[],"nextGoLiveDate":null,"recentDates":[{"date":"2021-10-11","products":["Workday Extend"]}],"lastGoLiveDate":"2021-10-11","productFunctionCount":1},"a0r4X00000DOi2gQAD":{"isPhased":false,"upcomingDates":[],"nextGoLiveDate":null,"recentDates":[{"date":"2023-09-12","products":["Human Capital Management","Payroll","Talent Optimization"]}],"lastGoLiveDate":"2023-09-12","productFunctionCount":3},"a0r4X00000DOkZZQA1":{"isPhased":false,"upcomingDates":[],"nextGoLiveDate":null,"recentDates":[{"date":"2022-10-24","products":["Core HCM","Financials","Human Capital Management","Payroll"]}],"lastGoLiveDate":"2022-10-24","productFunctionCount":4},"a0r4X00000DOlksQAD":{"isPhased":true,"upcomingDates":[],"nextGoLiveDate":null,"recentDates":[{"date":"2023-08-30","products":["Human Capital Management"]},{"date":"2023-08-31","products":["Human Capital Management","Payroll"]}],"lastGoLiveDate":"2023-08-31","productFunctio</t>
  </si>
  <si>
    <t>Deployment__r.Deployment_Start_Date__c</t>
  </si>
  <si>
    <t>enrichmentMap:SLG:chunk:1</t>
  </si>
  <si>
    <t>Deployment__r.Current_MTP_Date__c</t>
  </si>
  <si>
    <t>a0rVT00000sdpd5YAA</t>
  </si>
  <si>
    <t>Deployment__r.First_Move_to_Production_Date_Actual__c</t>
  </si>
  <si>
    <t>Rooster Technologies, Inc</t>
  </si>
  <si>
    <t>Deployment__r.Overall_Status__c</t>
  </si>
  <si>
    <t>US DI Commercial NN Northeast</t>
  </si>
  <si>
    <t>Deployment__r.Deployment_Phase__c</t>
  </si>
  <si>
    <t>06/11: Launched in PROD</t>
  </si>
  <si>
    <t>a0rVT000018xnsPYAQ</t>
  </si>
  <si>
    <t>Deployment__r.Deployment_Stage__c</t>
  </si>
  <si>
    <t>Initial Deployment-Your Way-INV, SRCSM, PRO, CLMB, etc.</t>
  </si>
  <si>
    <t>Royal Ottawa Health Care Group</t>
  </si>
  <si>
    <t>Deployment__r.Overall_Health__c</t>
  </si>
  <si>
    <t>Launch Flex</t>
  </si>
  <si>
    <t>Deployment__r.Deployment_Completion_Date__c</t>
  </si>
  <si>
    <t>Deployment__r.Workday_Engagement_Manager__r</t>
  </si>
  <si>
    <t>Deployment__r.Delivery_Assurance_Manager__r</t>
  </si>
  <si>
    <t>Deployment__r.Priming_Partner__c</t>
  </si>
  <si>
    <t>Julian Sazhin</t>
  </si>
  <si>
    <t>Deployment__r.Implementation_Partner__c</t>
  </si>
  <si>
    <t>Deployment__r.Deployment_Partner_Name__c</t>
  </si>
  <si>
    <t>Deployment__r.Deployment_Summary__c</t>
  </si>
  <si>
    <t>RU System, Inc. d/b/a Rochester Regional Health System</t>
  </si>
  <si>
    <t>Customer defined folder structure and preparing for contract migration readiness. Kickoff has not yet occurred.
1/21 Moved to inactive per case 3121437</t>
  </si>
  <si>
    <t>a0rVT00000goUnVYAU</t>
  </si>
  <si>
    <t>Ryan Specialty, LLC</t>
  </si>
  <si>
    <t>0013000000J3pFuAAJ</t>
  </si>
  <si>
    <t>{PS_Sub_Region__c=Diversified Industries LE CB TM &amp; PS, attributes={type=Account, url=/services/data/v62.0/sobjects/Account/0013000000J3pFuAAJ}, PS_Region_New__c=US Large Enterprise DI &amp; Mexico, Industry=Media &amp; Entertainment, Name=Light &amp; Wonder, SubRegion__c=US DI LE CB TM &amp; PS Southwest}</t>
  </si>
  <si>
    <t>Scorecard request: 2912451</t>
  </si>
  <si>
    <t>S.A. Lhoist Recherche et Développement</t>
  </si>
  <si>
    <t>{attributes={type=Contact, url=/services/data/v62.0/sobjects/Contact/0038000001goW9YAAU}, Full_Name__c=Shane Cline}</t>
  </si>
  <si>
    <t>In Week 3 post go-live, Lhoist production remains stable while the Fit-and-Gap enhancement is being enabled internally. The primary risk is missing AI candidate grading caused by Mongo resume errors, which is under active technical investigation.</t>
  </si>
  <si>
    <t>S&amp;P Global Inc.</t>
  </si>
  <si>
    <t>Subsequent-Phase X: TM, HCM, COMP, ADV COMP, LRN, REC</t>
  </si>
  <si>
    <t>0018000000shOeLAAU</t>
  </si>
  <si>
    <t>{PS_Region_New__c=DACH, attributes={type=Account, url=/services/data/v62.0/sobjects/Account/0018000000shOeLAAU}, SubRegion__c=Germany LE CB, Name=Bayer AG, Industry=Healthcare Manufacturing, PS_Sub_Region__c=Germany CB}</t>
  </si>
  <si>
    <t>The client needs to complete creating eligibility fields and share the fields and examples.
The client require to complete design decisions and data mapping, once done, the client needs to sign off on design, which is a blocker for data export.</t>
  </si>
  <si>
    <t>nCount":3},"a0r4X00000DOoSqQAL":{"isPhased":false,"upcomingDates":[],"nextGoLiveDate":null,"recentDates":[{"date":"2022-12-18","products":["Core HCM","Human Capital Management","Payroll"]}],"lastGoLiveDate":"2022-12-18","productFunctionCount":3},"a0r4X00000DOoT0QAL":{"isPhased":false,"upcomingDates":[],"nextGoLiveDate":null,"recentDates":[{"date":"2022-12-18","products":["Financials"]}],"lastGoLiveDate":"2022-12-18","productFunctionCount":1},"a0r4X00000DOqDYQA1":{"isPhased":false,"upcomingDates":[],"nextGoLiveDate":null,"recentDates":[{"date":"2023-06-19","products":["Core HCM","Payroll"]}],"lastGoLiveDate":"2023-06-19","productFunctionCount":2},"a0r4X00000DOuFEQA1":{"isPhased":false,"upcomingDates":[],"nextGoLiveDate":null,"recentDates":[{"date":"2020-10-21","products":["Planning"]}],"lastGoLiveDate":"2020-10-21","productFunctionCount":1},"a0r4X00000DOuKnQAL":{"isPhased":false,"upcomingDates":[],"nextGoLiveDate":null,"recentDates":[{"date":"2016-08-26","products":["Planning"]}],"lastGoLiveDate":"2016-08-26","productFunctionCount":1},"a0r4X00000DOuLVQA1":{"isPhased":false,"upcomingDates":[],"nextGoLiveDate":null,"recentDates":[{"date":"2020-01-30","products":["Planning"]}],"lastGoLiveDate":"2020-01-30","productFunctionCount":1},"a0r4X00000DOuPbQAL":{"isPhased":false,"upcomingDates":[],"nextGoLiveDate":null,"recentDates":[{"date":"2016-01-02","products":["Planning"]}],"lastGoLiveDate":"2016-01-02","productFunctionCount":1},"a0r4X00000DOuTsQAL":{"isPhased":false,"upcomingDates":[],"nextGoLiveDate":null,"recentDates":[{"date":"2018-08-09","products":["Planning"]}],"lastGoLiveDate":"2018-08-09","productFunctionCount":1},"a0r4X00000DOuTwQAL":{"isPhased":false,"upcomingDates":[],"nextGoLiveDate":null,"recentDates":[{"date":"2019-10-01","products":["Planning"]}],"lastGoLiveDate":"2019-10-01","productFunctionCount":1},"a0r4X00000DOuUGQA1":{"isPhased":false,"upcomingDates":[],"nextGoLiveDate":null,"recentDates":[{"date":"2020-07-31","products":["Planning"]}],"lastGoLiveDate":"2020-07-31","productFunctionCount":1},"a0r4X00000DOuUQQA1":{"isPhased":false,"upcomingDates":[],"nextGoLiveDate":null,"recentDates":[{"date":"2020-01-24","products":["Planning"]}],"lastGoLiveDate":"2020-01-24","productFunctionCount":1},"a0r4X00000DOuUWQA1":{"isPhased":false,"upcomingDates":[],"nextGoLiveDate":null,"recentDates":[{"date":"2020-06-12","products":["Planning"]}],"lastGoLiveDate":"2020-06-12","productFunctionCount":1},"a0r4X00000DOuVbQAL":{"isPhased":false,"upcomingDates":[],"nextGoLiveDate":null,"recentDates":[{"date":"2020-04-09","products":["Planning"]}],"lastGoLiveDate":"2020-04-09","productFunctionCount":1},"a0r4X00000DOuWBQA1":{"isPhased":false,"upcomingDates":[],"nextGoLiveDate":null,"recentDates":[{"date":"2014-10-02","products":["Planning"]}],"lastGoLiveDate":"2014-10-02","productFunctionCount":1},"a0r4X00000DOuZ8QAL":{"isPhased":false,"upcomingDates":[],"nextGoLiveDate":null,"recentDates":[{"date":"2015-12-10","products":["Planning"]}],"lastGoLiveDate":"2015-12-10","productFunctionCount":1},"a0r4X00000DOuavQAD":{"isPhased":false,"upcomingDates":[],"nextGoLiveDate":null,"recentDates":[{"date":"2016-06-17","products":["Planning"]}],"lastGoLiveDate":"2016-06-17","productFunctionCount":1},"a0r4X00000DOufbQAD":{"isPhased":false,"upcomingDates":[],"nextGoLiveDate":null,"recentDates":[{"date":"2016-03-11","products":["Planning"]}],"lastGoLiveDate":"2016-03-11","productFunctionCount":1},"a0r4X00000DOugdQAD":{"isPhased":false,"upcomingDates":[],"nextGoLiveDate":null,"recentDates":[{"date":"2013-09-22","products":["Planning"]}],"lastGoLiveDate":"2013-09-22","productFunctionCount":1},"a0r4X00000DOulfQAD":{"isPhased":false,"upcomingDates":[],"nextGoLiveDate":null,"recentDates":[{"date":"2015-06-24","products":["Planning"]}],"lastGoLiveDate":"2015-06-24","productFunctionCount":1},"a0r4X00000DOunWQAT":{"isPhased":false,"upcomingDates":[],"nextGoLiveDate":null,"recentDates":[{"date":"2016-04-29","products":["Planning"]}],"lastGoLiveDate":"2016-04-29","productFunctionCount":1},"a0r4X00000DOunlQAD":{"isPhased":false,"upcomingDates":[],"nextGoLiveDate":null,"recentDates":[{"date":"2010-03-30","products":["Planning"]}],"lastGoLiveDate":"2010-03-30","productFunctionCount":1},"a0r4X00000DOurCQAT":{"isPhased":false,"upcomingDates":[],"nextGoLiveDate":null,"recentDates":[{"date":"2018-04-27","products":["Planning"]}],"lastGoLiveDate":"2018-04-27","productFunctionCount":1},"a0r4X00000DOuu7QAD":{"isPhased":false,"upcomingDates":[],"nextGoLiveDate":null,"recentDates":[{"date":"2010-03-30","products":["Planning"]}],"lastGoLiveDate":"2010-03-30","productFunctionCount":1},"a0r4X00000DOux2QAD":{"isPhased":false,"upcomingDates":[],"nextGoLiveDate":null,"recentDates":[{"date":"2016-11-20","products":["Planning"]}],"lastGoLiveDate":"2016-11-20","productFunctionCount":1},"a0r4X00000DOv07QAD":{"isPhased":false,"upcomingDates":[],"nextGoLiveDate":null,"recentDates":[{"date":"2020-03-03","products":["Planning"]}],"lastGoLiveDate":"2020-03-03","productFunctionCount":1},"a0r4X00000DOv0PQAT":{"isPhased":false,"upcomingDates":[],"nextGoLiveDate":null,"recentDates":[{"date":"2016-11-27","products":["Planning"]}],"lastGoLiveDate":"2016-11-27","productFunctionCount":1},"a0r4X00000DOv4OQAT":{"isPhased":false,"upcomingDates":[],"nextGoLiveDate":null,"recentDates":[{"date":"2014-03-03","products":["Planning"]}],"lastGoLiveDate":"2014-03-03","productFunctionCount":1},"a0r4X00000DOv4PQAT":{"isPhased":false,"upcomingDates":[],"nextGoLiveDate":null,"recentDates":[{"date":"2014-11-02","products":["Planning"]}],"lastGoLiveDate":"2014-11-02","productFunctionCount":1},"a0r4X00000DOv4ZQAT":{"isPhased":false,"upcomingDates":[],"nextGoLiveDate":null,"recentDates":[{"date":"2017-05-07","products":["Planning"]}],"lastGoLiveDate":"2017-05-07","productFunctionCount":1},"a0r4X00000DOv4lQAD":{"isPhased":false,"upcomingDates":[],"nextGoLiveDate":null,"recentDates":[{"date":"2018-03-13","products":["Planning"]}],"lastGoLiveDate":"2018-03-13","productFunctionCount":1},"a0r4X00000DOv5LQAT":{"isPhased":false,"upcomingDates":[],"nextGoLiveDate":null,"recentDates":[{"date":"2019-11-30","products":["Planning"]}],"lastGoLiveDate":"2019-11-30","productFunctionCount":1},"a0r4X00000DOv7sQAD":{"isPhased":false,"upcomingDates":[],"nextGoLiveDate":null,"recentDates":[{"date":"2009-03-18","products":["Planning"]}],"lastGoLiveDate":"2009-03-18","productFunctionCount":1},"a0r4X00000DOv81QAD":{"isPhased":false,"upcomingDates":[],"nextGoLiveDate":null,"recentDates":[{"date":"2019-06-22","products":["Planning"]}],"lastGoLiveDate":"2019-06-22","productFunctionCount":1},"a0r4X00000DOvDiQAL":{"isPhased":false,"upcomingDates":[],"nextGoLiveDate":null,"recentDates":[{"date":"2019-02-28","products":["Planning"]}],"lastGoLiveDate":"2019-02-28","productFunctionCount":1},"a0r4X00000DOvHTQA1":{"isPhased":false,"upcomingDates":[],"nextGoLiveDate":null,"recentDates":[{"date":"2017-09-07","products":["Planning"]}],"lastGoLiveDate":"2017-09-07","productFunctionCount":1},"a0r4X00000DOvPHQA1":{"isPhased":false,"upcomingDates":[],"nextGoLiveDate":null,"recentDates":[{"date":"2020-01-25","products":["Planning"]}],"lastGoLiveDate":"2020-01-25","productFunctionCount":1},"a0r4X00000DP1v3QAD":{"isPhased":false,"upcomingDates":[],"nextGoLiveDate":null,"recentDates":[{"date":"2022-07-25","products":["Financials","Prism Analytics"]}],"lastGoLiveDate":"2022-07-25","productFunctionCount":2},"a0r4X00000DP6TMQA1":{"isPhased":true,"upcomingDates":[],"nextGoLiveDate":null,"recentDates":[{"date":"2022-01-24","products":["Prism Analytics"]},{"date":"2022-01-31","products":["Human Capital Management"]}],"lastGoLiveDate":"2022-01-31","productFunctionCount":2},"a0r4X00000DPH7mQAH":{"isPhased":false,"upcomingDates":[],"nextGoLiveDate":null,"recentDates":[{"date":"2023-03-05","products":["Core HCM","Financials"]}],"lastGoLiveDate":"2023-03-05","productFunctionCount":2},"a0r4X00000DPVhfQAH":{"isPhased":false,"upcomingDates":[],"nextGoLiveDate":null,"recentDates":[{"date":"2021-04-01","products":["Human Capital Management"]}],"lastGoLiveDate":"2021-04-01","productFunctionCount":1},"a0r4X00000DPX7OQAX":{"isPhased":false,"upcomingDates":[],"nextGoLiveDate":null,"recentDates":[{"date":"2022-03-21","products":["Prism Analytics"]}],"lastGoLiveDate":"2022-03-21","productFunctionCount":1},"a0r4X00000DPqZlQAL":{"isPhased":false,"upcomingDates":[],"nextGoLiveDate":null,"recentDates":[{"date":"2022-07-26","products":["Human Capital Management"]}],"lastGoLiveDate":"2022-07-26","productFunctionCount":1},"a0r4X00000DPy1OQAT":{"isPhased":false,"upcomingDates":[],"nextGoLiveDate":null,"recentDates":[{"date":"2022-12-26","products":["Financials","Human Capital Management","Payroll"]}],"lastGoLiveDate":"2022-12-26","productFunctionCount":3},"a0r4X00000DQ6oXQAT":{"isPhased":false,"upcomingDates":[],"nextGoLiveDate":null,"recentDates":[{"date":"2024-08-26","products":["Core HCM","Payroll"]}],"lastGoLiveDate":"2024-08-26","productFunctionCount":2},"a0r4X00000DQ8gGQAT":{"isPhased":false,"upcomingDates":[],"nextGoLiveDate":null,"recentDates":[{"date":"2024-05-16","products":["Core HCM","Human Capital Management","Payroll","People Experience","Talent Optimization"]}],"lastGoLiveDate":"2024-05-16","productFunctionCount":5},"a0r4X00000DQ8gVQAT":{"isPhased":false,"upcomingDates":[],"nextGoLiveDate":null,"recentDates":[{"date":"2023-03-14","products":["Core HCM","Financials","Human Capital Management","Payroll","Talent Optimization"]}],"lastGoLiveDate":"2023-03-14","productFunctionCount":5},"a0r4X00000DQRA4QAP":{"isPhased":false,"upcomingDates":[],"nextGoLiveDate":null,"recentDates":[{"date":"2023-03-21","products":["Core HCM","Financials","Human Capital Management","Payroll","Talent Optimization"]}],"lastGoLiveDate":"2023-03-21","productFunctionCount":5},"a0r4X00000DQZxiQAH":{"isPhased":false,"upcomingDates":[],"nextGoLiveDate":null,"recentDates":[{"date":"2023-06-27","products":["Talent Optimization"]}],"lastGoLiveDate":"2023-06-27","productFunctionCount":1},"a0r4X00000DQZxnQAH":{"isPhased":false,"upcomingDates":[],"nextGoLiveDate":null,"recentDates":[{"date":"2022-08-29","products":["Human Capital Management"]}],"lastGoLiveDate":"2022-08-29","productFunctionCount":1},"a0r4X00000DQbMVQA1":{"isPhased":true,"upcomingDates":[],"nextGoLiveDate":null,"recentDates":[{"date":"2022-09-06","products":["Talent Optimization"]},{"date":"2022-09-16","products":["Financials"]},{"date":"2022-10-24","products":["Prism Analytics"]},{"date":"2023-04-01","products":["Core HCM"]}],"lastGoLiveDate":"2023-04-01","productFunctionCount":4},"a0r4X00000DQlL2QAL":{"isPhased":false,"upcomingDates":[],"nextGoLiveDate":null,"recentDates":[{"date":"2023-01-06","products":["Core HCM","Human Capital Management","Payroll","Prism Analytics"]}],"lastGoLiveDate":"2023-01-06","productFunctionCount":4},"a0r4X00000DQlPTQA1":{"isPhased":true,"upcomingDates":[],"nextGoLiveDate":null,"recentDates":[{"date":"2023-03-14","products":["Core HCM","Human Capital Management","Payroll"]},{"date":"2023-10-20","products":["Financials"]},{"date":"2023-10-21","products":["Financials"]},{"date":"2023-10-25","products":["Financials"]},{"date":"2024-02-23","products":["Prism Analytics"]},{"date":"2024-02-29","products":["Planning"]}],"lastGoLiveDate":"2024-02-29","productFunctionCount":8},"a0r4X00000DQy65QAD":{"isPhased":false,"upcomingDates":[],"nextGoLiveDate":null,"recentDates":[{"date":"2023-01-03","products":["Talent Optimization"]}],"lastGoLiveDate":"2023-01-03","productFunctionCount":1},"a0r4X00000DRByJQAX":{"isPhased":false,"upcomingDates":[],"nextGoLiveDate":null,"recentDates":[{"date":"2022-08-08","products":["Planning"]}],"lastGoLiveDate":"2022-08-08","productFunctionCount":1},"a0r4X00000DY0lUQAT":{"isPhased":false,"upcomingDates":[],"nextGoLiveDate":null,"recentDates":[{"date":"2023-10-31","products":["Human Capital Management"]}],"lastGoLiveDate":"2023-10-31","productFunctionCount":1},"a0r4X00000DY0tEQAT":{"isPhased":true,"upcomingDates":[],"nextGoLiveDate":null,"recentDates":[{"date":"2024-12-15","products":["Human Capital Management","Payroll"]},{"date":"2025-01-27","products":["Human Capital Management"]}],"lastGoLiveDate":"2025-01-27","productFunctionCount":3},"a0r4X00000DY0xfQAD":{"isPhased":true,"upcomingDates":[],"nextGoLiveDate":null,"recentDates":[{"date":"2024-07-22","products":["Financials","Human Capital Management","Payroll","Planning","Prism Analytics","Talent Optimization"]},{"date":"2025-11-10","products":["Financials"]}],"lastGoLiveDate":"2025-11-10","productFunctionCount":7},"a0r4X00000DY0ysQAD":{"isPhased":false,"upcomingDates":[],"nextGoLiveDate":null,"recentDates":[{"date":"2023-09-15","products":["Financials"]}],"lastGoLiveDate":"2023-09-15","productFunctionCount":1},"a0r4X00000DY18JQAT":{"isPhased":false,"upcomingDates":[],"nextGoLiveDate":null,"recentDates":[{"date":"2023-12-29","products":["Human Capital Management","Prism Analytics"]}],"lastGoLiveDate":"2023-12-29","productFunctionCount":2},"a0r4X00000DY1LmQAL":{"isPhased":false,"upcomingDates":[],"nextGoLiveDate":null,"recentDates":[{"date":"2024-08-01","products":["Human Capital Management"]}],"lastGoLiveDate":"2024-08-01","productFunctionCount":1},"a0r4X00000DY1X4QAL":{"isPhased":false,"upcomingDates":[],"nextGoLiveDate":null,"recentDates":[{"date":"2024-12-05","products":["Financials","Human Capital Management","Payroll","People Experience","Prism Analytics","Talent Optimization"]}],"lastGoLiveDate":"2024-12-05","productFunctionCount":6},"a0r4X00000DY1ZjQAL":{"isPhased":false,"upcomingDates":[],"nextGoLiveDate":null,"recentDates":[{"date":"2023-09-11","products":["VNDLY"]}],"lastGoLiveDate":"2023-09-11","productFunctionCount":1},"a0r4X00000DY1iWQAT":{"isPhased":false,"upcomingDates":[],"nextGoLiveDate":null,"recentDates":[{"date":"2024-12-29","products":["Financials","Prism Analytics"]}],"lastGoLiveDate":"2024-12-29","productFunctionCount":2},"a0r4X00000DY1ibQAD":{"isPhased":true,"upcomingDates":[],"nextGoLiveDate":null,"recentDates":[{"date":"2024-09-12","products":["Financials","Human Capital Management","Payroll","People Experience","Talent Optimization"]},{"date":"2025-08-22","products":["Prism Analytics"]}],"lastGoLiveDate":"2025-08-22","productFunctionCount":6},"a0r4X00000DY1kXQAT":{"isPhased":false,"upcomingDates":[],"nextGoLiveDate":null,"recentDates":[{"date":"2024-06-03","products":["Human Capital Management","Prism Analytics","Talent Optimization"]}],"lastGoLiveDate":"2024-06-03","productFunctionCount":3},"a0r4X00000DZbvGQAT":{"isPhased":false,"upcomingDates":[],"nextGoLiveDate":null,"recentDates":[{"date":"2022-07-13","products":["Financials"]}],"lastGoLiveDate":"2022-07-13","productFunctionCount":1},"a0r4X00000DZdkZQAT":{"isPhased":false,"upcomingDates":[],"nextGoLiveDate":null,"recentDates":[{"date":"2022-11-01","products":["Financials"]}],"lastGoLiveDate":"2022-11-01","productFunctionCount":1},"a0r4X00000DZyFcQAL":{"isPhased":true,"upcomingDates":[],"nextGoLiveDate":null,"recentDates":[{"date":"2023-12-03","products":["Core HCM","Financials","Human Capital Management","Payroll","Talent Optimization"]},{"date":"2024-05-20","products":["Planning"]}],"lastGoLiveDate":"2024-05-20","productFunctionCount":6},"a0r4X00000Da7P7QAJ":{"isPhased":false,"upcomingDates":[],"nextGoLiveDate":null,"recentDates":[{"date":"2023-10-01","products":["Core HCM","Human Capital Management","Payroll","Talent Optimization"]}],"lastGoLiveDate":"2023-10-01","productFunctionCount":4},"a0r4X00000DaCfTQAV":{"isPhased":false,"upcomingDates":[],"nextGoLiveDate":null,"recentDates":[{"date":"2022-03-14","products":["Human Capital Management"]}],"lastGoLiveDate":"2022-03-14","productFunctionCount":1},"a0r4X00000DaCnXQAV":{"isPhased":false,"upcomingDates":[],"nextGoLiveDate":null,"recentDates":[{"date":"2023-12-18","products":["Financials"]}],"lastGoLiveDate":"2023-12-18","productFunctionCount":1},"a0r4X00000DaGHpQAN":{"isPhased":true,"upcomingDates":[],"nextGoLiveDate":null,"recentDates":[{"date":"2023-12-11","products":["Core HCM","Human Capital Management","Payroll","Talent Optimization"]},{"date":"2024-06-22","products":["Financials"]},{"date":"2024-07-03","products":["Planning"]}],"lastGoLiveDate":"2024-07-03","productFunctionCount":6},"a0r4X00000DaVviQAF":{"isPhased":true,"upcomingDates":[],"nextGoLiveDate":null,"recentDates":[{"date":"2023-06-05","products":["Core HCM","Payroll"]},{"date":"2023-07-01","products":["Core HCM"]}],"lastGoLiveDate":"2023-07-01","productFunctionCount":3},"a0r4X00000DaZAMQA3":{"isPhased":false,"upcomingDates":[],"nextGoLiveDate":null,"recentDates":[{"date":"2023-01-12","products":["Payroll"]}],"lastGoLiveDate":"2023-01-12","productFunctionCount":1},"a0r4X00000DapY0QAJ":{"isPhased":true,"upcomingDates":[],"nextGoLiveDate":null,"recentDates":[{"date":"2023-10-01","products":["Financials"]},{"date":"2023-12-11","products":["Prism Analytics"]}],"lastGoLiveDate":"2023-12-11","productFunctionCount":2},"a0r4X00000Db8byQAB":{"isPhased":false,"upcomingDates":[],"nextGoLiveDate":null,"recentDates":[{"date":"2023-04-02","products":["Financials"]}],"lastGoLiveDate":"2023-04-02","productFunctionCount":1},"a0r4X00000Db8pHQAR":{"isPhased":true,"upcomingDates":[],"nextGoLiveDate":null,"recentDates":[{"date":"2022-11-18","products":["Financials"]},{"date":"2022-12-09","products":["Planning"]}],"lastGoLiveDate":"2022-12-09","productFunctionCount":2},"a0r4X00000DbGpzQAF":{"isPhased":true,"upcomingDates":[],"nextGoLiveDate":null,"recentDates":[{"date":"2025-07-27","products":["Financials","Human Capital Management"]},{"date":"2025-12-31","products":["Prism Analytics"]}],"lastGoLiveDate":"2025-12-31","productFunctionCount":3},"a0r4X00000DbLU9QAN":{"isPhased":true,"upcomingDates":[{"date":"2026-10-01","products":["Core HCM","Human Capital Management","Payroll","Prism Analytics","Talent Optimization"]},{"date":"2027-06-01","products":["Prism Analytics"]},{"date":"2028-08-01","products":["Planning"]}],"nextGoLiveDate":"2026-10-01","recentDates":[],"lastGoLiveDate":null,"productFunctionCount":7},"a0r4X00000DbNI0QAN":{"isPhased":true,"upcomingDates":[],"nextGoLiveDate":null,"recentDates":[{"date":"2025-03-03","products":["Core HCM","Human Capital Management","Payroll","Talent Optimization"]},{"date":"2025-04-02","products":["Planning"]}],"lastGoLiveDate":"2025-04-02","productFunctionCount":5},"a0r4X00000DbPzVQAV":{"isPhased":false,"upcomingDates":[],"nextGoLiveDate":null,"recentDates":[{"date":"2024-07-08","products":["Human Capital Management","Payroll","Prism Analytics"]}],"lastGoLiveDate":"2024-07-08","productFunctionCount":3},"a0r4X00000DbiUsQAJ":{"isPhased":true,"upcomingDates":[],"nextGoLiveDate":null,"recentDates":[{"date":"2023-12-26","products":["Core HCM","Human Capital Management","People Experience","Talent Optimization"]},{"date":"2023-12-27","products":["Core HCM","Payroll","Prism Analytics"]}],"lastGoLiveDate":"2023-12-27","productFunctionCount":7},"a0r4X00000DbjnRQAR":{"isPhased":false,"upcomingDates":[],"nextGoLiveDate":null,"recentDates":[{"date":"2023-06-25","products":["Core HCM","Financials","Human Capital Management","Payroll"]}],"lastGoLiveDate":"2023-06-25","productFunctionCount":4},"a0r4X00000Dbq2hQAB":{"isPhased":true,"upcomingDates":[],"nextGoLiveDate":null,"recentDates":[{"date":"2022-10-31","products":["Planning"]},{"date":"2022-11-14","products":["Prism Analytics"]}],"lastGoLiveDate":"2022-11-14","productFunctionCount":2},"a0r4X00000Dbvg3QAB":{"isPhased":false,"upcomingDates":[],"nextGoLiveDate":null,"recentDates":[{"date":"2023-08-26","products":["Human Capital Management"]}],"lastGoLiveDate":"2023-08-26","productFunctionCount":1},"a0r4X00000Dc4rvQAB":{"isPhased":true,"upcomingDates":[],"nextGoLiveDate":null,"recentDates":[{"date":"2023-09-17","products":["Core HCM","Financials","Human Capital Management","Payroll","Talent Optimization"]},{"date":"2023-12-22","products":["Planning"]}],"lastGoLiveDate":"2023-12-22","productFunctionCount":6},"a0r4X00000DcATjQAN":{"isPhased":false,"upcomingDates":[],"nextGoLiveDate":null,"recentDates":[{"date":"2022-09-27","products":["Financials"]}],"lastGoLiveDate":"2022-09-27","productFunctionCount":1},"a0r4X00000DcBpzQAF":{"isPhased":false,"upcomingDates":[],"nextGoLiveDate":null,"recentDates":[{"date":"2023-03-01","products":["Planning"]}],"lastGoLiveDate":"2023-03-01","productFunctionCount":1},"a0r4X00000DcDbMQAV":{"isPhased":false,"upcomingDates":[],"nextGoLiveDate":null,"recentDates":[{"date":"2022-11-18","products":["Planning"]}],"lastGoLiveDate":"2022-11-18","productFunctionCount":1},"a0r4X00000DcEIVQA3":{"isPhased":false,"upcomingDates":[],"nextGoLiveDate":null,"recentDates":[{"date":"2022-11-30","products":["Planning"]}],"lastGoLiveDate":"2022-11-30","productFunctionCount":1},"a0r4X00000DcIK2QAN":{"isPhased":false,"upcomingDates":[],"nextGoLiveDate":null,"recentDates":[{"date":"2023-02-13","products":["Planning"]}],"lastGoLiveDate":"2023-02-13","productFunctionCount":1},"a0r4X00000DcJ7tQAF":{"isPhased":false,"upcomingDates":[],"nextGoLiveDate":null,"recentDates":[{"date":"2024-04-11","products":["Core HCM","Financials","Human Capital Management","Payroll"]}],"lastGoLiveDate":"2024-04-11","productFunctionCount":4},"a0r4X00000DcS2nQAF":{"isPhased":false,"upcomingDates":[],"nextGoLiveDate":null,"recentDates":[{"date":"2023-01-16","products":["Core HCM"]}],"lastGoLiveDate":"2023-01-16","productFunctionCount":1},"a0r4X00000Dca3UQAR":{"isPhased":true,"upcomingDates":[],"nextGoLiveDate":null,"recentDates":[{"date":"2024-06-02","products":["Core HCM","Financials","Payroll","Prism Analytics","Talent Optimization"]},{"date":"2025-03-31","products":["Planning"]},{"date":"2025-04-30","products":["Prism Analytics"]}],"lastGoLiveDate":"2025-04-30","productFunctionCount":7},"a0r4X00000DcjVdQAJ":{"isPhased":true,"upcomingDates":[],"nextGoLiveDate":null,"recentDates":[{"date":"2023-11-30","products":["Human Capital Management"]},{"date":"2023-12-21","products":["Human Capital Management"]},{"date":"2023-12-27","products":["Payroll"]}],"lastGoLiveDate":"2023-12-27","productFunctionCount":3},"a0r4X00000DcksIQAR":{"isPhased":false,"upcomingDates":[],"nextGoLiveDate":null,"recentDates":[{"date":"2023-08-18","products":["Prism Analytics"]}],"lastGoLiveDate":"2023-08-18","productFunctionCount":1},"a0r4X00000Dcpo1QAB":{"isPhased":false,"upcomingDates":[],"nextGoLiveDate":null,"recentDates":[{"date":"2025-08-31","products":["Human Capital Management","Payroll","Workday Extend"]}],"lastGoLiveDate":"2025-08-31","productFunctionCount":3},"a0r4X00000Dcq0RQAR":{"isPhased":false,"upcomingDates":[],"nextGoLiveDate":null,"recentDates":[{"date":"2024-06-16","products":["Financials","Human Capital Management","Payroll","Planning","Talent Optimization"]}],"lastGoLiveDate":"2024-06-16","productFunctionCount":5},"a0r4X00000DcqJEQAZ":{"isPhased":false,"upcomingDates":[],"nextGoLiveDate":null,"recentDates":[{"date":"2022-12-05","products":["Prism Analytics"]}],"lastGoLiveDate":"2022-12-05","productFunctionCount":1},"a0r4X00000Dcr3CQAR":{"isPhased":false,"upcomingDates":[],"nextGoLiveDate":null,"recentDates":[{"date":"2023-12-18","products":["Core HCM","Financials","Human Capital Management","Payroll"]}],"lastGoLiveDate":"2023-12-18","productFunctionCount":4},"a0r4X00000DcvhWQAR":{"isPhased":true,"upcomingDates":[],"nextGoLiveDate":null,"recentDates":[{"date":"2024-03-04","products":["Core HCM","Human Capital Management","Payroll","Prism Analytics"]},{"date":"2024-06-28","products":["Financials"]},{"date":"2025-02-14","products":["Human Capital Management","Talent Optimization"]},{"date":"2025-04-03","products":["Planning"]}],"lastGoLiveDate":"2025-04-03","productFunctionCount":8},"a0r4X00000Dd83oQAB":{"isPhased":false,"upcomingDates":[],"nextGoLiveDate":null,"recentDates":[{"date":"2024-03-12","products":["Core HCM","Financials","Human Capital Management","Payroll"]}],"lastGoLiveDate":"2024-03-12","productFunctionCount":4},"a0r4X00000DdM7LQAV":{"isPhased":false,"upcomingDates":[],"nextGoLiveDate":null,"recentDates":[{"date":"2025-03-24","products":["Human Capital Management","Talent Optimization"]}],"lastGoLiveDate":"2025-03-24","productFunctionCount":2},"a0r4X00000DdMCGQA3":{"isPhased":false,"upcomingDates":[],"nextGoLiveDate":null,"recentDates":[{"date":"2023-12-11","products":["Core HCM","Human Capital Management","Payroll"]}],"lastGoLiveDate":"2023-12-11","productFunctionCount":3},"a0r4X00000DdZ61QAF":{"isPhased":true,"upcomingDates":[],"nextGoLiveDate":null,"recentDates":[{"date":"2023-01-31","products":["Planning"]},{"date":"2023-03-07","products":["Planning"]}],"lastGoLiveDate":"2023-03-07","productFunctionCount":2},"a0r4X00000Dde0IQAR":{"isPhased":true,"upcomingDates":[],"nextGoLiveDate":null,"recentDates":[{"date":"2023-12-18","products":["Core HCM","Financials","Human Capital Management","Payroll","Talent Optimization"]},{"date":"2024-02-01","products":["Planning"]}],"lastGoLiveDate":"2024-02-01","productFunctionCount":6},"a0r4X00000DdfQqQAJ":{"isPhased":true,"upcomingDates":[],"nextGoLiveDate":null,"recentDates":[{"date":"2025-06-09","products":["Human Capital Management"]},{"date":"2025-07-04","products":["Talent Optimization"]},{"date":"2025-12-01","products":["Human Capital Management"]}],"lastGoLiveDate":"2025-12-01","productFunctionCount":3},"a0r4X00000DdjCxQAJ":{"isPhased":false,"upcomingDates":[],"nextGoLiveDate":null,"recentDates":[{"date":"2023-04-09","products":["Human Capital Management","Talent Optimization"]}],"lastGoLiveDate":"2023-04-09","productFunctionCount":2},"a0r4X00000DywgCQAR":{"isPhased":false,"upcomingDates":[],"nextGoLiveDate":null,"recentDates":[{"date":"2023-09-28","products":["Human Capital Management","Talent Optimization"]}],"lastGoLiveDate":"2023-09-28","productFunctionCount":2},"a0r4X00000Dz4wSQAR":{"isPhased":false,"upcomingDates":[],"nextGoLiveDate":null,"recentDates":[{"date":"2023-12-20","products":["Planning"]}],"lastGoLiveDate":"2023-12-20","productFunctionCount":1},"a0r4X00000Dze37QAB":{"isPhased":false,"upcomingDates":[],"nextGoLiveDate":null,"recentDates":[{"date":"2022-12-01","products":["Human Capital Management"]}],"lastGoLiveDate":"2022-12-01","productFunctionCount":1},"a0r4X00000DzgUeQAJ":{"isPhased":false,"upcomingDates":[],"nextGoLiveDate":null,"recentDates":[{"date":"2024-12-05","products":["Core HCM","Human Capital Management","Payroll","People Experience"]}],"lastGoLiveDate":"2024-12-05","productFunctionCount":4},"a0r4X00000DznVtQAJ":{"isPhased":true,"upcomingDates":[],"nextGoLiveDate":null,"recentDates":[{"date":"2025-11-16","products":["Core HCM","Human Capital Management","Payroll","Prism Analytics","Talent Optimization"]},{"date":"2026-02-27","products":["Prism Analytics"]}],"lastGoLiveDate":"2026-02-27","productFunctionCount":6},"a0r4X00000DzqXLQAZ":{"isPhased":false,"upcomingDates":[],"nextGoLiveDate":null,"recentDates":[{"date":"2023-03-31","products":["Prism Analytics"]}],"lastGoLiveDate":"2023-03-31","productFunctionCount":1},"a0r4X00000DzucAQAR":{"isPhased":false,"upcomingDates":[],"nextGoLiveDate":null,"recentDates":[{"date":"2023-11-06","products":["Planning"]}],"lastGoLiveDate":"2023-11-06","productFunctionCount":1},"a0r4X00000DzzpsQAB":{"isPhased":false,"upcomingDates":[],"nextGoLiveDate":null,"recentDates":[{"date":"2023-07-22","products":["Core HCM","Financials","Payroll"]}],"lastGoLiveDate":"2023-07-22","productFunctionCount":3},"a0r4X00000E03sMQAR":{"isPhased":true,"upcomingDates":[],"nextGoLiveDate":null,"recentDates":[{"date":"2025-06-15","products":["Human Capital Management","Payroll","Talent Optimization"]},{"date":"2025-08-14","products":["Prism Analytics"]}],"lastGoLiveDate":"2025-08-14","productFunctionCount":4},"a0r4X00000E04GOQAZ":{"isPhased":false,"upcomingDates":[],"nextGoLiveDate":null,"recentDates":[{"date":"2023-11-13","products":["Planning"]}],"lastGoLiveDate":"2023-11-13","productFunctionCount":1},"a0r4X00000E09HWQAZ":{"isPhased":false,"upcomingDates":[],"nextGoLiveDate":null,"recentDates":[{"date":"2023-06-20","products":["Prism Analytics"]}],"lastGoLiveDate":"2023-06-20","productFunctionCount":1},"a0r4X00000E0B08QAF":{"isPhased":true,"upcomingDates":[],"nextGoLiveDate":null,"recentDates":[{"date":"2023-12-15","products":["Financials","Human Capital Management","Payroll","Talent Optimization"]},{"date":"2024-04-10","products":["Planning"]}],"lastGoLiveDate":"2024-04-10","productFunctionCount":5},"a0r4X00000E0QCTQA3":{"isPhased":true,"upcomingDates":[],"nextGoLiveDate":null,"recentDates":[{"date":"2024-03-12","products":["Financials","Human Capital Management","Payroll"]},{"date":"2024-03-19","products":["Prism Analytics"]}],"lastGoLiveDate":"2024-03-19","productFunctionCount":4},"a0r4X00000E0R96QAF":{"isPhased":true,"upcomingDates":[],"nextGoLiveDate":null,"recentDates":[{"date":"2024-12-16","products":["Core HCM","Human Capital Management","Payroll","Talent Optimization"]},{"date":"2025-01-14","products":["Financials"]},{"date":"2025-02-03","products":["Financials"]},{"date":"2025-04-30","products":["Prism Analytics"]},{"date":"2025-05-05","products":["Planning"]},{"date":"2025-05-12","products":["Planning"]}],"lastGoLiveDate":"2025-05-12","productFunctionCount":9},"a0r4X00000E0nctQAB":{"isPhased":false,"upcomingDates":[],"nextGoLiveDate":null,"recentDates":[{"date":"2024-07-11","products":["Financials","Human Capital Management"]}],"lastGoLiveDate":"2024-07-11","productFunctionCount":2},"a0r4X00000E101bQAB":{"isPhased":false,"upcomingDates":[],"nextGoLiveDate":null,"recentDates":[{"date":"2024-03-24","products":["Financials","Human Capital Management","Payroll","Planning"]}],"lastGoLiveDate":"2024-03-24","productFunctionCount":4},"a0r4X00000E10SrQAJ":{"isPhased":false,"upcomingDates":[],"nextGoLiveDate":null,"recentDates":[{"date":"2024-06-10","products":["Human Capital Management","Payroll","Prism Analytics","Talent Optimization"]}],"lastGoLiveDate":"2024-06-10","productFunctionCount":4},"a0r4X00000E10wmQAB":{"isPhased":true,"upcomingDates":[],"nextGoLiveDate":null,"recentDates":[{"date":"2023-07-12","products":["Prism Analytics"]},{"date":"2023-08-07","products":["Planning"]}],"lastGoLiveDate":"2023-08-07","productFunctionCount":2},"a0r4X00000E12xNQAR":{"isPhased":false,"upcomingDates":[],"nextGoLiveDate":null,"recentDates":[{"date":"2023-06-30","products":["Human Capital Management","Talent Optimization"]}],"lastGoLiveDate":"2023-06-30","productFunctionCount":2},"a0r4X00000E137hQAB":{"isPhased":true,"upcomingDates":[],"nextGoLiveDate":null,"recentDates":[{"date":"2025-01-02","products":["Financials","Planning"]},{"date":"2025-02-17","products":["Prism Analytics"]}],"lastGoLiveDate":"2025-02-17","productFunctionCount":3},"a0r4X00000E138uQAB":{"isPhased":false,"upcomingDates":[],"nextGoLiveDate":null,"recentDates":[{"date":"2023-05-22","products":["Core HCM"]}],"lastGoLiveDate":"2023-05-22","productFunctionCount":1},"a0r4X00000E13a5QAB":{"isPhased":false,"upcomingDates":[],"nextGoLiveDate":null,"recentDates":[{"date":"2024-09-15","products":["Human Capital Management","Payroll","Prism Analytics","Talent Optimization"]}],"lastGoLiveDate":"2024-09-15","productFunctionCount":4},"a0r4X00000E13rfQAB":{"isPhased":true,"upcomingDates":[{"date":"2026-08-31","products":["Human Capital Management"]}],"nextGoLiveDate":"2026-08-31","recentDates":[{"date":"2025-06-11","products":["Core HCM","Human Capital Management","People Experience","Prism Analytics","Talent Optimization"]}],"lastGoLiveDate":"2025-06-11","productFunctionCount":6},"a0r4X00000E13tHQAR":{"isPhased":true,"upcomingDates":[],"nextGoLiveDate":null,"recentDates":[{"date":"2024-06-10","products":["Financials","Human Capital Management","Payroll","People Experience","Talent Optimization"]},{"date":"2024-09-03","products":["Planning"]}],"lastGoLiveDate":"2024-09-03","productFunctionCount":6},"a0r4X00000E14IgQAJ":{"isPhased":true,"upcomingDates":[{"date":"2026-08-01","products":["Planning"]}],"nextGoLiveDate":"2026-08-01","recentDates":[{"date":"2026-06-21","products":["Financials","Human Capital Management","Payroll","People Experience","Prism Analytics","Talent Optimization","Workday Extend"]}],"lastGoLiveDate":"2026-06-21","productFunctionCount":8},"a0r4X00000E14f1QAB":{"isPhased":false,"upcomingDates":[],"nextGoLiveDate":null,"recentDates":[{"date":"2025-06-26","products":["Financials","Prism Analytics"]}],"lastGoLiveDate":"2025-06-26","productFunctionCount":2},"a0r4X00000E17IeQAJ":{"isPhased":false,"upcomingDates":[],"nextGoLiveDate":null,"recentDates":[{"date":"2024-07-01","products":["Financials"]}],"lastGoLiveDate":"2024-07-01","productFunctionCount":1},"a0r4X00000E1A9DQAV":{"isPhased":false,"upcomingDates":[],"nextGoLiveDate":null,"recentDates":[{"date":"2023-06-06","products":["Human Capital Management"]}],"lastGoLiveDate":"2023-06-06","productFunctionCount":1},"a0r4X00000E1AN5QAN":{"isPhased":false,"upcomingDates":[],"nextGoLiveDate":null,"recentDates":[{"date":"2023-09-20","products":["Planning"]}],"lastGoLiveDate":"2023-09-20","productFunctionCount":1},"a0r4X00000E1AQdQAN":{"isPhased":false,"upcomingDates":[{"date":"2026-09-10","products":["Human Capital Management","Payroll","Prism Analytics"]}],"nextGoLiveDate":"2026-09-10","recentDates":[],"lastGoLiveDate":null,"productFunctionCount":3},"a0r4X00000ESKmRQAX":{"isPhased":false,"upcomingDates":[],"nextGoLiveDate":null,"recentDates":[],"lastGoLiveDate":null,"productFunctionCount":0},"a0r4X00000ESKseQAH":{"isPhased":false,"upcomingDates":[],"nextGoLiveDate":null,"recentDates":[{"date":"2024-12-15","products":["Core HCM","Financials","Human Capital Management","Payroll"]}],"lastGoLiveDate":"2024-12-15","productFunctionCount":4},"a0r4X00000ESKtcQAH":{"isPhased":false,"upcomingDates":[],"nextGoLiveDate":null,"recentDates":[{"date":"2024-08-19","products":["Human Capital Management"]}],"lastGoLiveDate":"2024-08-19","productFunctionCount":1},"a0r4X00000ESL1MQAX":{"isPhased":false,"upcomingDates":[],"nextGoLiveDate":null,"recentDates":[{"date":"2024-01-19","products":["Human Capital Management"]}],"lastGoLiveDate":"2024-01-19","productFunctionCount":1},"a0r4X00000ESL2FQAX":{"isPhased":false,"upcomingDates":[],"nextGoLiveDate":null,"recentDates":[{"date":"2025-03-20","products":["Financials","Human Capital Management","Payroll","Prism Analytics"]}],"lastGoLiveDate":"2025-03-20","productFunctionCount":4},"a0r4X00000ESL2UQAX":{"isPhased":false,"upcomingDates":[],"nextGoLiveDate":null,"recentDates":[{"date":"2023-12-04","products":["Financials"]}],"lastGoLiveDate":"2023-12-04","productFunctionCount":1},"a0r4X00000ESL7tQAH":{"isPhased":false,"upcomingDates":[],"nextGoLiveDate":null,"recentDates":[{"date":"2024-12-09","products":["Core HCM","Human Capital Management","Payroll"]}],"lastGoLiveDate":"2024-12-09","productFunctionCount":3},"a0r4X00000ESLCjQAP":{"isPhased":false,"upcomingDates":[],"nextGoLiveDate":null,"recentDates":[{"date":"2019-12-09","products":["VNDLY"]}],"lastGoLiveDate":"2019-12-09","productFunctionCount":1},"a0r4X00000ESLI3QAP":{"isPhased":false,"upcomingDates":[],"nextGoLiveDate":null,"recentDates":[{"date":"2021-09-20","products":["VNDLY"]}],"lastGoLiveDate":"2021-09-20","productFunctionCount":1},"a0r4X00000ETUoVQAX":{"isPhased":false,"upcomingDates":[],"nextGoLiveDate":null,"recentDates":[{"date":"2025-02-17","products":["Human Capital Management"]}],"lastGoLiveDate":"2025-02-17","productFunctionCount":1},"a0r4X00000ETUqgQAH":{"isPhased":true,"upcomingDates":[{"date":"2026-10-01","products":["Planning"]}],"nextGoLiveDate":"2026-10-01","recentDates":[{"date":"2026-03-23","products":["Financials","Human Capital Management","Payroll"]},{"date":"2026-05-08","products":["Prism Analytics"]}],"lastGoLiveDate":"2026-05-08","productFunctionCount":5},"a0r4X00000ETUs3QAH":{"isPhased":true,"upcomingDates":[],"nextGoLiveDate":null,"recentDates":[{"date":"2025-09-15","products":["Core HCM","Financials","Human Capital Management","Payroll","People Experience","Talent Optimization"]},{"date":"2025-11-01","products":["Financials","Prism Analytics"]}],"lastGoLiveDate":"2025-11-01","productFunctionCount":8},"a0r4X00000ETUwFQAX":{"isPhased":false,"upcomingDates":[],"nextGoLiveDate":null,"recentDates":[{"date":"2025-05-05","products":["Human Capital Management","Payroll","Talent Optimization"]}],"lastGoLiveDate":"2025-05-05","productFunctionCount":3},"a0r4X00000ETVQoQAP":{"isPhased":true,"upcomingDates":[],"nextGoLiveDate":null,"recentDates":[{"date":"2025-11-25","products":["Human Capital Management","Talent Optimization"]},{"date":"2025-12-19","products":["Planning"]}],"lastGoLiveDate":"2025-12-19","productFunctionCount":3},"a0r4X00000ETVjqQAH":{"isPhased":false,"upcomingDates":[{"date":"2026-10-18","products":["Financials","Human Capital Management","Payroll","Prism Analytics","Talent Optimization"]}],"nextGoLiveDate":"2026-10-18","recentDates":[],"lastGoLiveDate":null,"productFunctionCount":5},"a0r4X00000ETVsiQAH":{"isPhased":false,"upcomingDates":[{"date":"2026-10-01","products":["Human Capital Management","Payroll","People Experience","Prism Analytics","Talent Optimization"]}],"nextGoLiveDate":"2026-10-01","recentDates":[],"lastGoLiveDate":null,"productFunctionCount":5},"a0r4X00000ETVx4QAH":{"isPhased":true,"upcomingDates":[],"nextGoLiveDate":null,"recentDates":[{"date":"2025-12-11","products":["Core HCM","Financials","Human Capital Management","Payroll"]},{"date":"2026-02-27","products":["Prism Analytics"]}],"lastGoLiveDate":"2026-02-27","productFunctionCount":5},"a0r4X00000ETW1VQAX":{"isPhased":true,"upcomingDates":[],"nextGoLiveDate":null,"recentDates":[{"date":"2026-06-15","products":["Human Capital Management","People Experience","Talent Optimization"]},{"date":"2026-07-01","products":["Financials"]}],"lastGoLiveDate":"2026-07-01","productFunctionCount":4},"a0r4X00000ETWINQA5":{"isPhased":false,"upcomingDates":[],"nextGoLiveDate":null,"recentDates":[{"date":"2025-01-13","products":["Workday Extend"]}],"lastGoLiveDate":"2025-01-13","productFunctionCount":1},"a0r4X00000ETWIbQAP":{"isPhased":true,"upcomingDates":[{"date":"2026-10-15","products":["Human Capital Management","People Experience"]}],"nextGoLiveDate":"2026-10-15","recentDates":[{"date":"2025-12-14","products":["Core HCM","Financials"]},{"date":"2026-06-29","products":["Financials","Human Capital Management","Planning"]}],"lastGoLiveDate":"2026-06-29","productFunctionCount":7},"a0r4X00000ETWJyQAP":{"isPhased":false,"upcomingDates":[],"nextGoLiveDate":null,"recentDates":[{"date":"2025-12-23","products":["Financials"]}],"lastGoLiveDate":"2025-12-23","productFunctionCount":1},"a0r4X00000ETWLfQAP":{"isPhased":true,"upcomingDates":[{"date":"2026-09-01","products":["Core HCM","Financials","Human Capital Management","Prism Analytics","Talent Optimization"]},{"date":"2026-10-01","products":["Payroll"]}],"nextGoLiveDate":"2026-09-01","recentDates":[],"lastGoLiveDate":null,"productFunctionCount":6},"a0r4X00000ETWPXQA5":{"isPhased":true,"upcomingDates":[{"date":"2026-08-17","products":["Core HCM","Financials","Human Capital Management","Payroll","Prism Analytics","Workday Extend"]},{"date":"2026-12-04","products":["Planning"]}],"nextGoLiveDate":"2026-08-17","recentDates":[],"lastGoLiveDate":null,"productFunctionCount":7},"a0r4X00000ETWR9QAP":{"isPhased":true,"upcomingDates":[],"nextGoLiveDate":null,"recentDates":[{"date":"2025-10-01","products":["Financials"]},{"date":"2026-04-29","products":["Core HCM"]}],"lastGoLiveDate":"2026-04-29","productFunctionCount":2},"a0r4X00000ETWRsQAP":{"isPhased":false,"upcomingDates":[],"nextGoLiveDate":null,"recentDates":[{"date":"2026-03-11","products":["Human Capital Management","People Experience","Talent Optimization"]}],"lastGoLiveDate":"2026-03-11","productFunctionCount":3},"a0r4X00000ETWWxQAP":{"isPhased":false,"upcomingDates":[],"nextGoLiveDate":null,"recentDates":[{"date":"2026-04-10","products":["Planning"]}],"lastGoLiveDate":"2026-04-10","productFunctionCount":1},"a0r4X00000ETWthQAH":{"isPhased":true,"upcomingDates":[{"date":"2026-09-21","products":["Core HCM","Financials","Human Capital Management","Payroll","People Experience","Planning"]},{"date":"2026-10-15","products":["Prism Analytics"]}],"nextGoLiveDate":"2026-09-21","recentDates":[],"lastGoLiveDate":null,"productFunctionCount":7},"a0r4X00000ETX2oQAH":{"isPhased":true,"upcomingDates":[{"date":"2026-08-15","products":["Human Capital Management","Talent Optimization"]}],"nextGoLiveDate":"2026-08-15","recentDates":[{"date":"2026-02-22","products":["Core HCM","Human Capital Management","Payroll","Prism Analytics"]},{"date":"2026-03-01","products":["Financials"]}],"lastGoLiveDate":"2026-03-01","productFunctionCount":7},"a0r4X00000ETX33QAH":{"isPhased":false,"upcomingDates":[],"nextGoLiveDate":null,"recentDates":[{"date":"2026-04-01","products":["Financials"]}],"lastGoLiveDate":"2026-04-01","productFunctionCount":1},"a0r4X00000Ef1BKQAZ":{"isPhased":false,"upcomingDates":[],"nextGoLiveDate":null,"recentDates":[{"date":"2024-07-22","products":["Financials","Human Capital Management","People Experience"]}],"lastGoLiveDate":"2024-07-22","productFunctionCount":3},"a0r4X00000Ef1IWQAZ":{"isPhased":true,"upcomingDates":[],"nextGoLiveDate":null,"recentDates":[{"date":"2025-09-20","products":["Financials"]},{"date":"2025-10-20","products":["Financials"]},{"date":"2026-01-01","products":["Human Capital Management","Payroll","Prism Analytics","Talent Optimization"]}],"lastGoLiveDate":"2026-01-01","productFunctionCount":6},"a0r4X00000Ef1QAQAZ":{"isPhased":false,"upcomingDates":[],"nextGoLiveDate":null,"recentDates":[{"date":"2024-03-11","products":["Human Capital Management"]}],"lastGoLiveDate":"2024-03-11","productFunctionCount":1},"a0r4X00000Ef1diQAB":{"isPhased":false,"upcomingDates":[],"nextGoLiveDate":null,"recentDates":[{"date":"2025-06-30","products":["Planning"]}],"lastGoLiveDate":"2025-06-30","productFunctionCount":1},"a0r4X00000Ef1dnQAB":{"isPhased":true,"upcomingDates":[{"date":"2026-07-31","products":["Prism Analytics"]}],"nextGoLiveDate":"2026-07-31","recentDates":[{"date":"2025-12-21","products":["Core HCM","Human Capital Management","Talent Optimization"]}],"lastGoLiveDate":"2025-12-21","productFunctionCount":4},"a0r4X00000Ef1dsQAB":{"isPhased":false,"upcomingDates":[],"nextGoLiveDate":null,"recentDates":[{"date":"2025-12-21","products":["Human Capital Management","Payroll","Prism Analytics"]}],"lastGoLiveDate":"2025-12-21","productFunctionCount":3},"a0r4X00000Ef1ruQAB":{"isPhased":true,"upcomingDates":[{"date":"2027-07-01","products":["Financials","Prism Analytics","Workday Extend"]},{"date":"2028-07-25","products":["Planning"]}],"nextGoLiveDate":"2027-07-01","recentDates":[],"lastGoLiveDate":null,"productFunctionCount":4},"a0r4X00000Ef2DRQAZ":{"isPhased":false,"upcomingDates":[],"nextGoLiveDate":null,"recentDates":[{"date":"2025-07-01","products":["Financials"]}],"lastGoLiveDate":"2025-07-01","productFunctionCount":1},"a0r4X00000Ef2DSQAZ":{"isPhased":false,"upcomingDates":[],"nextGoLiveDate":null,"recentDates":[{"date":"2025-01-01","products":["Human Capital Management"]}],"lastGoLiveDate":"2025-01-01","productFunctionCount":1},"a0r4X00000Ef2XbQAJ":{"isPhased":true,"upcomingDates":[],"nextGoLiveDate":null,"recentDates":[{"date":"2024-12-12","products":["Financials","Human Capital Management","Payroll","People Experience","Talent Optimization"]},{"date":"2025-04-11","products":["Planning"]},{"date":"2026-03-11","products":["Core HCM"]}],"lastGoLiveDate":"2026-03-11","productFunctionCount":7},"a0r4X00000Ef2b4QAB":{"isPhased":false,"upcomingDates":[],"nextGoLiveDate":null,"recentDates":[{"date":"2025-04-14","products":["Core HCM","Financials","Human Capital Management","Payroll","Planning","Talent Optimization"]}],"lastGoLiveDate":"2025-04-14","productFunctionCount":6},"a0r4X00000Ef2ieQAB":{"isPhased":false,"upcomingDates":[],"nextGoLiveDate":null,"recentDates":[{"date":"2024-07-31","products":["Prism Analytics"]}],"lastGoLiveDate":"2024-07-31","productFunctionCount":1},"a0r4X00000Ef32yQAB":{"isPhased":false,"upcomingDates":[],"nextGoLiveDate":null,"recentDates":[{"date":"2025-07-09","products":["Human Capital Management","Payroll","Planning","Talent Optimization"]}],"lastGoLiveDate":"2025-07-09","productFunctionCount":4},"a0r4X00000Ef34pQAB":{"isPhased":true,"upcomingDates":[],"nextGoLiveDate":null,"recentDates":[{"date":"2025-03-12","products":["Financials","Human Capital Management","Payroll","People Experience","Talent Optimization"]},{"date":"2025-04-22","products":["Planning"]},{"date":"2025-10-17","products":["Prism Analytics"]}],"lastGoLiveDate":"2025-10-17","productFunctionCount":7},"a0r4X00000Ef38cQAB":{"isPhased":true,"upcomingDates":[],"nextGoLiveDate":null,"recentDates":[{"date":"2025-02-12","products":["Core HCM","Financials","Human Capital Management","Payroll","Prism Analytics","Talent Optimization"]},{"date":"2025-04-07","products":["Human Capital Management"]}],"lastGoLiveDate":"2025-04-07","productFunctionCount":7},"a0r4X00000Ef3AxQAJ":{"isPhased":true,"upcomingDates":[],"nextGoLiveDate":null,"recentDates":[{"date":"2024-07-03","products":["Human Capital Management"</t>
  </si>
  <si>
    <t>Saab AB (publ)</t>
  </si>
  <si>
    <t>{Full_Name__c=Marlou Zeijdel, attributes={url=/services/data/v62.0/sobjects/Contact/0031B00002kQ3djQAC, type=Contact}}</t>
  </si>
  <si>
    <t>Sweden CB</t>
  </si>
  <si>
    <t>08/09 Learning &amp; Talent go live on 22nd Sept. For scope B testing ongoing</t>
  </si>
  <si>
    <t>Scorecard re open, case# 3222400</t>
  </si>
  <si>
    <t>Initial Deployment-Launch LDPCLMB, LDPHCM, LDPJRNY-ACT, etc</t>
  </si>
  <si>
    <t>Safe Streets USA</t>
  </si>
  <si>
    <t>{attributes={type=Account, url=/services/data/v62.0/sobjects/Account/0018000000shOeLAAU}, PS_Region_New__c=DACH, Name=Bayer AG, PS_Sub_Region__c=Germany CB, Industry=Healthcare Manufacturing, SubRegion__c=Germany LE CB}</t>
  </si>
  <si>
    <t>{attributes={type=Contact, url=/services/data/v62.0/sobjects/Contact/0031B00002kQ3djQAC}, Full_Name__c=Marlou Zeijdel}</t>
  </si>
  <si>
    <t>0011B00002H6kJLQAZ</t>
  </si>
  <si>
    <t>WDMarketdesk, LLC</t>
  </si>
  <si>
    <t>8/7: Plan phase is completed, and as a result of additional scope items identified, plus the impact to the timeline due to it, customer has decided to move Payroll, ABS&amp;TT, NetSuite Int. to Phase X - Post Go Live. Partner &amp; Customer working on CO.</t>
  </si>
  <si>
    <t>a0rVT000012V2K1YAK</t>
  </si>
  <si>
    <t>SailPoint Technologies, Inc.</t>
  </si>
  <si>
    <t>{PS_Sub_Region__c=Germany CB, Name=Bayer AG, SubRegion__c=Germany LE CB, attributes={url=/services/data/v62.0/sobjects/Account/0018000000shOeLAAU, type=Account}, PS_Region_New__c=DACH, Industry=Healthcare Manufacturing}</t>
  </si>
  <si>
    <t>Clint Maddy</t>
  </si>
  <si>
    <t>a0rVT000019aTQuYAM</t>
  </si>
  <si>
    <t>{attributes={url=/services/data/v62.0/sobjects/Contact/0031B00002kQ3djQAC, type=Contact}, Full_Name__c=Marlou Zeijdel}</t>
  </si>
  <si>
    <t>a0rVT00000hCo5EYAS</t>
  </si>
  <si>
    <t>Sanford</t>
  </si>
  <si>
    <t>{Name=Bayer AG, PS_Sub_Region__c=Germany CB, Industry=Healthcare Manufacturing, PS_Region_New__c=DACH, attributes={url=/services/data/v62.0/sobjects/Account/0018000000shOeLAAU, type=Account}, SubRegion__c=Germany LE CB}</t>
  </si>
  <si>
    <t>KJY 1/29
* seeking go live ready approval</t>
  </si>
  <si>
    <t>a0rVT00000oit2YYAQ</t>
  </si>
  <si>
    <t>{Full_Name__c=Marlou Zeijdel, attributes={type=Contact, url=/services/data/v62.0/sobjects/Contact/0031B00002kQ3djQAC}}</t>
  </si>
  <si>
    <t>SAX Advisors, LLC</t>
  </si>
  <si>
    <t>{PS_Region_New__c=DACH, Name=Bayer AG, SubRegion__c=Germany LE CB, Industry=Healthcare Manufacturing, PS_Sub_Region__c=Germany CB, attributes={url=/services/data/v62.0/sobjects/Account/0018000000shOeLAAU, type=Account}}</t>
  </si>
  <si>
    <t>4/20 - Go-live and post-prod support completed. Project officially closed.</t>
  </si>
  <si>
    <t>Initial Deployment-Your Way-CLM, PRO, LRNSNA, PLNF, PLNW, PRA, etc</t>
  </si>
  <si>
    <t>School District No. 1J, Multnomah County, Oregon (Meridian Partners, LLC)</t>
  </si>
  <si>
    <t>US Local Gov LE NN &amp; States West</t>
  </si>
  <si>
    <t>00130000008MSknAAG</t>
  </si>
  <si>
    <t>Closing out the BPA sessions for HCM and finalizing the remaining sessions for Finance BPA.  Final BPA workshop will be mid September with A&amp;C kicking off end of September.</t>
  </si>
  <si>
    <t>Subsequent - Adhoc - Other: Evisort</t>
  </si>
  <si>
    <t>Scoot Pte. Ltd.</t>
  </si>
  <si>
    <t>0018000000ojReRAAU</t>
  </si>
  <si>
    <t>{SubRegion__c=Germany LE CB, PS_Sub_Region__c=Germany CB, Name=Siemens AG, attributes={url=/services/data/v62.0/sobjects/Account/0018000000ojReRAAU, type=Account}, Industry=High Technology, PS_Region_New__c=DACH}</t>
  </si>
  <si>
    <t>{Full_Name__c=Helen Wright, attributes={url=/services/data/v62.0/sobjects/Contact/003VT00000i5jl9YAA, type=Contact}}</t>
  </si>
  <si>
    <t>The last remaining item before we can declare go-live is resolving an issue they are facing with the MS Word add-in installation.</t>
  </si>
  <si>
    <t>BRD and ICD have been signed off by customer and we are progressing to Build stage</t>
  </si>
  <si>
    <t>a0rVT00000xIMszYAG</t>
  </si>
  <si>
    <t>0018000000pNsU1AAK</t>
  </si>
  <si>
    <t>{Name=Memorial Sloan-Kettering Cancer Center, PS_Region_New__c=US Healthcare, SubRegion__c=US Healthcare Majors CB, attributes={type=Account, url=/services/data/v62.0/sobjects/Account/0018000000pNsU1AAK}, Industry=Acute Hospital / Health System, PS_Sub_Region__c=Healthcare Majors NN}</t>
  </si>
  <si>
    <t>{Full_Name__c=Doris Pulsifer, attributes={type=Contact, url=/services/data/v62.0/sobjects/Contact/00380000024qaNvAAI}}</t>
  </si>
  <si>
    <t>Go Live on track - July 20
Spotlight &amp; Fetch - Live as of July 6
HMTA - descoped from project
AITM (ECG + Internal Fetch) - Go Live July 20</t>
  </si>
  <si>
    <t>a0rVT00000sD1lZYAS</t>
  </si>
  <si>
    <t>Subsequent- Evisort</t>
  </si>
  <si>
    <t>Seattle Children’s Hospital</t>
  </si>
  <si>
    <t>0018000001EfgHnAAJ</t>
  </si>
  <si>
    <t>{SubRegion__c=US DI ME CB MFG South, PS_Sub_Region__c=ME CB MFG, Industry=Consumer Goods, Name=CGB Enterprises, Inc., PS_Region_New__c=US Medium Enterprise DI, attributes={type=Account, url=/services/data/v62.0/sobjects/Account/0018000001EfgHnAAJ}}</t>
  </si>
  <si>
    <t>Sharecare, Inc.</t>
  </si>
  <si>
    <t>{attributes={url=/services/data/v62.0/sobjects/Contact/003VT00000fc4sfYAA, type=Contact}, Full_Name__c=Katie Nehrenz}</t>
  </si>
  <si>
    <t>Project complete as of Sept 11</t>
  </si>
  <si>
    <t>Invisors EM confirmed that they are in the planning phase and no issues to report as of today. Customer agreed on updated timeline and new go-live date</t>
  </si>
  <si>
    <t>0018000000jt17fAAA</t>
  </si>
  <si>
    <t>{PS_Sub_Region__c=Diversified Industries LE CB MFG, Name=Regeneron Pharmaceuticals, Inc., SubRegion__c=US DI LE CB MFG Northeast, attributes={type=Account, url=/services/data/v62.0/sobjects/Account/0018000000jt17fAAA}, PS_Region_New__c=US Large Enterprise DI &amp; Mexico, Industry=Healthcare Manufacturing}</t>
  </si>
  <si>
    <t>{Full_Name__c=Brad Whitford, attributes={url=/services/data/v62.0/sobjects/Contact/003VT00000c69PMYAY, type=Contact}}</t>
  </si>
  <si>
    <t>The current plan targets Go-live on 10/15. UAT officially signed. WhatsApp to be implemented right after go-live. COs in process.</t>
  </si>
  <si>
    <t>Workflow Walkthrough &amp; Spotlight &amp; Fetch Design session hosted successfully 30/07/2026
- TPP in progress with client &amp; TIC</t>
  </si>
  <si>
    <t>a0rVT00000yZhJ6YAK</t>
  </si>
  <si>
    <t>Shelter Mutual Insurance Company</t>
  </si>
  <si>
    <t>0018000000LV7I9AAL</t>
  </si>
  <si>
    <t>{Industry=High Technology, PS_Sub_Region__c=Diversified Industries LE CB MFG, Name=Woodward, Inc., PS_Region_New__c=US Large Enterprise DI &amp; Mexico, SubRegion__c=US DI LE CB MFG South, attributes={type=Account, url=/services/data/v62.0/sobjects/Account/0018000000LV7I9AAL}}</t>
  </si>
  <si>
    <t>enrichmentMap:SLG:chunk:2</t>
  </si>
  <si>
    <t>{attributes={url=/services/data/v62.0/sobjects/Contact/0034X00003T11MqQAJ, type=Contact}, Full_Name__c=Andres Baudrit}</t>
  </si>
  <si>
    <t>Project on hold</t>
  </si>
  <si>
    <t>We are in SIT</t>
  </si>
  <si>
    <t>Shipt, Inc.</t>
  </si>
  <si>
    <t>{SubRegion__c=US DI LE CB MFG South, attributes={type=Account, url=/services/data/v62.0/sobjects/Account/0018000000LV7I9AAL}, PS_Region_New__c=US Large Enterprise DI &amp; Mexico, Name=Woodward, Inc., PS_Sub_Region__c=Diversified Industries LE CB MFG, Industry=High Technology}</t>
  </si>
  <si>
    <t>August 16 - Client now live in HiredScore. In Hypercare period. This is the last week of hypercare</t>
  </si>
  <si>
    <t>{Full_Name__c=Andres Baudrit, attributes={url=/services/data/v62.0/sobjects/Contact/0034X00003T11MqQAJ, type=Contact}}</t>
  </si>
  <si>
    <t>Siemens AG</t>
  </si>
  <si>
    <t>0014X00002FBnG2QAL</t>
  </si>
  <si>
    <t>Helen Wright</t>
  </si>
  <si>
    <t>{attributes={type=Account, url=/services/data/v62.0/sobjects/Account/0014X00002FBnG2QAL}, PS_Sub_Region__c=Healthcare ME, Industry=Other Healthcare, Name=Center for Social Dynamics, LLC, SubRegion__c=US Healthcare ME CB West, PS_Region_New__c=US Healthcare}</t>
  </si>
  <si>
    <t>Moving toward June 15 kickoff with confirmation of resourcing. Career sites planning with a global rollout confirmed. Paradox design session outline preparation for kickoff.</t>
  </si>
  <si>
    <t>{Full_Name__c=Alfonso DelValle, attributes={type=Contact, url=/services/data/v62.0/sobjects/Contact/0034X00003BnYOqQAN}}</t>
  </si>
  <si>
    <t>Due to ICD Changere</t>
  </si>
  <si>
    <t>Subsequent-Phase X: Recruiting, HiredScore &amp; Paradox</t>
  </si>
  <si>
    <t>Project in pre-deployment/alignment phase, currently addressing ad hoc requests by customer, initial engagement will start week of 10th August</t>
  </si>
  <si>
    <t>0013000000Js2qsAAB</t>
  </si>
  <si>
    <t>{Name=The Toronto-Dominion Bank, PS_Sub_Region__c=Canada FSI, SubRegion__c=Canada FSI, attributes={url=/services/data/v62.0/sobjects/Account/0013000000Js2qsAAB, type=Account}, Industry=Banking &amp; Capital Markets, PS_Region_New__c=Canada}</t>
  </si>
  <si>
    <t>Signify Netherlands B.V.</t>
  </si>
  <si>
    <t>{attributes={type=Contact, url=/services/data/v62.0/sobjects/Contact/003VT00000NOFs0YAH}, Full_Name__c=Catherine Dietrich}</t>
  </si>
  <si>
    <t>Change Orders signed to extend project time line and add resources to support pre-requisite Workday configuration and testing in advance of the start of the AI Deployment Project.</t>
  </si>
  <si>
    <t>Week: 23 out of 25
Current Status: UAT
Open Topics:
- Blocked on HMTA MS Teams by Signify permission
- Significant risk of delay to 2-Sept G/L =&gt; See DHP
Next Steps:
- Complete HMTA testing
- Complete PROD UAT
- Address Paradox Chrome Extension questions</t>
  </si>
  <si>
    <t>Simpson Manufacturing Co., Inc.</t>
  </si>
  <si>
    <t>Subsequent-Phase X: Peakon, TAL, Adv Comp, LRN</t>
  </si>
  <si>
    <t>0018000001H6IDSAA3</t>
  </si>
  <si>
    <t>{SubRegion__c=Alps LE CB, attributes={url=/services/data/v62.0/sobjects/Account/0018000001H6IDSAA3, type=Account}, Industry=Consumer Goods, PS_Sub_Region__c=Alps, Name=Lindt &amp; Sprüngli (International) AG, PS_Region_New__c=DACH}</t>
  </si>
  <si>
    <t>0018000001LaP38AAF</t>
  </si>
  <si>
    <t>14 Aug: TPP and Design in progress.</t>
  </si>
  <si>
    <t>Deloitte Consulting AG [Switzerland]</t>
  </si>
  <si>
    <t>a0rVT000012V5UnYAK</t>
  </si>
  <si>
    <t>SIT is coming to an end, setting up tenant for UAT now. Currently progressing as planned</t>
  </si>
  <si>
    <t>,"Talent Optimization"]},{"date":"2024-07-08","products":["Planning"]}],"lastGoLiveDate":"2024-07-08","productFunctionCount":3},"a0r4X00000Ef3V2QAJ":{"isPhased":false,"upcomingDates":[],"nextGoLiveDate":null,"recentDates":[{"date":"2025-11-30","products":["Human Capital Management","Talent Optimization"]}],"lastGoLiveDate":"2025-11-30","productFunctionCount":2},"a0r4X00000Ef3VWQAZ":{"isPhased":false,"upcomingDates":[],"nextGoLiveDate":null,"recentDates":[{"date":"2025-01-24","products":["Human Capital Management"]}],"lastGoLiveDate":"2025-01-24","productFunctionCount":1},"a0r4X00000Ef3XmQAJ":{"isPhased":false,"upcomingDates":[],"nextGoLiveDate":null,"recentDates":[{"date":"2025-03-18","products":["Core HCM","Human Capital Management","Payroll","Prism Analytics","Talent Optimization"]}],"lastGoLiveDate":"2025-03-18","productFunctionCount":5},"a0r4X00000Ef3YpQAJ":{"isPhased":false,"upcomingDates":[],"nextGoLiveDate":null,"recentDates":[{"date":"2025-06-09","products":["Human Capital Management","Payroll","Talent Optimization"]}],"lastGoLiveDate":"2025-06-09","productFunctionCount":3},"a0r4X00000Ef3geQAB":{"isPhased":true,"upcomingDates":[],"nextGoLiveDate":null,"recentDates":[{"date":"2025-03-24","products":["Core HCM","Human Capital Management","People Experience","Talent Optimization","Workday Extend"]},{"date":"2025-05-16","products":["Human Capital Management"]},{"date":"2025-10-31","products":["Human Capital Management"]},{"date":"2026-05-29","products":["Prism Analytics"]}],"lastGoLiveDate":"2026-05-29","productFunctionCount":8},"a0r4X00000Ef3r8QAB":{"isPhased":false,"upcomingDates":[{"date":"2027-01-04","products":["Planning"]}],"nextGoLiveDate":"2027-01-04","recentDates":[],"lastGoLiveDate":null,"productFunctionCount":1},"a0r4X00000Ef3rDQAR":{"isPhased":false,"upcomingDates":[],"nextGoLiveDate":null,"recentDates":[],"lastGoLiveDate":null,"productFunctionCount":0},"a0r4X00000Ef3zRQAR":{"isPhased":false,"upcomingDates":[],"nextGoLiveDate":null,"recentDates":[{"date":"2024-11-01","products":["Human Capital Management","Payroll"]}],"lastGoLiveDate":"2024-11-01","productFunctionCount":2},"a0r4X00000Ef40UQAR":{"isPhased":false,"upcomingDates":[],"nextGoLiveDate":null,"recentDates":[{"date":"2024-05-13","products":["Human Capital Management"]}],"lastGoLiveDate":"2024-05-13","productFunctionCount":1},"a0r4X00000Ef44vQAB":{"isPhased":false,"upcomingDates":[],"nextGoLiveDate":null,"recentDates":[{"date":"2025-06-06","products":["Human Capital Management","Payroll","Prism Analytics","Talent Optimization"]}],"lastGoLiveDate":"2025-06-06","productFunctionCount":4},"a0r80000002skR4AAI":{"isPhased":false,"upcomingDates":[],"nextGoLiveDate":null,"recentDates":[{"date":"2011-12-30","products":["Human Capital Management"]}],"lastGoLiveDate":"2011-12-30","productFunctionCount":1},"a0r80000002slNUAAY":{"isPhased":false,"upcomingDates":[],"nextGoLiveDate":null,"recentDates":[{"date":"2010-02-26","products":["Human Capital Management"]}],"lastGoLiveDate":"2010-02-26","productFunctionCount":1},"a0r80000002szolAAA":{"isPhased":false,"upcomingDates":[],"nextGoLiveDate":null,"recentDates":[{"date":"2012-01-01","products":["Human Capital Management"]}],"lastGoLiveDate":"2012-01-01","productFunctionCount":1},"a0r80000003J1ZVAA0":{"isPhased":false,"upcomingDates":[],"nextGoLiveDate":null,"recentDates":[{"date":"2013-09-30","products":["Human Capital Management"]}],"lastGoLiveDate":"2013-09-30","productFunctionCount":1},"a0r80000003J97iAAC":{"isPhased":false,"upcomingDates":[],"nextGoLiveDate":null,"recentDates":[{"date":"2014-05-12","products":["Financials","Human Capital Management"]}],"lastGoLiveDate":"2014-05-12","productFunctionCount":2},"a0r80000003KksYAAS":{"isPhased":false,"upcomingDates":[],"nextGoLiveDate":null,"recentDates":[{"date":"2015-03-18","products":["Human Capital Management"]}],"lastGoLiveDate":"2015-03-18","productFunctionCount":1},"a0r80000003wH7jAAE":{"isPhased":false,"upcomingDates":[],"nextGoLiveDate":null,"recentDates":[{"date":"2017-10-02","products":["Human Capital Management","Payroll"]}],"lastGoLiveDate":"2017-10-02","productFunctionCount":2},"a0r80000003wHPNAA2":{"isPhased":false,"upcomingDates":[],"nextGoLiveDate":null,"recentDates":[{"date":"2018-03-18","products":["Human Capital Management","Payroll"]}],"lastGoLiveDate":"2018-03-18","productFunctionCount":2},"a0r80000003wHPSAA2":{"isPhased":false,"upcomingDates":[],"nextGoLiveDate":null,"recentDates":[{"date":"2018-07-01","products":["Financials"]}],"lastGoLiveDate":"2018-07-01","productFunctionCount":1},"a0r800000046X2uAAE":{"isPhased":false,"upcomingDates":[],"nextGoLiveDate":null,"recentDates":[{"date":"2014-11-17","products":["Human Capital Management"]}],"lastGoLiveDate":"2014-11-17","productFunctionCount":1},"a0r800000046i2eAAA":{"isPhased":false,"upcomingDates":[],"nextGoLiveDate":null,"recentDates":[{"date":"2015-04-08","products":["Financials"]}],"lastGoLiveDate":"2015-04-08","productFunctionCount":1},"a0r800000049QukAAE":{"isPhased":false,"upcomingDates":[],"nextGoLiveDate":null,"recentDates":[{"date":"2017-01-02","products":["Human Capital Management"]}],"lastGoLiveDate":"2017-01-02","productFunctionCount":1},"a0r800000049riyAAA":{"isPhased":false,"upcomingDates":[],"nextGoLiveDate":null,"recentDates":[{"date":"2017-12-28","products":["Human Capital Management"]}],"lastGoLiveDate":"2017-12-28","productFunctionCount":1},"a0r80000005ahFTAAY":{"isPhased":false,"upcomingDates":[],"nextGoLiveDate":null,"recentDates":[{"date":"2018-12-30","products":["Financials"]}],"lastGoLiveDate":"2018-12-30","productFunctionCount":1},"a0r80000005ahFYAAY":{"isPhased":false,"upcomingDates":[],"nextGoLiveDate":null,"recentDates":[{"date":"2018-12-30","products":["Human Capital Management","Payroll"]}],"lastGoLiveDate":"2018-12-30","productFunctionCount":2},"a0r80000005bJVlAAM":{"isPhased":true,"upcomingDates":[],"nextGoLiveDate":null,"recentDates":[{"date":"2017-09-18","products":["Financials"]},{"date":"2017-10-02","products":["Financials"]}],"lastGoLiveDate":"2017-10-02","productFunctionCount":2},"a0r80000005brHwAAI":{"isPhased":false,"upcomingDates":[],"nextGoLiveDate":null,"recentDates":[{"date":"2018-03-26","products":["Human Capital Management","Payroll"]}],"lastGoLiveDate":"2018-03-26","productFunctionCount":2},"a0r80000005brI1AAI":{"isPhased":false,"upcomingDates":[],"nextGoLiveDate":null,"recentDates":[{"date":"2018-03-26","products":["Financials"]}],"lastGoLiveDate":"2018-03-26","productFunctionCount":1},"a0r80000005cDizAAE":{"isPhased":false,"upcomingDates":[],"nextGoLiveDate":null,"recentDates":[{"date":"2019-06-17","products":["Human Capital Management","Payroll"]}],"lastGoLiveDate":"2019-06-17","productFunctionCount":2},"a0r80000005cDj4AAE":{"isPhased":false,"upcomingDates":[],"nextGoLiveDate":null,"recentDates":[{"date":"2018-06-28","products":["Financials"]}],"lastGoLiveDate":"2018-06-28","productFunctionCount":1},"a0r80000005czenAAA":{"isPhased":false,"upcomingDates":[],"nextGoLiveDate":null,"recentDates":[{"date":"2018-06-17","products":["Human Capital Management","Payroll"]}],"lastGoLiveDate":"2018-06-17","productFunctionCount":2},"a0r80000005czesAAA":{"isPhased":false,"upcomingDates":[],"nextGoLiveDate":null,"recentDates":[{"date":"2019-03-04","products":["Financials"]}],"lastGoLiveDate":"2019-03-04","productFunctionCount":1},"a0r80000005czfHAAQ":{"isPhased":false,"upcomingDates":[],"nextGoLiveDate":null,"recentDates":[{"date":"2017-12-15","products":["Human Capital Management","Payroll"]}],"lastGoLiveDate":"2017-12-15","productFunctionCount":2},"a0r80000005hClGAAU":{"isPhased":false,"upcomingDates":[],"nextGoLiveDate":null,"recentDates":[{"date":"2019-01-27","products":["Human Capital Management"]}],"lastGoLiveDate":"2019-01-27","productFunctionCount":1},"a0r80000005hGYVAA2":{"isPhased":true,"upcomingDates":[],"nextGoLiveDate":null,"recentDates":[{"date":"2019-04-01","products":["Human Capital Management","Payroll"]},{"date":"2019-07-01","products":["Human Capital Management"]}],"lastGoLiveDate":"2019-07-01","productFunctionCount":3},"a0r80000005hHPqAAM":{"isPhased":false,"upcomingDates":[],"nextGoLiveDate":null,"recentDates":[{"date":"2018-08-27","products":["Human Capital Management"]}],"lastGoLiveDate":"2018-08-27","productFunctionCount":1},"a0r80000005hHytAAE":{"isPhased":false,"upcomingDates":[],"nextGoLiveDate":null,"recentDates":[{"date":"2018-07-30","products":["Human Capital Management"]}],"lastGoLiveDate":"2018-07-30","productFunctionCount":1},"a0r80000005sWW1AAM":{"isPhased":true,"upcomingDates":[],"nextGoLiveDate":null,"recentDates":[{"date":"2017-10-05","products":["Human Capital Management","Payroll"]},{"date":"2017-11-04","products":["Human Capital Management"]}],"lastGoLiveDate":"2017-11-04","productFunctionCount":3},"a0r80000006yPswAAE":{"isPhased":false,"upcomingDates":[],"nextGoLiveDate":null,"recentDates":[{"date":"2019-03-17","products":["Human Capital Management","Payroll"]}],"lastGoLiveDate":"2019-03-17","productFunctionCount":2},"a0r80000006yPt1AAE":{"isPhased":false,"upcomingDates":[],"nextGoLiveDate":null,"recentDates":[{"date":"2019-04-01","products":["Financials"]}],"lastGoLiveDate":"2019-04-01","productFunctionCount":1},"a0r800000079uf6AAA":{"isPhased":false,"upcomingDates":[],"nextGoLiveDate":null,"recentDates":[{"date":"2019-05-13","products":["Financials","Human Capital Management","Payroll"]}],"lastGoLiveDate":"2019-05-13","productFunctionCount":3},"a0r800000079ufBAAQ":{"isPhased":false,"upcomingDates":[],"nextGoLiveDate":null,"recentDates":[{"date":"2021-07-01","products":["Financials"]}],"lastGoLiveDate":"2021-07-01","productFunctionCount":1},"a0r800000079vFHAAY":{"isPhased":false,"upcomingDates":[],"nextGoLiveDate":null,"recentDates":[{"date":"2018-03-29","products":["Human Capital Management"]}],"lastGoLiveDate":"2018-03-29","productFunctionCount":1},"a0r800000079vFRAAY":{"isPhased":false,"upcomingDates":[],"nextGoLiveDate":null,"recentDates":[{"date":"2018-03-29","products":["Financials"]}],"lastGoLiveDate":"2018-03-29","productFunctionCount":1},"a0r800000079zMnAAI":{"isPhased":false,"upcomingDates":[],"nextGoLiveDate":null,"recentDates":[{"date":"2017-12-21","products":["Human Capital Management"]}],"lastGoLiveDate":"2017-12-21","productFunctionCount":1},"a0r80000007A02DAAS":{"isPhased":false,"upcomingDates":[],"nextGoLiveDate":null,"recentDates":[{"date":"2018-05-07","products":["Human Capital Management"]}],"lastGoLiveDate":"2018-05-07","productFunctionCount":1},"a0r80000007A2qtAAC":{"isPhased":false,"upcomingDates":[],"nextGoLiveDate":null,"recentDates":[{"date":"2018-08-06","products":["Human Capital Management"]}],"lastGoLiveDate":"2018-08-06","productFunctionCount":1},"a0r80000007tbjSAAQ":{"isPhased":false,"upcomingDates":[],"nextGoLiveDate":null,"recentDates":[{"date":"2019-03-28","products":["Financials"]}],"lastGoLiveDate":"2019-03-28","productFunctionCount":1},"a0r80000008VadzAAC":{"isPhased":true,"upcomingDates":[],"nextGoLiveDate":null,"recentDates":[{"date":"2018-07-02","products":["Human Capital Management","Payroll"]},{"date":"2018-12-16","products":["Financials"]}],"lastGoLiveDate":"2018-12-16","productFunctionCount":3},"a0r80000008W2MHAA0":{"isPhased":true,"upcomingDates":[],"nextGoLiveDate":null,"recentDates":[{"date":"2018-06-29","products":["Human Capital Management"]},{"date":"2018-08-31","products":["Human Capital Management"]}],"lastGoLiveDate":"2018-08-31","productFunctionCount":2},"a0r80000008WG4PAAW":{"isPhased":false,"upcomingDates":[],"nextGoLiveDate":null,"recentDates":[{"date":"2020-06-07","products":["Human Capital Management","Payroll"]}],"lastGoLiveDate":"2020-06-07","productFunctionCount":2},"a0r80000008Yd6BAAS":{"isPhased":true,"upcomingDates":[],"nextGoLiveDate":null,"recentDates":[{"date":"2018-07-16","products":["Financials"]},{"date":"2018-11-17","products":["Financials"]}],"lastGoLiveDate":"2018-11-17","productFunctionCount":2},"a0r80000009aRp4AAE":{"isPhased":false,"upcomingDates":[],"nextGoLiveDate":null,"recentDates":[{"date":"2018-12-28","products":["Human Capital Management"]}],"lastGoLiveDate":"2018-12-28","productFunctionCount":1},"a0r80000009rPpuAAE":{"isPhased":false,"upcomingDates":[],"nextGoLiveDate":null,"recentDates":[{"date":"2020-07-09","products":["Human Capital Management","Payroll"]}],"lastGoLiveDate":"2020-07-09","productFunctionCount":2},"a0r80000009rPpzAAE":{"isPhased":false,"upcomingDates":[],"nextGoLiveDate":null,"recentDates":[{"date":"2022-05-02","products":["Financials"]}],"lastGoLiveDate":"2022-05-02","productFunctionCount":1},"a0r80000009tkW0AAI":{"isPhased":false,"upcomingDates":[],"nextGoLiveDate":null,"recentDates":[{"date":"2019-06-23","products":["Human Capital Management","Payroll"]}],"lastGoLiveDate":"2019-06-23","productFunctionCount":2},"a0r80000009tkW5AAI":{"isPhased":false,"upcomingDates":[],"nextGoLiveDate":null,"recentDates":[{"date":"2019-06-23","products":["Financials"]}],"lastGoLiveDate":"2019-06-23","productFunctionCount":1},"a0rVT00000JbH5TYAV":{"isPhased":false,"upcomingDates":[{"date":"2026-09-13","products":["Core HCM","Financials","Human Capital Management","Payroll"]}],"nextGoLiveDate":"2026-09-13","recentDates":[],"lastGoLiveDate":null,"productFunctionCount":4},"a0rVT00000JfJVGYA3":{"isPhased":false,"upcomingDates":[],"nextGoLiveDate":null,"recentDates":[{"date":"2025-09-17","products":["Financials","People Experience"]}],"lastGoLiveDate":"2025-09-17","productFunctionCount":2},"a0rVT00000JpdxGYAR":{"isPhased":false,"upcomingDates":[],"nextGoLiveDate":null,"recentDates":[{"date":"2025-03-27","products":["Human Capital Management"]}],"lastGoLiveDate":"2025-03-27","productFunctionCount":1},"a0rVT00000KQZJZYA5":{"isPhased":false,"upcomingDates":[],"nextGoLiveDate":null,"recentDates":[{"date":"2026-06-05","products":["Core HCM","Financials","Human Capital Management","Payroll","Prism Analytics","Talent Optimization"]}],"lastGoLiveDate":"2026-06-05","productFunctionCount":6},"a0rVT00000KUo0kYAD":{"isPhased":false,"upcomingDates":[],"nextGoLiveDate":null,"recentDates":[{"date":"2025-09-30","products":["Planning"]}],"lastGoLiveDate":"2025-09-30","productFunctionCount":1},"a0rVT00000KrE69YAF":{"isPhased":false,"upcomingDates":[],"nextGoLiveDate":null,"recentDates":[{"date":"2025-11-09","products":["Human Capital Management","Talent Management","Workforce Management"]}],"lastGoLiveDate":"2025-11-09","productFunctionCount":3},"a0rVT00000LxawDYAR":{"isPhased":true,"upcomingDates":[{"date":"2026-08-31","products":["Analytics and Reporting"]},{"date":"2026-10-31","products":["Adaptive Planning"]}],"nextGoLiveDate":"2026-08-31","recentDates":[{"date":"2026-06-22","products":["Analytics and Reporting","Financial Management","Human Capital Management","Payroll","Platform and Product Extensions","Spend Management","Talent Management","Workforce Management"]}],"lastGoLiveDate":"2026-06-22","productFunctionCount":10},"a0rVT00000M1dibYAB":{"isPhased":true,"upcomingDates":[{"date":"2026-08-24","products":["Adaptive Planning"]},{"date":"2027-01-01","products":["Analytics and Reporting","Financial Management","Human Capital Management","Payroll","Platform and Product Extensions","Spend Management","Talent Management","Workforce Management"]}],"nextGoLiveDate":"2026-08-24","recentDates":[],"lastGoLiveDate":null,"productFunctionCount":9},"a0rVT00000MjtN5YAJ":{"isPhased":true,"upcomingDates":[],"nextGoLiveDate":null,"recentDates":[{"date":"2025-12-21","products":["Financial Management","Human Capital Management","Spend Management"]},{"date":"2026-02-25","products":["Adaptive Planning"]}],"lastGoLiveDate":"2026-02-25","productFunctionCount":4},"a0rVT00000N8aQrYAJ":{"isPhased":false,"upcomingDates":[],"nextGoLiveDate":null,"recentDates":[{"date":"2025-03-28","products":["Adaptive Planning"]}],"lastGoLiveDate":"2025-03-28","productFunctionCount":1},"a0rVT00000NLw3mYAD":{"isPhased":false,"upcomingDates":[],"nextGoLiveDate":null,"recentDates":[{"date":"2025-01-31","products":["Adaptive Planning"]}],"lastGoLiveDate":"2025-01-31","productFunctionCount":1},"a0rVT00000NMgA0YAL":{"isPhased":true,"upcomingDates":[{"date":"2026-08-24","products":["Analytics and Reporting"]},{"date":"2026-10-16","products":["Platform and Product Extensions","Talent Management"]}],"nextGoLiveDate":"2026-08-24","recentDates":[{"date":"2026-03-17","products":["Human Capital Management","Payroll","Workforce Management"]}],"lastGoLiveDate":"2026-03-17","productFunctionCount":6},"a0rVT00000Njv1xYAB":{"isPhased":false,"upcomingDates":[],"nextGoLiveDate":null,"recentDates":[{"date":"2025-12-14","products":["Analytics and Reporting","Human Capital Management","Payroll","Talent Management","Workforce Management"]}],"lastGoLiveDate":"2025-12-14","productFunctionCount":5},"a0rVT00000Np8uMYAR":{"isPhased":false,"upcomingDates":[],"nextGoLiveDate":null,"recentDates":[{"date":"2025-10-01","products":["Human Capital Management","Talent Management"]}],"lastGoLiveDate":"2025-10-01","productFunctionCount":2},"a0rVT00000NuQXZYA3":{"isPhased":true,"upcomingDates":[{"date":"2026-10-23","products":["Spend Management"]},{"date":"2026-11-27","products":["Spend Management"]}],"nextGoLiveDate":"2026-10-23","recentDates":[{"date":"2025-12-15","products":["Human Capital Management","Payroll","Talent Management","Workforce Management"]},{"date":"2025-12-22","products":["Human Capital Management"]},{"date":"2026-06-08","products":["Financial Management","Spend Management"]}],"lastGoLiveDate":"2026-06-08","productFunctionCount":9},"a0rVT00000OIKnGYAX":{"isPhased":true,"upcomingDates":[],"nextGoLiveDate":null,"recentDates":[{"date":"2025-03-24","products":["Workday Peakon Employee Voice"]},{"date":"2025-04-08","products":["Talent Management"]}],"lastGoLiveDate":"2025-04-08","productFunctionCount":2},"a0rVT00000OUggqYAD":{"isPhased":false,"upcomingDates":[],"nextGoLiveDate":null,"recentDates":[{"date":"2026-05-31","products":["Human Capital Management","Payroll","Talent Management","Workforce Management"]}],"lastGoLiveDate":"2026-05-31","productFunctionCount":4},"a0rVT00000Or577YAB":{"isPhased":false,"upcomingDates":[],"nextGoLiveDate":null,"recentDates":[{"date":"2025-06-16","products":["Adaptive Planning"]}],"lastGoLiveDate":"2025-06-16","productFunctionCount":1},"a0rVT00000OsmhlYAB":{"isPhased":true,"upcomingDates":[{"date":"2026-09-01","products":["Financial Management","Human Capital Management","Payroll","Spend Management","Workforce Management"]},{"date":"2026-11-10","products":["Adaptive Planning"]}],"nextGoLiveDate":"2026-09-01","recentDates":[],"lastGoLiveDate":null,"productFunctionCount":6},"a0rVT00000P0mXkYAJ":{"isPhased":false,"upcomingDates":[],"nextGoLiveDate":null,"recentDates":[{"date":"2026-06-01","products":["Analytics and Reporting"]}],"lastGoLiveDate":"2026-06-01","productFunctionCount":1},"a0rVT00000P50llYAB":{"isPhased":false,"upcomingDates":[],"nextGoLiveDate":null,"recentDates":[{"date":"2026-01-05","products":["Analytics and Reporting"]}],"lastGoLiveDate":"2026-01-05","productFunctionCount":1},"a0rVT00000PNoh4YAD":{"isPhased":false,"upcomingDates":[],"nextGoLiveDate":null,"recentDates":[{"date":"2025-09-15","products":["Adaptive Planning"]}],"lastGoLiveDate":"2025-09-15","productFunctionCount":1},"a0rVT00000PXTo3YAH":{"isPhased":true,"upcomingDates":[],"nextGoLiveDate":null,"recentDates":[{"date":"2025-09-22","products":["Talent Management","Workday Peakon Employee Voice"]},{"date":"2025-12-22","products":["Talent Management"]},{"date":"2026-01-26","products":["Platform and Product Extensions","Workforce Management"]},{"date":"2026-02-23","products":["Workforce Management"]}],"lastGoLiveDate":"2026-02-23","productFunctionCount":6},"a0rVT00000PgySnYAJ":{"isPhased":false,"upcomingDates":[{"date":"2026-09-14","products":["Analytics and Reporting","Human Capital Management","Payroll","Talent Management","Workforce Management"]}],"nextGoLiveDate":"2026-09-14","recentDates":[],"lastGoLiveDate":null,"productFunctionCount":5},"a0rVT00000PqoP9YAJ":{"isPhased":true,"upcomingDates":[{"date":"2026-10-01","products":["Adaptive Planning"]}],"nextGoLiveDate":"2026-10-01","recentDates":[{"date":"2026-03-11","products":["Analytics and Reporting","Financial Management","Human Capital Management","Payroll","Spend Management","Talent Management"]}],"lastGoLiveDate":"2026-03-11","productFunctionCount":7},"a0rVT00000PrglzYAB":{"isPhased":false,"upcomingDates":[{"date":"2026-12-21","products":["Financial Management","Human Capital Management","Payroll","Spend Management","Workforce Management"]}],"nextGoLiveDate":"2026-12-21","recentDates":[],"lastGoLiveDate":null,"productFunctionCount":5},"a0rVT00000PsEKYYA3":{"isPhased":false,"upcomingDates":[],"nextGoLiveDate":null,"recentDates":[{"date":"2026-05-18","products":["Analytics and Reporting","Human Capital Management","Payroll","Talent Management","Workforce Management"]}],"lastGoLiveDate":"2026-05-18","productFunctionCount":5},"a0rVT00000PtYNdYAN":{"isPhased":true,"upcomingDates":[{"date":"2026-09-19","products":["Financial Management","Human Capital Management","Payroll","Workforce Management"]},{"date":"2027-05-01","products":["Human Capital Management","Talent Management"]}],"nextGoLiveDate":"2026-09-19","recentDates":[],"lastGoLiveDate":null,"productFunctionCount":6},"a0rVT00000PwfFhYAJ":{"isPhased":false,"upcomingDates":[],"nextGoLiveDate":null,"recentDates":[{"date":"2025-08-31","products":["Human Capital Management","Workforce Management"]}],"lastGoLiveDate":"2025-08-31","productFunctionCount":2},"a0rVT00000PxFmVYAV":{"isPhased":true,"upcomingDates":[{"date":"2026-08-28","products":["Analytics and Reporting"]},{"date":"2027-02-12","products":["Talent Management"]}],"nextGoLiveDate":"2026-08-28","recentDates":[{"date":"2026-03-11","products":["Human Capital Management","Payroll","Talent Management","Workforce Management"]},{"date":"2026-06-05","products":["Talent Management"]}],"lastGoLiveDate":"2026-06-05","productFunctionCount":7},"a0rVT00000PyFc5YAF":{"isPhased":false,"upcomingDates":[],"nextGoLiveDate":null,"recentDates":[{"date":"2025-12-15","products":["Financial Management","Human Capital Management","Spend Management","Workforce Management"]}],"lastGoLiveDate":"2025-12-15","productFunctionCount":4},"a0rVT00000Q3kFdYAJ":{"isPhased":false,"upcomingDates":[{"date":"2026-07-16","products":["Analytics and Reporting","Financial Management","Human Capital Management","Payroll","Spend Management","Talent Management","Workforce Management"]}],"nextGoLiveDate":"2026-07-16","recentDates":[],"lastGoLiveDate":null,"productFunctionCount":7},"a0rVT00000Q8bBVYAZ":{"isPhased":false,"upcomingDates":[{"date":"2026-08-23","products":["Adaptive Planning","Financial Management","Human Capital Management","Payroll","Spend Management","Talent Management","Workforce Management"]}],"nextGoLiveDate":"2026-08-23","recentDates":[],"lastGoLiveDate":null,"productFunctionCount":7},"a0rVT00000QELTpYAP":{"isPhased":false,"upcomingDates":[{"date":"2026-08-29","products":["Analytics and Reporting","Financial Management","Human Capital Management","Payroll","Spend Management","Talent Management","Workforce Management"]}],"nextGoLiveDate":"2026-08-29","recentDates":[],"lastGoLiveDate":null,"productFunctionCount":7},"a0rVT00000QlkjdYAB":{"isPhased":false,"upcomingDates":[],"nextGoLiveDate":null,"recentDates":[{"date":"2025-06-04","products":["Payroll"]}],"lastGoLiveDate":"2025-06-04","productFunctionCount":1},"a0rVT00000RVF6TYAX":{"isPhased":false,"upcomingDates":[],"nextGoLiveDate":null,"recentDates":[{"date":"2025-06-20","products":["Talent Management","Workday Peakon Employee Voice"]}],"lastGoLiveDate":"2025-06-20","productFunctionCount":2},"a0rVT00000RZPqPYAX":{"isPhased":true,"upcomingDates":[],"nextGoLiveDate":null,"recentDates":[{"date":"2025-06-01","products":["Human Capital Management","Spend Management","Talent Management"]},{"date":"2025-09-19","products":["Human Capital Management"]},{"date":"2026-02-02","products":["Adaptive Planning"]},{"date":"2026-05-04","products":["Adaptive Planning"]}],"lastGoLiveDate":"2026-05-04","productFunctionCount":6},"a0rVT00000SFgOcYAL":{"isPhased":false,"upcomingDates":[],"nextGoLiveDate":null,"recentDates":[{"date":"2025-12-21","products":["Financial Management","Human Capital Management","Spend Management"]}],"lastGoLiveDate":"2025-12-21","productFunctionCount":3},"a0rVT00000STYXfYAP":{"isPhased":false,"upcomingDates":[{"date":"2026-08-31","products":["Financial Management","Spend Management"]}],"nextGoLiveDate":"2026-08-31","recentDates":[],"lastGoLiveDate":null,"productFunctionCount":2},"a0rVT00000SVEt2YAH":{"isPhased":true,"upcomingDates":[{"date":"2026-07-31","products":["Analytics and Reporting","Financial Management"]},{"date":"2026-10-01","products":["Financial Management"]}],"nextGoLiveDate":"2026-07-31","recentDates":[],"lastGoLiveDate":null,"productFunctionCount":3},"a0rVT00000SZiW0YAL":{"isPhased":true,"upcomingDates":[{"date":"2026-12-11","products":["Adaptive Planning","Analytics and Reporting","Human Capital Management","Platform and Product Extensions","Talent Management"]}],"nextGoLiveDate":"2026-12-11","recentDates":[{"date":"2026-06-07","products":["Financial Management","Human Capital Management","Payroll","Spend Management","Talent Management","Workforce Management"]}],"lastGoLiveDate":"2026-06-07","productFunctionCount":11},"a0rVT00000TnhUZYAZ":{"isPhased":false,"upcomingDates":[{"date":"2026-12-31","products":["Analytics and Reporting"]}],"nextGoLiveDate":"2026-12-31","recentDates":[],"lastGoLiveDate":null,"productFunctionCount":1},"a0rVT00000UIYTNYA5":{"isPhased":false,"upcomingDates":[],"nextGoLiveDate":null,"recentDates":[{"date":"2025-07-01","products":["Financial Management"]}],"lastGoLiveDate":"2025-07-01","productFunctionCount":1},"a0rVT00000UpTGPYA3":{"isPhased":true,"upcomingDates":[],"nextGoLiveDate":null,"recentDates":[{"date":"2025-12-05","products":["Platform and Product Extensions"]},{"date":"2025-12-19","products":["Analytics and Reporting"]},{"date":"2026-01-16","products":["Talent Management"]}],"lastGoLiveDate":"2026-01-16","productFunctionCount":3},"a0rVT00000WZC0oYAH":{"isPhased":false,"upcomingDates":[{"date":"2026-12-14","products":["Financial Management","Human Capital Management","Payroll","Spend Management","Workforce Management"]}],"nextGoLiveDate":"2026-12-14","recentDates":[],"lastGoLiveDate":null,"productFunctionCount":5},"a0rVT00000X64CPYAZ":{"isPhased":false,"upcomingDates":[{"date":"2027-01-31","products":["Adaptive Planning"]}],"nextGoLiveDate":"2027-01-31","recentDates":[],"lastGoLiveDate":null,"productFunctionCount":1},"a0rVT00000Xi1lPYAR":{"isPhased":false,"upcomingDates":[],"nextGoLiveDate":null,"recentDates":[{"date":"2025-08-15","products":["Analytics and Reporting","Platform and Product Extensions","Workforce Management"]}],"lastGoLiveDate":"2025-08-15","productFunctionCount":3},"a0rVT00000Xk0oPYAR":{"isPhased":false,"upcomingDates":[],"nextGoLiveDate":null,"recentDates":[{"date":"2026-01-09","products":["Adaptive Planning"]}],"lastGoLiveDate":"2026-01-09","productFunctionCount":1},"a0rVT00000Y77kyYAB":{"isPhased":true,"upcomingDates":[{"date":"2026-12-06","products":["Analytics and Reporting","Financial Management","Human Capital Management","Payroll","Spend Management","Talent Management","Workforce Management"]},{"date":"2027-03-31","products":["Human Capital Management"]}],"nextGoLiveDate":"2026-12-06","recentDates":[],"lastGoLiveDate":null,"productFunctionCount":8},"a0rVT00000YI061YAD":{"isPhased":false,"upcomingDates":[],"nextGoLiveDate":null,"recentDates":[{"date":"2025-12-18","products":["Workforce Management"]}],"lastGoLiveDate":"2025-12-18","productFunctionCount":1},"a0rVT00000YXI2cYAH":{"isPhased":false,"upcomingDates":[],"nextGoLiveDate":null,"recentDates":[{"date":"2026-05-18","products":["Analytics and Reporting","Human Capital Management","Payroll","Platform and Product Extensions","Talent Management","Workforce Management"]}],"lastGoLiveDate":"2026-05-18","productFunctionCount":6},"a0rVT00000YfIwxYAF":{"isPhased":false,"upcomingDates":[],"nextGoLiveDate":null,"recentDates":[{"date":"2026-02-02","products":["Talent Management"]}],"lastGoLiveDate":"2026-02-02","productFunctionCount":1},"a0rVT00000YvFmtYAF":{"isPhased":true,"upcomingDates":[],"nextGoLiveDate":null,"recentDates":[{"date":"2025-10-05","products":["Human Capital Management"]},{"date":"2025-12-15","products":["Human Capital Management","Payroll","Workforce Management"]}],"lastGoLiveDate":"2025-12-15","productFunctionCount":4},"a0rVT00000YvLJEYA3":{"isPhased":true,"upcomingDates":[{"date":"2026-07-06","products":["Financial Management","Human Capital Management","Payroll","Spend Management","Talent Management","Workforce Management"]},{"date":"2027-03-29","products":["Adaptive Planning","Analytics and Reporting","Spend Management","Talent Management"]}],"nextGoLiveDate":"2026-07-06","recentDates":[],"lastGoLiveDate":null,"productFunctionCount":10},"a0rVT00000aIllMYAS":{"isPhased":false,"upcomingDates":[],"nextGoLiveDate":null,"recentDates":[{"date":"2026-01-01","products":["Financial Management","Spend Management"]}],"lastGoLiveDate":"2026-01-01","productFunctionCount":2},"a0rVT00000b6OjtYAE":{"isPhased":false,"upcomingDates":[],"nextGoLiveDate":null,"recentDates":[{"date":"2025-10-06","products":["Talent Management"]}],"lastGoLiveDate":"2025-10-06","productFunctionCount":1},"a0rVT00000bbLcrYAE":{"isPhased":true,"upcomingDates":[{"date":"2026-08-23","products":["Analytics and Reporting","Human Capital Management","Payroll","Talent Management","Workday Peakon Employee Voice"]},{"date":"2026-09-30","products":["Adaptive Planning"]}],"nextGoLiveDate":"2026-08-23","recentDates":[],"lastGoLiveDate":null,"productFunctionCount":6},"a0rVT00000bcvGMYAY":{"isPhased":true,"upcomingDates":[{"date":"2027-07-01","products":["Analytics and Reporting","Financial Management","Human Capital Management","Payroll","Platform and Product Extensions","Spend Management","Talent Management","Workforce Management"]},{"date":"2027-12-17","products":["Adaptive Planning","Financial Management"]}],"nextGoLiveDate":"2027-07-01","recentDates":[],"lastGoLiveDate":null,"productFunctionCount":10},"a0rVT00000ddT0TYAU":{"isPhased":false,"upcomingDates":[{"date":"2026-12-31","products":["Adaptive Planning","Analytics and Reporting","Financial Management","Human Capital Management","Payroll","Spend Management","Talent Management","Workforce Management"]}],"nextGoLiveDate":"2026-12-31","recentDates":[],"lastGoLiveDate":null,"productFunctionCount":8},"a0rVT00000dyOxlYAE":{"isPhased":false,"upcomingDates":[],"nextGoLiveDate":null,"recentDates":[{"date":"2025-12-26","products":["Workforce Management"]}],"lastGoLiveDate":"2025-12-26","productFunctionCount":1},"a0rVT00000e8rA7YAI":{"isPhased":false,"upcomingDates":[{"date":"2026-12-31","products":["Analytics and Reporting","Financial Management","Human Capital Management","Payroll","Spend Management","Talent Management"]}],"nextGoLiveDate":"2026-12-31","recentDates":[],"lastGoLiveDate":null,"productFunctionCount":6},"a0rVT00000eIZbOYAW":{"isPhased":false,"upcomingDates":[{"date":"2026-12-18","products":["Financial Management","Human Capital Management","Payroll","Platform and Product Extensions","Spend Management","Workforce Management"]}],"nextGoLiveDate":"2026-12-18","recentDates":[],"lastGoLiveDate":null,"productFunctionCount":6},"a0rVT00000ecFQQYA2":{"isPhased":false,"upcomingDates":[{"date":"2026-08-03","products":["Analytics and Reporting","Human Capital Management","Payroll","Workforce Management"]}],"nextGoLiveDate":"2026-08-03","recentDates":[],"lastGoLiveDate":null,"productFunctionCount":4},"a0rVT00000eiHNtYAM":{"isPhased":false,"upcomingDates":[],"nextGoLiveDate":null,"recentDates":[{"date":"2026-06-11","products":["Human Capital Management","Payroll","Talent Management","Workforce Management"]}],"lastGoLiveDate":"2026-06-11","productFunctionCount":4},"a0rVT00000gAgHAYA0":{"isPhased":true,"upcomingDates":[{"date":"2026-09-21","products":["Analytics and Reporting","Financial Management","Human Capital Management","Payroll","Spend Management","Workforce Management"]},{"date":"2026-10-30","products":["Adaptive Planning"]},{"date":"2027-04-30","products":["Platform and Product Extensions","Talent Management"]}],"nextGoLiveDate":"2026-09-21","recentDates":[],"lastGoLiveDate":null,"productFunctionCount":9},"a0rVT00000gL1SRYA0":{"isPhased":false,"upcomingDates":[],"nextGoLiveDate":null,"recentDates":[{"date":"2026-04-06","products":["Human Capital Management","Payroll","Talent Management","Workforce Management"]}],"lastGoLiveDate":"2026-04-06","productFunctionCount":4},"a0rVT00000gq40zYAA":{"isPhased":false,"upcomingDates":[{"date":"2026-09-30","products":["Adaptive Planning"]}],"nextGoLiveDate":"2026-09-30","recentDates":[],"lastGoLiveDate":null,"productFunctionCount":1},"a0rVT00000h7rRqYAI":{"isPhased":false,"upcomingDates":[],"nextGoLiveDate":null,"recentDates":[],"lastGoLiveDate":null,"productFunctionCount":0},"a0rVT00000hOPhFYAW":{"isPhased":false,"upcomingDates":[],"nextGoLiveDate":null,"recentDates":[],"lastGoLiveDate":null,"productFunctionCount":0},"a0rVT00000hh6hLYAQ":{"isPhased":true,"upcomingDates":[{"date":"2026-10-01","products":["Adaptive Planning","Financial Management","Spend Management"]},{"date":"2027-04-23","products":["Human Capital Management","Payroll","Talent Management","Workforce Management"]},{"date":"2027-05-28","products":["Analytics and Reporting"]}],"nextGoLiveDate":"2026-10-01","recentDates":[],"lastGoLiveDate":null,"productFunctionCount":8},"a0rVT00000hhIc1YAE":{"isPhased":false,"upcomingDates":[{"date":"2026-09-14","products":["Financial Management","Human Capital Management","Payroll","Spend Management","Workforce Management"]}],"nextGoLiveDate":"2026-09-14","recentDates":[],"lastGoLiveDate":null,"productFunctionCount":5},"a0rVT00000hsyeMYAQ":{"isPhased":false,"upcomingDates":[],"nextGoLiveDate":null,"recentDates":[{"date":"2026-01-01","products":["Adaptive Planning"]}],"lastGoLiveDate":"2026-01-01","productFunctionCount":1},"a0rVT00000iWG9xYAG":{"isPhased":false,"upcomingDates":[],"nextGoLiveDate":null,"recentDates":[{"date":"2026-01-12","products":["Workday VNDLY"]}],"lastGoLiveDate":"2026-01-12","productFunctionCount":1},"a0rVT00000jsujYYAQ":{"isPhased":false,"upcomingDates":[],"nextGoLiveDate":null,"recentDates":[],"lastGoLiveDate":null,"productFunctionCount":0},"a0rVT00000kbkpWYAQ":{"isPhased":false,"upcomingDates":[],"nextGoLiveDate":null,"recentDates":[],"lastGoLiveDate":null,"productFunctionCount":0},"a0rVT00000kgQEyYAM":{"isPhased":true,"upcomingDates":[{"date":"2026-11-06","products":["Financial Management","Human Capital Management","Payroll","Platform and Product Extensions","Spend Management","Talent Management","Workforce Management"]},{"date":"2027-01-30","products":["Adaptive Planning","Analytics and Reporting","Talent Management"]}],"nextGoLiveDate":"2026-11-06","recentDates":[],"lastGoLiveDate":null,"productFunctionCount":10},"a0rVT00000m8aEAYAY":{"isPhased":false,"upcomingDates":[],"nextGoLiveDate":null,"recentDates":[{"date":"2024-07-17","products":["Contract Management and Document Intelligence"]}],"lastGoLiveDate":"2024-07-17","productFunctionCount":1},"a0rVT00000m8jpNYAQ":{"isPhased":false,"upcomingDates":[],"nextGoLiveDate":null,"recentDates":[{"date":"2022-11-07","products":["Human Capital Management","Talent Optimization"]}],"lastGoLiveDate":"2022-11-07","productFunctionCount":2},"a0rVT00000m8pbHYAQ":{"isPhased":false,"upcomingDates":[],"nextGoLiveDate":null,"recentDates":[],"lastGoLiveDate":null,"productFunctionCount":0},"a0rVT00000m8y6mYAA":{"isPhased":false,"upcomingDates":[],"nextGoLiveDate":null,"recentDates":[{"date":"2025-05-06","products":["Prism Analytics"]}],"lastGoLiveDate":"2025-05-06","productFunctionCount":1},"a0rVT00000m8ywXYAQ":{"isPhased":false,"upcomingDates":[],"nextGoLiveDate":null,"recentDates":[{"date":"2025-06-03","products":["Financial Management"]}],"lastGoLiveDate":"2025-06-03","productFunctionCount":1},"a0rVT00000mRekEYAS":{"isPhased":false,"upcomingDates":[{"date":"2027-05-14","products":["Analytics and Reporting","Contract Management and Document Intelligence","Financial Management","Human Capital Management","Payroll","Platform and Product Extensions","Spend Management","Talent Management","Workday Success Plans","Workforce Management"]}],"nextGoLiveDate":"2027-05-14","recentDates":[],"lastGoLiveDate":null,"productFunctionCount":10},"a0rVT00000mT5KLYA0":{"isPhased":false,"upcomingDates":[{"date":"2026-07-10","products":["Spend Management"]}],"nextGoLiveDate":"2026-07-10","recentDates":[],"lastGoLiveDate":null,"productFunctionCount":1},"a0rVT00000mUU5SYAW":{"isPhased":false,"upcomingDates":[],"nextGoLiveDate":null,"recentDates":[{"date":"2026-01-20","products":["Human Capital Management","Talent Management"]}],"lastGoLiveDate":"2026-01-20","productFunctionCount":2},"a0rVT00000mlAI7YAM":{"isPhased":false,"upcomingDates":[{"date":"2026-08-28","products":["Human Capital Management","Talent Management"]}],"nextGoLiveDate":"2026-08-28","recentDates":[],"lastGoLiveDate":null,"productFunctionCount":2},"a0rVT00000nFdWJYA0":{"isPhased":true,"upcomingDates":[{"date":"2026-09-18","products":["Analytics and Reporting","Financial Management","Spend Management"]},{"date":"2027-06-11","products":["Human Capital Management","Payroll","Talent Management","Workday Peakon Employee Voice","Workforce Management"]}],"nextGoLiveDate":"2026-09-18","recentDates":[],"lastGoLiveDate":null,"productFunctionCount":8},"a0rVT00000nJPeXYAW":{"isPhased":true,"upcomingDates":[{"date":"2026-10-01","products":["Analytics and Reporting","Financial Management","Human Capital Management","Payroll","Spend Management","Talent Management","Workforce Management"]},{"date":"2027-03-01","products":["Adaptive Planning"]}],"nextGoLiveDate":"2026-10-01","recentDates":[],"lastGoLiveDate":null,"productFunctionCount":8},"a0rVT00000ny5f4YAA":{"isPhased":false,"upcomingDates":[],"nextGoLiveDate":null,"recentDates":[{"date":"2026-05-29","products":["Adaptive Planning"]}],"lastGoLiveDate":"2026-05-29","productFunctionCount":1},"a0rVT00000oRhCQYA0":{"isPhased":false,"upcomingDates":[{"date":"2026-12-14","products":["Analytics and Reporting","Contract Management and Document Intelligence","Financial Management","Human Capital Management","Payroll","Spend Management","Talent Management","Workforce Management"]}],"nextGoLiveDate":"2026-12-14","recentDates":[],"lastGoLiveDate":null,"productFunctionCount":8},"a0rVT00000ostsNYAQ":{"isPhased":false,"upcomingDates":[],"nextGoLiveDate":null,"recentDates":[{"date":"2026-07-01","products":["Financial Management","Human Capital Management","Spend Management"]}],"lastGoLiveDate":"2026-07-01","productFunctionCount":3},"a0rVT00000p45DRYAY":{"isPhased":true,"upcomingDates":[],"nextGoLiveDate":null,"recentDates":[{"date":"2025-10-20","products":["Human Capital Management"]},{"date":"2026-04-30","products":["Human Capital Management"]}],"lastGoLiveDate":"2026-04-30","productFunctionCount":2},"a0rVT00000pM5lSYAS":{"isPhased":false,"upcomingDates":[],"nextGoLiveDate":null,"recentDates":[{"date":"2026-06-30","products":["Financial Management"]}],"lastGoLiveDate":"2026-06-30","productFunctionCount":1},"a0rVT00000pfsNLYAY":{"isPhased":false,"upcomingDates":[{"date":"2027-03-26","products":["Analytics and Reporting"]}],"nextGoLiveDate":"2027-03-26","recentDates":[],"lastGoLiveDate":null,"productFunctionCount":1},"a0rVT00000qMQqmYAG":{"isPhased":true,"upcomingDates":[{"date":"2026-10-01","products":["Human Capital Management"]},{"date":"2027-01-02","products":["Human Capital Management","Payroll","Workforce Management"]},{"date":"2027-07-01","products":["Analytics and Reporting","Human Capital Management","Platform and Product Extensions","Talent Management"]},{"date":"2027-10-01","products":["Contract Management and Document Intelligence","Financial Management","Spend Management"]},{"date":"2028-04-01","products":["Adaptive Planning"]}],"nextGoLiveDate":"2026-10-01","recentDates":[],"lastGoLiveDate":null,"productFunctionCount":12},"a0rVT00000qdTvRYAU":{"isPhased":false,"upcomingDates":[{"date":"2027-03-12","products":["Analytics and Reporting","Contract Management and Document Intelligence","Financial Management","Human Capital Management","Payroll","Spend Management","Talent Management","Workforce Management"]}],"nextGoLiveDate":"2027-03-12","recentDates":[],"lastGoLiveDate":null,"productFunctionCount":8},"a0rVT00000quuMXYAY":{"isPhased":false,"upcomingDates":[{"date":"2027-06-01","products":["Analytics and Reporting","Contract Management and Document Intelligence","Financial Management","Human Capital Management","Payroll","Platform and Product Extensions","Spend Management","Workforce Management"]}],"nextGoLiveDate":"2027-06-01","recentDates":[],"lastGoLiveDate":null,"productFunctionCount":8},"a0rVT00000quy3uYAA":{"isPhased":false,"upcomingDates":[{"date":"2027-03-01","products":["Analytics and Reporting","Contract Management and Document Intelligence","Financial Management","Human Capital Management","Payroll","Spend Management","Talent Management","Workforce Management"]}],"nextGoLiveDate":"2027-03-01","recentDates":[],"lastGoLiveDate":null,"productFunctionCount":8},"a0rVT00000quzT2YAI":{"isPhased":false,"upcomingDates":[{"date":"2027-01-01","products":["Human Capital Management","Workforce Management"]}],"nextGoLiveDate":"2027-01-01","recentDates":[],"lastGoLiveDate":null,"productFunctionCount":2},"a0rVT00000rOKbnYAG":{"isPhased":true,"upcomingDates":[{"date":"2026-12-18","products":["Analytics and Reporting","Contract Management and Document Intelligence","Financial Management","Human Capital Management","Payroll","Spend Management","Talent Management"]},{"date":"2027-03-12","products":["Adaptive Planning"]}],"nextGoLiveDate":"2026-12-18","recentDates":[],"lastGoLiveDate":null,"productFunctionCount":8},"a0rVT00000rOVylYAG":{"isPhased":true,"upcomingDates":[{"date":"2027-03-21","products":["Human Capital Management","Payroll","Talent Management","Workforce Management"]},{"date":"2027-06-27","products":["Contract Management and Document Intelligence","Financial Management","Payroll","Spend Management"]}],"nextGoLiveDate":"2027-03-21","recentDates":[],"lastGoLiveDate":null,"productFunctionCount":8},"a0rVT00000rSgrfYAC":{"isPhased":false,"upcomingDates":[],"nextGoLiveDate":null,"recentDates":[],"lastGoLiveDate":null,"productFunctionCount":0},"a0rVT00000rTLdiYAG":{"isPhased":false,"upcomingDates":[{"date":"2026-12-28","products":["Analytics and Reporting","Financial Management","Spend Management"]}],"nextGoLiveDate":"2026-12-28","recentDates":[],"lastGoLiveDate":null,"productFunctionCount":3},"a0rVT00000rvb7lYAA":{"isPhased":false,"upcomingDates":[],"nextGoLiveDate":null,"recentDates":[{"date":"2026-06-01","products":["Adaptive Planning"]}],"lastGoLiveDate":"2026-06-01","productFunctionCount":1},"a0rVT00000sB30HYAS":{"isPhased":false,"upcomingDates":[{"date":"2026-09-13","products":["Human Capital Management","Payroll","Talent Management","Workforce Management"]}],"nextGoLiveDate":"2026-09-13","recentDates":[],"lastGoLiveDate":null,"productFunctionCount":4},"a0rVT00000sUZJ0YAO":{"isPhased":false,"upcomingDates":[{"date":"2026-07-31","products":["Financial Management"]}],"nextGoLiveDate":"2026-07-31","recentDates":[],"lastGoLiveDate":null,"productFunctionCount":1},"a0rVT00000tFsq1YAC":{"isPhased":false,"upcomingDates":[],"nextGoLiveDate":null,"recentDates":[{"date":"2026-04-27","products":["Talent Management"]}],"lastGoLiveDate":"2026-04-27","productFunctionCount":1},"a0rVT00000tHiMoYAK":{"isPhased":false,"upcomingDates":[{"date":"2026-10-23","products":["Adaptive Planning"]}],"nextGoLiveDate":"2026-10-23","recentDates":[],"lastGoLiveDate":null,"productFunctionCount":1},"a0rVT00000tIJcPYAW":{"isPhased":false,"upcomingDates":[{"date":"2027-01-01","products":["Workforce Management"]}],"nextGoLiveDate":"2027-01-01","recentDates":[],"lastGoLiveDate":null,"productFunctionCount":1},"a0rVT00000tIlKAYA0":{"isPhased":false,"upcomingDates":[{"date":"2026-12-11","products":["Analytics and Reporting","Human Capital Management","Payroll","Talent Management","Workforce Management"]}],"nextGoLiveDate":"2026-12-11","recentDates":[],"lastGoLiveDate":null,"productFunctionCount":5},"a0rVT00000tVYgrYAG":{"isPhased":false,"upcomingDates":[],"nextGoLiveDate":null,"recentDates":[{"date":"2026-05-18","products":["Adaptive Planning"]}],"lastGoLiveDate":"2026-05-18","productFunctionCount":1},"a0rVT00000tYEnFYAW":{"isPhased":false,"upcomingDates":[{"date":"2027-05-30","products":["Contract Management and Document Intelligence","Financial Management","Human Capital Management","Spend Management"]}],"nextGoLiveDate":"2027-05-30","recentDates":[],"lastGoLiveDate":null,"productFunctionCount":4},"a0rVT00000tjiwUYAQ":{"isPhased":false,"upcomingDates":[],"nextGoLiveDate":null,"recentDates":[{"date":"2026-06-15","products":["Financial Management","Human Capital Manageme</t>
  </si>
  <si>
    <t>enrichmentMap:SLG:chunk:3</t>
  </si>
  <si>
    <t>0018000001YoBMJAA3</t>
  </si>
  <si>
    <t>{SubRegion__c=US DI ME CB PBS Northeast, PS_Region_New__c=US Medium Enterprise DI, Industry=Professional Services, attributes={type=Account, url=/services/data/v62.0/sobjects/Account/0018000001YoBMJAA3}, PS_Sub_Region__c=ME CB PBS, Name=Do It, LLC.}</t>
  </si>
  <si>
    <t>Michelle Holland</t>
  </si>
  <si>
    <t>a0rVT00000qbrE0YAI</t>
  </si>
  <si>
    <t>Sirius Global Services LLC</t>
  </si>
  <si>
    <t>{attributes={url=/services/data/v62.0/sobjects/Contact/0034X00002yXKkVQAW, type=Contact}, Full_Name__c=Jackie Moreno}</t>
  </si>
  <si>
    <t>9/1: project closing</t>
  </si>
  <si>
    <t>Josue Montero</t>
  </si>
  <si>
    <t>{attributes={type=Account, url=/services/data/v62.0/sobjects/Account/0018000001YoBMJAA3}, PS_Sub_Region__c=ME CB PBS, Industry=Professional Services, Name=Do It, LLC., PS_Region_New__c=US Medium Enterprise DI, SubRegion__c=US DI ME CB PBS Northeast}</t>
  </si>
  <si>
    <t>Project changed to Green. Go-live is mid-May. Workflow finalization is closing. Customer finishing testing.</t>
  </si>
  <si>
    <t>Skipton Building Society</t>
  </si>
  <si>
    <t>nt","Payroll","Spend Management","Talent Management","Workforce Management"]}],"lastGoLiveDate":"2026-06-15","productFunctionCount":6},"a0rVT00000tss0XYAQ":{"isPhased":false,"upcomingDates":[],"nextGoLiveDate":null,"recentDates":[{"date":"2026-05-11","products":["Talent Management"]}],"lastGoLiveDate":"2026-05-11","productFunctionCount":1},"a0rVT00000tv0MzYAI":{"isPhased":false,"upcomingDates":[{"date":"2026-11-30","products":["Human Capital Management","Talent Management"]}],"nextGoLiveDate":"2026-11-30","recentDates":[],"lastGoLiveDate":null,"productFunctionCount":2},"a0rVT00000tvUg2YAE":{"isPhased":false,"upcomingDates":[{"date":"2026-09-14","products":["Analytics and Reporting","Human Capital Management","Payroll","Platform and Product Extensions","Talent Management","Workforce Management"]}],"nextGoLiveDate":"2026-09-14","recentDates":[],"lastGoLiveDate":null,"productFunctionCount":6},"a0rVT00000uGLmbYAG":{"isPhased":false,"upcomingDates":[],"nextGoLiveDate":null,"recentDates":[{"date":"2026-04-24","products":["Talent Management"]}],"lastGoLiveDate":"2026-04-24","productFunctionCount":1},"a0rVT00000uJ9FTYA0":{"isPhased":false,"upcomingDates":[{"date":"2027-09-01","products":["Analytics and Reporting","Contract Management and Document Intelligence","Financial Management","Human Capital Management","Payroll","Spend Management","Talent Management","Workforce Management"]}],"nextGoLiveDate":"2027-09-01","recentDates":[],"lastGoLiveDate":null,"productFunctionCount":8},"a0rVT00000uL4UzYAK":{"isPhased":false,"upcomingDates":[{"date":"2026-12-05","products":["Human Capital Management","Payroll","Workforce Management"]}],"nextGoLiveDate":"2026-12-05","recentDates":[],"lastGoLiveDate":null,"productFunctionCount":3},"a0rVT00000uXpyIYAS":{"isPhased":false,"upcomingDates":[{"date":"2026-12-21","products":["Analytics and Reporting","Contract Management and Document Intelligence","Financial Management","Human Capital Management","Payroll","Spend Management","Workforce Management"]}],"nextGoLiveDate":"2026-12-21","recentDates":[],"lastGoLiveDate":null,"productFunctionCount":7},"a0rVT00000utORLYA2":{"isPhased":false,"upcomingDates":[{"date":"2026-09-28","products":["Human Capital Management","Payroll","Talent Management","Workforce Management"]}],"nextGoLiveDate":"2026-09-28","recentDates":[],"lastGoLiveDate":null,"productFunctionCount":4},"a0rVT00000vAX3VYAW":{"isPhased":false,"upcomingDates":[{"date":"2026-08-17","products":["Human Capital Management","Talent Management","Workday Success Plans"]}],"nextGoLiveDate":"2026-08-17","recentDates":[],"lastGoLiveDate":null,"productFunctionCount":3},"a0rVT00000vIg6bYAC":{"isPhased":false,"upcomingDates":[{"date":"2027-06-01","products":["Financial Management","Human Capital Management","Payroll","Spend Management","Talent Management","Workforce Management"]}],"nextGoLiveDate":"2027-06-01","recentDates":[],"lastGoLiveDate":null,"productFunctionCount":6},"a0rVT00000vPhc9YAC":{"isPhased":false,"upcomingDates":[{"date":"2026-12-27","products":["Analytics and Reporting","Contract Management and Document Intelligence","Financial Management","Human Capital Management","Payroll","Platform and Product Extensions","Spend Management","Talent Management","Workday Peakon Employee Voice","Workforce Management"]}],"nextGoLiveDate":"2026-12-27","recentDates":[],"lastGoLiveDate":null,"productFunctionCount":10},"a0rVT00000vU5EOYA0":{"isPhased":false,"upcomingDates":[{"date":"2027-06-27","products":["Analytics and Reporting","Contract Management and Document Intelligence","Human Capital Management","Platform and Product Extensions","Talent Management","Workforce Management"]}],"nextGoLiveDate":"2027-06-27","recentDates":[],"lastGoLiveDate":null,"productFunctionCount":6},"a0rVT00000vafrpYAA":{"isPhased":false,"upcomingDates":[],"nextGoLiveDate":null,"recentDates":[],"lastGoLiveDate":null,"productFunctionCount":0},"a0rVT00000vktwvYAA":{"isPhased":false,"upcomingDates":[{"date":"2026-10-01","products":["Financial Management","Human Capital Management","Payroll","Spend Management","Talent Management","Workforce Management"]}],"nextGoLiveDate":"2026-10-01","recentDates":[],"lastGoLiveDate":null,"productFunctionCount":6},"a0rVT00000vnqkiYAA":{"isPhased":false,"upcomingDates":[{"date":"2026-12-18","products":["Human Capital Management","Payroll","Workforce Management"]}],"nextGoLiveDate":"2026-12-18","recentDates":[],"lastGoLiveDate":null,"productFunctionCount":3},"a0rVT00000vq0zpYAA":{"isPhased":false,"upcomingDates":[{"date":"2027-03-18","products":["Human Capital Management","Payroll","Talent Management","Workforce Management"]}],"nextGoLiveDate":"2027-03-18","recentDates":[],"lastGoLiveDate":null,"productFunctionCount":4},"a0rVT00000vqVOfYAM":{"isPhased":false,"upcomingDates":[{"date":"2026-12-14","products":["Analytics and Reporting","Financial Management","Human Capital Management","Payroll","Workforce Management"]}],"nextGoLiveDate":"2026-12-14","recentDates":[],"lastGoLiveDate":null,"productFunctionCount":5},"a0rVT00000vtwYyYAI":{"isPhased":false,"upcomingDates":[],"nextGoLiveDate":null,"recentDates":[{"date":"2026-06-08","products":["Human Capital Management"]}],"lastGoLiveDate":"2026-06-08","productFunctionCount":1},"a0rVT00000vwFp9YAE":{"isPhased":false,"upcomingDates":[{"date":"2027-07-26","products":["Adaptive Planning","Analytics and Reporting","Financial Management","Human Capital Management","Payroll","Spend Management","Talent Management","Workforce Management"]}],"nextGoLiveDate":"2027-07-26","recentDates":[],"lastGoLiveDate":null,"productFunctionCount":8},"a0rVT00000wIG05YAG":{"isPhased":false,"upcomingDates":[{"date":"2027-01-04","products":["Human Capital Management","Payroll","Workforce Management"]}],"nextGoLiveDate":"2027-01-04","recentDates":[],"lastGoLiveDate":null,"productFunctionCount":3},"a0rVT00000x3OESYA2":{"isPhased":false,"upcomingDates":[{"date":"2026-11-20","products":["Analytics and Reporting"]}],"nextGoLiveDate":"2026-11-20","recentDates":[],"lastGoLiveDate":null,"productFunctionCount":1},"a0rVT00000x3XbEYAU":{"isPhased":false,"upcomingDates":[{"date":"2026-10-31","products":["Human Capital Management"]}],"nextGoLiveDate":"2026-10-31","recentDates":[],"lastGoLiveDate":null,"productFunctionCount":1},"a0rVT00000x7GKfYAM":{"isPhased":false,"upcomingDates":[{"date":"2026-12-21","products":["Adaptive Planning","Human Capital Management","Payroll","Platform and Product Extensions","Talent Management","Workforce Management"]}],"nextGoLiveDate":"2026-12-21","recentDates":[],"lastGoLiveDate":null,"productFunctionCount":6},"a0rVT00000xZQDqYAO":{"isPhased":false,"upcomingDates":[{"date":"2026-07-08","products":["Spend Management"]}],"nextGoLiveDate":"2026-07-08","recentDates":[],"lastGoLiveDate":null,"productFunctionCount":1},"a0rVT00000xahu8YAA":{"isPhased":false,"upcomingDates":[{"date":"2027-07-01","products":["Adaptive Planning","Analytics and Reporting","Financial Management","Human Capital Management","Spend Management"]}],"nextGoLiveDate":"2027-07-01","recentDates":[],"lastGoLiveDate":null,"productFunctionCount":5},"a0rVT00000ySxp0YAC":{"isPhased":false,"upcomingDates":[{"date":"2027-07-01","products":["Analytics and Reporting","Contract Management and Document Intelligence","Financial Management","Human Capital Management","Payroll","Spend Management","Talent Management"]}],"nextGoLiveDate":"2027-07-01","recentDates":[],"lastGoLiveDate":null,"productFunctionCount":7},"a0rVT0000107EM0YAM":{"isPhased":true,"upcomingDates":[{"date":"2026-10-01","products":["Financial Management"]},{"date":"2027-01-29","products":["Adaptive Planning","Analytics and Reporting"]}],"nextGoLiveDate":"2026-10-01","recentDates":[],"lastGoLiveDate":null,"productFunctionCount":3},"a0rVT000010i7brYAA":{"isPhased":false,"upcomingDates":[{"date":"2026-07-24","products":["Analytics and Reporting","Spend Management","Talent Management"]}],"nextGoLiveDate":"2026-07-24","recentDates":[],"lastGoLiveDate":null,"productFunctionCount":3},"a0rVT000010ulBpYAI":{"isPhased":false,"upcomingDates":[{"date":"2027-03-05","products":["Adaptive Planning","Financial Management","Spend Management"]}],"nextGoLiveDate":"2027-03-05","recentDates":[],"lastGoLiveDate":null,"productFunctionCount":3},"a0rVT0000111F5kYAE":{"isPhased":false,"upcomingDates":[{"date":"2027-02-01","products":["Analytics and Reporting","Financial Management","Human Capital Management","Workforce Management"]}],"nextGoLiveDate":"2027-02-01","recentDates":[],"lastGoLiveDate":null,"productFunctionCount":4},"a0rVT0000111W3BYAU":{"isPhased":false,"upcomingDates":[{"date":"2026-12-14","products":["Financial Management","Human Capital Management","Payroll","Spend Management","Talent Management","Workforce Management"]}],"nextGoLiveDate":"2026-12-14","recentDates":[],"lastGoLiveDate":null,"productFunctionCount":6},"a0rVT000011r44PYAQ":{"isPhased":false,"upcomingDates":[{"date":"2027-06-01","products":["Human Capital Management","Payroll","Platform and Product Extensions","Talent Management","Workforce Management"]}],"nextGoLiveDate":"2027-06-01","recentDates":[],"lastGoLiveDate":null,"productFunctionCount":5},"a0rVT0000120kVsYAI":{"isPhased":false,"upcomingDates":[{"date":"2026-12-17","products":["Financial Management","Human Capital Management","Payroll","Spend Management","Talent Management","Workforce Management"]}],"nextGoLiveDate":"2026-12-17","recentDates":[],"lastGoLiveDate":null,"productFunctionCount":6},"a0rVT000012SqmxYAC":{"isPhased":false,"upcomingDates":[{"date":"2026-08-17","products":["Human Capital Management","Payroll","Workforce Management"]}],"nextGoLiveDate":"2026-08-17","recentDates":[],"lastGoLiveDate":null,"productFunctionCount":3},"a0rVT000012spwkYAA":{"isPhased":false,"upcomingDates":[{"date":"2026-12-01","products":["Human Capital Management"]}],"nextGoLiveDate":"2026-12-01","recentDates":[],"lastGoLiveDate":null,"productFunctionCount":1},"a0rVT00001351R3YAI":{"isPhased":false,"upcomingDates":[{"date":"2027-04-30","products":["Human Capital Management","Payroll","Platform and Product Extensions","Talent Management","Workforce Management"]}],"nextGoLiveDate":"2027-04-30","recentDates":[],"lastGoLiveDate":null,"productFunctionCount":5},"a0rVT0000135GBZYA2":{"isPhased":true,"upcomingDates":[{"date":"2026-09-04","products":["Human Capital Management","Payroll","Platform and Product Extensions","Talent Management","Workforce Management"]},{"date":"2026-12-07","products":["Financial Management","Spend Management"]}],"nextGoLiveDate":"2026-09-04","recentDates":[],"lastGoLiveDate":null,"productFunctionCount":7},"a0rVT000014HfVUYA0":{"isPhased":false,"upcomingDates":[{"date":"2027-07-05","products":["Analytics and Reporting","Financial Management","Spend Management"]}],"nextGoLiveDate":"2027-07-05","recentDates":[],"lastGoLiveDate":null,"productFunctionCount":3},"a0rVT000014UVeiYAG":{"isPhased":false,"upcomingDates":[{"date":"2027-06-21","products":["Financial Management"]}],"nextGoLiveDate":"2027-06-21","recentDates":[],"lastGoLiveDate":null,"productFunctionCount":1},"a0rVT000014eru2YAA":{"isPhased":false,"upcomingDates":[{"date":"2026-11-06","products":["Adaptive Planning"]}],"nextGoLiveDate":"2026-11-06","recentDates":[],"lastGoLiveDate":null,"productFunctionCount":1},"a0rVT0000159bGHYAY":{"isPhased":false,"upcomingDates":[{"date":"2027-06-27","products":["Analytics and Reporting","Financial Management","Spend Management"]}],"nextGoLiveDate":"2027-06-27","recentDates":[],"lastGoLiveDate":null,"productFunctionCount":3},"a0rVT000015CVSrYAO":{"isPhased":false,"upcomingDates":[{"date":"2026-09-01","products":["Human Capital Management","Talent Management"]}],"nextGoLiveDate":"2026-09-01","recentDates":[],"lastGoLiveDate":null,"productFunctionCount":2},"a0rVT000015XPgzYAG":{"isPhased":false,"upcomingDates":[{"date":"2026-12-01","products":["Adaptive Planning","Talent Management"]}],"nextGoLiveDate":"2026-12-01","recentDates":[],"lastGoLiveDate":null,"productFunctionCount":2},"a0rVT000016HPNsYAO":{"isPhased":false,"upcomingDates":[{"date":"2026-10-09","products":["Talent Management"]}],"nextGoLiveDate":"2026-10-09","recentDates":[],"lastGoLiveDate":null,"productFunctionCount":1},"a0rVT000016K5afYAC":{"isPhased":true,"upcomingDates":[{"date":"2026-12-01","products":["Human Capital Management"]},{"date":"2027-01-01","products":["Adaptive Planning"]},{"date":"2027-01-04","products":["Adaptive Planning"]},{"date":"2027-02-01","products":["Analytics and Reporting","Spend Management","Workday Peakon Employee Voice"]}],"nextGoLiveDate":"2026-12-01","recentDates":[],"lastGoLiveDate":null,"productFunctionCount":6},"a0rVT000016NcgYYAS":{"isPhased":false,"upcomingDates":[{"date":"2027-01-01","products":["Human Capital Management","Payroll","Workforce Management"]}],"nextGoLiveDate":"2027-01-01","recentDates":[],"lastGoLiveDate":null,"productFunctionCount":3},"a0rVT000016lr3KYAQ":{"isPhased":false,"upcomingDates":[{"date":"2026-09-28","products":["Financial Management"]}],"nextGoLiveDate":"2026-09-28","recentDates":[],"lastGoLiveDate":null,"productFunctionCount":1},"a0rVT000017CGXfYAO":{"isPhased":false,"upcomingDates":[{"date":"2027-03-01","products":["Workforce Management"]}],"nextGoLiveDate":"2027-03-01","recentDates":[],"lastGoLiveDate":null,"productFunctionCount":1},"a0rVT000017CeefYAC":{"isPhased":false,"upcomingDates":[{"date":"2027-07-01","products":["Analytics and Reporting","Financial Management","Spend Management"]}],"nextGoLiveDate":"2027-07-01","recentDates":[],"lastGoLiveDate":null,"productFunctionCount":3}}</t>
  </si>
  <si>
    <t>sfdcRows:SLG:chunk:0</t>
  </si>
  <si>
    <t>MTP 6/12 - Currently in Hypercare</t>
  </si>
  <si>
    <t>a0rVT000011yVkbYAE</t>
  </si>
  <si>
    <t>{attributes={url=/services/data/v62.0/sobjects/Account/0018000001YoBMJAA3, type=Account}, PS_Sub_Region__c=ME CB PBS, PS_Region_New__c=US Medium Enterprise DI, SubRegion__c=US DI ME CB PBS Northeast, Industry=Professional Services, Name=Do It, LLC.}</t>
  </si>
  <si>
    <t>South Texas Accelerated Research Therapeutics, LP</t>
  </si>
  <si>
    <t>US Healthcare ME NN Southeast</t>
  </si>
  <si>
    <t>{Full_Name__c=Jackie Moreno, attributes={url=/services/data/v62.0/sobjects/Contact/0034X00002yXKkVQAW, type=Contact}}</t>
  </si>
  <si>
    <t>Southeast Alaska Regional Health Consortium</t>
  </si>
  <si>
    <t>0013000000JP4ooAAD</t>
  </si>
  <si>
    <t>{Industry=Technology Solutions, PS_Sub_Region__c=Diversified Industries LE CB TM &amp; PS, attributes={type=Account, url=/services/data/v62.0/sobjects/Account/0013000000JP4ooAAD}, SubRegion__c=US DI LE CB TM &amp; PS Central, Name=Rackspace US, Inc., PS_Region_New__c=US Large Enterprise DI &amp; Mexico}</t>
  </si>
  <si>
    <t>Weston Anderson</t>
  </si>
  <si>
    <t>08/17/2026 | BFD sign off due this week, build begins</t>
  </si>
  <si>
    <t>{Full_Name__c=Bhavika Patel, attributes={type=Contact, url=/services/data/v62.0/sobjects/Contact/0031B00002p1PsFQAU}}</t>
  </si>
  <si>
    <t>Southern Illinois Hospital Services</t>
  </si>
  <si>
    <t>- Split go live confirmed
- Scheduling go live for 09/24 complete
- Chat to Apply go live pushed pending issues with search and location impacting candidate experience.   Target date TBD</t>
  </si>
  <si>
    <t>Subsequent Phase X: Paradox</t>
  </si>
  <si>
    <t>0013000000KLQvUAAX</t>
  </si>
  <si>
    <t>this scorecard represents 3 sows (so we could get an impl tenant).</t>
  </si>
  <si>
    <t>{PS_Region_New__c=Canada, SubRegion__c=Canada FSI, Name=Technology Services Group LLC, attributes={url=/services/data/v62.0/sobjects/Account/0013000000KLQvUAAX, type=Account}, Industry=Investment Management, PS_Sub_Region__c=Canada FSI}</t>
  </si>
  <si>
    <t>a0rVT000012V90XYAS</t>
  </si>
  <si>
    <t>Southwest Foodservice Excellence</t>
  </si>
  <si>
    <t>ME NN TM &amp; RHT West</t>
  </si>
  <si>
    <t>US DI ME NN RHT Mountain</t>
  </si>
  <si>
    <t>{Full_Name__c=Michelle Holland, attributes={type=Contact, url=/services/data/v62.0/sobjects/Contact/003VT00000fc4shYAA}}</t>
  </si>
  <si>
    <t>Received "Go" approval to move into cutover from Brookfield's leadership after testing is formally approved on September 30. Cutover will start on October 5, and everything is on track.</t>
  </si>
  <si>
    <t>a0rVT00000h8PaVYAU</t>
  </si>
  <si>
    <t>Initial Deployment-Launch-LDPCLM, LDPCLMAIM, WSP, TC, etc.</t>
  </si>
  <si>
    <t>Sparus Holdings</t>
  </si>
  <si>
    <t>0014X00002aUkrRQAS</t>
  </si>
  <si>
    <t>{SubRegion__c=US DI ME CB MFG North, attributes={url=/services/data/v62.0/sobjects/Account/0014X00002aUkrRQAS, type=Account}, PS_Sub_Region__c=ME CB MFG, Name=Sumitomo Pharma America, Inc., Industry=Healthcare Manufacturing, PS_Region_New__c=US Medium Enterprise DI}</t>
  </si>
  <si>
    <t>0014X00002iIAqmQAG</t>
  </si>
  <si>
    <t>Solution Architects Group, LLC</t>
  </si>
  <si>
    <t>Customer has transitioned ove to AMS support at this time and Phase 1 has been completed.</t>
  </si>
  <si>
    <t>SIT testing initiated 8/25. Client has decided to extend project go-live date to 11/2 to allow additional time for testing.</t>
  </si>
  <si>
    <t>a0rVT00000j6Cj6YAE</t>
  </si>
  <si>
    <t>{PS_Region_New__c=US Medium Enterprise DI, Name=Sumitomo Pharma America, Inc., SubRegion__c=US DI ME CB MFG North, PS_Sub_Region__c=ME CB MFG, attributes={url=/services/data/v62.0/sobjects/Account/0014X00002aUkrRQAS, type=Account}, Industry=Healthcare Manufacturing}</t>
  </si>
  <si>
    <t>12/22: Project delivery + hypercare complete.</t>
  </si>
  <si>
    <t>a0rVT00001BQ8fpYAD</t>
  </si>
  <si>
    <t>Spectron Services Limited</t>
  </si>
  <si>
    <t>UKI FSI ME NN</t>
  </si>
  <si>
    <t>{PS_Sub_Region__c=ME CB MFG, SubRegion__c=US DI ME CB MFG North, attributes={type=Account, url=/services/data/v62.0/sobjects/Account/0014X00002aUkrRQAS}, Industry=Healthcare Manufacturing, PS_Region_New__c=US Medium Enterprise DI, Name=Sumitomo Pharma America, Inc.}</t>
  </si>
  <si>
    <t>Stagecoach Services Ltd.</t>
  </si>
  <si>
    <t>UKI RHT LE CB</t>
  </si>
  <si>
    <t>3 Jul - approaching end of Design phase
20 Jul - we are now in Build phase
5 Aug - Build stage conclusion being delayed as data due from customer</t>
  </si>
  <si>
    <t>a0rVT00000iSABUYA4</t>
  </si>
  <si>
    <t>Standard Chartered Bank</t>
  </si>
  <si>
    <t>ANZ AU LE NN</t>
  </si>
  <si>
    <t>0013000000Hof9TAAR</t>
  </si>
  <si>
    <t>{attributes={url=/services/data/v62.0/sobjects/Account/0013000000Hof9TAAR, type=Account}, PS_Sub_Region__c=Diversified Industries LE CB TM &amp; PS, SubRegion__c=US DI LE CB TM &amp; PS Northeast, Name=OGI Shared Service Center – Advertising, LLC, PS_Region_New__c=US Large Enterprise DI &amp; Mexico, Industry=Professional Services}</t>
  </si>
  <si>
    <t>10/20:  SCB to confirm design requirements for amendments to be added to WF1. SCB need to review design proposals for WF2 and 3 and confirm they approve the re-design. Weekly meeting to be held on 10/23 to get SCB feedback / approval on WF1-3.</t>
  </si>
  <si>
    <t>a0rVT00000yuVRbYAM</t>
  </si>
  <si>
    <t>Standard Chartered PLC</t>
  </si>
  <si>
    <t>07/20:  SCB live with Ariba integration and Custom AI. One remaining issue on Standard AI Product question to be addressed with Workday's Product team</t>
  </si>
  <si>
    <t>a0rVT00000lFdUMYA0</t>
  </si>
  <si>
    <t>{attributes={url=/services/data/v62.0/sobjects/Contact/0034X00002vn9k1QAA, type=Contact}, Full_Name__c=Brianna Robak}</t>
  </si>
  <si>
    <t>sfdcRows:SLG:chunk:1</t>
  </si>
  <si>
    <t>9.28.26: Phase 2 &amp; 3 (EMEA &amp; APAC Expansion): Design validation sessions are complete. Ready to begin modifying Paradox platform and integrations.
Phase 1 (US Go-Live): Successfully launched Paradox US on Aug 10.</t>
  </si>
  <si>
    <t>Activated 3343367</t>
  </si>
  <si>
    <t>Starr Restaurant Organization, LP.</t>
  </si>
  <si>
    <t>0018000000OzPyGAAV</t>
  </si>
  <si>
    <t>{PS_Sub_Region__c=ME CB TM &amp; RHT, attributes={url=/services/data/v62.0/sobjects/Account/0018000000OzPyGAAV, type=Account}, Industry=Restaurant &amp; Food Service, PS_Region_New__c=US Medium Enterprise DI, Name=Dine Brands Global, Inc., SubRegion__c=US DI ME CB RHT West}</t>
  </si>
  <si>
    <t>US DI LE CB RHT Northeast</t>
  </si>
  <si>
    <t>8/11: Customer shared that they may need to delay the project start. The Account Team is working with the customer to better understand their position and next steps.</t>
  </si>
  <si>
    <t>a0rVT00001AVl4WYAT</t>
  </si>
  <si>
    <t>{Full_Name__c=Katie Nehrenz, attributes={url=/services/data/v62.0/sobjects/Contact/003VT00000fc4sfYAA, type=Contact}}</t>
  </si>
  <si>
    <t>State Street Corporation</t>
  </si>
  <si>
    <t>9/15/26 - currently in E2E testing which ends 9/18. Chance testing will be delayed.  UAT is currently scheduled to start 9/21. Note: Customer has mentioned deploying to a pilot group and not enterprise wide.</t>
  </si>
  <si>
    <t>a0pVT00000C5P3hYAF</t>
  </si>
  <si>
    <t>00180000010yfsJAAQ</t>
  </si>
  <si>
    <t>{SubRegion__c=UKI TM CB, Name=Power Leisure Bookmakers Limited, PS_Sub_Region__c=UKI TME, Industry=Media &amp; Entertainment, attributes={url=/services/data/v62.0/sobjects/Account/00180000010yfsJAAQ, type=Account}, PS_Region_New__c=UKI}</t>
  </si>
  <si>
    <t>Stevens Transport, Inc.</t>
  </si>
  <si>
    <t>{attributes={type=Contact, url=/services/data/v62.0/sobjects/Contact/0034X00003T2sCmQAJ}, Full_Name__c=Felix Cordero}</t>
  </si>
  <si>
    <t>Design sessions underway 
Discovery sessions to started
Customer working on the Prep Workbook</t>
  </si>
  <si>
    <t>0011B00002GOCXVQA5</t>
  </si>
  <si>
    <t>Project running behind but 9/7 go-live remains goal.  Realigned on the plan.  Testing begins today.   Client has not sync'd documents</t>
  </si>
  <si>
    <t>a0rVT000012VDlhYAG</t>
  </si>
  <si>
    <t>STV Incorporated</t>
  </si>
  <si>
    <t>0018000000uCcpRAAS</t>
  </si>
  <si>
    <t>{SubRegion__c=US DI LE CB MFG Southeast, Industry=Consumer Goods, attributes={url=/services/data/v62.0/sobjects/Account/0018000000uCcpRAAS, type=Account}, PS_Sub_Region__c=Diversified Industries LE CB MFG, Name=FreedomRoads, LLC, PS_Region_New__c=US Large Enterprise DI &amp; Mexico}</t>
  </si>
  <si>
    <t>Dawn Espinal</t>
  </si>
  <si>
    <t>{Full_Name__c=Samantha Kowalski, attributes={url=/services/data/v62.0/sobjects/Contact/0031B00002mO8bwQAC, type=Contact}}</t>
  </si>
  <si>
    <t>Career Site
• Design: pending sign off 8/11 - completed!
• Build: WD Building Career Site - completed!
• Testing: in progress
Apply &amp; Schedule
• Design: signed off
• Build: in progress</t>
  </si>
  <si>
    <t>Sumitomo Pharma America, Inc.</t>
  </si>
  <si>
    <t>{PS_Sub_Region__c=Diversified Industries LE CB MFG, SubRegion__c=US DI LE CB MFG Southeast, Industry=Consumer Goods, PS_Region_New__c=US Large Enterprise DI &amp; Mexico, Name=FreedomRoads, LLC, attributes={type=Account, url=/services/data/v62.0/sobjects/Account/0018000000uCcpRAAS}}</t>
  </si>
  <si>
    <t>{Full_Name__c=Samantha Kowalski, attributes={type=Contact, url=/services/data/v62.0/sobjects/Contact/0031B00002mO8bwQAC}}</t>
  </si>
  <si>
    <t>SIT testing in progress and client KT in progress.</t>
  </si>
  <si>
    <t>a0rVT00000mMx7wYAC</t>
  </si>
  <si>
    <t>0018000000aIdOCAA0</t>
  </si>
  <si>
    <t>{attributes={url=/services/data/v62.0/sobjects/Account/0018000000aIdOCAA0, type=Account}, PS_Region_New__c=US Large Enterprise DI &amp; Mexico, PS_Sub_Region__c=Diversified Industries LE CB RHT, Name=MV Transportation, Inc., SubRegion__c=US DI LE CB RHT South, Industry=Transit Systems}</t>
  </si>
  <si>
    <t>{attributes={url=/services/data/v62.0/sobjects/Contact/0034X000039nd1IQAQ, type=Contact}, Full_Name__c=Teresa Jenkins}</t>
  </si>
  <si>
    <t>9.22.26: customer continues to test</t>
  </si>
  <si>
    <t>Went live on Jan 29th, 2026</t>
  </si>
  <si>
    <t>a0rVT000015Y661YAC</t>
  </si>
  <si>
    <t>Sunrise Community Services Inc</t>
  </si>
  <si>
    <t>{PS_Sub_Region__c=Diversified Industries LE CB RHT, SubRegion__c=US DI LE CB RHT South, attributes={url=/services/data/v62.0/sobjects/Account/0018000000aIdOCAA0, type=Account}, Name=MV Transportation, Inc., PS_Region_New__c=US Large Enterprise DI &amp; Mexico, Industry=Transit Systems}</t>
  </si>
  <si>
    <t>{Full_Name__c=Teresa Jenkins, attributes={url=/services/data/v62.0/sobjects/Contact/0034X000039nd1IQAQ, type=Contact}}</t>
  </si>
  <si>
    <t>a0rVT00000ychWWYAY</t>
  </si>
  <si>
    <t>Subsequent-Adhoc-Other : Evisort</t>
  </si>
  <si>
    <t>Sunshine Bouquet Company</t>
  </si>
  <si>
    <t>{Name=MV Transportation, Inc., PS_Sub_Region__c=Diversified Industries LE CB RHT, attributes={url=/services/data/v62.0/sobjects/Account/0018000000aIdOCAA0, type=Account}, SubRegion__c=US DI LE CB RHT South, Industry=Transit Systems, PS_Region_New__c=US Large Enterprise DI &amp; Mexico}</t>
  </si>
  <si>
    <t>Project Complete</t>
  </si>
  <si>
    <t>a0r4X00000ETVpKQAX</t>
  </si>
  <si>
    <t>Surescripts, LLC</t>
  </si>
  <si>
    <t>0013000000LRveQAAT</t>
  </si>
  <si>
    <t>{Name=Ally Financial Inc., attributes={url=/services/data/v62.0/sobjects/Account/0013000000LRveQAAT, type=Account}, PS_Sub_Region__c=FSI LE, SubRegion__c=US FSI LE East, PS_Region_New__c=US FSI, Industry=Banking &amp; Capital Markets}</t>
  </si>
  <si>
    <t>Tenant Request Case #2583677
Deployment Start Date: October 6, 2024
Deployment Target Go live Date: January 3, 2025
Products you are deploying: HiredScore AI for Recruiting
Employee count per country: United States 500
Source Tenant: Production</t>
  </si>
  <si>
    <t>{attributes={url=/services/data/v62.0/sobjects/Contact/0034X00003T32EBQAZ, type=Contact}, Full_Name__c=Sean Hohan}</t>
  </si>
  <si>
    <t>a0rVT00000PrL4xYAF</t>
  </si>
  <si>
    <t>Swinerton, Inc.</t>
  </si>
  <si>
    <t>Standard PPS - No major issues or concerns - Team addressing small things as they arise - Working with customer to determine how to proceed w/ Conversational Apply - EM providing customer w/ resources to get solution approved by Ally AI governance team</t>
  </si>
  <si>
    <t>0013000000KdYPyAAN</t>
  </si>
  <si>
    <t>{Industry=Chemicals, SubRegion__c=US DI LE CB MFG Southeast, attributes={url=/services/data/v62.0/sobjects/Account/0013000000KdYPyAAN, type=Account}, PS_Sub_Region__c=Diversified Industries LE CB MFG, Name=International Flavors &amp; Fragrances, Inc., PS_Region_New__c=US Large Enterprise DI &amp; Mexico}</t>
  </si>
  <si>
    <t>client is going live 7/7/25</t>
  </si>
  <si>
    <t>a0rVT00000u1DO0YAM</t>
  </si>
  <si>
    <t>sfdcRows:SLG:chunk:2</t>
  </si>
  <si>
    <t>E2E testing under way, some issues and defects raised to the product team,
E2E testing started</t>
  </si>
  <si>
    <t>Project status is Green at Week 8/6 (Hypercare). There are no open topics. Current focus is on monitoring for client-identified defects. Final steps involve a status check with the client to confirm stability and conclude the Hypercare phase.</t>
  </si>
  <si>
    <t>{PS_Sub_Region__c=Diversified Industries LE CB MFG, Industry=Chemicals, attributes={url=/services/data/v62.0/sobjects/Account/0013000000KdYPyAAN, type=Account}, PS_Region_New__c=US Large Enterprise DI &amp; Mexico, Name=International Flavors &amp; Fragrances, Inc., SubRegion__c=US DI LE CB MFG Southeast}</t>
  </si>
  <si>
    <t>Symrise AG</t>
  </si>
  <si>
    <t>{Full_Name__c=Felix Cordero, attributes={type=Contact, url=/services/data/v62.0/sobjects/Contact/0034X00003T2sCmQAJ}}</t>
  </si>
  <si>
    <t>SIT in progress. Troubleshooting Enhanced Connector with Implementation Partner</t>
  </si>
  <si>
    <t>{Name=International Flavors &amp; Fragrances, Inc., attributes={type=Account, url=/services/data/v62.0/sobjects/Account/0013000000KdYPyAAN}, PS_Region_New__c=US Large Enterprise DI &amp; Mexico, SubRegion__c=US DI LE CB MFG Southeast, PS_Sub_Region__c=Diversified Industries LE CB MFG, Industry=Chemicals}</t>
  </si>
  <si>
    <t>a0rVT0000191YpzYAE</t>
  </si>
  <si>
    <t>Sysco Corporation</t>
  </si>
  <si>
    <t>Scorecard request: 3352153</t>
  </si>
  <si>
    <t>0014X00002iHStpQAG</t>
  </si>
  <si>
    <t>System Administrative Services, LLC</t>
  </si>
  <si>
    <t>{Industry=Software &amp; Platforms, PS_Sub_Region__c=Canada ME East, attributes={url=/services/data/v62.0/sobjects/Account/0014X00002iHStpQAG, type=Account}, Name=Plusgrade Inc., SubRegion__c=Canada ME East, PS_Region_New__c=Canada}</t>
  </si>
  <si>
    <t>{Full_Name__c=Manuel Vega, attributes={type=Contact, url=/services/data/v62.0/sobjects/Contact/003VT00000XOr8DYAT}}</t>
  </si>
  <si>
    <t>09/28 Working 3rd Design session complete on 09/25. Also working on 10DLC set up . Updating MTD  and Closing date.</t>
  </si>
  <si>
    <t>BAA &amp; Physician WF are currently under testing
CI folder, permissions and documents CHSGa working on final details to be confirmed on week of 8/4</t>
  </si>
  <si>
    <t>a0rVT00000qIN6fYAG</t>
  </si>
  <si>
    <t>T-Mobile USA, Inc.</t>
  </si>
  <si>
    <t>0013000000IJ4GoAAL</t>
  </si>
  <si>
    <t>{PS_Region_New__c=US Large Enterprise DI &amp; Mexico, SubRegion__c=US DI LE CB RHT West, Name=Columbia Sportswear Company, Industry=Softlines, attributes={type=Account, url=/services/data/v62.0/sobjects/Account/0013000000IJ4GoAAL}, PS_Sub_Region__c=Diversified Industries LE CB RHT}</t>
  </si>
  <si>
    <t>{attributes={url=/services/data/v62.0/sobjects/Contact/0031B00002mO8bwQAC, type=Contact}, Full_Name__c=Samantha Kowalski}</t>
  </si>
  <si>
    <t>Cutover Plan - Complete.
Customer Live 9/14
PPS</t>
  </si>
  <si>
    <t>This week hyper care ends - final adjustments - impacted worker, relocation filter.
Adding India to scope on Jan 2027 - new SOW is needed.
A few grading questions.</t>
  </si>
  <si>
    <t>T. Rowe Price Associates, Inc.</t>
  </si>
  <si>
    <t>0018000001DwG8MAAV</t>
  </si>
  <si>
    <t>{PS_Region_New__c=ANZ, Industry=Post Acute, attributes={type=Account, url=/services/data/v62.0/sobjects/Account/0018000001DwG8MAAV}, PS_Sub_Region__c=ANZ AU LE, Name=Anglicare Sydney, SubRegion__c=ANZ AU LE CB}</t>
  </si>
  <si>
    <t>{Full_Name__c=Uday Harshadrai Vora, attributes={type=Contact, url=/services/data/v62.0/sobjects/Contact/003VT00000YemLmYAJ}}</t>
  </si>
  <si>
    <t>08/10 4 out 10 Custom AI models built and tested by the client.</t>
  </si>
  <si>
    <t>Anglicare Sydney is live effective 17th Aug. Currently they are in hypercare mode which will get completed on 9th October 2026. Post which we will close this project. There are teething issues which are getting resolved.</t>
  </si>
  <si>
    <t>a0rVT00000fdO1JYAU</t>
  </si>
  <si>
    <t>Takeda Pharmaceuticals USA, Inc.</t>
  </si>
  <si>
    <t>0018000000qYotWAAS</t>
  </si>
  <si>
    <t>{Industry=Software &amp; Platforms, SubRegion__c=Netherlands LE CB, attributes={type=Account, url=/services/data/v62.0/sobjects/Account/0018000000qYotWAAS}, PS_Region_New__c=EMEA North, PS_Sub_Region__c=Netherlands, Name=Booking.com B.V.}</t>
  </si>
  <si>
    <t>{attributes={url=/services/data/v62.0/sobjects/Contact/0038000002Dt2uuAAB, type=Contact}, Full_Name__c=Pendra Benjafield}</t>
  </si>
  <si>
    <t>This client project was delivered successfully, and I am now updating it here.</t>
  </si>
  <si>
    <t>a0rVT00000nzoLSYAY</t>
  </si>
  <si>
    <t>{PS_Region_New__c=EMEA North, attributes={url=/services/data/v62.0/sobjects/Account/0018000000qYotWAAS, type=Account}, SubRegion__c=Netherlands LE CB, Name=Booking.com B.V., Industry=Software &amp; Platforms, PS_Sub_Region__c=Netherlands}</t>
  </si>
  <si>
    <t>awaiting SO on pre-prod testing, client has been OOO</t>
  </si>
  <si>
    <t>a0rVT00001BSON7YAP</t>
  </si>
  <si>
    <t>TAL Services Limited (ABN 60 076 105 130)</t>
  </si>
  <si>
    <t>{Industry=Software &amp; Platforms, Name=Booking.com B.V., PS_Region_New__c=EMEA North, attributes={type=Account, url=/services/data/v62.0/sobjects/Account/0018000000qYotWAAS}, PS_Sub_Region__c=Netherlands, SubRegion__c=Netherlands LE CB}</t>
  </si>
  <si>
    <t>TBM Carriers, Inc.</t>
  </si>
  <si>
    <t>sfdcRows:SLG:chunk:3</t>
  </si>
  <si>
    <t>a0rVT00000ZkCWgYAN</t>
  </si>
  <si>
    <t>0018000000ULAxoAAH</t>
  </si>
  <si>
    <t>{PS_Region_New__c=UKI, attributes={url=/services/data/v62.0/sobjects/Account/0018000000ULAxoAAH, type=Account}, Name=Ultra Electronics Limited, PS_Sub_Region__c=UKI TME, SubRegion__c=UKI MFG CB, Industry=High Technology}</t>
  </si>
  <si>
    <t>TCS Education System</t>
  </si>
  <si>
    <t>{attributes={type=Contact, url=/services/data/v62.0/sobjects/Contact/003VT00000H0DGRYA3}, Full_Name__c=Brooke Knight}</t>
  </si>
  <si>
    <t>bk 9/25/26-live!</t>
  </si>
  <si>
    <t>0018000000tVf1PAAS</t>
  </si>
  <si>
    <t>{PS_Sub_Region__c=France, SubRegion__c=France Services Tech Media LE, Industry=Professional Services, Name=Havas, PS_Region_New__c=EMEA South, attributes={type=Account, url=/services/data/v62.0/sobjects/Account/0018000000tVf1PAAS}}</t>
  </si>
  <si>
    <t>07-11-2025 - Client is live and now in final week of Hypercare. Client mentioned a possibility of doing a phase 2 on internal mobility in the future.</t>
  </si>
  <si>
    <t>{attributes={type=Contact, url=/services/data/v62.0/sobjects/Contact/003VT00000kOt2UYAS}, Full_Name__c=Tim Le Maire}</t>
  </si>
  <si>
    <t>a0rVT00000g19R1YAI</t>
  </si>
  <si>
    <t>24 Sept - Design phase concluding. Go-Live date likely to be delayed now till mid Jan due to historical project issues and timing of Christmas.</t>
  </si>
  <si>
    <t>Teachers Insurance and Annuity Association of America</t>
  </si>
  <si>
    <t>0018000000njX5EAAU</t>
  </si>
  <si>
    <t>{PS_Region_New__c=US SLED, SubRegion__c=US Higher Ed LE East, attributes={type=Account, url=/services/data/v62.0/sobjects/Account/0018000000njX5EAAU}, Industry=Higher Education, PS_Sub_Region__c=Higher Education LE, Name=University of Maryland Global Campus}</t>
  </si>
  <si>
    <t>6/22) Sent email to customer on 6/4 to schedule call. There has been no response. Planning to follow-up again today.</t>
  </si>
  <si>
    <t>Date: Jan 26, 2026
Overall Project Status: Testing
Week: 27 out of 26 + 6
Current Status:
*Prod Finalization
Open Topics:
* Default OptOut Re-adapt
* HMTAC + ECG Golive preprations
Next Steps:
* Go-Live
Slack Channel</t>
  </si>
  <si>
    <t>0014X00002IwvhIQAR</t>
  </si>
  <si>
    <t>Subsequent- Ad Hoc-Other- Evisort Only</t>
  </si>
  <si>
    <t>{SubRegion__c=ANZ AU LE CB, PS_Sub_Region__c=ANZ AU LE, attributes={type=Account, url=/services/data/v62.0/sobjects/Account/0014X00002IwvhIQAR}, Industry=Restaurant &amp; Food Service, Name=Guzman y Gomez Franchising Pty Ltd, PS_Region_New__c=ANZ}</t>
  </si>
  <si>
    <t>Team TAG Services, LLC</t>
  </si>
  <si>
    <t>{attributes={type=Contact, url=/services/data/v62.0/sobjects/Contact/003VT00000fcEf6YAE}, Full_Name__c=Nichole Maher}</t>
  </si>
  <si>
    <t>8/17 - deploy is schedule for 9/1</t>
  </si>
  <si>
    <t>0011B00002IvWDqQAN</t>
  </si>
  <si>
    <t>{PS_Region_New__c=US Medium Enterprise DI, Industry=Software &amp; Platforms, attributes={url=/services/data/v62.0/sobjects/Account/0011B00002IvWDqQAN, type=Account}, PS_Sub_Region__c=ME CB TM &amp; RHT, Name=A-LIGN Compliance and Security, Inc., SubRegion__c=US DI ME CB TM Southeast}</t>
  </si>
  <si>
    <t>Technology Services Group LLC</t>
  </si>
  <si>
    <t>{Full_Name__c=Abi Rose, attributes={type=Contact, url=/services/data/v62.0/sobjects/Contact/003VT00000eMCwMYAW}}</t>
  </si>
  <si>
    <t>9/28: Week 4 of plan &amp; prep complete. Project on pause (as scheduled) for three weeks due to upcoming go-live (10/5), design phase will begin 10/12</t>
  </si>
  <si>
    <t>Jeffery Brown</t>
  </si>
  <si>
    <t>{PS_Sub_Region__c=ME CB TM &amp; RHT, SubRegion__c=US DI ME CB TM Southeast, Industry=Software &amp; Platforms, Name=A-LIGN Compliance and Security, Inc., PS_Region_New__c=US Medium Enterprise DI, attributes={url=/services/data/v62.0/sobjects/Account/0011B00002IvWDqQAN, type=Account}}</t>
  </si>
  <si>
    <t>First Discovery session completed 4/27
Design Sessions scheduled for three Brookfield entities: BAM, Brookfield Properties, and Clearbrook</t>
  </si>
  <si>
    <t>a0rVT0000151d7CYAQ</t>
  </si>
  <si>
    <t>{Full_Name__c=Abi Rose, attributes={url=/services/data/v62.0/sobjects/Contact/003VT00000eMCwMYAW, type=Contact}}</t>
  </si>
  <si>
    <t>{Industry=Software &amp; Platforms, Name=A-LIGN Compliance and Security, Inc., PS_Region_New__c=US Medium Enterprise DI, SubRegion__c=US DI ME CB TM Southeast, attributes={type=Account, url=/services/data/v62.0/sobjects/Account/0011B00002IvWDqQAN}, PS_Sub_Region__c=ME CB TM &amp; RHT}</t>
  </si>
  <si>
    <t>As of 07/08/26: Finalized Spotlight &amp; HM TA decisions plus data mapping. HS investigating Spotlight requisition exclusions. Tech call Mon, catch-up Thu, AI session Aug 20. Pending client HM TA verbiage, job-level mapping, custom fields &amp; test reqs.</t>
  </si>
  <si>
    <t>Telstra Limited</t>
  </si>
  <si>
    <t>UAT started for Spotlight and HM dashboard. 
MS Teams - pending client confirmation
Waiting for client feedback: Splunk, data filtering, Israel access to prod. 
Product legal questions were raised to the relevant team.</t>
  </si>
  <si>
    <t>a0rVT00000n7kQ7YAI</t>
  </si>
  <si>
    <t>Terraformation</t>
  </si>
  <si>
    <t>US DI Commercial NN Southwest</t>
  </si>
  <si>
    <t>a0rVT00000pfFRLYA2</t>
  </si>
  <si>
    <t>Texas State Technical College</t>
  </si>
  <si>
    <t>5/5 - Project completion</t>
  </si>
  <si>
    <t>0018000001EjEKJAA3</t>
  </si>
  <si>
    <t>The Capital Group Companies, Inc.</t>
  </si>
  <si>
    <t>{Industry=Software &amp; Platforms, PS_Region_New__c=US Medium Enterprise DI, SubRegion__c=US DI ME CB TM Southwest, PS_Sub_Region__c=ME CB TM &amp; RHT, Name=Alteryx, Inc., attributes={url=/services/data/v62.0/sobjects/Account/0018000001EjEKJAA3, type=Account}}</t>
  </si>
  <si>
    <t>Design Sessions in progress 
Customer working on Pre Workbook completion</t>
  </si>
  <si>
    <t>a0rVT00000uZTgPYAW</t>
  </si>
  <si>
    <t>{attributes={type=Contact, url=/services/data/v62.0/sobjects/Contact/00380000024qaNvAAI}, Full_Name__c=Doris Pulsifer}</t>
  </si>
  <si>
    <t>The Chartis Group, LLC.</t>
  </si>
  <si>
    <t>09/29/2026; In end to end testing. The go live date is moved ahead by 2 weeks</t>
  </si>
  <si>
    <t>sfdcRows:SLG:chunk:4</t>
  </si>
  <si>
    <t>Chartis is currently live with both CLM and CI.</t>
  </si>
  <si>
    <t>{PS_Region_New__c=US Medium Enterprise DI, SubRegion__c=US DI ME CB TM Southwest, Name=Alteryx, Inc., Industry=Software &amp; Platforms, PS_Sub_Region__c=ME CB TM &amp; RHT, attributes={type=Account, url=/services/data/v62.0/sobjects/Account/0018000001EjEKJAA3}}</t>
  </si>
  <si>
    <t>The Children's Hospital of Philadelphia</t>
  </si>
  <si>
    <t>KJY 7/28: testing to begin this week. GO live by 9/28.</t>
  </si>
  <si>
    <t>The E.W. Scripps Company</t>
  </si>
  <si>
    <t>0018000000ORDklAAH</t>
  </si>
  <si>
    <t>{PS_Region_New__c=US Large Enterprise DI &amp; Mexico, PS_Sub_Region__c=Diversified Industries LE CB MFG, Name=Bridgestone Americas, Inc., attributes={type=Account, url=/services/data/v62.0/sobjects/Account/0018000000ORDklAAH}, Industry=Auto Manufacturing, SubRegion__c=US DI Key Accounts MFG}</t>
  </si>
  <si>
    <t>CM 8/3 Build phase in progress.</t>
  </si>
  <si>
    <t>Subsequent-Ad Hoc-Other: Evisort CLM</t>
  </si>
  <si>
    <t>The Ford Foundation</t>
  </si>
  <si>
    <t>We are in test stage</t>
  </si>
  <si>
    <t>a0rVT000011hG0SYAU</t>
  </si>
  <si>
    <t>The Goldman Sachs Group, Inc.</t>
  </si>
  <si>
    <t>{Name=Bridgestone Americas, Inc., PS_Region_New__c=US Large Enterprise DI &amp; Mexico, SubRegion__c=US DI Key Accounts MFG, attributes={type=Account, url=/services/data/v62.0/sobjects/Account/0018000000ORDklAAH}, Industry=Auto Manufacturing, PS_Sub_Region__c=Diversified Industries LE CB MFG}</t>
  </si>
  <si>
    <t>26-Jun-2026 - Fetch is live. The client is going through an internal governance approval process. While that is underway, Fetch visibility is limited to a small number of users. Once approval is received, client will raise support ticket to enable for all</t>
  </si>
  <si>
    <t>a0rVT00000qRE2fYAG</t>
  </si>
  <si>
    <t>{attributes={type=Contact, url=/services/data/v62.0/sobjects/Contact/0034X00003T11MqQAJ}, Full_Name__c=Andres Baudrit}</t>
  </si>
  <si>
    <t>The Guardian Life Insurance Company of America</t>
  </si>
  <si>
    <t>Client going live on June 8th</t>
  </si>
  <si>
    <t>{Name=Bridgestone Americas, Inc., PS_Sub_Region__c=Diversified Industries LE CB MFG, attributes={url=/services/data/v62.0/sobjects/Account/0018000000ORDklAAH, type=Account}, SubRegion__c=US DI Key Accounts MFG, Industry=Auto Manufacturing, PS_Region_New__c=US Large Enterprise DI &amp; Mexico}</t>
  </si>
  <si>
    <t>a0rVT00001AKD2rYAH</t>
  </si>
  <si>
    <t>Specialized-Initial Deployment-HiredScore</t>
  </si>
  <si>
    <t>The Heico Companies, LLC</t>
  </si>
  <si>
    <t>sfdcRows:SLG:chunk:5</t>
  </si>
  <si>
    <t>The Huntington National Bank</t>
  </si>
  <si>
    <t>0018000001MrhhEAAR</t>
  </si>
  <si>
    <t>{Industry=Consumer Goods, PS_Sub_Region__c=ME CB MFG, Name=Andrews Distributing, LLC, attributes={url=/services/data/v62.0/sobjects/Account/0018000001MrhhEAAR, type=Account}, SubRegion__c=US DI ME CB MFG South, PS_Region_New__c=US Medium Enterprise DI}</t>
  </si>
  <si>
    <t>Aug 14th: Production validation in progress. Preparing for Aug 27th go-live</t>
  </si>
  <si>
    <t>{attributes={url=/services/data/v62.0/sobjects/Contact/0034X000038fn4vQAA, type=Contact}, Full_Name__c=Mireysa Gonzalez}</t>
  </si>
  <si>
    <t>Subsequent-Adhoc-Evisort (Add On)</t>
  </si>
  <si>
    <t>The Lawrence Memorial Hospital dba LMH Health, a charitable trust and instrumentality of the City of Lawrence, KS, pursuant to K.S.A. § 12-1615</t>
  </si>
  <si>
    <t>0014X00002KhJBaQAN</t>
  </si>
  <si>
    <t>{Industry=Professional Services, SubRegion__c=US DI ME CB PBS Northeast, PS_Sub_Region__c=ME CB PBS, attributes={url=/services/data/v62.0/sobjects/Account/0014X00002KhJBaQAN, type=Account}, Name=Avaap, PS_Region_New__c=US Medium Enterprise DI}</t>
  </si>
  <si>
    <t>06.22: Currently working on the Build and the workflow with the customer. 
•	We are waiting for the customer feedback on the “Contractor Services Workflow”
•	Customer is working on the readiness for the AI Models</t>
  </si>
  <si>
    <t>a0rVT00000sKKpvYAG</t>
  </si>
  <si>
    <t>Subsequent - Adhoc - Evisort</t>
  </si>
  <si>
    <t>The Masonic Villages of the Grand Lodge of Pennsylvania</t>
  </si>
  <si>
    <t>9/28: Wrapping up design and preparing to obtain design signoff.  Build is scheduled to begin week of 9/28 with a duration of 3 weeks.</t>
  </si>
  <si>
    <t>0013000000J361bAAB</t>
  </si>
  <si>
    <t>{Industry=Healthcare Manufacturing, SubRegion__c=US DI LE CB MFG Southeast, PS_Sub_Region__c=Diversified Industries LE CB MFG, attributes={url=/services/data/v62.0/sobjects/Account/0013000000J361bAAB, type=Account}, PS_Region_New__c=US Large Enterprise DI &amp; Mexico, Name=Avantor Funding, Inc.}</t>
  </si>
  <si>
    <t>04/10: Key Highlights:
Project MTP last week
PPS completed
Next steps:
None</t>
  </si>
  <si>
    <t>a0rVT00000drG0EYAU</t>
  </si>
  <si>
    <t>The Methodist Hospital System d/b/a Houston Methodist</t>
  </si>
  <si>
    <t>{Full_Name__c=Doris Pulsifer, attributes={url=/services/data/v62.0/sobjects/Contact/00380000024qaNvAAI, type=Contact}}</t>
  </si>
  <si>
    <t>09/29/2026: Prod cutover in progress</t>
  </si>
  <si>
    <t>{Name=Avantor Funding, Inc., Industry=Healthcare Manufacturing, PS_Sub_Region__c=Diversified Industries LE CB MFG, SubRegion__c=US DI LE CB MFG Southeast, PS_Region_New__c=US Large Enterprise DI &amp; Mexico, attributes={url=/services/data/v62.0/sobjects/Account/0013000000J361bAAB, type=Account}}</t>
  </si>
  <si>
    <t>On Track.
UAT Complete on Staging
Workday Production Tenent to be ready by Dec 25
HiredScore Production deployment to take place Dec 25 - Jan 2
Go Live plan - Jan 5</t>
  </si>
  <si>
    <t>Subsequent - Adhoc - Evisort/CLM</t>
  </si>
  <si>
    <t>The Ohio State University</t>
  </si>
  <si>
    <t>Londa Caine</t>
  </si>
  <si>
    <t>0018000001ZHNSVAA5</t>
  </si>
  <si>
    <t>8/1726:  Configuration of the integration is substantially complete and issues resolved. The team is focused on defining CLM workflows. Still on track for October go-live.</t>
  </si>
  <si>
    <t>{attributes={url=/services/data/v62.0/sobjects/Account/0018000001ZHNSVAA5, type=Account}, Name=JD.com, Inc., SubRegion__c=Hong Kong CB, PS_Sub_Region__c=Hong Kong LE &amp; CB, Industry=Softlines, PS_Region_New__c=HK &amp; TW}</t>
  </si>
  <si>
    <t>The Peterson Companies, L.C.</t>
  </si>
  <si>
    <t>US DI Commercial NN Mid-Atlantic</t>
  </si>
  <si>
    <t>{Full_Name__c=Uday Harshadrai Vora, attributes={url=/services/data/v62.0/sobjects/Contact/003VT00000YemLmYAJ, type=Contact}}</t>
  </si>
  <si>
    <t>Phase 2 of the project is initiated with planned go live in November 2026. Currently SIT is in progress. After 2 weeks, E2E and UET is planned to start. WhatsApp configuration is being worked up on.</t>
  </si>
  <si>
    <t>Significant delays due to late-stage requests exceeding original SOW scope; formal change order being initiated; 2 AI modules pending client requirements and 10 sample documents required before training can commence.</t>
  </si>
  <si>
    <t>0014X00002OvJK7QAN</t>
  </si>
  <si>
    <t>The Professional Golfers' Association of America</t>
  </si>
  <si>
    <t>{Name=JetSuiteX, Inc., PS_Region_New__c=US Medium Enterprise DI, Industry=Travel &amp; Hospitality, SubRegion__c=US DI ME CB RHT West, PS_Sub_Region__c=ME CB TM &amp; RHT, attributes={type=Account, url=/services/data/v62.0/sobjects/Account/0014X00002OvJK7QAN}}</t>
  </si>
  <si>
    <t>{Full_Name__c=Katie Nehrenz, attributes={type=Contact, url=/services/data/v62.0/sobjects/Contact/003VT00000fc4sfYAA}}</t>
  </si>
  <si>
    <t>Aug 14th: Project kick-off held on Aug 12th.</t>
  </si>
  <si>
    <t>Initial Deployment-Launch-LDPCLMB, LDPEXPM, LDPHCM, LDPJRNY-ACT etc.</t>
  </si>
  <si>
    <t>Client is requesting a pause. more info to come later
Build Sessions 8/31-9/18
SIT 9/21-10/2
E2E/UAT Testing 10/5-10/23
Production Migration 10/26-11/6
Go Live 11/9
Hypercare 11/16-12/2</t>
  </si>
  <si>
    <t>The Stonewall Group LLC</t>
  </si>
  <si>
    <t>a0pVT00000Cj2YDYAZ</t>
  </si>
  <si>
    <t>0018000001DwG7xAAF</t>
  </si>
  <si>
    <t>{attributes={url=/services/data/v62.0/sobjects/Account/0018000001DwG7xAAF, type=Account}, Name=Bega Cheese Limited, PS_Sub_Region__c=ANZ AU ME, Industry=Consumer Goods, SubRegion__c=ANZ AU ME CB, PS_Region_New__c=ANZ}</t>
  </si>
  <si>
    <t>001VT00000KDW4zYAH</t>
  </si>
  <si>
    <t>TEG Holdings, Inc. dba The Encompass Group</t>
  </si>
  <si>
    <t>They went live on 7/1 with HCM and we are now working on their Benefits and Payroll Deployment.</t>
  </si>
  <si>
    <t>a0rVT00001920gaYAA</t>
  </si>
  <si>
    <t>The Toronto-Dominion Bank</t>
  </si>
  <si>
    <t>0018000001BNORPAA5</t>
  </si>
  <si>
    <t>KPMG Australia Technology Solutions Pty Ltd</t>
  </si>
  <si>
    <t>30/09: Final week of Paradox build</t>
  </si>
  <si>
    <t>Apply</t>
  </si>
  <si>
    <t>sfdcRows:SLG:chunk:6</t>
  </si>
  <si>
    <t>a0pVT00000CiyBGYAZ</t>
  </si>
  <si>
    <t>Scorecard request: 3352162</t>
  </si>
  <si>
    <t>{Name=Bega Cheese Limited, PS_Sub_Region__c=ANZ AU ME, SubRegion__c=ANZ AU ME CB, PS_Region_New__c=ANZ, Industry=Consumer Goods, attributes={type=Account, url=/services/data/v62.0/sobjects/Account/0018000001DwG7xAAF}}</t>
  </si>
  <si>
    <t>{Full_Name__c=Nichole Maher, attributes={url=/services/data/v62.0/sobjects/Contact/003VT00000fcEf6YAE, type=Contact}}</t>
  </si>
  <si>
    <t>Catherine Dietrich</t>
  </si>
  <si>
    <t>Events</t>
  </si>
  <si>
    <t>Updates in DHP.</t>
  </si>
  <si>
    <t>The Travelers Indemnity Company</t>
  </si>
  <si>
    <t>0013000000IIt1ZAAT</t>
  </si>
  <si>
    <t>{Industry=Restaurant &amp; Food Service, attributes={type=Account, url=/services/data/v62.0/sobjects/Account/0013000000IIt1ZAAT}, PS_Region_New__c=US Large Enterprise DI &amp; Mexico, SubRegion__c=US DI LE CB RHT South, PS_Sub_Region__c=Diversified Industries LE CB RHT, Name=CEC Entertainment Concepts, L.P.}</t>
  </si>
  <si>
    <t>Week: 24 of 23
Current Status: Project on hold due to legal concerns. Updated approach provisionally agreed on 17-Aug
Open Topics:
- Legal Concerns: See DHP 
- Close out testing of Internal Mobility
Next Steps:
- Resolve above issues. Re-plan</t>
  </si>
  <si>
    <t>a0rVT00000sUX5yYAG</t>
  </si>
  <si>
    <t>9/23/2026: Client is going through their initial meetings and design sessions, we have scheduled our sessions over the next five weeks. Workday team is leading the design sessions while Makse will support the build.</t>
  </si>
  <si>
    <t>Subsequent-Phase X: Workday CLM</t>
  </si>
  <si>
    <t>The University of Mississippi Medical Center</t>
  </si>
  <si>
    <t>0018000000tVfViAAK</t>
  </si>
  <si>
    <t>{SubRegion__c=France RHT LE, PS_Region_New__c=EMEA South, Industry=Softlines, Name=Chanel Limited, PS_Sub_Region__c=France, attributes={url=/services/data/v62.0/sobjects/Account/0018000000tVfViAAK, type=Account}}</t>
  </si>
  <si>
    <t>7/31/2026: Project has completed with succesfull CLM and WSS Go-Lives!</t>
  </si>
  <si>
    <t>The Vanguard Group, Inc.</t>
  </si>
  <si>
    <t>24 Sept - go live now targeted for w/c 23 Nov, on track</t>
  </si>
  <si>
    <t>August 16- Testing has begun with the client. There is an open item, as they want to change their set-up for the opt-in option. They have been provided with a Change Order to delay their go-live by one month; however they may want to delay by two months.</t>
  </si>
  <si>
    <t>The Vertex Companies</t>
  </si>
  <si>
    <t>{PS_Region_New__c=US Medium Enterprise DI, attributes={url=/services/data/v62.0/sobjects/Account/0018000001EfgHnAAJ, type=Account}, Industry=Consumer Goods, SubRegion__c=US DI ME CB MFG South, Name=CGB Enterprises, Inc., PS_Sub_Region__c=ME CB MFG}</t>
  </si>
  <si>
    <t>08/17 - we are still experiencing issues with the formatting</t>
  </si>
  <si>
    <t>sfdcRows:SLG:chunk:7</t>
  </si>
  <si>
    <t>a0rVT00000touiTYAQ</t>
  </si>
  <si>
    <t>Specialized-Initial Deployment- Evisort</t>
  </si>
  <si>
    <t>Theoria Management, LLC</t>
  </si>
  <si>
    <t>09/09 Hypercare ending on 9/11
scorecard closed as per case# 3433663</t>
  </si>
  <si>
    <t>US Healthcare ME NN Central</t>
  </si>
  <si>
    <t>0018000000ULAx1AAH</t>
  </si>
  <si>
    <t>{attributes={type=Account, url=/services/data/v62.0/sobjects/Account/0018000000ULAx1AAH}, Name=Skipton Building Society, Industry=Banking &amp; Capital Markets, SubRegion__c=UKI FSI LE CB, PS_Region_New__c=UKI, PS_Sub_Region__c=UKI FSI}</t>
  </si>
  <si>
    <t>5.11: Project is complete.</t>
  </si>
  <si>
    <t>Thomas Jefferson University</t>
  </si>
  <si>
    <t>Hypercare closed. Live</t>
  </si>
  <si>
    <t>Thomson Reuters Holdings Inc.</t>
  </si>
  <si>
    <t>0013000000IIIfiAAH</t>
  </si>
  <si>
    <t>{Name=Levi Strauss &amp; Co., Industry=Softlines, SubRegion__c=US DI LE CB RHT West, PS_Sub_Region__c=Diversified Industries LE CB RHT, attributes={url=/services/data/v62.0/sobjects/Account/0013000000IIIfiAAH, type=Account}, PS_Region_New__c=US Large Enterprise DI &amp; Mexico}</t>
  </si>
  <si>
    <t>Week: 14 of 20
Current Status: Build
Open Topics:
- TR using masked data in preprod, causing SSO &amp; other failures. 
Next Steps:
(1) Agree approach to resolve masked data issue (2) Start UAT (3) Confirm Ref client</t>
  </si>
  <si>
    <t>{Full_Name__c=Taylor Mitchell, attributes={type=Contact, url=/services/data/v62.0/sobjects/Contact/003VT00000fcE3zYAE}}</t>
  </si>
  <si>
    <t>Hypercare</t>
  </si>
  <si>
    <t>Cristhofer Mena</t>
  </si>
  <si>
    <t>7/13: 
Configuration for paradox and the integrations are completed
Testing on progress. To be completed by 07-17</t>
  </si>
  <si>
    <t>a0rVT00000j6kPfYAI</t>
  </si>
  <si>
    <t>Tinuiti Inc.</t>
  </si>
  <si>
    <t>0013000000FGLRQAA5</t>
  </si>
  <si>
    <t>{attributes={url=/services/data/v62.0/sobjects/Account/0013000000FGLRQAA5, type=Account}, SubRegion__c=US DI LE CB TM &amp; PS Northeast, PS_Region_New__c=US Large Enterprise DI &amp; Mexico, Name=Fragomen, Del Rey, Bernsen &amp; Loewy, LLP, PS_Sub_Region__c=Diversified Industries LE CB TM &amp; PS, Industry=Professional Services}</t>
  </si>
  <si>
    <t>Workflows in UAT. Expect UAT to complete very shortly.
Closed per case 3166440</t>
  </si>
  <si>
    <t>{attributes={type=Contact, url=/services/data/v62.0/sobjects/Contact/0038000001NX00ZAAT}, Full_Name__c=Wendi Gibbs}</t>
  </si>
  <si>
    <t>a0rVT00000aqOxfYAE</t>
  </si>
  <si>
    <t>Technical unit testing continues. Preparing to enter SIT.</t>
  </si>
  <si>
    <t>sfdcRows:SLG:chunk:8</t>
  </si>
  <si>
    <t>a0pVT00000C6rQvYAJ</t>
  </si>
  <si>
    <t>Made a mistake and updated the wrong date here. This is still planned for delivery on September 8th.</t>
  </si>
  <si>
    <t>a0rVT000010LuA3YAK</t>
  </si>
  <si>
    <t>Tokio Marine Management (Australasia) Pty. Ltd.</t>
  </si>
  <si>
    <t>0014X00002dTOKLQA4</t>
  </si>
  <si>
    <t>{PS_Sub_Region__c=ME Commercial East, attributes={type=Account, url=/services/data/v62.0/sobjects/Account/0014X00002dTOKLQA4}, SubRegion__c=US DI Commercial CB East, Name=RBW Logistics, PS_Region_New__c=US Medium Enterprise DI, Industry=Land and Rail Transportation and Freight}</t>
  </si>
  <si>
    <t>0018000001bKQNNAA4</t>
  </si>
  <si>
    <t>Future Knowledge Pty Ltd [Australia]</t>
  </si>
  <si>
    <t>July 31st: closing the project, it is in AMS</t>
  </si>
  <si>
    <t>{Full_Name__c=Alexander Schell, attributes={type=Contact, url=/services/data/v62.0/sobjects/Contact/0034X000030R9WaQAK}}</t>
  </si>
  <si>
    <t>TP ICAP Group Services Limited</t>
  </si>
  <si>
    <t>9/15 ICD (Integration Design Doc) in progress</t>
  </si>
  <si>
    <t>The planned go-live date has been passed and the TP ICAP team is expecting the decision from their Risk and Legal team by EOW.
- HS is waiting for a latest update on the Mobley case from our legal team to be shared with the TP ICAP team.</t>
  </si>
  <si>
    <t>a0rVT00000goWMHYA2</t>
  </si>
  <si>
    <t>Trafigura Pte Ltd, Singapore</t>
  </si>
  <si>
    <t>0014X00002KjXj9QAF</t>
  </si>
  <si>
    <t>{Industry=Restaurant &amp; Food Service, Name=Starr Restaurant Organization, LP., SubRegion__c=US DI LE CB RHT Northeast, PS_Sub_Region__c=Diversified Industries LE CB RHT, PS_Region_New__c=US Large Enterprise DI &amp; Mexico, attributes={type=Account, url=/services/data/v62.0/sobjects/Account/0014X00002KjXj9QAF}}</t>
  </si>
  <si>
    <t>"25 Sep: project on track, we completed design call #1, next week HM Hub design call
5Oct: project on track design has been completed
12 Oct: UAT scheduled for 3 Nov until then Build + IAT
4 Nov: UAT has been completed, project on track"</t>
  </si>
  <si>
    <t>{attributes={type=Contact, url=/services/data/v62.0/sobjects/Contact/003VT00000fc4sfYAA}, Full_Name__c=Katie Nehrenz}</t>
  </si>
  <si>
    <t>Transwestern Commercial Services, L.L.C.</t>
  </si>
  <si>
    <t>Thaylor Ibarra</t>
  </si>
  <si>
    <t>Currently in the plan stage. First kick off call is scheduled for August 11th.</t>
  </si>
  <si>
    <t>a0rVT000010EfCTYA0</t>
  </si>
  <si>
    <t>Trend Micro (EMEA) Ltd</t>
  </si>
  <si>
    <t>Taiwan</t>
  </si>
  <si>
    <t>Trimble Inc.</t>
  </si>
  <si>
    <t>a0pVT00000Cwz5pYAB</t>
  </si>
  <si>
    <t>"30/07/2026
Overall Project Status: on track
Current Project Phase: Design
Week: 7 out of 32
Open Topics: NA
Next Steps: stage integration, security approvals</t>
  </si>
  <si>
    <t>0018000001ORvkzAAD</t>
  </si>
  <si>
    <t>a0rVT000012VaQdYAK</t>
  </si>
  <si>
    <t>{Industry=Software &amp; Platforms, PS_Region_New__c=US Medium Enterprise DI, Name=Diligent Corporation, attributes={type=Account, url=/services/data/v62.0/sobjects/Account/0018000001ORvkzAAD}, SubRegion__c=US DI ME CB TM Northeast, PS_Sub_Region__c=ME CB TM &amp; RHT}</t>
  </si>
  <si>
    <t>a0rVT00000XL6kHYAT</t>
  </si>
  <si>
    <t>TRIMEDX Holdings, LLC</t>
  </si>
  <si>
    <t>Scorecard request: 2803383</t>
  </si>
  <si>
    <t>Trinity Health</t>
  </si>
  <si>
    <t>{attributes={url=/services/data/v62.0/sobjects/Contact/003VT00000fc4sgYAA, type=Contact}, Full_Name__c=Kat Evans}</t>
  </si>
  <si>
    <t>1/23: Deployment and hypercare as of 1/23.
1/6: Hypercare started this week; Configs are Prod ready</t>
  </si>
  <si>
    <t>a0rVT00000uajfvYAA</t>
  </si>
  <si>
    <t>Troutman Pepper Locke LLP</t>
  </si>
  <si>
    <t>9/23/2026: Customer is in Discovery &amp; Design stage, led by Paradox Architect Daniel Johnson. Build is starting on 10/7/2026.Everything is going well.</t>
  </si>
  <si>
    <t>a0pVT00000Cwz2bYAB</t>
  </si>
  <si>
    <t>18/05 client has now gone live with AIRC fetch and grading. Because all candidates are opted out by default - I will likely need to run fetch again during hypercare</t>
  </si>
  <si>
    <t>Subsequent-Ad Hoc-Other-HMTA-HiredScore Only</t>
  </si>
  <si>
    <t>{SubRegion__c=US DI ME CB TM Northeast, PS_Sub_Region__c=ME CB TM &amp; RHT, Industry=Software &amp; Platforms, Name=Diligent Corporation, PS_Region_New__c=US Medium Enterprise DI, attributes={url=/services/data/v62.0/sobjects/Account/0018000001ORvkzAAD, type=Account}}</t>
  </si>
  <si>
    <t>17 August: Design sign off complete by Troutman still waiting HMTA integration setup</t>
  </si>
  <si>
    <t>a0rVT000019hzNVYAY</t>
  </si>
  <si>
    <t>TTFB Company Limited</t>
  </si>
  <si>
    <t>{Full_Name__c=Kat Evans, attributes={url=/services/data/v62.0/sobjects/Contact/003VT00000fc4sgYAA, type=Contact}}</t>
  </si>
  <si>
    <t>001VT00000Ig2O2YAJ</t>
  </si>
  <si>
    <t>Motiv Digital Limited</t>
  </si>
  <si>
    <t>Ultra Electronics Limited</t>
  </si>
  <si>
    <t>Career Site</t>
  </si>
  <si>
    <t>UKI MFG CB</t>
  </si>
  <si>
    <t>0018000000kIOR7AAO</t>
  </si>
  <si>
    <t>{attributes={type=Account, url=/services/data/v62.0/sobjects/Account/0018000000kIOR7AAO}, Name=Echo Global Logistics, Inc., PS_Sub_Region__c=ME CB TM &amp; RHT, SubRegion__c=US DI ME CB RHT East, Industry=Other Transportation, PS_Region_New__c=US Medium Enterprise DI}</t>
  </si>
  <si>
    <t>BK 7/31/26-moving into SIT testing and finalizing CEM, CSM assigned
DT 7/6- ICD and BRD signed off, staffing CSM in progress</t>
  </si>
  <si>
    <t>UMass Memorial Health Care, Inc.</t>
  </si>
  <si>
    <t>Rajyalakshmi Chintalapati</t>
  </si>
  <si>
    <t>{attributes={type=Contact, url=/services/data/v62.0/sobjects/Contact/0031B00002gf42xQAA}, Full_Name__c=John Jaent}</t>
  </si>
  <si>
    <t>Update 08/17/26: Kickoff completed on 08/17. Discovery sessions starting the week of 08/24.  Project plan creation in progress.</t>
  </si>
  <si>
    <t>a0rVT00000uZaWnYAK</t>
  </si>
  <si>
    <t>Subsequent-Ad Hoc-Other-HiredScore Only-API-Hub-Enablement</t>
  </si>
  <si>
    <t>Unilever U.K. Central Resources Limited</t>
  </si>
  <si>
    <t>Assigned project 4/15
Forecast Complete 4/17
TopBloc taking project</t>
  </si>
  <si>
    <t>sfdcRows:SLG:chunk:9</t>
  </si>
  <si>
    <t>Thomas Waters</t>
  </si>
  <si>
    <t>a0rVT00000pcrCaYAI</t>
  </si>
  <si>
    <t>Subsequent-Ad Hoc-Other: HiredScore only</t>
  </si>
  <si>
    <t>{SubRegion__c=US DI ME CB RHT East, Name=Echo Global Logistics, Inc., PS_Region_New__c=US Medium Enterprise DI, Industry=Other Transportation, attributes={type=Account, url=/services/data/v62.0/sobjects/Account/0018000000kIOR7AAO}, PS_Sub_Region__c=ME CB TM &amp; RHT}</t>
  </si>
  <si>
    <t>Program of work remains red, path to green requires:
o	Stability on collaborator channel bulk deleting unwanted channels
o	Internal Fetch Hypercare issue close
o	ECG Bot migration - UAT launch - go live
o	Align on the Sova delivery
o	KO Cont Agent Testing</t>
  </si>
  <si>
    <t>United Health Services Hospitals, Inc.</t>
  </si>
  <si>
    <t>{attributes={url=/services/data/v62.0/sobjects/Contact/0031B00002gf42xQAA, type=Contact}, Full_Name__c=John Jaent}</t>
  </si>
  <si>
    <t>Week 2
Design #1 to take place this week.
Clients raised concerns regarding timelines.
To be discussed this week and after that aiming to get their signoff on the proj plan</t>
  </si>
  <si>
    <t>a0rVT00000uOuiRYAS</t>
  </si>
  <si>
    <t>United Rentals, Inc.</t>
  </si>
  <si>
    <t>0013000000KLQrJAAX</t>
  </si>
  <si>
    <t>Hypercare end on July 13th, one support case remain open</t>
  </si>
  <si>
    <t>Unity Technologies SF</t>
  </si>
  <si>
    <t>{SubRegion__c=US DI ME CB RHT West, PS_Sub_Region__c=ME CB TM &amp; RHT, Name=Patagonia Works, attributes={type=Account, url=/services/data/v62.0/sobjects/Account/0013000000KLQrJAAX}, Industry=Softlines, PS_Region_New__c=US Medium Enterprise DI}</t>
  </si>
  <si>
    <t>Plan &amp; Prep Phase in progress. Client is currently working through the Paradox Workbook</t>
  </si>
  <si>
    <t>{Full_Name__c=William Porras, attributes={type=Contact, url=/services/data/v62.0/sobjects/Contact/003VT00000VGvjdYAD}}</t>
  </si>
  <si>
    <t>a0rVT000019ZgebYAC</t>
  </si>
  <si>
    <t>Initial Deployment-Your Way-HLP, JRNY, EMPVCE, SC, PRO, SRC, CLM, PLNF-PRO,etc</t>
  </si>
  <si>
    <t>University of Dayton</t>
  </si>
  <si>
    <t>Build phase has started</t>
  </si>
  <si>
    <t>a0pVT00000CQCUrYAP</t>
  </si>
  <si>
    <t>University of Maryland Global Campus</t>
  </si>
  <si>
    <t>{Industry=Softlines, PS_Region_New__c=US Medium Enterprise DI, Name=Patagonia Works, attributes={url=/services/data/v62.0/sobjects/Account/0013000000KLQrJAAX, type=Account}, SubRegion__c=US DI ME CB RHT West, PS_Sub_Region__c=ME CB TM &amp; RHT}</t>
  </si>
  <si>
    <t>a0rVT00000sHUiYYAW</t>
  </si>
  <si>
    <t>{Full_Name__c=William Porras, attributes={url=/services/data/v62.0/sobjects/Contact/003VT00000VGvjdYAD, type=Contact}}</t>
  </si>
  <si>
    <t>University of North Florida Board of Trustees</t>
  </si>
  <si>
    <t>Craig Decker</t>
  </si>
  <si>
    <t>8/12 S2P integration working. FC finishing workflow to get UNF to start testing.</t>
  </si>
  <si>
    <t>University of Northern Iowa</t>
  </si>
  <si>
    <t>001800000171dO7AAI</t>
  </si>
  <si>
    <t>{SubRegion__c=US DI ME CB PBS Central, PS_Sub_Region__c=ME CB PBS, attributes={url=/services/data/v62.0/sobjects/Account/001800000171dO7AAI, type=Account}, PS_Region_New__c=US Medium Enterprise DI, Industry=Professional Services, Name=CLEAResult Consulting Inc.}</t>
  </si>
  <si>
    <t>8/12 S2P setup done. Non WSS synched workflow nearing completion. Process starting on WSS synced workflow.</t>
  </si>
  <si>
    <t>a0rVT00000bRxGPYA0</t>
  </si>
  <si>
    <t>University of Southern California</t>
  </si>
  <si>
    <t>{Full_Name__c=Carla Posey, attributes={url=/services/data/v62.0/sobjects/Contact/0038000002Bsyh3AAB, type=Contact}}</t>
  </si>
  <si>
    <t>Shayna Stillman</t>
  </si>
  <si>
    <t>SIT testing kicked off this week (8/17) - 2-weeks.</t>
  </si>
  <si>
    <t>6/9, Case # 2851905</t>
  </si>
  <si>
    <t>a0rVT00000h8dEjYAI</t>
  </si>
  <si>
    <t>University of Tampa, Incorporated, The</t>
  </si>
  <si>
    <t>0018000000NLiu6AAD</t>
  </si>
  <si>
    <t>{SubRegion__c=US DI LE CB TM &amp; PS Midwest, PS_Sub_Region__c=Diversified Industries LE CB TM &amp; PS, attributes={type=Account, url=/services/data/v62.0/sobjects/Account/0018000000NLiu6AAD}, Industry=Professional Services, PS_Region_New__c=US Large Enterprise DI &amp; Mexico, Name=Crowe Advisory LLC}</t>
  </si>
  <si>
    <t>Project will close on Dec 1st.</t>
  </si>
  <si>
    <t>a0rVT00000r7ldCYAQ</t>
  </si>
  <si>
    <t>Unum Group</t>
  </si>
  <si>
    <t>{attributes={type=Contact, url=/services/data/v62.0/sobjects/Contact/0038000001cCYY3AAO}, Full_Name__c=Josh Fairbanks}</t>
  </si>
  <si>
    <t>go live was postpone in 1 week due to opt in/ out default value and CF change and validations</t>
  </si>
  <si>
    <t>Valley Health</t>
  </si>
  <si>
    <t>a0pVT00000CNMSLYA5</t>
  </si>
  <si>
    <t>0018000000x0XTDAA2</t>
  </si>
  <si>
    <t>{attributes={url=/services/data/v62.0/sobjects/Account/0018000000x0XTDAA2, type=Account}, Industry=Software &amp; Platforms, Name=SailPoint Technologies, Inc., PS_Sub_Region__c=ME CB TM &amp; RHT, PS_Region_New__c=US Medium Enterprise DI, SubRegion__c=US DI ME CB TM Southwest}</t>
  </si>
  <si>
    <t>Client is currently in UAT for internal fetch and ECG.
Client needs to confirm UAT for Spotlight, Fetch and HM&lt;&gt;TA.
The client wants to remove HM Hub.
The client needs to add eligibility fields to prod so we can perform data export and approve prod BP.</t>
  </si>
  <si>
    <t>{Full_Name__c=Clint Maddy, attributes={url=/services/data/v62.0/sobjects/Contact/0031B00002oKPyoQAG, type=Contact}}</t>
  </si>
  <si>
    <t>Taylor Lindsey</t>
  </si>
  <si>
    <t>On track for testing sign off this week and Go Live of 09/14</t>
  </si>
  <si>
    <t>a0rVT00000tyCt3YAE</t>
  </si>
  <si>
    <t>Valmont Industries, Inc.</t>
  </si>
  <si>
    <t>a0pVT00000CNMSPYA5</t>
  </si>
  <si>
    <t>{SubRegion__c=US DI ME CB TM Southwest, attributes={type=Account, url=/services/data/v62.0/sobjects/Account/0018000000x0XTDAA2}, PS_Region_New__c=US Medium Enterprise DI, Industry=Software &amp; Platforms, Name=SailPoint Technologies, Inc., PS_Sub_Region__c=ME CB TM &amp; RHT}</t>
  </si>
  <si>
    <t>"Self-Service Project
Overall Project Status: ready for go live
Current Project Phase: Live 
Adjust consent logic
Everything has been configured the client has not yet provided access to users
We need to re-export prod data</t>
  </si>
  <si>
    <t>Verizon Sourcing LLC</t>
  </si>
  <si>
    <t>sfdcRows:SLG:chunk:10</t>
  </si>
  <si>
    <t>{attributes={url=/services/data/v62.0/sobjects/Contact/0031B00002oKPyoQAG, type=Contact}, Full_Name__c=Clint Maddy}</t>
  </si>
  <si>
    <t>14-Aug-2026 - Build phase in progress. Change order in progress for scope change.</t>
  </si>
  <si>
    <t>a0rVT00000nXSfmYAG</t>
  </si>
  <si>
    <t>a0pVT00000CNMSMYA5</t>
  </si>
  <si>
    <t>{PS_Region_New__c=US Medium Enterprise DI, Name=SailPoint Technologies, Inc., Industry=Software &amp; Platforms, attributes={type=Account, url=/services/data/v62.0/sobjects/Account/0018000000x0XTDAA2}, SubRegion__c=US DI ME CB TM Southwest, PS_Sub_Region__c=ME CB TM &amp; RHT}</t>
  </si>
  <si>
    <t>03-02-2026 - POC Trial completed successfully with Verizon agreeing to a full implementation. SOW now in progress with Verizon for the full implementation.</t>
  </si>
  <si>
    <t>a0rVT00000g7zplYAA</t>
  </si>
  <si>
    <t>Vertex, Inc.</t>
  </si>
  <si>
    <t>{Full_Name__c=Clint Maddy, attributes={type=Contact, url=/services/data/v62.0/sobjects/Contact/0031B00002oKPyoQAG}}</t>
  </si>
  <si>
    <t>a0pVT00000CNMSOYA5</t>
  </si>
  <si>
    <t>Client is live.</t>
  </si>
  <si>
    <t>VHA Home HealthCare</t>
  </si>
  <si>
    <t>{PS_Region_New__c=US Medium Enterprise DI, Name=SailPoint Technologies, Inc., attributes={url=/services/data/v62.0/sobjects/Account/0018000000x0XTDAA2, type=Account}, Industry=Software &amp; Platforms, PS_Sub_Region__c=ME CB TM &amp; RHT, SubRegion__c=US DI ME CB TM Southwest}</t>
  </si>
  <si>
    <t>08/17/2026
Due issues created in BRD document and lack of configuration in the Integration, the Project got a delayed of 3 week. We have 2 new resources and the project is moving faster.
SIT will start this week.
CSM is assigned.</t>
  </si>
  <si>
    <t>a0rVT00000hShHXYA0</t>
  </si>
  <si>
    <t>CRM</t>
  </si>
  <si>
    <t>Viking Global Investors LP</t>
  </si>
  <si>
    <t>a0pVT00000CNMSNYA5</t>
  </si>
  <si>
    <t>05/19- hypercare has been completed
3276391 Completed</t>
  </si>
  <si>
    <t>a0rVT00000eW7H7YAK</t>
  </si>
  <si>
    <t>{PS_Region_New__c=US Medium Enterprise DI, Industry=Software &amp; Platforms, SubRegion__c=US DI ME CB TM Southwest, attributes={url=/services/data/v62.0/sobjects/Account/0018000000x0XTDAA2, type=Account}, Name=SailPoint Technologies, Inc., PS_Sub_Region__c=ME CB TM &amp; RHT}</t>
  </si>
  <si>
    <t>Visa Technology &amp; Operations LLC</t>
  </si>
  <si>
    <t>Deployed all countries</t>
  </si>
  <si>
    <t>a0pVT00000ChQd4YAF</t>
  </si>
  <si>
    <t>Subsequent - Phase X - Recruiting &amp; Paradox</t>
  </si>
  <si>
    <t>Wallenius Wilhelmsen Ocean AS</t>
  </si>
  <si>
    <t>Sea and Water Transportation</t>
  </si>
  <si>
    <t>0018000001Rm2slAAB</t>
  </si>
  <si>
    <t>{SubRegion__c=UKI TM CB, attributes={url=/services/data/v62.0/sobjects/Account/0018000001Rm2slAAB, type=Account}, PS_Region_New__c=UKI, Industry=Software &amp; Platforms, Name=Darktrace Holdings Limited, PS_Sub_Region__c=UKI TME}</t>
  </si>
  <si>
    <t>{Full_Name__c=Jadzia Walczyk, attributes={url=/services/data/v62.0/sobjects/Contact/0034X00003NxKzqQAF, type=Contact}}</t>
  </si>
  <si>
    <t>0018000001GT4jXAAT</t>
  </si>
  <si>
    <t>The pre-plan should start on 5th October</t>
  </si>
  <si>
    <t>Deloitte Statsautoriseret Revisionspartnerselskab [Deloitte Denmark]</t>
  </si>
  <si>
    <t>10 Aug: E2E testing successfully completed. Preparations for UAT done during this last week as well that over the next 2 weeks will include further testing by the extended local country recruiting teams as well as selected groups of hiring managers.</t>
  </si>
  <si>
    <t>a0rVT000012VbsuYAC</t>
  </si>
  <si>
    <t>Walmart Inc.</t>
  </si>
  <si>
    <t>0018000001Dz67lAAB</t>
  </si>
  <si>
    <t>{PS_Region_New__c=EMEA South, Name=Deloitte France FINA, PS_Sub_Region__c=France, attributes={type=Account, url=/services/data/v62.0/sobjects/Account/0018000001Dz67lAAB}, Industry=Professional Services, SubRegion__c=France Services Tech Media LE}</t>
  </si>
  <si>
    <t>Mer Watson</t>
  </si>
  <si>
    <t>24 - currently in testing phase</t>
  </si>
  <si>
    <t>sfdcRows:SLG:chunk:11</t>
  </si>
  <si>
    <t>a0rVT00000aPyInYAK</t>
  </si>
  <si>
    <t>Washington Township Health Care District dba Washington Health</t>
  </si>
  <si>
    <t>a0pVT00000D3G3xYAF</t>
  </si>
  <si>
    <t>0013000000IKCQeAAP</t>
  </si>
  <si>
    <t>{Industry=Hardlines, PS_Region_New__c=US Large Enterprise DI &amp; Mexico, attributes={url=/services/data/v62.0/sobjects/Account/0013000000IKCQeAAP, type=Account}, Name=Simpson Manufacturing Co., Inc., PS_Sub_Region__c=Diversified Industries LE CB RHT, SubRegion__c=US DI LE CB RHT West}</t>
  </si>
  <si>
    <t>04/06 Project is complete</t>
  </si>
  <si>
    <t>Waystar, Inc.</t>
  </si>
  <si>
    <t>Project is closed</t>
  </si>
  <si>
    <t>Wellesley College</t>
  </si>
  <si>
    <t>0018000000ULAxFAAX</t>
  </si>
  <si>
    <t>{SubRegion__c=UKI RHT LE CB, Name=Stagecoach Services Ltd., PS_Sub_Region__c=UKI RHT, attributes={type=Account, url=/services/data/v62.0/sobjects/Account/0018000000ULAxFAAX}, Industry=Transit Systems, PS_Region_New__c=UKI}</t>
  </si>
  <si>
    <t>{Full_Name__c=Tim Le Maire, attributes={type=Contact, url=/services/data/v62.0/sobjects/Contact/003VT00000kOt2UYAS}}</t>
  </si>
  <si>
    <t>08/10 document sync issue resolved, production move next week, starting phase 2 which entails the workflow side of the platform also next week.</t>
  </si>
  <si>
    <t>24 Sep, issue with connectors drawing to a close, hopefully SIT to re-start next week</t>
  </si>
  <si>
    <t>Wells Fargo Bank, National Association</t>
  </si>
  <si>
    <t>a0pVT00000Cf3W5YAJ</t>
  </si>
  <si>
    <t>0014X00002U4F8jQAF</t>
  </si>
  <si>
    <t>{attributes={url=/services/data/v62.0/sobjects/Account/0014X00002U4F8jQAF, type=Account}, PS_Sub_Region__c=ME NN TM &amp; RHT West, Industry=Restaurant &amp; Food Service, SubRegion__c=US DI ME NN RHT Mountain, Name=Southwest Foodservice Excellence, PS_Region_New__c=US Medium Enterprise DI}</t>
  </si>
  <si>
    <t>UAT Status
Timeline: We are currently in UAT (Staging) until August 18.
Sign-off &amp; Production: WF is aware of the sign-off timeline. Formal sign-off will unlock approval to proceed with production migration.</t>
  </si>
  <si>
    <t>Subsequent- Phase X- Paradox (Add-On)</t>
  </si>
  <si>
    <t>WellSky Corporation</t>
  </si>
  <si>
    <t>9/23/2026: Going well. No issues. Customer is in Design.</t>
  </si>
  <si>
    <t>a0pVT00000Cf2wbYAB</t>
  </si>
  <si>
    <t>08/17 - Discovery/ design going on until 8/24</t>
  </si>
  <si>
    <t>a0rVT00000bRdknYAC</t>
  </si>
  <si>
    <t>Welocalize, Inc.</t>
  </si>
  <si>
    <t>{Name=Southwest Foodservice Excellence, SubRegion__c=US DI ME NN RHT Mountain, PS_Sub_Region__c=ME NN TM &amp; RHT West, attributes={type=Account, url=/services/data/v62.0/sobjects/Account/0014X00002U4F8jQAF}, PS_Region_New__c=US Medium Enterprise DI, Industry=Restaurant &amp; Food Service}</t>
  </si>
  <si>
    <t>{attributes={type=Contact, url=/services/data/v62.0/sobjects/Contact/003VT00000fc4sgYAA}, Full_Name__c=Kat Evans}</t>
  </si>
  <si>
    <t>Welocalize went Live today.</t>
  </si>
  <si>
    <t>a0rVT00000NovmAYAR</t>
  </si>
  <si>
    <t>Western Alliance Bank</t>
  </si>
  <si>
    <t>a0pVT00000Cf2q9YAB</t>
  </si>
  <si>
    <t>{Name=Southwest Foodservice Excellence, PS_Region_New__c=US Medium Enterprise DI, attributes={type=Account, url=/services/data/v62.0/sobjects/Account/0014X00002U4F8jQAF}, SubRegion__c=US DI ME NN RHT Mountain, PS_Sub_Region__c=ME NN TM &amp; RHT West, Industry=Restaurant &amp; Food Service}</t>
  </si>
  <si>
    <t>Elizabeth Gwinn</t>
  </si>
  <si>
    <t>Customer is live with revised limited Hiredscore scope.</t>
  </si>
  <si>
    <t>a0rVT00000XLAJEYA5</t>
  </si>
  <si>
    <t>Wheels, LLC</t>
  </si>
  <si>
    <t>a0pVT00000Cf2rlYAB</t>
  </si>
  <si>
    <t>{PS_Region_New__c=US Medium Enterprise DI, Name=Southwest Foodservice Excellence, SubRegion__c=US DI ME NN RHT Mountain, PS_Sub_Region__c=ME NN TM &amp; RHT West, Industry=Restaurant &amp; Food Service, attributes={type=Account, url=/services/data/v62.0/sobjects/Account/0014X00002U4F8jQAF}}</t>
  </si>
  <si>
    <t>Went live on September 15th 2025</t>
  </si>
  <si>
    <t>a0rVT00000gwTEMYA2</t>
  </si>
  <si>
    <t>Williams Information Technology LLC</t>
  </si>
  <si>
    <t>Scorecard request: 2914418</t>
  </si>
  <si>
    <t>0018000000Qxq3yAAB</t>
  </si>
  <si>
    <t>Wilson Sonsini Goodrich &amp; Rosati Professional Corporation</t>
  </si>
  <si>
    <t>{SubRegion__c=US DI ME CB PBS West, Industry=Professional Services, PS_Sub_Region__c=ME CB PBS, Name=Fenwick &amp; West LLP, attributes={url=/services/data/v62.0/sobjects/Account/0018000000Qxq3yAAB, type=Account}, PS_Region_New__c=US Medium Enterprise DI}</t>
  </si>
  <si>
    <t>Design in progress. Strong progress on decisions being made, some activities on TPP falling behind but not at risk of delay at this point</t>
  </si>
  <si>
    <t>sfdcRows:SLG:chunk:12</t>
  </si>
  <si>
    <t>Withum Smith+Brown, PC.</t>
  </si>
  <si>
    <t>0018000000shOWfAAM</t>
  </si>
  <si>
    <t>{PS_Region_New__c=DACH, Industry=Consumer Goods, Name=Symrise AG, PS_Sub_Region__c=Germany CB, attributes={type=Account, url=/services/data/v62.0/sobjects/Account/0018000000shOWfAAM}, SubRegion__c=Germany LE CB}</t>
  </si>
  <si>
    <t>8/17: finishing up CI and moving to CLM development</t>
  </si>
  <si>
    <t>Wood Mackenzie Limited</t>
  </si>
  <si>
    <t>UKI PBS</t>
  </si>
  <si>
    <t>UKI PBS CB</t>
  </si>
  <si>
    <t>Customer is completing E2E : PDX items ready for re-test</t>
  </si>
  <si>
    <t>07/28: SF Connector authenticated, in progress of migrating documents from salesforce. Workflow discover has commenced.</t>
  </si>
  <si>
    <t>0013000000IrLV1AAN</t>
  </si>
  <si>
    <t>Woodward, Inc.</t>
  </si>
  <si>
    <t>{Industry=Media &amp; Entertainment, PS_Sub_Region__c=Diversified Industries LE CB TM &amp; PS, SubRegion__c=US DI LE CB TM &amp; PS Northeast, Name=The E.W. Scripps Company, attributes={url=/services/data/v62.0/sobjects/Account/0013000000IrLV1AAN, type=Account}, PS_Region_New__c=US Large Enterprise DI &amp; Mexico}</t>
  </si>
  <si>
    <t>{attributes={url=/services/data/v62.0/sobjects/Contact/0034X000032MzsKQAS, type=Contact}, Full_Name__c=Cole Miltenberger}</t>
  </si>
  <si>
    <t>CM 9/25 E2E in progress</t>
  </si>
  <si>
    <t>a0rVT00000kALOsYAO</t>
  </si>
  <si>
    <t>Worldwide Clinical Trials Holdings, Inc.</t>
  </si>
  <si>
    <t>0013000000J43C6AAJ</t>
  </si>
  <si>
    <t>{PS_Region_New__c=US Healthcare, Name=Geisinger System Services, SubRegion__c=US Healthcare Majors CB, Industry=Acute Hospital / Health System, attributes={type=Account, url=/services/data/v62.0/sobjects/Account/0013000000J43C6AAJ}, PS_Sub_Region__c=Healthcare Majors NN}</t>
  </si>
  <si>
    <t>Going as planned - UAT planned for Feb 2nd</t>
  </si>
  <si>
    <t>Young Life</t>
  </si>
  <si>
    <t>{Full_Name__c=Al Menendez, attributes={type=Contact, url=/services/data/v62.0/sobjects/Contact/0031B00002nAbFvQAK}}</t>
  </si>
  <si>
    <t>S2S 5/1
PM Call 5/19
Timeline review session 5/26, 6/30
Preparation Wkbk shared
Plan &amp; Prepare KO 6/15
Internal Extended Timeline Request Review
P&amp;P Check-In Sessions WIP
Workbook is WIP as of 9/25
Targeting 10/5 Kickoff
(timeline to be confirmed)</t>
  </si>
  <si>
    <t>4 week test cycle begins today.  Construction Services Agreement - Ready for Testing; Non-Disclosure Agreement - Testing; Master Services Agrt - Ready for Testing,; Contractor Agreement - ready to test; Facility Use - Ready for Testing</t>
  </si>
  <si>
    <t>a0rVT00000t3RNOYA2</t>
  </si>
  <si>
    <t>YTL Digital Bank Berhad</t>
  </si>
  <si>
    <t>{PS_Region_New__c=US Healthcare, attributes={type=Account, url=/services/data/v62.0/sobjects/Account/0013000000J43C6AAJ}, PS_Sub_Region__c=Healthcare Majors NN, Name=Geisinger System Services, Industry=Acute Hospital / Health System, SubRegion__c=US Healthcare Majors CB}</t>
  </si>
  <si>
    <t>Malaysia &amp; Indonesia</t>
  </si>
  <si>
    <t>Malaysia</t>
  </si>
  <si>
    <t>{Full_Name__c=Al Menendez, attributes={url=/services/data/v62.0/sobjects/Contact/0031B00002nAbFvQAK, type=Contact}}</t>
  </si>
  <si>
    <t>01/05: Pending Kickoff</t>
  </si>
  <si>
    <t>Initial Deployment-Launch- LDPPRO, LDPINV, LDPCLM, etc.</t>
  </si>
  <si>
    <t>Yukon-Kuskokwim Health Corporation</t>
  </si>
  <si>
    <t>Ahmed Adil</t>
  </si>
  <si>
    <t>{attributes={url=/services/data/v62.0/sobjects/Account/0013000000J43C6AAJ, type=Account}, Name=Geisinger System Services, Industry=Acute Hospital / Health System, PS_Region_New__c=US Healthcare, SubRegion__c=US Healthcare Majors CB, PS_Sub_Region__c=Healthcare Majors NN}</t>
  </si>
  <si>
    <t>7/31 - E2E testing complete. Parallel Testing  complete. Most integration in testing</t>
  </si>
  <si>
    <t>a0rVT000012VpSnYAK</t>
  </si>
  <si>
    <t>Zalando SE</t>
  </si>
  <si>
    <t>a0rVT00000goVbVYAU</t>
  </si>
  <si>
    <t>Zebra Technologies Corporation</t>
  </si>
  <si>
    <t>a0pVT00000CtRWvYAN</t>
  </si>
  <si>
    <t>00180000013up6rAAA</t>
  </si>
  <si>
    <t>{SubRegion__c=US DI ME CB TM Southwest, Name=Gogo Business Aviation LLC, PS_Sub_Region__c=ME CB TM &amp; RHT, Industry=Telecom, attributes={url=/services/data/v62.0/sobjects/Account/00180000013up6rAAA, type=Account}, PS_Region_New__c=US Medium Enterprise DI}</t>
  </si>
  <si>
    <t>{attributes={type=Contact, url=/services/data/v62.0/sobjects/Contact/0034X00003JsNpYQAV}, Full_Name__c=Dhaval Rana}</t>
  </si>
  <si>
    <t>sfdcRows:SLG:chunk:13</t>
  </si>
  <si>
    <t>08/17: End to end testing in progress</t>
  </si>
  <si>
    <t>9/21 Project kicked off officially , discovery in progress</t>
  </si>
  <si>
    <t>a0rVT000012VX4UYAW</t>
  </si>
  <si>
    <t>Conversational Assistant</t>
  </si>
  <si>
    <t>0018000000ohFnsAAE</t>
  </si>
  <si>
    <t>{PS_Sub_Region__c=Healthcare LE, Name=Valley Health, Industry=Acute Hospital / Health System, SubRegion__c=US Healthcare LE CB East, PS_Region_New__c=US Healthcare, attributes={url=/services/data/v62.0/sobjects/Account/0018000000ohFnsAAE, type=Account}}</t>
  </si>
  <si>
    <t>{attributes={url=/services/data/v62.0/sobjects/Contact/003VT00000i7TjtYAE, type=Contact}, Full_Name__c=Taylor Lindsey}</t>
  </si>
  <si>
    <t>Valley Health went live on 09/14.</t>
  </si>
  <si>
    <t>0018000000wC62PAAS</t>
  </si>
  <si>
    <t>{attributes={url=/services/data/v62.0/sobjects/Account/0018000000wC62PAAS, type=Account}, Industry=Software &amp; Platforms, PS_Sub_Region__c=ME CB TM &amp; RHT, Name=Waystar, Inc., PS_Region_New__c=US Medium Enterprise DI, SubRegion__c=US DI ME CB TM Southeast}</t>
  </si>
  <si>
    <t>{PS_Region_New__c=US Medium Enterprise DI, Name=Waystar, Inc., Industry=Software &amp; Platforms, SubRegion__c=US DI ME CB TM Southeast, attributes={type=Account, url=/services/data/v62.0/sobjects/Account/0018000000wC62PAAS}, PS_Sub_Region__c=ME CB TM &amp; RHT}</t>
  </si>
  <si>
    <t>{attributes={url=/services/data/v62.0/sobjects/Contact/00380000024qaNvAAI, type=Contact}, Full_Name__c=Doris Pulsifer}</t>
  </si>
  <si>
    <t>{Name=Waystar, Inc., attributes={type=Account, url=/services/data/v62.0/sobjects/Account/0018000000wC62PAAS}, Industry=Software &amp; Platforms, PS_Region_New__c=US Medium Enterprise DI, SubRegion__c=US DI ME CB TM Southeast, PS_Sub_Region__c=ME CB TM &amp; RHT}</t>
  </si>
  <si>
    <t>0018000001MGbT5AAL</t>
  </si>
  <si>
    <t>{PS_Region_New__c=EMEA South, Name=El Corte Inglés S.A., Industry=Softlines, PS_Sub_Region__c=Iberia, SubRegion__c=Iberia CB, attributes={url=/services/data/v62.0/sobjects/Account/0018000001MGbT5AAL, type=Account}}</t>
  </si>
  <si>
    <t>{attributes={url=/services/data/v62.0/sobjects/Contact/003VT00000fcE40YAE, type=Contact}, Full_Name__c=Sadia Hashi}</t>
  </si>
  <si>
    <t>Go-live postponed; new date TBC. The translation fix for the pt-PT/pt-BR has been completed last weekend. Customer considering Pilot launch with scheduling and Q&amp;A for selected areas while Job search and Chat to Apply functionality is improved. . More det</t>
  </si>
  <si>
    <t>0018000000N7F6qAAF</t>
  </si>
  <si>
    <t>{SubRegion__c=US DI LE CB MFG Central, PS_Sub_Region__c=Diversified Industries LE CB MFG, Name=Faith Technologies, Inc., attributes={url=/services/data/v62.0/sobjects/Account/0018000000N7F6qAAF, type=Account}, PS_Region_New__c=US Large Enterprise DI &amp; Mexico, Industry=Architecture, Engineering &amp; Construction}</t>
  </si>
  <si>
    <t>sfdcRows:SLG:chunk:14</t>
  </si>
  <si>
    <t>ddContacts:SLG</t>
  </si>
  <si>
    <t>Build - Complete!
SIT Testing - complete!
E2E Test - inprogress</t>
  </si>
  <si>
    <t>00130000008NNHlAAO</t>
  </si>
  <si>
    <t>{PS_Region_New__c=US Large Enterprise DI &amp; Mexico, Name=Home Depot Store Support, Inc., PS_Sub_Region__c=Diversified Industries Key Accounts, Industry=Hardlines, attributes={url=/services/data/v62.0/sobjects/Account/00130000008NNHlAAO, type=Account}, SubRegion__c=US DI Key Accounts MFG}</t>
  </si>
  <si>
    <t>{"a0r1B00000BdaDXQAZ":[{"email":"steve.rogers@workday.com","name":"Steve Rogers"}],"a0r4X00000BWhT1QAL":[{"email":"eric.warshower@workday.com","name":"Eric Warshower"},{"email":"steve.rogers@workday.com","name":"Steve Rogers"},{"email":"lisa.coulter@workday.com","name":"Lisa Coulter"}],"a0r4X00000CrTG7QAN":[{"email":"roman.cortes@workday.com","name":"Roman Cortes"}],"a0r4X00000CrTjJQAV":[{"email":"lakshmi.visvanathan@workday.com","name":"Lakshmi Visvanathan"}],"a0r4X00000CrToJQAV":[{"email":"roman.cortes@workday.com","name":"Roman Cortes"}],"a0r4X00000CrUzSQAV":[{"email":"steve.rogers@workday.com","name":"Steve Rogers"},{"email":"roman.cortes@workday.com","name":"Roman Cortes"}],"a0r4X00000CrVBOQA3":[{"email":"steve.rogers@workday.com","name":"Steve Rogers"}],"a0r4X00000CrVjpQAF":[{"email":"roman.cortes@workday.com","name":"Roman Cortes"}],"a0r4X00000D7rdeQAB":[{"email":"lakshmi.visvanathan@workday.com","name":"Lakshmi Visvanathan"}],"a0r4X00000D7sOaQAJ":[{"email":"steve.rogers@workday.com","name":"Steve Rogers"}],"a0r4X00000DCGf0QAH":[{"email":"roman.cortes@workday.com","name":"Roman Cortes"}],"a0r4X00000DCHVQQA5":[{"email":"roman.cortes@workday.com","name":"Roman Cortes"}],"a0r4X00000DbLU9QAN":[{"email":"lakshmi.visvanathan@workday.com","name":"Lakshmi Visvanathan"}],"a0r4X00000Dc1uaQAB":[{"email":"steve.rogers@workday.com","name":"Steve Rogers"}],"a0r4X00000E13rfQAB":[{"email":"lakshmi.visvanathan@workday.com","name":"Lakshmi Visvanathan"}],"a0r4X00000E14IgQAJ":[{"email":"steve.rogers@workday.com","name":"Steve Rogers"}],"a0r4X00000E1AQdQAN":[{"email":"roman.cortes@workday.com","name":"Roman Cortes"}],"a0r4X00000ETUqgQAH":[{"email":"roman.cortes@workday.com","name":"Roman Cortes"}],"a0r4X00000ETVJYQA5":[{"email":"brad.hoenshell@workday.com","name":"Bradley Hoenshell"},{"email":"steve.rogers@workday.com","name":"Steve Rogers"}],"a0r4X00000ETVjqQAH":[{"email":"roman.cortes@workday.com","name":"Roman Cortes"},{"email":"lakshmi.visvanathan@workday.com","name":"Lakshmi Visvanathan"}],"a0r4X00000ETWIbQAP":[{"email":"roman.cortes@workday.com","name":"Roman Cortes"},{"email":"lakshmi.visvanathan@workday.com","name":"Lakshmi Visvanathan"}],"a0r4X00000ETX33QAH":[{"email":"roman.cortes@workday.com","name":"Roman Cortes"},{"email":"brad.hoenshell@workday.com","name":"Bradley Hoenshell"}],"a0r4X00000Ef1ruQAB":[{"email":"lakshmi.visvanathan@workday.com","name":"Lakshmi Visvanathan"}],"a0r4X00000Ef2DRQAZ":[{"email":"lakshmi.visvanathan@workday.com","name":"Lakshmi Visvanathan"}],"a0rVT00000NMgA0YAL":[{"email":"lakshmi.visvanathan@workday.com","name":"Lakshmi Visvanathan"}],"a0rVT00000PgySnYAJ":[{"email":"lakshmi.visvanathan@workday.com","name":"Lakshmi Visvanathan"}],"a0rVT00000PrglzYAB":[{"email":"roman.cortes@workday.com","name":"Roman Cortes"}],"a0rVT00000PsEKYYA3":[{"email":"steve.rogers@workday.com","name":"Steve Rogers"}],"a0rVT00000PtYNdYAN":[{"email":"naveen.athuluru@workday.com","name":"Naveen Athuluru"},{"email":"steve.rogers@workday.com","name":"Steve Rogers"}],"a0rVT00000U02bkYAB":[{"email":"brad.hoenshell@workday.com","name":"Bradley Hoenshell"}],"a0rVT00000Xb1tRYAR":[{"email":"lakshmi.visvanathan@workday.com","name":"Lakshmi Visvanathan"}],"a0rVT00000YvLJEYA3":[{"email":"lakshmi.visvanathan@workday.com","name":"Lakshmi Visvanathan"}],"a0rVT00000eiHNtYAM":[{"email":"roman.cortes@workday.com","name":"Roman Cortes"}],"a0rVT00000h7rRqYAI":[{"email":"lakshmi.visvanathan@workday.com","name":"Lakshmi Visvanathan"}],"a0rVT00000hOPhFYAW":[{"email":"roman.cortes@workday.com","name":"Roman Cortes"}],"a0rVT00000hh6hLYAQ":[{"email":"roman.cortes@workday.com","name":"Roman Cortes"}],"a0rVT00000jTwYAYA0":[{"email":"sunil.wadhwa@workday.com","name":"Sunil Wadhwa"}],"a0rVT00000kgQEyYAM":[{"email":"steve.rogers@workday.com","name":"Steve Rogers"}],"a0rVT00000lgCzTYAU":[{"email":"mridhula.raghupathy@workday.com","name":"Mridhula Raghupathy"}],"a0rVT00000m8pbHYAQ":[{"email":"lakshmi.visvanathan@workday.com","name":"Lakshmi Visvanathan"}],"a0rVT00000mRekEYAS":[{"email":"naveen.athuluru@workday.com","name":"Naveen Athuluru"}],"a0rVT00000nJPeXYAW":[{"email":"roman.cortes@workday.com","name":"Roman Cortes"}],"a0rVT00000sUZJ0YAO":[{"email":"roman.cortes@workday.com","name":"Roman Cortes"}],"a0rVT00000utORLYA2":[{"email":"roman.cortes@workday.com","name":"Roman Cortes"}],"a0rVT00000vafrpYAA":[{"email":"steve.rogers@workday.com","name":"Steve Rogers"}],"a0rVT00000vqVOfYAM":[{"email":"roman.cortes@workday.com","name":"Roman Cortes"}],"a0rVT00000vtwYyYAI":[{"email":"roman.cortes@workday.com","name":"Roman Cortes"},{"email":"steve.rogers@workday.com","name":"Steve Rogers"}],"a0rVT00000wIG05YAG":[{"email":"roman.cortes@workday.com","name":"Roman Cortes"}],"a0rVT00000x3OESYA2":[{"email":"steve.rogers@workday.com","name":"Steve Rogers"}],"a0rVT00000x3XbEYAU":[{"email":"steve.rogers@workday.com","name":"Steve Rogers"}],"a0rVT00000xZQDqYAO":[{"email":"lakshmi.visvanathan@workday.com","name":"Lakshmi Visvanathan"}],"a0rVT00000z8sDBYAY":[{"email":"steve.rogers@workday.com","name":"Steve Rogers"}],"a0rVT0000107EM0YAM":[{"email":"roman.cortes@workday.com","name":"Roman Cortes"}],"a0rVT000010i7brYAA":[{"email":"roman.cortes@workday.com","name":"Roman Cortes"}],"a0rVT0000135GBZYA2":[{"email":"lakshmi.visvanathan@workday.com","name":"Lakshmi Visvanathan"}],"a0rVT000013EyuyYAC":[{"email":"sunil.wadhwa@workday.com","name":"Sunil Wadhwa"}]}</t>
  </si>
  <si>
    <t>mdsPglBatchView:SLG:3:chunk:0</t>
  </si>
  <si>
    <t>{attributes={url=/services/data/v62.0/sobjects/Contact/003VT00000c69PMYAY, type=Contact}, Full_Name__c=Brad Whitford}</t>
  </si>
  <si>
    <t>In cutover, French Canadian issue workaround to be completed. Go-live planned for 10/8 still. No wiggle room on go-live date.</t>
  </si>
  <si>
    <t>{Name=Home Depot Store Support, Inc., PS_Region_New__c=US Large Enterprise DI &amp; Mexico, Industry=Hardlines, attributes={url=/services/data/v62.0/sobjects/Account/00130000008NNHlAAO, type=Account}, SubRegion__c=US DI Key Accounts MFG, PS_Sub_Region__c=Diversified Industries Key Accounts}</t>
  </si>
  <si>
    <t>{attributes={type=Contact, url=/services/data/v62.0/sobjects/Contact/003VT00000c69PMYAY}, Full_Name__c=Brad Whitford}</t>
  </si>
  <si>
    <t>0018000000nko8QAAQ</t>
  </si>
  <si>
    <t>{SubRegion__c=US DI LE CB MFG Midwest, Industry=High Technology, attributes={type=Account, url=/services/data/v62.0/sobjects/Account/0018000000nko8QAAQ}, PS_Region_New__c=US Large Enterprise DI &amp; Mexico, Name=Motorola Solutions, Inc., PS_Sub_Region__c=Diversified Industries LE CB MFG}</t>
  </si>
  <si>
    <t>{attributes={type=Contact, url=/services/data/v62.0/sobjects/Contact/0038000002KQ5fIAAT}, Full_Name__c=Todd Fouts}</t>
  </si>
  <si>
    <t>9.29.26: E2E testing to wrap up this week.</t>
  </si>
  <si>
    <t>ParentId</t>
  </si>
  <si>
    <t>Parent.Name</t>
  </si>
  <si>
    <t>0011B00002FeKZCQA3</t>
  </si>
  <si>
    <t>{Industry=Software &amp; Platforms, SubRegion__c=US DI ME CB TM Southeast, PS_Sub_Region__c=ME CB TM &amp; RHT, Name=WellSky Corporation, PS_Region_New__c=US Medium Enterprise DI, attributes={type=Account, url=/services/data/v62.0/sobjects/Account/0011B00002FeKZCQA3}}</t>
  </si>
  <si>
    <t>9/2 - build phase has started</t>
  </si>
  <si>
    <t>0013000000L0PjmAAF</t>
  </si>
  <si>
    <t>{PS_Sub_Region__c=Diversified Industries LE CB MFG, Name=Zebra Technologies Corporation, SubRegion__c=US DI LE CB MFG Midwest, PS_Region_New__c=US Large Enterprise DI &amp; Mexico, attributes={url=/services/data/v62.0/sobjects/Account/0013000000L0PjmAAF, type=Account}, Industry=High Technology}</t>
  </si>
  <si>
    <t>09/29: Prod cutover in progress</t>
  </si>
  <si>
    <t>0013000000KzsLhAAJ</t>
  </si>
  <si>
    <t>{PS_Region_New__c=US Large Enterprise DI &amp; Mexico, Industry=Technology Solutions, SubRegion__c=US DI LE CB TM &amp; PS Southwest, PS_Sub_Region__c=Diversified Industries LE CB TM &amp; PS, attributes={type=Account, url=/services/data/v62.0/sobjects/Account/0013000000KzsLhAAJ}, Name=Equinix, Inc.}</t>
  </si>
  <si>
    <t>{Full_Name__c=Jamie Jackson, attributes={type=Contact, url=/services/data/v62.0/sobjects/Contact/0034X00003GMOLBQA5}}</t>
  </si>
  <si>
    <t>Parent.Customer__c</t>
  </si>
  <si>
    <t>Parent.Customer__r</t>
  </si>
  <si>
    <t>BRD approved, ICD pending approval. Delays to requirements approval delayed build, timeline updates in progress. PDX Talent Community scoped in.</t>
  </si>
  <si>
    <t>Field</t>
  </si>
  <si>
    <t>OldValue</t>
  </si>
  <si>
    <t>NewValue</t>
  </si>
  <si>
    <t>CreatedDate</t>
  </si>
  <si>
    <t>{SubRegion__c=US DI LE CB TM &amp; PS Southwest, PS_Sub_Region__c=Diversified Industries LE CB TM &amp; PS, Name=Equinix, Inc., Industry=Technology Solutions, PS_Region_New__c=US Large Enterprise DI &amp; Mexico, attributes={type=Account, url=/services/data/v62.0/sobjects/Account/0013000000KzsLhAAJ}}</t>
  </si>
  <si>
    <t>CreatedById</t>
  </si>
  <si>
    <t>017VT0000Aezva3YQA</t>
  </si>
  <si>
    <t>{attributes={type=Contact, url=/services/data/v62.0/sobjects/Contact/0034X00003GMOLBQA5}, Full_Name__c=Jamie Jackson}</t>
  </si>
  <si>
    <t>{Industry=Media &amp; Entertainment, attributes={url=/services/data/v62.0/sobjects/Account/0013000000J3pFuAAJ, type=Account}, Name=Light &amp; Wonder, PS_Region_New__c=US Large Enterprise DI &amp; Mexico}</t>
  </si>
  <si>
    <t>{SubRegion__c=US DI LE CB TM &amp; PS Southwest, Name=Equinix, Inc., PS_Sub_Region__c=Diversified Industries LE CB TM &amp; PS, attributes={type=Account, url=/services/data/v62.0/sobjects/Account/0013000000KzsLhAAJ}, Industry=Technology Solutions, PS_Region_New__c=US Large Enterprise DI &amp; Mexico}</t>
  </si>
  <si>
    <t>2026-01-14T23:16:42.000+0000</t>
  </si>
  <si>
    <t>005VT00000JLRjpYAH</t>
  </si>
  <si>
    <t>{"horizonMonths":3,"today":"2026-07-04","asOf":"2026-07-04T16:28:26.628Z","groups":[{"yearMonth":"2026-07","monthLabel":"July 2026","schedule":{"yearMonth":"2026-07","isProjected":false,"surveyOpen":"2026-07-08","reminder1":"2026-07-15","reminder2":"2026-07-27","surveyClose":"2026-07-29","mdsOneThirdWindow":{"start":"2026-05-31","end":"2026-06-30"},"pglFirstMtpWindow":{"start":"2026-05-01","end":"2026-05-31"}},"mdsRows":[{"deploymentId":"a0rVT00000quy3uYAA","accountName":"Chelan County, WA","deploymentName":"Initial Deployment-Launch-LDPFIN, LDPPRA, LDPPRJT, LDPTT, LDPBEN, LDPUSP,etc","deliveryDirector":"","partner":"Collaborative Solutions, LLC","isExecutiveWatch":false,"surveyType":"MDS","eventDate":"2027-03-01","products":["Analytics and Reporting","Contract Management and Document Intelligence","Financial Management","Human Capital Management","Payroll","Spend Management","Talent Management","Workforce Management"],"isMultipleGoLives":false,"oneThirdPoint":"2026-06-07","startDate":"Mon Jan 26 2026 00:00:00 GMT-0500 (Eastern Standard Time)","currentMtp":"Mon Mar 01 2027 00:00:00 GMT-0500 (Eastern Standard Time)","contacts":null},{"deploymentId":"a0rVT000012spwkYAA","accountName":"City of Akron","deploymentName":"Subsequent-Phase X: Recruiting","deliveryDirector":"","partner":"Guidehouse Inc","isExecutiveWatch":false,"surveyType":"MDS","eventDate":"2026-12-01","products":["Human Capital Management"],"isMultipleGoLives":false,"oneThirdPoint":"2026-05-31","startDate":"Sun Mar 01 2026 00:00:00 GMT-0500 (Eastern Standard Time)","currentMtp":"Tue Dec 01 2026 00:00:00 GMT-0500 (Eastern Standard Time)","contacts":null},{"deploymentId":"a0rVT00000hh6hLYAQ","accountName":"City of Boynton Beach, FL (IronBrick Associates, LLC)","deploymentName":"Initial Deployment-Launch- LDPFIN, LDPPLNF, LDPPRA, LDPPRJT, LDPTLO,etc","deliveryDirector":"","partner":"Workday Professional Services","isExecutiveWatch":false,"surveyType":"MDS","eventDate":"2027-04-23","products":["Human Capital Management","Payroll","Talent Management","Workforce Management"],"isMultipleGoLives":true,"oneThirdPoint":"2026-06-25","startDate":"Mon Jan 26 2026 00:00:00 GMT-0500 (Eastern Standard Time)","currentMtp":"Fri Oct 01 2027 00:00:00 GMT-0400 (Eastern Daylight Time)","contacts":{"projectManagers":[{"name":"Gail Mootz","email":"mootzg@bbfl.us","role":"Project Manager [Customer]"}],"execSponsors":[{"name":"Alan Lawson","email":"lawsona@bbfl.us","role":"Executive Sponsor"}],"wdSponsor":{"name":"Roman Cortes","email":"roman.cortes@workday.com","role":"Deployment Sponsor"},"engagementManagers":[{"name":"Mindy Stanley","email":"mindy.stanley@workday.com","role":"Engagement Manager [Primary]"}]}},{"deploymentId":"a0rVT0000120kVsYAI","accountName":"City of Charlotte on behalf of Charlotte Area Transit System","deploymentName":"Initial Deployment-Launch-SRCEXP, PRO, XTND, CLMB, LRNSNA, CHCM,etc","deliveryDirector":"","partner":"Avaap USA, LLC","isExecutiveWatch":false,"surveyType":"MDS","eventDate":"2026-12-17","products":["Financial Management","Human Capital Management","Payroll","Spend Management","Talent Management","Workforce Management"],"isMultipleGoLives":false,"oneThirdPoint":"2026-06-25","startDate":"Mon Mar 30 2026 00:00:00 GMT-0400 (Eastern Daylight Time)","currentMtp":"Thu Dec 17 2026 00:00:00 GMT-0500 (Eastern Standard Time)","contacts":{"projectManagers":[{"name":"Perri Campbell","email":"perri.campbell@charlottenc.gov","role":"Project Manager [Customer]"}],"execSponsors":[{"name":"Rachel Gragg","email":"rachel.gragg@charlottenc.gov","role":"Executive Sponsor"}],"wdSponsor":null,"engagementManagers":[]}},{"deploymentId":"a0rVT0000135GBZYA2","accountName":"City of Plymouth","deploymentName":"Initial Deployment-Launch-LDPHCM, LDPREC, LDPPRA, LDPPRJT, LDPFIN, LDPGM, etc.","deliveryDirector":"","partner":"Workday Professional Services","isExecutiveWatch":true,"surveyType":"MDS","eventDate":"2026-09-04","products":["Human Capital Management","Payroll","Platform and Product Extensions","Talent Management","Workforce Management"],"isMultipleGoLives":true,"oneThirdPoint":"2026-06-13","startDate":"Mon May 04 2026 00:00:00 GMT-0400 (Eastern Daylight Time)","currentMtp":"Fri Sep 04 2026 00:00:00 GMT-0400 (Eastern Daylight Time)","contacts":{"projectManagers":[{"name":"Alison Timme","email":"alison.timme@pwc.com","role":"Project Manager [Customer]"},{"name":"Andrea Rich","email":"arich@plymouthmn.gov","role":"Project Manager [Customer]"}],"execSponsors":[{"name":"Alison Timme","email":"alison.timme@pwc.com","role":"Executive Sponsor"},{"name":"Andrea Rich","email":"arich@plymouthmn.gov","role":"Executive Sponsor"}],"wdSponsor":{"name":"Lakshmi Visvanathan","email":"lakshmi.visvanathan@workday.com","role":"Deployment Sponsor"},"engagementManagers":[{"name":"Stephanie Denham","email":"stephanie.denham@workday.com","role":"Engagement Manager [Primary]"}]}},{"deploymentId":"a0rVT0000107EM0YAM","accountName":"County of Anoka","deploymentName":"Subsequent-Phase X: Expense, Integrations","deliveryDirector":"","partner":"Workday Professional Services","isExecutiveWatch":false,"surveyType":"MDS","eventDate":"2027-01-29","products":["Adaptive Planning","Analytics and Reporting"],"isMultipleGoLives":true,"oneThirdPoint":"2026-06-30","startDate":"Mon Mar 16 2026 00:00:00 GMT-0400 (Eastern Daylight Time)","currentMtp":"Thu Oct 01 2026 00:00:00 GMT-0400 (Eastern Daylight Time)","contacts":{"projectManagers":[{"name":"Kelley Neiber","email":"kelley.neiber@anokacountymn.gov","role":"Project Manager [Customer]"}],"execSponsors":[{"name":"Cory Kampf","email":"cory.kampf@anokacountymn.gov","role":"Executive Sponsor"}],"wdSponsor":{"name":"Roman Cortes","email":"roman.cortes@workday.com","role":"Deployment Sponsor"},"engagementManagers":[{"name":"Lauren Vannini","email":"lauren.vannini@workday.com","role":"Engagement Manager [Primary]"}]}},{"deploymentId":"a0rVT00000qMQqmYAG","accountName":"County of Pinellas (Iron Brick Associates LLC)","deploymentName":"Initial Deployment-Your Way-CCB, USP, LRN, EXP, PRO, INV, CCLRN, REC,","deliveryDirector":"","partner":"Guidehouse Inc","isExecutiveWatch":false,"surveyType":"MDS","eventDate":"2027-07-01","products":["Analytics and Reporting","Human Capital Management","Platform and Product Extensions","Talent Management"],"isMultipleGoLives":true,"oneThirdPoint":"2026-06-22","startDate":"Thu Dec 18 2025 00:00:00 GMT-0500 (Eastern Standard Time)","currentMtp":"Thu Oct 01 2026 00:00:00 GMT-0400 (Eastern Daylight Time)","contacts":{"projectManagers":[{"name":"Joseph Gauthier","email":"jgauthier@pinellas.gov","role":"Project Manager [Customer]"}],"execSponsors":[{"name":"Bryan Zumwalt","email":"bzumwalt@pinellas.gov","role":"Executive Sponsor"}],"wdSponsor":null,"engagementManagers":[]}},{"deploymentId":"a0rVT00000wIG05YAG","accountName":"County of Warren (Precision Task Group, Inc.)","deploymentName":"Subsequent-Phase X: HCM, Pay, Absence, Benefits, Time Tracking","deliveryDirector":"","partner":"Workday Professional Services","isExecutiveWatch":false,"surveyType":"MDS","eventDate":"2027-01-04","products":["Human Capital Management","Payroll","Workforce Management"],"isMultipleGoLives":false,"oneThirdPoint":"2026-06-12","startDate":"Mon Mar 02 2026 00:00:00 GMT-0500 (Eastern Standard Time)","currentMtp":null,"contacts":{"projectManagers":[{"name":"Ray Burns","email":"rayb@warrencountyms.gov","role":"Project Manager [Customer]"}],"execSponsors":[{"name":"Nkemdili Lewis","email":"nkemdilil@warrencountyms.gov","role":"Executive Sponsor"}],"wdSponsor":{"name":"Roman Cortes","email":"roman.cortes@workday.com","role":"Deployment Sponsor"},"engagementManagers":[{"name":"Cortney Wanca","email":"cortney.wanca@workday.com","role":"Engagement Manager [Primary]"}]}},{"deploymentId":"a0rVT00000vnqkiYAA","accountName":"East Bay Municipal Utility District (Strada U.S. Professional Services, LLC)","deploymentName":"Initial Deployment-Launch-LDPAM, WSP, LDPHCM, LDPUSP,etc","deliveryDirector":"","partner":"Strada U.S. Professional Services, LLC","isExecutiveWatch":false,"surveyType":"MDS","eventDate":"2026-12-18","products":["Human Capital Management","Payroll","Workforce Management"],"isMultipleGoLives":false,"oneThirdPoint":"2026-06-11","startDate":"Mon Mar 09 2026 00:00:00 GMT-0400 (Eastern Daylight Time)","currentMtp":"Fri Dec 18 2026 00:00:00 GMT-0500 (Eastern Standard Time)","contacts":{"projectManagers":[{"name":"Suma Popat","email":"suma.popat@ebmud.com","role":"Project Manager [Customer]"}],"execSponsors":[{"name":"Sophia Skoda","email":"sophia.skoda@ebmud.com","role":"Executive Sponsor"}],"wdSponsor":null,"engagementManagers":[]}},{"deploymentId":"a0rVT00000bcvGMYAY","accountName":"Georgia Ports Authority","deploymentName":"Intial Deployment-Your Way- WSP, SRCEXP, XTND, CHCM, TLO, CCB, USP, etc","deliveryDirector":"","partner":"Collaborative Solutions, LLC","isExecutiveWatch":false,"surveyType":"MDS","eventDate":"2027-12-17","products":["Adaptive Planning","Financial Management"],"isMultipleGoLives":true,"oneThirdPoint":"2026-06-25","startDate":"Mon Sep 29 2025 00:00:00 GMT-0400 (Eastern Daylight Time)","currentMtp":"Thu Jul 01 2027 00:00:00 GMT-0400 (Eastern Daylight Time)","contacts":{"projectManagers":[{"name":"Erik Obenhuber","email":"eobenhuber@gaports.com","role":"Project Manager [Customer]"}],"execSponsors":[{"name":"Rob Dooley","email":"rdooley@gaports.com","role":"Executive Sponsor"}],"wdSponsor":null,"engagementManagers":[]}},{"deploymentId":"a0rVT00000tIJcPYAW","accountName":"Prairie Band Potawatomi Entertainment Corporation dba Prairie Band Casino &amp; Resort","deploymentName":"Initial Deployment-Launch-LDPREC, LDPTLO, LDPACC, LDPAM, etc","deliveryDirector":"","partner":"Eisner Advisory Group LLC","isExecutiveWatch":false,"surveyType":"MDS","eventDate":"2027-01-01","products":["Workforce Management"],"isMultipleGoLives":false,"oneThirdPoint":"2026-06-04","startDate":"Fri Feb 20 2026 00:00:00 GMT-0500 (Eastern Standard Time)","currentMtp":null,"contacts":{"projectManagers":[{"name":"Amanda Epstein","email":"akoci@pbpgaming.com","role":"Project Manager [Customer]"}],"execSponsors":[{"name":"John Sexsmith","email":"jsexsmith@pbpgaming.com","role":"Executive Sponsor"}],"wdSponsor":null,"engagementManagers":[]}},{"deploymentId":"a0rVT000015CVSrYAO","accountName":"Texas Education Agency (Precision Task Group Inc.)","deploymentName":"Initial Deployment-Your Way-CHCM, TLO, GPC,etc.","deliveryDirector":"","partner":"Precision Task Group Inc.","isExecutiveWatch":false,"surveyType":"MDS","eventDate":"2026-09-01","products":["Human Capital Management","Talent Management"],"isMultipleGoLives":false,"oneThirdPoint":"2026-06-28","startDate":"Wed May 27 2026 00:00:00 GMT-0400 (Eastern Daylight Time)","currentMtp":null,"contacts":null}],"pglRows":[{"deploymentId":"a0r4X00000CrToJQAV","accountName":"City of Lee's Summit","deploymentName":"Initial Deployment-Your Way-HCM, TLO, CCB, USP, LRN,REC, FIN, etc","deliveryDirector":"Kirk Krikorian","partner":"Avaap USA, LLC","isExecutiveWatch":false,"surveyType":"PGL","eventDate":"2026-05-08","products":["Human Capital Management"],"isMultipleGoLives":true,"oneThirdPoint":null,"startDate":"Wed May 08 2024 00:00:00 GMT-0400 (Eastern Daylight Time)","currentMtp":"Sun Jun 08 2025 00:00:00 GMT-0400 (Eastern Daylight Time)","contacts":{"projectManagers":[{"name":"Diana Newman","email":"diana.newman@cityofls.net","role":"Project Manager [Customer]"}],"execSponsors":[{"name":"Diana Newman","email":"diana.newman@cityofls.net","role":"Executive Sponsor"},{"name":"Ken Takata","email":"ken.takata@avaap.com","role":"Executive Sponsor"}],"wdSponsor":{"name":"Roman Cortes","email":"roman.cortes@workday.com","role":"Deployment Sponsor"},"engagementManagers":[]}},{"deploymentId":"a0rVT00000OUggqYAD","accountName":"City of Palm Desert","deploymentName":"Initial Deployment-Launch-LDPHCM, LDPCCB, LDPBEN, LDPUSP, etc","deliveryDirector":"","partner":"Workday Professional Services","isExecutiveWatch":false,"surveyType":"PGL","eventDate":"2026-05-31","products":["Human Capital Management","Payroll","Talent Management","Workforce Management"],"isMultipleGoLives":false,"oneThirdPoint":null,"startDate":"Mon Mar 17 2025 00:00:00 GMT-0400 (Eastern Daylight Time)","currentMtp":"Sun May 31 2026 00:00:00 GMT-0400 (Eastern Daylight Time)","contacts":{"projectManagers":[{"name":"Clayton von Helf","email":"cvonhelf@palmdesert.gov","role":"Project Manager [Customer]"},{"name":"John Ramont","email":"jramont@palmdesert.gov","role":"Project Manager [Customer]"}],"execSponsors":[{"name":"Veronica Chavez","email":"vchavez@cityofpalmdesert.org","role":"Executive Sponsor"},{"name":"Andrea Staehle","email":"astaehle@palmdesert.gov","role":"Executive Sponsor"}],"wdSponsor":null,"engagementManagers":[{"name":"Eric Frame","email":"eric.frame@workday.com","role":"Engagement Manager [Primary]"},{"name":"Bill Hansen","email":"bill.hansen@workday.com","role":"Engagement Manager [Primary]"}]}},{"deploymentId":"a0r4X00000CrU6wQAF","accountName":"County of Monroe","deploymentName":"Initial Deployment-Your Way-CHCM, TLO, JRNY, CCB, USP, LRN, etc","deliveryDirector":"","partner":"Avaap USA, LLC","isExecutiveWatch":false,"surveyType":"PGL","eventDate":"2026-05-07","products":["Human Capital Management","Payroll","People Experience"],"isMultipleGoLives":true,"oneThirdPoint":null,"startDate":"Thu May 23 2024 00:00:00 GMT-0400 (Eastern Daylight Time)","currentMtp":"Thu May 07 2026 00:00:00 GMT-0400 (Eastern Daylight Time)","contacts":{"projectManagers":[{"name":"Maria Moranz","email":"mariamoranz@monroecounty.gov","role":"Project Manager [Customer]"}],"execSponsors":[{"name":"Robert Franklin","email":"robertfranklin@monroecounty.gov","role":"Executive Sponsor"}],"wdSponsor":null,"engagementManagers":[]}},{"deploymentId":"a0r4X00000ETUqgQAH","accountName":"New York State Teachers' Retirement System","deploymentName":"Initial Deployment-Your Way-CHCM, TLO, CCB, USP, REC, CE, MSG, FIN, PLNF, etc.","deliveryDirector":"Pawan Sutrala","partner":"Accenture LLP","isExecutiveWatch":false,"surveyType":"PGL","eventDate":"2026-05-08","products":["Prism Analytics"],"isMultipleGoLives":true,"oneThirdPoint":null,"startDate":"Thu Aug 15 2024 00:00:00 GMT-0400 (Eastern Daylight Time)","currentMtp":"Mon Mar 23 2026 00:00:00 GMT-0400 (Eastern Daylight Time)","contacts":{"projectManagers":[{"name":"John Conrad","email":"john.conrad@nystrs.org","role":"Project Manager [Customer]"},{"name":"Dhruti Majmudar","email":"dhruti.majmudar@nystrs.org","role":"Project Manager [Customer]"}],"execSponsors":[{"name":"Vijay Madala","email":"vijay.madala@nystrs.org","role":"Executive Sponsor"},{"name":"Christopher O'Grady","email":"christopher.o'grady@nystrs.org","role":"Executive Sponsor"}],"wdSponsor":{"name":"Roman Cortes","email":"roman.cortes@workday.com","role":"Deployment Sponsor"},"engagementManagers":[]}},{"deploymentId":"a0rVT00000PsEKYYA3","accountName":"Sandoval County, New Mexico","deploymentName":"Initial Deployment-Launch-LDPHCM, LDPCCB, LDPBEN, LDPUSP, etc.","deliveryDirector":"","partner":"Workday Professional Services","isExecutiveWatch":false,"surveyType":"PGL","eventDate":"2026-05-18","products":["Analytics and Reporting","Human Capital Management","Payroll","Talent Management","Workforce Management"],"isMultipleGoLives":false,"oneThirdPoint":null,"startDate":"Mon Mar 10 2025 00:00:00 GMT-0400 (Eastern Daylight Time)","currentMtp":"Mon May 18 2026 00:00:00 GMT-0400 (Eastern Daylight Time)","contacts":{"projectManagers":[{"name":"Angela Rodden","email":"arodden@sandovalcountynm.gov","role":"Project Manager [Customer]"}],"execSponsors":[{"name":"Angela Rodden","email":"arodden@sandovalcountynm.gov","role":"Executive Sponsor"}],"wdSponsor":{"name":"Steve Rogers","email":"steve.rogers@workday.com","role":"Deployment Sponsor"},"engagementManagers":[{"name":"Cortney Wanca","email":"cortney.wanca@workday.com","role":"Engagement Manager [Primary]"}]}},{"deploymentId":"a0rVT00000YXI2cYAH","accountName":"Virginia Retirement System","deploymentName":"Initial Deployment-Your Way-MSG, PPLA, PRA, TT, WSP, GPC, MCNF, etc.","deliveryDirector":"","partner":"Guidehouse Inc","isExecutiveWatch":false,"surveyType":"PGL","eventDate":"2026-05-18","products":["Analytics and Reporting","Human Capital Management","Payroll","Platform and Product Extensions","Talent Management","Workforce Management"],"isMultipleGoLives":false,"oneThirdPoint":null,"startDate":"Tue Jun 10 2025 00:00:00 GMT-0400 (Eastern Daylight Time)","currentMtp":"Mon Apr 27 2026 00:00:00 GMT-0400 (Eastern Daylight Time)","contacts":{"projectManagers":[{"name":"Karen Holloway","email":"kholloway@varetire.org","role":"Project Manager [Customer]"}],"execSponsors":[{"name":"Paula Reid","email":"preid@varetire.org","role":"Executive Sponsor"}],"wdSponsor":null,"engagementManagers":[]}},{"deploymentId":"a0rVT00000ny5f4YAA","accountName":"Virginia Retirement System","deploymentName":"Specialized-Initial Deployment-Adaptive Planning","deliveryDirector":"","partner":"Guidehouse Inc","isExecutiveWatch":false,"surveyType":"PGL","eventDate":"2026-05-29","products":["Adaptive Planning"],"isMultipleGoLives":false,"oneThirdPoint":null,"startDate":"Mon Dec 01 2025 00:00:00 GMT-0500 (Eastern Standard Time)","currentMtp":"Fri May 29 2026 00:00:00 GMT-0400 (Eastern Daylight Time)","contacts":null}],"counts":{"mds":12,"pgl":7}},{"yearMonth":"2026-08","monthLabel":"August 2026","schedule":{"yearMonth":"2026-08","isProjected":false,"surveyOpen":"2026-08-05","reminder1":"2026-08-12","reminder2":"2026-08-24","surveyClose":"2026-08-26","mdsOneThirdWindow":{"start":"2026-07-01","end":"2026-07-30"},"pglFirstMtpWindow":{"start":"2026-06-01","end":"2026-06-30"}},"mdsRows":[{"deploymentId":"a0rVT00000rOVylYAG","accountName":"Boston Public Health Commission","deploymentName":"Initial Deployment-Launch- CHCM, TLO, CCB CLM, WSP, PLNF, PRA etc.","deliveryDirector":"","partner":"Collaborative Solutions, LLC","isExecutiveWatch":false,"surveyType":"MDS","eventDate":"2027-03-21","products":["Human Capital Management","Payroll","Talent Management","Workforce Management"],"isMultipleGoLives":true,"oneThirdPoint":"2026-07-12","startDate":"Mon Mar 09 2026 00:00:00 GMT-0400 (Eastern Daylight Time)","currentMtp":"Sun Mar 14 2027 00:00:00 GMT-0500 (Eastern Standard Time)","contacts":null},{"deploymentId":"a0rVT00000hh6hLYAQ","accountName":"City of Boynton Beach, FL (IronBrick Associates, LLC)","deploymentName":"Initial Deployment-Launch- LDPFIN, LDPPLNF, LDPPRA, LDPPRJT, LDPTLO,etc","deliveryDirector":"","partner":"Workday Professional Services","isExecutiveWatch":false,"surveyType":"MDS","eventDate":"2027-05-28","products":["Analytics and Reporting"],"isMultipleGoLives":true,"oneThirdPoint":"2026-07-07","startDate":"Mon Jan 26 2026 00:00:00 GMT-0500 (Eastern Standard Time)","currentMtp":"Fri Oct 01 2027 00:00:00 GMT-0400 (Eastern Daylight Time)","contacts":{"projectManagers":[{"name":"Gail Mootz","email":"mootzg@bbfl.us","role":"Project Manager [Customer]"}],"execSponsors":[{"name":"Alan Lawson","email":"lawsona@bbfl.us","role":"Executive Sponsor"}],"wdSponsor":{"name":"Roman Cortes","email":"roman.cortes@workday.com","role":"Deployment Sponsor"},"engagementManagers":[{"name":"Mindy Stanley","email":"mindy.stanley@workday.com","role":"Engagement Manager [Primary]"}]}},{"deploymentId":"a0rVT000014eru2YAA","accountName":"City of Olathe (Precision Task Group, Inc.)","deploymentName":"Subsequent - Phase X - Adaptive Planning","deliveryDirector":"","partner":"Strada U.S. Professional Services, LLC","isExecutiveWatch":false,"surveyType":"MDS","eventDate":"2026-11-06","products":["Adaptive Planning"],"isMultipleGoLives":false,"oneThirdPoint":"2026-07-14","startDate":"Tue May 19 2026 00:00:00 GMT-0400 (Eastern Daylight Time)","currentMtp":"Fri Nov 06 2026 00:00:00 GMT-0500 (Eastern Standard Time)","contacts":{"projectManagers":[{"name":"Aaron Goertz","email":"atgoertz@olatheks.org","role":"Project Manager [Customer]"}],"execSponsors":[{"name":"Jamie Robichaud","email":"jrrobichaud@olatheks.org","role":"Executive Sponsor"}],"wdSponsor":null,"engagementManagers":[]}},{"deploymentId":"a0rVT00000tYEnFYAW","accountName":"City of Plantation, FL","deploymentName":"Initial Deployment-Launch-LDPBEN, LDPUSP, LDPLRN, LDPCCLRN, LDPREC, etc.","deliveryDirector":"","partner":"Strada U.S. Professional Services, LLC","isExecutiveWatch":false,"surveyType":"MDS","eventDate":"2027-05-30","products":["Contract Management and Document Intelligence","Financial Management","Human Capital Management","Spend Management"],"isMultipleGoLives":false,"oneThirdPoint":"2026-07-07","startDate":"Mon Jan 26 2026 00:00:00 GMT-0500 (Eastern Standard Time)","currentMtp":"Mon May 31 2027 00:00:00 GMT-0400 (Eastern Daylight Time)","contacts":{"projectManagers":[{"name":"Laura Karpaviciute","email":"lkarpaviciute@plantation.org","role":"Project Manager [Customer]"}],"execSponsors":[{"name":"Laura Karpaviciute","email":"lkarpaviciute@plantation.org","role":"Executive Sponsor"}],"wdSponsor":null,"engagementManagers":[]}},{"deploymentId":"a0rVT0000135GBZYA2","accountName":"City of Plymouth","deploymentName":"Initial Deployment-Launch-LDPHCM, LDPREC, LDPPRA, LDPPRJT, LDPFIN, LDPGM, etc.","deliveryDirector":"","partner":"Workday Professional Services","isExecutiveWatch":true,"surveyType":"MDS","eventDate":"2026-12-07","products":["Financial Management","Spend Management"],"isMultipleGoLives":true,"oneThirdPoint":"2026-07-15","startDate":"Mon May 04 2026 00:00:00 GMT-0400 (Eastern Daylight Time)","currentMtp":"Fri Sep 04 2026 00:00:00 GMT-0400 (Eastern Daylight Time)","contacts":{"projectManagers":[{"name":"Alison Timme","email":"alison.timme@pwc.com","role":"Project Manager [Customer]"},{"name":"Andrea Rich","email":"arich@plymouthmn.gov","role":"Project Manager [Customer]"}],"execSponsors":[{"name":"Alison Timme","email":"alison.timme@pwc.com","role":"Executive Sponsor"},{"name":"Andrea Rich","email":"arich@plymouthmn.gov","role":"Executive Sponsor"}],"wdSponsor":{"name":"Lakshmi Visvanathan","email":"lakshmi.visvanathan@workday.com","role":"Deployment Sponsor"},"engagementManagers":[{"name":"Stephanie Denham","email":"stephanie.denham@workday.com","role":"Engagement Manager [Primary]"}]}},{"deploymentId":"a0rVT00000vIg6bYAC","accountName":"Cosumnes Community Services District","deploymentName":"Initial Deployment-Launch-LDPFIN, LDPPLNF, LDPHCM, LDPHLP, LDPCE, etc.","deliveryDirector":"","partner":"Collaborative Solutions, LLC","isExecutiveWatch":false,"surveyType":"MDS","eventDate":"2027-06-01","products":["Financial Management","Human Capital Management","Payroll","Spend Management","Talent Management","Workforce Management"],"isMultipleGoLives":false,"oneThirdPoint":"2026-07-13","startDate":"Tue Feb 03 2026 00:00:00 GMT-0500 (Eastern Standard Time)","currentMtp":"Tue Jun 01 2027 00:00:00 GMT-0400 (Eastern Daylight Time)","contacts":{"projectManagers":[{"name":"Laura Richards","email":"berrydunn@cosumnescsd.gov","role":"Project Manager [Customer]"}],"execSponsors":[{"name":"Nou Vang","email":"nouvang@cosumnescsd.gov","role":"Executive Sponsor"}],"wdSponsor":null,"engagementManagers":[]}},{"deploymentId":"a0rVT00000qMQqmYAG","accountName":"County of Pinellas (Iron Brick Associates LLC)","deploymentName":"Initial Deployment-Your Way-CCB, USP, LRN, EXP, PRO, INV, CCLRN, REC,","deliveryDirector":"","partner":"Guidehouse Inc","isExecutiveWatch":false,"surveyType":"MDS","eventDate":"2027-10-01","products":["Contract Management and Document Intelligence","Financial Management","Spend Management"],"isMultipleGoLives":true,"oneThirdPoint":"2026-07-23","startDate":"Thu Dec 18 2025 00:00:00 GMT-0500 (Eastern Standard Time)","currentMtp":"Thu Oct 01 2026 00:00:00 GMT-0400 (Eastern Daylight Time)","contacts":{"projectManagers":[{"name":"Joseph Gauthier","email":"jgauthier@pinellas.gov","role":"Project Manager [Customer]"}],"execSponsors":[{"name":"Bryan Zumwalt","email":"bzumwalt@pinellas.gov","role":"Executive Sponsor"}],"wdSponsor":null,"engagementManagers":[]}},{"deploymentId":"a0rVT000016HPNsYAO","accountName":"County of Sutter","deploymentName":"Subsequent-Phase X: Learning","deliveryDirector":"","partner":"Avaap USA, LLC","isExecutiveWatch":false,"surveyType":"MDS","eventDate":"2026-10-09","products":["Talent Management"],"isMultipleGoLives":false,"oneThirdPoint":"2026-07-20","startDate":"Thu Jun 11 2026 00:00:00 GMT-0400 (Eastern Daylight Time)","currentMtp":null,"contacts":null},{"deploymentId":"a0rVT00000vq0zpYAA","accountName":"Kenton County Airport Board","deploymentName":"Initial Deployment-Launch-LDPREC, LDPTLO, LDPTT, LDPAM, LDPSC, etc.","deliveryDirector":"","partner":"Avaap USA, LLC","isExecutiveWatch":false,"surveyType":"MDS","eventDate":"2027-03-18","products":["Human Capital Management","Payroll","Talent Management","Workforce Management"],"isMultipleGoLives":false,"oneThirdPoint":"2026-07-11","startDate":"Mon Mar 09 2026 00:00:00 GMT-0400 (Eastern Daylight Time)","currentMtp":"Thu Mar 18 2027 00:00:00 GMT-0400 (Eastern Daylight Time)","contacts":null},{"deploymentId":"a0rVT000016lr3KYAQ","accountName":"Memphis-Shelby County Airport Authority","deploymentName":"Subsequent-Phase X: Financial Management Extend and Optimize - Expense","deliveryDirector":"","partner":"Groove Global LLC","isExecutiveWatch":false,"surveyType":"MDS","eventDate":"2026-09-28","products":["Financial Management"],"isMultipleGoLives":false,"oneThirdPoint":"2026-07-21","startDate":"Thu Jun 18 2026 00:00:00 GMT-0400 (Eastern Daylight Time)","currentMtp":null,"contacts":null},{"deploymentId":"a0rVT0000111W3BYAU","accountName":"Palmdale Water District","deploymentName":"Initial Deployment-Launch-LDPHCM, LDPCCB, LDPBEN, LDPREC, LDPTLO, etc","deliveryDirector":"","partner":"ERP Analysts Inc. dba ERPA","isExecutiveWatch":false,"surveyType":"MDS","eventDate":"2026-12-14","products":["Financial Management","Human Capital Management","Payroll","Spend Management","Talent Management","Workforce Management"],"isMultipleGoLives":false,"oneThirdPoint":"2026-07-18","startDate":"Wed May 06 2026 00:00:00 GMT-0400 (Eastern Daylight Time)","currentMtp":"Mon Dec 14 2026 00:00:00 GMT-0500 (Eastern Standard Time)","contacts":{"projectManagers":[],"execSponsors":[{"name":"Jennifer Gainey","email":"jenny.gainey@erpa.com","role":"Executive Sponsor"}],"wdSponsor":null,"engagementManagers":[]}},{"deploymentId":"a0rVT0000111F5kYAE","accountName":"State of California, Dept of Health Care Services (Oakland Consulting Group, Inc.)","deploymentName":"Initial Deployment-Your Way-CHCM, TLO, PRA, PRJT, TT, WSP, TC","deliveryDirector":"","partner":"KPMG LLP [US]","isExecutiveWatch":false,"surveyType":"MDS","eventDate":"2027-02-01","products":["Analytics and Reporting","Financial Management","Human Capital Management","Workforce Management"],"isMultipleGoLives":false,"oneThirdPoint":"2026-07-17","startDate":"Fri Apr 10 2026 00:00:00 GMT-0400 (Eastern Daylight Time)","currentMtp":null,"contacts":null},{"deploymentId":"a0rVT000010ulBpYAI","accountName":"Teachers' Retirement System of the State of Illinois (Precision Task Group, Inc.)","deploymentName":"Subsequent-Phase X: FIN","deliveryDirector":"","partner":"Strada U.S. Professional Services, LLC","isExecutiveWatch":false,"surveyType":"MDS","eventDate":"2027-03-05","products":["Adaptive Planning","Financial Management","Spend Management"],"isMultipleGoLives":false,"oneThirdPoint":"2026-07-17","startDate":"Wed Mar 25 2026 00:00:00 GMT-0400 (Eastern Daylight Time)","currentMtp":"Fri Mar 05 2027 00:00:00 GMT-0500 (Eastern Standard Time)","contacts":{"projectManagers":[{"name":"Chandra Chaganti","email":"cchaganti@trsil.org","role":"Project Manager [Customer]"}],"execSponsors":[{"name":"Nicole Fisher","email":"nfisher@trsil.org","role":"Executive Sponsor"},{"name":"Stacey Wood","email":"swood@trsil.org","role":"Executive Sponsor"}],"wdSponsor":null,"engagementManagers":[]}}],"pglRows":[{"deploymentId":"a0rVT00000NuQXZYA3","accountName":"Ben Franklin Transit","deploymentName":"Initial Deployment-Your Way-CHCM, TLO, CCB, REC, FIN, GM, USP, PLNF, PRJT, etc.","deliveryDirector":"Banjo Simbahan","partner":"Avaap USA, LLC","isExecutiveWatch":false,"surveyType":"PGL","eventDate":"2026-06-08","products":["Financial Management","Spend Management"],"isMultipleGoLives":true,"oneThirdPoint":null,"startDate":"Mon Jan 27 2025 00:00:00 GMT-0500 (Eastern Standard Time)","currentMtp":"Mon Dec 15 2025 00:00:00 GMT-0500 (Eastern Standard Time)","contacts":null},{"deploymentId":"a0rVT00000tjiwUYAQ","accountName":"City Of Bell Gardens","deploymentName":"Initial Deployment-Launch-LDPBEN, LDPUSP, LDPLRN, LDPHCM, etc.","deliveryDirector":"","partner":"ERP Analysts Inc. dba ERPA","isExecutiveWatch":false,"surveyType":"PGL","eventDate":"2026-06-15","products":["Financial Management","Human Capital Management","Payroll","Spend Management","Talent Management","Workforce Management"],"isMultipleGoLives":false,"oneThirdPoint":null,"startDate":"Thu Jan 08 2026 00:00:00 GMT-0500 (Eastern Standard Time)","currentMtp":"Mon Jun 15 2026 00:00:00 GMT-0400 (Eastern Daylight Time)","contacts":{"projectManagers":[{"name":"Andrew Tse","email":"atse@bellgardens.org","role":"Project Manager [Customer]"},{"name":"Manuel Carrillo","email":"mcarrillo@bellgardens.org","role":"Project Manager [Customer]"}],"execSponsors":[{"name":"Mike O'Kelly","email":"mokelly@bellgardens.org","role":"Executive Sponsor"}],"wdSponsor":null,"engagementManagers":[]}},{"deploymentId":"a0rVT00000KQZJZYA5","accountName":"City of Corona","deploymentName":"Initial Deployment-Your Way-CHCM, TLO, CCB, USP, FIN, GM, PRA, PRJT, TT, SC, etc","deliveryDirector":"","partner":"Collaborative Solutions, LLC","isExecutiveWatch":false,"surveyType":"PGL","eventDate":"2026-06-05","products":["Core HCM","Financials","Human Capital Management","Payroll","Prism Analytics","Talent Optimization"],"isMultipleGoLives":false,"oneThirdPoint":null,"startDate":"Mon Jan 06 2025 00:00:00 GMT-0500 (Eastern Standard Time)","currentMtp":"Fri Jun 05 2026 00:00:00 GMT-0400 (Eastern Daylight Time)","contacts":{"projectManagers":[],"execSponsors":[{"name":"Brett Channing","email":"brett.channing@coronaca.gov","role":"Executive Sponsor"}],"wdSponsor":null,"engagementManagers":[]}},{"deploymentId":"a0rVT00000SZiW0YAL","accountName":"City of Idaho Falls, ID","deploymentName":"Initial Deployment - Launch - LDPJRNY, LDPBEN, LDPUSP, LDPHCM, LDPHLP, etc.","deliveryDirector":"","partner":"Strada U.S. Professional Services, LLC","isExecutiveWatch":false,"surveyType":"PGL","eventDate":"2026-06-07","products":["Financial Management","Human Capital Management","Payroll","Spend Management","Talent Management","Workforce Management"],"isMultipleGoLives":true,"oneThirdPoint":null,"startDate":"Fri May 09 2025 00:00:00 GMT-0400 (Eastern Daylight Time)","currentMtp":"Fri Jun 19 2026 00:00:00 GMT-0400 (Eastern Daylight Time)","contacts":{"projectManagers":[{"name":"Mark Hagedorn","email":"mhagedorn@idahofalls.gov","role":"Project Manager [Customer]"}],"execSponsors":[{"name":"Mark Hagedorn","email":"mhagedorn@idahofalls.gov","role":"Executive Sponsor"}],"wdSponsor":null,"engagementManagers":[]}},{"deploymentId":"a0rVT00000LxawDYAR","accountName":"City of Irvine","deploymentName":"Initial Deployment-Your Way-CHCM, TLO, JRNY, CCB, USP, LRN, MCNF etc.","deliveryDirector":"","partner":"Collaborative Solutions, LLC","isExecutiveWatch":false,"surveyType":"PGL","eventDate":"2026-06-22","products":["Analytics and Reporting","Financial Management","Human Capital Management","Payroll","Platform and Product Extensions","Spend Management","Talent Management","Workforce Management"],"isMultipleGoLives":true,"oneThirdPoint":null,"startDate":"Mon Jan 06 2025 00:00:00 GMT-0500 (Eastern Standard Time)","currentMtp":"Mon Jun 22 2026 00:00:00 GMT-0400 (Eastern Daylight Time)","contacts":null},{"deploymentId":"a0rVT00000PxFmVYAV","accountName":"City of Santa Maria","deploymentName":"Subsequent - Phase X- Phase 2: HCM","deliveryDirector":"","partner":"Collaborative Solutions, LLC","isExecutiveWatch":false,"surveyType":"PGL","eventDate":"2026-06-05","products":["Talent Management"],"isMultipleGoLives":true,"oneThirdPoint":null,"startDate":"Mon Feb 03 2025 00:00:00 GMT-0500 (Eastern Standard Time)","currentMtp":"Mon Dec 15 2025 00:00:00 GMT-0500 (Eastern Standard Time)","contacts":{"projectManagers":[{"name":"James Oswald","email":"joswald@cityofsantamaria.org","role":"Project Manager [Customer]"}],"execSponsors":[{"name":"Graciela Reynoso","email":"greynoso@cityofsantamaria.org","role":"Executive Sponsor"}],"wdSponsor":null,"engagementManagers":[]}},{"deploymentId":"a0r4X00000DCGf0QAH","accountName":"City of Virginia Beach","deploymentName":"Initial Deployment-Your Way: CHCM, TLO, HLP, CCB, USP, LRN,","deliveryDirector":"","partner":"Deloitte Consulting LLP (Deloitte US)","isExecutiveWatch":false,"surveyType":"PGL","eventDate":"2026-06-11","products":["Human Capital Management","Payroll","Prism Analytics","Talent Optimization"],"isMultipleGoLives":false,"oneThirdPoint":null,"startDate":"Thu May 23 2024 00:00:00 GMT-0400 (Eastern Daylight Time)","currentMtp":"Thu Jun 11 2026 00:00:00 GMT-0400 (Eastern Daylight Time)","contacts":{"projectManagers":[{"name":"Kevin Fairley","email":"kfairley@vbgov.com","role":"Project Manager [Customer]"}],"execSponsors":[{"name":"Monica Croskey","email":"mcroskey@vbgov.com","role":"Executive Sponsor"}],"wdSponsor":{"name":"Roman Cortes","email":"roman.cortes@workday.com","role":"Deployment Sponsor"},"engagementManagers":[]}},{"deploymentId":"a0rVT00000eiHNtYAM","accountName":"City of West Jordan (IronBrick)","deploymentName":"Initial Deployment-Launch-MCNF, LDPREC, LDPMSG, LDPTLO, LDPBEN etc.","deliveryDirector":"","partner":"Workday Professional Services","isExecutiveWatch":false,"surveyType":"PGL","eventDate":"2026-06-11","products":["Human Capital Management","Payroll","Talent Management","Workforce Management"],"isMultipleGoLives":false,"oneThirdPoint":null,"startDate":"Sun Aug 24 2025 00:00:00 GMT-0400 (Eastern Daylight Time)","currentMtp":"Thu Jun 11 2026 00:00:00 GMT-0400 (Eastern Daylight Time)","contacts":{"projectManagers":[{"name":"Joe Bryant","email":"joe.bryant@westjordan.utah.gov","role":"Project Manager [Customer]"}],"execSponsors":[{"name":"Danyce Steck","email":"danyce.steck@westjordan.utah.gov","role":"Executive Sponsor"}],"wdSponsor":{"name":"Roman Cortes","email":"roman.cortes@workday.com","role":"Deployment Sponsor"},"engagementManagers":[{"name":"Donna Trumbower","email":"donna.trumbower@workday.com","role":"Engagement Manager [Primary]"}]}},{"deploymentId":"a0r4X00000CrVBOQA3","accountName":"County of Santa Cruz","deploymentName":"Initial Deployment-Your Way-CHCM, TLO, CCB, USP, PRA, TT, etc.","deliveryDirector":"","partner":"Guidehouse Inc","isExecutiveWatch":false,"surveyType":"PGL","eventDate":"2026-06-14","products":["Human Capital Management","Payroll","Prism Analytics","Talent Optimization"],"isMultipleGoLives":false,"oneThirdPoint":null,"startDate":"Thu Jul 11 2024 00:00:00 GMT-0400 (Eastern Daylight Time)","currentMtp":"Mon Apr 06 2026 00:00:00 GMT-0400 (Eastern Daylight Time)","contacts":{"projectManagers":[],"execSponsors":[],"wdSponsor":{"name":"Steve Rogers","email":"steve.rogers@workday.com","role":"Deployment Sponsor"},"engagementManagers":[]}},{"deploymentId":"a0r4X00000ETWIbQAP","accountName":"County of Waupaca","deploymentName":"Initial Deployment-Launch-LDPHCM, LDPJRNY, LDPCCB, LDPBEN, LDPUSP, etc","deliveryDirector":"","partner":"Workday Professional Services","isExecutiveWatch":false,"surveyType":"PGL","eventDate":"2026-06-29","products":["Financials","Human Capital Management","Planning"],"isMultipleGoLives":true,"oneThirdPoint":null,"startDate":"Wed Oct 16 2024 00:00:00 GMT-0400 (Eastern Daylight Time)","currentMtp":"Sun Dec 14 2025 00:00:00 GMT-0500 (Eastern Standard Time)","contacts":{"projectManagers":[{"name":"Heidi Dombrowksi","email":"heidi.dombrowksi@co.waupaca.wi.us","role":"Project Manager [Customer]"}],"execSponsors":[{"name":"Heidi Dombrowksi","email":"heidi.dombrowksi@co.waupaca.wi.us","role":"Executive Sponsor"}],"wdSponsor":{"name":"Roman Cortes","email":"roman.cortes@workday.com","role":"Deployment Sponsor"},"engagementManagers":[{"name":"Raman Singh","email":"raman.singh@workday.com","role":"Engagement Manager [Primary]"},{"name":"Danni Harris","email":"danni.harris@workday.com","role":"Engagement Manager [Primary]"}]}},{"deploymentId":"a0r4X00000ETW1VQAX","accountName":"North Texas Tollway Authority (Precision Task Group, Inc.)","deploymentName":"Initial Deployment-Your Way-CHCM, TLO, HLP, JRNY, EMPVCE, CCB, USP, LRN, etc.","deliveryDirector":"","partner":"Precision Task Group Inc.","isExecutiveWatch":false,"surveyType":"PGL","eventDate":"2026-06-15","products":["Human Capital Management","People Experience","Talent Optimization"],"isMultipleGoLives":true,"oneThirdPoint":null,"startDate":"Fri Oct 11 2024 00:00:00 GMT-0400 (Eastern Daylight Time)","currentMtp":"Mon Jun 15 2026 00:00:00 GMT-0400 (Eastern Daylight Time)","contacts":{"projectManagers":[{"name":"Scott Pape","email":"spape@ntta.org","role":"Project Manager [Customer]"}],"execSponsors":[{"name":"Jeffrey Mezigian","email":"jeffrey.mezigian@stradaglobal.com","role":"Executive Sponsor"},{"name":"Scott Pape","email":"spape@ntta.org","role":"Executive Sponsor"}],"wdSponsor":null,"engagementManagers":[]}},{"deploymentId":"a0rVT00000pM5lSYAS","accountName":"Ontario International Airport Authority","deploymentName":"Subsequent - Phase X - Projects Add-on","deliveryDirector":"","partner":"Groove Global LLC","isExecutiveWatch":false,"surveyType":"PGL","eventDate":"2026-06-30","products":["Financial Management"],"isMultipleGoLives":false,"oneThirdPoint":null,"startDate":"Mon Oct 20 2025 00:00:00 GMT-0400 (Eastern Daylight Time)","currentMtp":"Wed Jul 01 2026 00:00:00 GMT-0400 (Eastern Daylight Time)","contacts":null},{"deploymentId":"a0r4X00000E14IgQAJ","accountName":"State of Georgia","deploymentName":"Initial Deployment-Your Way: CHCM, USP, LRN, REC, GM, PRJT, PRO, INV, TLO, etc.","deliveryDirector":"Karen Gendron","partner":"Deloitte Consulting LLP (Deloitte US)","isExecutiveWatch":true,"surveyType":"PGL","eventDate":"2026-06-21","products":["Financials","Human Capital Management","Payroll","People Experience","Prism Analytics","Talent Optimization","Workday Extend"],"isMultipleGoLives":true,"oneThirdPoint":null,"startDate":"Mon Dec 11 2023 00:00:00 GMT-0500 (Eastern Standard Time)","currentMtp":"Sun Jun 21 2026 00:00:00 GMT-0400 (Eastern Daylight Time)","contacts":{"projectManagers":[],"execSponsors":[],"wdSponsor":{"name":"Steve Rogers","email":"steve.rogers@workday.com","role":"Deployment Sponsor"},"engagementManagers":[]}},{"deploymentId":"a0rVT00000vtwYyYAI","accountName":"State of Washington, Dept of Fish and Wildlife","deploymentName":"Initial Deployment-Launch Flex- CHCM","deliveryDirector":"","partner":"Workday Professional Services","isExecutiveWatch":false,"surveyType":"PGL","eventDate":"2026-06-08","products":["Human Capital Management"],"isMultipleGoLives":false,"oneThirdPoint":null,"startDate":"Tue Jan 27 2026 00:00:00 GMT-0500 (Eastern Standard Time)","currentMtp":"Mon Jun 08 2026 00:00:00 GMT-0400 (Eastern Daylight Time)","contacts":{"projectManagers":[{"name":"Katelyn Shelton","email":"katelyn.shelton@dfw.wa.gov","role":"Project Manager [Customer]"},{"name":"Julie Moreau","email":"julie.moreau@isg-nw.com","role":"Project Manager [Customer]"}],"execSponsors":[{"name":"Katelyn Shelton","email":"katelyn.shelton@dfw.wa.gov","role":"Executive Sponsor"},{"name":"Matthew Oram","email":"matthew.oram@dfw.wa.gov","role":"Executive Sponsor"},{"name":"Joshua Petschack","email":"joshua.petschack@crownmelbourne.com.au","role":"Executive Sponsor"},{"name":"Jack Potter","email":"jack.potter@dfw.wa.gov","role":"Executive Sponsor"}],"wdSponsor":{"name":"Roman Cortes","email":"roman.cortes@workday.com","role":"Deployment Sponsor"},"engagementManagers":[{"name":"Stephanie Denham","email":"stephanie.denham@workday.com","role":"Engagement Manager [Primary]"}]}}],"counts":{"mds":13,"pgl":14}},{"yearMonth":"2026-09","monthLabel":"September 2026","schedule":{"yearMonth":"2026-09","isProjected":false,"surveyOpen":"2026-09-02","reminder1":"2026-09-09","reminder2":"2026-09-21","surveyClose":"2026-09-23","mdsOneThirdWindow":{"start":"2026-07-31","end":"2026-08-30"},"pglFirstMtpWindow":{"start":"2026-07-01","end":"2026-07-31"}},"mdsRows":[{"deploymentId":"a0rVT00000rOVylYAG","accountName":"Boston Public Health Commission","deploymentName":"Initial Deployment-Launch- CHCM, TLO, CCB CLM, WSP, PLNF, PRA etc.","deliveryDirector":"","partner":"Collaborative Solutions, LLC","isExecutiveWatch":false,"surveyType":"MDS","eventDate":"2027-06-27","products":["Contract Management and Document Intelligence","Financial Management","Payroll","Spend Management"],"isMultipleGoLives":true,"oneThirdPoint":"2026-08-14","startDate":"Mon Mar 09 2026 00:00:00 GMT-0400 (Eastern Daylight Time)","currentMtp":"Sun Mar 14 2027 00:00:00 GMT-0500 (Eastern Standard Time)","contacts":null},{"deploymentId":"a0rVT000015XPgzYAG","accountName":"County of Denton","deploymentName":"Subsequent-Phase X: Talent, Learning, Recruiting, and Workforce Planning","deliveryDirector":"","partner":"Collaborative Solutions, LLC","isExecutiveWatch":false,"surveyType":"MDS","eventDate":"2026-12-01","products":["Adaptive Planning","Talent Management"],"isMultipleGoLives":false,"oneThirdPoint":"2026-07-31","startDate":"Mon Jun 01 2026 00:00:00 GMT-0400 (Eastern Daylight Time)","currentMtp":"Tue Dec 01 2026 00:00:00 GMT-0500 (Eastern Standard Time)","contacts":null},{"deploymentId":"a0rVT000016NcgYYAS","accountName":"Grand River Dam Authority","deploymentName":"Subsequent-Phase X: HCM","deliveryDirector":"","partner":"Strada U.S. Professional Services, LLC","isExecutiveWatch":false,"surveyType":"MDS","eventDate":"2027-01-01","products":["Human Capital Management","Payroll","Workforce Management"],"isMultipleGoLives":false,"oneThirdPoint":"2026-08-18","startDate":"Fri Jun 12 2026 00:00:00 GMT-0400 (Eastern Daylight Time)","currentMtp":null,"contacts":null},{"deploymentId":"a0rVT00000ySxp0YAC","accountName":"Metro","deploymentName":"Initial Deployment-Launch-LDPPRJT, LDPTHUB, LDPEXP, LDPREC, etc","deliveryDirector":"","partner":"Deloitte Consulting LLP (Deloitte US)","isExecutiveWatch":false,"surveyType":"MDS","eventDate":"2027-07-01","products":["Analytics and Reporting","Contract Management and Document Intelligence","Financial Management","Human Capital Management","Payroll","Spend Management","Talent Management"],"isMultipleGoLives":false,"oneThirdPoint":"2026-08-15","startDate":"Mon Mar 09 2026 00:00:00 GMT-0400 (Eastern Daylight Time)","currentMtp":null,"contacts":null},{"deploymentId":"a0rVT000016K5afYAC","accountName":"North Texas Tollway Authority (Precision Task Group, Inc.)","deploymentName":"Subsequent-Phase X: ADV, PE, PRISM, PA, PK, SS","deliveryDirector":"","partner":"Strada U.S. Professional Services, LLC","isExecutiveWatch":false,"surveyType":"MDS","eventDate":"2026-12-01","products":["Human Capital Management"],"isMultipleGoLives":true,"oneThirdPoint":"2026-08-14","startDate":"Mon Jun 22 2026 00:00:00 GMT-0400 (Eastern Daylight Time)","currentMtp":"Mon Feb 01 2027 00:00:00 GMT-0500 (Eastern Standard Time)","contacts":null},{"deploymentId":"a0rVT000016K5afYAC","accountName":"North Texas Tollway Authority (Precision Task Group, Inc.)","deploymentName":"Subsequent-Phase X: ADV, PE, PRISM, PA, PK, SS","deliveryDirector":"","partner":"Strada U.S. Professional Services, LLC","isExecutiveWatch":false,"surveyType":"MDS","eventDate":"2027-01-01","products":["Adaptive Planning"],"isMultipleGoLives":true,"oneThirdPoint":"2026-08-25","startDate":"Mon Jun 22 2026 00:00:00 GMT-0400 (Eastern Daylight Time)","currentMtp":"Mon Feb 01 2027 00:00:00 GMT-0500 (Eastern Standard Time)","contacts":null},{"deploymentId":"a0rVT000016K5afYAC","accountName":"North Texas Tollway Authority (Precision Task Group, Inc.)","deploymentName":"Subsequent-Phase X: ADV, PE, PRISM, PA, PK, SS","deliveryDirector":"","partner":"Strada U.S. Professional Services, LLC","isExecutiveWatch":false,"surveyType":"MDS","eventDate":"2027-01-04","products":["Adaptive Planning"],"isMultipleGoLives":true,"oneThirdPoint":"2026-08-26","startDate":"Mon Jun 22 2026 00:00:00 GMT-0400 (Eastern Daylight Time)","currentMtp":"Mon Feb 01 2027 00:00:00 GMT-0500 (Eastern Standard Time)","contacts":null},{"deploymentId":"a0rVT00000vwFp9YAE","accountName":"Southern Ute Indian Tribe DBA Southern Ute Indian Tribe Shared Services","deploymentName":"Initial Deployment-Launch-LDPHCM, LDPCCB, LDPBEN, LDPUSP, LDPLRN, LDPFIN, etc.","deliveryDirector":"","partner":"CrossVue, LLC","isExecutiveWatch":false,"surveyType":"MDS","eventDate":"2027-07-26","products":["Adaptive Planning","Analytics and Repor</t>
  </si>
  <si>
    <t>017VT0000D5wprwYQA</t>
  </si>
  <si>
    <t>mdsPglBatchView:SLG:3:chunk:1</t>
  </si>
  <si>
    <t>{Name=Light &amp; Wonder, attributes={url=/services/data/v62.0/sobjects/Account/0013000000J3pFuAAJ, type=Account}, PS_Region_New__c=US Large Enterprise DI &amp; Mexico, Industry=Media &amp; Entertainment}</t>
  </si>
  <si>
    <t>ting","Financial Management","Human Capital Management","Payroll","Spend Management","Talent Management","Workforce Management"],"isMultipleGoLives":false,"oneThirdPoint":"2026-08-19","startDate":"Mon Mar 02 2026 00:00:00 GMT-0500 (Eastern Standard Time)","currentMtp":"Mon Jul 26 2027 00:00:00 GMT-0400 (Eastern Daylight Time)","contacts":null},{"deploymentId":"a0rVT00000quzT2YAI","accountName":"State of Illinois, Supreme Court (Iron Brick Associates LLC)","deploymentName":"Initial Deployment-Your Way-CCB, GPC, LRN, CCLRN, REC, CE, CHCM, etc","deliveryDirector":"","partner":"Strada U.S. Professional Services, LLC","isExecutiveWatch":false,"surveyType":"MDS","eventDate":"2027-01-01","products":["Human Capital Management","Workforce Management"],"isMultipleGoLives":false,"oneThirdPoint":"2026-08-11","startDate":"Mon Jun 01 2026 00:00:00 GMT-0400 (Eastern Daylight Time)","currentMtp":"Fri Jan 01 2027 00:00:00 GMT-0500 (Eastern Standard Time)","contacts":null}],"pglRows":[{"deploymentId":"a0rVT00000ostsNYAQ","accountName":"City of Palm Bay","deploymentName":"Subsequent-Phase X: FINS","deliveryDirector":"Michael Biagini","partner":"Collaborative Solutions, LLC","isExecutiveWatch":false,"surveyType":"PGL","eventDate":"2026-07-01","products":["Financial Management","Human Capital Management","Spend Management"],"isMultipleGoLives":true,"oneThirdPoint":null,"startDate":"Mon Nov 17 2025 00:00:00 GMT-0500 (Eastern Standard Time)","currentMtp":"Fri Jun 12 2026 00:00:00 GMT-0400 (Eastern Daylight Time)","contacts":null},{"deploymentId":"a0r4X00000BWhT1QAL","accountName":"Los Angeles Department of Water and Power (LADWP)","deploymentName":"Initial Deployment-Your Way: FIN, GM, PRJT, PB, etc.","deliveryDirector":"","partner":"Workday Professional Services","isExecutiveWatch":false,"surveyType":"PGL","eventDate":"2026-07-01","products":["Financials"],"isMultipleGoLives":false,"oneThirdPoint":null,"startDate":"Thu Jul 01 2021 00:00:00 GMT-0400 (Eastern Daylight Time)","currentMtp":"Wed Jul 01 2026 00:00:00 GMT-0400 (Eastern Daylight Time)","contacts":{"projectManagers":[],"execSponsors":[],"wdSponsor":{"name":"Eric Warshower","email":"eric.warshower@workday.com","role":"Deployment Sponsor"},"engagementManagers":[{"name":"Banjo Simbahan","email":"banjo.simbahan@workday.com","role":"Engagement Manager [Primary]"}]}},{"deploymentId":"a0r4X00000ETW1VQAX","accountName":"North Texas Tollway Authority (Precision Task Group, Inc.)","deploymentName":"Initial Deployment-Your Way-CHCM, TLO, HLP, JRNY, EMPVCE, CCB, USP, LRN, etc.","deliveryDirector":"","partner":"Precision Task Group Inc.","isExecutiveWatch":false,"surveyType":"PGL","eventDate":"2026-07-01","products":["Financials"],"isMultipleGoLives":true,"oneThirdPoint":null,"startDate":"Fri Oct 11 2024 00:00:00 GMT-0400 (Eastern Daylight Time)","currentMtp":"Mon Jun 15 2026 00:00:00 GMT-0400 (Eastern Daylight Time)","contacts":{"projectManagers":[{"name":"Scott Pape","email":"spape@ntta.org","role":"Project Manager [Customer]"}],"execSponsors":[{"name":"Jeffrey Mezigian","email":"jeffrey.mezigian@stradaglobal.com","role":"Executive Sponsor"},{"name":"Scott Pape","email":"spape@ntta.org","role":"Executive Sponsor"}],"wdSponsor":null,"engagementManagers":[]}}],"counts":{"mds":9,"pgl":3}}],"exceptions":[{"deploymentId":"a0rVT00000iWFtpYAG","accountName":"Electric Reliability Council of Texas, Inc. (ERCOT)","deploymentName":"Subsequent-Phase X: VNDLY","deploymentStartDate":"Wed Jul 09 2025 00:00:00 GMT-0400 (Eastern Daylight Time)","missingType":"DeploymentTargetEnd","hasProducts":false,"deliveryDirector":null}]}</t>
  </si>
  <si>
    <t>2026-05-06T12:24:29.000+0000</t>
  </si>
  <si>
    <t>00580000007JWfKAAW</t>
  </si>
  <si>
    <t>0013000000HpdzHAAR</t>
  </si>
  <si>
    <t>{PS_Region_New__c=DACH, attributes={url=/services/data/v62.0/sobjects/Account/0013000000HpdzHAAR, type=Account}, PS_Sub_Region__c=Germany CB, Industry=Banking &amp; Capital Markets, SubRegion__c=Germany LE CB, Name=Deutsche Bank AG}</t>
  </si>
  <si>
    <t>017VT0000D5vgOGYQY</t>
  </si>
  <si>
    <t>mdsPglBatchView:SLG:6:chunk:0</t>
  </si>
  <si>
    <t>{PS_Region_New__c=US Large Enterprise DI &amp; Mexico, attributes={url=/services/data/v62.0/sobjects/Account/0013000000J3pFuAAJ, type=Account}, Industry=Media &amp; Entertainment, Name=Light &amp; Wonder}</t>
  </si>
  <si>
    <t>2026-05-06T12:26:45.000+0000</t>
  </si>
  <si>
    <t>28 Sep - SIT testing starting this week. No concerns at this stage.</t>
  </si>
  <si>
    <t>017VT0000DLUO76YQH</t>
  </si>
  <si>
    <t>{Name=Bayer AG, PS_Region_New__c=DACH, attributes={type=Account, url=/services/data/v62.0/sobjects/Account/0018000000shOeLAAU}, Industry=Healthcare Manufacturing}</t>
  </si>
  <si>
    <t>0013000000K9xaXAAR</t>
  </si>
  <si>
    <t>2026-05-18T08:25:22.000+0000</t>
  </si>
  <si>
    <t>{attributes={type=Account, url=/services/data/v62.0/sobjects/Account/0013000000K9xaXAAR}, PS_Region_New__c=US FSI, Name=Government Employees Insurance Company, SubRegion__c=US FSI Key Accounts, Industry=Insurance, PS_Sub_Region__c=FSI Key Accounts}</t>
  </si>
  <si>
    <t>0051B00000Dh8xdQAB</t>
  </si>
  <si>
    <t>017VT0000Fl5JuCYQU</t>
  </si>
  <si>
    <t>{Name=Bayer AG, attributes={type=Account, url=/services/data/v62.0/sobjects/Account/0018000000shOeLAAU}, PS_Region_New__c=DACH, Industry=Healthcare Manufacturing}</t>
  </si>
  <si>
    <t>2026-08-17T12:39:11.000+0000</t>
  </si>
  <si>
    <t>0051B00000CiqeEQAR</t>
  </si>
  <si>
    <t>{attributes={url=/services/data/v62.0/sobjects/Contact/0034X000033tzyTQAQ, type=Contact}, Full_Name__c=Raj Menon}</t>
  </si>
  <si>
    <t>017VT0000GC8GvTYQV</t>
  </si>
  <si>
    <t>{Industry=Healthcare Manufacturing, PS_Region_New__c=DACH, Name=Bayer AG, attributes={url=/services/data/v62.0/sobjects/Account/0018000000shOeLAAU, type=Account}}</t>
  </si>
  <si>
    <t>Geico completed SIT and has kicked off User Experience Testing. Geico is planning on going live with Paradox on 10/19/26. There are some open issues that are currently being worked on by both Workday and Geico teams.</t>
  </si>
  <si>
    <t>2026-09-03T10:56:07.000+0000</t>
  </si>
  <si>
    <t>017VT0000FPW8MLYQ1</t>
  </si>
  <si>
    <t>{Name=Siemens AG, PS_Region_New__c=DACH, Industry=High Technology, attributes={type=Account, url=/services/data/v62.0/sobjects/Account/0018000000ojReRAAU}}</t>
  </si>
  <si>
    <t>2026-08-01T21:39:09.000+0000</t>
  </si>
  <si>
    <t>0054X00000EbTQmQAN</t>
  </si>
  <si>
    <t>017VT0000GKkKFwYQN</t>
  </si>
  <si>
    <t>{PS_Region_New__c=UKI, Industry=Media &amp; Entertainment, Name=Power Leisure Bookmakers Limited, PS_Sub_Region__c=UKI TME, SubRegion__c=UKI TM CB, attributes={type=Account, url=/services/data/v62.0/sobjects/Account/00180000010yfsJAAQ}}</t>
  </si>
  <si>
    <t>{attributes={url=/services/data/v62.0/sobjects/Account/0018000000ojReRAAU, type=Account}, PS_Region_New__c=DACH, Industry=High Technology, Name=Siemens AG}</t>
  </si>
  <si>
    <t>2026-09-08T20:46:40.000+0000</t>
  </si>
  <si>
    <t>017VT0000Gi5TcPYQU</t>
  </si>
  <si>
    <t>{Full_Name__c=Yuriy Yushchenko, attributes={type=Contact, url=/services/data/v62.0/sobjects/Contact/0034X00003RCR3wQAH}}</t>
  </si>
  <si>
    <t>{Name=Siemens AG, PS_Region_New__c=DACH, Industry=High Technology, attributes={url=/services/data/v62.0/sobjects/Account/0018000000ojReRAAU, type=Account}}</t>
  </si>
  <si>
    <t>Project is in last week of the Build phase. Sign-off is planned for 28/09. Testing preparation activities are being executed.</t>
  </si>
  <si>
    <t>2026-09-22T10:21:26.000+0000</t>
  </si>
  <si>
    <t>005VT00000Jv3SrYAJ</t>
  </si>
  <si>
    <t>017VT0000CwMc6hYQC</t>
  </si>
  <si>
    <t>{attributes={type=Account, url=/services/data/v62.0/sobjects/Account/0018000001EfgHnAAJ}, Name=CGB Enterprises, Inc., PS_Region_New__c=US Medium Enterprise DI, Industry=Consumer Goods}</t>
  </si>
  <si>
    <t>0013000000J0qX9AAJ</t>
  </si>
  <si>
    <t>{Industry=Investment Management, PS_Sub_Region__c=FSI LE, Name=The Capital Group Companies, Inc., attributes={type=Account, url=/services/data/v62.0/sobjects/Account/0013000000J0qX9AAJ}, PS_Region_New__c=US FSI, SubRegion__c=US FSI LE West}</t>
  </si>
  <si>
    <t>2026-04-28T21:09:13.000+0000</t>
  </si>
  <si>
    <t>005VT00000JuwrEYAR</t>
  </si>
  <si>
    <t>017VT0000CxncviYQA</t>
  </si>
  <si>
    <t>{Name=CGB Enterprises, Inc., attributes={type=Account, url=/services/data/v62.0/sobjects/Account/0018000001EfgHnAAJ}, PS_Region_New__c=US Medium Enterprise DI, Industry=Consumer Goods}</t>
  </si>
  <si>
    <t>BDR signoff scheduled for 9-2 
Design Sessions in progress 
Customer working on Pre Workbook completion</t>
  </si>
  <si>
    <t>2026-04-29T20:53:04.000+0000</t>
  </si>
  <si>
    <t>017VT0000Dz8vERYQY</t>
  </si>
  <si>
    <t>{attributes={type=Account, url=/services/data/v62.0/sobjects/Account/0018000001EfgHnAAJ}, PS_Region_New__c=US Medium Enterprise DI, Industry=Consumer Goods, Name=CGB Enterprises, Inc.}</t>
  </si>
  <si>
    <t>{PS_Sub_Region__c=FSI LE, attributes={type=Account, url=/services/data/v62.0/sobjects/Account/0013000000J0qX9AAJ}, Industry=Investment Management, PS_Region_New__c=US FSI, SubRegion__c=US FSI LE West, Name=The Capital Group Companies, Inc.}</t>
  </si>
  <si>
    <t>2026-06-10T17:57:29.000+0000</t>
  </si>
  <si>
    <t>005VT00000EY7AHYA1</t>
  </si>
  <si>
    <t>2026 0 14: Projected to start October 19. Finalizing change order to capture project deliverables.</t>
  </si>
  <si>
    <t>017VT0000GJzS33YQF</t>
  </si>
  <si>
    <t>a0rVT00001DX9NtYAL</t>
  </si>
  <si>
    <t>Legacy Paradox_Migrated Scorecard for Customer 360</t>
  </si>
  <si>
    <t>1939 Group, Inc.</t>
  </si>
  <si>
    <t>2026-09-08T13:46:20.000+0000</t>
  </si>
  <si>
    <t>017VT0000GJzNdXYQV</t>
  </si>
  <si>
    <t>{PS_Region_New__c=US Medium Enterprise DI, attributes={url=/services/data/v62.0/sobjects/Account/0018000001EfgHnAAJ, type=Account}, Name=CGB Enterprises, Inc., Industry=Consumer Goods}</t>
  </si>
  <si>
    <t>001VT00000dMdylYAC</t>
  </si>
  <si>
    <t>2026-09-08T13:47:12.000+0000</t>
  </si>
  <si>
    <t>{PS_Region_New__c=US Medium Enterprise DI, SubRegion__c=US DI Commercial NN Southeast, attributes={url=/services/data/v62.0/sobjects/Account/001VT00000dMdylYAC, type=Account}, PS_Sub_Region__c=ME Commercial East, Industry=Auto, Name=Epika Fleet Services, Inc}</t>
  </si>
  <si>
    <t>Legacy Paradox Data Migration</t>
  </si>
  <si>
    <t>017VT0000GQFK2nYQH</t>
  </si>
  <si>
    <t>a0rVT00001DWqukYAD</t>
  </si>
  <si>
    <t>{PS_Region_New__c=US Medium Enterprise DI, Industry=Consumer Goods, Name=CGB Enterprises, Inc., attributes={url=/services/data/v62.0/sobjects/Account/0018000001EfgHnAAJ, type=Account}}</t>
  </si>
  <si>
    <t>3M Company</t>
  </si>
  <si>
    <t>{Full_Name__c=Tyler Mandry, attributes={type=Contact, url=/services/data/v62.0/sobjects/Contact/0034X00002yTifpQAC}}</t>
  </si>
  <si>
    <t>2026-09-11T17:53:54.000+0000</t>
  </si>
  <si>
    <t>9/21:  A demo is scheduled for today and we are pushing to launch E2E testing next week.  Working with the customer to engage Paylocity to complete technical configuration.</t>
  </si>
  <si>
    <t>017VT0000DbnBSBYQ2</t>
  </si>
  <si>
    <t>{PS_Region_New__c=US Large Enterprise DI &amp; Mexico, attributes={url=/services/data/v62.0/sobjects/Account/0018000000jt17fAAA, type=Account}, Industry=Healthcare Manufacturing, Name=Regeneron Pharmaceuticals, Inc.}</t>
  </si>
  <si>
    <t>0018000001WAo9oAAD</t>
  </si>
  <si>
    <t>{Name=PM Pediatrics Management Group, LLC, attributes={url=/services/data/v62.0/sobjects/Account/0018000001WAo9oAAD, type=Account}, PS_Region_New__c=US Healthcare, SubRegion__c=US Healthcare ME CB East, PS_Sub_Region__c=Healthcare ME, Industry=Ambulatory}</t>
  </si>
  <si>
    <t>{"horizonMonths":6,"today":"2026-07-04","asOf":"2026-07-04T16:29:06.457Z","groups":[{"yearMonth":"2026-07","monthLabel":"July 2026","schedule":{"yearMonth":"2026-07","isProjected":false,"surveyOpen":"2026-07-08","reminder1":"2026-07-15","reminder2":"2026-07-27","surveyClose":"2026-07-29","mdsOneThirdWindow":{"start":"2026-05-31","end":"2026-06-30"},"pglFirstMtpWindow":{"start":"2026-05-01","end":"2026-05-31"}},"mdsRows":[{"deploymentId":"a0rVT00000quy3uYAA","accountName":"Chelan County, WA","deploymentName":"Initial Deployment-Launch-LDPFIN, LDPPRA, LDPPRJT, LDPTT, LDPBEN, LDPUSP,etc","deliveryDirector":"","partner":"Collaborative Solutions, LLC","isExecutiveWatch":false,"surveyType":"MDS","eventDate":"2027-03-01","products":["Analytics and Reporting","Contract Management and Document Intelligence","Financial Management","Human Capital Management","Payroll","Spend Management","Talent Management","Workforce Management"],"isMultipleGoLives":false,"oneThirdPoint":"2026-06-07","startDate":"Mon Jan 26 2026 00:00:00 GMT-0500 (Eastern Standard Time)","currentMtp":"Mon Mar 01 2027 00:00:00 GMT-0500 (Eastern Standard Time)","contacts":null},{"deploymentId":"a0rVT000012spwkYAA","accountName":"City of Akron","deploymentName":"Subsequent-Phase X: Recruiting","deliveryDirector":"","partner":"Guidehouse Inc","isExecutiveWatch":false,"surveyType":"MDS","eventDate":"2026-12-01","products":["Human Capital Management"],"isMultipleGoLives":false,"oneThirdPoint":"2026-05-31","startDate":"Sun Mar 01 2026 00:00:00 GMT-0500 (Eastern Standard Time)","currentMtp":"Tue Dec 01 2026 00:00:00 GMT-0500 (Eastern Standard Time)","contacts":null},{"deploymentId":"a0rVT00000hh6hLYAQ","accountName":"City of Boynton Beach, FL (IronBrick Associates, LLC)","deploymentName":"Initial Deployment-Launch- LDPFIN, LDPPLNF, LDPPRA, LDPPRJT, LDPTLO,etc","deliveryDirector":"","partner":"Workday Professional Services","isExecutiveWatch":false,"surveyType":"MDS","eventDate":"2027-04-23","products":["Human Capital Management","Payroll","Talent Management","Workforce Management"],"isMultipleGoLives":true,"oneThirdPoint":"2026-06-25","startDate":"Mon Jan 26 2026 00:00:00 GMT-0500 (Eastern Standard Time)","currentMtp":"Fri Oct 01 2027 00:00:00 GMT-0400 (Eastern Daylight Time)","contacts":{"projectManagers":[{"name":"Gail Mootz","email":"mootzg@bbfl.us","role":"Project Manager [Customer]"}],"execSponsors":[{"name":"Alan Lawson","email":"lawsona@bbfl.us","role":"Executive Sponsor"}],"wdSponsor":{"name":"Roman Cortes","email":"roman.cortes@workday.com","role":"Deployment Sponsor"},"engagementManagers":[{"name":"Mindy Stanley","email":"mindy.stanley@workday.com","role":"Engagement Manager [Primary]"}]}},{"deploymentId":"a0rVT0000120kVsYAI","accountName":"City of Charlotte on behalf of Charlotte Area Transit System","deploymentName":"Initial Deployment-Launch-SRCEXP, PRO, XTND, CLMB, LRNSNA, CHCM,etc","deliveryDirector":"","partner":"Avaap USA, LLC","isExecutiveWatch":false,"surveyType":"MDS","eventDate":"2026-12-17","products":["Financial Management","Human Capital Management","Payroll","Spend Management","Talent Management","Workforce Management"],"isMultipleGoLives":false,"oneThirdPoint":"2026-06-25","startDate":"Mon Mar 30 2026 00:00:00 GMT-0400 (Eastern Daylight Time)","currentMtp":"Thu Dec 17 2026 00:00:00 GMT-0500 (Eastern Standard Time)","contacts":{"projectManagers":[{"name":"Perri Campbell","email":"perri.campbell@charlottenc.gov","role":"Project Manager [Customer]"}],"execSponsors":[{"name":"Rachel Gragg","email":"rachel.gragg@charlottenc.gov","role":"Executive Sponsor"}],"wdSponsor":null,"engagementManagers":[]}},{"deploymentId":"a0rVT0000135GBZYA2","accountName":"City of Plymouth","deploymentName":"Initial Deployment-Launch-LDPHCM, LDPREC, LDPPRA, LDPPRJT, LDPFIN, LDPGM, etc.","deliveryDirector":"","partner":"Workday Professional Services","isExecutiveWatch":true,"surveyType":"MDS","eventDate":"2026-09-04","products":["Human Capital Management","Payroll","Platform and Product Extensions","Talent Management","Workforce Management"],"isMultipleGoLives":true,"oneThirdPoint":"2026-06-13","startDate":"Mon May 04 2026 00:00:00 GMT-0400 (Eastern Daylight Time)","currentMtp":"Fri Sep 04 2026 00:00:00 GMT-0400 (Eastern Daylight Time)","contacts":{"projectManagers":[{"name":"Alison Timme","email":"alison.timme@pwc.com","role":"Project Manager [Customer]"},{"name":"Andrea Rich","email":"arich@plymouthmn.gov","role":"Project Manager [Customer]"}],"execSponsors":[{"name":"Alison Timme","email":"alison.timme@pwc.com","role":"Executive Sponsor"},{"name":"Andrea Rich","email":"arich@plymouthmn.gov","role":"Executive Sponsor"}],"wdSponsor":{"name":"Lakshmi Visvanathan","email":"lakshmi.visvanathan@workday.com","role":"Deployment Sponsor"},"engagementManagers":[{"name":"Stephanie Denham","email":"stephanie.denham@workday.com","role":"Engagement Manager [Primary]"}]}},{"deploymentId":"a0rVT0000107EM0YAM","accountName":"County of Anoka","deploymentName":"Subsequent-Phase X: Expense, Integrations","deliveryDirector":"","partner":"Workday Professional Services","isExecutiveWatch":false,"surveyType":"MDS","eventDate":"2027-01-29","products":["Adaptive Planning","Analytics and Reporting"],"isMultipleGoLives":true,"oneThirdPoint":"2026-06-30","startDate":"Mon Mar 16 2026 00:00:00 GMT-0400 (Eastern Daylight Time)","currentMtp":"Thu Oct 01 2026 00:00:00 GMT-0400 (Eastern Daylight Time)","contacts":{"projectManagers":[{"name":"Kelley Neiber","email":"kelley.neiber@anokacountymn.gov","role":"Project Manager [Customer]"}],"execSponsors":[{"name":"Cory Kampf","email":"cory.kampf@anokacountymn.gov","role":"Executive Sponsor"}],"wdSponsor":{"name":"Roman Cortes","email":"roman.cortes@workday.com","role":"Deployment Sponsor"},"engagementManagers":[{"name":"Lauren Vannini","email":"lauren.vannini@workday.com","role":"Engagement Manager [Primary]"}]}},{"deploymentId":"a0rVT00000qMQqmYAG","accountName":"County of Pinellas (Iron Brick Associates LLC)","deploymentName":"Initial Deployment-Your Way-CCB, USP, LRN, EXP, PRO, INV, CCLRN, REC,","deliveryDirector":"","partner":"Guidehouse Inc","isExecutiveWatch":false,"surveyType":"MDS","eventDate":"2027-07-01","products":["Analytics and Reporting","Human Capital Management","Platform and Product Extensions","Talent Management"],"isMultipleGoLives":true,"oneThirdPoint":"2026-06-22","startDate":"Thu Dec 18 2025 00:00:00 GMT-0500 (Eastern Standard Time)","currentMtp":"Thu Oct 01 2026 00:00:00 GMT-0400 (Eastern Daylight Time)","contacts":{"projectManagers":[{"name":"Joseph Gauthier","email":"jgauthier@pinellas.gov","role":"Project Manager [Customer]"}],"execSponsors":[{"name":"Bryan Zumwalt","email":"bzumwalt@pinellas.gov","role":"Executive Sponsor"}],"wdSponsor":null,"engagementManagers":[]}},{"deploymentId":"a0rVT00000wIG05YAG","accountName":"County of Warren (Precision Task Group, Inc.)","deploymentName":"Subsequent-Phase X: HCM, Pay, Absence, Benefits, Time Tracking","deliveryDirector":"","partner":"Workday Professional Services","isExecutiveWatch":false,"surveyType":"MDS","eventDate":"2027-01-04","products":["Human Capital Management","Payroll","Workforce Management"],"isMultipleGoLives":false,"oneThirdPoint":"2026-06-12","startDate":"Mon Mar 02 2026 00:00:00 GMT-0500 (Eastern Standard Time)","currentMtp":null,"contacts":{"projectManagers":[{"name":"Ray Burns","email":"rayb@warrencountyms.gov","role":"Project Manager [Customer]"}],"execSponsors":[{"name":"Nkemdili Lewis","email":"nkemdilil@warrencountyms.gov","role":"Executive Sponsor"}],"wdSponsor":{"name":"Roman Cortes","email":"roman.cortes@workday.com","role":"Deployment Sponsor"},"engagementManagers":[{"name":"Cortney Wanca","email":"cortney.wanca@workday.com","role":"Engagement Manager [Primary]"}]}},{"deploymentId":"a0rVT00000vnqkiYAA","accountName":"East Bay Municipal Utility District (Strada U.S. Professional Services, LLC)","deploymentName":"Initial Deployment-Launch-LDPAM, WSP, LDPHCM, LDPUSP,etc","deliveryDirector":"","partner":"Strada U.S. Professional Services, LLC","isExecutiveWatch":false,"surveyType":"MDS","eventDate":"2026-12-18","products":["Human Capital Management","Payroll","Workforce Management"],"isMultipleGoLives":false,"oneThirdPoint":"2026-06-11","startDate":"Mon Mar 09 2026 00:00:00 GMT-0400 (Eastern Daylight Time)","currentMtp":"Fri Dec 18 2026 00:00:00 GMT-0500 (Eastern Standard Time)","contacts":{"projectManagers":[{"name":"Suma Popat","email":"suma.popat@ebmud.com","role":"Project Manager [Customer]"}],"execSponsors":[{"name":"Sophia Skoda","email":"sophia.skoda@ebmud.com","role":"Executive Sponsor"}],"wdSponsor":null,"engagementManagers":[]}},{"deploymentId":"a0rVT00000bcvGMYAY","accountName":"Georgia Ports Authority","deploymentName":"Intial Deployment-Your Way- WSP, SRCEXP, XTND, CHCM, TLO, CCB, USP, etc","deliveryDirector":"","partner":"Collaborative Solutions, LLC","isExecutiveWatch":false,"surveyType":"MDS","eventDate":"2027-12-17","products":["Adaptive Planning","Financial Management"],"isMultipleGoLives":true,"oneThirdPoint":"2026-06-25","startDate":"Mon Sep 29 2025 00:00:00 GMT-0400 (Eastern Daylight Time)","currentMtp":"Thu Jul 01 2027 00:00:00 GMT-0400 (Eastern Daylight Time)","contacts":{"projectManagers":[{"name":"Erik Obenhuber","email":"eobenhuber@gaports.com","role":"Project Manager [Customer]"}],"execSponsors":[{"name":"Rob Dooley","email":"rdooley@gaports.com","role":"Executive Sponsor"}],"wdSponsor":null,"engagementManagers":[]}},{"deploymentId":"a0rVT00000tIJcPYAW","accountName":"Prairie Band Potawatomi Entertainment Corporation dba Prairie Band Casino &amp; Resort","deploymentName":"Initial Deployment-Launch-LDPREC, LDPTLO, LDPACC, LDPAM, etc","deliveryDirector":"","partner":"Eisner Advisory Group LLC","isExecutiveWatch":false,"surveyType":"MDS","eventDate":"2027-01-01","products":["Workforce Management"],"isMultipleGoLives":false,"oneThirdPoint":"2026-06-04","startDate":"Fri Feb 20 2026 00:00:00 GMT-0500 (Eastern Standard Time)","currentMtp":null,"contacts":{"projectManagers":[{"name":"Amanda Epstein","email":"akoci@pbpgaming.com","role":"Project Manager [Customer]"}],"execSponsors":[{"name":"John Sexsmith","email":"jsexsmith@pbpgaming.com","role":"Executive Sponsor"}],"wdSponsor":null,"engagementManagers":[]}},{"deploymentId":"a0rVT000015CVSrYAO","accountName":"Texas Education Agency (Precision Task Group Inc.)","deploymentName":"Initial Deployment-Your Way-CHCM, TLO, GPC,etc.","deliveryDirector":"","partner":"Precision Task Group Inc.","isExecutiveWatch":false,"surveyType":"MDS","eventDate":"2026-09-01","products":["Human Capital Management","Talent Management"],"isMultipleGoLives":false,"oneThirdPoint":"2026-06-28","startDate":"Wed May 27 2026 00:00:00 GMT-0400 (Eastern Daylight Time)","currentMtp":null,"contacts":null}],"pglRows":[{"deploymentId":"a0r4X00000CrToJQAV","accountName":"City of Lee's Summit","deploymentName":"Initial Deployment-Your Way-HCM, TLO, CCB, USP, LRN,REC, FIN, etc","deliveryDirector":"Kirk Krikorian","partner":"Avaap USA, LLC","isExecutiveWatch":false,"surveyType":"PGL","eventDate":"2026-05-08","products":["Human Capital Management"],"isMultipleGoLives":true,"oneThirdPoint":null,"startDate":"Wed May 08 2024 00:00:00 GMT-0400 (Eastern Daylight Time)","currentMtp":"Sun Jun 08 2025 00:00:00 GMT-0400 (Eastern Daylight Time)","contacts":{"projectManagers":[{"name":"Diana Newman","email":"diana.newman@cityofls.net","role":"Project Manager [Customer]"}],"execSponsors":[{"name":"Diana Newman","email":"diana.newman@cityofls.net","role":"Executive Sponsor"},{"name":"Ken Takata","email":"ken.takata@avaap.com","role":"Executive Sponsor"}],"wdSponsor":{"name":"Roman Cortes","email":"roman.cortes@workday.com","role":"Deployment Sponsor"},"engagementManagers":[]}},{"deploymentId":"a0rVT00000OUggqYAD","accountName":"City of Palm Desert","deploymentName":"Initial Deployment-Launch-LDPHCM, LDPCCB, LDPBEN, LDPUSP, etc","deliveryDirector":"","partner":"Workday Professional Services","isExecutiveWatch":false,"surveyType":"PGL","eventDate":"2026-05-31","products":["Human Capital Management","Payroll","Talent Management","Workforce Management"],"isMultipleGoLives":false,"oneThirdPoint":null,"startDate":"Mon Mar 17 2025 00:00:00 GMT-0400 (Eastern Daylight Time)","currentMtp":"Sun May 31 2026 00:00:00 GMT-0400 (Eastern Daylight Time)","contacts":{"projectManagers":[{"name":"Clayton von Helf","email":"cvonhelf@palmdesert.gov","role":"Project Manager [Customer]"},{"name":"John Ramont","email":"jramont@palmdesert.gov","role":"Project Manager [Customer]"}],"execSponsors":[{"name":"Veronica Chavez","email":"vchavez@cityofpalmdesert.org","role":"Executive Sponsor"},{"name":"Andrea Staehle","email":"astaehle@palmdesert.gov","role":"Executive Sponsor"}],"wdSponsor":null,"engagementManagers":[{"name":"Eric Frame","email":"eric.frame@workday.com","role":"Engagement Manager [Primary]"},{"name":"Bill Hansen","email":"bill.hansen@workday.com","role":"Engagement Manager [Primary]"}]}},{"deploymentId":"a0r4X00000CrU6wQAF","accountName":"County of Monroe","deploymentName":"Initial Deployment-Your Way-CHCM, TLO, JRNY, CCB, USP, LRN, etc","deliveryDirector":"","partner":"Avaap USA, LLC","isExecutiveWatch":false,"surveyType":"PGL","eventDate":"2026-05-07","products":["Human Capital Management","Payroll","People Experience"],"isMultipleGoLives":true,"oneThirdPoint":null,"startDate":"Thu May 23 2024 00:00:00 GMT-0400 (Eastern Daylight Time)","currentMtp":"Thu May 07 2026 00:00:00 GMT-0400 (Eastern Daylight Time)","contacts":{"projectManagers":[{"name":"Maria Moranz","email":"mariamoranz@monroecounty.gov","role":"Project Manager [Customer]"}],"execSponsors":[{"name":"Robert Franklin","email":"robertfranklin@monroecounty.gov","role":"Executive Sponsor"}],"wdSponsor":null,"engagementManagers":[]}},{"deploymentId":"a0r4X00000ETUqgQAH","accountName":"New York State Teachers' Retirement System","deploymentName":"Initial Deployment-Your Way-CHCM, TLO, CCB, USP, REC, CE, MSG, FIN, PLNF, etc.","deliveryDirector":"Pawan Sutrala","partner":"Accenture LLP","isExecutiveWatch":false,"surveyType":"PGL","eventDate":"2026-05-08","products":["Prism Analytics"],"isMultipleGoLives":true,"oneThirdPoint":null,"startDate":"Thu Aug 15 2024 00:00:00 GMT-0400 (Eastern Daylight Time)","currentMtp":"Mon Mar 23 2026 00:00:00 GMT-0400 (Eastern Daylight Time)","contacts":{"projectManagers":[{"name":"John Conrad","email":"john.conrad@nystrs.org","role":"Project Manager [Customer]"},{"name":"Dhruti Majmudar","email":"dhruti.majmudar@nystrs.org","role":"Project Manager [Customer]"}],"execSponsors":[{"name":"Vijay Madala","email":"vijay.madala@nystrs.org","role":"Executive Sponsor"},{"name":"Christopher O'Grady","email":"christopher.o'grady@nystrs.org","role":"Executive Sponsor"}],"wdSponsor":{"name":"Roman Cortes","email":"roman.cortes@workday.com","role":"Deployment Sponsor"},"engagementManagers":[]}},{"deploymentId":"a0rVT00000PsEKYYA3","accountName":"Sandoval County, New Mexico","deploymentName":"Initial Deployment-Launch-LDPHCM, LDPCCB, LDPBEN, LDPUSP, etc.","deliveryDirector":"","partner":"Workday Professional Services","isExecutiveWatch":false,"surveyType":"PGL","eventDate":"2026-05-18","products":["Analytics and Reporting","Human Capital Management","Payroll","Talent Management","Workforce Management"],"isMultipleGoLives":false,"oneThirdPoint":null,"startDate":"Mon Mar 10 2025 00:00:00 GMT-0400 (Eastern Daylight Time)","currentMtp":"Mon May 18 2026 00:00:00 GMT-0400 (Eastern Daylight Time)","contacts":{"projectManagers":[{"name":"Angela Rodden","email":"arodden@sandovalcountynm.gov","role":"Project Manager [Customer]"}],"execSponsors":[{"name":"Angela Rodden","email":"arodden@sandovalcountynm.gov","role":"Executive Sponsor"}],"wdSponsor":{"name":"Steve Rogers","email":"steve.rogers@workday.com","role":"Deployment Sponsor"},"engagementManagers":[{"name":"Cortney Wanca","email":"cortney.wanca@workday.com","role":"Engagement Manager [Primary]"}]}},{"deploymentId":"a0rVT00000YXI2cYAH","accountName":"Virginia Retirement System","deploymentName":"Initial Deployment-Your Way-MSG, PPLA, PRA, TT, WSP, GPC, MCNF, etc.","deliveryDirector":"","partner":"Guidehouse Inc","isExecutiveWatch":false,"surveyType":"PGL","eventDate":"2026-05-18","products":["Analytics and Reporting","Human Capital Management","Payroll","Platform and Product Extensions","Talent Management","Workforce Management"],"isMultipleGoLives":false,"oneThirdPoint":null,"startDate":"Tue Jun 10 2025 00:00:00 GMT-0400 (Eastern Daylight Time)","currentMtp":"Mon Apr 27 2026 00:00:00 GMT-0400 (Eastern Daylight Time)","contacts":{"projectManagers":[{"name":"Karen Holloway","email":"kholloway@varetire.org","role":"Project Manager [Customer]"}],"execSponsors":[{"name":"Paula Reid","email":"preid@varetire.org","role":"Executive Sponsor"}],"wdSponsor":null,"engagementManagers":[]}},{"deploymentId":"a0rVT00000ny5f4YAA","accountName":"Virginia Retirement System","deploymentName":"Specialized-Initial Deployment-Adaptive Planning","deliveryDirector":"","partner":"Guidehouse Inc","isExecutiveWatch":false,"surveyType":"PGL","eventDate":"2026-05-29","products":["Adaptive Planning"],"isMultipleGoLives":false,"oneThirdPoint":null,"startDate":"Mon Dec 01 2025 00:00:00 GMT-0500 (Eastern Standard Time)","currentMtp":"Fri May 29 2026 00:00:00 GMT-0400 (Eastern Daylight Time)","contacts":null}],"counts":{"mds":12,"pgl":7}},{"yearMonth":"2026-08","monthLabel":"August 2026","schedule":{"yearMonth":"2026-08","isProjected":false,"surveyOpen":"2026-08-05","reminder1":"2026-08-12","reminder2":"2026-08-24","surveyClose":"2026-08-26","mdsOneThirdWindow":{"start":"2026-07-01","end":"2026-07-30"},"pglFirstMtpWindow":{"start":"2026-06-01","end":"2026-06-30"}},"mdsRows":[{"deploymentId":"a0rVT00000rOVylYAG","accountName":"Boston Public Health Commission","deploymentName":"Initial Deployment-Launch- CHCM, TLO, CCB CLM, WSP, PLNF, PRA etc.","deliveryDirector":"","partner":"Collaborative Solutions, LLC","isExecutiveWatch":false,"surveyType":"MDS","eventDate":"2027-03-21","products":["Human Capital Management","Payroll","Talent Management","Workforce Management"],"isMultipleGoLives":true,"oneThirdPoint":"2026-07-12","startDate":"Mon Mar 09 2026 00:00:00 GMT-0400 (Eastern Daylight Time)","currentMtp":"Sun Mar 14 2027 00:00:00 GMT-0500 (Eastern Standard Time)","contacts":null},{"deploymentId":"a0rVT00000hh6hLYAQ","accountName":"City of Boynton Beach, FL (IronBrick Associates, LLC)","deploymentName":"Initial Deployment-Launch- LDPFIN, LDPPLNF, LDPPRA, LDPPRJT, LDPTLO,etc","deliveryDirector":"","partner":"Workday Professional Services","isExecutiveWatch":false,"surveyType":"MDS","eventDate":"2027-05-28","products":["Analytics and Reporting"],"isMultipleGoLives":true,"oneThirdPoint":"2026-07-07","startDate":"Mon Jan 26 2026 00:00:00 GMT-0500 (Eastern Standard Time)","currentMtp":"Fri Oct 01 2027 00:00:00 GMT-0400 (Eastern Daylight Time)","contacts":{"projectManagers":[{"name":"Gail Mootz","email":"mootzg@bbfl.us","role":"Project Manager [Customer]"}],"execSponsors":[{"name":"Alan Lawson","email":"lawsona@bbfl.us","role":"Executive Sponsor"}],"wdSponsor":{"name":"Roman Cortes","email":"roman.cortes@workday.com","role":"Deployment Sponsor"},"engagementManagers":[{"name":"Mindy Stanley","email":"mindy.stanley@workday.com","role":"Engagement Manager [Primary]"}]}},{"deploymentId":"a0rVT000014eru2YAA","accountName":"City of Olathe (Precision Task Group, Inc.)","deploymentName":"Subsequent - Phase X - Adaptive Planning","deliveryDirector":"","partner":"Strada U.S. Professional Services, LLC","isExecutiveWatch":false,"surveyType":"MDS","eventDate":"2026-11-06","products":["Adaptive Planning"],"isMultipleGoLives":false,"oneThirdPoint":"2026-07-14","startDate":"Tue May 19 2026 00:00:00 GMT-0400 (Eastern Daylight Time)","currentMtp":"Fri Nov 06 2026 00:00:00 GMT-0500 (Eastern Standard Time)","contacts":{"projectManagers":[{"name":"Aaron Goertz","email":"atgoertz@olatheks.org","role":"Project Manager [Customer]"}],"execSponsors":[{"name":"Jamie Robichaud","email":"jrrobichaud@olatheks.org","role":"Executive Sponsor"}],"wdSponsor":null,"engagementManagers":[]}},{"deploymentId":"a0rVT00000tYEnFYAW","accountName":"City of Plantation, FL","deploymentName":"Initial Deployment-Launch-LDPBEN, LDPUSP, LDPLRN, LDPCCLRN, LDPREC, etc.","deliveryDirector":"","partner":"Strada U.S. Professional Services, LLC","isExecutiveWatch":false,"surveyType":"MDS","eventDate":"2027-05-30","products":["Contract Management and Document Intelligence","Financial Management","Human Capital Management","Spend Management"],"isMultipleGoLives":false,"oneThirdPoint":"2026-07-07","startDate":"Mon Jan 26 2026 00:00:00 GMT-0500 (Eastern Standard Time)","currentMtp":"Mon May 31 2027 00:00:00 GMT-0400 (Eastern Daylight Time)","contacts":{"projectManagers":[{"name":"Laura Karpaviciute","email":"lkarpaviciute@plantation.org","role":"Project Manager [Customer]"}],"execSponsors":[{"name":"Laura Karpaviciute","email":"lkarpaviciute@plantation.org","role":"Executive Sponsor"}],"wdSponsor":null,"engagementManagers":[]}},{"deploymentId":"a0rVT0000135GBZYA2","accountName":"City of Plymouth","deploymentName":"Initial Deployment-Launch-LDPHCM, LDPREC, LDPPRA, LDPPRJT, LDPFIN, LDPGM, etc.","deliveryDirector":"","partner":"Workday Professional Services","isExecutiveWatch":true,"surveyType":"MDS","eventDate":"2026-12-07","products":["Financial Management","Spend Management"],"isMultipleGoLives":true,"oneThirdPoint":"2026-07-15","startDate":"Mon May 04 2026 00:00:00 GMT-0400 (Eastern Daylight Time)","currentMtp":"Fri Sep 04 2026 00:00:00 GMT-0400 (Eastern Daylight Time)","contacts":{"projectManagers":[{"name":"Alison Timme","email":"alison.timme@pwc.com","role":"Project Manager [Customer]"},{"name":"Andrea Rich","email":"arich@plymouthmn.gov","role":"Project Manager [Customer]"}],"execSponsors":[{"name":"Alison Timme","email":"alison.timme@pwc.com","role":"Executive Sponsor"},{"name":"Andrea Rich","email":"arich@plymouthmn.gov","role":"Executive Sponsor"}],"wdSponsor":{"name":"Lakshmi Visvanathan","email":"lakshmi.visvanathan@workday.com","role":"Deployment Sponsor"},"engagementManagers":[{"name":"Stephanie Denham","email":"stephanie.denham@workday.com","role":"Engagement Manager [Primary]"}]}},{"deploymentId":"a0rVT00000vIg6bYAC","accountName":"Cosumnes Community Services District","deploymentName":"Initial Deployment-Launch-LDPFIN, LDPPLNF, LDPHCM, LDPHLP, LDPCE, etc.","deliveryDirector":"","partner":"Collaborative Solutions, LLC","isExecutiveWatch":false,"surveyType":"MDS","eventDate":"2027-06-01","products":["Financial Management","Human Capital Management","Payroll","Spend Management","Talent Management","Workforce Management"],"isMultipleGoLives":false,"oneThirdPoint":"2026-07-13","startDate":"Tue Feb 03 2026 00:00:00 GMT-0500 (Eastern Standard Time)","currentMtp":"Tue Jun 01 2027 00:00:00 GMT-0400 (Eastern Daylight Time)","contacts":{"projectManagers":[{"name":"Laura Richards","email":"berrydunn@cosumnescsd.gov","role":"Project Manager [Customer]"}],"execSponsors":[{"name":"Nou Vang","email":"nouvang@cosumnescsd.gov","role":"Executive Sponsor"}],"wdSponsor":null,"engagementManagers":[]}},{"deploymentId":"a0rVT00000qMQqmYAG","accountName":"County of Pinellas (Iron Brick Associates LLC)","deploymentName":"Initial Deployment-Your Way-CCB, USP, LRN, EXP, PRO, INV, CCLRN, REC,","deliveryDirector":"","partner":"Guidehouse Inc","isExecutiveWatch":false,"surveyType":"MDS","eventDate":"2027-10-01","products":["Contract Management and Document Intelligence","Financial Management","Spend Management"],"isMultipleGoLives":true,"oneThirdPoint":"2026-07-23","startDate":"Thu Dec 18 2025 00:00:00 GMT-0500 (Eastern Standard Time)","currentMtp":"Thu Oct 01 2026 00:00:00 GMT-0400 (Eastern Daylight Time)","contacts":{"projectManagers":[{"name":"Joseph Gauthier","email":"jgauthier@pinellas.gov","role":"Project Manager [Customer]"}],"execSponsors":[{"name":"Bryan Zumwalt","email":"bzumwalt@pinellas.gov","role":"Executive Sponsor"}],"wdSponsor":null,"engagementManagers":[]}},{"deploymentId":"a0rVT000016HPNsYAO","accountName":"County of Sutter","deploymentName":"Subsequent-Phase X: Learning","deliveryDirector":"","partner":"Avaap USA, LLC","isExecutiveWatch":false,"surveyType":"MDS","eventDate":"2026-10-09","products":["Talent Management"],"isMultipleGoLives":false,"oneThirdPoint":"2026-07-20","startDate":"Thu Jun 11 2026 00:00:00 GMT-0400 (Eastern Daylight Time)","currentMtp":null,"contacts":null},{"deploymentId":"a0rVT00000vq0zpYAA","accountName":"Kenton County Airport Board","deploymentName":"Initial Deployment-Launch-LDPREC, LDPTLO, LDPTT, LDPAM, LDPSC, etc.","deliveryDirector":"","partner":"Avaap USA, LLC","isExecutiveWatch":false,"surveyType":"MDS","eventDate":"2027-03-18","products":["Human Capital Management","Payroll","Talent Management","Workforce Management"],"isMultipleGoLives":false,"oneThirdPoint":"2026-07-11","startDate":"Mon Mar 09 2026 00:00:00 GMT-0400 (Eastern Daylight Time)","currentMtp":"Thu Mar 18 2027 00:00:00 GMT-0400 (Eastern Daylight Time)","contacts":null},{"deploymentId":"a0rVT000016lr3KYAQ","accountName":"Memphis-Shelby County Airport Authority","deploymentName":"Subsequent-Phase X: Financial Management Extend and Optimize - Expense","deliveryDirector":"","partner":"Groove Global LLC","isExecutiveWatch":false,"surveyType":"MDS","eventDate":"2026-09-28","products":["Financial Management"],"isMultipleGoLives":false,"oneThirdPoint":"2026-07-21","startDate":"Thu Jun 18 2026 00:00:00 GMT-0400 (Eastern Daylight Time)","currentMtp":null,"contacts":null},{"deploymentId":"a0rVT0000111W3BYAU","accountName":"Palmdale Water District","deploymentName":"Initial Deployment-Launch-LDPHCM, LDPCCB, LDPBEN, LDPREC, LDPTLO, etc","deliveryDirector":"","partner":"ERP Analysts Inc. dba ERPA","isExecutiveWatch":false,"surveyType":"MDS","eventDate":"2026-12-14","products":["Financial Management","Human Capital Management","Payroll","Spend Management","Talent Management","Workforce Management"],"isMultipleGoLives":false,"oneThirdPoint":"2026-07-18","startDate":"Wed May 06 2026 00:00:00 GMT-0400 (Eastern Daylight Time)","currentMtp":"Mon Dec 14 2026 00:00:00 GMT-0500 (Eastern Standard Time)","contacts":{"projectManagers":[],"execSponsors":[{"name":"Jennifer Gainey","email":"jenny.gainey@erpa.com","role":"Executive Sponsor"}],"wdSponsor":null,"engagementManagers":[]}},{"deploymentId":"a0rVT0000111F5kYAE","accountName":"State of California, Dept of Health Care Services (Oakland Consulting Group, Inc.)","deploymentName":"Initial Deployment-Your Way-CHCM, TLO, PRA, PRJT, TT, WSP, TC","deliveryDirector":"","partner":"KPMG LLP [US]","isExecutiveWatch":false,"surveyType":"MDS","eventDate":"2027-02-01","products":["Analytics and Reporting","Financial Management","Human Capital Management","Workforce Management"],"isMultipleGoLives":false,"oneThirdPoint":"2026-07-17","startDate":"Fri Apr 10 2026 00:00:00 GMT-0400 (Eastern Daylight Time)","currentMtp":null,"contacts":null},{"deploymentId":"a0rVT000010ulBpYAI","accountName":"Teachers' Retirement System of the State of Illinois (Precision Task Group, Inc.)","deploymentName":"Subsequent-Phase X: FIN","deliveryDirector":"","partner":"Strada U.S. Professional Services, LLC","isExecutiveWatch":false,"surveyType":"MDS","eventDate":"2027-03-05","products":["Adaptive Planning","Financial Management","Spend Management"],"isMultipleGoLives":false,"oneThirdPoint":"2026-07-17","startDate":"Wed Mar 25 2026 00:00:00 GMT-0400 (Eastern Daylight Time)","currentMtp":"Fri Mar 05 2027 00:00:00 GMT-0500 (Eastern Standard Time)","contacts":{"projectManagers":[{"name":"Chandra Chaganti","email":"cchaganti@trsil.org","role":"Project Manager [Customer]"}],"execSponsors":[{"name":"Nicole Fisher","email":"nfisher@trsil.org","role":"Executive Sponsor"},{"name":"Stacey Wood","email":"swood@trsil.org","role":"Executive Sponsor"}],"wdSponsor":null,"engagementManagers":[]}}],"pglRows":[{"deploymentId":"a0rVT00000NuQXZYA3","accountName":"Ben Franklin Transit","deploymentName":"Initial Deployment-Your Way-CHCM, TLO, CCB, REC, FIN, GM, USP, PLNF, PRJT, etc.","deliveryDirector":"Banjo Simbahan","partner":"Avaap USA, LLC","isExecutiveWatch":false,"surveyType":"PGL","eventDate":"2026-06-08","products":["Financial Management","Spend Management"],"isMultipleGoLives":true,"oneThirdPoint":null,"startDate":"Mon Jan 27 2025 00:00:00 GMT-0500 (Eastern Standard Time)","currentMtp":"Mon Dec 15 2025 00:00:00 GMT-0500 (Eastern Standard Time)","contacts":null},{"deploymentId":"a0rVT00000tjiwUYAQ","accountName":"City Of Bell Gardens","deploymentName":"Initial Deployment-Launch-LDPBEN, LDPUSP, LDPLRN, LDPHCM, etc.","deliveryDirector":"","partner":"ERP Analysts Inc. dba ERPA","isExecutiveWatch":false,"surveyType":"PGL","eventDate":"2026-06-15","products":["Financial Management","Human Capital Management","Payroll","Spend Management","Talent Management","Workforce Management"],"isMultipleGoLives":false,"oneThirdPoint":null,"startDate":"Thu Jan 08 2026 00:00:00 GMT-0500 (Eastern Standard Time)","currentMtp":"Mon Jun 15 2026 00:00:00 GMT-0400 (Eastern Daylight Time)","contacts":{"projectManagers":[{"name":"Andrew Tse","email":"atse@bellgardens.org","role":"Project Manager [Customer]"},{"name":"Manuel Carrillo","email":"mcarrillo@bellgardens.org","role":"Project Manager [Customer]"}],"execSponsors":[{"name":"Mike O'Kelly","email":"mokelly@bellgardens.org","role":"Executive Sponsor"}],"wdSponsor":null,"engagementManagers":[]}},{"deploymentId":"a0rVT00000KQZJZYA5","accountName":"City of Corona","deploymentName":"Initial Deployment-Your Way-CHCM, TLO, CCB, USP, FIN, GM, PRA, PRJT, TT, SC, etc","deliveryDirector":"","partner":"Collaborative Solutions, LLC","isExecutiveWatch":false,"surveyType":"PGL","eventDate":"2026-06-05","products":["Core HCM","Financials","Human Capital Management","Payroll","Prism Analytics","Talent Optimization"],"isMultipleGoLives":false,"oneThirdPoint":null,"startDate":"Mon Jan 06 2025 00:00:00 GMT-0500 (Eastern Standard Time)","currentMtp":"Fri Jun 05 2026 00:00:00 GMT-0400 (Eastern Daylight Time)","contacts":{"projectManagers":[],"execSponsors":[{"name":"Brett Channing","email":"brett.channing@coronaca.gov","role":"Executive Sponsor"}],"wdSponsor":null,"engagementManagers":[]}},{"deploymentId":"a0rVT00000SZiW0YAL","accountName":"City of Idaho Falls, ID","deploymentName":"Initial Deployment - Launch - LDPJRNY, LDPBEN, LDPUSP, LDPHCM, LDPHLP, etc.","deliveryDirector":"","partner":"Strada U.S. Professional Services, LLC","isExecutiveWatch":false,"surveyType":"PGL","eventDate":"2026-06-07","products":["Financial Management","Human Capital Management","Payroll","Spend Management","Talent Management","Workforce Management"],"isMultipleGoLives":true,"oneThirdPoint":null,"startDate":"Fri May 09 2025 00:00:00 GMT-0400 (Eastern Daylight Time)","currentMtp":"Fri Jun 19 2026 00:00:00 GMT-0400 (Eastern Daylight Time)","contacts":{"projectManagers":[{"name":"Mark Hagedorn","email":"mhagedorn@idahofalls.gov","role":"Project Manager [Customer]"}],"execSponsors":[{"name":"Mark Hagedorn","email":"mhagedorn@idahofalls.gov","role":"Executive Sponsor"}],"wdSponsor":null,"engagementManagers":[]}},{"deploymentId":"a0rVT00000LxawDYAR","accountName":"City of Irvine","deploymentName":"Initial Deployment-Your Way-CHCM, TLO, JRNY, CCB, USP, LRN, MCNF etc.","deliveryDirector":"","partner":"Collaborative Solutions, LLC","isExecutiveWatch":false,"surveyType":"PGL","eventDate":"2026-06-22","products":["Analytics and Reporting","Financial Management","Human Capital Management","Payroll","Platform and Product Extensions","Spend Management","Talent Management","Workforce Management"],"isMultipleGoLives":true,"oneThirdPoint":null,"startDate":"Mon Jan 06 2025 00:00:00 GMT-0500 (Eastern Standard Time)","currentMtp":"Mon Jun 22 2026 00:00:00 GMT-0400 (Eastern Daylight Time)","contacts":null},{"deploymentId":"a0rVT00000PxFmVYAV","accountName":"City of Santa Maria","deploymentName":"Subsequent - Phase X- Phase 2: HCM","deliveryDirector":"","partner":"Collaborative Solutions, LLC","isExecutiveWatch":false,"surveyType":"PGL","eventDate":"2026-06-05","products":["Talent Management"],"isMultipleGoLives":true,"oneThirdPoint":null,"startDate":"Mon Feb 03 2025 00:00:00 GMT-0500 (Eastern Standard Time)","currentMtp":"Mon Dec 15 2025 00:00:00 GMT-0500 (Eastern Standard Time)","contacts":{"projectManagers":[{"name":"James Oswald","email":"joswald@cityofsantamaria.org","role":"Project Manager [Customer]"}],"execSponsors":[{"name":"Graciela Reynoso","email":"greynoso@cityofsantamaria.org","role":"Executive Sponsor"}],"wdSponsor":null,"engagementManagers":[]}},{"deploymentId":"a0r4X00000DCGf0QAH","accountName":"City of Virginia Beach","deploymentName":"Initial Deployment-Your Way: CHCM, TLO, HLP, CCB, USP, LRN,","deliveryDirector":"","partner":"Deloitte Consulting LLP (Deloitte US)","isExecutiveWatch":false,"surveyType":"PGL","eventDate":"2026-06-11","products":["Human Capital Management","Payroll","Prism Analytics","Talent Optimization"],"isMultipleGoLives":false,"oneThirdPoint":null,"startDate":"Thu May 23 2024 00:00:00 GMT-0400 (Eastern Daylight Time)","currentMtp":"Thu Jun 11 2026 00:00:00 GMT-0400 (Eastern Daylight Time)","contacts":{"projectManagers":[{"name":"Kevin Fairley","email":"kfairley@vbgov.com","role":"Project Manager [Customer]"}],"execSponsors":[{"name":"Monica Croskey","email":"mcroskey@vbgov.com","role":"Executive Sponsor"}],"wdSponsor":{"name":"Roman Cortes","email":"roman.cortes@workday.com","role":"Deployment Sponsor"},"engagementManagers":[]}},{"deploymentId":"a0rVT00000eiHNtYAM","accountName":"City of West Jordan (IronBrick)","deploymentName":"Initial Deployment-Launch-MCNF, LDPREC, LDPMSG, LDPTLO, LDPBEN etc.","deliveryDirector":"","partner":"Workday Professional Services","isExecutiveWatch":false,"surveyType":"PGL","eventDate":"2026-06-11","products":["Human Capital Management","Payroll","Talent Management","Workforce Management"],"isMultipleGoLives":false,"oneThirdPoint":null,"startDate":"Sun Aug 24 2025 00:00:00 GMT-0400 (Eastern Daylight Time)","currentMtp":"Thu Jun 11 2026 00:00:00 GMT-0400 (Eastern Daylight Time)","contacts":{"projectManagers":[{"name":"Joe Bryant","email":"joe.bryant@westjordan.utah.gov","role":"Project Manager [Customer]"}],"execSponsors":[{"name":"Danyce Steck","email":"danyce.steck@westjordan.utah.gov","role":"Executive Sponsor"}],"wdSponsor":{"name":"Roman Cortes","email":"roman.cortes@workday.com","role":"Deployment Sponsor"},"engagementManagers":[{"name":"Donna Trumbower","email":"donna.trumbower@workday.com","role":"Engagement Manager [Primary]"}]}},{"deploymentId":"a0r4X00000CrVBOQA3","accountName":"County of Santa Cruz","deploymentName":"Initial Deployment-Your Way-CHCM, TLO, CCB, USP, PRA, TT, etc.","deliveryDirector":"","partner":"Guidehouse Inc","isExecutiveWatch":false,"surveyType":"PGL","eventDate":"2026-06-14","products":["Human Capital Management","Payroll","Prism Analytics","Talent Optimization"],"isMultipleGoLives":false,"oneThirdPoint":null,"startDate":"Thu Jul 11 2024 00:00:00 GMT-0400 (Eastern Daylight Time)","currentMtp":"Mon Apr 06 2026 00:00:00 GMT-0400 (Eastern Daylight Time)","contacts":{"projectManagers":[],"execSponsors":[],"wdSponsor":{"name":"Steve Rogers","email":"steve.rogers@workday.com","role":"Deployment Sponsor"},"engagementManagers":[]}},{"deploymentId":"a0r4X00000ETWIbQAP","accountName":"County of Waupaca","deploymentName":"Initial Deployment-Launch-LDPHCM, LDPJRNY, LDPCCB, LDPBEN, LDPUSP, etc","deliveryDirector":"","partner":"Workday Professional Services","isExecutiveWatch":false,"surveyType":"PGL","eventDate":"2026-06-29","products":["Financials","Human Capital Management","Planning"],"isMultipleGoLives":true,"oneThirdPoint":null,"startDate":"Wed Oct 16 2024 00:00:00 GMT-0400 (Eastern Daylight Time)","currentMtp":"Sun Dec 14 2025 00:00:00 GMT-0500 (Eastern Standard Time)","contacts":{"projectManagers":[{"name":"Heidi Dombrowksi","email":"heidi.dombrowksi@co.waupaca.wi.us","role":"Project Manager [Customer]"}],"execSponsors":[{"name":"Heidi Dombrowksi","email":"heidi.dombrowksi@co.waupaca.wi.us","role":"Executive Sponsor"}],"wdSponsor":{"name":"Roman Cortes","email":"roman.cortes@workday.com","role":"Deployment Sponsor"},"engagementManagers":[{"name":"Raman Singh","email":"raman.singh@workday.com","role":"Engagement Manager [Primary]"},{"name":"Danni Harris","email":"danni.harris@workday.com","role":"Engagement Manager [Primary]"}]}},{"deploymentId":"a0r4X00000ETW1VQAX","accountName":"North Texas Tollway Authority (Precision Task Group, Inc.)","deploymentName":"Initial Deployment-Your Way-CHCM, TLO, HLP, JRNY, EMPVCE, CCB, USP, LRN, etc.","deliveryDirector":"","partner":"Precision Task Group Inc.","isExecutiveWatch":false,"surveyType":"PGL","eventDate":"2026-06-15","products":["Human Capital Management","People Experience","Talent Optimization"],"isMultipleGoLives":true,"oneThirdPoint":null,"startDate":"Fri Oct 11 2024 00:00:00 GMT-0400 (Eastern Daylight Time)","currentMtp":"Mon Jun 15 2026 00:00:00 GMT-0400 (Eastern Daylight Time)","contacts":{"projectManagers":[{"name":"Scott Pape","email":"spape@ntta.org","role":"Project Manager [Customer]"}],"execSponsors":[{"name":"Jeffrey Mezigian","email":"jeffrey.mezigian@stradaglobal.com","role":"Executive Sponsor"},{"name":"Scott Pape","email":"spape@ntta.org","role":"Executive Sponsor"}],"wdSponsor":null,"engagementManagers":[]}},{"deploymentId":"a0rVT00000pM5lSYAS","accountName":"Ontario International Airport Authority","deploymentName":"Subsequent - Phase X - Projects Add-on","deliveryDirector":"","partner":"Groove Global LLC","isExecutiveWatch":false,"surveyType":"PGL","eventDate":"2026-06-30","products":["Financial Management"],"isMultipleGoLives":false,"oneThirdPoint":null,"startDate":"Mon Oct 20 2025 00:00:00 GMT-0400 (Eastern Daylight Time)","currentMtp":"Wed Jul 01 2026 00:00:00 GMT-0400 (Eastern Daylight Time)","contacts":null},{"deploymentId":"a0r4X00000E14IgQAJ","accountName":"State of Georgia","deploymentName":"Initial Deployment-Your Way: CHCM, USP, LRN, REC, GM, PRJT, PRO, INV, TLO, etc.","deliveryDirector":"Karen Gendron","partner":"Deloitte Consulting LLP (Deloitte US)","isExecutiveWatch":true,"surveyType":"PGL","eventDate":"2026-06-21","products":["Financials","Human Capital Management","Payroll","People Experience","Prism Analytics","Talent Optimization","Workday Extend"],"isMultipleGoLives":true,"oneThirdPoint":null,"startDate":"Mon Dec 11 2023 00:00:00 GMT-0500 (Eastern Standard Time)","currentMtp":"Sun Jun 21 2026 00:00:00 GMT-0400 (Eastern Daylight Time)","contacts":{"projectManagers":[],"execSponsors":[],"wdSponsor":{"name":"Steve Rogers","email":"steve.rogers@workday.com","role":"Deployment Sponsor"},"engagementManagers":[]}},{"deploymentId":"a0rVT00000vtwYyYAI","accountName":"State of Washington, Dept of Fish and Wildlife","deploymentName":"Initial Deployment-Launch Flex- CHCM","deliveryDirector":"","partner":"Workday Professional Services","isExecutiveWatch":false,"surveyType":"PGL","eventDate":"2026-06-08","products":["Human Capital Management"],"isMultipleGoLives":false,"oneThirdPoint":null,"startDate":"Tue Jan 27 2026 00:00:00 GMT-0500 (Eastern Standard Time)","currentMtp":"Mon Jun 08 2026 00:00:00 GMT-0400 (Eastern Daylight Time)","contacts":{"projectManagers":[{"name":"Katelyn Shelton","email":"katelyn.shelton@dfw.wa.gov","role":"Project Manager [Customer]"},{"name":"Julie Moreau","email":"julie.moreau@isg-nw.com","role":"Project Manager [Customer]"}],"execSponsors":[{"name":"Katelyn Shelton","email":"katelyn.shelton@dfw.wa.gov","role":"Executive Sponsor"},{"name":"Matthew Oram","email":"matthew.oram@dfw.wa.gov","role":"Executive Sponsor"},{"name":"Joshua Petschack","email":"joshua.petschack@crownmelbourne.com.au","role":"Executive Sponsor"},{"name":"Jack Potter","email":"jack.potter@dfw.wa.gov","role":"Executive Sponsor"}],"wdSponsor":{"name":"Roman Cortes","email":"roman.cortes@workday.com","role":"Deployment Sponsor"},"engagementManagers":[{"name":"Stephanie Denham","email":"stephanie.denham@workday.com","role":"Engagement Manager [Primary]"}]}}],"counts":{"mds":13,"pgl":14}},{"yearMonth":"2026-09","monthLabel":"September 2026","schedule":{"yearMonth":"2026-09","isProjected":false,"surveyOpen":"2026-09-02","reminder1":"2026-09-09","reminder2":"2026-09-21","surveyClose":"2026-09-23","mdsOneThirdWindow":{"start":"2026-07-31","end":"2026-08-30"},"pglFirstMtpWindow":{"start":"2026-07-01","end":"2026-07-31"}},"mdsRows":[{"deploymentId":"a0rVT00000rOVylYAG","accountName":"Boston Public Health Commission","deploymentName":"Initial Deployment-Launch- CHCM, TLO, CCB CLM, WSP, PLNF, PRA etc.","deliveryDirector":"","partner":"Collaborative Solutions, LLC","isExecutiveWatch":false,"surveyType":"MDS","eventDate":"2027-06-27","products":["Contract Management and Document Intelligence","Financial Management","Payroll","Spend Management"],"isMultipleGoLives":true,"oneThirdPoint":"2026-08-14","startDate":"Mon Mar 09 2026 00:00:00 GMT-0400 (Eastern Daylight Time)","currentMtp":"Sun Mar 14 2027 00:00:00 GMT-0500 (Eastern Standard Time)","contacts":null},{"deploymentId":"a0rVT000015XPgzYAG","accountName":"County of Denton","deploymentName":"Subsequent-Phase X: Talent, Learning, Recruiting, and Workforce Planning","deliveryDirector":"","partner":"Collaborative Solutions, LLC","isExecutiveWatch":false,"surveyType":"MDS","eventDate":"2026-12-01","products":["Adaptive Planning","Talent Management"],"isMultipleGoLives":false,"oneThirdPoint":"2026-07-31","startDate":"Mon Jun 01 2026 00:00:00 GMT-0400 (Eastern Daylight Time)","currentMtp":"Tue Dec 01 2026 00:00:00 GMT-0500 (Eastern Standard Time)","contacts":null},{"deploymentId":"a0rVT000016NcgYYAS","accountName":"Grand River Dam Authority","deploymentName":"Subsequent-Phase X: HCM","deliveryDirector":"","partner":"Strada U.S. Professional Services, LLC","isExecutiveWatch":false,"surveyType":"MDS","eventDate":"2027-01-01","products":["Human Capital Management","Payroll","Workforce Management"],"isMultipleGoLives":false,"oneThirdPoint":"2026-08-18","startDate":"Fri Jun 12 2026 00:00:00 GMT-0400 (Eastern Daylight Time)","currentMtp":null,"contacts":null},{"deploymentId":"a0rVT00000ySxp0YAC","accountName":"Metro","deploymentName":"Initial Deployment-Launch-LDPPRJT, LDPTHUB, LDPEXP, LDPREC, etc","deliveryDirector":"","partner":"Deloitte Consulting LLP (Deloitte US)","isExecutiveWatch":false,"surveyType":"MDS","eventDate":"2027-07-01","products":["Analytics and Reporting","Contract Management and Document Intelligence","Financial Management","Human Capital Management","Payroll","Spend Management","Talent Management"],"isMultipleGoLives":false,"oneThirdPoint":"2026-08-15","startDate":"Mon Mar 09 2026 00:00:00 GMT-0400 (Eastern Daylight Time)","currentMtp":null,"contacts":null},{"deploymentId":"a0rVT000016K5afYAC","accountName":"North Texas Tollway Authority (Precision Task Group, Inc.)","deploymentName":"Subsequent-Phase X: ADV, PE, PRISM, PA, PK, SS","deliveryDirector":"","partner":"Strada U.S. Professional Services, LLC","isExecutiveWatch":false,"surveyType":"MDS","eventDate":"2026-12-01","products":["Human Capital Management"],"isMultipleGoLives":true,"oneThirdPoint":"2026-08-14","startDate":"Mon Jun 22 2026 00:00:00 GMT-0400 (Eastern Daylight Time)","currentMtp":"Mon Feb 01 2027 00:00:00 GMT-0500 (Eastern Standard Time)","contacts":null},{"deploymentId":"a0rVT000016K5afYAC","accountName":"North Texas Tollway Authority (Precision Task Group, Inc.)","deploymentName":"Subsequent-Phase X: ADV, PE, PRISM, PA, PK, SS","deliveryDirector":"","partner":"Strada U.S. Professional Services, LLC","isExecutiveWatch":false,"surveyType":"MDS","eventDate":"2027-01-01","products":["Adaptive Planning"],"isMultipleGoLives":true,"oneThirdPoint":"2026-08-25","startDate":"Mon Jun 22 2026 00:00:00 GMT-0400 (Eastern Daylight Time)","currentMtp":"Mon Feb 01 2027 00:00:00 GMT-0500 (Eastern Standard Time)","contacts":null},{"deploymentId":"a0rVT000016K5afYAC","accountName":"North Texas Tollway Authority (Precision Task Group, Inc.)","deploymentName":"Subsequent-Phase X: ADV, PE, PRISM, PA, PK, SS","deliveryDirector":"","partner":"Strada U.S. Professional Services, LLC","isExecutiveWatch":false,"surveyType":"MDS","eventDate":"2027-01-04","products":["Adaptive Planning"],"isMultipleGoLives":true,"oneThirdPoint":"2026-08-26","startDate":"Mon Jun 22 2026 00:00:00 GMT-0400 (Eastern Daylight Time)","currentMtp":"Mon Feb 01 2027 00:00:00 GMT-0500 (Eastern Standard Time)","contacts":null},{"deploymentId":"a0rVT00000vwFp9YAE","accountName":"Southern Ute Indian Tribe DBA Southern Ute Indian Tribe Shared Services","deploymentName":"Initial Deployment-Launch-LDPHCM, LDPCCB, LDPBEN, LDPUSP, LDPLRN, LDPFIN, etc.","deliveryDirector":"","partner":"CrossVue, LLC","isExecutiveWatch":false,"surveyType":"MDS","eventDate":"2027-07-26","products":["Adaptive Planning","Analytics and Repor</t>
  </si>
  <si>
    <t>2026-05-29T13:25:11.000+0000</t>
  </si>
  <si>
    <t>005VT00000HUSQ5YAP</t>
  </si>
  <si>
    <t>017VT0000DypSEZYQ2</t>
  </si>
  <si>
    <t>mdsPglBatchView:SLG:6:chunk:1</t>
  </si>
  <si>
    <t>{Full_Name__c=David Zucker, attributes={url=/services/data/v62.0/sobjects/Contact/0038000002BsydtAAB, type=Contact}}</t>
  </si>
  <si>
    <t>{Industry=Healthcare Manufacturing, Name=Regeneron Pharmaceuticals, Inc., PS_Region_New__c=US Large Enterprise DI &amp; Mexico, attributes={url=/services/data/v62.0/sobjects/Account/0018000000jt17fAAA, type=Account}}</t>
  </si>
  <si>
    <t>2026-06-10T14:38:33.000+0000</t>
  </si>
  <si>
    <t>Working on build</t>
  </si>
  <si>
    <t>017VT0000EHFDr9YQH</t>
  </si>
  <si>
    <t>{attributes={type=Account, url=/services/data/v62.0/sobjects/Account/0018000000jt17fAAA}, Name=Regeneron Pharmaceuticals, Inc., PS_Region_New__c=US Large Enterprise DI &amp; Mexico, Industry=Healthcare Manufacturing}</t>
  </si>
  <si>
    <t>2026-06-22T15:13:59.000+0000</t>
  </si>
  <si>
    <t>a0rVT00001DXCATYA5</t>
  </si>
  <si>
    <t>0013000000KLLN2AAP</t>
  </si>
  <si>
    <t>017VT0000GcCCcVYQW</t>
  </si>
  <si>
    <t>7-Eleven, Inc.</t>
  </si>
  <si>
    <t>{SubRegion__c=US Healthcare Payor, PS_Sub_Region__c=Healthcare ME, attributes={type=Account, url=/services/data/v62.0/sobjects/Account/0013000000KLLN2AAP}, Name=Centene Corporation, PS_Region_New__c=US Healthcare, Industry=Health Insurance}</t>
  </si>
  <si>
    <t>2026-09-18T13:07:13.000+0000</t>
  </si>
  <si>
    <t>{attributes={type=Contact, url=/services/data/v62.0/sobjects/Contact/0031B00002iqvuWQAQ}, Full_Name__c=Angelique Moore}</t>
  </si>
  <si>
    <t>017VT0000GuwobqYQA</t>
  </si>
  <si>
    <t>{Name=Regeneron Pharmaceuticals, Inc., Industry=Healthcare Manufacturing, attributes={type=Account, url=/services/data/v62.0/sobjects/Account/0018000000jt17fAAA}, PS_Region_New__c=US Large Enterprise DI &amp; Mexico}</t>
  </si>
  <si>
    <t>a0rVT00001Blm2PYAR</t>
  </si>
  <si>
    <t>2026-09-30T18:31:16.000+0000</t>
  </si>
  <si>
    <t>ting","Financial Management","Human Capital Management","Payroll","Spend Management","Talent Management","Workforce Management"],"isMultipleGoLives":false,"oneThirdPoint":"2026-08-19","startDate":"Mon Mar 02 2026 00:00:00 GMT-0500 (Eastern Standard Time)","currentMtp":"Mon Jul 26 2027 00:00:00 GMT-0400 (Eastern Daylight Time)","contacts":null},{"deploymentId":"a0rVT00000quzT2YAI","accountName":"State of Illinois, Supreme Court (Iron Brick Associates LLC)","deploymentName":"Initial Deployment-Your Way-CCB, GPC, LRN, CCLRN, REC, CE, CHCM, etc","deliveryDirector":"","partner":"Strada U.S. Professional Services, LLC","isExecutiveWatch":false,"surveyType":"MDS","eventDate":"2027-01-01","products":["Human Capital Management","Workforce Management"],"isMultipleGoLives":false,"oneThirdPoint":"2026-08-11","startDate":"Mon Jun 01 2026 00:00:00 GMT-0400 (Eastern Daylight Time)","currentMtp":"Fri Jan 01 2027 00:00:00 GMT-0500 (Eastern Standard Time)","contacts":null}],"pglRows":[{"deploymentId":"a0rVT00000ostsNYAQ","accountName":"City of Palm Bay","deploymentName":"Subsequent-Phase X: FINS","deliveryDirector":"Michael Biagini","partner":"Collaborative Solutions, LLC","isExecutiveWatch":false,"surveyType":"PGL","eventDate":"2026-07-01","products":["Financial Management","Human Capital Management","Spend Management"],"isMultipleGoLives":true,"oneThirdPoint":null,"startDate":"Mon Nov 17 2025 00:00:00 GMT-0500 (Eastern Standard Time)","currentMtp":"Fri Jun 12 2026 00:00:00 GMT-0400 (Eastern Daylight Time)","contacts":null},{"deploymentId":"a0r4X00000BWhT1QAL","accountName":"Los Angeles Department of Water and Power (LADWP)","deploymentName":"Initial Deployment-Your Way: FIN, GM, PRJT, PB, etc.","deliveryDirector":"","partner":"Workday Professional Services","isExecutiveWatch":false,"surveyType":"PGL","eventDate":"2026-07-01","products":["Financials"],"isMultipleGoLives":false,"oneThirdPoint":null,"startDate":"Thu Jul 01 2021 00:00:00 GMT-0400 (Eastern Daylight Time)","currentMtp":"Wed Jul 01 2026 00:00:00 GMT-0400 (Eastern Daylight Time)","contacts":{"projectManagers":[],"execSponsors":[],"wdSponsor":{"name":"Eric Warshower","email":"eric.warshower@workday.com","role":"Deployment Sponsor"},"engagementManagers":[{"name":"Banjo Simbahan","email":"banjo.simbahan@workday.com","role":"Engagement Manager [Primary]"}]}},{"deploymentId":"a0r4X00000ETW1VQAX","accountName":"North Texas Tollway Authority (Precision Task Group, Inc.)","deploymentName":"Initial Deployment-Your Way-CHCM, TLO, HLP, JRNY, EMPVCE, CCB, USP, LRN, etc.","deliveryDirector":"","partner":"Precision Task Group Inc.","isExecutiveWatch":false,"surveyType":"PGL","eventDate":"2026-07-01","products":["Financials"],"isMultipleGoLives":true,"oneThirdPoint":null,"startDate":"Fri Oct 11 2024 00:00:00 GMT-0400 (Eastern Daylight Time)","currentMtp":"Mon Jun 15 2026 00:00:00 GMT-0400 (Eastern Daylight Time)","contacts":{"projectManagers":[{"name":"Scott Pape","email":"spape@ntta.org","role":"Project Manager [Customer]"}],"execSponsors":[{"name":"Jeffrey Mezigian","email":"jeffrey.mezigian@stradaglobal.com","role":"Executive Sponsor"},{"name":"Scott Pape","email":"spape@ntta.org","role":"Executive Sponsor"}],"wdSponsor":null,"engagementManagers":[]}}],"counts":{"mds":9,"pgl":3}},{"yearMonth":"2026-10","monthLabel":"October 2026","schedule":{"yearMonth":"2026-10","isProjected":false,"surveyOpen":"2026-10-07","reminder1":"2026-10-14","reminder2":"2026-10-26","surveyClose":"2026-10-28","mdsOneThirdWindow":{"start":"2026-08-31","end":"2026-09-30"},"pglFirstMtpWindow":{"start":"2026-08-01","end":"2026-08-31"}},"mdsRows":[{"deploymentId":"a0rVT000014HfVUYA0","accountName":"Allegheny County Airport Authority","deploymentName":"Subsequent - Phase X - Financials","deliveryDirector":"","partner":"Strada U.S. Professional Services, LLC","isExecutiveWatch":false,"surveyType":"MDS","eventDate":"2027-07-05","products":["Analytics and Reporting","Financial Management","Spend Management"],"isMultipleGoLives":false,"oneThirdPoint":"2026-09-29","startDate":"Thu May 14 2026 00:00:00 GMT-0400 (Eastern Daylight Time)","currentMtp":"Mon Jul 05 2027 00:00:00 GMT-0400 (Eastern Daylight Time)","contacts":{"projectManagers":[{"name":"Carol Keyes","email":"ckeyes@flypittsburgh.com","role":"Project Manager [Customer]"}],"execSponsors":[{"name":"Lou Antosz","email":"lantosz@flypittsburgh.com","role":"Executive Sponsor"}],"wdSponsor":null,"engagementManagers":[]}},{"deploymentId":"a0rVT00000qMQqmYAG","accountName":"County of Pinellas (Iron Brick Associates LLC)","deploymentName":"Initial Deployment-Your Way-CCB, USP, LRN, EXP, PRO, INV, CCLRN, REC,","deliveryDirector":"","partner":"Guidehouse Inc","isExecutiveWatch":false,"surveyType":"MDS","eventDate":"2028-04-01","products":["Adaptive Planning"],"isMultipleGoLives":true,"oneThirdPoint":"2026-09-22","startDate":"Thu Dec 18 2025 00:00:00 GMT-0500 (Eastern Standard Time)","currentMtp":"Thu Oct 01 2026 00:00:00 GMT-0400 (Eastern Daylight Time)","contacts":{"projectManagers":[{"name":"Joseph Gauthier","email":"jgauthier@pinellas.gov","role":"Project Manager [Customer]"}],"execSponsors":[{"name":"Bryan Zumwalt","email":"bzumwalt@pinellas.gov","role":"Executive Sponsor"}],"wdSponsor":null,"engagementManagers":[]}},{"deploymentId":"a0r4X00000CrVxdQAF","accountName":"County of San Joaquin","deploymentName":"Subsequent-Phase X-HCM","deliveryDirector":"","partner":"Guidehouse Inc","isExecutiveWatch":false,"surveyType":"MDS","eventDate":"2027-10-01","products":["Core HCM","Human Capital Management","Payroll","People Experience","Talent Optimization"],"isMultipleGoLives":false,"oneThirdPoint":"2026-09-30","startDate":"Wed Apr 01 2026 00:00:00 GMT-0400 (Eastern Daylight Time)","currentMtp":null,"contacts":{"projectManagers":[{"name":"Steve Leckey","email":"vendor.sleckey@sjgov.org","role":"Project Manager [Customer]"}],"execSponsors":[{"name":"Jeff Woltkamp","email":"jwolfkamp@sjgov.org","role":"Executive Sponsor"}],"wdSponsor":null,"engagementManagers":[]}},{"deploymentId":"a0rVT000016K5afYAC","accountName":"North Texas Tollway Authority (Precision Task Group, Inc.)","deploymentName":"Subsequent-Phase X: ADV, PE, PRISM, PA, PK, SS","deliveryDirector":"","partner":"Strada U.S. Professional Services, LLC","isExecutiveWatch":false,"surveyType":"MDS","eventDate":"2027-02-01","products":["Analytics and Reporting","Spend Management","Workday Peakon Employee Voice"],"isMultipleGoLives":true,"oneThirdPoint":"2026-09-04","startDate":"Mon Jun 22 2026 00:00:00 GMT-0400 (Eastern Daylight Time)","currentMtp":"Mon Feb 01 2027 00:00:00 GMT-0500 (Eastern Standard Time)","contacts":null},{"deploymentId":"a0rVT000014UVeiYAG","accountName":"Pima County","deploymentName":"Subsequent-Phase X: Your Way: Grants Implementation","deliveryDirector":"","partner":"Groove Global LLC","isExecutiveWatch":false,"surveyType":"MDS","eventDate":"2027-06-21","products":["Financial Management"],"isMultipleGoLives":false,"oneThirdPoint":"2026-09-27","startDate":"Sun May 17 2026 00:00:00 GMT-0400 (Eastern Daylight Time)","currentMtp":null,"contacts":null},{"deploymentId":"a0rVT000011r44PYAQ","accountName":"State of New York, Office for People With Developmental Disabilities (Meridian Government Services LLC )","deploymentName":"Initial Deployment-Your Way-TT, SC, SCLO, XTND, WSP, CHCM, GPC, REC, PLNF","deliveryDirector":"","partner":"Precision Task Group Inc.","isExecutiveWatch":false,"surveyType":"MDS","eventDate":"2027-06-01","products":["Human Capital Management","Payroll","Platform and Product Extensions","Talent Management","Workforce Management"],"isMultipleGoLives":false,"oneThirdPoint":"2026-09-12","startDate":"Tue May 05 2026 00:00:00 GMT-0400 (Eastern Daylight Time)","currentMtp":null,"contacts":null},{"deploymentId":"a0rVT00000xahu8YAA","accountName":"State of Virginia (Commonwealth), Information Technologies Agency-VITA","deploymentName":"Initial Deployment-Your Way-CHCM, GPC, FIN, GM, PLNF, PRA, etc","deliveryDirector":"","partner":"Deloitte Consulting LLP (Deloitte US)","isExecutiveWatch":false,"surveyType":"MDS","eventDate":"2027-07-01","products":["Adaptive Planning","Analytics and Reporting","Financial Management","Human Capital Management","Spend Management"],"isMultipleGoLives":false,"oneThirdPoint":"2026-09-13","startDate":"Wed Apr 22 2026 00:00:00 GMT-0400 (Eastern Daylight Time)","currentMtp":null,"contacts":{"projectManagers":[{"name":"Nannette Hutchens","email":"nannette.hutchens@vita.virginia.gov","role":"Project Manager [Customer]"}],"execSponsors":[{"name":"Cynthia Cordova Edwards","email":"cynthia.cordova-edwards@vita.virginia.gov","role":"Executive Sponsor"}],"wdSponsor":null,"engagementManagers":[]}}],"pglRows":[],"counts":{"mds":7,"pgl":0}},{"yearMonth":"2026-11","monthLabel":"November 2026","schedule":{"yearMonth":"2026-11","isProjected":false,"surveyOpen":"2026-11-04","reminder1":"2026-11-11","reminder2":"2026-11-23","surveyClose":"2026-11-25","mdsOneThirdWindow":{"start":"2026-10-01","end":"2026-10-30"},"pglFirstMtpWindow":{"start":"2026-09-01","end":"2026-09-30"}},"mdsRows":[{"deploymentId":"a0rVT0000159bGHYAY","accountName":"City of West Jordan (IronBrick)","deploymentName":"Subsequent- Phase X- Phase 2: Core Financials","deliveryDirector":"","partner":"Workday Professional Services","isExecutiveWatch":false,"surveyType":"MDS","eventDate":"2027-06-27","products":["Analytics and Reporting","Financial Management","Spend Management"],"isMultipleGoLives":false,"oneThirdPoint":"2026-10-05","startDate":"Wed May 27 2026 00:00:00 GMT-0400 (Eastern Daylight Time)","currentMtp":null,"contacts":null},{"deploymentId":"a0rVT00000uJ9FTYA0","accountName":"Kansas City, Missouri (Iron Brick Associates LLC)","deploymentName":"New Deployment-Your Way-CHCM, TLO, CCB, USP, LRN, CCLRN, REC, FIN, etc.","deliveryDirector":"","partner":"Accenture LLP","isExecutiveWatch":false,"surveyType":"MDS","eventDate":"2027-09-01","products":["Analytics and Reporting","Contract Management and Document Intelligence","Financial Management","Human Capital Management","Payroll","Spend Management","Talent Management","Workforce Management"],"isMultipleGoLives":false,"oneThirdPoint":"2026-10-26","startDate":"Mon May 25 2026 00:00:00 GMT-0400 (Eastern Daylight Time)","currentMtp":"Thu Sep 30 2027 00:00:00 GMT-0400 (Eastern Daylight Time)","contacts":null},{"deploymentId":"a0rVT00000vU5EOYA0","accountName":"State Compensation Insurance Fund","deploymentName":"Initial Deployment-Your Way-HLP, LRN, REC, PRA, etc","deliveryDirector":"","partner":"KPMG LLP [US]","isExecutiveWatch":false,"surveyType":"MDS","eventDate":"2027-06-27","products":["Analytics and Reporting","Contract Management and Document Intelligence","Human Capital Management","Platform and Product Extensions","Talent Management","Workforce Management"],"isMultipleGoLives":false,"oneThirdPoint":"2026-10-21","startDate":"Fri Jun 19 2026 00:00:00 GMT-0400 (Eastern Daylight Time)","currentMtp":"Sun Jun 27 2027 00:00:00 GMT-0400 (Eastern Daylight Time)","contacts":null}],"pglRows":[],"counts":{"mds":3,"pgl":0}},{"yearMonth":"2026-12","monthLabel":"December 2026","schedule":{"yearMonth":"2026-12","isProjected":false,"surveyOpen":"2026-12-02","reminder1":"2026-12-09","reminder2":"2026-12-21","surveyClose":"2026-12-23","mdsOneThirdWindow":{"start":"2026-10-31","end":"2026-11-30"},"pglFirstMtpWindow":{"start":"2026-10-01","end":"2026-10-31"}},"mdsRows":[],"pglRows":[],"counts":{"mds":0,"pgl":0}}],"exceptions":[{"deploymentId":"a0rVT00000iWFtpYAG","accountName":"Electric Reliability Council of Texas, Inc. (ERCOT)","deploymentName":"Subsequent-Phase X: VNDLY","deploymentStartDate":"Wed Jul 09 2025 00:00:00 GMT-0400 (Eastern Daylight Time)","missingType":"DeploymentTargetEnd","hasProducts":false,"deliveryDirector":null}]}</t>
  </si>
  <si>
    <t>017VT0000GYlmCiYQJ</t>
  </si>
  <si>
    <t>0018000000shOb8AAE</t>
  </si>
  <si>
    <t>{SubRegion__c=Germany LE CB, Industry=Industrial Manufacturing, PS_Sub_Region__c=Germany CB, Name=KION Information Management Services GmbH, attributes={url=/services/data/v62.0/sobjects/Account/0018000000shOb8AAE, type=Account}, PS_Region_New__c=DACH}</t>
  </si>
  <si>
    <t>overviewData:v2:SLG</t>
  </si>
  <si>
    <t>{Name=Woodward, Inc., Industry=High Technology, attributes={url=/services/data/v62.0/sobjects/Account/0018000000LV7I9AAL, type=Account}, PS_Region_New__c=US Large Enterprise DI &amp; Mexico}</t>
  </si>
  <si>
    <t>2026-09-16T19:07:17.000+0000</t>
  </si>
  <si>
    <t>0054X00000FT6LhQAL</t>
  </si>
  <si>
    <t>017VT0000GYtQJOYQ3</t>
  </si>
  <si>
    <t>Kickoff moved for Sep 30 due to calendar conflicts; team is aligning on duplicate background check prevention and integration ownership.</t>
  </si>
  <si>
    <t>{"totals":{"totalActive":173,"red":10,"yellow":7,"green":156,"executiveWatch":4},"topHighRisk":[{"deploymentId":"a0r1B00000BdaDXQAZ","accountName":"State of Washington Office of Financial Management","deploymentName":"Initial Deployment-Your Way:FIN, GM, PLNF, PLNW, PRA, PRJT, PB, etc.","partner":"Deloitte Consulting LLP (Deloitte US)","health":"Red","currentMtp":"Fri Oct 01 2027 00:00:00 GMT-0400 (Eastern Daylight Time)"},{"deploymentId":"a0rVT00000kgQEyYAM","accountName":"Okaloosa County Clerk of Circuit Court and Comptroller (IronBrick Associates, LLC)","deploymentName":"Initial Deployment-Launch-HCM &amp; FIN","partner":"Workday Professional Services","health":"Red","currentMtp":"Fri Oct 02 2026 00:00:00 GMT-0400 (Eastern Daylight Time)"},{"deploymentId":"a0rVT00000rSgrfYAC","accountName":"Metropolitan Transit Authority of Harris County (Precision Task Group Inc.)","deploymentName":"Initial Deployment-Your WayCHCM, CCB, USP, REC, TT, WS","partner":"Precision Task Group Inc.","health":"Yellow","currentMtp":"Mon Aug 03 2026 00:00:00 GMT-0400 (Eastern Daylight Time)"},{"deploymentId":"a0rVT00000PrglzYAB","accountName":"City of Hagerstown","deploymentName":"Initial Deployment-Launch-LDPHCM, LDPHLP, LDPCCB, LDPBEN, LDPUSP, LDPLRN, etc.","partner":"Workday Professional Services","health":"Red","currentMtp":"Mon Dec 14 2026 00:00:00 GMT-0500 (Eastern Standard Time)"},{"deploymentId":"a0rVT00000tjiwUYAQ","accountName":"City Of Bell Gardens","deploymentName":"Initial Deployment-Launch-LDPBEN, LDPUSP, LDPLRN, LDPHCM, etc.","partner":"ERP Analysts Inc. dba ERPA","health":"Yellow","currentMtp":"Mon Jun 15 2026 00:00:00 GMT-0400 (Eastern Daylight Time)"}],"upcomingGoLives":{"total":13,"items":[{"deploymentId":"a0rVT00000YvLJEYA3","accountName":"Maricopa Association of Governments","deploymentName":"Initial Deployment-Launch: HCM, FIN","currentMtp":"2026-07-06"},{"deploymentId":"a0rVT00000xZQDqYAO","accountName":"Clark County (WA)","deploymentName":"Subsequent - Phase X - Strategic Sourcing","currentMtp":"2026-07-08"},{"deploymentId":"a0rVT00000mT5KLYA0","accountName":"City of Galveston","deploymentName":"Subsequent-Phase-X: FIN for Sourcing","currentMtp":"2026-07-10"},{"deploymentId":"a0rVT00000Q3kFdYAJ","accountName":"City of Salem","deploymentName":"Initial Deployment-Launch-LDPHCM, LDPHLP, LDPCCB, LDPBEN, LDPUSP, etc.","currentMtp":"2026-07-16"},{"deploymentId":"a0rVT000010i7brYAA","accountName":"Lake County Sheriff's Office","deploymentName":"Subsequent-Phase X: REC, LRNG, PRISM, INV.","currentMtp":"2026-07-24"}]},"lifecycleBuckets":{"starting":{"count":61,"percent":35,"stages":["On-Boarding","Plan"]},"building":{"count":75,"percent":43,"stages":["Architect &amp; Configure","Configure and Prototype","Test"]},"landing":{"count":37,"percent":21,"stages":["Deploy","Post Prod"]},"other":{"count":0,"percent":0,"stages":[]}},"asOf":"2026-07-04T16:29:08.292Z"}</t>
  </si>
  <si>
    <t>{Name=Woodward, Inc., attributes={url=/services/data/v62.0/sobjects/Account/0018000000LV7I9AAL, type=Account}, Industry=High Technology, PS_Region_New__c=US Large Enterprise DI &amp; Mexico}</t>
  </si>
  <si>
    <t>BRD is with KION for review and sign off by Sep 16 - sign off in progress. Technical ICD is with KION for sign off by Sep 14 - sign off in progress.
Build expected to start Sep 21
Workday staffing an issue and causing project to report as Amber - see DHP.</t>
  </si>
  <si>
    <t>2026-09-16T19:28:19.000+0000</t>
  </si>
  <si>
    <t>017VT0000Dkoiw5YQA</t>
  </si>
  <si>
    <t>{Industry=Other Healthcare, attributes={type=Account, url=/services/data/v62.0/sobjects/Account/0014X00002FBnG2QAL}, PS_Region_New__c=US Healthcare, Name=Center for Social Dynamics, LLC}</t>
  </si>
  <si>
    <t>Subsequent-Phase X: Candidate Experience</t>
  </si>
  <si>
    <t>0011B00002FbtaGQAR</t>
  </si>
  <si>
    <t>2026-06-04T16:25:59.000+0000</t>
  </si>
  <si>
    <t>{PS_Region_New__c=EMEA North, PS_Sub_Region__c=Belux, attributes={type=Account, url=/services/data/v62.0/sobjects/Account/0011B00002FbtaGQAR}, Name=argenx BV, Industry=Professional Services, SubRegion__c=Belux CB}</t>
  </si>
  <si>
    <t>0054X00000EattiQAB</t>
  </si>
  <si>
    <t>017VT0000ErZy6KYQS</t>
  </si>
  <si>
    <t>a0rVT00001DXD9lYAH</t>
  </si>
  <si>
    <t>{Name=Center for Social Dynamics, LLC, Industry=Other Healthcare, PS_Region_New__c=US Healthcare, attributes={type=Account, url=/services/data/v62.0/sobjects/Account/0014X00002FBnG2QAL}}</t>
  </si>
  <si>
    <t>AAA Northeast</t>
  </si>
  <si>
    <t>2026-07-14T14:10:55.000+0000</t>
  </si>
  <si>
    <t>9/28: Build in progress, Preparing for SIT</t>
  </si>
  <si>
    <t>017VT0000CsBNEXYQ4</t>
  </si>
  <si>
    <t>{Industry=Banking &amp; Capital Markets, attributes={type=Account, url=/services/data/v62.0/sobjects/Account/0013000000Js2qsAAB}, Name=The Toronto-Dominion Bank, PS_Region_New__c=Canada}</t>
  </si>
  <si>
    <t>0014X00002MBLyjQAH</t>
  </si>
  <si>
    <t>{Industry=Business Services, PS_Region_New__c=US Medium Enterprise DI, SubRegion__c=US DI ME CB PBS West, Name=Greenix Holdings LLC, PS_Sub_Region__c=ME CB PBS, attributes={url=/services/data/v62.0/sobjects/Account/0014X00002MBLyjQAH, type=Account}}</t>
  </si>
  <si>
    <t>2026-04-26T14:41:28.000+0000</t>
  </si>
  <si>
    <t>a0rVT00001DWvDpYAL</t>
  </si>
  <si>
    <t>017VT0000D6ojFzYQI</t>
  </si>
  <si>
    <t>ABC Liquors, Inc.</t>
  </si>
  <si>
    <t>{attributes={url=/services/data/v62.0/sobjects/Account/0013000000Js2qsAAB, type=Account}, PS_Region_New__c=Canada, Name=The Toronto-Dominion Bank, Industry=Banking &amp; Capital Markets}</t>
  </si>
  <si>
    <t>9/28: SIT is running behind but we should be able to make up the time; E2E kick off postponed temporarily</t>
  </si>
  <si>
    <t>2026-05-06T22:44:03.000+0000</t>
  </si>
  <si>
    <t>017VT0000EztPQlYQM</t>
  </si>
  <si>
    <t>{Industry=Banking &amp; Capital Markets, PS_Region_New__c=Canada, Name=The Toronto-Dominion Bank, attributes={url=/services/data/v62.0/sobjects/Account/0013000000Js2qsAAB, type=Account}}</t>
  </si>
  <si>
    <t>00180000010GkBhAAK</t>
  </si>
  <si>
    <t>{SubRegion__c=US Healthcare ME CB West, PS_Region_New__c=US Healthcare, Industry=Other Healthcare, attributes={type=Account, url=/services/data/v62.0/sobjects/Account/00180000010GkBhAAK}, Name=Medical Transportation Management, Inc., PS_Sub_Region__c=Healthcare ME}</t>
  </si>
  <si>
    <t>a0rVT00001DX5IiYAL</t>
  </si>
  <si>
    <t>2026-07-20T13:40:56.000+0000</t>
  </si>
  <si>
    <t>005VT00000AlRqFYAV</t>
  </si>
  <si>
    <t>ABC Phones of North Carolina, Inc.</t>
  </si>
  <si>
    <t>017VT0000FR6PgPYQV</t>
  </si>
  <si>
    <t>{Name=The Toronto-Dominion Bank, attributes={type=Account, url=/services/data/v62.0/sobjects/Account/0013000000Js2qsAAB}, Industry=Banking &amp; Capital Markets, PS_Region_New__c=Canada}</t>
  </si>
  <si>
    <t>9/25: integrations-related blocker requiring WD support poses a risk to SIT kick off, which will have downstream impacts on timeline and Go Live date</t>
  </si>
  <si>
    <t>2026-08-03T12:21:39.000+0000</t>
  </si>
  <si>
    <t>017VT0000DghEDJYQ2</t>
  </si>
  <si>
    <t>a0rVT00001DXBcbYAH</t>
  </si>
  <si>
    <t>{attributes={url=/services/data/v62.0/sobjects/Account/0018000001H6IDSAA3, type=Account}, Industry=Consumer Goods, Name=Lindt &amp; Sprüngli (International) AG, PS_Region_New__c=DACH}</t>
  </si>
  <si>
    <t>abcor home health</t>
  </si>
  <si>
    <t>0014X00002XJYtIQAX</t>
  </si>
  <si>
    <t>{PS_Region_New__c=US Medium Enterprise DI, SubRegion__c=US DI ME CB TM Northwest, Industry=Software &amp; Platforms, Name=Arcus Biosciences, Inc., PS_Sub_Region__c=ME CB TM &amp; RHT, attributes={url=/services/data/v62.0/sobjects/Account/0014X00002XJYtIQAX, type=Account}}</t>
  </si>
  <si>
    <t>2026-06-02T08:34:07.000+0000</t>
  </si>
  <si>
    <t>0051B00000D8BMuQAN</t>
  </si>
  <si>
    <t>017VT0000GLvc5XYQR</t>
  </si>
  <si>
    <t>{PS_Region_New__c=DACH, Industry=Consumer Goods, Name=Lindt &amp; Sprüngli (International) AG, attributes={url=/services/data/v62.0/sobjects/Account/0018000001H6IDSAA3, type=Account}}</t>
  </si>
  <si>
    <t>2026-09-09T10:49:58.000+0000</t>
  </si>
  <si>
    <t>Recruiting to Go-Live in November with Paradox going live in February 2027. E2E Testing Completed on 9/25.</t>
  </si>
  <si>
    <t>005VT00000Ny54PYAR</t>
  </si>
  <si>
    <t>a0rVT00001DX86sYAD</t>
  </si>
  <si>
    <t>017VT0000DXLqMqYQL</t>
  </si>
  <si>
    <t>Academy School District 20</t>
  </si>
  <si>
    <t>0013000000HpdroAAB</t>
  </si>
  <si>
    <t>{PS_Region_New__c=US Medium Enterprise DI, Industry=Professional Services, attributes={url=/services/data/v62.0/sobjects/Account/0018000001YoBMJAA3, type=Account}, Name=Do It, LLC.}</t>
  </si>
  <si>
    <t>{Name=BlackRock, Inc., Industry=Investment Management, attributes={url=/services/data/v62.0/sobjects/Account/0013000000HpdroAAB, type=Account}, PS_Region_New__c=US FSI, SubRegion__c=US FSI Majors, PS_Sub_Region__c=FSI LE}</t>
  </si>
  <si>
    <t>2026-05-26T18:25:52.000+0000</t>
  </si>
  <si>
    <t>0054X00000DvojbQAB</t>
  </si>
  <si>
    <t>017VT0000FS7zNeYQJ</t>
  </si>
  <si>
    <t>{Full_Name__c=Brooke Knight, attributes={type=Contact, url=/services/data/v62.0/sobjects/Contact/003VT00000H0DGRYA3}}</t>
  </si>
  <si>
    <t>{Industry=Professional Services, PS_Region_New__c=US Medium Enterprise DI, Name=Do It, LLC., attributes={url=/services/data/v62.0/sobjects/Account/0018000001YoBMJAA3, type=Account}}</t>
  </si>
  <si>
    <t>9/23/26-pending product issues to go live</t>
  </si>
  <si>
    <t>a0rVT00001DXEIjYAP</t>
  </si>
  <si>
    <t>2026-08-04T03:30:43.000+0000</t>
  </si>
  <si>
    <t>AccentCare, Inc.</t>
  </si>
  <si>
    <t>017VT0000FwJTD8YQO</t>
  </si>
  <si>
    <t>Initial Deployment-Launch-LDPTT, LDPAM, LDPSC, LDPRGP,etc</t>
  </si>
  <si>
    <t>0014X00002Ovzv7QAB</t>
  </si>
  <si>
    <t>{PS_Region_New__c=US Medium Enterprise DI, attributes={type=Account, url=/services/data/v62.0/sobjects/Account/0018000001YoBMJAA3}, Industry=Professional Services, Name=Do It, LLC.}</t>
  </si>
  <si>
    <t>{Industry=Amusement &amp; Recreation, Name=Easy Mile Fitness, PS_Region_New__c=US Medium Enterprise DI, SubRegion__c=US DI ME CB RHT East, PS_Sub_Region__c=ME CB TM &amp; RHT, attributes={url=/services/data/v62.0/sobjects/Account/0014X00002Ovzv7QAB, type=Account}}</t>
  </si>
  <si>
    <t>2026-08-24T18:19:49.000+0000</t>
  </si>
  <si>
    <t>017VT0000EqNZWlYQO</t>
  </si>
  <si>
    <t>{attributes={url=/services/data/v62.0/sobjects/Account/0013000000JP4ooAAD, type=Account}, PS_Region_New__c=US Large Enterprise DI &amp; Mexico, Name=Rackspace US, Inc., Industry=Technology Solutions}</t>
  </si>
  <si>
    <t>9/28 - Testing should begin today however client is out of the office at a conference so testing will kick off on Friday, Oct 2nd.</t>
  </si>
  <si>
    <t>2026-07-13T16:54:10.000+0000</t>
  </si>
  <si>
    <t>0051B00000CmP9gQAF</t>
  </si>
  <si>
    <t>017VT0000CMy8yVYQR</t>
  </si>
  <si>
    <t>{attributes={url=/services/data/v62.0/sobjects/Account/0013000000KLQvUAAX, type=Account}, PS_Region_New__c=Canada, Industry=Investment Management, Name=Technology Services Group LLC}</t>
  </si>
  <si>
    <t>{attributes={url=/services/data/v62.0/sobjects/Account/0014X00002Ovzv7QAB, type=Account}, PS_Sub_Region__c=ME CB TM &amp; RHT, SubRegion__c=US DI ME CB RHT East, Industry=Amusement &amp; Recreation, PS_Region_New__c=US Medium Enterprise DI, Name=Easy Mile Fitness}</t>
  </si>
  <si>
    <t>2026-04-03T19:38:28.000+0000</t>
  </si>
  <si>
    <t>005800000091bDUAAY</t>
  </si>
  <si>
    <t>017VT0000CaA15zYQC</t>
  </si>
  <si>
    <t>a0rVT00001DX7luYAD</t>
  </si>
  <si>
    <t>Acosta Inc.</t>
  </si>
  <si>
    <t>2026-04-13T16:19:09.000+0000</t>
  </si>
  <si>
    <t>017VT0000GrvAjxYQE</t>
  </si>
  <si>
    <t>{attributes={url=/services/data/v62.0/sobjects/Account/0013000000KLQvUAAX, type=Account}, Industry=Investment Management, PS_Region_New__c=Canada, Name=Technology Services Group LLC}</t>
  </si>
  <si>
    <t>{attributes={url=/services/data/v62.0/sobjects/Account/0014X00002Ovzv7QAB, type=Account}, PS_Region_New__c=US Medium Enterprise DI, SubRegion__c=US DI ME CB RHT East, Name=Easy Mile Fitness, PS_Sub_Region__c=ME CB TM &amp; RHT, Industry=Amusement &amp; Recreation}</t>
  </si>
  <si>
    <t>2026-09-28T20:16:24.000+0000</t>
  </si>
  <si>
    <t>005VT00000Jv3O1YAJ</t>
  </si>
  <si>
    <t>017VT0000FO2srnYQB</t>
  </si>
  <si>
    <t>{Name=Sumitomo Pharma America, Inc., attributes={url=/services/data/v62.0/sobjects/Account/0014X00002aUkrRQAS, type=Account}, Industry=Healthcare Manufacturing, PS_Region_New__c=US Medium Enterprise DI}</t>
  </si>
  <si>
    <t>2026-07-31T18:25:25.000+0000</t>
  </si>
  <si>
    <t>0054X00000FaDlRQAV</t>
  </si>
  <si>
    <t>a0pVT00000CxF8zYAF</t>
  </si>
  <si>
    <t>017VT0000Ffggp8YQA</t>
  </si>
  <si>
    <t>{attributes={type=Account, url=/services/data/v62.0/sobjects/Account/0013000000Js2qsAAB}, Industry=Banking &amp; Capital Markets, Name=The Toronto-Dominion Bank, PS_Region_New__c=Canada, SubRegion__c=Canada FSI, PS_Sub_Region__c=Canada FSI}</t>
  </si>
  <si>
    <t>{Industry=Healthcare Manufacturing, Name=Sumitomo Pharma America, Inc., attributes={url=/services/data/v62.0/sobjects/Account/0014X00002aUkrRQAS, type=Account}, PS_Region_New__c=US Medium Enterprise DI}</t>
  </si>
  <si>
    <t>a0rVT00001DX57kYAD</t>
  </si>
  <si>
    <t>2026-08-13T21:07:02.000+0000</t>
  </si>
  <si>
    <t>Adelante Healthcare</t>
  </si>
  <si>
    <t>{Full_Name__c=Frances Lambe, attributes={url=/services/data/v62.0/sobjects/Contact/003VT00000NXx5mYAD, type=Contact}}</t>
  </si>
  <si>
    <t>017VT0000EhBB05YQG</t>
  </si>
  <si>
    <t>TA Optimiztion Project in progress with customer currently optimizing Workday Recruiting prior to the start of the AI Deploymnent Phase scheduled to start on January 25, 2027.</t>
  </si>
  <si>
    <t>{PS_Region_New__c=US Large Enterprise DI &amp; Mexico, Industry=Professional Services, Name=OGI Shared Service Center – Advertising, LLC, attributes={type=Account, url=/services/data/v62.0/sobjects/Account/0013000000Hof9TAAR}}</t>
  </si>
  <si>
    <t>a0pVT00000CxHxBYAV</t>
  </si>
  <si>
    <t>2026-07-07T16:35:36.000+0000</t>
  </si>
  <si>
    <t>0058000000CMZ9oAAH</t>
  </si>
  <si>
    <t>017VT0000EhAamJYQS</t>
  </si>
  <si>
    <t>{attributes={url=/services/data/v62.0/sobjects/Account/0013000000Js2qsAAB, type=Account}, Name=The Toronto-Dominion Bank, PS_Sub_Region__c=Canada FSI, SubRegion__c=Canada FSI, PS_Region_New__c=Canada, Industry=Banking &amp; Capital Markets}</t>
  </si>
  <si>
    <t>{Industry=Professional Services, Name=OGI Shared Service Center – Advertising, LLC, PS_Region_New__c=US Large Enterprise DI &amp; Mexico, attributes={url=/services/data/v62.0/sobjects/Account/0013000000Hof9TAAR, type=Account}}</t>
  </si>
  <si>
    <t>2026-07-07T16:37:15.000+0000</t>
  </si>
  <si>
    <t>{attributes={type=Contact, url=/services/data/v62.0/sobjects/Contact/003VT00000NXx5mYAD}, Full_Name__c=Frances Lambe}</t>
  </si>
  <si>
    <t>017VT0000Fp7fJgYQI</t>
  </si>
  <si>
    <t>{attributes={url=/services/data/v62.0/sobjects/Account/0013000000Hof9TAAR, type=Account}, Name=OGI Shared Service Center – Advertising, LLC, PS_Region_New__c=US Large Enterprise DI &amp; Mexico, Industry=Professional Services}</t>
  </si>
  <si>
    <t>a0rVT00001DXCwtYAH</t>
  </si>
  <si>
    <t>2026-08-19T18:31:06.000+0000</t>
  </si>
  <si>
    <t>0018000000LUJguAAH</t>
  </si>
  <si>
    <t>ADT Security Services</t>
  </si>
  <si>
    <t>{attributes={type=Account, url=/services/data/v62.0/sobjects/Account/0018000000LUJguAAH}, PS_Region_New__c=US Healthcare, SubRegion__c=US Healthcare LE CB West, Name=MultiCare Health System, Industry=Acute Hospital / Health System, PS_Sub_Region__c=Healthcare LE}</t>
  </si>
  <si>
    <t>017VT0000Fp7oCmYQI</t>
  </si>
  <si>
    <t>US DI LE NN TM &amp; PS West</t>
  </si>
  <si>
    <t>Marked as completed per case 3407779</t>
  </si>
  <si>
    <t>2026-08-19T18:32:15.000+0000</t>
  </si>
  <si>
    <t>0054X00000DT9wwQAD</t>
  </si>
  <si>
    <t>017VT0000CUVT0qYQH</t>
  </si>
  <si>
    <t>a0rVT00001DX5axYAD</t>
  </si>
  <si>
    <t>Advance America, Cash Advance Centers</t>
  </si>
  <si>
    <t>{Name=Echo Global Logistics, Inc., PS_Region_New__c=US Medium Enterprise DI, SubRegion__c=US DI ME CB RHT East, PS_Sub_Region__c=ME CB TM &amp; RHT, Industry=Other Transportation, attributes={type=Account, url=/services/data/v62.0/sobjects/Account/0018000000kIOR7AAO}}</t>
  </si>
  <si>
    <t>{PS_Region_New__c=US Medium Enterprise DI, Name=Dine Brands Global, Inc., attributes={type=Account, url=/services/data/v62.0/sobjects/Account/0018000000OzPyGAAV}, Industry=Restaurant &amp; Food Service}</t>
  </si>
  <si>
    <t>2026-04-09T13:28:02.000+0000</t>
  </si>
  <si>
    <t>0054X00000EnDaHQAV</t>
  </si>
  <si>
    <t>Overall_Health_Status__c</t>
  </si>
  <si>
    <t>9/28: build in progress and on track</t>
  </si>
  <si>
    <t>017VT0000DIo0wZYQR</t>
  </si>
  <si>
    <t>a0rVT00001DX9SjYAL</t>
  </si>
  <si>
    <t>Account__r.Id</t>
  </si>
  <si>
    <t>{Industry=Restaurant &amp; Food Service, attributes={type=Account, url=/services/data/v62.0/sobjects/Account/0018000000OzPyGAAV}, Name=Dine Brands Global, Inc., PS_Region_New__c=US Medium Enterprise DI}</t>
  </si>
  <si>
    <t>0018000000LndB4AAJ</t>
  </si>
  <si>
    <t>2026-05-15T15:22:57.000+0000</t>
  </si>
  <si>
    <t>{PS_Region_New__c=US Healthcare, SubRegion__c=US Healthcare Majors CB, attributes={type=Account, url=/services/data/v62.0/sobjects/Account/0018000000LndB4AAJ}, Name=Mercy Health, Industry=Acute Hospital / Health System, PS_Sub_Region__c=Healthcare Majors NN}</t>
  </si>
  <si>
    <t>017VT0000DW4xN9YQJ</t>
  </si>
  <si>
    <t>{attributes={url=/services/data/v62.0/sobjects/Contact/0034X00003GMOLBQA5, type=Contact}, Full_Name__c=Jamie Jackson}</t>
  </si>
  <si>
    <t>9/28 - Paradox: Smoke testing in progress. SIT to begin 10/5
VNDLY: paused by client - demo 10/7 to re-evaluate</t>
  </si>
  <si>
    <t>{Name=Dine Brands Global, Inc., Industry=Restaurant &amp; Food Service, attributes={type=Account, url=/services/data/v62.0/sobjects/Account/0018000000OzPyGAAV}, PS_Region_New__c=US Medium Enterprise DI}</t>
  </si>
  <si>
    <t>a0rVT00001DXEPBYA5</t>
  </si>
  <si>
    <t>2026-05-25T19:09:00.000+0000</t>
  </si>
  <si>
    <t>0018000000MtM3JAAV</t>
  </si>
  <si>
    <t>{PS_Sub_Region__c=Diversified Industries LE CB RHT, Industry=Food &amp; Drug, Name=Pilot Travel Centers LLC, attributes={type=Account, url=/services/data/v62.0/sobjects/Account/0018000000MtM3JAAV}, PS_Region_New__c=US Large Enterprise DI &amp; Mexico, SubRegion__c=US DI LE CB RHT South}</t>
  </si>
  <si>
    <t>017VT0000DaWkhJYQS</t>
  </si>
  <si>
    <t>2026-05-28T16:37:50.000+0000</t>
  </si>
  <si>
    <t>Began Discovery on 8/28. Workbook review on 9/3.</t>
  </si>
  <si>
    <t>a0rVT00001DX3C3YAL</t>
  </si>
  <si>
    <t>017VT0000CUVGOLYQ5</t>
  </si>
  <si>
    <t>{Industry=Media &amp; Entertainment, PS_Region_New__c=UKI, Name=Power Leisure Bookmakers Limited, attributes={url=/services/data/v62.0/sobjects/Account/00180000010yfsJAAQ, type=Account}}</t>
  </si>
  <si>
    <t>2026-04-09T13:24:20.000+0000</t>
  </si>
  <si>
    <t>017VT0000DfQyz2YQC</t>
  </si>
  <si>
    <t>High_Risk_Flag__c</t>
  </si>
  <si>
    <t>0018000001fjth3AAA</t>
  </si>
  <si>
    <t>{PS_Region_New__c=UKI, Industry=Media &amp; Entertainment, Name=Power Leisure Bookmakers Limited, attributes={type=Account, url=/services/data/v62.0/sobjects/Account/00180000010yfsJAAQ}}</t>
  </si>
  <si>
    <t>a0rVT00001DXA0bYAH</t>
  </si>
  <si>
    <t>{PS_Sub_Region__c=ME CB TM &amp; RHT, attributes={url=/services/data/v62.0/sobjects/Account/0018000001fjth3AAA, type=Account}, Industry=Lodging &amp; Resorts, PS_Region_New__c=US Medium Enterprise DI, Name=Oaklawn Jockey Club, Inc., SubRegion__c=US DI ME CB RHT West}</t>
  </si>
  <si>
    <t>Wellness_Update__c</t>
  </si>
  <si>
    <t>AES Big Sky, L.L.C.</t>
  </si>
  <si>
    <t>2026-06-01T14:48:11.000+0000</t>
  </si>
  <si>
    <t>Renewable Energy</t>
  </si>
  <si>
    <t>0054X00000FTXx9QAH</t>
  </si>
  <si>
    <t>CX_Leader_Assignment__r</t>
  </si>
  <si>
    <t>017VT0000E27vG8YQI</t>
  </si>
  <si>
    <t>Executive_Summary__c</t>
  </si>
  <si>
    <t>{Full_Name__c=Monica Morandi, attributes={url=/services/data/v62.0/sobjects/Contact/003VT00000WusXyYAJ, type=Contact}}</t>
  </si>
  <si>
    <t>{Name=FreedomRoads, LLC, Industry=Consumer Goods, PS_Region_New__c=US Large Enterprise DI &amp; Mexico, attributes={url=/services/data/v62.0/sobjects/Account/0018000000uCcpRAAS, type=Account}}</t>
  </si>
  <si>
    <t>Summary_of_Issues__c</t>
  </si>
  <si>
    <t>2026-06-12T16:39:08.000+0000</t>
  </si>
  <si>
    <t>Issue_Category__c</t>
  </si>
  <si>
    <t>0054X00000EnKGJQA3</t>
  </si>
  <si>
    <t>Discovery sessions will start this week pushing the go-live date to 02/08 and end date to 03/01. Already requested the extension of the PSA end date. CSM will be onboarded 60 days prior go-live</t>
  </si>
  <si>
    <t>017VT0000GlMnZNYQ0</t>
  </si>
  <si>
    <t>LastModifiedDate</t>
  </si>
  <si>
    <t>{attributes={type=Account, url=/services/data/v62.0/sobjects/Account/0018000000uCcpRAAS}, Industry=Consumer Goods, PS_Region_New__c=US Large Enterprise DI &amp; Mexico, Name=FreedomRoads, LLC}</t>
  </si>
  <si>
    <t>a0rVT00001DWv4yYAD</t>
  </si>
  <si>
    <t>a3A1B000002BYDuUAO</t>
  </si>
  <si>
    <t>AFLAC Incorporated</t>
  </si>
  <si>
    <t>2026-09-23T19:26:35.000+0000</t>
  </si>
  <si>
    <t>Not Renewing</t>
  </si>
  <si>
    <t>0018000001FwApGAAV</t>
  </si>
  <si>
    <t>0051B00000ClXmXQAV</t>
  </si>
  <si>
    <t>0013000000J22VuAAJ</t>
  </si>
  <si>
    <t>{PS_Region_New__c=US Medium Enterprise DI, SubRegion__c=US DI ME CB TM Southeast, Industry=Software &amp; Platforms, PS_Sub_Region__c=ME CB TM &amp; RHT, attributes={url=/services/data/v62.0/sobjects/Account/0018000001FwApGAAV, type=Account}, Name=Sharecare, Inc.}</t>
  </si>
  <si>
    <t>017VT0000EqMnISYQ0</t>
  </si>
  <si>
    <t>Update 7/16/2020 by Monica Aguayo
Update from CBAE, Kim Haile - "It is my understanding that we are still being asked not to engage.  They are not renewing - they are in an extension that will remain in place until January and they will be offboarding to Aimbridge’s Ulti system."</t>
  </si>
  <si>
    <t>{attributes={url=/services/data/v62.0/sobjects/Contact/003VT00000WusXyYAJ, type=Contact}, Full_Name__c=Monica Morandi}</t>
  </si>
  <si>
    <t>{Industry=Transit Systems, attributes={type=Account, url=/services/data/v62.0/sobjects/Account/0018000000aIdOCAA0}, PS_Region_New__c=US Large Enterprise DI &amp; Mexico, Name=MV Transportation, Inc.}</t>
  </si>
  <si>
    <t>Functional design sessions in progress and expecting to have requirements workbook signed-off by 09/25. Build phase to start 09/28. CSM will be onboarded 60 days prior go-live, informed Invisors about this.</t>
  </si>
  <si>
    <t>2026-07-13T16:39:33.000+0000</t>
  </si>
  <si>
    <t>0054X00000Ea6FtQAJ</t>
  </si>
  <si>
    <t>Wellness Plan created by Monica Aguayo 5/26/2020
- CBAE Update (Kim Haile): "It is my understanding that IOS has signed an extension that goes through the end of the year and after that, they may have to go on an Ultimate contract that Aimbridge is newly on.  They don’t want to!  I think the sentiment is that Lionel has built up a good relationship with the CRHO and CIO and we are going to try to dig back in around December/January to see if we can win back Aimbridge.  While Lionel is still managing the account, we are being directed to continue to not engage."
- There is not a signed extension form in SFDC to date and so IOC is at risk for a non-renewal. IOC is not signing a full contract as of right now because they are getting acquired by Aimbridge. IOC wants to stay with Workday but now the IOC internal team has to convince Aimbridge to move to Workday before the end of 2020.</t>
  </si>
  <si>
    <t>017VT0000F0dxaDYQQ</t>
  </si>
  <si>
    <t>a0rVT00001DXDXxYAP</t>
  </si>
  <si>
    <t>Customer Ownership</t>
  </si>
  <si>
    <t>2020-07-16T17:45:34.000+0000</t>
  </si>
  <si>
    <t>Aggreko UK Limited</t>
  </si>
  <si>
    <t>0013000000IfwUOAAZ</t>
  </si>
  <si>
    <t>a3A4X0000028CPtUAM</t>
  </si>
  <si>
    <t>{attributes={url=/services/data/v62.0/sobjects/Account/0018000000aIdOCAA0, type=Account}, Industry=Transit Systems, Name=MV Transportation, Inc., PS_Region_New__c=US Large Enterprise DI &amp; Mexico}</t>
  </si>
  <si>
    <t>{Name=HonorHealth, PS_Sub_Region__c=Healthcare LE, Industry=Acute Hospital / Health System, attributes={url=/services/data/v62.0/sobjects/Account/0013000000IfwUOAAZ, type=Account}, PS_Region_New__c=US Healthcare, SubRegion__c=US Healthcare LE CB West}</t>
  </si>
  <si>
    <t>0011B00002HjHppQAF</t>
  </si>
  <si>
    <t>Reopening to reflect that Gainwell Technologies LLC technologies is offboarding in May of 2023.</t>
  </si>
  <si>
    <t>2026-07-20T22:37:59.000+0000</t>
  </si>
  <si>
    <t>017VT0000G2E3tEYQS</t>
  </si>
  <si>
    <t>Paradox Functional Design Sessions are complete; Technical Design Sessions underway; Targeting February 2027 Go-Live.</t>
  </si>
  <si>
    <t>Customer was a divestiture of DXC.  DXC tenant cloned and company divested in June of 2020.  SalesForce data updated with official company information in October timeframe. CHRO reached out in December indicating that they were in the process of reviewing Workday for company fit and wanted a full subscription and functionality assesment.  CHRO also mentioned that since they were using SAP for Financials, they were strongly considering using SAP for HCM and payroll and were going to make a decision on whether they would continue with Workday or deploy SAP by 1/4/21. 
Meeting scheduled with the CHRO to discuss current subscription on December 11th with committment to provide art of the possible demo.  Art of the possible demo delivered on December 17th - well received by the team in the meeting.  However, Gainwell CFO reached out directly to Robynne Sisco to indicate the teams' dissatisfaction with the meeting and that they felt like we weren't being perscriptive enough about their specific requirements and company needs.  
Subsequent meeting to discuss integrations and project management needs with Robert Hoffman, VP IT, on 12/21/2020.  
As of 1/12/21 - we haven't heard back from the customer after several reach-outs by CBAE and CSM to VPIT and ChRO.
Significant risk of customer moving off of Workday and onto SAP.</t>
  </si>
  <si>
    <t>2022-06-24T14:46:50.000+0000</t>
  </si>
  <si>
    <t>{Industry=Transit Systems, attributes={type=Account, url=/services/data/v62.0/sobjects/Account/0018000000aIdOCAA0}, Name=MV Transportation, Inc., PS_Region_New__c=US Large Enterprise DI &amp; Mexico}</t>
  </si>
  <si>
    <t>a0rVT00001DXConYAH</t>
  </si>
  <si>
    <t>0018000001DwCsqAAF</t>
  </si>
  <si>
    <t>a3A4X000002CkDpUAK</t>
  </si>
  <si>
    <t>{SubRegion__c=US DI ME CB RHT East, PS_Region_New__c=US Medium Enterprise DI, attributes={type=Account, url=/services/data/v62.0/sobjects/Account/0018000001DwCsqAAF}, PS_Sub_Region__c=ME CB TM &amp; RHT, Name=David Yurman Enterprises LLC, Industry=Softlines}</t>
  </si>
  <si>
    <t>Neutral</t>
  </si>
  <si>
    <t>2026-08-27T20:46:51.000+0000</t>
  </si>
  <si>
    <t>0018000000NLisZAAT</t>
  </si>
  <si>
    <t>017VT0000F7TY1LYQW</t>
  </si>
  <si>
    <t>Current Wellness Update
T - positive
U - moved account to neutral. Kevin has reached out to Kainos to pick up some projects doing more with Adaptive as we explored in the demo sessions
R - do nothing - customer has been relatively unresponsive and renewal is coming up in OCT.
N - follow up with Hellen and Kevin to find time to discuss any changes they made following the demo and areas for continued focus</t>
  </si>
  <si>
    <t>Team currently still in Design: Workbook is in progress. 
Staging build scheduled to begin 10/19</t>
  </si>
  <si>
    <t>Inter-Con only uses Adaptive to workaround FinancialForce limitations related to international currency consolidations.  This issue is being addressed via Service Engagements with a FinancialForce partner.  ICS is deciding if Adaptive has additional use case opportunities that justify its continued use.
- Onsite Executive introduction
- Scoping and Demo of Pricing Model development with Eric Zimmerman and Keli Foresman
Follow Up
- Follow ups on decision for development of pricing model in Adaptive or not
- Offered CE meetings scheduled to develop Forecasting &amp; Budget in Adaptive.</t>
  </si>
  <si>
    <t>{PS_Region_New__c=US FSI, Name=Ally Financial Inc., Industry=Banking &amp; Capital Markets, attributes={url=/services/data/v62.0/sobjects/Account/0013000000LRveQAAT, type=Account}}</t>
  </si>
  <si>
    <t>Application Knowledge</t>
  </si>
  <si>
    <t>2025-02-26T22:18:32.000+0000</t>
  </si>
  <si>
    <t>a0rVT00001DXGAsYAP</t>
  </si>
  <si>
    <t>a3A4X000002CkJ4UAK</t>
  </si>
  <si>
    <t>2026-07-22T15:09:23.000+0000</t>
  </si>
  <si>
    <t>Agua Fria Union High School District</t>
  </si>
  <si>
    <t>0054X00000FTaDJQA1</t>
  </si>
  <si>
    <t>0014X00002ME66EQAT</t>
  </si>
  <si>
    <t>017VT0000F7QqtXYQS</t>
  </si>
  <si>
    <t>US Local Gov ME NN West</t>
  </si>
  <si>
    <t>0018000000wC5oXAAS</t>
  </si>
  <si>
    <t>{PS_Region_New__c=US Large Enterprise DI &amp; Mexico, attributes={url=/services/data/v62.0/sobjects/Account/0018000000wC5oXAAS, type=Account}, SubRegion__c=US DI LE CB TM &amp; PS Southwest, Industry=Software &amp; Platforms, Name=Unity Technologies SF, PS_Sub_Region__c=Diversified Industries LE CB TM &amp; PS}</t>
  </si>
  <si>
    <t>{PS_Region_New__c=US FSI, Name=Ally Financial Inc., attributes={type=Account, url=/services/data/v62.0/sobjects/Account/0013000000LRveQAAT}, Industry=Banking &amp; Capital Markets}</t>
  </si>
  <si>
    <t>{attributes={type=Contact, url=/services/data/v62.0/sobjects/Contact/003VT00000YF2KVYA1}, Full_Name__c=Karishma Prajapati}</t>
  </si>
  <si>
    <t>2026-07-22T15:40:00.000+0000</t>
  </si>
  <si>
    <t>Staging Build to begin. Will continue until 10/16
SIT Testing to begin 10/19</t>
  </si>
  <si>
    <t>017VT0000FcrNa5YQE</t>
  </si>
  <si>
    <t>a0rVT00001DXDkrYAH</t>
  </si>
  <si>
    <t>a0pVT00000CGVk5YAH</t>
  </si>
  <si>
    <t>Seeking termination of agreement.
There are a number of issues with the services provided to us by Peakon, as follows:
1.      We advised back in early 2022 that the services were not being used, had never worked correctly, and were certainly not delivering the anticipated results as per previous past discussions.  As a result, I advised that the contract was terminated as far as WDHSL was concerned, and that while we were happy to come to an arrangement for some portion of the (previous) year’s account, we would not be paying that account in full.  An exchange of emails took place with Grace McAulife from Peakon in this regard given that the original consultant and liaison person had left Peakon.  The last correspondence received from Peakon regarding this matter was in May 2022 or thereabouts; we have heard nothing since.  At best, therefore, the account is disputed for the amount of circa $13.2k that was due in May 2022.  We do not believe we should pay the full amount for a service that did not deliver as expected, and that has not been used since. 
2.      We have not used any Peakon services or software since December 2021, and will not be doing so due to the reasons cited above, namely that the services do not deliver what was advised, nor are they likely to.
3.      As a result of terminating the contract for the above reasons, it is our view that there should be no account due for May 2023 at all.
4.      We were advised by email that under no circumstances should any payments be made to any Peakon banks due to some insolvency or takeover process.  This was advised to us in the past few months only.
Accordingly, as with past communications on the matter, from our perspective the amount due for May 2022 is in dispute, and there should be no account due to May 2023 at all.</t>
  </si>
  <si>
    <t>a0rVT00001BaWYoYAN</t>
  </si>
  <si>
    <t>31-MAY-23 MN. DISPUTED INVOICE from 2020-21.</t>
  </si>
  <si>
    <t>AHS Management Company, Inc.</t>
  </si>
  <si>
    <t>Product Issues/Gaps</t>
  </si>
  <si>
    <t>Subsequent- Phase X: Paradox</t>
  </si>
  <si>
    <t>2023-05-31T05:45:51.000+0000</t>
  </si>
  <si>
    <t>a3A4X000002CkT4UAK</t>
  </si>
  <si>
    <t>0018000000NzFFhAAN</t>
  </si>
  <si>
    <t>{PS_Region_New__c=US FSI, Industry=Banking &amp; Capital Markets, attributes={type=Account, url=/services/data/v62.0/sobjects/Account/0013000000LRveQAAT}, Name=Ally Financial Inc.}</t>
  </si>
  <si>
    <t>{PS_Sub_Region__c=ME CB TM &amp; RHT, attributes={type=Account, url=/services/data/v62.0/sobjects/Account/0018000000NzFFhAAN}, SubRegion__c=US DI ME CB TM Northeast, Industry=Software &amp; Platforms, PS_Region_New__c=US Medium Enterprise DI, Name=Direct Supply Inc.}</t>
  </si>
  <si>
    <t>2026-08-12T01:26:09.000+0000</t>
  </si>
  <si>
    <t>017VT0000GoGwZLYQ0</t>
  </si>
  <si>
    <t>{attributes={url=/services/data/v62.0/sobjects/Contact/0034X00003JsNpYQAV, type=Contact}, Full_Name__c=Dhaval Rana}</t>
  </si>
  <si>
    <t>{attributes={type=Account, url=/services/data/v62.0/sobjects/Account/0013000000LRveQAAT}, PS_Region_New__c=US FSI, Name=Ally Financial Inc., Industry=Banking &amp; Capital Markets}</t>
  </si>
  <si>
    <t>0018000001LcEZkAAN</t>
  </si>
  <si>
    <t>In Functional &amp; Technical Design Sessions through 10/30.</t>
  </si>
  <si>
    <t>4.3.25 CSM reached out to Rajesh Kaja and Silvia Perezalonso to coordinate meeting. (Silvia's email bounced.) Rajesh has not responded.</t>
  </si>
  <si>
    <t>2026-09-25T22:12:50.000+0000</t>
  </si>
  <si>
    <t>a0pVT00000D4JEHYA3</t>
  </si>
  <si>
    <t>a0rVT00001DWvchYAD</t>
  </si>
  <si>
    <t>017VT0000DfO01mYQC</t>
  </si>
  <si>
    <t>AI Fire</t>
  </si>
  <si>
    <t>6.9.23 Call with Parul Saini and Adi Roy to foster exec interaction prior to 9/30/23 renewal. Adi Roy shared frustration with how Uber is using Workday and advised they need immediate intervention/help. He shared he is advising the team to only renew WD for one year and we need to rebuild trust with them.</t>
  </si>
  <si>
    <t>{PS_Sub_Region__c=ME CB TM &amp; RHT, SubRegion__c=US DI ME CB TM Northeast, Name=Direct Supply Inc., PS_Region_New__c=US Medium Enterprise DI, attributes={url=/services/data/v62.0/sobjects/Account/0018000000NzFFhAAN, type=Account}, Industry=Software &amp; Platforms}</t>
  </si>
  <si>
    <t>2025-04-14T19:36:32.000+0000</t>
  </si>
  <si>
    <t>{Industry=Chemicals, attributes={type=Account, url=/services/data/v62.0/sobjects/Account/0013000000KdYPyAAN}, Name=International Flavors &amp; Fragrances, Inc., PS_Region_New__c=US Large Enterprise DI &amp; Mexico}</t>
  </si>
  <si>
    <t>US DI ME NN PBS Pacific</t>
  </si>
  <si>
    <t>a3A4X000002CkqDUAS</t>
  </si>
  <si>
    <t>0011B000024TbwnQAC</t>
  </si>
  <si>
    <t>2026-06-01T15:14:36.000+0000</t>
  </si>
  <si>
    <t>1/23/2025: Introduced Kainos Spark &amp; Grow. Met with Bernard at Traffic Tech, interested in deployment. Budget review period. Meeting with Kainos scheduled Jan 27th.
Next step follow-up with TT on decision to engage Kainos and kick off deployment. See Gainsight wellness plans for additional details.</t>
  </si>
  <si>
    <t>017VT0000EqAXqjYQG</t>
  </si>
  <si>
    <t>- Workday deployment not started and delayed 6 months since subscription start (1/31/2023)
- Risk of insufficient resources comittment for deployment project raised by partner (KPMG)
- Organization does not seem to have large project nor transformational experience and may need significant assistance to maximize value from Workday investment.</t>
  </si>
  <si>
    <t>Customer Ownership;Deployments;Partner Management</t>
  </si>
  <si>
    <t>a0pVT00000CGVovYAH</t>
  </si>
  <si>
    <t>2025-01-23T15:11:32.000+0000</t>
  </si>
  <si>
    <t>{attributes={url=/services/data/v62.0/sobjects/Account/0013000000KdYPyAAN, type=Account}, PS_Region_New__c=US Large Enterprise DI &amp; Mexico, Industry=Chemicals, Name=International Flavors &amp; Fragrances, Inc.}</t>
  </si>
  <si>
    <t>a3A4X000002Cku0UAC</t>
  </si>
  <si>
    <t>{SubRegion__c=US DI ME CB TM Northeast, PS_Region_New__c=US Medium Enterprise DI, Name=Direct Supply Inc., attributes={type=Account, url=/services/data/v62.0/sobjects/Account/0018000000NzFFhAAN}, PS_Sub_Region__c=ME CB TM &amp; RHT, Industry=Software &amp; Platforms}</t>
  </si>
  <si>
    <t>2026-07-13T13:57:55.000+0000</t>
  </si>
  <si>
    <t>Unfavorable</t>
  </si>
  <si>
    <t>0014X00002XxeK3QAJ</t>
  </si>
  <si>
    <t>a0rVT00001DXCLlYAP</t>
  </si>
  <si>
    <t>017VT0000FSA7v3YQD</t>
  </si>
  <si>
    <t>Customer has been sent formal documentation of no payment.</t>
  </si>
  <si>
    <t>ALDI Inc.</t>
  </si>
  <si>
    <t>Customer signed their agreement in July of 2022. Experiencing leadership changes that has led to the delay in the implementation of the Adaptive Platform. Working with Moss Adams as a partner, main contacts are Kate Hughes and Loren Den Herder. Moss Adams is waiting on the new CFO to get up and running within Precision Machining to make sure that we keep the implementation in mind. Pushing to get things going in the summer to prevent any more loss of time.</t>
  </si>
  <si>
    <t>{attributes={url=/services/data/v62.0/sobjects/Account/0013000000KdYPyAAN, type=Account}, Name=International Flavors &amp; Fragrances, Inc., PS_Region_New__c=US Large Enterprise DI &amp; Mexico, Industry=Chemicals}</t>
  </si>
  <si>
    <t>Customer Ownership;Deployments</t>
  </si>
  <si>
    <t>2025-01-08T16:12:40.000+0000</t>
  </si>
  <si>
    <t>2026-08-04T03:41:46.000+0000</t>
  </si>
  <si>
    <t>a0pVT00000CGTTmYAP</t>
  </si>
  <si>
    <t>a3A4X000002JYENUA4</t>
  </si>
  <si>
    <t>017VT0000CzH34iYQC</t>
  </si>
  <si>
    <t>0018000001JjV3mAAF</t>
  </si>
  <si>
    <t>{PS_Region_New__c=US Medium Enterprise DI, Name=Direct Supply Inc., attributes={url=/services/data/v62.0/sobjects/Account/0018000000NzFFhAAN, type=Account}, PS_Sub_Region__c=ME CB TM &amp; RHT, SubRegion__c=US DI ME CB TM Northeast, Industry=Software &amp; Platforms}</t>
  </si>
  <si>
    <t>Customer sent letter of intent to not renew on 03/29/23</t>
  </si>
  <si>
    <t>{Name=Plusgrade Inc., attributes={url=/services/data/v62.0/sobjects/Account/0014X00002iHStpQAG, type=Account}, Industry=Software &amp; Platforms, PS_Region_New__c=Canada}</t>
  </si>
  <si>
    <t>Burr &amp; Forman responded to the 2021 NSC survey with an "Unfavorable" rating for WD. The customer has continued to have struggles with understanding WD and implementing and internal structure to support day to day, Workday Releases. There is a continued message that "Workday is too big and too complicated for us to support". The customer realizes there is a training issue and just purchased Workday Success Plans to utilize Ask an Expert and really take advantage of LOD. 
1. Conduct customer debriefed, supported by Lori Rine. This will uncover further details on how we can support the customer to get them to more of a self-sufficient, trained and comfortable
2. Schedule and conduct Workday Support Model discussion
3. Push WSP training through LOD, utilize Ask an Expert and Crews to really enhance their learning and understanding of WD.</t>
  </si>
  <si>
    <t>{Full_Name__c=Dhaval Rana, attributes={type=Contact, url=/services/data/v62.0/sobjects/Contact/0034X00003JsNpYQAV}}</t>
  </si>
  <si>
    <t>Application Knowledge;Customer Ownership</t>
  </si>
  <si>
    <t>2023-03-30T13:27:07.000+0000</t>
  </si>
  <si>
    <t>2026-04-30T20:55:42.000+0000</t>
  </si>
  <si>
    <t>a3A4X000002JYNAUA4</t>
  </si>
  <si>
    <t>a0rVT00001DXFbNYAX</t>
  </si>
  <si>
    <t>017VT0000D4qT7xYQE</t>
  </si>
  <si>
    <t>0018000000sfcZAAAY</t>
  </si>
  <si>
    <t>Alivia Care, Inc. (Inactive Account)</t>
  </si>
  <si>
    <t>Action Plan -Continual New SKU promotion, e.g. Prism, Extend Enterprise, Innovation Services -"Workday 101" webinars to nature new WD champion and administrators -"WoW Show" webinar to push customer's change -Multiple phase proposal in initial sales stage for their long-term budget planning.
Target Outcome -Reduce SNI and Cancel risk in all local customers.</t>
  </si>
  <si>
    <t>{Industry=Software &amp; Platforms, Name=Plusgrade Inc., PS_Region_New__c=Canada, attributes={url=/services/data/v62.0/sobjects/Account/0014X00002iHStpQAG, type=Account}}</t>
  </si>
  <si>
    <t>a0pVT00000D4JEIYA3</t>
  </si>
  <si>
    <t>-After golive, Initial WD champion and project manager left project. New project leader tried to proceed with planned HR transformation in global people management, position management, shifting HR centirc to people management by managers etc., but nobody in HR followed. -Customer used WD for Talent Management only, not for theri master HR database -Customer is considering not to renew in October 2021.</t>
  </si>
  <si>
    <t>2026-05-05T19:36:18.000+0000</t>
  </si>
  <si>
    <t>2021-07-07T08:46:43.000+0000</t>
  </si>
  <si>
    <t>0054X00000EZkLBQA1</t>
  </si>
  <si>
    <t>{PS_Sub_Region__c=ME CB TM &amp; RHT, Industry=Software &amp; Platforms, attributes={type=Account, url=/services/data/v62.0/sobjects/Account/0018000000NzFFhAAN}, SubRegion__c=US DI ME CB TM Northeast, Name=Direct Supply Inc., PS_Region_New__c=US Medium Enterprise DI}</t>
  </si>
  <si>
    <t>a3A4X000002JYNZUA4</t>
  </si>
  <si>
    <t>017VT0000DNkJRgYQN</t>
  </si>
  <si>
    <t>0018000001b3ZlTAAU</t>
  </si>
  <si>
    <t>{attributes={type=Account, url=/services/data/v62.0/sobjects/Account/0013000000IJ4GoAAL}, PS_Region_New__c=US Large Enterprise DI &amp; Mexico, Industry=Softlines, Name=Columbia Sportswear Company}</t>
  </si>
  <si>
    <t>2026-05-19T17:19:51.000+0000</t>
  </si>
  <si>
    <t>017VT0000EVhpuZYQR</t>
  </si>
  <si>
    <t>a0rVT00001DXAv3YAH</t>
  </si>
  <si>
    <t>{Industry=Softlines, Name=Columbia Sportswear Company, attributes={url=/services/data/v62.0/sobjects/Account/0013000000IJ4GoAAL, type=Account}, PS_Region_New__c=US Large Enterprise DI &amp; Mexico}</t>
  </si>
  <si>
    <t>Conversational Platform</t>
  </si>
  <si>
    <t>Allegion plc</t>
  </si>
  <si>
    <t>9/23/21 LP:  PRIVILEGED AND CONFIDENTAL
Support Cases
- On 9/13/21 Carla Solimene (CTO) at ATC submitted several Support cases that are related to the alleged issues in the legal letter received by Workday on 7/2/21. 
- Customer Success (Ruby, Laurene) met together with Support (Kim Gray, Rose McGuigan) and Legal (Alex Robinson) to review and align on guidance for Support team analysts when responding to cases – Kim will monitor closely. 
- Support has responded to the cases in one of two ways: (1) stated that the issue was not a product defect (2) requested further information / clarification. As of today, there has been no response of any kind from Carla.
Partner Support
- Per Alight, they are no longer engaged at ATC.
- Chris Wilcox recommended additional vendors to help with in-house support for Workday. 
ATC engaged GQR and communicated back to Chris that they wanted Workday to cover the cost for their assessment. 
- Chris reiterated that “there is no fault of Workday to ‘fix broken implementations’” and we will not cover these costs. 
- GQR assessment results should be available this week.
True-up - No updates or progress but Chris Wilcox reaching out again this week.   
Customer Success Engagement - Holding off until the True Up discussions have concluded.</t>
  </si>
  <si>
    <t>2026-06-30T17:56:33.000+0000</t>
  </si>
  <si>
    <t>UKI PBS LE</t>
  </si>
  <si>
    <t>017VT0000FHmlMdYQJ</t>
  </si>
  <si>
    <t>PRIVILEGED &amp; CONFIDENTIAL
7/8/21 – David Savitsky, CEO – ATC Healthcare, sent a letter to Workday Legal (copied: Chris Wilcox, CBAE; Laurene Price, CSM) claiming Breach of Warranty, listing several alleged issues with both Workday and Alight. The letter was sent following the annual True Up exercise where it was determined that ATC owed Workday $322K due to growth.
Maria Ingelsson, Assistant General Counsel and Alexander Robinson, Sr Counsel Litigation will advise the Workday team throughout the process of reviewing the claims and providing an answer to letter.</t>
  </si>
  <si>
    <t>{attributes={url=/services/data/v62.0/sobjects/Account/0013000000IJ4GoAAL, type=Account}, Name=Columbia Sportswear Company, PS_Region_New__c=US Large Enterprise DI &amp; Mexico, Industry=Softlines}</t>
  </si>
  <si>
    <t>Deployments;Product Issues/Gaps</t>
  </si>
  <si>
    <t>2024-05-24T12:31:25.000+0000</t>
  </si>
  <si>
    <t>2026-07-27T17:59:05.000+0000</t>
  </si>
  <si>
    <t>a0pVT00000C9rhJYAR</t>
  </si>
  <si>
    <t>a3A4X000002JaSHUA0</t>
  </si>
  <si>
    <t>017VT0000FnkQzWYQU</t>
  </si>
  <si>
    <t>Favorable</t>
  </si>
  <si>
    <t>a0rVT00001BaWgrYAF</t>
  </si>
  <si>
    <t>0018000000uDlXTAA0</t>
  </si>
  <si>
    <t>a0rVT00001DX3K6YAL</t>
  </si>
  <si>
    <t>Subsequent - Adhoc - Paradox</t>
  </si>
  <si>
    <t>0011B00002BCEp5QAH</t>
  </si>
  <si>
    <t>Allegis Group Inc.</t>
  </si>
  <si>
    <t>{Industry=Softlines, attributes={url=/services/data/v62.0/sobjects/Account/0013000000IJ4GoAAL, type=Account}, Name=Columbia Sportswear Company, PS_Region_New__c=US Large Enterprise DI &amp; Mexico}</t>
  </si>
  <si>
    <t>{Industry=Industrial Manufacturing, PS_Region_New__c=US Large Enterprise DI &amp; Mexico, SubRegion__c=US DI LE CB MFG Northeast, Name=Otis Elevator Company, PS_Sub_Region__c=Diversified Industries LE CB MFG, attributes={type=Account, url=/services/data/v62.0/sobjects/Account/0011B00002BCEp5QAH}}</t>
  </si>
  <si>
    <t>I am opening this wellness plan based on recent customer feedback and review of their vendor survey results.
The customer sent the results of their internal vendor survey to Workday in Mid-August. In early September, we meet with the leadership to review the survey results and discuss the feedback.
Based on the survey results, we believe their is some level of renewal risk. The customer's renewal is January 30, 2020. The survey feedback focused on the cost of Workday and not achieving a higher ROI on their Workday investment. Specifically their feedback was "Oracle is cheaper than Workday".
Further review and activity is needed to develop a plan to mitigate the renewal risk.</t>
  </si>
  <si>
    <t>2021-09-13T14:41:15.000+0000</t>
  </si>
  <si>
    <t>2026-08-18T18:45:44.000+0000</t>
  </si>
  <si>
    <t>a3A4X000002JcKDUA0</t>
  </si>
  <si>
    <t>{Full_Name__c=Michelle Holland, attributes={url=/services/data/v62.0/sobjects/Contact/003VT00000fc4shYAA, type=Contact}}</t>
  </si>
  <si>
    <t>017VT0000GlUyrNYQS</t>
  </si>
  <si>
    <t>0011B00002CXXQTQA5</t>
  </si>
  <si>
    <t>9/15/2026 CC - We completed a knowledge transfer meeting from the partner to align on what's been delivered to the customer. They are currently in the 2nd week of Plan and Prepare. We are meeting with the customer this week to discuss the new timeline.</t>
  </si>
  <si>
    <t>{Industry=Softlines, PS_Region_New__c=US Large Enterprise DI &amp; Mexico, Name=Columbia Sportswear Company, attributes={type=Account, url=/services/data/v62.0/sobjects/Account/0013000000IJ4GoAAL}}</t>
  </si>
  <si>
    <t>Bi-weekly/Monthly meetings with VP of Finance (Neal Shah) at Venus Concepts for updates on various projects (salesforce integration) with WD PS
We're having a 'state of the state' call January 11th to determine next steps and how they will move forward with Adaptive
Outgoing and proactive engagements, partner recommendations to address any churn red flags</t>
  </si>
  <si>
    <t>a0rVT00001DX7abYAD</t>
  </si>
  <si>
    <t>a0pVT00000CFpWLYA1</t>
  </si>
  <si>
    <t>2026-09-23T20:20:49.000+0000</t>
  </si>
  <si>
    <t>Alliant Energy Corporate Services, Inc.</t>
  </si>
  <si>
    <t>a0rVT00001BfVLyYAN</t>
  </si>
  <si>
    <t>017VT0000GlUQzIYQW</t>
  </si>
  <si>
    <t>0018000000rRs7cAAC</t>
  </si>
  <si>
    <t>Summary of Issues:
-Through exec turnover and implementation issues, Venus Concepts does not feel they are fully implemented after three years
-Customer made a case to reimplement (again) adaptive and is looking for partner recommendations
-VP of Finance has shown that he's willing to invest time and capital in Adaptive, but has not realized value of the platform fully. 
Historical notes:
9/28-CC - Meeting Bi-Weekly with VC team to ensure success with Adaptive. They are almost done with SF integration, and have 9 more office hour apts remaining. Conservatively moving to yellow as the account is in a better place. 
 11/19 BK Venus Concepts is implementing via partner Solution Valuebility, and not happy with the time it's taking to complete the implementation. Customer feels that partner does not understand Adaptive well enough to implement their requirements. Just learned this today (11/8/19) thru customer and Andrew Dalakoudis.
 1/2020 BK Venus has been coordinated with their new WDAY services team and project is underway.
 2/2020 BK WDAY team has assessed work and restarted build out of model.
 5/2020 BK Customer is very pleased with new implementation experience. Go live scheduled for June 2020. 
 Customer has been severely impacted by COVID. We are working together to navigate through the remainder of 2020.
 7/2020 Customer now very happy with Adaptive. Kim K and her services team have done an outstanding job turning experience around.</t>
  </si>
  <si>
    <t>{PS_Region_New__c=ASEAN, Industry=Investment Management, attributes={url=/services/data/v62.0/sobjects/Account/0018000000rRs7cAAC, type=Account}, PS_Sub_Region__c=Singapore CB, Name=KEPPEL MANAGEMENT LTD., SubRegion__c=Singapore CB}</t>
  </si>
  <si>
    <t>Deployments;Customer Turnover</t>
  </si>
  <si>
    <t>{Full_Name__c=Mukul Chandra, attributes={url=/services/data/v62.0/sobjects/Contact/0034X000030Su6fQAC, type=Contact}}</t>
  </si>
  <si>
    <t>2026-09-23T20:21:24.000+0000</t>
  </si>
  <si>
    <t>2022-01-05T17:51:31.000+0000</t>
  </si>
  <si>
    <t>a3A4X000002JcLtUAK</t>
  </si>
  <si>
    <t>017VT0000D8jmGbYQI</t>
  </si>
  <si>
    <t>Scorecard request: 3391999</t>
  </si>
  <si>
    <t>0011B00002CXTqVQAX</t>
  </si>
  <si>
    <t>a0pVT00000CGzLZYA1</t>
  </si>
  <si>
    <t>{attributes={type=Account, url=/services/data/v62.0/sobjects/Account/0018000000qYotWAAS}, Industry=Software &amp; Platforms, Name=Booking.com B.V., PS_Region_New__c=EMEA North}</t>
  </si>
  <si>
    <t>a0rVT00001BzrlJYAR</t>
  </si>
  <si>
    <t>0013000000KLaKqAAL</t>
  </si>
  <si>
    <t>2026-05-08T11:26:15.000+0000</t>
  </si>
  <si>
    <t>{SubRegion__c=US FSI LE East, PS_Sub_Region__c=FSI LE, PS_Region_New__c=US FSI, Industry=Insurance, attributes={url=/services/data/v62.0/sobjects/Account/0013000000KLaKqAAL, type=Account}, Name=Unum Group}</t>
  </si>
  <si>
    <t>0058000000BRa5UAAT</t>
  </si>
  <si>
    <t>a0rVT00001DXGpBYAX</t>
  </si>
  <si>
    <t>017VT0000Df7irEYQQ</t>
  </si>
  <si>
    <t>Alline Salon Group</t>
  </si>
  <si>
    <t>Main POC: Scott Hester, Director FP&amp;A
 Sentiment:
 Use Case:
 Objectives/Challenges:
 Additional Notes: Train new hire Chris to be their super user
 3/5/21 SP - Scott had OH and admin walk through today. He would like to hold off on being introduced to a partner for model work at this time. he thinks they need to have some internal discussions and plan for how they would like to use Adaptive going forward before connecting with a partner for beneficial discussions
 2/25/21 SP - Setting up OH for web reporting question, admin walk through and will follow those up with partner intro for a model re-build scoping call for Scott
 2/24/21 SP - Scott reached out with some questions now that he is getting to know the system. Connecting to discuss on whether an Office Hours session or a customized training plan with a partner would be better
 12/7/20 SP - Had an intro call with Scott. Currently working on training and getting up to speed. Wont have a lot fo free time in the next 8+ weeks but will let us know where we can help and if they would like a re-introduction to the partner to pick their project back up as it was put on hold.
 11/18/20 SP - Reached out to Scott to schedule introduction call
 11/9/20 SP - Erin reached out to introduce Scott as the new system Admin and get him setup with training
 7/8/20 SP - Erin reached out asking about adding additional AOC seat. Looped in CBAE
 6/16/20 SP - Right now company is in a holding period due to COVID. They are unable to back fill Michelles position and Erin and Susan have not really had much time to learn Admin roles in Adaptive (previously just business users). They are not really sure what the future of their department looks like but they know it will be different than before. They dont find the system to be intuitive or user friendly. They have limited bandwidth at this time to spend on training and learning Admin functionality. Reviewed resources and asked to setup call for September
 3/30/20 SP - Reached out to Erin and Susan to discuss the transition and see if the June checkin call scheduled with Michelle would work for them as well.
 3/13/20 SP - Michelle reached out to notify us that today was her last day with company. Erin and Susan will be new POC going forward.
 *older notes in chat</t>
  </si>
  <si>
    <t>2021-10-09T08:01:05.000+0000</t>
  </si>
  <si>
    <t>a3A4X000002JcMUUA0</t>
  </si>
  <si>
    <t>2026-06-01T09:53:19.000+0000</t>
  </si>
  <si>
    <t>017VT0000EpqvNZYQY</t>
  </si>
  <si>
    <t>9/28: Discovery almost completed; weekly cross functional workstream calls to begin tomorrow</t>
  </si>
  <si>
    <t>a0pVT00000COz9tYAD</t>
  </si>
  <si>
    <t>{attributes={url=/services/data/v62.0/sobjects/Account/0018000000qYotWAAS, type=Account}, Industry=Software &amp; Platforms, Name=Booking.com B.V., PS_Region_New__c=EMEA North}</t>
  </si>
  <si>
    <t>a0rVT00001CPx3zYAD</t>
  </si>
  <si>
    <t>0013000000J0hKbAAJ</t>
  </si>
  <si>
    <t>a0rVT00001DX8d7YAD</t>
  </si>
  <si>
    <t>0011B00002CXUBxQAP</t>
  </si>
  <si>
    <t>{PS_Sub_Region__c=Diversified Industries Key Accounts, PS_Region_New__c=US Large Enterprise DI &amp; Mexico, SubRegion__c=US DI Key Accounts RHT, attributes={url=/services/data/v62.0/sobjects/Account/0013000000J0hKbAAJ, type=Account}, Name=Sysco Corporation, Industry=Restaurant &amp; Food Service}</t>
  </si>
  <si>
    <t>Allstate Insurance Company</t>
  </si>
  <si>
    <t>2026-07-13T06:08:25.000+0000</t>
  </si>
  <si>
    <t>017VT0000Etz1WuYQI</t>
  </si>
  <si>
    <t>{Full_Name__c=Curtis Carter, attributes={type=Contact, url=/services/data/v62.0/sobjects/Contact/0031B00002r8QhhQAE}}</t>
  </si>
  <si>
    <t>6/23/21- CRC: Renewal alignment call with Saurabh. Sounds like they're in a good place with Adaptive, would love to integrate QB and do what-ifs. Should be able to upgrade cx to the bundle. 
 2020.07.09 JM ~ Got Fred's approval to adjust the payment terms of upcoming 2020 annual payment installment by spreading it across two equal installments. In order to make this adjustment leadership requires extending our subscription agreement by one year to July 31st, 2022. Conveyed to Saurabh. 
 2020.06.09 JM ~ Had call w/ Saurabh as they are in need of COVID-19 concessions. Since the onset of the global pandemic their sales pipeline has dried up, many of their current customers are deferring payment on their contracts and they?ve had to reduce headcount of their already small team via layoffs and furloughs. Inquired about canceling subscription early and removing seats. Requested leadership approval to adjust the payment terms of their upcoming 2020 annual installment to be spread across four equal quarterly payments while extending the end date of our subscription agreement by one year to 7/31/2022.
 2020.06.04 JM ~ Cluster migration completed and call scheduled with Saurabh on 6.8.
 2020.05.21 JM ~ Saurabh Unadkat [Senior Finance Analyst] reached out to Support inquiring who their CSM is "to evaluate the cost and different payment options available." Support noticed they are currently on a demo and trial model cluster. No instance currently connected to account on Gainsight. Provisioning working on resolving prior to Support introducing me to Saurabh.
 2019.10.02 JM ~ Justin intro'd as new CSM. Provided resources around adopting cube sheets.
 IMPORTANT: Align calls/conversations with Diamanti Inc. Mike Dickey is CFO for both companies. 
 https://adaptiveinsights.my.salesforce.com/0016100000as6aF
 05/29/19 - CE Health Check with Natalie (CSM), Derek (CE), Anshita (Falkonry - India), Ralph (Falkonry - India), and Mike (Falkonry CFO). 
 04/17/19 - Intro call for Diamanti/Falkonry w/ Mike Dickey and Amanda Miller. nc
 12/9 - AS: became a customer in July 2018. Active, will continue checking in</t>
  </si>
  <si>
    <t>9/15/2026 - We have completed the Transition to Design presentation, and the team will start Discovery and TPP kickoff this week. The team is being staffed to the project. Sysco has some questions regarding bias testing that we address this week.</t>
  </si>
  <si>
    <t>Customer Turnover</t>
  </si>
  <si>
    <t>{attributes={type=Account, url=/services/data/v62.0/sobjects/Account/0018000000qYotWAAS}, Name=Booking.com B.V., Industry=Software &amp; Platforms, PS_Region_New__c=EMEA North}</t>
  </si>
  <si>
    <t>a3A4X000002JcMvUAK</t>
  </si>
  <si>
    <t>a0pVT00000Cx7g5YAB</t>
  </si>
  <si>
    <t>2026-07-15T23:34:55.000+0000</t>
  </si>
  <si>
    <t>a0rVT00001CkOfpYAF</t>
  </si>
  <si>
    <t>0018000000OAzS7AAL</t>
  </si>
  <si>
    <t>017VT0000FTwry7YQB</t>
  </si>
  <si>
    <t>001800000171XlNAAU</t>
  </si>
  <si>
    <t>11/28/2022 - Customer had planned to rebuild model but the quote came in three times higher than expected.  They had approval for $40k but came in at $125k.  The project is temporarily on hold.  Will revisit post-year-end.  
1/12/2023 They continue to use extensively and creatively build out work-arounds to shortcomings resulting from initial implementation due to product deficiencies at that time.
1/13/2023  How much can we in investment dollars?</t>
  </si>
  <si>
    <t>{PS_Sub_Region__c=Higher Education LE, Name=Gates Foundation, Industry=Non-Profit, attributes={type=Account, url=/services/data/v62.0/sobjects/Account/001800000171XlNAAU}, SubRegion__c=US NFP CB West, PS_Region_New__c=US SLED}</t>
  </si>
  <si>
    <t>{PS_Region_New__c=EMEA North, Name=Booking.com B.V., Industry=Software &amp; Platforms, attributes={url=/services/data/v62.0/sobjects/Account/0018000000qYotWAAS, type=Account}}</t>
  </si>
  <si>
    <t>Primary contact: Scott Rabinowitz, Global Controller
 Sentiment: They are happy with the elements that are working for them. Will be a reference but will share the good, bad, and ugly, so don't recommend. 
 Overview: Continue to have ongoing performance issues. Ben Pasmore has been working with them to make them referenceable. EHT improved their performance, but other new functionality has emphasized that changes to their model would further improve performance and usability, especially relative to reporting and Dashboards. Can't roll out Dashboards because they're too slow to use - directly related to the way their model was built. Was built to address other shortcomings we had at the time, which we've now addressed. Plan to make changes to model this year.
 Have Planning and Consolidations
 Budgeting ? zero-based, bottom-up
 Cons, trial balance variance
 Income statement, balance sheet, cashflow, debt covenants ? which was key for initial purchase of Adaptive
 Mgt reporting and some operational KPIs ? will increase once performance improves 
 Integrate w SAP
 Usage: Strong, around 100%</t>
  </si>
  <si>
    <t>{attributes={type=Contact, url=/services/data/v62.0/sobjects/Contact/003VT00000fcE3zYAE}, Full_Name__c=Taylor Mitchell}</t>
  </si>
  <si>
    <t>2023-01-13T14:57:55.000+0000</t>
  </si>
  <si>
    <t>a3A4X000002JcMxUAK</t>
  </si>
  <si>
    <t>a0rVT00001DX7tzYAD</t>
  </si>
  <si>
    <t>0011B00002CXUJDQA5</t>
  </si>
  <si>
    <t>2026-08-05T09:04:19.000+0000</t>
  </si>
  <si>
    <t>AlphaSights Ltd</t>
  </si>
  <si>
    <t>a0pVT00000Ckuy1YAB</t>
  </si>
  <si>
    <t>017VT0000FvtyD0YQI</t>
  </si>
  <si>
    <t>a0rVT00001Co5l3YAB</t>
  </si>
  <si>
    <t>Aug 2021: Invoice was paid but Lindsay still unresponsive to me following partner's intro. Checking in for a status update. 
 July 2021: (Chacon) Past due invoice for account. Working with BSP. Wing Chan has intro'd me to Lindsay but no response yet, multiple follow ups too. 7/16 outstanding invoice is paid.
 12/4/20 CA@BSP - Just received an email from them this week that was sent to all of their vendors asking for leniency on payment terms. Their business is coordinating fund raiser athletic events and COVID has hurt them quite a bit. They will need some care when time to renew.
 6/24/2020 - BSP - Sent Lindsay &amp; Ben a "check-in" email. However, Ben's email bounced-back. I know he was furloughed at the back in April.
 4/1/20 JB: In discussions with Spartan regarding contract. Main income is races and do not expect to be back until Jul1. Discussing with management.
 3/2/2020 - BSP - Client signed 1-yr renewal.
 1/22/2020 - BSP - Client plans to sign 3-yr renewal. Negotiating pricing now.
 12/5/19 - BSP - Client will hold off on OC until 2020. We did provide some model changes.
 10/15/19 - BSP - We are providing periodic support. Will followup in Dec on possible model changes.
 9/20/18: Staying with BSP. Working with BSP/Spartan on office hours session to review configuration,
 7/6/18: Working with Lindsay as she indicates want to go direct with us vs use a partner. Will resolve this month- will probably need managed services.</t>
  </si>
  <si>
    <t>0018000000nll3FAAQ</t>
  </si>
  <si>
    <t>{Name=Booking.com B.V., attributes={url=/services/data/v62.0/sobjects/Account/0018000000qYotWAAS, type=Account}, PS_Region_New__c=EMEA North, Industry=Software &amp; Platforms}</t>
  </si>
  <si>
    <t>{Industry=Healthcare Manufacturing, Name=Neurocrine Biosciences, Inc., PS_Region_New__c=US Medium Enterprise DI, attributes={type=Account, url=/services/data/v62.0/sobjects/Account/0018000000nll3FAAQ}, SubRegion__c=US DI ME CB MFG West, PS_Sub_Region__c=ME CB MFG}</t>
  </si>
  <si>
    <t>2026-08-24T14:21:05.000+0000</t>
  </si>
  <si>
    <t>a3A4X000002JcNLUA0</t>
  </si>
  <si>
    <t>017VT0000GIRSCyYQP</t>
  </si>
  <si>
    <t>0011B00002CXTpwQAH</t>
  </si>
  <si>
    <t>a0rVT00001DXA2EYAX</t>
  </si>
  <si>
    <t>Recordings/AI Notetaking use prohibited for IMPL purposes. 
Design has been pushed 1 week to allow more time for Questionnaire/Workbook completion.  New Go Live Date targeted for 3/15</t>
  </si>
  <si>
    <t>AltaMed Health Services Corporation</t>
  </si>
  <si>
    <t>2026-09-07T10:00:24.000+0000</t>
  </si>
  <si>
    <t>Aug 2021: Still trying to connect with Phillipe and Miryam. Tried again today. 13-23 users accessing of 31 seats purchased. 
 Mar 2021: transitioned to Chacon. Outstanding invoice per AR.
 Glen was let go during a reorg. Need an intro to the new CFO. 10/14/2020 - WH
 Status quo for now, until Glen has more free time to identify some small wins. 08/12/2020 - WH
 Working w/ new Director of FP&amp;A Glen Savoy. Great working relationship thus far. - WH
 Requesting 5 hours of T&amp;M to help fix a formula issue. 5/6/19 - WH
 11/26/18 - Happy customer. Plans on using us for a while. 
 - Asking for a discounted change order. 
 - Asking to not pay invoice 105846 because the GPS model they built doesn't work</t>
  </si>
  <si>
    <t>017VT0000GQH7uYYQT</t>
  </si>
  <si>
    <t>a0pVT00000ChKKjYAN</t>
  </si>
  <si>
    <t>Historical(AI)</t>
  </si>
  <si>
    <t>a0rVT00001CoK2XYAV</t>
  </si>
  <si>
    <t>0018000001ORve6AAD</t>
  </si>
  <si>
    <t>{PS_Region_New__c=EMEA North, attributes={type=Account, url=/services/data/v62.0/sobjects/Account/0018000000qYotWAAS}, Industry=Software &amp; Platforms, Name=Booking.com B.V.}</t>
  </si>
  <si>
    <t>a3A4X000002JcNqUAK</t>
  </si>
  <si>
    <t>{Name=Sterling Mets, L.P., SubRegion__c=US DI ME CB RHT East, PS_Sub_Region__c=ME CB TM &amp; RHT, Industry=Amusement &amp; Recreation, attributes={type=Account, url=/services/data/v62.0/sobjects/Account/0018000001ORve6AAD}, PS_Region_New__c=US Medium Enterprise DI}</t>
  </si>
  <si>
    <t>Mathangi Jambunathan</t>
  </si>
  <si>
    <t>0011B00002CXUfsQAH</t>
  </si>
  <si>
    <t>2026-09-11T18:17:02.000+0000</t>
  </si>
  <si>
    <t>017VT0000E5Rv9aYQC</t>
  </si>
  <si>
    <t>8/4/20 SM: Rnewal quote is in hand and awiating next steps with the Appneta team.
 3/27/20 SM: Sent Larry and Doug intro emails and asked for time to speak regarding there use.
 sf - DocuSign is sent for 1 year option, i have proposed time with our enablement team to make sure we are maximizing the tool.
 sf - renewal sent to customer, looking to engage and expand their Adaptive use.
 sf - customer is not fully utilizing the product and has experienced a bad implementation. Provided enablement session for AOC/Discovery</t>
  </si>
  <si>
    <t>a3A4X000002JcOIUA0</t>
  </si>
  <si>
    <t>{Name=Ultra Electronics Limited, attributes={type=Account, url=/services/data/v62.0/sobjects/Account/0018000000ULAxoAAH}, Industry=High Technology, PS_Region_New__c=UKI}</t>
  </si>
  <si>
    <t>0011B00002HkFemQAF</t>
  </si>
  <si>
    <t>Kicked off project week of 9/14; Client is set to complete workbook week of 9/28 - Project kickoff on 10/1</t>
  </si>
  <si>
    <t>2026-06-15T14:44:44.000+0000</t>
  </si>
  <si>
    <t>0054X00000DwRbCQAV</t>
  </si>
  <si>
    <t>017VT0000FONAktYQH</t>
  </si>
  <si>
    <t>3/28 Kate Dolph new Director of FP&amp;A had inquired about the Planning Contract.  I had sent her a copy ask how they were doing on Planning and if they needed any assistance.  No response to this request.
4/5 Reached out to Anthony Gaetano "Chip" Check in email
7/13 Reached out to Megan Riley RSM to see how the implementation had gone.
7/25 Followed back up with Megan Riley to see how the implementation had gone.
8/2 Megan responded with the following answers:
ARE THEY FULLY IMPLEMENTED AND LIVE?[Riley, Megan]  Yes; but I’m not sure to what extent they are using the work we did. I believe right now it is just the FP&amp;A team; we had engaged for a ‘Phase 3’ to work on the Pricing/Revenue/COGS components, but they discontinued the project when a key contact (JT Kovac) left the company.
USE CASE/HOW THEY’RE USING ADAPTIVE:[Riley, Megan]  I believe just for reporting.
ANY CURRENT CHALLENGES:[Riley, Megan]  Yes. Challenges with the complexity of the build and the integration. Specifically the Pricing and Rev/Gross Margin components are complex and I am not sure they are utilizing them.
ANY ONGOING THEMES:[Riley, Megan]  They want to simplify, but have struggled with staffing/capacity.
ANY NEXT STEPS?:[Riley, Megan]  They are currently working through an ERP selection/implementation so they were pulled in that direction and have not engaged with us since early 2022.</t>
  </si>
  <si>
    <t>a0pVT00000CqZ4RYAV</t>
  </si>
  <si>
    <t>a0rVT00001CoMXNYA3</t>
  </si>
  <si>
    <t>Lots of Turnover in the account.  The champion JT Kovak, Finance has left the company in February 2022.  Phase 3 was about to be started when JT left the company.  It was never taken backup.  
KEY PERSONALITIES: Chip Gaetano - IT; Kate Dolph, Director of FP&amp;A started in March 2022, Partner owned account: RSM Steve Rutland and Megan Riley
CHALLENGES: Covid hit right as we were preparing to go-live; FP&amp;A has been too busy to connect with us so we don't have much visibility into their challenges at the moment.</t>
  </si>
  <si>
    <t>{Industry=High Technology, Name=Ultra Electronics Limited, PS_Region_New__c=UKI, attributes={type=Account, url=/services/data/v62.0/sobjects/Account/0018000000ULAxoAAH}}</t>
  </si>
  <si>
    <t>2022-08-10T13:08:29.000+0000</t>
  </si>
  <si>
    <t>0013000000IqD8kAAF</t>
  </si>
  <si>
    <t>{Industry=Insurance, PS_Sub_Region__c=FSI LE, attributes={url=/services/data/v62.0/sobjects/Account/0013000000IqD8kAAF, type=Account}, Name=Amica Mutual Insurance Company, SubRegion__c=US FSI LE East, PS_Region_New__c=US FSI}</t>
  </si>
  <si>
    <t>a3A4X000002JcOfUAK</t>
  </si>
  <si>
    <t>0011B00002CXXCuQAP</t>
  </si>
  <si>
    <t>2026-07-31T22:40:58.000+0000</t>
  </si>
  <si>
    <t>0054X00000FaZTZQA3</t>
  </si>
  <si>
    <t>a0rVT00001DX8ekYAD</t>
  </si>
  <si>
    <t>017VT0000GAxCpMYQV</t>
  </si>
  <si>
    <t>2020.11.19 JM ~ New Admin Model Walk-through led by Wendy Fox with Maureen and Michelle. Maureen has no previous Adaptive experience and is quite aloof. Michelle assisted previous Admin with some tasks. Productive call and added both to eLearning. Stephen Wong is no longer with company.
 2020.10.27 JM ~ Michelle Ho [Accounting Manager] reached out to Support sharing their main user has left the company and inquiring about getting assistance to better understand forecasting. Reached out to intro Success Team, share new Admin resources, added her to eLearning and offered to schedule intro call.
 2020.03.02 JM ~ Closed one-year renewal with 6% uplift on (FY18) SMB price book.
 2020.01.31 JM ~ Uncovered an inconsistency around price books that have been utilized, redundancies on their current 2020 renewal quote as well as their 2018 and 2019 renewal order forms. Reviewing in-detail and reaching out to Sales Ops.
 4/13/17: Customer is currently implementing with Allocate. Go Live date of May 1st. Mentioned they were struggling with pulling in their historical actuals but feels they will meet their Go Live date.</t>
  </si>
  <si>
    <t>Altice USA, Inc.</t>
  </si>
  <si>
    <t>{Industry=High Technology, attributes={url=/services/data/v62.0/sobjects/Account/0018000000ULAxoAAH, type=Account}, Name=Ultra Electronics Limited, PS_Region_New__c=UKI}</t>
  </si>
  <si>
    <t>a3A4X000002JcOqUAK</t>
  </si>
  <si>
    <t>0013000000KzsMJAAZ</t>
  </si>
  <si>
    <t>9/24: Design phase kicked-off. Kick off, 9/24. Pre-work workbook shared with customer.</t>
  </si>
  <si>
    <t>2026-09-02T16:08:18.000+0000</t>
  </si>
  <si>
    <t>Executive Sponsor remains unresponsive. Multiple outreach by CS Leader (Cheryl Johnston) have not been returned.</t>
  </si>
  <si>
    <t>017VT0000Gmhei6YQA</t>
  </si>
  <si>
    <t>Key Personalities
• Harold
• Mikhail: Administrator, reports to Harold. 
Customer Sentiment
•
Challenge(s)/Risk(s)
• No implementation partner selected, as of April 2021. Mikhail will be starting manual uploads and building sheets himself in the meantime.
• Quiet bunch.
Themes/Opportunities
•</t>
  </si>
  <si>
    <t>a0pVT00000CqZ4QYAV</t>
  </si>
  <si>
    <t>2025-01-21T21:47:53.000+0000</t>
  </si>
  <si>
    <t>a3A4X000002JcPHUA0</t>
  </si>
  <si>
    <t>0011B00002CXVstQAH</t>
  </si>
  <si>
    <t>{SubRegion__c=US FSI LE East, PS_Region_New__c=US FSI, Name=Amica Mutual Insurance Company, Industry=Insurance, attributes={type=Account, url=/services/data/v62.0/sobjects/Account/0013000000IqD8kAAF}, PS_Sub_Region__c=FSI LE}</t>
  </si>
  <si>
    <t>2026-09-24T17:34:51.000+0000</t>
  </si>
  <si>
    <t>24-Dec-20 MN shared seasons greetings and seasonal support availability.
 This has been a challenging site.
 29-Apr-20 MN Implemented. Use Cases: Planning, Reporting, Analytics Recent Partner Activity Feb-20</t>
  </si>
  <si>
    <t>017VT0000GmgHRfYQM</t>
  </si>
  <si>
    <t>a0rVT00001DWw0tYAD</t>
  </si>
  <si>
    <t>a3A4X000002JcPKUA0</t>
  </si>
  <si>
    <t>Alvarado Restaurant Nation</t>
  </si>
  <si>
    <t>0011B00002CXUanQAH</t>
  </si>
  <si>
    <t>{Industry=High Technology, PS_Region_New__c=UKI, Name=Ultra Electronics Limited, attributes={type=Account, url=/services/data/v62.0/sobjects/Account/0018000000ULAxoAAH}}</t>
  </si>
  <si>
    <t>2026-09-24T17:35:09.000+0000</t>
  </si>
  <si>
    <t>July 2021: Some integration next steps in play here. Briefly connected with Jeff. Reaching back out for an update. 
 2/4/21 SP - Had renewal call with Jeff and Roseann
 8/17/20 SP - Had a checkin call with Jeff and Roseann. They are likely going with Sage as their new accounting software. Will likely need to have a few discussions as they start implementing on how to update their Adaptive model. Offered OH for budget question.
 7/30/20 Sp - Reached out to Jeff and Roseann for checkin call
 2/12/20 SP - Had renewal call with Jeff. Let us know they are exploring new accounting software. Likely go with SAP. Still have a meeting with Oracle but they are really expensive so leaning away from them.
 2/5/20 SP - Reached out to Jeff requesting renewal call.
 12/11/19 SP - Had a checkin call with Jeff and Roseann. Discussed resources available. They are the main users of Adaptive for their team. They are part of the finance team who is not integrated with their accounting team. Use Adaptive for Admin budgeting (head count, special budgets tracking, income statement). Do some reporting but an area they would like to improve in the future. They do not give their budget Admins access to Adaptive. They run reports in AOC and then push those out to team for updates. Currently looking for a new General accounting suite. Asked about options for automated integration as right now they manually manipulate files and import. Integration would be a future enhancement they will be considering. 
 12/2/19 SP - Jeff responded asking for a call the week of 12/9. Sent invite to him and Roseann.
 11/18/19 SP - Sent a follow-up to Jeff asking for an introduction call.
 11/8/19 SP - Had Angelique reach out tot try and make an intro since I have not received any response from points of contact. They had some issues in the past with receiving Adaptive's emails.
 10/10/19 SP - Sent follow-up to Jeff and Sarah asking for a checkin call.
 9/23/19 SP - Reached out to Jeff and Sarah requesting a checkin call.
 customer is happy but may reduce users as they are not fully rolled out.</t>
  </si>
  <si>
    <t>a0pVT00000Cg96PYAR</t>
  </si>
  <si>
    <t>017VT0000FtrzttYQA</t>
  </si>
  <si>
    <t>a0rVT00001D214sYAB</t>
  </si>
  <si>
    <t>a3A4X000002JcPQUA0</t>
  </si>
  <si>
    <t>0018000001Rl1p4AAB</t>
  </si>
  <si>
    <t>{Name=Havas, attributes={type=Account, url=/services/data/v62.0/sobjects/Account/0018000000tVf1PAAS}, Industry=Professional Services, PS_Region_New__c=EMEA South}</t>
  </si>
  <si>
    <t>{Name=CFA Institute, attributes={type=Account, url=/services/data/v62.0/sobjects/Account/0018000001Rl1p4AAB}, PS_Region_New__c=US SLED, PS_Sub_Region__c=Higher Education LE, SubRegion__c=US NFP CB East, Industry=Non-Profit}</t>
  </si>
  <si>
    <t>0014X00002MByw5QAD</t>
  </si>
  <si>
    <t>Had put together a plan but each time the Partner and I made steps forward the CFO would shut it down.  They have moved forward with Power BI</t>
  </si>
  <si>
    <t>2026-08-22T20:18:52.000+0000</t>
  </si>
  <si>
    <t>005VT00000LJnVZYA1</t>
  </si>
  <si>
    <t>Sentiment: Barely using the system. Steve Wall says it?s easier to use Excel then it is to make the needed updates in Planning with their new product lines in the Organizational Structure.
 Main POC: Steve Wall (Director of FP&amp;A); Tim Fitzsimmons (CFO), David Camen (Controller)
 Use Case: They have 90% of the Planning model (Revenue &amp; Expenses &amp; Personnel) built in Planning but they are not using it because of the manual manipulation that is required to get the Level structure accurate.
 Challenges/Objectives: They have Product lines as part of the Organization structure in Planning but it is not part of their ERP?s GL structure. Steve manually sorts the actuals on a description field to pull out these adjustments an add them into Planning.
 Also, Planning is not the CFO?s main concern. They are working on releasing new product lines that take top priority. So their IT Dept has limited bandwidth to help with any project.
 Next steps: Spoke with Thomas Crawford from Cohn Reznick and said that the CFO told him the top priority is to get the ship log report streamlined. Thomas reach out to Steve and schedule a meeting on 6/7 to discuss next steps, Recommended a Model review.
 Meeting scheduled for 6/16 to have a model review with the Partner to see determine is there are areas where there can provide some relief to Steve while they wait for their IT to make integration a priority.</t>
  </si>
  <si>
    <t>017VT0000CgP2fLYQS</t>
  </si>
  <si>
    <t>a0rVT00001DXB1XYAX</t>
  </si>
  <si>
    <t>Deployments</t>
  </si>
  <si>
    <t>9/28: Kickoff and first discovery meeting scheduled for this week</t>
  </si>
  <si>
    <t>2022-09-01T22:14:35.000+0000</t>
  </si>
  <si>
    <t>Alzheimer's Association</t>
  </si>
  <si>
    <t>a3A4X000002JcTyUAK</t>
  </si>
  <si>
    <t>{Name=Guzman y Gomez Franchising Pty Ltd, PS_Region_New__c=ANZ, Industry=Restaurant &amp; Food Service, attributes={type=Account, url=/services/data/v62.0/sobjects/Account/0014X00002IwvhIQAR}}</t>
  </si>
  <si>
    <t>0011B00002CXUnhQAH</t>
  </si>
  <si>
    <t>a0pVT00000CsvgjYAB</t>
  </si>
  <si>
    <t>a0rVT00001DIjoHYAT</t>
  </si>
  <si>
    <t>2026-04-17T11:35:58.000+0000</t>
  </si>
  <si>
    <t>0018000000hGxTVAA0</t>
  </si>
  <si>
    <t>Jan 2021: new year check-in. Some usage in the model from Dec 2020. 1/20 Alan confirms they are moving away from Adaptive
 6/29/20: Alan responds with the same message as before. They do not wish to re-engage and would prefer a refund. Mo already told them that's not an option.
 6/9/20: (Chacon) reached out to gauge their temperature following Mo's message. No response since.
 5/4/20: Mo follows up with customer directly to confirm no refund possible.
 3/20/20: Customer unhappy with 2 failed partner projects. Not sure how failed the RSM implementation was although we did move to Armanino for the integration portion. Latest was with Armanino for Qbooks on-prem. Wants to dissolve their contracts and get a refund. Working with Andrew Kathan on next steps/options.
 2/6/20: Re-implementation and Integration project went south with Armanino. Kathan and I looking to connect with customer to discuss fixing the problem and a positive way forward.
 working on a review for Alan, Stephanie left, Rebecca is new secondary.</t>
  </si>
  <si>
    <t>017VT0000Gq5jtuYQA</t>
  </si>
  <si>
    <t>{Name=Manufacture Française des Pneumatiques Michelin, Industry=Auto Manufacturing, attributes={url=/services/data/v62.0/sobjects/Account/0018000000hGxTVAA0, type=Account}, PS_Sub_Region__c=France, SubRegion__c=France MFG HC &amp; Energy LE, PS_Region_New__c=EMEA South}</t>
  </si>
  <si>
    <t>2021-10-09T08:13:52.000+0000</t>
  </si>
  <si>
    <t>{Industry=Restaurant &amp; Food Service, PS_Region_New__c=ANZ, Name=Guzman y Gomez Franchising Pty Ltd, attributes={type=Account, url=/services/data/v62.0/sobjects/Account/0014X00002IwvhIQAR}}</t>
  </si>
  <si>
    <t>a3A4X000002JcUnUAK</t>
  </si>
  <si>
    <t>{attributes={url=/services/data/v62.0/sobjects/Contact/0034X00003GLjtLQAT, type=Contact}, Full_Name__c=Aleksandra Toulemonde}</t>
  </si>
  <si>
    <t>0018000001Cg30KAAR</t>
  </si>
  <si>
    <t>2026-09-27T12:01:14.000+0000</t>
  </si>
  <si>
    <t>a0rVT00001DWyU7YAL</t>
  </si>
  <si>
    <t>00580000004z1lmAAA</t>
  </si>
  <si>
    <t>Scorecard request: 3424750</t>
  </si>
  <si>
    <t>AMC Entertainment Holdings, Inc.</t>
  </si>
  <si>
    <t>017VT0000Fsq7l5YQA</t>
  </si>
  <si>
    <t>Customer acquired by solera, not renewing after this cycle. 
 Solera considering multi instance bundle.
 1. Current Customer sentiment and state of the account. What?s the general use case of the product for the customer?
 Customer is live, but struggles with adoption from lack of knowledge and training. they have issues with integration failing as well, but from what support shows, appears to be on Intacct side. they are working with intacct support.
 Sara struggles with formulas, and overall product knowledge
 2. Key Contacts/Personalities (who signs the contracts, who is the power user) What?s the highest level contact.Ü
 Sara Ramadan
 Mark Clary
 3. Challenges and OpportunitiesÜ- opportunity for added user expansion. Challenge is getting Sara to take training instead of relying on support. I believe Carlson (partner managed) has tried to get them additional servies but they have not wanted to invest
 4. Ongoing themes - integration issues #199118
 Your high level strategy/plan to continue engaging with the account. (How will you show the customer value in our products/services).ÜWork with partner to get a plan to help get them stable</t>
  </si>
  <si>
    <t>2023-04-27T18:02:09.000+0000</t>
  </si>
  <si>
    <t>a0pVT00000CzPiXYAV</t>
  </si>
  <si>
    <t>{Industry=Auto Manufacturing, PS_Region_New__c=US Large Enterprise DI &amp; Mexico, Name=Bridgestone Americas, Inc., attributes={url=/services/data/v62.0/sobjects/Account/0018000000ORDklAAH, type=Account}}</t>
  </si>
  <si>
    <t>a0rVT00001DMM6jYAH</t>
  </si>
  <si>
    <t>a3A4X000002JcVHUA0</t>
  </si>
  <si>
    <t>Subsequent- Phase X- Paradox CEXP</t>
  </si>
  <si>
    <t>0011B00002CXULYQA5</t>
  </si>
  <si>
    <t>0018000000sfc5qAAA</t>
  </si>
  <si>
    <t>2026-08-21T22:17:50.000+0000</t>
  </si>
  <si>
    <t>{PS_Sub_Region__c=ANZ AU ME, attributes={url=/services/data/v62.0/sobjects/Account/0018000000sfc5qAAA, type=Account}, Industry=Federal / National Government, PS_Region_New__c=ANZ, Name=Reserve Bank of Australia (RBA), SubRegion__c=ANZ AU ME CB}</t>
  </si>
  <si>
    <t>017VT0000Gd6xoaYQA</t>
  </si>
  <si>
    <t>Aug 2021: Checked back in with Shartis, Todd and Anthony. 10 users still accessing the system as of now. 8/9 Shartis confirms they are moving away from Adaptive still. Asks to break 2nd installment into 2 payments like the first was. Declined her request and informed Taegan Hutchinson in AR of the request too. 
 Mar 2021: 3/11 Shartis declines AC's reduction in rate, says they are moving to a platform with Accounting and Budgeting all in one. Notified Jessica Bourgoine in AR.
 "I have reviewed the updated pricing, and I appreciate the consideration however due to our company restructure, we are moving more towards a centralized system providing both accounting and financial reporting."
 Feb 2021: AC provided scoping SOW, Shartis says costs are high. Reached out to Active Cyber. AC comes down to $175 from $200. 2/18 Shartis still says that's too high and they aren't using the system currently. 
 Nov 2020 update: Celeste NLWC, Shartis is new primary. Intro'ing to Active Cyber again, last worked with AC on an integration project. Shartis and Todd want to talk about changes to their model and how big of a project that might be.
 Key players: Shartis - Controller, Todd - Biz Ops, Dave - CFO
 October 2020 update: Celeste asks to refresh her sandbox. 22-29 seats using of 32 purchased.
 5/20/20: Being hit hard by COVID (hospitality) and cutting back on everything. May have to lay off folks soon too. Wants to see what renewal looks like at bare bones but pressing hard to keep everything. Says they will still need AI.
 5/19/20: Not going as smoothly with Active Cyber. Hasn't signed the SOW yet, delays on the customer side. AC is concerned they are trying to get free consultation and the go back and do work on their own (Many calls/meetings with questions being asked from customer).
 2/6/20: Integration issues arise, no hours in current project for integration related items though. Need to scope out a project if they want help with it. Moving to Active Cyber.
 Things are ok, Celeste was making some changes to model but they had some delays internally.</t>
  </si>
  <si>
    <t>a0rVT00001DX7p7YAD</t>
  </si>
  <si>
    <t>{attributes={url=/services/data/v62.0/sobjects/Account/0018000000ORDklAAH, type=Account}, PS_Region_New__c=US Large Enterprise DI &amp; Mexico, Name=Bridgestone Americas, Inc., Industry=Auto Manufacturing}</t>
  </si>
  <si>
    <t>{attributes={url=/services/data/v62.0/sobjects/Contact/003VT00000twDGXYA2, type=Contact}, Full_Name__c=Alexandra Reischl}</t>
  </si>
  <si>
    <t>a3A4X000002JcVMUA0</t>
  </si>
  <si>
    <t>0011B00002CXVd0QAH</t>
  </si>
  <si>
    <t>Pre-planning activities are underway timelines, resources and other deployment details being finalised. Updates will be shared across all relevant platforms as details are confirmed.</t>
  </si>
  <si>
    <t>2026-09-18T23:09:34.000+0000</t>
  </si>
  <si>
    <t>017VT0000CgPzo2YQC</t>
  </si>
  <si>
    <t>a0pVT00000CunaDYAR</t>
  </si>
  <si>
    <t>Key Personalities
 ? Burton: Quiet bunch. sole admin at Gant Travel. Very nice and polite. Has been avoiding calls/meetings this past year. Could be that he is very busy or because they're reducing their use of Adaptive (premium support not renewed, for example). Also requested monthly payment installments - managed by Destiny AR.
 Current Issue(s)
 ? Covid hit hard. Sole customer is business travel (1/3 pharmaceuticals, 1/3 education, 1/3 banking/finance). $9mm in annual revenue lost. 50% team permanently let go. Went from 40,000 tickets sold in January 2020 &gt; 12,000 tickets March 2020 &gt; 1,100 tickets April 2020. Do not anticipate to make a full recovery until 2022/2023. 
 ? 03/2020: Cancelled Premier Support. "Unfortunately this Covid-19 Pandemic environment has significantly impacted the business travel market which has fallen to less than 25% of that which was our norm prior to this event. That said, we cannot look forward to enjoying another year of thus premium service (no renewal of service requested)."
 ? Evaluating Tramada (https://tramada.us) for supplier management.
 Ongoing theme(s)
 ? Customer paying off 2019 renewal invoice in monthly installments. Did not get approval, but this is the only way they can afford due to Covid losses and decline in business.
 ? Ongoing "issues" that Burton blames on Adaptive lack of functionality or bugs, but ultimately are issues in their CRM (226772) or user-error (227599). Support tickets linger for months and Burton will not respond. Customer says the system is "entirely unusable" for them.
 Favorite feature(s)
 ?</t>
  </si>
  <si>
    <t>a0rVT00001DMSm1YAH</t>
  </si>
  <si>
    <t>{Name=JD.com, Inc., attributes={type=Account, url=/services/data/v62.0/sobjects/Account/0018000001ZHNSVAA5}, Industry=Softlines, PS_Region_New__c=HK &amp; TW}</t>
  </si>
  <si>
    <t>001800000121jQ7AAI</t>
  </si>
  <si>
    <t>a3A4X000002JcVRUA0</t>
  </si>
  <si>
    <t>{SubRegion__c=ANZ AU ME CB, Name=TAL Services Limited (ABN 60 076 105 130), attributes={type=Account, url=/services/data/v62.0/sobjects/Account/001800000121jQ7AAI}, PS_Sub_Region__c=ANZ AU ME, Industry=Insurance, PS_Region_New__c=ANZ}</t>
  </si>
  <si>
    <t>2026-04-17T11:45:23.000+0000</t>
  </si>
  <si>
    <t>0011B00002CXTkcQAH</t>
  </si>
  <si>
    <t>017VT0000CgQcXJYQ0</t>
  </si>
  <si>
    <t>a0rVT00001DXCVRYA5</t>
  </si>
  <si>
    <t>{Full_Name__c=Ashvini Khade, attributes={url=/services/data/v62.0/sobjects/Contact/0034X00003ErzzBQAR, type=Contact}}</t>
  </si>
  <si>
    <t>American Builders &amp; Contractors Supply Co., Inc., dba ABC Supply Co., Inc.</t>
  </si>
  <si>
    <t>Aug 2021: Still low usage but 1 log-in in July. Trying Jill again. 8/5 Jill confirms most previous contacts NLWC. Only log-ins would be to see historical data. Not using and not renewing at end of term.
 Apr 2021: Shortly after renewal, team restructured their whole set up. Marketing team uses, not a typical finance use case. Jill said then they wouldn't be using the software any longer. 4/21/21 Confirmed again:
 Hi Brandon- 
 At this time, Adaptive is not being leveraged by the team as it doesn?t fit our restructured marketing needs. 
 Thanks,
 Jill
 Dec 2020 update: Demo went well, looked to move to Enablement next and a review of their needs. 12/15 Jill comes back saying due to changes internally, the team won't be needing Adaptive any longer. Looping in CBAE and asking to continue our reviews with the customer. Billing says they already paid renewal invoice for the yr.
 Nov 2020 update: Brian then left. Jill, Andrew, Lisa, Rita are all contacts with Jill being the primary. Some structural changes coming so will look to bring in a partner. CBAE helping with this account. They will renew. 11/6 DocuSign sent today. 11/18 demo prep call. Demo scheduled for 12/1. 12/18 trying to save, asked to reconsider. Contract runs through Dec '21. Says things on hold for now but left door open to review in the new yr. 
 Oct 2020 update: Now Amanda looks to have left the organization. Brian DeLong is next primary per her OOO reply. 10 seats purchased, 8-10 used through out the year.10/16 contact made with Brian DeLong. Julie Ball confirms he is main contact moving forward. Looking to schedule call with Brian. 10/27 Brian now leaving the org, Jill and Andrew are new primaries. Moving to a call on 11/2.
 Aug 2020 update: They use AI in a different way than most finance teams do. Significant changes with their exec team, strategic goals, will be much more consumer focused. Wants to grow by 250 schools within the next 5 years. Not sure how that will impact their use of AI yet. Some of their teams are merging internally. Not using Discovery yet, they have PowerBI and Tableau for Dashboards already. May start using Dell Boomi eventually. Currently integrating AOC. Custom reports built out or budget vs. actual they use throughout the year. Microsoft CRM, moving to MS dynamics by end of 2020
 Key Players: Jill - Media Manager , Lisa - Account Executive , Andrew- Account Executive. Rita - Media Planner</t>
  </si>
  <si>
    <t>{attributes={type=Account, url=/services/data/v62.0/sobjects/Account/0014X00002OvJK7QAN}, Industry=Travel &amp; Hospitality, Name=JetSuiteX, Inc., PS_Region_New__c=US Medium Enterprise DI}</t>
  </si>
  <si>
    <t>a3A4X000002JcVSUA0</t>
  </si>
  <si>
    <t>2026-04-17T11:48:45.000+0000</t>
  </si>
  <si>
    <t>0018000000x0hLWAAY</t>
  </si>
  <si>
    <t>017VT0000GRdeMrYQJ</t>
  </si>
  <si>
    <t>a0pVT00000CyRMbYAN</t>
  </si>
  <si>
    <t>a0rVT00001DMU7VYAX</t>
  </si>
  <si>
    <t>{Name=JetSuiteX, Inc., PS_Region_New__c=US Medium Enterprise DI, Industry=Travel &amp; Hospitality, attributes={url=/services/data/v62.0/sobjects/Account/0014X00002OvJK7QAN, type=Account}}</t>
  </si>
  <si>
    <t>0013000000J1LTVAA3</t>
  </si>
  <si>
    <t>{Industry=Food &amp; Drug, SubRegion__c=US DI LE CB RHT Midwest, PS_Sub_Region__c=Diversified Industries LE CB RHT, Name=Meijer Great Lakes Limited Partnership, attributes={type=Account, url=/services/data/v62.0/sobjects/Account/0013000000J1LTVAA3}, PS_Region_New__c=US Large Enterprise DI &amp; Mexico}</t>
  </si>
  <si>
    <t>Sept 2021: Hardus moves our call for the 3rd time. Seeking his perspective over email since we are having a hard time connecting over phone. 2 seats using of 2-22 seats purchased (20 Views in bundle). Hardus provides more info in a 2nd email, confirming they will not renew their contract at next renewal. Moving to OneStream. 9/9 left door open for a (short term) renewal if OneStream is not up by end of Nov. Will stay in touch here to confirm and discuss options if that's the case.
 July 2021: Moved over from Kowalk. Last he spoke to customer, they said they bought OneStream and are implementing it. 2 users in model lately though, CFO says planning is great but reporting needs work. Gave us a 3 in NPS. Mark Navarro is new primary, Hardus still here though. 
 Original License Late 2017
 2018 Went live summer 2018. Is a NetSuite customer. Management wanted reports from Adaptive to look exactly like NetSuite reports, which show Expenses as negative numbers. 
 2018 Oct Deloitte (implementer) wrote the master formula for Net Income against best practices so that customer would load Expenses as Negative numbers, which has made their monthly maintenance very frustrating.
 2019 Jan-Mar Working with customer and Enablement to resolve.
 As of Aug 2019, still very frustrated. Increasing efforts to right this ship. Only using Consolidation at this point. Have licensed Planning with Consolidation as module. Not using Planning, although they'd like to.
 2019 Sept One of their two mines is not doing well, so they have financial stress on top.
 2019 Oct Sr. Management just decided to move all corporate operations from Toronto Canada to London UK, to be final by Apr 30. No Toronto based FP&amp;A resources are going to stay with the organization
 2019 Nov - up for renewal in December. Wanted short term license to bridge to Apr, however we negotiated a deal for them to reduce config to minimum, for 12 months term, in exchange for opportunity to be involved with transitioning the FP&amp;A process to London.
 2020 Feb - CBAE outreach led ut to Mark Navarro, brand new London hire to run FP&amp;A.
 2020 Mar - several enablement calls, Mark has expressed very positive openness to implementing Planning, and is beginning to believe that Consolidation may work for GSR.
 2020 July - Aug - GSR has shared that they are using Adaptive, but may take the system to market, including Adaptive for consideration. Meet in Sept to discuss.</t>
  </si>
  <si>
    <t>2026-09-12T20:00:36.000+0000</t>
  </si>
  <si>
    <t>0054X00000EZQ29QAH</t>
  </si>
  <si>
    <t>a0rVT00001DX7M5YAL</t>
  </si>
  <si>
    <t>a3A4X000002JcVUUA0</t>
  </si>
  <si>
    <t>017VT0000GZY88MYQT</t>
  </si>
  <si>
    <t>American Family Mutual Insurance Company, S.I.</t>
  </si>
  <si>
    <t>0011B00002CXTwdQAH</t>
  </si>
  <si>
    <t>0018000001TALRNAA5</t>
  </si>
  <si>
    <t>Invisors LLC</t>
  </si>
  <si>
    <t>7/26/21KH: Per Anita's TRX/RNWL team - stated they have Moved on from Adaptive. No response on invoice. Not going to renew.
 10.20.20
 -No response to date on invoice
 3.12.20
 RS
 -Grandvision has not paid invoice. They are turning it over to their legal team. 
 2.12.2020
 RS
 -Past due for subscription services
 -Working with AR &amp; Carlson to resolve</t>
  </si>
  <si>
    <t>{Industry=Consumer Goods, Name=Bega Cheese Limited, PS_Region_New__c=ANZ, attributes={type=Account, url=/services/data/v62.0/sobjects/Account/0018000001DwG7xAAF}}</t>
  </si>
  <si>
    <t>Kickoff complete 22-Sept.  Conducting design sessions with Paradox and Integrations Architects, respectively and concurrently.  ETA to complete Design sessions week of 22-Nov.</t>
  </si>
  <si>
    <t>Hiring Tasks</t>
  </si>
  <si>
    <t>a3A4X000002JcVeUAK</t>
  </si>
  <si>
    <t>2026-09-17T06:25:36.000+0000</t>
  </si>
  <si>
    <t>005VT00000Jv67NYAR</t>
  </si>
  <si>
    <t>0011B00002CXTrdQAH</t>
  </si>
  <si>
    <t>a0pVT00000CqnCDYAZ</t>
  </si>
  <si>
    <t>017VT0000EdsCZdYQM</t>
  </si>
  <si>
    <t>a0rVT00001DQFjTYAX</t>
  </si>
  <si>
    <t>0018000000O07BTAAZ</t>
  </si>
  <si>
    <t>Main POC:
 Sentiment:
 Use Case:
 Objectives/Challenges: Customer unresponsive after notifying us of up coming RFP. No RFP ever issued. Moved to Closed Lost.
 Additional Notes:
 1.5.2021:
 "They are retaking the process started an also freezed in 2019 to expand the user contribution inside Hypera. According to him the Internal Administration approved the project for 2021 and they are requesting the investment needed to go ahead with it.
 Diego informed that there is an intention from IBM in order to replace AI so they are requesting all efforts from us in order to provide them accessible prices.
 In my opinion, since they already use AI, we have an advantage but I really do not know what is the IBM offer in order to replace us. Of course, their proposal will be very aggressive in an attempt to convince the Hypera team to replace AI as a planning tool.
 Their intention is to acquire until the end of the second quarter after analyzing the proposals."
 7.2020
 -Executed renewal
 5.2020
 RS - Working on 2020 renewal. Pending updates.
 Update: did not reduce seats
 Cust is happy but has sold a business unit and may be looking to reduce seats during renewal</t>
  </si>
  <si>
    <t>{Industry=Softlines, PS_Region_New__c=EMEA South, attributes={type=Account, url=/services/data/v62.0/sobjects/Account/0018000000tVfViAAK}, Name=Chanel Limited}</t>
  </si>
  <si>
    <t>{attributes={type=Account, url=/services/data/v62.0/sobjects/Account/0018000000O07BTAAZ}, PS_Region_New__c=US Medium Enterprise DI, Industry=Media &amp; Entertainment, PS_Sub_Region__c=ME CB TM &amp; RHT, SubRegion__c=US DI ME CB TM Northeast, Name=TKO Worldwide, LLC}</t>
  </si>
  <si>
    <t>a0rVT00001DXD4wYAH</t>
  </si>
  <si>
    <t>2026-07-05T09:01:12.000+0000</t>
  </si>
  <si>
    <t>American Food &amp; Vending Corporation</t>
  </si>
  <si>
    <t>a3A4X000002JcWIUA0</t>
  </si>
  <si>
    <t>017VT0000FoY80sYQC</t>
  </si>
  <si>
    <t>0018000001fjv2WAAQ</t>
  </si>
  <si>
    <t>US DI ME NN RHT Northeast</t>
  </si>
  <si>
    <t>Main POC: 
 Sentiment:
 Use Case:
 Objectives/Challenges: 
 Additional Notes:
 7/22/20 JC - Reached out to Theresa for check in. Active logins to date.
 10.2.19 Rigo introduced Ji via email
 4.9.19 - sent Netsuite reminder email for authentication/integration
 1.15.18 - Checkin; things are goin well; Mark gone, Theresa Moore replacement; planning on attending live
 5.23.18 - Met at Adaptive Live; Carlson is handling implementation</t>
  </si>
  <si>
    <t>2026-08-19T10:43:05.000+0000</t>
  </si>
  <si>
    <t>a3A4X000002JcWPUA0</t>
  </si>
  <si>
    <t>a0pVT00000CqnDpYAJ</t>
  </si>
  <si>
    <t>0011B00002CXWC5QAP</t>
  </si>
  <si>
    <t>017VT0000GkjnlPYQQ</t>
  </si>
  <si>
    <t>{SubRegion__c=US DI ME CB TM Northeast, attributes={url=/services/data/v62.0/sobjects/Account/0018000000O07BTAAZ, type=Account}, PS_Sub_Region__c=ME CB TM &amp; RHT, Name=TKO Worldwide, LLC, PS_Region_New__c=US Medium Enterprise DI, Industry=Media &amp; Entertainment}</t>
  </si>
  <si>
    <t>{PS_Region_New__c=EMEA South, attributes={type=Account, url=/services/data/v62.0/sobjects/Account/0018000000tVfViAAK}, Industry=Softlines, Name=Chanel Limited}</t>
  </si>
  <si>
    <t>SE 3/29/21: Received notice of cancellation
 SE 1//25/21: Simon has been unresponsive since Covid, logins are steady. continuing to work to schedule account and now renewal discussion
 SE 5/8/20: Renewed in April, talking w/ActiveCyber on re-implementation, talks have stalled with COVID
 SE 2/3/20:Still working on re-connecting, usage is good
 SE 11/1/20: Working on re-connecting
 SE 3/8/19: Integration broke, questioning abilities of Adaptive, not seeing value in tools.
 SE 12/18/18:Very heavy usage and over on seat count. Working with Des to purchase additional seat licenses.</t>
  </si>
  <si>
    <t>2026-09-23T13:11:43.000+0000</t>
  </si>
  <si>
    <t>a0rVT00001DX6eXYAT</t>
  </si>
  <si>
    <t>a3A4X000002JcWTUA0</t>
  </si>
  <si>
    <t>American Geophysical Union</t>
  </si>
  <si>
    <t>017VT0000DIjHPPYQ3</t>
  </si>
  <si>
    <t>0018000001WMF9tAAH</t>
  </si>
  <si>
    <t>{PS_Region_New__c=US Medium Enterprise DI, attributes={type=Account, url=/services/data/v62.0/sobjects/Account/0018000001EfgHnAAJ}, Name=CGB Enterprises, Inc., Industry=Consumer Goods}</t>
  </si>
  <si>
    <t>US NFP NN East</t>
  </si>
  <si>
    <t>a0pVT00000CppT0YAJ</t>
  </si>
  <si>
    <t>Main POC: Heather Metten, Director of Finance
 Sentiment: TBD, haven't met with customer
 Use Case:
 Objectives/Challenges: Customer unresponsive, last login 6/21
 Additional Notes:
 4/20/20 JC - Emailed Heather to check in on her usage/experience and offered to schedule a call. Very low usage.
 3/4/20 JC - Reached out to Heather to introduce myself and asked for time to connect
 9/19:
 -Carlson stated customer has been requesting additional requirements that were not included in SOW.
 -Been difficult to get a hold of Heather, but she got back to me asking renewal price. Working on scheduling call.
 8.12.19 - Last Login in June 2019
 3.29.19 - active logins to date
 3.26.19 - resent onboarding email to connect
 11.15.18 - In implementation. Sent Onboarding Email.</t>
  </si>
  <si>
    <t>a0rVT00001DWfXxYAL</t>
  </si>
  <si>
    <t>2026-05-15T14:25:19.000+0000</t>
  </si>
  <si>
    <t>0011B00002AkCOoQAN</t>
  </si>
  <si>
    <t>{Industry=Post Acute, PS_Sub_Region__c=Healthcare LE, SubRegion__c=US Healthcare LE NN Central, Name=Monarch Healthcare Management LLC, attributes={url=/services/data/v62.0/sobjects/Account/0011B00002AkCOoQAN, type=Account}, PS_Region_New__c=US Healthcare}</t>
  </si>
  <si>
    <t>a3A4X000002JcdDUAS</t>
  </si>
  <si>
    <t>017VT0000EUDmR8YQL</t>
  </si>
  <si>
    <t>0011B00002CXU5uQAH</t>
  </si>
  <si>
    <t>{Name=CGB Enterprises, Inc., attributes={url=/services/data/v62.0/sobjects/Account/0018000001EfgHnAAJ, type=Account}, PS_Region_New__c=US Medium Enterprise DI, Industry=Consumer Goods}</t>
  </si>
  <si>
    <t>2026-06-29T20:43:01.000+0000</t>
  </si>
  <si>
    <t>017VT0000Fw4NCpYQM</t>
  </si>
  <si>
    <t>Sept 2021: Michael Chiligiris (WD Rep) wants to explore selling into Cox (parent company of NextGear). Maybe bring them back from the dead. Says previous assigned WD rep had made a connection in the past with David Horan, David told him Cox handles all their HR needs.
 Key players: Nick (DoFP&amp;A), David (CFO)
 July 2021: Renewal review, Nick asks to remove 2 admin and 2 standard seats. Already at list so no discount to remove here
 June 2021: Most likely will renew one more year but team is moving to OneStream soon. 
 Mar 2021: transitioned to Chacon.
 Dealer Services Corporation (DSC) merged with Manheim Automotive Financial Services (MAFS) to create NextGear Capital.
 NextGear implemented Adaptive in 2014. Loves the product and uses it regularly. They have no interest to change, however... Company is owned by Cox Automotive, and Cox is a big Oracle shop. 
 Cox had been pushing Oracle ww, but as of late 2018, Cox Australia licensed Adaptive, and in 2019, whispers are that Cox is evaluating for new vendors. 
 NextGear has no say in what Cox does, but has promoted Adaptive and feels that Cox is listening.
 2020 July - Cox has been working through a companywide vendor evaluation, and NextGear tells that they have selected a new system but it's still not sharable information.
 We are preparing to fight to keep Adaptive in NextGear for 2021 - they have renewed for 2020 but cautioned it may be their last year depending on corporate directives.</t>
  </si>
  <si>
    <t>a0rVT00001DWvDnYAL</t>
  </si>
  <si>
    <t>2021-10-09T08:13:54.000+0000</t>
  </si>
  <si>
    <t>a0pVT00000CpzfFYAR</t>
  </si>
  <si>
    <t>American Senior Communities</t>
  </si>
  <si>
    <t>a3A4X000002JcdRUAS</t>
  </si>
  <si>
    <t>2026-08-24T16:11:06.000+0000</t>
  </si>
  <si>
    <t>0011B00002CXWfvQAH</t>
  </si>
  <si>
    <t>US Healthcare LE NN Central</t>
  </si>
  <si>
    <t>017VT0000GhbMd2YQE</t>
  </si>
  <si>
    <t>Main POC: Olivia Ross, Accounting Manager
 Sentiment: Favors Adaptive
 Use Case: Planning &amp; Budgeting
 Objectives/Challenges:
 Additional Notes:
 Primary: 
 SE 3/31/21: Limited use case to budgeting, no forecasting or reporting in Adaptive. Team prefers excel. Michael O leading evaluation of bundle conversion. Churn risk high. Moving to RED.
 SE 3/23/21: Intro call scheduled 3/30
 4/20/20 JC - Reached out numerous times for check in with no response. Active logins to date but not utilizing a lot of their licenses.
 9.3.19 CC In discussions with customer
 8/7/19 V.H 1 yr w/ 18% uplift</t>
  </si>
  <si>
    <t>{Name=CGB Enterprises, Inc., attributes={url=/services/data/v62.0/sobjects/Account/0018000001EfgHnAAJ, type=Account}, Industry=Consumer Goods, PS_Region_New__c=US Medium Enterprise DI}</t>
  </si>
  <si>
    <t>{attributes={url=/services/data/v62.0/sobjects/Account/0011B00002AkCOoQAN, type=Account}, SubRegion__c=US Healthcare LE NN Central, PS_Region_New__c=US Healthcare, Industry=Post Acute, Name=Monarch Healthcare Management LLC, PS_Sub_Region__c=Healthcare LE}</t>
  </si>
  <si>
    <t>2026-09-21T23:50:11.000+0000</t>
  </si>
  <si>
    <t>a3A4X000002JcdUUAS</t>
  </si>
  <si>
    <t>017VT0000CgglkDYQQ</t>
  </si>
  <si>
    <t>0011B00002CXWgeQAH</t>
  </si>
  <si>
    <t>a0rVT00001BfQcPYAV</t>
  </si>
  <si>
    <t>American Specialty Health Incorporated</t>
  </si>
  <si>
    <t>{Name=Skipton Building Society, attributes={url=/services/data/v62.0/sobjects/Account/0018000000ULAx1AAH, type=Account}, Industry=Banking &amp; Capital Markets, PS_Region_New__c=UKI}</t>
  </si>
  <si>
    <t>20th May 2021 RN: News article has published that Pindan Group have gone into administration. https://www.abc.net.au/news/2021-05-18/construction-group-pindan-in-external-administration/100147920 am checking with Finance to ensure they make payment on their 2021 renewal.
 Mar 21 2019 - in a healthy state. Amazing time and staff resource savings. Very happy with the solution and the and successful implementation, partner. 
 Joanne shared her use case with the audience today during our roadshow. Was part of the customer panel speaking spot.
 17-Apr-18 MN Spoke with Sam F. Going well. Resourcing in finance has been a challenge this year. They have been pulled in many directions and feel overwhelmed. GGleeson also in close contact with Pindan. May be able to join us for future roadshow.</t>
  </si>
  <si>
    <t>Internal</t>
  </si>
  <si>
    <t>a0pVT00000Cq5SwYAJ</t>
  </si>
  <si>
    <t>a0rVT00001DWiE2YAL</t>
  </si>
  <si>
    <t>2026-04-17T14:51:37.000+0000</t>
  </si>
  <si>
    <t>a3A4X000002JcdhUAC</t>
  </si>
  <si>
    <t>00180000011Utt1AAC</t>
  </si>
  <si>
    <t>0011B00002HkFgwQAF</t>
  </si>
  <si>
    <t>017VT0000E2KdhNYQS</t>
  </si>
  <si>
    <t>{SubRegion__c=US Healthcare LE CB West, PS_Sub_Region__c=Healthcare LE, Industry=Acute Hospital / Health System, attributes={type=Account, url=/services/data/v62.0/sobjects/Account/00180000011Utt1AAC}, PS_Region_New__c=US Healthcare, Name=Rady Children's Health}</t>
  </si>
  <si>
    <t>Karishma Prajapati</t>
  </si>
  <si>
    <t>5/11/21 PM- Patrick Intro'd. Customer has been unresponsive to emails for over 2 months now.
 10.7.20 CC Customer is actively and productively using Adaptive.</t>
  </si>
  <si>
    <t>{Name=Skipton Building Society, PS_Region_New__c=UKI, Industry=Banking &amp; Capital Markets, attributes={url=/services/data/v62.0/sobjects/Account/0018000000ULAx1AAH, type=Account}}</t>
  </si>
  <si>
    <t>Project is delayed as customer HCM is still in progress</t>
  </si>
  <si>
    <t>a3A4X000002JcdpUAC</t>
  </si>
  <si>
    <t>2026-06-12T19:17:47.000+0000</t>
  </si>
  <si>
    <t>0011B00002HkFbXQAV</t>
  </si>
  <si>
    <t>a0rVT00001DX9R7YAL</t>
  </si>
  <si>
    <t>017VT0000GYzfImYQJ</t>
  </si>
  <si>
    <t>Mar 2021: 3/10 transitioned to Lauren.
 9/29/20: Conversation declining chnages to their 3-yr. Dan will go back to his team but this most likely is going to Account/Collections. Notified Frank Larson.
 9/14/20: Customer pauses Active Cyber/implementation discussions. Dan says they would like to explore getting out of their 3-yr contract.
 Early Sept 2020: Scoping with Active Cyber
 8/20/20: Software demo with Derek. May go to Active Cyber or BSP for implementation scoping next. Customer chose Active Cyber to scope with. Also interested in learning about adding Integration. Bringing in Jack Boucher.
 8/14/20: Partner team doesn't have a connection to a partner here. Time to start from scratch. Software demo set for 8/20. Moving to Red as they are not yet implemented although we are working through a plan at the moment. Can this go back to sales (QBR-Sean)?
 8/12/20: Intro call with Dan Crangle. Promising, moving to demo with Enablement, trying to locate who their partner was. 
 Aug 2020 update: Trying Jorge next, both Daniels haven't responded. Sydney Knauer (CSD) to help connect.
 4/20/20: Amanda NLWC. Need to locate the new contact here.Trying Daniel Wendt and Daniel Crangle. 
 8/26/19: Chacon -New customer, Amanda is primary.</t>
  </si>
  <si>
    <t>{attributes={url=/services/data/v62.0/sobjects/Account/0018000000ULAx1AAH, type=Account}, Name=Skipton Building Society, PS_Region_New__c=UKI, Industry=Banking &amp; Capital Markets}</t>
  </si>
  <si>
    <t>a0pVT00000CpsIpYAJ</t>
  </si>
  <si>
    <t>a0rVT00001DWjN0YAL</t>
  </si>
  <si>
    <t>American Water Works Company Inc</t>
  </si>
  <si>
    <t>2026-09-16T20:28:02.000+0000</t>
  </si>
  <si>
    <t>0014X00002dSyQtQAK</t>
  </si>
  <si>
    <t>a3A4X000002JcdtUAC</t>
  </si>
  <si>
    <t>017VT0000CgVzB7YQK</t>
  </si>
  <si>
    <t>US DI LE NN MFG East</t>
  </si>
  <si>
    <t>0018000001dGAOpAAO</t>
  </si>
  <si>
    <t>{SubRegion__c=US DI Commercial NN TOLA, Industry=Lodging &amp; Resorts, Name=Vai Resort, PS_Sub_Region__c=ME Commercial West, attributes={type=Account, url=/services/data/v62.0/sobjects/Account/0014X00002dSyQtQAK}, PS_Region_New__c=US Medium Enterprise DI}</t>
  </si>
  <si>
    <t>Main POC: Mark Jewell, Sr FP&amp;A Manager
 Sentiment:
 Use Case:
 Objectives/Challenges:
 9/23/20 JC - Getting acquired by Ahead who is also an Adaptive customer. They will still renew for a full 12 months.
 3/20/20 JC - Steven intro'd Jack and I. I responded asking to connect.
 sf - customer renewed on 2 year contract.</t>
  </si>
  <si>
    <t>{PS_Region_New__c=US Large Enterprise DI &amp; Mexico, attributes={url=/services/data/v62.0/sobjects/Account/0013000000IIIfiAAH, type=Account}, Industry=Softlines, Name=Levi Strauss &amp; Co.}</t>
  </si>
  <si>
    <t>a3A4X000002JcdzUAC</t>
  </si>
  <si>
    <t>2026-04-17T13:48:18.000+0000</t>
  </si>
  <si>
    <t>0018000001WMGb0AAH</t>
  </si>
  <si>
    <t>017VT0000GF6BQnYQN</t>
  </si>
  <si>
    <t>a0rVT00001DX9e1YAD</t>
  </si>
  <si>
    <t>9/27/21: James (CFO) asks to cancel subscription. Melinda Mauga (AR) brought in for outstanding invoice.
 Sept 2021: Lui asks to downgrade from the bundle we just upgraded to. Says they won't be using all the functionality and feels like they are wasting money on it this year. I politely decline his request and ask how I can help them use the full functionality. Moving to Yellow for now. 9/15 Lui asks again. Citing financial issues, training needed, lack of use over the next year. Offered a phone call to discuss further, declined his request again, will speak to WD leadership next. 9/15 James chimes in and says they will need to cancel if we can't reduce their cost.
 Key players: Lui, Krishna, James (CFO)
 Aug 2021: Check-in with Lui for a status update. Lui and Krishna are contacts here.
 June 2021: Customer moving forward with bundle at renewal. Lui is new main contact. 
 May 2021: transitioned to Chacon. 5/17 Partner intro call. 
 Saint Dominic's Family Services is a nonprofit human services agency founded by the Dominican Sisters of Blauvelt in 1878. We provide foster care and prevention, developmental disabilities, community-based mental health, therapeutic education, and preschool services to over 2,000 children, adults and families.</t>
  </si>
  <si>
    <t>{Name=Levi Strauss &amp; Co., attributes={type=Account, url=/services/data/v62.0/sobjects/Account/0013000000IIIfiAAH}, PS_Region_New__c=US Large Enterprise DI &amp; Mexico, Industry=Softlines}</t>
  </si>
  <si>
    <t>Americold Logistics, LLC</t>
  </si>
  <si>
    <t>a0pVT00000CpwJDYAZ</t>
  </si>
  <si>
    <t>a3A4X000002Jce7UAC</t>
  </si>
  <si>
    <t>2026-09-04T19:29:19.000+0000</t>
  </si>
  <si>
    <t>005VT00000JuvzyYAB</t>
  </si>
  <si>
    <t>0018000001AEEeQAAX</t>
  </si>
  <si>
    <t>017VT0000CgezwsYQA</t>
  </si>
  <si>
    <t>{Industry=Lodging &amp; Resorts, Name=Vai Resort, PS_Region_New__c=US Medium Enterprise DI, attributes={type=Account, url=/services/data/v62.0/sobjects/Account/0014X00002dSyQtQAK}, SubRegion__c=US DI Commercial NN TOLA, PS_Sub_Region__c=ME Commercial West}</t>
  </si>
  <si>
    <t>Main POC: Jeff Fitzgerald, Financial Analyst &amp; Patrick Whippo, Sr Director FP&amp;A
 Sentiment: Happy w/Adaptive overall
 Use Case: Budgeting, forecasting &amp; reporting
 Objectives/Challenges: Signed contract w/Oracle to implement ERP &amp; EPM, no opp to re-evaluate Adaptive.
 Additional Notes:
 SE 1/19/21: New Finance Director Patrick Whippo on board who will own Adaptive. Working w/Jeff to arrange intro call.
 SE 6/26/20: CE session to discuss reporting on new entity structure. 3 new entities. Big goals for Adaptive.
 SE 4/28/20: Working on introducing WDAY AE to Sikich for ERP evaluation
 SE 2/19/20: Team is interested in rebuilding their model to align with new ERP. Introduced PO to lead discussions
 SE 6/20/19: Reached out to re-connect since last convo and to meet new FP&amp;A director
 SE 8/2/18: Dealing with some recent turnovers, lost a lot of staff. John has new FP&amp;A director coming on in Mid August. Wants to work with CDT to expand footprint.</t>
  </si>
  <si>
    <t>{Industry=Land and Rail Transportation and Freight, attributes={url=/services/data/v62.0/sobjects/Account/0014X00002dTOKLQA4, type=Account}, PS_Region_New__c=US Medium Enterprise DI, Name=RBW Logistics}</t>
  </si>
  <si>
    <t>a3A4X000002JceCUAS</t>
  </si>
  <si>
    <t>2026-04-17T14:39:06.000+0000</t>
  </si>
  <si>
    <t>0018000000VIkPEAA1</t>
  </si>
  <si>
    <t>017VT0000GBDxHtYQL</t>
  </si>
  <si>
    <t>4/1 Heard back from Ann and they will not be using therefor not renewing. Still no reasons given but will keep checking in in case things should change.
 Solaria has a whole new finance team and I was finally able to connect with the Controller (Ann Argente) because of request to cancel. Unaware that a 3 year agreement was signed the request is to get out of contract because they have NS and no need for other software but I may have a slight glimmer of hope since they will have until 2023.
 Offered up demo to show how we work with NS and what more we can do beside budgeting. She was going to take this back to new CFO (Wayne Hilty). We will reconnect next week.</t>
  </si>
  <si>
    <t>a0rVT00001DWs5LYAT</t>
  </si>
  <si>
    <t>{PS_Region_New__c=US Medium Enterprise DI, attributes={type=Account, url=/services/data/v62.0/sobjects/Account/0014X00002dTOKLQA4}, Industry=Land and Rail Transportation and Freight, Name=RBW Logistics}</t>
  </si>
  <si>
    <t>a3A4X000002JceYUAS</t>
  </si>
  <si>
    <t>a0pVT00000Cq2oQYAR</t>
  </si>
  <si>
    <t>Amgen Inc.</t>
  </si>
  <si>
    <t>2026-09-02T19:24:32.000+0000</t>
  </si>
  <si>
    <t>0011B00002CXUIUQA5</t>
  </si>
  <si>
    <t>0054X00000DvljxQAB</t>
  </si>
  <si>
    <t>{Industry=Lodging &amp; Resorts, PS_Sub_Region__c=ME Commercial West, Name=Vai Resort, SubRegion__c=US DI Commercial NN TOLA, attributes={type=Account, url=/services/data/v62.0/sobjects/Account/0014X00002dSyQtQAK}, PS_Region_New__c=US Medium Enterprise DI}</t>
  </si>
  <si>
    <t>017VT0000CggXDbYQM</t>
  </si>
  <si>
    <t>Main POC: Linda Cavanaugh - CFO
 Sentiment: Unknown. Haven't met w/customer.
 Use Case:
 Objectives/Challenges: No logins since 4/28/21
 Additional Notes: Previous notes suggest customer has not finished implementation. Working to meet with internal PS team to get info on implementation project
 8/6/20: KW
 Main POC: Linda Cavanaugh - CFO
 Sentiment: Struggles with limited resources but see lots of value in the solution 
 Use Case: Mostly reporting / Budgeting / Forecasting / Personnel
 Challenges/Objectives: Now that they've hired a new controller and analyst - training for them is next.
 Additional Notes: Sometimes hard to receive a timely response from Linda - she's always very busy. Implemented with Frank Rimmerman.</t>
  </si>
  <si>
    <t>a3A4X000002JceeUAC</t>
  </si>
  <si>
    <t>{PS_Region_New__c=US Large Enterprise DI &amp; Mexico, Name=Starr Restaurant Organization, LP., attributes={type=Account, url=/services/data/v62.0/sobjects/Account/0014X00002KjXj9QAF}, Industry=Restaurant &amp; Food Service}</t>
  </si>
  <si>
    <t>0018000001KdVciAAF</t>
  </si>
  <si>
    <t>2026-04-17T15:14:50.000+0000</t>
  </si>
  <si>
    <t>017VT0000FKfXA7YQN</t>
  </si>
  <si>
    <t>a0pVT00000CpsvWYAR</t>
  </si>
  <si>
    <t>Aug 2021: Luke Jones (CFO) gives written notice they are moving away from Adaptive and won't continue implementation with RSM. 8/2 Asks us to eliminate their 3rd installment, declined. Luke then loops in his Legal contact but has been MIA since (8/26). 
 May 2021: Luke informs RSM they want to cancel their project. Notified Frank Larson in AR as a 3rd installment is coming due soon.
 Mar 2021: 3/23 transitioned to Chacon. Luke not happy, long implementation and not seeing any value. Luke, Brian, Jonathan.
 Bought 8/1/2019
 HC - No 
 Journey - No 
 3Mth % Seat Usage - 9% - 8 out of 35 
 (a) Current Customer sentiment and state of the account. What?s the general use case of the product for the customer?
 Delayed implementation due to projects already working in company. 
 They have started and slowly beginning to do the implementation. 
 (b) Key Contacts/Personalities (who signs the contracts, who is the power user) What?s the highest level contact. 
 JB - VPoF
 Brian Mier - Director, Manager FP&amp;A
 Luke Jones - CFO
 (c) Challenges and Opportunities 
 Still working on implementation
 (d) Ongoing themes
 Short on resources 
 (e) Your high level strategy/plan to continue engaging with the account. (How will you show the customer value in our products/services). 
 James Meyer (AP) connected with Luke (CFO) today. Adaptive not started yet, but it is on E2E and not RSM/Adaptive. They are migrating subsidiaries to JD Edwards and then a version upgrade. Adaptive will come after. Hoping for Q3 go live to begin budgeting in Q4 for 2021. Any definite time lines?
 updated contacts</t>
  </si>
  <si>
    <t>{Industry=Software &amp; Platforms, Name=Diligent Corporation, attributes={url=/services/data/v62.0/sobjects/Account/0018000001ORvkzAAD, type=Account}, PS_Region_New__c=US Medium Enterprise DI}</t>
  </si>
  <si>
    <t>a3A4X000002JcetUAC</t>
  </si>
  <si>
    <t>{attributes={url=/services/data/v62.0/sobjects/Account/0014X00002dSyQtQAK, type=Account}, Name=Vai Resort, PS_Region_New__c=US Medium Enterprise DI, SubRegion__c=US DI Commercial NN TOLA, Industry=Lodging &amp; Resorts, PS_Sub_Region__c=ME Commercial West}</t>
  </si>
  <si>
    <t>2026-07-29T15:49:29.000+0000</t>
  </si>
  <si>
    <t>0011B00002CXTv1QAH</t>
  </si>
  <si>
    <t>Amica Mutual Insurance Company</t>
  </si>
  <si>
    <t>005VT00000Jv1NqYAJ</t>
  </si>
  <si>
    <t>017VT0000FVdMEMYQ3</t>
  </si>
  <si>
    <t>Main POC: Steve Kraus, VP FP&amp;A
 Sentiment: Positive
 Use Case:
 Objectives/Challenges: Moving to Yellow. Customer renewed. Working w/new VP FPA to train on model and get ramped on Adaptive. He does have previous Adaptive experience working in previous role as a consultant
 Additional Notes:
 SE 4/20/21: High level intro via PeteO who is working on bundled conversion. Working w/Brian &amp; Bineta to schedule follow up intro and account discussion for Mid May
 4/9/20 JC - Peter Owen working with Brian to increase usage. They're not even importing actuals. Trying to get them to be more sticky.
 sf - customer renewed. Model assessment completed fall of 2018.</t>
  </si>
  <si>
    <t>{Industry=Software &amp; Platforms, PS_Region_New__c=US Medium Enterprise DI, attributes={type=Account, url=/services/data/v62.0/sobjects/Account/0018000001ORvkzAAD}, Name=Diligent Corporation}</t>
  </si>
  <si>
    <t>a3A4X000002JcfGUAS</t>
  </si>
  <si>
    <t>0011B00002CXUqHQAX</t>
  </si>
  <si>
    <t>2026-08-06T13:51:51.000+0000</t>
  </si>
  <si>
    <t>Job List Career Site</t>
  </si>
  <si>
    <t>a0pVT00000Cq3e2YAB</t>
  </si>
  <si>
    <t>017VT0000GAwGZiYQN</t>
  </si>
  <si>
    <t>1.11.21 - YE - Updated Exec Sponsor info.
 11.3.20 - YE - I have reached out to Bob and Brett to see how things are going. Waiting to hear back.
 9.18.20 - YE - Reached out to Bob to check-in. 
 KL 3/18/20: Intro'd Sarah and Youssef to Bob. Sent them the teams contracts as well.
 KL 3/16/20: Spoke with Sarah and Youssef at Intuitive TEK. Will intro them once amendment is signed.
 KL 3/13/20: Sent Brett Hale CFO an amendment as order form had conflicting language on payment terms paid upfront
 KL 1/14/20: **Will move to Toni for partner managed accounts after renewal**
 - Spoke with Bob today. He said they had a great experience with IntuitiveTek and wrapped up implementation after 3months. They are still working to transition their model completely over as they are maintaining and updating it at this time. They have the expense side captured yet still working on revenue 
 - Explained customer journey and he seemed interested 
 - They planned to bring more folks on adaptive initially but have had a reduction in the company. Still have team members they want to roll the platform out to. Will send over resources guidelines and offered Customer Enablement walk through when the time comes
 KL 12/30/19:
 Main POCs:
 Brett Hale (CFO)
 Robert (Bob) Forde (Controller)
 SC - 10.30 - Implementation was about 3-months. Checking in to get feedback</t>
  </si>
  <si>
    <t>Dhaval Rana</t>
  </si>
  <si>
    <t>a3A4X000002JcfIUAS</t>
  </si>
  <si>
    <t>{PS_Region_New__c=US Medium Enterprise DI, attributes={type=Account, url=/services/data/v62.0/sobjects/Account/0018000001ORvkzAAD}, Industry=Software &amp; Platforms, Name=Diligent Corporation}</t>
  </si>
  <si>
    <t>{Name=Vai Resort, SubRegion__c=US DI Commercial NN TOLA, PS_Sub_Region__c=ME Commercial West, Industry=Lodging &amp; Resorts, attributes={url=/services/data/v62.0/sobjects/Account/0014X00002dSyQtQAK, type=Account}, PS_Region_New__c=US Medium Enterprise DI}</t>
  </si>
  <si>
    <t>0018000001WMGsmAAH</t>
  </si>
  <si>
    <t>2026-09-02T16:01:54.000+0000</t>
  </si>
  <si>
    <t>a0rVT00001DWs71YAD</t>
  </si>
  <si>
    <t>Aug 2021: Check-in on Phil for an update.
 Apr 2021: Customer is happy, beer distributor, 90% of business is in their top 10 brand families (ex: Miller Lite). They like to keep things simple, Power BI used only Intacct integrated. No plans to roll out to other users. 4 using of 10-30 purchased. Turning to Yellow, although happy, usage not great and may lose product at next renewal.
 Mar 2021: Transitioned to Chacon
 Key Personalities
 Day to Day - PHIL Rolf - Controller 
 Top level - Stuart Shapiro - VP Finance
 Current Challenges &amp; Opportunities
 They use a warehouse and create reports there. 
 Budgeting
 Ongoing Themes &amp; Risks
 They dont need a HCM system ... 
 GL ? Intacct 
 ERP ? Payroll and HR-Dayforce
 Financials ? Intacct &amp; Power BI
 Philip signed for 3 yrs. 
 Hank met with Stu &amp; Phil. - moved from Cognos to AI..for ease of use, independent on IT. They don't use reporting; they use a sequel script for reporting to a data warehouse. 
 They send AI data to warehouse / Financials pull info into Intacct. PNL is out of data warehouse not AI. Main choice was to have instantaneous changes / real time changes / users friendly / independence from IT
 10.4 request from Hank to speak to Stu on Beverage Campaign. - asked to schedule a C/I 
 They do Expense Planning; 
 Personnel Planning
 Sales Planning
 Revenue Planning
 Rolling Forecasts
 Only 4 users accessing the system.
 contacts updated</t>
  </si>
  <si>
    <t>AMLI Management Company</t>
  </si>
  <si>
    <t>017VT0000CgYhKkYQK</t>
  </si>
  <si>
    <t>a3A4X000002JcgBUAS</t>
  </si>
  <si>
    <t>0011B00002CXTjZQAX</t>
  </si>
  <si>
    <t>Jobs</t>
  </si>
  <si>
    <t>01-Jan-20 Fin conditions and C19.
 23-Dec-20 MN contacted Stephen regarding vacation support.
 16-Mar-20 MN working with Stephen to find more ways they can utilise AdIn. They've rolled back planning/ budget functions to finance.
 10-Jun-19 MN. Stephen wants to ensure they are getting the most out of Adaptive. Suggested taking advantage of Customer Journey.
 Added NS Basic to subsc.</t>
  </si>
  <si>
    <t>{PS_Region_New__c=US Medium Enterprise DI, Name=Patagonia Works, attributes={type=Account, url=/services/data/v62.0/sobjects/Account/0013000000KLQrJAAX}, Industry=Softlines}</t>
  </si>
  <si>
    <t>a0pVT00000Cq4v4YAB</t>
  </si>
  <si>
    <t>a0rVT00001DWjN1YAL</t>
  </si>
  <si>
    <t>a3A4X000002JchqUAC</t>
  </si>
  <si>
    <t>2026-04-17T14:09:27.000+0000</t>
  </si>
  <si>
    <t>00180000015haKhAAI</t>
  </si>
  <si>
    <t>0018000000M5hCBAAZ</t>
  </si>
  <si>
    <t>017VT0000GgX57WYQS</t>
  </si>
  <si>
    <t>{PS_Region_New__c=US Medium Enterprise DI, Industry=Consumer Goods, attributes={type=Account, url=/services/data/v62.0/sobjects/Account/0018000000M5hCBAAZ}, Name=Dunham's Sports, SubRegion__c=US DI ME NN MFG Midwest, PS_Sub_Region__c=ME NN MFG}</t>
  </si>
  <si>
    <t>July 2021: Allison is primary, Dermot is CFO and DM'er. Using more Excel than Adaptive but some things done in Adaptive. Low on bandwidth and staff so they don't have time to explore the possibilities in Adaptive. They are happy for what they use it for now but I can see some seats being lost at renewal time. Will need to find a way to get them more into the system.
 June 2021: No response from Patrick. Looks like he is NLWC. Allison is new primary. 2 folks accessing of 9 purchased. 
 Mar 2021: transitioned to Chacon.
 1/5/21 SP - Reached out to Patrick requesting checkin call
 6/23/20 SP - Reached out to Patrick requesting checkin call
 3/10/20 SP - Reached out to Patrick to introduce myself and start renewal process.</t>
  </si>
  <si>
    <t>2021-10-09T08:13:56.000+0000</t>
  </si>
  <si>
    <t>a3A4X000002JchrUAC</t>
  </si>
  <si>
    <t>{Industry=Softlines, attributes={url=/services/data/v62.0/sobjects/Account/0013000000KLQrJAAX, type=Account}, PS_Region_New__c=US Medium Enterprise DI, Name=Patagonia Works}</t>
  </si>
  <si>
    <t>a0rVT00001DXA2DYAX</t>
  </si>
  <si>
    <t>Andersen Corporation</t>
  </si>
  <si>
    <t>0018000001J1vnQAAR</t>
  </si>
  <si>
    <t>2026-09-21T15:51:05.000+0000</t>
  </si>
  <si>
    <t>005VT00000EbN44YAF</t>
  </si>
  <si>
    <t>017VT0000EhAcOtYQK</t>
  </si>
  <si>
    <t>Main POC: Greg Osborne, Director of Accounting &amp; Jason Todd, Director FP&amp;A
 Sentiment: Greg not easy to read or work with. Jason seems to enjoy Adaptive
 Use Case:
 Objectives/Challenges:
 Additional Notes: Bill Mead NLWC
 SE 11/17/20: Reached out to schedule account discussion
 SE 3/31/20: Customer has verbally committed to renewing and is currently working on approval to sign
 SE 3/4/20: Sarah NLWC, spoke w/Greg Osbourn who said they will be renewing 1x more year before transitioning to Dynamics 365 for budgeting
 SE 2/20/19:-Happy trooper, very satisfied, really likes the comparisons versions
 -Plans to widen
 -UK office, office in vietnam
 -Recently purchase by equity firm (solace management(CA))
 New admin but has been using AI for a bit so knows a little on actuals piecce. Wants to learn more on budgeting &amp; Projections.</t>
  </si>
  <si>
    <t>a3A4X000002JchuUAC</t>
  </si>
  <si>
    <t>a0pVT00000Cq3FsYAJ</t>
  </si>
  <si>
    <t>{PS_Region_New__c=US Medium Enterprise DI, attributes={url=/services/data/v62.0/sobjects/Account/001800000171dO7AAI, type=Account}, Name=CLEAResult Consulting Inc., Industry=Professional Services}</t>
  </si>
  <si>
    <t>a0rVT00001DWkCgYAL</t>
  </si>
  <si>
    <t>0018000000MWKA7AAP</t>
  </si>
  <si>
    <t>2026-07-07T16:41:30.000+0000</t>
  </si>
  <si>
    <t>Adaptive paper ? User-based licensing - Legacy
 Sentiment: Positive engagement but concerns about churn from management level at parent company. 
 Use Case: OPEX, CAPEX, Personnel, Revenue and have yearly rolling forecast. Office Connect ? use for management reports.
 Challenges/Risk: Biggest challenge is parent company, Philips. They have a proprietary solution for budgeting/forecasting and there is pressure to eventually move onto it. Working to get engaged with Philips to showcase the Adaptive solution. Met hard resistance to a multi-year renewal proposal even with big price concession for multi-year. Significant churn risk from corporate level pressure. Danillo (head of finance) just left and Rene is about to leave (June 2021). They were both major advocates. 
 Projects: Ronnie is interested in using our PS to update the level structure within their COA. This would also include updates to calculations, models and reporting. Holding off for now as other projects have taken precedence.
 Referenceable: Yes, Ronnie or Rene</t>
  </si>
  <si>
    <t>0013000000KzsNAAAZ</t>
  </si>
  <si>
    <t>{PS_Sub_Region__c=Diversified Industries LE CB TM &amp; PS, SubRegion__c=US DI LE CB TM &amp; PS Southwest, Name=Viasat, Inc., Industry=Telecom, PS_Region_New__c=US Large Enterprise DI &amp; Mexico, attributes={url=/services/data/v62.0/sobjects/Account/0013000000KzsNAAAZ, type=Account}}</t>
  </si>
  <si>
    <t>017VT0000Fp87XaYQI</t>
  </si>
  <si>
    <t>a3A4X000002Jci8UAC</t>
  </si>
  <si>
    <t>0018000001a3NB9AAM</t>
  </si>
  <si>
    <t>18-Jan-21 MN Implementation underway. Issues accessing training content. Flagged by partner 18-Jan-20</t>
  </si>
  <si>
    <t>{Name=CLEAResult Consulting Inc., Industry=Professional Services, PS_Region_New__c=US Medium Enterprise DI, attributes={url=/services/data/v62.0/sobjects/Account/001800000171dO7AAI, type=Account}}</t>
  </si>
  <si>
    <t>a3A4X000002JciKUAS</t>
  </si>
  <si>
    <t>0018000001KADOZAA5</t>
  </si>
  <si>
    <t>2026-08-19T18:45:58.000+0000</t>
  </si>
  <si>
    <t>Main POC: Kate Shibilski, CFO(Primary)
 Sentiment: Positive overall, pains with manual integration
 Use Case: Reporting and forecasting
 Objectives/Challenges: Converted to bundle, setup CE call 7/27 to demo OC/best practices w/team. Will explore integration once new ERP is chosen.
 Additional Notes: Last NFL customer, others all lost to Vena. Kate is interested in participating in Women's in Finance Events and working w/customer marketing. Moving to Yellow, as they are beginning to evaluation new ERPs. Syncing w/WD reps to discuss further. Update 7/27, Kate met w/Scott Morris to discuss WD, we were 2x price of GP upgrade &amp; NS. Update 9/29, met to clear air against oracle fud, discuss customers who left and returned due to failed implementations, proposed reference calls. 
 SE 2/11/21: Reached out to schedule account discussion
 SE 4/27/20: Team continues to use Adaptive mostly for reporting, now doing scenarios for COVID, would like to expand use of dashboards and add Integration when time is right. Not there yet.
 SE 12/13/19: Looped in MN for integration discussion
 SE 4/26/19: Happy customer, using heavily for reporting, no budget or forecasting done in Adaptive, team utilizing training and find it helpful.
 Interested in exploring AOC &amp; Integration late summer '19</t>
  </si>
  <si>
    <t>017VT0000Cgb4aTYQQ</t>
  </si>
  <si>
    <t>a0pVT00000Cq20QYAR</t>
  </si>
  <si>
    <t>a3A4X000002JcigUAC</t>
  </si>
  <si>
    <t>0011B00002CXWt4QAH</t>
  </si>
  <si>
    <t>{attributes={type=Account, url=/services/data/v62.0/sobjects/Account/0018000000x0XTDAA2}, Name=SailPoint Technologies, Inc., PS_Region_New__c=US Medium Enterprise DI, Industry=Software &amp; Platforms}</t>
  </si>
  <si>
    <t>{attributes={url=/services/data/v62.0/sobjects/Account/0013000000KzsNAAAZ, type=Account}, PS_Region_New__c=US Large Enterprise DI &amp; Mexico, Name=Viasat, Inc., PS_Sub_Region__c=Diversified Industries LE CB TM &amp; PS, Industry=Telecom, SubRegion__c=US DI LE CB TM &amp; PS Southwest}</t>
  </si>
  <si>
    <t>Key ppl: Travis Huckaba
 Sentiment: Yellow
 Use: BS and CF projects, strategic what if, not long term planning, rolling forecasts. Not currently doing much decentralization. Customer is firmly at the start of phase2. Demand forecasting, revenue planning done in SFDC. Personnel sheets in Adaptive, PnL, balance sheet underway. Reports come out of NS. NS integration appears to be working fine. Interested in understanding distribution of financial statements, office connect, and decentralizing the process with analysis seats.
 Strategy: Work with customer to highlight AOC and further decentralization.</t>
  </si>
  <si>
    <t>a3A4X000002JcimUAC</t>
  </si>
  <si>
    <t>2026-04-17T14:47:32.000+0000</t>
  </si>
  <si>
    <t>0011B00002CXXTCQA5</t>
  </si>
  <si>
    <t>017VT0000GVWUyCYQX</t>
  </si>
  <si>
    <t>Conducted a New Admin Training w/ Alex in Feb/March but he didn't join the quarterly check-in call in April. Teresa is no longer with the org. 04/28/2021 - WH
 Scheduled a next steps call w/ the new finance team to evolve their usage of Adaptive. 1/12/2021 - WH
 They downsized the company, including JB. Big projects put on-hold. Anna is still using Adaptive but not for everything. 06/16/2020 - WH
 We have a new director of FP&amp;A, Teresa Asma. They're currently working on their annual budget. 10/10/19 - WH
 Leon left the organization. Anna is the new main POC. 9/26/19 - WH
 Requested an alignment call w/ Leon &amp; Anna. - 9/16/19 - WH
 Amanda and I are trying to set up a check-in call. 6/19/19 - WH
 Implementation:
 - Go-live date at the end of February. 
 - Working w/ intuitive tech. 
 - Started work last week.
 - Part of the scope is moving data from Netsuite into Adaptive
 Goals:
 - Move everything off of excel and into Adaptive (ex. Revenue forecasting, statement model, key stakeholders, marketing spend, hosting costs, etc.)</t>
  </si>
  <si>
    <t>a3A4X000002JciqUAC</t>
  </si>
  <si>
    <t>{attributes={url=/services/data/v62.0/sobjects/Account/0018000001Rm2slAAB, type=Account}, Name=Darktrace Holdings Limited, Industry=Software &amp; Platforms, PS_Region_New__c=UKI}</t>
  </si>
  <si>
    <t>0018000000VIkSrAAL</t>
  </si>
  <si>
    <t>2026-09-15T14:44:27.000+0000</t>
  </si>
  <si>
    <t>0054X00000EnFglQAF</t>
  </si>
  <si>
    <t>a0pVT00000CpzXCYAZ</t>
  </si>
  <si>
    <t>a0rVT00001DWmIVYA1</t>
  </si>
  <si>
    <t>017VT0000GWGjlVYQT</t>
  </si>
  <si>
    <t>2021.02.01 JM ~ Matt reached out with, "Can you please send over a renewal quote for the Silver Peak Adaptive instance? It?s possible the Silver Peak will continue to use Adaptive for the next year, so we?d like to review a renewal quote and go from there." Intro'd Steve Giusti as our primary contact going forward as this Wednesday is his last day with Silver Peak/HPE. Sent one-year renewal quote for review. Still forecasting as churn until commit is received.
 2020.10.13 JM ~ Check-in call with Matt. They are migrating to HPE?s systems - ?Planet? for planning. Does not intend to renew with Adaptive but will come back if he finds himself in a position where he makes the decisions. Forecasting churn.
 2020.09.19 JM ~ "July 13 ? Hewlett Packard Enterprise (NYSE:HPE) today announced that it has entered into a definitive agreement to acquire Silver Peak, an SD-WAN (Software-Defined Wide Area Network) leader, in a transaction valued at $925 million. Silver Peak will be combined with HPE?s Aruba business unit and will extend Aruba?s technology leadership in the large and fast-growing SD-WAN space."
 https://www.silver-peak.com/hpe-silverpeak-acquisition
 * Both HPE and Aruba Networks are Workday customers; HPE appears to be Adaptive customer as well. Internal research around this forthcoming. 
 2020.09.08 JM ~ Amanda and Sydney have call scheduled with Matt Lear this afternoon to check-in on Unlimited integration, Dashboards &amp; Transactions opp open since Jan. 2020.
 2019.10.04 JM ~ DocuSigned SoW &amp; quote for MS Dynamics NAV Integration Migration Project to Matt Lear
 2019.09.26 JM - Adaptive Insights Integration Framework transition discussion w/ Mark Crenwelge
 -Migration projects typically take 4-6 weeks
 -Project costs $6,000, fixed fee
 Details of data coming over:
 -Income Statement
 -Balance sheet accounts
 -No current desire / need for transactional data
 -Looking to do substantial ERP upgrade in next 12 months
 Notes from Shaun Roberts:
 Very happy with us new champ used AI at previous job so he turned things around</t>
  </si>
  <si>
    <t>0011B00002CXUyzQAH</t>
  </si>
  <si>
    <t>a3A4X000002JcisUAC</t>
  </si>
  <si>
    <t>{Name=Capital Lumber Company, attributes={url=/services/data/v62.0/sobjects/Account/0011B00002CXUyzQAH, type=Account}, SubRegion__c=US DI Commercial NN TOLA, Industry=Materials, PS_Sub_Region__c=ME Commercial West, PS_Region_New__c=US Medium Enterprise DI}</t>
  </si>
  <si>
    <t>{Industry=Software &amp; Platforms, attributes={type=Account, url=/services/data/v62.0/sobjects/Account/0018000001Rm2slAAB}, PS_Region_New__c=UKI, Name=Darktrace Holdings Limited}</t>
  </si>
  <si>
    <t>a0rVT00001DXEH7YAP</t>
  </si>
  <si>
    <t>0011B00002HkFdLQAV</t>
  </si>
  <si>
    <t>Anheuser-Busch InBev SA/NV</t>
  </si>
  <si>
    <t>2026-09-15T16:04:11.000+0000</t>
  </si>
  <si>
    <t>0054X00000DSbFZQA1</t>
  </si>
  <si>
    <t>08-Nov-20 MN Progressing with Planning Systems.
 29-Apr-20 MN Customer has been wanting to self-implement (outside of integration and initial setup). I expect that they will ask for assistance in time.</t>
  </si>
  <si>
    <t>017VT0000EP7jmeYQB</t>
  </si>
  <si>
    <t>a3A4X000002JcjNUAS</t>
  </si>
  <si>
    <t>{attributes={url=/services/data/v62.0/sobjects/Account/0018000001Dz67lAAB, type=Account}, Name=Deloitte France FINA, PS_Region_New__c=EMEA South, Industry=Professional Services}</t>
  </si>
  <si>
    <t>0011B00002CXWtOQAX</t>
  </si>
  <si>
    <t>2026-06-26T11:56:56.000+0000</t>
  </si>
  <si>
    <t>6/22- CRC- Customer has decided to renew with Adaptive for 1YR. They're bringing aboard a new hire in August/Sept that we'll need to connect with for a new admin training. Good opportunity for us to prove value and establish a relationship to ensure renewal next year.
 This account is at risk for Adaptive renewal. There is a consultant on the client side that mentioned they were potentially moving off of Adaptive. Rebecca explained that they have greatly simplified the model in Adaptive and she?s working to make it useable for the CFO. She has been importing via spreadsheets and says it only takes her about 5 minutes to do. 
 Sam Kashy and I are trying to get a call set up to figure out if we can save.</t>
  </si>
  <si>
    <t>017VT0000FxhtPaYQI</t>
  </si>
  <si>
    <t>a0pVT00000Cq4BvYAJ</t>
  </si>
  <si>
    <t>a3A4X000002JcjmUAC</t>
  </si>
  <si>
    <t>a0rVT00001DWnJHYA1</t>
  </si>
  <si>
    <t>0011B00002HkFbYQAV</t>
  </si>
  <si>
    <t>{attributes={type=Account, url=/services/data/v62.0/sobjects/Account/0018000001Dz67lAAB}, Industry=Professional Services, Name=Deloitte France FINA, PS_Region_New__c=EMEA South}</t>
  </si>
  <si>
    <t>24-Dec-20 MN shared seasons greetings and seasonal support availability.
 24-Mar-20 Hardship due to COVID-19. Requested pause on subscription until back in office.</t>
  </si>
  <si>
    <t>001VT00000b2u7HYAQ</t>
  </si>
  <si>
    <t>{Name=QSR Pty Limited, Industry=Restaurant &amp; Food Service, PS_Sub_Region__c=ANZ New Zealand, SubRegion__c=null, attributes={url=/services/data/v62.0/sobjects/Account/001VT00000b2u7HYAQ, type=Account}, PS_Region_New__c=ANZ}</t>
  </si>
  <si>
    <t>2026-08-25T12:06:03.000+0000</t>
  </si>
  <si>
    <t>a3A4X000002JgaGUAS</t>
  </si>
  <si>
    <t>0011B00002CXXBIQA5</t>
  </si>
  <si>
    <t>017VT0000GgCtY5YQK</t>
  </si>
  <si>
    <t>Customer being acquired by Verra Mobility. Opening a R&amp;C order of hours to help with changes to model due to this. May be pushed to Vena which is what Verra uses but asking to get in front of Verra leadership to show them Adaptive.</t>
  </si>
  <si>
    <t>2021-11-15T17:28:00.000+0000</t>
  </si>
  <si>
    <t>a3A4X000002JuiJUAS</t>
  </si>
  <si>
    <t>{Name=Deloitte France FINA, attributes={type=Account, url=/services/data/v62.0/sobjects/Account/0018000001Dz67lAAB}, Industry=Professional Services, PS_Region_New__c=EMEA South}</t>
  </si>
  <si>
    <t>0018000001P3OhcAAF</t>
  </si>
  <si>
    <t>Customer is losing only Planning user, company also acquired by IBM and CFO does not want to continue subscription</t>
  </si>
  <si>
    <t>2026-09-21T13:54:29.000+0000</t>
  </si>
  <si>
    <t>2022-03-08T17:07:13.000+0000</t>
  </si>
  <si>
    <t>017VT0000GgHUIPYQ4</t>
  </si>
  <si>
    <t>a3A4X000002K08gUAC</t>
  </si>
  <si>
    <t>a0pVT00000CqBtJYAV</t>
  </si>
  <si>
    <t>0014X00002FBnXhQAL</t>
  </si>
  <si>
    <t>a0rVT00001DWoL6YAL</t>
  </si>
  <si>
    <t>DH Software was acquired by Dedalus, located in Austrailia. Dedalus purchased Workday in May 2021. We've confirmed that they are planning on being live with core HCM by the end of January 2022. They will not be renewing this contract since this population of workers will be on the new Dedalus tenant.</t>
  </si>
  <si>
    <t>{Industry=Professional Services, PS_Region_New__c=EMEA South, Name=Deloitte France FINA, attributes={url=/services/data/v62.0/sobjects/Account/0018000001Dz67lAAB, type=Account}}</t>
  </si>
  <si>
    <t>a0rVT00001DX6ppYAD</t>
  </si>
  <si>
    <t>2022-05-02T19:44:40.000+0000</t>
  </si>
  <si>
    <t>001VT00000b31VKYAY</t>
  </si>
  <si>
    <t>a3A4X000002KC1DUAW</t>
  </si>
  <si>
    <t>Aptive Environmental, LLC</t>
  </si>
  <si>
    <t>{PS_Sub_Region__c=ME Commercial West, SubRegion__c=US DI Commercial NN Central, Industry=Utilities, Name=Eagle River Water and Sanitation District, attributes={type=Account, url=/services/data/v62.0/sobjects/Account/001VT00000b31VKYAY}, PS_Region_New__c=US Medium Enterprise DI}</t>
  </si>
  <si>
    <t>2026-09-21T13:54:42.000+0000</t>
  </si>
  <si>
    <t>0014X00002MBzRmQAL</t>
  </si>
  <si>
    <t>22-Jul-22 JC Customer will not renew and are now using Epicor for their panning requirements. Failed implementation with Partner Fusion5. Fusion 5 only had one consultant working on implementation at the time who was inexperienced with Adaptive. Resero had staff turnover and an overly complicated set up. After 18 months of implementation the customer was extremely dissatisfied and decided not to proceed. Fusion5 had offered a rebuilt of their instance at no charge, however the damage had already been done and they had already made a decision to go in another direction.</t>
  </si>
  <si>
    <t>017VT0000GgIIsrYQG</t>
  </si>
  <si>
    <t>Deployments;Partner Management</t>
  </si>
  <si>
    <t>2022-07-22T03:48:54.000+0000</t>
  </si>
  <si>
    <t>a3A4X000002KEpKUAW</t>
  </si>
  <si>
    <t>0011B00002GMDJyQAP</t>
  </si>
  <si>
    <t>Since the original wellness plan was created things have moved along.
Their planning cycle in 2023 ran well but early in 2024 they encountered an issue with the drill-down functionality meaning that some of their data wasn't pulling correctly. Support have tried to help but keep on coming up against a lack of responsiveness from Masiel, partly to do with vacation.
On a call on June 24th, Masiel stated that they are happy with how the system is working for them with what they have set up, however they know Workday Adaptive Planning is powerful and can do so much more than what they're using it for.
The plan is, once they've resolved their issue with an outstanding SOW with RSM, they will scope out a project to build out their Adaptive Instance and start using it for a lot more purposes.</t>
  </si>
  <si>
    <t>The process by which they add employee hours worked is broken, and they refuse to change the way they do it.  Employees move from one health center to another, so multiple entities are adding hours for them.  They estimate per center but the end estimate can be 5 times the hours they actually worked, so not a a real number.  So their personnel budget is very inflate and needs to be manually adjusted, which is very time consuming.</t>
  </si>
  <si>
    <t>Application Knowledge;Customer Ownership;Deployments;Internal;Partner Management</t>
  </si>
  <si>
    <t>2024-06-25T09:51:30.000+0000</t>
  </si>
  <si>
    <t>{Name=Deloitte France FINA, PS_Region_New__c=EMEA South, Industry=Professional Services, attributes={type=Account, url=/services/data/v62.0/sobjects/Account/0018000001Dz67lAAB}}</t>
  </si>
  <si>
    <t>a3A4X000002KF3gUAG</t>
  </si>
  <si>
    <t>0014X00002OtHSNQA3</t>
  </si>
  <si>
    <t>Contact updates. Marketing fatigue. Blair Johnson</t>
  </si>
  <si>
    <t>a0rVT00001DXCwsYAH</t>
  </si>
  <si>
    <t>2026-09-21T13:55:54.000+0000</t>
  </si>
  <si>
    <t>2022-08-11T02:57:20.000+0000</t>
  </si>
  <si>
    <t>ARAMARK Canada Ltd.</t>
  </si>
  <si>
    <t>017VT0000CghTowYQE</t>
  </si>
  <si>
    <t>a3A4X000002KIVnUAO</t>
  </si>
  <si>
    <t>0011B00002CbrXWQAZ</t>
  </si>
  <si>
    <t>a0pVT00000Cq4wfYAB</t>
  </si>
  <si>
    <t>a0rVT00001DWqesYAD</t>
  </si>
  <si>
    <t>Customer informed us they are moving to NetSuite PBCS.  Plan to renew for another year.  The decision was made above Finance; they had no say in this.  
Now want pricing for lowest number of users.</t>
  </si>
  <si>
    <t>{PS_Region_New__c=US Large Enterprise DI &amp; Mexico, Name=Simpson Manufacturing Co., Inc., attributes={url=/services/data/v62.0/sobjects/Account/0013000000IKCQeAAP, type=Account}, Industry=Hardlines}</t>
  </si>
  <si>
    <t>Chose NetSuite over Workday for new ERP.  May consider NS PBCS as a replacement for Adaptive.  As a non-profit organization that is reliant upon donations, they're very cost-conscious.  NS may offer deep discount or free PBCS.  There will also be costs associated with model changes required as a result of NS implementation, as well as integration work.  
1- Have offered full Planning demo, they declined, saying they know Adaptive's functionality.  Would like to gain commitment for a demo to any stakeholders and possible decision-makers beyond Finance team.
2 - Understand and share key differences between AP and NS PBCS.
Neutral rather than unfavorable because they use Planning extensively and are happy with the functionality, ease of use, etc.</t>
  </si>
  <si>
    <t>0014X00002K4HX1QAN</t>
  </si>
  <si>
    <t>2023-04-26T15:52:59.000+0000</t>
  </si>
  <si>
    <t>2026-04-17T14:55:47.000+0000</t>
  </si>
  <si>
    <t>a3A4X000002KNUBUA4</t>
  </si>
  <si>
    <t>{attributes={url=/services/data/v62.0/sobjects/Account/0014X00002K4HX1QAN, type=Account}, PS_Region_New__c=US Large Enterprise DI &amp; Mexico, Industry=Professional Services, Name=NTT Global Sourcing, Inc., SubRegion__c=US DI LE NN TM &amp; PS West, PS_Sub_Region__c=Diversified Industries LE NN}</t>
  </si>
  <si>
    <t>0018000001F9g4KAAR</t>
  </si>
  <si>
    <t>017VT0000Gs7HUKYQ2</t>
  </si>
  <si>
    <t>Customer is not in a good place. They have been with us for some years, have pieced together and band aided things in their model for quite some time. Now the model is not operating as they need it. 
Customer is tied to Dallas Moody (Aegis - not a WD partner) who formerly was with Carlson/Alight. Dallas would like to  move them to Vena or Pigment but is giving us a chance to save the account. Alight re-intro'd (Josh Ladd) and convos been had. Josh feels we should bring in WD PS to help with a full re-implementation vs. continuing to band aid things for them. Customer feels hill may be too tall to climb, some perceived short comings in software functionality. Going to offer Enablement to review these and determine where they want to go next. Josh Ladd says he feels they may renew in the short term because if they left, it would take time for them to evaluate.</t>
  </si>
  <si>
    <t>2022-11-21T19:21:51.000+0000</t>
  </si>
  <si>
    <t>{Industry=Hardlines, attributes={url=/services/data/v62.0/sobjects/Account/0013000000IKCQeAAP, type=Account}, PS_Region_New__c=US Large Enterprise DI &amp; Mexico, Name=Simpson Manufacturing Co., Inc.}</t>
  </si>
  <si>
    <t>a3A4X000002KUUNUA4</t>
  </si>
  <si>
    <t>0014X00002OsqNAQAZ</t>
  </si>
  <si>
    <t>2026-09-28T22:02:34.000+0000</t>
  </si>
  <si>
    <t>a0rVT00001DX99NYAT</t>
  </si>
  <si>
    <t>Sept 2022: Following back up with Marc for an update.
May 2022: The project has been on a client hold – pending them completing dependencies to the project held up by their internal priorities. Says things should be picking back up soon though - (Marc Moskowitz from M&amp;M).
Feb 2022: New customer, bought in Dec 2021, assigned to BChacon. Implementing with Morrison &amp; Morrison.
Novipax is a customer-focused manufacturer that partners with fresh protein and produce processors, food retailers and packaging manufacturers and distributors to deliver absorbent products, technologies and solutions that enhance, protect and promote packaged fresh food.
-General Sentiment: Neutral
-Use Case: Customer put implementation project on hold for some time while they worked on other initiatives internally. Asking Marc M. for an update.
-Challenges:
-Main Contacts: Cara Rogers (CFO), Kevin Heman (FP&amp;A)
-Opportunities:
-Projects/Next Steps: Engaged with Morrison &amp; Morrison but implementation had been put on hold
-Tech Stack: IQMS (ERP), Dayforce (HR)
-Referencable?: Not at this time</t>
  </si>
  <si>
    <t>Aramark SCM, Inc.</t>
  </si>
  <si>
    <t>017VT0000GtSTYSYQ4</t>
  </si>
  <si>
    <t>2022-11-22T16:50:32.000+0000</t>
  </si>
  <si>
    <t>a3A4X000002KUjIUAW</t>
  </si>
  <si>
    <t>{Name=Simpson Manufacturing Co., Inc., attributes={url=/services/data/v62.0/sobjects/Account/0013000000IKCQeAAP, type=Account}, PS_Region_New__c=US Large Enterprise DI &amp; Mexico, Industry=Hardlines}</t>
  </si>
  <si>
    <t>0014X00002Iwc7OQAR</t>
  </si>
  <si>
    <t>a0pVT00000CqAdvYAF</t>
  </si>
  <si>
    <t>A new approach to completing the project in fewer hours was presented to the customer.  We're now able to reload the data into their model much faster as a result of 2023R2.  Customer initially indicated they did not want to move forward but are changing direction and likely moving to complete the project. 
Update expected mid-October on paying outstanding invoices and funding remaining SOW line items.</t>
  </si>
  <si>
    <t>a0rVT00001DWqetYAD</t>
  </si>
  <si>
    <t>2026-09-29T20:27:39.000+0000</t>
  </si>
  <si>
    <t>It was revealed during a services engagement that their Planning model is more outdated than originally thought and does not use best practices, which is now impeding the completion of the work.  
We've offered a free model review (FIC) and this will determine if a complete rebuild is necessary and associated costs.  Depending on projected cost, they may choose to initiate an RFP for a planning solution.  
We recently lost an HCM oppty., once they decide on a vendor, will need to confirm they do not have a Fin Planning solution.</t>
  </si>
  <si>
    <t>2023-10-11T15:15:28.000+0000</t>
  </si>
  <si>
    <t>017VT0000GuMvxVYQS</t>
  </si>
  <si>
    <t>a0rVT00001DXAqDYAX</t>
  </si>
  <si>
    <t>001VT00000b2nXDYAY</t>
  </si>
  <si>
    <t>a3A4X000002KVZ4UAO</t>
  </si>
  <si>
    <t>Arapahoe Motors, Inc. d/b/a Schomp Automotive Group</t>
  </si>
  <si>
    <t>0011B00002CXTsRQAX</t>
  </si>
  <si>
    <t>{SubRegion__c=US DI Commercial NN Southeast, PS_Sub_Region__c=ME Commercial East, Name=Coretrans, attributes={type=Account, url=/services/data/v62.0/sobjects/Account/001VT00000b2nXDYAY}, Industry=Land and Rail Transportation and Freight, PS_Region_New__c=US Medium Enterprise DI}</t>
  </si>
  <si>
    <t>Brandon, We have transitioned away from Adaptive.  Although still using it during this budget season lightly.  I don’t expect we will need it beyond our contractual agreement.
Best,
cw
CHRISTINA WISE
Chief Financial Officer
***Requesting more info as to why
***Checking with Bryan Z. from Alight for more info, help with saving</t>
  </si>
  <si>
    <t>{Industry=Hardlines, Name=Simpson Manufacturing Co., Inc., PS_Region_New__c=US Large Enterprise DI &amp; Mexico, attributes={url=/services/data/v62.0/sobjects/Account/0013000000IKCQeAAP, type=Account}}</t>
  </si>
  <si>
    <t>2022-12-01T22:33:09.000+0000</t>
  </si>
  <si>
    <t>a3A4X000002KWAoUAO</t>
  </si>
  <si>
    <t>2026-09-30T12:02:43.000+0000</t>
  </si>
  <si>
    <t>0013000000Ke3WNAAZ</t>
  </si>
  <si>
    <t>017VT0000CghrtbYQA</t>
  </si>
  <si>
    <t>{Name=Stagecoach Services Ltd., Industry=Transit Systems, PS_Region_New__c=UKI, attributes={type=Account, url=/services/data/v62.0/sobjects/Account/0018000000ULAxFAAX}}</t>
  </si>
  <si>
    <t>2026-04-17T15:10:13.000+0000</t>
  </si>
  <si>
    <t>Trend:
The sentiment remains unfavorable but shows potential for improvement. Tupperware, now restructured under new ownership (Party Products Holdings LLC), is seeking to renegotiate its Workday contract due to financial restructuring and a 40% workforce reduction. Their engagement suggests a willingness to maintain the relationship, but concerns over cost could drive them to explore alternative solutions if adjustments are not made.
Update:
Jessica Muñoz (Procurement) has formally requested a contract renegotiation, citing that the current agreement (2024-2027) is no longer aligned with their downsized workforce.
They have an outstanding invoice for their 2025 subscription (WD-368668) but are delaying payment until discussions around a revised agreement progress.
Senior leadership, including Jim Hughes (EVP &amp; Chief People Officer) and Brian Wofford (VP IT), have escalated this request, reinforcing the urgency of their need to restructure.
Previous inquiries from their HRIS Senior Manager, Bernardo Pelayo, went unanswered after our initial response.
There is uncertainty about who is managing Workday operations on their side, adding complexity to discussions.
Risk:
Non-Payment &amp; Contract Termination Risk: Delay in payment could escalate into a non-payment situation, potentially leading to contract cancellation or legal disputes.
Competitive Threat: If we don’t present a viable restructuring option, Tupperware may consider alternative solutions, reducing Workday’s footprint in their operations.
Operational Disruption: Lack of clarity on their Workday point of contact could slow negotiations and limit our ability to provide effective solutions.
Loss of Long-Term Customer Value: If they view Workday as inflexible, it could impact future expansion or renewal discussions when their business stabilizes.
Next Steps:
Engage Key Stakeholders: Schedule a call with Jessica Muñoz, Jim Hughes, and Brian Wofford to understand their revised business needs and financial constraints. Confirm their Workday point of contact for operational discussions.
Contract Restructuring Proposal: Work with Sales and Pricing to explore options for adjusting their FSE count while maintaining a competitive pricing structure that ensures retention and future expansion.
Invoice Payment Discussion: Align with Accounts Receivable to determine a feasible payment plan or potential deferral options while renegotiations are underway.
Reaffirm Workday’s Value: Propose a strategic roadmap to help Tupperware maximize Workday’s utility despite their workforce reduction, emphasizing long-term partnership benefits.
Follow-Up on Previous Communications: Close the loop with Bernardo Pelayo and confirm if he is still involved in the decision-making process.</t>
  </si>
  <si>
    <t>017VT0000DjDYaDYQW</t>
  </si>
  <si>
    <t>a0rVT00001DWvJKYA1</t>
  </si>
  <si>
    <t>{attributes={url=/services/data/v62.0/sobjects/Account/0018000000ULAxFAAX, type=Account}, Industry=Transit Systems, PS_Region_New__c=UKI, Name=Stagecoach Services Ltd.}</t>
  </si>
  <si>
    <t>Arauco NA</t>
  </si>
  <si>
    <t>a0pVT00000CpvWpYAJ</t>
  </si>
  <si>
    <t>Trend (T): Unfavorable, with potential for improvement. Tupperware’s restructuring under new ownership has led to a 40% workforce reduction, prompting a request to renegotiate their Workday agreement.
Update (U):
They are delaying payment on a pending 2025 invoice ($608K/year) until contract adjustments are discussed.
Senior leadership (EVP &amp; VP IT) has escalated the request.
Prior outreach from their HRIS team went unanswered after our initial response.
Unclear who is managing Workday operations on their end.
Risk (R):
Non-Payment &amp; Potential Termination – Delayed payment could lead to contract risk.
Competitive Threat – They may explore alternatives if we don’t offer flexibility.
Operational Disruption – Uncertainty around their Workday lead slows engagement.
Long-Term Relationship Risk – Perceived inflexibility could impact future expansion.
Next Steps (N):
Engage key stakeholders (Jessica Muñoz, Jim Hughes, Brian Wofford) to assess needs.
Work with Sales/Pricing on a restructuring proposal.
Align with AR on payment options during negotiations.
Reinforce Workday’s value for long-term retention.
Follow up on past communications to reestablish dialogue.
Leadership Action Required: Approval to proceed with restructuring discussions (Sales Owned)</t>
  </si>
  <si>
    <t>a0rVT00001DWqoJYAT</t>
  </si>
  <si>
    <t>2026-06-03T16:09:40.000+0000</t>
  </si>
  <si>
    <t>Dart is struggling financially - They have lost 40% of their inherent value in the last month. 
Relative to Workday, Dart is about to enter the final year of their initial term and is only live on 30% of their originally purchased SKUS.  The Dart team who was responsible for the project (assisted by Mercer) did not choose to deploy USP or TT, so the company still pays everyone on their old ADP system and has never been able to retire it.    The non-live SKU's are: Cloud Connect for Benefits, Cloud Connect for Third Party Payroll, Learning, Payroll for Canada, Payroll for United States, Time Tracking.
The deployment for Dart was delayed multiple times, with significant resource / leader turnover, refusal to follow best practice or deployment processes, changing deployment strategies mid-project, changing design decisions, incomplete/late conversion data, and outsourcing of testing to contractors.   This resulted in a troubled go-live.
Dart's  annual run rate is about $585,000 and they will receive an invoice very soon for their final year.  
Nearly all of the Dart staff who executed that contract and who were part of the WDAY project have exited the company.  A new finance leader, Ivan Cruz, reached out to Ryen Greer/Sales - he and the CFO are trying to sort out their circumstances.  He is not sure what we can do, but asked how we could help.
Ryen Greer is working with CS to come up with some ideas we may pitch to Dart.  It will all depend on how they manage financially in the upcoming weeks.</t>
  </si>
  <si>
    <t>017VT0000CghXNBYQ2</t>
  </si>
  <si>
    <t>2025-02-26T15:55:53.000+0000</t>
  </si>
  <si>
    <t>0014X00002FC577QAD</t>
  </si>
  <si>
    <t>a3A4X000002KaLgUAK</t>
  </si>
  <si>
    <t>{Industry=Restaurant &amp; Food Service, PS_Sub_Region__c=Diversified Industries LE NN, attributes={url=/services/data/v62.0/sobjects/Account/0014X00002FC577QAD, type=Account}, SubRegion__c=US DI LE NN RHT South, PS_Region_New__c=US Large Enterprise DI &amp; Mexico, Name=Quality Restaurant Group, LLC}</t>
  </si>
  <si>
    <t>0014X00002MBxqWQAT</t>
  </si>
  <si>
    <t>{Industry=Restaurant &amp; Food Service, attributes={url=/services/data/v62.0/sobjects/Account/0014X00002U4F8jQAF, type=Account}, Name=Southwest Foodservice Excellence, PS_Region_New__c=US Medium Enterprise DI}</t>
  </si>
  <si>
    <t>16/01/23 AD: syncing with partner F5 (Justin) to discuss overall health of account and collaborative approach. 
- Currently on Planning and Analytics package --&gt; will be transitioned to WDay Bundle Model. 
- Will be working on understanding opportunities to grow their account/usage. 
- Previously signed for 3 years.
- Licensed for 10 seats --&gt; looks to only have 6 active users in the last 12 months. 
- No cases have been logged against account - confirm with F5
- Andrew had last consult in Nov 22
- Does all budgeting via Excel - may be reverting back to Excel. 
- Would like to develop Adaptive Environment further and do everything else on Excel. 
- want to build new models (eg. Balance sheets) 
Justin Catch Up: 
- also using NetSuite as core ERP. No suspected problems 
- some staff rotation - organic 
- Peter Roffo - IT applications across Aust. 
- Separate UK division - 
- Diana Mcfarlen (CFO) - someone that Justin speaks with a lot. She is Authority  
- Half yearly syncs - mainly focussed on the larger offerings that F5 have. 
- Not a land and expand account - 
- Justin suggests getting a better background on how they use the solution.</t>
  </si>
  <si>
    <t>2026-04-17T15:06:03.000+0000</t>
  </si>
  <si>
    <t>2023-01-16T02:57:37.000+0000</t>
  </si>
  <si>
    <t>a3A4X000002KaP9UAK</t>
  </si>
  <si>
    <t>017VT0000GhOzvSYQS</t>
  </si>
  <si>
    <t>a0rVT00001DX2StYAL</t>
  </si>
  <si>
    <t>0011B00002CXVi5QAH</t>
  </si>
  <si>
    <t>Arbor E&amp;T LLC dba Equus Workforce Solutions</t>
  </si>
  <si>
    <t>{Industry=Restaurant &amp; Food Service, PS_Region_New__c=US Medium Enterprise DI, Name=Southwest Foodservice Excellence, attributes={url=/services/data/v62.0/sobjects/Account/0014X00002U4F8jQAF, type=Account}}</t>
  </si>
  <si>
    <t>17/01/23
- Working with Decision Inc (Greg and Tony) - to strengthen position of Adaptive. 
- currently upgrading to Dynamics 365 ERP from Dynamics AX. They are of the belief that there is capability within their MS Suite to substitute for Adaptive. 
- Decision Inc also implement MS products and are confident there is a strong use case for Adaptive with MS. Currently working on a 'Better together' story. 
- Greg also working on Orica Group - will have a strong story to share.</t>
  </si>
  <si>
    <t>2023-01-20T03:16:29.000+0000</t>
  </si>
  <si>
    <t>a3A4X000002KaPEUA0</t>
  </si>
  <si>
    <t>2026-09-21T21:26:28.000+0000</t>
  </si>
  <si>
    <t>0011B00002CZdEwQAL</t>
  </si>
  <si>
    <t>017VT0000Gl2CY7YQM</t>
  </si>
  <si>
    <t>17/01/23 AD: GKH advised currently going through re-implementation - initial project never completed. (kicking off Feb - anticipate 60 days to complete) Currently completing implementation of ERP first (MS Navision) 
Use cases are still Budgeting and Forecasting 
Trying to retrieve GKH scoping doc to understand goals/objectives</t>
  </si>
  <si>
    <t>2023-01-17T04:49:29.000+0000</t>
  </si>
  <si>
    <t>a3A4X000002KaXrUAK</t>
  </si>
  <si>
    <t>a0pVT00000CpxX1YAJ</t>
  </si>
  <si>
    <t>0014X00002U2aAjQAJ</t>
  </si>
  <si>
    <t>2026-09-23T16:30:27.000+0000</t>
  </si>
  <si>
    <t>10/28/24 - UNRESPONSIVE CUSTOMER. Followed up with the team today to schedule a 30-minute call. Will follow up in 2 weeks if I don't hear from the team.</t>
  </si>
  <si>
    <t>017VT0000GuMhstYQC</t>
  </si>
  <si>
    <t>KL 2/16/23: Claudia is leaving - held hand off call for Sumer (Su-mar) Sharma, VP of Finance and Raj.
-Sumer joined 2 months ago joined and Raj joined a month prior
-Sumer is taking lead moving forward
-ERP transition is expected to be complete end of summer. Moving from Paragon to Sunrise for GL
-Integration - will be interested to do this once ERP implementation is complete
-Sumer has implemented WD before
-Interested in a new admin walkthrough /demo call
-Claudia explained Kainos situation and that they have completed the SOW. Still have a few outstanding invoices
-Walked through resources &amp; journey slides
-Suggested a monthly call
-Very rocky implementation with Kainos, although customer signed off it is complete.
-Working to turn customer experience around.
-Working to set up 2 sessions with Wendy Fox in Customer Enablement to help lay foundation of current model.
-Will advise to buy OH package if they need more support</t>
  </si>
  <si>
    <t>{PS_Region_New__c=US Medium Enterprise DI, Industry=Restaurant &amp; Food Service, Name=Southwest Foodservice Excellence, attributes={url=/services/data/v62.0/sobjects/Account/0014X00002U4F8jQAF, type=Account}}</t>
  </si>
  <si>
    <t>2024-10-28T18:12:17.000+0000</t>
  </si>
  <si>
    <t>{SubRegion__c=US DI LE NN RHT South, Industry=Restaurant &amp; Food Service, PS_Sub_Region__c=Diversified Industries LE NN, attributes={type=Account, url=/services/data/v62.0/sobjects/Account/0014X00002FC577QAD}, Name=Quality Restaurant Group, LLC, PS_Region_New__c=US Large Enterprise DI &amp; Mexico}</t>
  </si>
  <si>
    <t>a0rVT00001DXGh7YAH</t>
  </si>
  <si>
    <t>a3A4X000002KaYaUAK</t>
  </si>
  <si>
    <t>Arcos Dorados (McDonald's Costa Rica)</t>
  </si>
  <si>
    <t>0011B00002CXU2qQAH</t>
  </si>
  <si>
    <t>2026-09-30T12:43:53.000+0000</t>
  </si>
  <si>
    <t>017VT0000F2TvVPYQ0</t>
  </si>
  <si>
    <t>Internal Notes 
02/02/23 
- internal sync with Mike. Positioning for renewal
- additional benefits with transition - can detail on call
- bi annual upgrades to system 
- Consolidation functionality will continue to be available to them and will also be available to all your full license users now. 
- if questioned around its future, revert to Adaptive Planning remaining a planning focussed. Workday is doubling down on Consolidation and Close within Workday Financials --&gt; happy to connect you with that team if you are interested. 
18/01/23
- Sync with Calvin from GKH. Account appears to be healthy. 
- Utilsation very healthy (variance of 1 - 3 licenses under)
- No concerning cases logged. 
- appear to be self sufficient 
- on legacy version - will be transitioned - can position additional benefits. 
- attempting to understand outlook over next 12, 24, 36 months to understand what opportunities there are for additional use cases, users etc.
- need to share with them the updates to the consolidation module. ie. Consolidation + Close being worked on (only allude to this at this stage)
- have made reachout to Sharyn from Skellerup</t>
  </si>
  <si>
    <t>2023-02-06T04:57:26.000+0000</t>
  </si>
  <si>
    <t>a3A4X000002KbD4UAK</t>
  </si>
  <si>
    <t>{Name=Fenwick &amp; West LLP, PS_Region_New__c=US Medium Enterprise DI, attributes={url=/services/data/v62.0/sobjects/Account/0018000000Qxq3yAAB, type=Account}, Industry=Professional Services}</t>
  </si>
  <si>
    <t>0018000000km6PHAAY</t>
  </si>
  <si>
    <t>2026-07-21T15:18:22.000+0000</t>
  </si>
  <si>
    <t>T - Negative
U - MercyCorps has been impacted by Executive Order pausing funding to NGOs. They don't know the full extent so pausing any extra spending. While they now do want to move forward with Adaptive, it will be about if they have the money to or not.  
R - renewal is at the end of 2025, and they are SNI with no funding to pay for an implementation. 
N - reconvene with Doug in May. Josh Rex has a phase 0 SOW draft for if/when they are ready to move forward.</t>
  </si>
  <si>
    <t>017VT0000CgkoEuYQI</t>
  </si>
  <si>
    <t>SNI (Sold Not Implemented)
***Partner Sourced opportunity sold through RSM - relationships with the CFO and Board of Directors at RSM***
 FSE Planning First on WDAY paper, 
 $0 Consolidations on Adaptive paper.
 Account won through RFP
 Closed in 12/17/2020
 Renewal 12/2025
Main Contact at Partner:  Ashley Pickler is RSM EM.
This deal was a partner sourced sale in 2020 without a specific date for implementation per the notes from SFDC.  
https://workday.my.salesforce.com/0061B00001pXeZGQA0/d?retURL=https%3A%2F%2Fworkday--c.na140.visual.force.com%2Fapex%2FTabbedOppportunityPage%3Fid%3D0061B00001pXeZG%26sfdc.override%3D1&amp;_CONFIRMATIONTOKEN=VmpFPSxNakF5TXkwd01TMHlOMVF3TVRveE5Ub3pPUzQxT0RsYSxRcEd5TUpkRkxraHVXMGF4d2tMbkVPLE1HRTNZV1l4&amp;common.udd.actions.ActionsUtilORIG_URI=%2F0061B00001pXeZGQA0%2Fd&amp;nooverride=1
The implementation dates had been continuously pushed every few months.  Upon reaching out to RSM to see if the target date was on track or if the date has been pushed again.  RSM stated the client has pushed the date out until further notice due to other competing priorities.
 Planned Use Cases:
 1. Consolidations
 2. Budgets
 3. Forecasting
Main Contact at Client:
Jennifer Cooperman, CFO 12/2019 -1/2022 (no longer with the company)
Chad Snelgar, CFO since 7/2022 (new CFO - used Adaptive at his previous company)
Michael (Doug) McKean, Interim Executive Director (consistent champion between both CFO's)
Challenges:
-Implementation on Hold until further notice (as of 1/19/2023)
-Competing priorities
-Change in CFO
Timeline:
12/23 - Doug confirms that ERP project still on track to wrap up early 2024, and then will look to kickoff Adaptive deployment
2/2023 - Meeting scheduled with Chad Snelgar and Michael Doug McKean to discuss implementation delay.
8/2022 - New CFO (Chad Snelgar) briefed on Adaptive by Micheal (Doug) McKean and expect implementation to begin 
1/2022 - implementation set to begin in 7/2022 with previous CFO leaving</t>
  </si>
  <si>
    <t>{Industry=Consumer Goods, attributes={type=Account, url=/services/data/v62.0/sobjects/Account/0018000000shOWfAAM}, Name=Symrise AG, PS_Region_New__c=DACH}</t>
  </si>
  <si>
    <t>2025-02-24T16:37:35.000+0000</t>
  </si>
  <si>
    <t>a3A4X000002KbD9UAK</t>
  </si>
  <si>
    <t>2026-04-17T15:25:13.000+0000</t>
  </si>
  <si>
    <t>a0pVT00000Cq4v3YAB</t>
  </si>
  <si>
    <t>0011B00002CXUVEQA5</t>
  </si>
  <si>
    <t>017VT0000CgkP7qYQE</t>
  </si>
  <si>
    <t>24/01/23 AD: 
sync with Emily 
- good chat. Everything is working fine with Adaptive.
- has more or less exhausted the Financial Planning use case 
- does not have bandwidth currently to consider additional use cases.
- working closely with GKH on Adaptive/NetSuite integration and builds 
- has expanded to include 7 fields integrated --&gt; 2 fields being standard and 5 fields being custom --&gt; commented on this being quite time consuming and difficult. Took approx 4 months of back and forth likely between Adaptive/NetSuite/GKH 
- still very healthy. Is open to considering BETA testing at a later stage. 
- currently going through Half Year reporting.</t>
  </si>
  <si>
    <t>2023-01-24T05:20:05.000+0000</t>
  </si>
  <si>
    <t>{attributes={url=/services/data/v62.0/sobjects/Account/0013000000IrLV1AAN, type=Account}, Industry=Media &amp; Entertainment, Name=The E.W. Scripps Company, PS_Region_New__c=US Large Enterprise DI &amp; Mexico}</t>
  </si>
  <si>
    <t>a3A4X000002KbgBUAS</t>
  </si>
  <si>
    <t>0013000000KLvSZAA1</t>
  </si>
  <si>
    <t>2026-04-17T15:29:02.000+0000</t>
  </si>
  <si>
    <t>{SubRegion__c=US DI LE NN RHT South, PS_Sub_Region__c=Diversified Industries LE NN, Industry=Restaurant &amp; Food Service, attributes={url=/services/data/v62.0/sobjects/Account/0014X00002FC577QAD, type=Account}, Name=Quality Restaurant Group, LLC, PS_Region_New__c=US Large Enterprise DI &amp; Mexico}</t>
  </si>
  <si>
    <t>9/20 Spoke with Kris Dunbar, primary contact, regarding status of impending acquisition and upcoming renewal.  She indicated that mgt has suggested they not renew in an effort to stop losing money, since have yet to implement, and repurchase when ready to resume implementation. We let her know the price to entry would be much higher than their current spend.  Andrew Kathan, CBAE, shared current list price for their config, which they would renew.  Also pointed out they have a 3% cap in place.  Unfortunately, if we don't renew them now, it's likely they'll consider other options and will be well aware of Workdays intention to offer a new Con tool in the future.  Also, since KKR has stake in OneStream, they'd likely consider them, as well.  We need to consider offering them a two-year renewal at 50% off the first year and back to current price second year.  They do not intend to begin implementation until at least May 2024 in hopes of going live in Jan 2025.</t>
  </si>
  <si>
    <t>017VT0000G9BF9NYQW</t>
  </si>
  <si>
    <t>Customer is looking for a way to decrease their spend with Workday. They began implementation with RSM, and it was going really well, but had to restate quarterly and annual earnings for previous three years accounting due to anomaly in their “pumps” organization.  Took over 5 months.  Had intended to restart implementation project in August but pushed to February 2023 because they were too backlogged on normal business processes and reporting to restart sooner.  The restart has pushed, again, to July 2023 so they can properly re-staff.   Replacing SAP BPC which is sunsetting in 2024.  They're considering selling one or more of their companies but should not impact restart of implementation.  
Need to confirm we're still recommending new implementations of Cons in light of move away from that solution over to Fluence.</t>
  </si>
  <si>
    <t>{Industry=Media &amp; Entertainment, attributes={url=/services/data/v62.0/sobjects/Account/0013000000IrLV1AAN, type=Account}, PS_Region_New__c=US Large Enterprise DI &amp; Mexico, Name=The E.W. Scripps Company}</t>
  </si>
  <si>
    <t>2023-09-20T15:13:02.000+0000</t>
  </si>
  <si>
    <t>a3A4X000002KcrUUAS</t>
  </si>
  <si>
    <t>2026-09-01T20:07:46.000+0000</t>
  </si>
  <si>
    <t>a0rVT00001DWwAaYAL</t>
  </si>
  <si>
    <t>0054X00000DwVwiQAF</t>
  </si>
  <si>
    <t>00180000010yxguAAA</t>
  </si>
  <si>
    <t>017VT0000CgqOUxYQM</t>
  </si>
  <si>
    <t>Areas Usa, Inc.</t>
  </si>
  <si>
    <t>- Will eventually merge with Te Pukenga along with 25 other institutes of technology and polytechnics. 
- other accounts include Universal College of Learning, ARA, Unitec 
- John Vereker working on this expansion deal - located under Te Pukenga. Cheryl from F5 also involved. Mero involved too. 
- expecting this merger to complete by mid year.</t>
  </si>
  <si>
    <t>2023-02-06T04:22:36.000+0000</t>
  </si>
  <si>
    <t>{Industry=Acute Hospital / Health System, PS_Region_New__c=US Healthcare, Name=Valley Health, attributes={type=Account, url=/services/data/v62.0/sobjects/Account/0018000000ohFnsAAE}}</t>
  </si>
  <si>
    <t>a3A4X000002Kd1eUAC</t>
  </si>
  <si>
    <t>0011B00002HkFeaQAF</t>
  </si>
  <si>
    <t>have a meeting for renewal on thursday</t>
  </si>
  <si>
    <t>2026-04-17T16:54:40.000+0000</t>
  </si>
  <si>
    <t>Customer had a rocky deployment where they tried too many use cases and user adoption was low. Scaled down to consolidations use-case but are happy. Working to improve use-case and end user adoption</t>
  </si>
  <si>
    <t>017VT0000GlXqCNYQ0</t>
  </si>
  <si>
    <t>a0pVT00000Cpt0NYAR</t>
  </si>
  <si>
    <t>Application Knowledge;Deployments</t>
  </si>
  <si>
    <t>2024-01-03T16:56:50.000+0000</t>
  </si>
  <si>
    <t>a3A4X000002KdTTUA0</t>
  </si>
  <si>
    <t>{attributes={url=/services/data/v62.0/sobjects/Account/0018000000ohFnsAAE, type=Account}, Name=Valley Health, PS_Region_New__c=US Healthcare, Industry=Acute Hospital / Health System}</t>
  </si>
  <si>
    <t>0011B00002CXUPHQA5</t>
  </si>
  <si>
    <t>a0rVT00001DXDmTYAX</t>
  </si>
  <si>
    <t>Tried one last ditch effort to engage them on the account about but they have decided not to renew.</t>
  </si>
  <si>
    <t>{PS_Region_New__c=US Large Enterprise DI &amp; Mexico, Industry=Restaurant &amp; Food Service, attributes={type=Account, url=/services/data/v62.0/sobjects/Account/0014X00002FC577QAD}, PS_Sub_Region__c=Diversified Industries LE NN, SubRegion__c=US DI LE NN RHT South, Name=Quality Restaurant Group, LLC}</t>
  </si>
  <si>
    <t>2026-09-23T21:53:36.000+0000</t>
  </si>
  <si>
    <t>Aristocrat Technologies, Inc.</t>
  </si>
  <si>
    <t>005VT00000JuzykYAB</t>
  </si>
  <si>
    <t>Vehicle Services Group was implemented and used by two main admins - Brian and Deanna. Since adopting the account, outreaches to them were unsuccessful with asking other contacts in system if they are still around but found out through extensive searches they both no longer work at VSG and left in the same month. 
Shifted my outreach to all contacts in SF with no luck, then went to LinkedIN to find new contacts and worked with CBAE to get Zoominfo.  We were able to finally make contact with the newly promoted Director of FP&amp;A who had no experience working with Adaptive as it was used for specific needs of Brian and Deanna. 
Speaking with Meghan the new Director to introduce ourselves, she made it very clear that she does not know anything about Adaptive and was not interested in doing any demos, just wanted to see price. 
Account is at risk as we have lost our main champions and does not seem Adaptive will be focused on. They are currently going through an ERP implementation where all focus is at.</t>
  </si>
  <si>
    <t>017VT0000CgrOOiYQM</t>
  </si>
  <si>
    <t>Customer Ownership;Customer Turnover</t>
  </si>
  <si>
    <t>2023-02-23T17:43:39.000+0000</t>
  </si>
  <si>
    <t>a3A4X000002KdpFUAS</t>
  </si>
  <si>
    <t>0018000001RRtH7AAL</t>
  </si>
  <si>
    <t>{Industry=Software &amp; Platforms, Name=Waystar, Inc., attributes={url=/services/data/v62.0/sobjects/Account/0018000000wC62PAAS, type=Account}, PS_Region_New__c=US Medium Enterprise DI}</t>
  </si>
  <si>
    <t>Customer still has yet to complete implementation and user testing.  Awaiting update on intentions to renew.  Sent an email today, per request from customer in September.  They expect to have an answer by now.</t>
  </si>
  <si>
    <t>Sold off two business units so would like to reduce their user count from 45 to between 20 and 30 at the time of their next renewal.  They also have ongoing NetSuite integration issues.  Had a services engagement a couple of years ago, but not fully addressed at that time.  The issue is with the data loaders.  It is usable but know it can be improved.</t>
  </si>
  <si>
    <t>2026-04-17T17:10:28.000+0000</t>
  </si>
  <si>
    <t>Customer Turnover;Product Issues/Gaps</t>
  </si>
  <si>
    <t>2023-10-11T15:23:05.000+0000</t>
  </si>
  <si>
    <t>017VT0000DjEMCbYQO</t>
  </si>
  <si>
    <t>a0rVT00001DX6ugYAD</t>
  </si>
  <si>
    <t>a3A4X000002KewHUAS</t>
  </si>
  <si>
    <t>Arkansas Children's Hospital</t>
  </si>
  <si>
    <t>0011B00002B8PGgQAN</t>
  </si>
  <si>
    <t>{attributes={url=/services/data/v62.0/sobjects/Account/0018000001MGbT5AAL, type=Account}, PS_Region_New__c=EMEA South, Industry=Softlines, Name=El Corte Inglés S.A.}</t>
  </si>
  <si>
    <t>24/01/25: Barbara Zesik (CHRO) and JB (CFO) have stopped to reply to us. Alan has been in conversations with us through email and pretty much confirmed they will drop all HCM suite: HCM, Cloud Connect for Third Party Payroll, Recruiting, Time Tracking and Advanced Compensation Management.
On a positive note, they have showed pro active interest in moving forward with  Prism, and Expenses.</t>
  </si>
  <si>
    <t>Risk of SKU drop at renewal: EXP, PD, PROC, PLN. Budget and project resources as key decision driver. 
Being a travel booking tool, Omio was hit hard by COVID. Their project was delayed and they had a rushed full platform Go-Live two years after contract signature. With a small support team they have not been able to roll out all subscribed SKUs, ultimately resulting in several SNI SKUs. 
Mitigation: Account collaboration between CBAE, SE and CSM + partner(s) to provide project plan guidance. Several roadmap sessions + re-pitch of SKUs.</t>
  </si>
  <si>
    <t>2026-06-03T16:25:52.000+0000</t>
  </si>
  <si>
    <t>Customer Ownership;COVID-19</t>
  </si>
  <si>
    <t>005VT00000JuxX8YAJ</t>
  </si>
  <si>
    <t>2025-01-25T09:23:45.000+0000</t>
  </si>
  <si>
    <t>017VT0000Eq6BTlYQM</t>
  </si>
  <si>
    <t>a3A4X000002Kez1UAC</t>
  </si>
  <si>
    <t>a0pVT00000Cpum5YAB</t>
  </si>
  <si>
    <t>0013000000LTHVTAA5</t>
  </si>
  <si>
    <t>{Name=El Corte Inglés S.A., PS_Region_New__c=EMEA South, attributes={url=/services/data/v62.0/sobjects/Account/0018000001MGbT5AAL, type=Account}, Industry=Softlines}</t>
  </si>
  <si>
    <t>[202510]
- Project optimization run by Deloitte
            Customer complain about the lack of progress in the Governance model, which is key for them
            Customer requested help to take a decision about moving to a skilled based organization or not.
- Skills streamline
            Workday senior consultant is working with Deloitte.
            Meeting proposed to meet Josh Tarr with Repsol Talent Director.
            Closing a meeting with SANOFI
- Customer is awared of all the acquisitions and they want to know how much will impact on the licenses that they already have. How much Workday will continue investing in WD Recruiting, WD Learning vs the  new adquisitions.</t>
  </si>
  <si>
    <t>0018000000Ln6MGAAZ</t>
  </si>
  <si>
    <t>2026-07-13T12:23:56.000+0000</t>
  </si>
  <si>
    <t>Workday Sales team has met the CHRO and new CIO on the 23rd January, and the feedback was very negative. They consider:
-	They are not getting all the value of Workday as long as they have a static Workday, the same they implemented for their Go-Live
-	There are many HR basic processes out of Workday because of lack of flexibility and functionality
In order to change the situation, Repsol requested Workday to present them a proposal that covers:
-	An analysis of their current tenant that can picture its “AS IS” status
-	Define a roadmap to visualize a “TO BE”  
Consideration:
- The ownership of Workday is splitted into IT and HR.
- CIO has changed recently and is a SAP believer that challenge anything related to Workday.</t>
  </si>
  <si>
    <t>Customer Ownership;Deployments;Customer Turnover;Product Issues/Gaps</t>
  </si>
  <si>
    <t>{PS_Sub_Region__c=Diversified Industries Key Accounts, SubRegion__c=US DI Key Accounts RHT, attributes={url=/services/data/v62.0/sobjects/Account/0018000000Ln6MGAAZ, type=Account}, Industry=Softlines, Name=3M Company, PS_Region_New__c=US Large Enterprise DI &amp; Mexico}</t>
  </si>
  <si>
    <t>017VT0000Fl46A7YQI</t>
  </si>
  <si>
    <t>2025-10-08T13:15:00.000+0000</t>
  </si>
  <si>
    <t>a3A4X000002Kez6UAC</t>
  </si>
  <si>
    <t>{attributes={type=Account, url=/services/data/v62.0/sobjects/Account/0018000001MGbT5AAL}, PS_Region_New__c=EMEA South, Industry=Softlines, Name=El Corte Inglés S.A.}</t>
  </si>
  <si>
    <t>0018000000WGlikAAD</t>
  </si>
  <si>
    <t>a0rVT00001DX9EDYA1</t>
  </si>
  <si>
    <t>2026-08-17T12:22:03.000+0000</t>
  </si>
  <si>
    <t>CR has recently moved to using SAP for HCM and FINS, we lost a deal in July to them based on Deloitte pushing them to use SAP instead of Workday. Want to make sure they are in the right place ahead of their renewal and going forward since SAP has a tool that could "compete" against Adaptive.</t>
  </si>
  <si>
    <t>Partner Management</t>
  </si>
  <si>
    <t>ARRIS Technology, Inc. (Inactive Account)</t>
  </si>
  <si>
    <t>2023-03-08T16:49:27.000+0000</t>
  </si>
  <si>
    <t>017VT0000GIShHpYQL</t>
  </si>
  <si>
    <t>a3A4X000003YNSOUA4</t>
  </si>
  <si>
    <t>0018000000ohFsDAAU</t>
  </si>
  <si>
    <t>{PS_Region_New__c=EMEA South, attributes={type=Account, url=/services/data/v62.0/sobjects/Account/0018000001MGbT5AAL}, Name=El Corte Inglés S.A., Industry=Softlines}</t>
  </si>
  <si>
    <t>[1.31.24] LM New VP of FP&amp;A, Mehgan Stoia, was recently hired on. Next Steps: Schedule a QBR with Mehgan and Chris (CFO). Need to highlight art of the possible and value.</t>
  </si>
  <si>
    <t>2026-09-07T08:23:49.000+0000</t>
  </si>
  <si>
    <t>Client is evaluating competitors (Planful, OneStream, and SAP) and only signed a 1-year agreement as they evaluate the market.  Holding company, American Securities let account team know 3 of the3 of the portfolio companies moved to Planful and Catapult/Full Bloom is now evaluating. New contact, Larry Gleaner has SAP experience and prefers it over Adaptive Planning. However, their main priority is to integration Adaptive Planning with their data warehouse so there is opportunity to get stickier. Go forward plan: re-sell the value of Adaptive via demos, biz reviews, CE sessions, etc.</t>
  </si>
  <si>
    <t>2024-01-31T21:46:29.000+0000</t>
  </si>
  <si>
    <t>017VT0000Gro9jZYQQ</t>
  </si>
  <si>
    <t>a0pVT00000Cq0WVYAZ</t>
  </si>
  <si>
    <t>a3A4X000003YNWBUA4</t>
  </si>
  <si>
    <t>a0rVT00001DWqulYAD</t>
  </si>
  <si>
    <t>0014X00002U1oXmQAJ</t>
  </si>
  <si>
    <t>a0rVT00001DX5yjYAD</t>
  </si>
  <si>
    <t>{attributes={type=Account, url=/services/data/v62.0/sobjects/Account/0018000001MGbT5AAL}, Industry=Softlines, PS_Region_New__c=EMEA South, Name=El Corte Inglés S.A.}</t>
  </si>
  <si>
    <t>We are in the middle of re-negotiating their existing contract and collections is involved because they did not pay for the last invoice.</t>
  </si>
  <si>
    <t>Arrow Electronics, Inc.</t>
  </si>
  <si>
    <t>0018000001B0SSuAAN</t>
  </si>
  <si>
    <t>Paper is struggling financially.  They laid off over 20% of their headcount and are planning a next wave of lay offs.  The CFO, CHRO were let go and the HRIS manager resigned.  
The renewal date is 4/29/2027. Unless their financial situation changes, we need to expect them to drop some SKUS or not renew.  At this point, there are no plans to deploy the SNIs like Candidate Engagement, Messaging, Prism and People Analytics.
Please take a look at this 2 full pages article in the Globe and Mail: 
https://www.theglobeandmail.com/business/article-paper-education-tech-startup-layoffs/</t>
  </si>
  <si>
    <t>2026-09-28T19:41:43.000+0000</t>
  </si>
  <si>
    <t>Pricing/Budget/Value</t>
  </si>
  <si>
    <t>2026-02-23T16:17:23.000+0000</t>
  </si>
  <si>
    <t>017VT0000DtF4aZYQS</t>
  </si>
  <si>
    <t>{Industry=Technology Solutions, SubRegion__c=Japan 2, PS_Region_New__c=Japan, attributes={type=Account, url=/services/data/v62.0/sobjects/Account/0018000001B0SSuAAN}, Name=Hitachi America, Ltd., PS_Sub_Region__c=Japan Sales 2}</t>
  </si>
  <si>
    <t>a3A4X000003YNWkUAO</t>
  </si>
  <si>
    <t>00180000010HepuAAC</t>
  </si>
  <si>
    <t>{attributes={url=/services/data/v62.0/sobjects/Account/0018000000N7F6qAAF, type=Account}, Industry=Architecture, Engineering &amp; Construction, Name=Faith Technologies, Inc., PS_Region_New__c=US Large Enterprise DI &amp; Mexico}</t>
  </si>
  <si>
    <t>9.29 - no updates from Tangoe on how implementation is going with Datarails. John at tangoe is not happy with the change but not much he can do as this was driven by the CFO day 1 of him joining company. Chance we can squeeze out a 1 year renewal if Datarails implementation doesnt stay on track with timeline..</t>
  </si>
  <si>
    <t>Customer has been ghosting us in every form of email for updates on their Adaptive Journey. After renewal in 2022, customer wanted to have an alignment call with their brand new CFO to discuss a few needs/concerns of the platform which we were responsive to right away with multiple resources to support us internally. Both scheduled calls got cancelled last minute with an email from VP of Finance stating all was good now. We tried getting more information but never received a response.
Multiple attempts throughout the year to engage with them, emails to the new CFO and leadership alignment from our end. 
Was able to finally engage with a local contact after attempts to take him to lunch but he agreed to just having a call. 
John let us know that right when CFO joined, he purchased datarails as he has used it at all of his past companies. This honestly did not sit well with the Finance team at Tangoe as they loved Adaptive but they also did not have any say in the decision. They have had Datarails for almost 9 months and still not implemented. 
John agreed to keep us updated with any changes but he does not think they will be renewing unless Datarails takes implementation past our renewal date.</t>
  </si>
  <si>
    <t>2026-06-08T02:37:32.000+0000</t>
  </si>
  <si>
    <t>2023-09-29T14:23:44.000+0000</t>
  </si>
  <si>
    <t>a3A4X000003YNawUAG</t>
  </si>
  <si>
    <t>a0rVT00001DXBZNYA5</t>
  </si>
  <si>
    <t>017VT0000G93WpnYQE</t>
  </si>
  <si>
    <t>0014X00002U4YFtQAN</t>
  </si>
  <si>
    <t>Arrow Security</t>
  </si>
  <si>
    <t>Customer has been in different phases of deployment since Jan 2024 and has experienced some changes in their workforce since signing their initial contract.  They raised concerns to the account team regarding their current contract due to significant underutilization of their entitlements. They are currently only live with Time &amp; Attendance, Absence, and Scheduling, their current Full-Service Equivalent (FSE) needs stand at 2,270, which falls significantly short of their contracted entitlement of 3,894 (FSE's were ramped for years 2-7).  They outsource payroll and benefits and have no plans to deploy USP or CCB (unclear why they were included in original sale).   Core HCM and Planning are currently in deployment and Recruiting is on the roadmap to be deployed next year.
Risk: There is a substantial downsell risk driven by the FSE underutilization and the lack of planned deployment for  Payroll (USD 120,168.00) and Cloud Connect for Benefits (USD 48,067.14).  Total ACV at risk:  $168k  FSE reduction could add another $150K for a total of $318k
Next Steps: RSD and CBAE will work on options for customer. CSM will stay align and monitor.</t>
  </si>
  <si>
    <t>{attributes={type=Account, url=/services/data/v62.0/sobjects/Account/0018000000N7F6qAAF}, Name=Faith Technologies, Inc., Industry=Architecture, Engineering &amp; Construction, PS_Region_New__c=US Large Enterprise DI &amp; Mexico}</t>
  </si>
  <si>
    <t>US DI ME NN PBS Northeast</t>
  </si>
  <si>
    <t>a0pVT00000CpznLYAR</t>
  </si>
  <si>
    <t>2026-09-01T18:17:14.000+0000</t>
  </si>
  <si>
    <t>While Adaptive is in a more favorable state, the core implementation has presented many escalations with the partner where the customer ultimately is of the belief since Workday recommended their current partner, Invisors, we should make it right by offering free services to the customer.
Outside of their partner, Transform has been critical of Workday training resources, however, they have not made use of their initial training investment with Workday.
Lastly, they have surfaced a few issues with Workday Product that ultimately don't meet their needs. Specifically, they have been critical of how establishment IDs need to be structured within Workday. Despite receiving the same guidance surround establishment IDs from Invisors and Workday, they are of the belief we should prioritize their product needs for a future release.</t>
  </si>
  <si>
    <t>Customer Challenges</t>
  </si>
  <si>
    <t>017VT0000DcD2NkYQK</t>
  </si>
  <si>
    <t>2026-05-27T14:25:22.000+0000</t>
  </si>
  <si>
    <t>a3A4X000003YNf3UAG</t>
  </si>
  <si>
    <t>0013000000JMG3cAAH</t>
  </si>
  <si>
    <t>{Name=Hitachi America, Ltd., Industry=Technology Solutions, PS_Region_New__c=Japan, attributes={url=/services/data/v62.0/sobjects/Account/0018000001B0SSuAAN, type=Account}, SubRegion__c=Japan 2, PS_Sub_Region__c=Japan Sales 2}</t>
  </si>
  <si>
    <t>{Name=Home Depot Store Support, Inc., attributes={url=/services/data/v62.0/sobjects/Account/00130000008NNHlAAO, type=Account}, Industry=Hardlines, PS_Region_New__c=US Large Enterprise DI &amp; Mexico}</t>
  </si>
  <si>
    <t>LKW 1/29/2025
T Neutral, trending towards favorable
U BMC is currently evaluating Workforce Planning. In addition, they announced during Q4 2024, they would be separating BMC into two separate businesses. As such, they are going through a giant transformation. I want to stay close to their plans and how it impacts user adoption.
R No
N Meet to complete roadmap planning update and complete Workforce Planning demo on 1/30/2025.</t>
  </si>
  <si>
    <t>a0rVT00001DXDZbYAP</t>
  </si>
  <si>
    <t>BMC is still in the implementation process. However, given their significant challenges with their implementation process and overall end user adoption, a wellness plan should be open while we work to further their adoption.</t>
  </si>
  <si>
    <t>Arthrex, Inc.</t>
  </si>
  <si>
    <t>Application Knowledge;Customer Ownership;Methodology Knowledge;Partner Management</t>
  </si>
  <si>
    <t>2026-05-29T18:13:34.000+0000</t>
  </si>
  <si>
    <t>2025-01-29T22:41:16.000+0000</t>
  </si>
  <si>
    <t>a3A4X000003YOZzUAO</t>
  </si>
  <si>
    <t>017VT0000GcCCVkYQO</t>
  </si>
  <si>
    <t>0014X00002aRrEiQAK</t>
  </si>
  <si>
    <t>Keep checking in with Joe (VP of Finance) all the same, plan is to cancel when renewal is up in December because team is small and Planning is unnecessary tool for them.</t>
  </si>
  <si>
    <t>{Industry=Hardlines, attributes={url=/services/data/v62.0/sobjects/Account/00130000008NNHlAAO, type=Account}, PS_Region_New__c=US Large Enterprise DI &amp; Mexico, Name=Home Depot Store Support, Inc.}</t>
  </si>
  <si>
    <t>Claudia was happy with what they use it for which is basic but in December they let us know they merged with Pathos AI and wanted to see if they could get out of agreement early.
Going to send email to follow up on our offer to help in any way we can since they will have access to instance through December 2025</t>
  </si>
  <si>
    <t>2026-09-18T13:07:56.000+0000</t>
  </si>
  <si>
    <t>2025-07-18T15:36:35.000+0000</t>
  </si>
  <si>
    <t>a3A4X000003YOa9UAG</t>
  </si>
  <si>
    <t>017VT0000GmuEiyYQE</t>
  </si>
  <si>
    <t>0018000000qYokvAAC</t>
  </si>
  <si>
    <t>a0rVT00001DX9xOYAT</t>
  </si>
  <si>
    <t>28/11/2024 (MM) - Kris is discussing swap scenario's for VNDLY, PPLA needs to be further discussed with Vero and Jo. I have been trying to get in touch with Vero to strategize on approach, but she's been unavailable. I will discuss at Rising.</t>
  </si>
  <si>
    <t>Arthur J Gallagher &amp; Co.</t>
  </si>
  <si>
    <t>TBD - Pending intro and  conversation Marnix (new CSM) with David Moonen. Notes to be refined today (March 5th) 
2de hierarchy/custom hierarchy was created in HCM and moved by Kainos to SBX (phase 2). Aliaxis signed off on this work, suggesting Aliaxis was comfortable to go live with this work and start using PPLA. However, 6 months later, the product was not in use and Aliaxis wanted to drop it from the subscription.</t>
  </si>
  <si>
    <t>2024-11-28T12:21:23.000+0000</t>
  </si>
  <si>
    <t>a0pVT00000Cq1HHYAZ</t>
  </si>
  <si>
    <t>a3A4X000003YObqUAG</t>
  </si>
  <si>
    <t>2026-09-24T20:32:18.000+0000</t>
  </si>
  <si>
    <t>0018000000sfZJTAA2</t>
  </si>
  <si>
    <t>017VT0000FyxLXfYQM</t>
  </si>
  <si>
    <t>25th Feb 
- Accor project owner has changed, introduction call completed, shared Peakon roadmap
- Peakon data science team engaged to support benchmarking request
- AE introduced and connected with Procurement. Price shared for 1 and 2 years renewal.</t>
  </si>
  <si>
    <t>{attributes={type=Account, url=/services/data/v62.0/sobjects/Account/0018000001B0SSuAAN}, SubRegion__c=Japan 2, PS_Sub_Region__c=Japan Sales 2, Industry=Technology Solutions, PS_Region_New__c=Japan, Name=Hitachi America, Ltd.}</t>
  </si>
  <si>
    <t>{attributes={url=/services/data/v62.0/sobjects/Account/0018000000nko8QAAQ, type=Account}, Name=Motorola Solutions, Inc., Industry=High Technology, PS_Region_New__c=US Large Enterprise DI &amp; Mexico}</t>
  </si>
  <si>
    <t>2026-08-26T02:07:25.000+0000</t>
  </si>
  <si>
    <t>0058000000EhJiTAAV</t>
  </si>
  <si>
    <t>017VT0000GU3UvPYQV</t>
  </si>
  <si>
    <t>a0rVT00001DXBRLYA5</t>
  </si>
  <si>
    <t>Articulate Global</t>
  </si>
  <si>
    <t>{PS_Region_New__c=US Large Enterprise DI &amp; Mexico, Industry=High Technology, attributes={type=Account, url=/services/data/v62.0/sobjects/Account/0018000000nko8QAAQ}, Name=Motorola Solutions, Inc.}</t>
  </si>
  <si>
    <t>US DI ME NN TM East</t>
  </si>
  <si>
    <t>2026-09-14T17:40:47.000+0000</t>
  </si>
  <si>
    <t>1. Product side :
• Inability to apply more than two filters on the results in the heatmap in Peakon: Following an investigation with the technical teams, it was determined that it is impossible to apply additional filters. 
In the email to Hubert Cotté, they mentioned they totally appreciate Workday has its own reporting capability and that they are encouraged to use it, to make the most of Peakon data. However, more and more company, especially considering the point above, are moving to a best-of-breed digital product architecture. We highly believe that Peakon should be more “integration friendly” with external solution, and developing connectors. This would also make it easier to comply with the GDPR than going through an external provider.
Product Architecture : following the point above, they strongly believe Peakon can benefit from embracing the best of breed architecture of their client. Today, they may feel that we need to take Workday full suite to make the most it, while this is not the direction we will take considering the complexity of their organization.
• Possibility of modifying questionnaire responses on hotels: It is impossible to prevent employees from revisiting the questionnaire after completion. The General Manager is therefore able to alter the results on the questionnaires through the Kiosk Code. As the General Manager distributes Kiosk Codes and will therefore know which employee has which Kiosk Code, he/she may know the content of the employee's answers. It would thereferore represent a breach in the employee's answers confidentiality.
• Matrix Management: The matrix reporting available in Peakon does not match what Accor wants to see. Accor is a decentralized company, with solid but also dotted reporting lines, spread in 113 countries and many subsidiaries, sometimes with their own operating model. More and more, Accor also acquires companies with adjacent activities : restaurant, boat, cabaret, food, e-commerce (Gekko, D-Edge, Paris Society, John Paul, VeryChic). This complex organization requires our tool to adapt which is difficult with Peakon. They feel very limited in terms of segment, organizational structure, visibility.
• Benchmark: The comparison for corporate offices with the hospitality industry is not suitable because they do not involve the same respondent profiles. 
• Separate HQ from Hotels : They want to separate the global environment they have in Peakon: HQ vs Hotels. After 2 years, they are finding it very difficult to operate the two populations in the same platform. The problem comes from the fact that they don't use the same attributes, the same data source, the same survey mode (email vs. kiosk codes) or the same frequency. They want to separate the 2 with a data transfer but it is not possible to import Peakon data into a Peakon account.
2. Cost of services: 
Paying support by the minute is a real pain point for Accor - they would like to go back to the system they had in the first year of the Peakon implementation, where they had support under a fixed-price model
3. Knowledge sharing: 
They lack a strong et clear understanding on how the solution works, to analyze and build predictive analysis, from a science standpoint. Specific point of concern around Peakon question algorithm.
4. Workday team : 
Two main contacts (Peakon FC and CSM). The model changed about 6 months ago (the CSM used to be the point of contact only, doing everything) and they are struggling to get used to the Workday approach.
They also feel sometimes like they are not treated like a strategic client by the Peakon FC.
ACTIONS DONE:
- December 14th 2023: Meeting in person with Fanny Laude, Mathilde Trigeaud (replacement for Marine Le Sage during her mat leave), Suzanne Merel and Lisa Ortu to discuss the issues
- December 21st 2023: Call with Fanny Laude and Anne-Sofie Nielsen, VP Product Peakon
- February 20th 2024: Meeting in person with Fanny Laude and Hubert Cotté, positioned as Executive Sponsor for Accor
- Solution of the Data Export API proposed to export data and make the cuts and filtering needed in a BI tool, Accor spoke with their legal team and they didn't not approve this approach for now, topic will be reopen soon for a project at a larger scale in HR with Tableau
- March 2024: FIC with 45 hours of Peakon Functional Consultant support for free
- May 2nd: Strategy Workshop in person in Paris with Lisa Ortu (CSM) and Céline Nembrard (CS leader EMEA South Named)
- Change of Peakon Functional Consultant: new FC introduced on May 7th. Positive feedback from Marine and Fanny Laude
- Onboarding refreshers organised by Fatma (new FC) to increase the knowledge of the Accor team
- May 14th: Meeting with Peakon Data Science team, Lisa Ortu (CSM) and Fatma Malling (Peakon FC) to explore how they can help with some of their needs that the roadmap is not covering (additional filters, kiosk codes usage discrepancy, matrix management)
- May 15th: Peakon roadmap presentation and Product Inputs update. Strategy presented by Michael Dean and roadmap / PI updates presented by Ken Klaus. Difficult conversation because the Product will not evolve the way Accor wants (additional filters and matrix management are the two pain points)
- May 28th: Meeting with Lisa (CSM) and Fatma (FC) to present and agree on a new governance model and next tools for a better collaboration (Trello Board &amp; Smartsheet tracker). Discuss Strategy Services to help them with their Engagement strategy
- Option to have a report produced by Peakon Data Science team after each hotel survey to show discrepancies with kiosk codes. Proposal sent on Friday 14th June. 
- June 18th: Email from Ken Klaus to clarify that the heatmap filters and matrix management are not in the Peakon Product roadmap and won't be in the future
- June 20th 2024: Meeting with Céline Nembrard, Lisa (CSM), Nathan (new CSM), and Fatma (FC) to talk about the actions from the Strategy workshop and expose the situation clearly regarding the solutions proposed for the Product changes they are asking for
- Fatma to look into making the attributes more structured in Peakon to differentiate HQ from Hotels
- June 21st 2024: Matrix management technical meeting to explore workarounds to meet their needs with an integration with SAP. Lisa (CSM), Nathan (new CSM), Fatma (FC), Gustav Jonsson (Sr Product Manager Peakon Product Management) and Raj Elanganathan (Solution Consulting EMEA)</t>
  </si>
  <si>
    <t>017VT0000GBAz5MYQT</t>
  </si>
  <si>
    <t>2025-02-25T12:04:53.000+0000</t>
  </si>
  <si>
    <t>a3A4X000003hoC9UAI</t>
  </si>
  <si>
    <t>{PS_Region_New__c=US Medium Enterprise DI, Industry=Software &amp; Platforms, Name=WellSky Corporation, attributes={url=/services/data/v62.0/sobjects/Account/0011B00002FeKZCQA3, type=Account}}</t>
  </si>
  <si>
    <t>0011B000024SqlrQAC</t>
  </si>
  <si>
    <t>a0pVT00000CpkErYAJ</t>
  </si>
  <si>
    <t>2026-09-02T18:31:01.000+0000</t>
  </si>
  <si>
    <t>a0rVT00001DWr2oYAD</t>
  </si>
  <si>
    <t>Walton Enterprises is divesting several businesses, remaining entity will be extremely small, going PEO route with Trinet. The remaining business will have less than 75 employees and they will be seeking a smaller solution to manage this group. The customer has been guided to submit an off-boarding case with Workday Support. CSM has no actions, submitting the case for awareness to Walton's organizational changes that are impacting Workday.</t>
  </si>
  <si>
    <t>017VT0000GKdpNcYQJ</t>
  </si>
  <si>
    <t>a0rVT00001DXF9xYAH</t>
  </si>
  <si>
    <t>2023-11-01T15:46:30.000+0000</t>
  </si>
  <si>
    <t>a3A4X000003hoSgUAI</t>
  </si>
  <si>
    <t>Ascensus, LLC</t>
  </si>
  <si>
    <t>001VT00000b2Tv4YAE</t>
  </si>
  <si>
    <t>0011B00002CXXPyQAP</t>
  </si>
  <si>
    <t>{PS_Region_New__c=US Large Enterprise DI &amp; Mexico, Name=Equinix, Inc., Industry=Technology Solutions, attributes={type=Account, url=/services/data/v62.0/sobjects/Account/0013000000KzsLhAAJ}}</t>
  </si>
  <si>
    <t>{attributes={type=Account, url=/services/data/v62.0/sobjects/Account/001VT00000b2Tv4YAE}, PS_Region_New__c=UKI, Name=Taco Bell UK and Europe, SubRegion__c=UKI RHT ME NN, Industry=Restaurant &amp; Food Service, PS_Sub_Region__c=UKI RHT}</t>
  </si>
  <si>
    <t>2026-09-08T20:22:49.000+0000</t>
  </si>
  <si>
    <t>11/14/23:
Hi Guys,
I apologize for having gone dark for quite some time. We had some significant organizational shifts and I had a few personal developments as well. Nonetheless, it wasn't professional at all to have gone entirely silent.
We do have quite a bit to cover tomorrow and I will be joining the meeting.
Thanks,
Mike (McGee)
News to share: They are moving away from Adaptive. Org has changed over time, org was "less serious" back in 2019 when they started with us. The rebuild they did in 2021 overall was not as successful as they wanted across the org (per leadership, not Mike &amp; Alex) although Mike and Alex felt they were headed in the right direction. Lots of finger pointing within the org, lots of politics internally. CFO felt like Adaptive was "making him look bad."  "Nothing to do with Adaptive" specifically, leadership not knowing what they wanted, people didn't want to adopt the tool. lots of user errors due to this.
Moving to Oracle/NetSuite PBCS
Can we talk to their CFO? - no, we're way passed this, they have decided already. "Mistakes have been made and it was easier to blame a system."
"Would not be surprised if we came back to Adaptive." - Mike
Procurement will want to talk about contract, current FSE deal runs through 1/31/26. Told them no changes to contract, installments will still need to be paid. If he thinks they will come back to Adaptive, they have this whole time to use.
Next steps:
-Close out sandbox renewal
-Procurement will want to chat, let Chris Gee know of developments</t>
  </si>
  <si>
    <t>0054X00000EZZTOQA5</t>
  </si>
  <si>
    <t>Application Knowledge;Customer Turnover</t>
  </si>
  <si>
    <t>2023-11-15T17:34:15.000+0000</t>
  </si>
  <si>
    <t>017VT0000FrzgWOYQY</t>
  </si>
  <si>
    <t>a3A4X000003hoyrUAA</t>
  </si>
  <si>
    <t>0018000000pMGd6AAG</t>
  </si>
  <si>
    <t>{Name=Deutsche Bank AG, Industry=Banking &amp; Capital Markets, attributes={url=/services/data/v62.0/sobjects/Account/0013000000HpdzHAAR, type=Account}, PS_Region_New__c=DACH}</t>
  </si>
  <si>
    <t>1/21/2023 - Customer has been more responsive but she still does not know who is using the platform if at all due to the mass exodus of the finance team. After the M&amp;A between Datto and Kaseya, everyone who used Adaptive left leaving no knowledge of the platform to others. A lot of changes happening internally with C-Level changes</t>
  </si>
  <si>
    <t>Customer has been unresponsive to outreaches but finally have them engaged. With the merger that happened last year with another Adaptive customer who churned, they have lost sight on where Adaptive stands today. They still see a need for it but there has been a lot of changes and a lot of unknown with the future. New CAO coming onboard and might have impact on decision</t>
  </si>
  <si>
    <t>2026-08-21T16:34:41.000+0000</t>
  </si>
  <si>
    <t>2024-01-02T14:02:34.000+0000</t>
  </si>
  <si>
    <t>a0rVT00001DXEQnYAP</t>
  </si>
  <si>
    <t>a3A4X000003hozVUAQ</t>
  </si>
  <si>
    <t>017VT0000FtvCjcYQE</t>
  </si>
  <si>
    <t>ASML Netherlands B.V.</t>
  </si>
  <si>
    <t>0011B00002CXTfhQAH</t>
  </si>
  <si>
    <t>Non-Landed Country. India.
Adoption aligns with subs, however customer undertaking budgetary cuts across their business.
No desire to partner with Workday, nor commitment to timelines.
Reviewing the market/</t>
  </si>
  <si>
    <t>{Name=Deutsche Bank AG, Industry=Banking &amp; Capital Markets, PS_Region_New__c=DACH, attributes={type=Account, url=/services/data/v62.0/sobjects/Account/0013000000HpdzHAAR}}</t>
  </si>
  <si>
    <t>2023-11-29T01:38:22.000+0000</t>
  </si>
  <si>
    <t>a3A4X000003hozfUAA</t>
  </si>
  <si>
    <t>2026-08-22T20:09:12.000+0000</t>
  </si>
  <si>
    <t>a0pVT00000CpxDgYAJ</t>
  </si>
  <si>
    <t>0011B00002CXUENQA5</t>
  </si>
  <si>
    <t>017VT0000Gbwx3UYQQ</t>
  </si>
  <si>
    <t>Negative NSC feedback. Awaiting response to outreach. Meeting scheduled 06-Dec-23</t>
  </si>
  <si>
    <t>2023-11-29T05:33:06.000+0000</t>
  </si>
  <si>
    <t>a3A4X000003hp4uUAA</t>
  </si>
  <si>
    <t>{Name=Deutsche Bank AG, attributes={url=/services/data/v62.0/sobjects/Account/0013000000HpdzHAAR, type=Account}, Industry=Banking &amp; Capital Markets, PS_Region_New__c=DACH}</t>
  </si>
  <si>
    <t>0014X00002OsV6GQAV</t>
  </si>
  <si>
    <t>a0rVT00001DXCtdYAH</t>
  </si>
  <si>
    <t>Customer is self sufficient atm but open to working with a new partner,.</t>
  </si>
  <si>
    <t>{PS_Region_New__c=UKI, SubRegion__c=UKI RHT ME NN, Name=Taco Bell UK and Europe, attributes={type=Account, url=/services/data/v62.0/sobjects/Account/001VT00000b2Tv4YAE}, PS_Sub_Region__c=UKI RHT, Industry=Restaurant &amp; Food Service}</t>
  </si>
  <si>
    <t>2026-09-18T09:32:34.000+0000</t>
  </si>
  <si>
    <t>Team is heavily reliant on third party partners to maintain their model. Use case has consistently gone down since April of this year and team is historically hard to get a response from. 
Make sure they are still engaged with a a partner or ES. Will run business review during renewal call.</t>
  </si>
  <si>
    <t>Aspen Skiing Company, LLC</t>
  </si>
  <si>
    <t>017VT0000Gqw9wNYQQ</t>
  </si>
  <si>
    <t>2025-01-24T11:29:32.000+0000</t>
  </si>
  <si>
    <t>US DI LE NN RHT West</t>
  </si>
  <si>
    <t>{Industry=Banking &amp; Capital Markets, Name=Deutsche Bank AG, attributes={url=/services/data/v62.0/sobjects/Account/0013000000HpdzHAAR, type=Account}, PS_Region_New__c=DACH}</t>
  </si>
  <si>
    <t>2026-09-28T08:34:29.000+0000</t>
  </si>
  <si>
    <t>017VT0000FRFLwQYQX</t>
  </si>
  <si>
    <t>{Industry=Insurance, Name=Government Employees Insurance Company, attributes={url=/services/data/v62.0/sobjects/Account/0013000000K9xaXAAR, type=Account}, PS_Region_New__c=US FSI}</t>
  </si>
  <si>
    <t>a0rVT00001DX9XZYA1</t>
  </si>
  <si>
    <t>2026-08-03T13:55:40.000+0000</t>
  </si>
  <si>
    <t>0054X00000Dwi2xQAB</t>
  </si>
  <si>
    <t>Asphalt Buyer II, LLC D/B/A American Tire Distributors</t>
  </si>
  <si>
    <t>a0pVT00000CqAFiYAN</t>
  </si>
  <si>
    <t>017VT0000G7iXQlYQM</t>
  </si>
  <si>
    <t>a3A4X000003hp6CUAQ</t>
  </si>
  <si>
    <t>{attributes={type=Account, url=/services/data/v62.0/sobjects/Account/0013000000K9xaXAAR}, Name=Government Employees Insurance Company, Industry=Insurance, PS_Region_New__c=US FSI}</t>
  </si>
  <si>
    <t>0011B00002CXWOQQA5</t>
  </si>
  <si>
    <t>2026-09-01T00:05:19.000+0000</t>
  </si>
  <si>
    <t>Nations Reliable Lending is moving from Favorable to Unfavorable due costs &amp; executive leadership decisions based on the industry that they are in.
Cost &amp; Internal Executive Leadership: 
Cost: Their company is getting strict on spend due to the industry 
Internal Executive Leadership: Due to the industry and how the market is going - They are in real estate and that is something that is extremely complicated and lacking in since Covid with companies, interest rates, etc. 
They have been very unresponsive since they had signed their renewal due to the large increase. Action Plan is to continue reaching out and try and get them live to see where they are at and what to expect in the future with Adaptive. 
As for usage, Tableau has been off. In one section, it shows they have had 3 users in the last 3 months and 5 users in the last 6 months. But in another section, it shows they have had 0 logins in since July 21st.</t>
  </si>
  <si>
    <t>{SubRegion__c=UKI RHT ME NN, Industry=Restaurant &amp; Food Service, PS_Sub_Region__c=UKI RHT, Name=Taco Bell UK and Europe, attributes={url=/services/data/v62.0/sobjects/Account/001VT00000b2Tv4YAE, type=Account}, PS_Region_New__c=UKI}</t>
  </si>
  <si>
    <t>Internal;COVID-19</t>
  </si>
  <si>
    <t>017VT0000FSSONmYQP</t>
  </si>
  <si>
    <t>2024-07-19T13:18:15.000+0000</t>
  </si>
  <si>
    <t>a3A4X000003hp6RUAQ</t>
  </si>
  <si>
    <t>0011B00002CXWn6QAH</t>
  </si>
  <si>
    <t>Working through renewal. They threatened cancellation unless we provide very competitive pricing. Sent over a very fair renewal of 5% with flat fees.</t>
  </si>
  <si>
    <t>{attributes={type=Account, url=/services/data/v62.0/sobjects/Account/00180000010yfsJAAQ}, PS_Region_New__c=UKI, Industry=Media &amp; Entertainment, Name=Power Leisure Bookmakers Limited}</t>
  </si>
  <si>
    <t>Customer is upset about the escalating fees for the second year in a row even though they opted for the more expensive pricing and worse terms. During the renewal call they had a strong negative reaction to the pricing and mentioned that they had a "limited usecase" and they were looking at competitors. When asked what stage of the evaluation they were in and what solutions they were looking at they said, "all of them, all of your competitors". Evaluation is unlikely but possible. Will most likely renew. The most concerning comments were the lack of perceived value in product enhancements and the pushback on CPI and innovation index. I have tried to set up Enablement calls and journey calls with the customer and it is challenging to get things scheduled and they typically have a sour attitude.</t>
  </si>
  <si>
    <t>2026-08-04T09:39:18.000+0000</t>
  </si>
  <si>
    <t>Application Knowledge;Methodology Knowledge</t>
  </si>
  <si>
    <t>0054X00000Fa1txQAB</t>
  </si>
  <si>
    <t>2024-01-03T16:39:46.000+0000</t>
  </si>
  <si>
    <t>017VT0000Fam7biYQA</t>
  </si>
  <si>
    <t>a3A4X000003hp7PUAQ</t>
  </si>
  <si>
    <t>a0rVT00001DX5H2YAL</t>
  </si>
  <si>
    <t>0018000000vT0W8AAK</t>
  </si>
  <si>
    <t>Asset Living</t>
  </si>
  <si>
    <t>{Industry=Investment Management, attributes={url=/services/data/v62.0/sobjects/Account/0013000000J0qX9AAJ, type=Account}, PS_Region_New__c=US FSI, Name=The Capital Group Companies, Inc.}</t>
  </si>
  <si>
    <t>January 8, Marieke van Rossem- Focus on Data loss. Ana (the exec sponsor) is involved as well. Will have Exec read out of our assessment on the issue next week with the adaptive tenant. Our lunch with Rense for next week will be rescheduled.</t>
  </si>
  <si>
    <t>2026-08-10T17:21:03.000+0000</t>
  </si>
  <si>
    <t>Stage has criticized that Deloitte and WD deployment could have been better. 
- Go live HCM 2018
- Go live Finance in January 2024. 
- Suggestion: do a review and recommend with them. It seems like their HCM (live in 2018) was not ready prior to their implementation of finance. Their HCM has not had much innovation since then
- low score of 3 for NSC from Rense Mandema Director Group control.
Actions:
-	We gave them a free ticket to Rising EMEA 23
-	Four of them went to WD Elevate NL
-	They have had several interactions with teamed model CSMs as a CS introduction and support models. 
-	We continue to engage with them, first step is Adoption &amp; roadmap planning session. And they are aware on how to raise CS support cases
-	It seems like the person that is still dissatisfied is Rense Mandema but for the rest we feel that they are engaged and satisfied. 
&gt;We will leave this wellness plan open until we feel like their sentiment improves.</t>
  </si>
  <si>
    <t>017VT0000FHaFo2YQF</t>
  </si>
  <si>
    <t>2025-03-13T09:25:08.000+0000</t>
  </si>
  <si>
    <t>a3A4X000003hpDxUAI</t>
  </si>
  <si>
    <t>0014X00002OsVIWQA3</t>
  </si>
  <si>
    <t>a0pVT00000CqBA9YAN</t>
  </si>
  <si>
    <t>{attributes={type=Account, url=/services/data/v62.0/sobjects/Account/001VT00000dMdylYAC}, Industry=Auto, Name=Epika Fleet Services, Inc, PS_Region_New__c=US Medium Enterprise DI}</t>
  </si>
  <si>
    <t>1/9/24 LL - LIMITED ENGAGEMENT / RISK OF TURNOVER. Still have not heard back from anyone at the organization. I've followed up via email regularly to Maria and Murtaza in an attempt to make contact. Donia is no longer with the org. Explained they have owned the tool since 2021. Provided resources, attachments, and links via email to demonstrate value of Adaptive. Have also offered to schedule a meeting to connect. Sent an AI / ML email to spark interest on a new email thread to see if they are interested in me sending resources. Renewal is not until 7/4/2026. Next step: Will loop in AE by next Spring if I don't hear back.</t>
  </si>
  <si>
    <t>2026-07-27T15:44:53.000+0000</t>
  </si>
  <si>
    <t>8/29/24 LL - LIMITED ENGAGEMENT / RISK OF TURNOVER. Non-responsive after many reach-outs by CBAE and CSM.</t>
  </si>
  <si>
    <t>0054X00000DvMFEQA3</t>
  </si>
  <si>
    <t>2025-01-09T22:02:00.000+0000</t>
  </si>
  <si>
    <t>017VT0000E0hYouYQE</t>
  </si>
  <si>
    <t>a3A4X000003hpOVUAY</t>
  </si>
  <si>
    <t>{PS_Region_New__c=UKI, Industry=Restaurant &amp; Food Service, Name=Taco Bell UK and Europe, SubRegion__c=UKI RHT ME NN, attributes={type=Account, url=/services/data/v62.0/sobjects/Account/001VT00000b2Tv4YAE}, PS_Sub_Region__c=UKI RHT}</t>
  </si>
  <si>
    <t>0018000000qZJTrAAO</t>
  </si>
  <si>
    <t>04.28.2025 UPDATE
CBAE has finalized a renewal that will separate HCM and Finance -  Financial SKUs are on a one-year agreement while they move to Yardy. At the end of the one-year agreement, they will drop all FINS SKUs (FINS, Planning, Expenses, Procurement). This is a result of M&amp;A activity.</t>
  </si>
  <si>
    <t>{PS_Region_New__c=US Healthcare, Industry=Ambulatory, attributes={type=Account, url=/services/data/v62.0/sobjects/Account/0018000001WAo9oAAD}, Name=PM Pediatrics Management Group, LLC}</t>
  </si>
  <si>
    <t>a0rVT00001DX66gYAD</t>
  </si>
  <si>
    <t>Risk of dropped skus or churn due to M&amp;A activities.
Retirement Homes form Revera Inc are sold to Cogir (prospect) which also acquired other Retirement Homes that are not Workday Customer.  The management company is frugal and considers Workday to be expensive (form Deloitte's Partner).</t>
  </si>
  <si>
    <t>Assurant, Inc.</t>
  </si>
  <si>
    <t>2026-06-11T17:58:48.000+0000</t>
  </si>
  <si>
    <t>2025-04-29T22:04:56.000+0000</t>
  </si>
  <si>
    <t>a3A4X000003hpmcUAA</t>
  </si>
  <si>
    <t>017VT0000EKMc5gYQD</t>
  </si>
  <si>
    <t>0011B00002CXXNOQA5</t>
  </si>
  <si>
    <t>{Name=PM Pediatrics Management Group, LLC, attributes={type=Account, url=/services/data/v62.0/sobjects/Account/0018000001WAo9oAAD}, Industry=Ambulatory, PS_Region_New__c=US Healthcare}</t>
  </si>
  <si>
    <t>Sold to Charger Investment Partners in '23, customer gave notice of intent to not renew in Q2 '23 citing new ownership has no plans in renewing licensing agreement</t>
  </si>
  <si>
    <t>a0rVT00001DXFhpYAH</t>
  </si>
  <si>
    <t>AssuredPartners, Inc.</t>
  </si>
  <si>
    <t>2026-06-23T23:46:35.000+0000</t>
  </si>
  <si>
    <t>017VT0000FNeJ1nYQF</t>
  </si>
  <si>
    <t>2024-01-11T16:48:03.000+0000</t>
  </si>
  <si>
    <t>a0pVT00000Cq2zkYAB</t>
  </si>
  <si>
    <t>{Name=Centene Corporation, Industry=Health Insurance, PS_Region_New__c=US Healthcare, attributes={type=Account, url=/services/data/v62.0/sobjects/Account/0013000000KLLN2AAP}}</t>
  </si>
  <si>
    <t>a0rVT00001DWrMAYA1</t>
  </si>
  <si>
    <t>a3A4X000003hq1IUAQ</t>
  </si>
  <si>
    <t>2026-07-31T13:38:48.000+0000</t>
  </si>
  <si>
    <t>0051B00000Dgl96QAB</t>
  </si>
  <si>
    <t>a0rVT00001DX6Q1YAL</t>
  </si>
  <si>
    <t>001VT00000b2WrLYAU</t>
  </si>
  <si>
    <t>017VT0000FXgGODYQ3</t>
  </si>
  <si>
    <t>AstraZeneca UK Limited</t>
  </si>
  <si>
    <t>{Industry=Post Acute, SubRegion__c=US Healthcare ME NN Southeast, PS_Sub_Region__c=Healthcare ME, Name=IntelliChoice Home Care, attributes={type=Account, url=/services/data/v62.0/sobjects/Account/001VT00000b2WrLYAU}, PS_Region_New__c=US Healthcare}</t>
  </si>
  <si>
    <t>{Name=KION Information Management Services GmbH, attributes={type=Account, url=/services/data/v62.0/sobjects/Account/0018000000shOb8AAE}, PS_Region_New__c=DACH, Industry=Industrial Manufacturing}</t>
  </si>
  <si>
    <t>2026-08-07T11:35:36.000+0000</t>
  </si>
  <si>
    <t>0054X00000DSmThQAL</t>
  </si>
  <si>
    <t>017VT0000F2W3ctYQC</t>
  </si>
  <si>
    <t>{Name=argenx BV, attributes={type=Account, url=/services/data/v62.0/sobjects/Account/0011B00002FbtaGQAR}, Industry=Professional Services, PS_Region_New__c=EMEA North}</t>
  </si>
  <si>
    <t>a0rVT00001DX0NqYAL</t>
  </si>
  <si>
    <t>0011B00002CXTnRQAX</t>
  </si>
  <si>
    <t>2026-07-21T15:41:08.000+0000</t>
  </si>
  <si>
    <t>017VT0000GoNO7SYQW</t>
  </si>
  <si>
    <t>a0pVT00000Cpt8QYAR</t>
  </si>
  <si>
    <t>Main contact point Leiah Dark left company. New CFO and Elly working to learn AP. 
Workday CSM will need to align with customer to support them.</t>
  </si>
  <si>
    <t>a0rVT00001DWrR0YAL</t>
  </si>
  <si>
    <t>001VT00000b2XNdYAM</t>
  </si>
  <si>
    <t>{Industry=Other Healthcare, attributes={type=Account, url=/services/data/v62.0/sobjects/Account/00180000010GkBhAAK}, PS_Region_New__c=US Healthcare, Name=Medical Transportation Management, Inc.}</t>
  </si>
  <si>
    <t>2025-01-02T00:28:57.000+0000</t>
  </si>
  <si>
    <t>{PS_Sub_Region__c=ME Commercial East, Industry=Professional Services, SubRegion__c=US DI Commercial NN Mid-Atlantic, Name=Pivot Workforce, attributes={url=/services/data/v62.0/sobjects/Account/001VT00000b2XNdYAM, type=Account}, PS_Region_New__c=US Medium Enterprise DI}</t>
  </si>
  <si>
    <t>a3A4X000003hq2fUAA</t>
  </si>
  <si>
    <t>2026-09-26T00:51:53.000+0000</t>
  </si>
  <si>
    <t>0018000000WsonfAAB</t>
  </si>
  <si>
    <t>a0rVT00001DXEVeYAP</t>
  </si>
  <si>
    <t>Atrium Hospitality LP</t>
  </si>
  <si>
    <t>005VT00000BgILZYA3</t>
  </si>
  <si>
    <t>10-20-2025 No material update. CSM and CBAE have reached out requesting a meeting but the customer has declined. This customer is part of University of Arizona and Workday has an active sales opportunity there. If this does close in the future, this customer may stay with Workday. As of now, this customer will leave Workday after the contract expires.</t>
  </si>
  <si>
    <t>017VT0000Guo50hYQA</t>
  </si>
  <si>
    <t>{PS_Region_New__c=US Healthcare, attributes={type=Account, url=/services/data/v62.0/sobjects/Account/00180000010GkBhAAK}, Name=Medical Transportation Management, Inc., Industry=Other Healthcare}</t>
  </si>
  <si>
    <t>a0pVT00000Cq8sEYAR</t>
  </si>
  <si>
    <t>Wellness plan to prevent use as a reference:  This customer is in a holding pattern.  They are being merged (absorbed) by The University of Arizona, a PeopleSoft customer.  In June 2023, they informed us that they would be leaving WD, and signed a one-year agreement for their transition.
Peggy Phelps is still actively engaged to save the account and flip University of Arizona to Workday.</t>
  </si>
  <si>
    <t>a0rVT00001DWrb5YAD</t>
  </si>
  <si>
    <t>M&amp;A</t>
  </si>
  <si>
    <t>2026-09-30T16:54:42.000+0000</t>
  </si>
  <si>
    <t>2025-10-21T00:08:36.000+0000</t>
  </si>
  <si>
    <t>0051B00000DhxiKQAR</t>
  </si>
  <si>
    <t>017VT0000FT0S3RYQV</t>
  </si>
  <si>
    <t>a3A4X000003hq2zUAA</t>
  </si>
  <si>
    <t>00180000010GevnAAC</t>
  </si>
  <si>
    <t>{SubRegion__c=US DI ME NN PBS Pacific, Industry=Architecture, Engineering &amp; Construction, PS_Sub_Region__c=ME NN PBS, attributes={type=Account, url=/services/data/v62.0/sobjects/Account/00180000010GevnAAC}, PS_Region_New__c=US Medium Enterprise DI, Name=Source Refrigeration &amp; Hvac, Inc.}</t>
  </si>
  <si>
    <t>0014X00002Ovt9vQAB</t>
  </si>
  <si>
    <t>{attributes={url=/services/data/v62.0/sobjects/Account/0014X00002XJYtIQAX, type=Account}, Name=Arcus Biosciences, Inc., PS_Region_New__c=US Medium Enterprise DI, Industry=Software &amp; Platforms}</t>
  </si>
  <si>
    <t>a0rVT00001DXAlNYAX</t>
  </si>
  <si>
    <t>03/06/25 - We received an email from the customer (Greg Price, VP of People) that they will not be renewing Workday. I have sent the email to Mark Fangmeyer for assistance.</t>
  </si>
  <si>
    <t>2026-08-04T17:54:16.000+0000</t>
  </si>
  <si>
    <t>Autism Learning Partners</t>
  </si>
  <si>
    <t>005VT00000KdWvlYAF</t>
  </si>
  <si>
    <t>017VT0000Fl3h6SYQQ</t>
  </si>
  <si>
    <t>Workday Accounts Receivable has consistently contacted Nomi Health since Spring 2023 regarding overdue invoices. Despite efforts to resolve the issue, Nomi has been uncooperative and still not made any payments. They claim their original contract terms were supported by an individual whose no longer at their organization and argue these terms don’t accurately reflect their current structure and decrease in workforce. 
Consequently, a final demand letter is being prepared and they'll be sent to third-party collections for approximately $570k.</t>
  </si>
  <si>
    <t>a0pVT00000Cq5rCYAR</t>
  </si>
  <si>
    <t>{PS_Region_New__c=US Medium Enterprise DI, attributes={url=/services/data/v62.0/sobjects/Account/0014X00002XJYtIQAX, type=Account}, Industry=Software &amp; Platforms, Name=Arcus Biosciences, Inc.}</t>
  </si>
  <si>
    <t>a0rVT00001DWrb6YAD</t>
  </si>
  <si>
    <t>2025-03-06T19:00:17.000+0000</t>
  </si>
  <si>
    <t>2026-08-17T12:49:15.000+0000</t>
  </si>
  <si>
    <t>0018000001MISf3AAH</t>
  </si>
  <si>
    <t>017VT0000GAtfipYQB</t>
  </si>
  <si>
    <t>{PS_Region_New__c=US Healthcare, Name=Stanford Health Care, SubRegion__c=US Healthcare LE CB West, Industry=Acute Hospital / Health System, attributes={url=/services/data/v62.0/sobjects/Account/0018000001MISf3AAH, type=Account}, PS_Sub_Region__c=Healthcare LE}</t>
  </si>
  <si>
    <t>a3A4X000003hq5eUAA</t>
  </si>
  <si>
    <t>{Name=BlackRock, Inc., Industry=Investment Management, attributes={url=/services/data/v62.0/sobjects/Account/0013000000HpdroAAB, type=Account}, PS_Region_New__c=US FSI}</t>
  </si>
  <si>
    <t>0014X00002MCpudQAD</t>
  </si>
  <si>
    <t>2026-09-02T15:35:47.000+0000</t>
  </si>
  <si>
    <t>Ab:20/09
Jeannine Meyer from ISE has provided 2 demos on the proposed solution for scheduling.  Mukesh the Medivet PM let us know that the deadline for the full scheduling solution to be delivered is 31/03
The Ops team Hannah Scanlon and Lisa Gray are not tech savvy and need alot of handholding,
Call 17/01 with the Ops team they requested:
•	HS: Scaling up the solution to reflect One hospital site and multiple feeder branches.
•	LG: Raised a concern in regard to the EIB and any negative impact this may have on our production tenant
  HS: Still required, A full end to end demonstration of the solution to include workflow to Timesheets.
I have explained that Kanos will do this via configuration, and then testing.
Mukesh has given them a timeframe of 11 weeks so it is not going to be live by 31/03 
Call 21/01 with Mukesh - Medivet, Rhiannon - Kainos and Aileen to plan scjeduling go -live
UK payroll is still at risk</t>
  </si>
  <si>
    <t>017VT0000GAvykuYQB</t>
  </si>
  <si>
    <t>{attributes={url=/services/data/v62.0/sobjects/Account/0013000000HpdroAAB, type=Account}, PS_Region_New__c=US FSI, Industry=Investment Management, Name=BlackRock, Inc.}</t>
  </si>
  <si>
    <t>A  commercial escalation has been raised by Claire the CIO of Medivet, requesting non payment of subs due in January.
Medivet signed their initial contract in JUly 2023, after a swift sales cycle.  Subsequently they have fired the Workday contractor who as their internal PM and have delayed their implementation project due to  significant delays on post-acquisition standardisation of T&amp;Cs.
Actions taken sofar:
1 - Call with Rhiannon Lawler the Kainos Account Manager to gain more detail of project issues
2- Internal WD call with RSD, and NEt NEw RSD , with previous CSM to ain background.
Proposed action:
Sales will lead a call on the commercial discussion
A three way call with kainos, Workday, Medivet on re-planning the project and explicit call outs of what has to be in place for Medivet to proceed and have succful deployment</t>
  </si>
  <si>
    <t>a0pVT00000Cq2y7YAB</t>
  </si>
  <si>
    <t>2026-09-02T15:40:05.000+0000</t>
  </si>
  <si>
    <t>2025-01-20T11:50:56.000+0000</t>
  </si>
  <si>
    <t>a0rVT00001DWrb7YAD</t>
  </si>
  <si>
    <t>017VT0000Gl6d2NYQQ</t>
  </si>
  <si>
    <t>a3A4X000003hq7aUAA</t>
  </si>
  <si>
    <t>0018000001TB3PeAAL</t>
  </si>
  <si>
    <t>{PS_Region_New__c=US Large Enterprise DI &amp; Mexico, attributes={type=Account, url=/services/data/v62.0/sobjects/Account/0018000001TB3PeAAL}, SubRegion__c=US DI LE NN MFG West, PS_Sub_Region__c=Diversified Industries LE NN, Industry=Materials, Name=G3 Enterprises, Inc.}</t>
  </si>
  <si>
    <t>0018000000qYt4TAAS</t>
  </si>
  <si>
    <t>{Name=BlackRock, Inc., PS_Region_New__c=US FSI, attributes={url=/services/data/v62.0/sobjects/Account/0013000000HpdroAAB, type=Account}, Industry=Investment Management}</t>
  </si>
  <si>
    <t>Customer has not engaged since value read out
next steps- align w/customer on roadmap for 2025
risk: sentiment</t>
  </si>
  <si>
    <t>2026-09-23T17:48:15.000+0000</t>
  </si>
  <si>
    <t>Customer moved into Production early 2024- Connected with Engagement Mgr, (Jerremy Jarvis) who identified Terrebone payroll process issues (not workday functionality) 
Customer has unique payroll cycle (review mon into tues, pay on thursday, lots of manual auditing.) Too short turn around time, employees working late hours to audit. Would benefit from ask an expert/consulting type service to re-examine payroll process to obtain full value from workday functionality</t>
  </si>
  <si>
    <t>017VT0000Gl80WEYQY</t>
  </si>
  <si>
    <t>2025-03-05T17:12:23.000+0000</t>
  </si>
  <si>
    <t>a3A4X000004AOESUA4</t>
  </si>
  <si>
    <t>{attributes={url=/services/data/v62.0/sobjects/Account/0013000000HpdroAAB, type=Account}, PS_Region_New__c=US FSI, Name=BlackRock, Inc., Industry=Investment Management}</t>
  </si>
  <si>
    <t>a0rVT00001DXF0HYAX</t>
  </si>
  <si>
    <t>0014X00002XHOJ9QAP</t>
  </si>
  <si>
    <t>a0pVT00000Cq2d8YAB</t>
  </si>
  <si>
    <t>2026-09-23T17:48:37.000+0000</t>
  </si>
  <si>
    <t>Other Technology</t>
  </si>
  <si>
    <t>03.12.2025 - UPDATE
The project to merge this tenant into the Extendicare tenant is underway with a target go-live date of June 2025.
That said, once the project is complete, the plan is to drop this tenant/agreement. It is up for renewal in July 2024 and it will be extended until the merge with Extendicare is finalized and they are comfortable with not needing this tenant anymore. Norm is working on that with Katie and there is language in the contract to allow for a short-term renewal.
The purpose of this tenant/agreement was to hold the ex-Revera employees, the plan was always to bring them over to the Extendicare instance. That said, there will be a fairly substantial growth event for Extendicare when that does happen.
For future updates, please see the adoption plan - https://workday--jbcxm.vf.force.com/one/one.app#eyJjb21wb25lbnREZWYiOiJvbmU6YWxvaGFQYWdlIiwiYXR0cmlidXRlcyI6eyJhZGRyZXNzIjoiaHR0cHM6Ly93b3JrZGF5LS1qYmN4bS52Zi5mb3JjZS5jb20vYXBleC9HYWluc2lnaHROWFQjc3VjY2Vzc3BsYW4lMjMlMkZzaW5nbGUlMkZkZXRhaWxzJTJGMVMwMlBSN1AyTlk0OVJCMU9BRzRSMkxLWjkwQ042UFc1Nlc3In19</t>
  </si>
  <si>
    <t>{SubRegion__c=US DI LE NN MFG West, Name=G3 Enterprises, Inc., attributes={type=Account, url=/services/data/v62.0/sobjects/Account/0018000001TB3PeAAL}, PS_Sub_Region__c=Diversified Industries LE NN, Industry=Materials, PS_Region_New__c=US Large Enterprise DI &amp; Mexico}</t>
  </si>
  <si>
    <t>017VT0000EZdDhwYQF</t>
  </si>
  <si>
    <t>NA Partner Innovation &amp; Marketplace 2</t>
  </si>
  <si>
    <t>Extendicare VP of IT - Katie LeMoyne, sponsor for XREV, recently commented on the overall experience of XREV in an e-mail exchange with the Workday Subscriptions team:
"Matthew,
Prakash is no longer working at Extendicare.  I had thought as part of a contract we signed earlier this year we also changed the account lead on our side from him to me.  Please let me know what steps are required for this change so emails aren’t missed in the future.  We missed the Aug 1 deadline below and I may need more time on the other items as we are in the middle of a Workday acquisition tenant copy project with your colleagues that is going incredibly poorly and we have a massive risk that we will not pay thousands of team members next week.  All attention is on recovering from the poor delivery of this project.  I will follow up with the team though to kick off the process to pull the data requested below.
Thanks!"</t>
  </si>
  <si>
    <t>{attributes={type=Account, url=/services/data/v62.0/sobjects/Account/0014X00002Ovzv7QAB}, Name=Easy Mile Fitness, Industry=Amusement &amp; Recreation, PS_Region_New__c=US Medium Enterprise DI}</t>
  </si>
  <si>
    <t>2025-03-12T23:49:11.000+0000</t>
  </si>
  <si>
    <t>a3A4X000004AOPfUAO</t>
  </si>
  <si>
    <t>2026-07-02T15:25:02.000+0000</t>
  </si>
  <si>
    <t>005VT0000089ba1YAA</t>
  </si>
  <si>
    <t>0011B00002IPT4nQAH</t>
  </si>
  <si>
    <t>a0pVT00000Cq8ygYAB</t>
  </si>
  <si>
    <t>017VT0000GrB4mTYQS</t>
  </si>
  <si>
    <t>1.15.25 KI - CONFIRMED CHURN. Confirmed churn for their current Adaptive renewal. Have not been able to confirm if they are adding Planning to their net new FINS deal or not.</t>
  </si>
  <si>
    <t>a0rVT00001DWrb8YAD</t>
  </si>
  <si>
    <t>Hallmark expressed some surprising sentiments during our renewal meeting that prompted us to change the health status to neutral.
The current usage is a pretty narrow use case - mostly using Adaptive as a repository for historical information, they have forecasting for the P&amp;L in Adaptive but not the Balance Sheet or Cash Flow.  They know Adaptive can do more but the most senior users went through a rushed implementation and they have a number of new users without much Adaptive experience at all.</t>
  </si>
  <si>
    <t>001VT00000b2LcbYAE</t>
  </si>
  <si>
    <t>2025-01-15T18:39:49.000+0000</t>
  </si>
  <si>
    <t>{SubRegion__c=US DI LE NN TM &amp; PS East, Name=Devoted Guardians, PS_Region_New__c=US Large Enterprise DI &amp; Mexico, Industry=Post Acute, PS_Sub_Region__c=Diversified Industries LE NN, attributes={type=Account, url=/services/data/v62.0/sobjects/Account/001VT00000b2LcbYAE}}</t>
  </si>
  <si>
    <t>a3A4X000004AQ4oUAG</t>
  </si>
  <si>
    <t>2026-09-28T13:30:29.000+0000</t>
  </si>
  <si>
    <t>005VT00000PlDTFYA3</t>
  </si>
  <si>
    <t>0011B00002H6mfwQAB</t>
  </si>
  <si>
    <t>017VT0000F1LOdkYQG</t>
  </si>
  <si>
    <t>March 12, Marieke van Rossem:
We had a follow up meeting with Jacques (CFO) and Rob (CEO) around Expert Assist on the issues with Project and Project Billing. They are interested in the service, and they will follow up with sharing more information so we can estimate the hours. Anne vd Pol (Service Executive workday) is checking for internal resources as they request is quite specific. 
Celine will initiate a day in our Innovation Lab. During this they we can inspire them as they have quite some SNI's and the renewal is coming closer. 
In addition Jacques and Femke registered for the RUG at IMC, so we will see them there as well. Good to see the engagement from their side.</t>
  </si>
  <si>
    <t>{Industry=Banking &amp; Capital Markets, PS_Region_New__c=Canada, attributes={url=/services/data/v62.0/sobjects/Account/0013000000Js2qsAAB, type=Account}, Name=The Toronto-Dominion Bank}</t>
  </si>
  <si>
    <t>Youwe is not paying the bill. 
At the same time they have quite some SNI’s. 
- Sales reached out to Youwe several times regarding the payment issue. 
- CS reached out to schedule AVR(P), however, no reply either.</t>
  </si>
  <si>
    <t>Customer Ownership;Internal;Customer Turnover</t>
  </si>
  <si>
    <t>a0pVT00000CpqvOYAR</t>
  </si>
  <si>
    <t>2025-03-13T09:24:50.000+0000</t>
  </si>
  <si>
    <t>2026-07-21T11:40:15.000+0000</t>
  </si>
  <si>
    <t>a0rVT00001DX654YAD</t>
  </si>
  <si>
    <t>a3A4X000004AQ5SUAW</t>
  </si>
  <si>
    <t>017VT0000F7DhvrYQC</t>
  </si>
  <si>
    <t>{PS_Sub_Region__c=Diversified Industries LE NN, Industry=Post Acute, PS_Region_New__c=US Large Enterprise DI &amp; Mexico, SubRegion__c=US DI LE NN TM &amp; PS East, attributes={url=/services/data/v62.0/sobjects/Account/001VT00000b2LcbYAE, type=Account}, Name=Devoted Guardians}</t>
  </si>
  <si>
    <t>0018000001V3xsUAAR</t>
  </si>
  <si>
    <t>Link to the Gainsight Success Plan:
https://workday.lightning.force.com/one/one.app#eyJjb21wb25lbnREZWYiOiJvbmU6YWxvaGFQYWdlIiwiYXR0cmlidXRlcyI6eyJhZGRyZXNzIjoiaHR0cHM6Ly93b3JrZGF5LS1qYmN4bS52Zi5mb3JjZS5jb20vYXBleC9HYWluc2lnaHROWFQjY3VzdG9tZXJzdWNjZXNzMzYwJTNGY2lkJTNEMVAwMkhCSzQ1UVRHSFEyN1Q0VDYyR1BKQk1LMjYySTdRUTQ3In0sInN0YXRlIjp7fX0%3D</t>
  </si>
  <si>
    <t>{attributes={type=Account, url=/services/data/v62.0/sobjects/Account/0018000000LUJguAAH}, Name=MultiCare Health System, Industry=Acute Hospital / Health System, PS_Region_New__c=US Healthcare}</t>
  </si>
  <si>
    <t>a0pVT00000Cq4ewYAB</t>
  </si>
  <si>
    <t>2026-07-22T13:50:13.000+0000</t>
  </si>
  <si>
    <t>I received the below email from Ashley Carter, Total Rewards &amp; HR Technology Director.
"Arterra is currently exploring Human Capital Management (HCM) solutions including workforce management and managed payroll services to support our organization's changing needs. We have been extremely pleased with the partnership we have had with Workday over the past several years, but are taking steps to understand what fits best with our changing technology needs and overall strategic direction. As part of this process, we are reaching out to request a formal proposal for an ongoing partnership for your HCM solutions post 2026 renewal and we are also looking at options for workforce management, which the team had the pleasure of demoing in the spring of this year.
Please let us know if you require any additional information from our side to prepare the proposal. Stacey and I are happy to jump on a call and discuss this strategic journey and request in more detail. We would appreciate receiving your RFP response by September 10, 2024.
Thank you for your time in advance,  and we look forward to reviewing your proposal."
Context:
Arterra has had a lot of turnover and have barely been able to keep the lights on.
Arterra Wines was previously owned by Constellation brands who sold their Canada Division and became smaller which is what we know as "Arterra Wines" today. As the adopted Workday from Constellation Brands and a New IT leader came in, they want to explore new options as an independent company from a more medium and small strategic direction.
Main priorities: Bring 3 components together: Workforce Management, Payroll &amp; Integrations.
Pain Point: Kronos &amp; Workday Integration
Payroll Compliance Concerns
Arterra Wines had rejected meeting with us for an Annual Value Review due to internal conflicting priorities, though they emphasized they truly value of their relationship with Workday.
After RFP was delivered, Arterra team decided to move forward with another option for Managed Payroll and WFM mainly because:
1. They wanted a completely managed payroll solution. Bring Pay and WFM together.
WFM- The Time Clock functionality is one of the main functionality they need. WD is not a provider and an integration with partner was needed.
2. Cost Effectiveness was one of the main points they shared, the most expensive solution was WD.
After Lindsey and I met with Stacey and Shelley for lunch, they both appreciated our relationship and agreed to meet mid feb to walk them through the AVR, ISA available features, AI and feature recommendations for the products they are keeping. Stacey and Shelley will work on their priorities and send to us before the meeting.</t>
  </si>
  <si>
    <t>017VT0000F7al25YQA</t>
  </si>
  <si>
    <t>{attributes={url=/services/data/v62.0/sobjects/Account/001VT00000b2LcbYAE, type=Account}, PS_Sub_Region__c=Diversified Industries LE NN, SubRegion__c=US DI LE NN TM &amp; PS East, PS_Region_New__c=US Large Enterprise DI &amp; Mexico, Industry=Post Acute, Name=Devoted Guardians}</t>
  </si>
  <si>
    <t>2025-03-20T19:10:32.000+0000</t>
  </si>
  <si>
    <t>a0rVT00001DX9sXYAT</t>
  </si>
  <si>
    <t>{PS_Region_New__c=US Healthcare, Name=MultiCare Health System, attributes={type=Account, url=/services/data/v62.0/sobjects/Account/0018000000LUJguAAH}, Industry=Acute Hospital / Health System}</t>
  </si>
  <si>
    <t>a3A4X000004AQ6LUAW</t>
  </si>
  <si>
    <t>0018000001O8klaAAB</t>
  </si>
  <si>
    <t>2026-07-22T16:04:06.000+0000</t>
  </si>
  <si>
    <t>After multiple reach outs, there has been no response form the customer.  The Churn is imminent.  
No mitigation plan.  Risk acceptance only.</t>
  </si>
  <si>
    <t>017VT0000G978enYQA</t>
  </si>
  <si>
    <t>This is an indirect customer.  The main point of contact is a reseller Cionet.  The product specialist AE that supported recent renewal in July advised that the customer may not be renewing next year as they are making the transition to Oracle (exact time is unknown).</t>
  </si>
  <si>
    <t>{PS_Region_New__c=US Healthcare, Name=MultiCare Health System, Industry=Acute Hospital / Health System, attributes={url=/services/data/v62.0/sobjects/Account/0018000000LUJguAAH, type=Account}}</t>
  </si>
  <si>
    <t>2025-02-24T16:30:40.000+0000</t>
  </si>
  <si>
    <t>a0pVT00000CpsfRYAR</t>
  </si>
  <si>
    <t>a3A4X000004AQ8MUAW</t>
  </si>
  <si>
    <t>2026-09-01T19:05:28.000+0000</t>
  </si>
  <si>
    <t>0013000000Ini0rAAB</t>
  </si>
  <si>
    <t>017VT0000G9eDK7YQM</t>
  </si>
  <si>
    <t>a0rVT00001DX8ZtYAL</t>
  </si>
  <si>
    <t>{Industry=Post Acute, PS_Sub_Region__c=Diversified Industries LE NN, attributes={type=Account, url=/services/data/v62.0/sobjects/Account/001VT00000b2LcbYAE}, Name=Devoted Guardians, PS_Region_New__c=US Large Enterprise DI &amp; Mexico, SubRegion__c=US DI LE NN TM &amp; PS East}</t>
  </si>
  <si>
    <t>Avery Dennison Corporation</t>
  </si>
  <si>
    <t>Trend:
FINs: Green -- Steady tracking to close but prepaid solution/product fixes have yet to be tested with no target timeline to complete due to competing activities
HCM: Yellow -- MTP approval received, timeline maintained despite significant scope changes/challenges | CO discussions to address budget concerns in progress
Update:
- Move to production 90% complete, Impact to FINs configuration due to overwriting existing code during MTP has been resolved and no new issues reported since remediation completed | RCA in progress
- Prod validations/catch up to be completed by Oct 1 with a business go live of Oct 5
- Peakon discussions in progress | current platform expires end of year
- AI Vision session with CHRO in planning
Risks:
Key delivery risks stem from severe resource bandwidth constraints across parallel tracks and alignment gaps with the new HCM leadership team. Technical debt remains a concern due to legacy configuration customizations, alongside pushback from Workday on areas not yet ready for scope delivery.
Next Steps:
Assess deferred items log for post production completion/ownership as well as support needs for divestiture, extended hyper care, and onsite expectations to inform CO.
Finalize AI Vision sessions and execute in late October.</t>
  </si>
  <si>
    <t>{PS_Region_New__c=US Healthcare, attributes={type=Account, url=/services/data/v62.0/sobjects/Account/0018000000LUJguAAH}, Name=MultiCare Health System, Industry=Acute Hospital / Health System}</t>
  </si>
  <si>
    <t>Bentley is currently undertaking the deployment of Workday Financials and Financial Planning, and has transitioned deployment partner from PwC to Workday. The Financials deployment is presently designated as "red status" as as the project moves through the A&amp;C stage as there is no timeline contingency, and several red workstreams. Workday Professional Services has completed an 8-week assessment period, determined the optimal approach and resource allocation, targeting a go-live date of January 1, 2026.
Workday will employ a phased implementation strategy, leveraging Mercer's existing HCM end-to-end build to achieve a unified deployment on a single tenant. Build activities have commenced with a target completion of mid-July.
Key project milestones include the HCM soft launch in November 2025, the Financials go-live in January 2026, and the HCM go-live in Q2 2026. The HCM project is currently in End to End testing and is on schedule. 
As a valued Acc+ and lighthouse customer, Bentley benefits from executive sponsorship by James Lee, COO who will maintain regular engagement with Workday's President &amp; CCO, Rob Enslin. Adam Stoermer is engaged with Ruth Sleeter, CIO, and participating in Steering Committee meetings.</t>
  </si>
  <si>
    <t>2026-09-01T21:55:24.000+0000</t>
  </si>
  <si>
    <t>Scope, Timeline or Budget</t>
  </si>
  <si>
    <t>2026-09-22T20:51:54.000+0000</t>
  </si>
  <si>
    <t>017VT0000FlCwGCYQ0</t>
  </si>
  <si>
    <t>a3A4X000004AQ8RUAW</t>
  </si>
  <si>
    <t>a0pVT00000CpmbdYAB</t>
  </si>
  <si>
    <t>a0rVT00001DWrnaYAD</t>
  </si>
  <si>
    <t>0014X00002iGzJ7QAK</t>
  </si>
  <si>
    <t>{Industry=Acute Hospital / Health System, PS_Region_New__c=US Healthcare, Name=Mercy Health, attributes={type=Account, url=/services/data/v62.0/sobjects/Account/0018000000LndB4AAJ}}</t>
  </si>
  <si>
    <t>0014X00002fFnsDQAS</t>
  </si>
  <si>
    <t>{PS_Sub_Region__c=ME Commercial East, SubRegion__c=US DI Commercial NN Mid-Atlantic, PS_Region_New__c=US Medium Enterprise DI, Name=Hand &amp; Stone Franchise Corp., attributes={url=/services/data/v62.0/sobjects/Account/0014X00002fFnsDQAS, type=Account}, Industry=Other Retail}</t>
  </si>
  <si>
    <t>1/31/25 (NM): The new consultant team at 11:59 has now deployed Payroll successfully with the start of 2025 and are currently working on the Finance and PSA areas but are effectively starting from zero state. 11:59 are targeting the Finance and PSA push to PROD as April 1st, and recently provisioned a new IMPL tenant, elevenfiftynine5, to get them in proper position for a path to deployment. They have asked Workday for the tenant to be allotted as no charge and possibly a 2nd that they could use for testing. 11:59 have emphasized they have been utilizing the Preview tenant for configuration, but that path ends with the 2025R1 release activities coming. To demonstrate our commitment to a successful partnership, we have approved an investment of $14,400 for the current elevenfiftynine5 tenant, covering the full six-month term from January 26, 2025, to July 25, 2025 (Order Form 491039).  This investment extends beyond the target production date of April 1, 2025, and provides elevenfiftynine5 with the necessary budget to acquire an additional implementation tenant for testing purposes, should they choose to do so.</t>
  </si>
  <si>
    <t>2026-08-17T14:47:13.000+0000</t>
  </si>
  <si>
    <t>a0rVT00001DX94XYAT</t>
  </si>
  <si>
    <t>005VT000009zF50YAE</t>
  </si>
  <si>
    <t>Avis Budget Car Rental, LLC</t>
  </si>
  <si>
    <t>Customer is unsatisfied with Launch Express deployment by Armanino and is not referenceable for Workday.</t>
  </si>
  <si>
    <t>017VT0000G6rpGcYQI</t>
  </si>
  <si>
    <t>Automotive Rental and Leasing</t>
  </si>
  <si>
    <t>Deployments;Partner Management;Customer Turnover</t>
  </si>
  <si>
    <t>2025-02-02T18:00:41.000+0000</t>
  </si>
  <si>
    <t>a3A4X000004AQBkUAO</t>
  </si>
  <si>
    <t>{attributes={url=/services/data/v62.0/sobjects/Account/0018000000MtM3JAAV, type=Account}, Name=Pilot Travel Centers LLC, PS_Region_New__c=US Large Enterprise DI &amp; Mexico, Industry=Food &amp; Drug}</t>
  </si>
  <si>
    <t>0018000001Sa8JxAAJ</t>
  </si>
  <si>
    <t>February 5, Marieke van Rossem - The 100.000 K is approved, including WSP. 
CHRO agreed on this, but only for a 1 year renewal. Next step is a meeting with CHRO to push for a 3 year renewal.</t>
  </si>
  <si>
    <t>2026-08-31T16:15:24.000+0000</t>
  </si>
  <si>
    <t>a0pVT00000CplZ4YAJ</t>
  </si>
  <si>
    <t>017VT0000GiN59BYQS</t>
  </si>
  <si>
    <t>Claire joined organisation 6 months ago. We had a catch up with them end of September. Concerns around upcoming renewal, not looking for fancy add on's but focus on how Workday HCM is being used at the moment, not optimal, don't see value. However, she worked with Workday before and know's what it's capable of.
Although they’ve had a considerable drop in FSE’s and SKU’s they will still be paying a lot more for Workday than before. Claire has been given the task to check budget with Workday and perhaps even go to market.
Prio #1
Work on data analysis and governance to see what an HRIS can really bring them. “Not interested in looking at the art of the possible, but focus on the CORE before looking at any other (fancy and expensive) add-ons”
Prio #2
Start working on the renewal well in advance to have a plan in time. Big focus on costs and budget (situation they are in now is not what was expected initially)
Next steps:
- October 7th Renewal Kick-Off call with Claire to further discuss situation and budget (Niki will join)
- Marieke will check for dates to have a conversation between Claire, Stephanie and CSM to discuss their situation and pain points to see how/where we can help (together with Christophe).
- Prepare which options we can provide them to help moving forward (e.g. value assessment, adoption review, feature review, etc…)
- Once we have all the necessary information, we will realign to come up with a game plan (I’ll schedule a follow-up once the meeting with CSM is in the agenda)
- SSR could be an option – tbd after the meeting of next week</t>
  </si>
  <si>
    <t>{SubRegion__c=US DI Commercial NN Mid-Atlantic, PS_Region_New__c=US Medium Enterprise DI, Industry=Other Retail, PS_Sub_Region__c=ME Commercial East, attributes={url=/services/data/v62.0/sobjects/Account/0014X00002fFnsDQAS, type=Account}, Name=Hand &amp; Stone Franchise Corp.}</t>
  </si>
  <si>
    <t>Application Knowledge;Customer Ownership;Methodology Knowledge;Partner Management;Customer Turnover</t>
  </si>
  <si>
    <t>{Industry=Lodging &amp; Resorts, Name=Oaklawn Jockey Club, Inc., attributes={url=/services/data/v62.0/sobjects/Account/0018000001fjth3AAA, type=Account}, PS_Region_New__c=US Medium Enterprise DI}</t>
  </si>
  <si>
    <t>2025-03-13T09:24:23.000+0000</t>
  </si>
  <si>
    <t>a3A4X000004AQCOUA4</t>
  </si>
  <si>
    <t>2026-09-22T15:02:24.000+0000</t>
  </si>
  <si>
    <t>0018000001SZ6nAAAT</t>
  </si>
  <si>
    <t>005VT00000EqNJpYAN</t>
  </si>
  <si>
    <t>Engagement plan is being built and VM has been involved to head up the VA discussions. Kick-off meeting with CFO will be Tuesday 28th.
CSM has been replaced for a fresh start.</t>
  </si>
  <si>
    <t>017VT0000GJ0UXBYQ3</t>
  </si>
  <si>
    <t>CFO expressed dissatisfaction of Workday FINS, especially based on the fact that we don't have a solution to manage Subscription Contract Management which was also the main problem 2023 when we had same conversations but came to a better situation going from wanting to drop Workday to getting a roadmap to improve (CWP-0013530). Meetings with Syncron FINS WD team in Oct last year gave no indication that the sentiment had changed but since then FD and FINS WD owner has both left and been replaced with a non WD experienced FD and an external consultant.
In meeting end of Sept with CFO he expressed that he was still not happy with workday FINS, he wanted a full review of config and help setting up their system as he felt it was not set up correctly. Ha also said that Adaptive which was implemented 2022 wasn't used and he wanted to drop it in renewal in jan 2025. It was deemed to only work for 95% of his needs and was too complex to maintain.
CFO Daniel Rosenthal is still very upset that workday doesn't handle Subscription Contract Management and it seem to overshadow any other element of workdays benefits. They have problems with Reporting Governance, they don't interact with Community and they are not willing to spend on external consultants besides the one replacing the FINS WD owner (AMS limited use).
Previous WP we used Michel Martin to discuss the strategic aspects of WD and also explained that while we had some contract Management functionality, we were not a contract Management system. We also prepared a "what good looks like" demo with the painpoints and areas that CFO claimed we couldn't manager or was not properly configured. showcasing that all but the Subscription Contract Management was doable in workday. 
With the changes since in personel and still negative sentiment of WD suggested Action points are as follows:
FINS
* Engage with FINS CoE to build plan and discuss value of FINS and understand painpoints.
* Help with training program for FD
* Investigate current and roadmap plans for WD Subscription Management
* If possible, set up Workday on Workday to discuss how we do Subscription Conmtract Management
* Showcase Expert Assist and Advice and Analyse as a means to look at config and give recommendations.
* Educate and get FINS team involved and understanding the strenght of Community
ADAPTIVE
Most likely Churn of implemented SKU Adaptive in Renewal jan 31 2025.
Actions for Adaptive to try to avoid Churn.
* Engage with Adaptive CoE to build a plan to show value and debunk complexity myth and make plan for training.
* Alight/strada implemented and built the original set-up for Syncron. Potentially involve them depending on CoE plan.
* Will coordinate effort with CoE for FINS (WP 
ACV is 15k USD for Planning SKU.</t>
  </si>
  <si>
    <t>{attributes={type=Account, url=/services/data/v62.0/sobjects/Account/0018000001FwApGAAV}, Industry=Software &amp; Platforms, PS_Region_New__c=US Medium Enterprise DI, Name=Sharecare, Inc.}</t>
  </si>
  <si>
    <t>Application Knowledge;Customer Ownership;Product Issues/Gaps</t>
  </si>
  <si>
    <t>2025-01-22T09:38:36.000+0000</t>
  </si>
  <si>
    <t>Build in progress. Project on track. Challenges with project resourcing</t>
  </si>
  <si>
    <t>a3A4X000004AQF8UAO</t>
  </si>
  <si>
    <t>2026-09-07T19:27:19.000+0000</t>
  </si>
  <si>
    <t>a0rVT00001DWyp4YAD</t>
  </si>
  <si>
    <t>a0pVT00000CpyuUYAR</t>
  </si>
  <si>
    <t>0018000000shOJcAAM</t>
  </si>
  <si>
    <t>017VT0000Glt0PgYQI</t>
  </si>
  <si>
    <t>BAE Systems plc</t>
  </si>
  <si>
    <t>2nd Jan 2025
- CBAE is working on establishing relationship and getting clarity on the ownership as well as future plans with Workday.
- Once this is done: Customer Success will engage with CBAE</t>
  </si>
  <si>
    <t>UKI MFG LE</t>
  </si>
  <si>
    <t>- Software GmBH has been purchased by private equity investor Silver Lake in June 2023
- After the acquisition, Silver Lake has announced they divestiture of  Software AGs operations. First in December 2023 selling webMethods and StreamSets to IBM
- The processes are ongoing (October 2024), potentially further divestitures are expected.
- Workday ownership has shifted to IT (Bernd Schmidl)
- Further Workday ownership unclear. 
- CBAE is working on establishing relationship and getting clarity on the ownership as well as future plans with Workday. Currently no clear indication of NOT continuing with Workday. 
- Renewal upcoming July 2025.</t>
  </si>
  <si>
    <t>{PS_Region_New__c=ANZ, Name=Reserve Bank of Australia (RBA), Industry=Federal / National Government, attributes={type=Account, url=/services/data/v62.0/sobjects/Account/0018000000sfc5qAAA}}</t>
  </si>
  <si>
    <t>{PS_Region_New__c=US Medium Enterprise DI, attributes={type=Account, url=/services/data/v62.0/sobjects/Account/0014X00002fFnsDQAS}, PS_Sub_Region__c=ME Commercial East, Name=Hand &amp; Stone Franchise Corp., SubRegion__c=US DI Commercial NN Mid-Atlantic, Industry=Other Retail}</t>
  </si>
  <si>
    <t>2025-01-02T07:21:59.000+0000</t>
  </si>
  <si>
    <t>a3A4X000004XRY7UAO</t>
  </si>
  <si>
    <t>2026-09-24T02:15:15.000+0000</t>
  </si>
  <si>
    <t>0018000000LnFomAAF</t>
  </si>
  <si>
    <t>005VT00000PI7hNYAT</t>
  </si>
  <si>
    <t>Trending neutral
Update: delivered product engagement for FINs team. HCM product engagement finally confirmed for week of 2/17
Risk: 2025 renewal, customer sentiment
Update: propose ABR, roadmap/strategy session</t>
  </si>
  <si>
    <t>017VT0000GcCcGOYQ0</t>
  </si>
  <si>
    <t>Champion and lead of 13 person global Workday team left org in June 2024.
Detractor Exec Sponsor. 
Sister company (SSI Ireland) dissolving.</t>
  </si>
  <si>
    <t>2025-02-14T17:16:57.000+0000</t>
  </si>
  <si>
    <t>{attributes={url=/services/data/v62.0/sobjects/Account/0011B00002AkCOoQAN, type=Account}, Name=Monarch Healthcare Management LLC, Industry=Post Acute, PS_Region_New__c=US Healthcare}</t>
  </si>
  <si>
    <t>a0rVT00001DX8wTYAT</t>
  </si>
  <si>
    <t>a3A4X000004XRZeUAO</t>
  </si>
  <si>
    <t>Baker Tilly Advisory Group, LP</t>
  </si>
  <si>
    <t>0018000000ojzdEAAQ</t>
  </si>
  <si>
    <t>2026-09-18T13:04:39.000+0000</t>
  </si>
  <si>
    <t>005VT00000J9LjpYAF</t>
  </si>
  <si>
    <t>a0pVT00000Cq2BiYAJ</t>
  </si>
  <si>
    <t>No additional information.</t>
  </si>
  <si>
    <t>017VT0000GuRWgDYQW</t>
  </si>
  <si>
    <t>{attributes={url=/services/data/v62.0/sobjects/Account/0014X00002fFnsDQAS, type=Account}, SubRegion__c=US DI Commercial NN Mid-Atlantic, PS_Region_New__c=US Medium Enterprise DI, Industry=Other Retail, Name=Hand &amp; Stone Franchise Corp., PS_Sub_Region__c=ME Commercial East}</t>
  </si>
  <si>
    <t>Product GAPs/Issues - Termination of Workday confirmed by Tim Wilson Oct 11, 2024.  Parent Company is Turner Construction who are an SAP shop.  
Customer Contact Names: Jackie Meija (Lead, Business Solutions) - Main Contact and  Danna Ibrasheva (Business Analyst) 
Background:
Clark's parent company is Turner Construction who are an SAP shop. Clark has been allowed to use Workday and do their own thing so far. However, there is always the fear that Turner could tell them Workday is too expensive and they need to come under their SAP instance. They were recently informed they would be moving over to SAP for Financials.
- Oct 11th meeting held with Tim Wilson, Eric Smith, Jessica Barnes, Nabil Hasnany and Adveen Dosanjh.   Tim confirmed that customer will be moving off Workday.   As he is conversations with customer.   
The plan is: 
1 year renewal for everything we currently have
2 year renewal for just Core HCM and Advanced Compensation Management
Termination of Workday effective date unknown yet.  Adveen is confirming with Tim
Desired Outcome:
1. We have a great opportunity to continue fostering positive sentiment with our customer. Why? Because regardless of their termination status, we owe it to them to deliver an exceptional Workday experience. It’s essential to remember that many of the folks we’re working with now may eventually move on to other companies, where they will bring their experiences—and influencing other accounts.</t>
  </si>
  <si>
    <t>{PS_Region_New__c=US Healthcare, attributes={type=Account, url=/services/data/v62.0/sobjects/Account/00180000011Utt1AAC}, Industry=Acute Hospital / Health System, Name=Rady Children's Health}</t>
  </si>
  <si>
    <t>2025-03-21T21:54:17.000+0000</t>
  </si>
  <si>
    <t>a3A4X000004XRb1UAG</t>
  </si>
  <si>
    <t>2026-09-30T13:25:36.000+0000</t>
  </si>
  <si>
    <t>0014X00002L9rIUQAZ</t>
  </si>
  <si>
    <t>017VT0000GuPpCJYQ0</t>
  </si>
  <si>
    <t>5/9 MD - CBAE discussing game plan with RSD. Awaiting an update.</t>
  </si>
  <si>
    <t>a0rVT00001DXEAfYAP</t>
  </si>
  <si>
    <t>Customer is facing Chapter 7 following an unfavorable legal ruling. To generate additional funds, they sold Cloudbreak. To date, they are still contesting the legal outcome and managing multiple issues. The previous CBAE noted that the CFO considered terminating the Adaptive contract early, even if it means incurring fees. Adaptive at RISK.
Action Plan: 
-Collaborate with CBAE and Adaptive Specialist to safeguard the account and all SKUs.</t>
  </si>
  <si>
    <t>Bakkavor Fresh Foods Limited</t>
  </si>
  <si>
    <t>2025-08-18T14:22:50.000+0000</t>
  </si>
  <si>
    <t>{attributes={url=/services/data/v62.0/sobjects/Account/0018000000M5hCBAAZ, type=Account}, PS_Region_New__c=US Medium Enterprise DI, Name=Dunham's Sports, Industry=Consumer Goods}</t>
  </si>
  <si>
    <t>a3A4X000004XRbaUAG</t>
  </si>
  <si>
    <t>a0pVT00000Cq7zPYAR</t>
  </si>
  <si>
    <t>0011B00002CXTc4QAH</t>
  </si>
  <si>
    <t>a0rVT00001DWrnbYAD</t>
  </si>
  <si>
    <t>2026-09-30T13:25:00.000+0000</t>
  </si>
  <si>
    <t>Customer renewed but only for one year.  The CFO indicated he'd like to expand their usage and focus on budgeting/planning/forecasting, processes they had planned to do within Adaptive but still do in Excel.  
New primary contacts Lauren Nelson and Katherine "Kat" Mutschler had been engaged and then stopped responding.  Not sure if they were too busy, they were both relatively new to the org., is moving away from Adaptive.  A. Hanlon</t>
  </si>
  <si>
    <t>017VT0000GuRS35YQG</t>
  </si>
  <si>
    <t>0018000000tjsy1AAA</t>
  </si>
  <si>
    <t>Primary contacts: Jeff Cook, CFO; John Lozito, SVP, FP&amp;A
Sentiment: Mixed. Are not using Planning as intended but are happy with what they do use it for. We demo'd their desired use case 3 years ago but they chose to continue to use Excel fo rmost of their FP&amp;A needs, including budgeting, forecasting, and planning. Initial implementation, which we performed, was a disaster. Partially their fault because they did not implement their POS system which was to tie into AP, and ours because we changed their services team three times over the course of the project due to employee turnover.
Use case: Only using for reporting at this time. 
Future: Planning, forecasting, budgeting, reporting, dashboards. Would like to use predictive analytics for forecasting. Currently have a very detailed process but feel they can be as accurate with machine learning, using two years of history. Workforce Planning was also of interest in the past.
Risks: Considering replacing Adaptive with reporting-specific solution and use Excel for everything else. Have wanted to stay with Workday since have HCM but that is now at risk, as well. Had planned to add FINS but held off. 
Next steps: Request call to discuss renewal and AVR with CFO and SVP, FP&amp;A
Addt'l info: If we cannot meet their budgeting/forecasting/planning needs, will not seek out another vendor; will use Excel.</t>
  </si>
  <si>
    <t>Customer Ownership;Internal</t>
  </si>
  <si>
    <t>{PS_Sub_Region__c=Diversified Industries LE NN, SubRegion__c=US DI LE NN RHT North, attributes={url=/services/data/v62.0/sobjects/Account/0018000000tjsy1AAA, type=Account}, Name=The Nutrition Group, PS_Region_New__c=US Large Enterprise DI &amp; Mexico, Industry=Restaurant &amp; Food Service}</t>
  </si>
  <si>
    <t>2025-02-28T22:52:18.000+0000</t>
  </si>
  <si>
    <t>a3A4X000004XRcnUAG</t>
  </si>
  <si>
    <t>a0rVT00001DX7AoYAL</t>
  </si>
  <si>
    <t>{attributes={url=/services/data/v62.0/sobjects/Account/0013000000KzsNAAAZ, type=Account}, Name=Viasat, Inc., PS_Region_New__c=US Large Enterprise DI &amp; Mexico, Industry=Telecom}</t>
  </si>
  <si>
    <t>0011B00002CXUgWQAX</t>
  </si>
  <si>
    <t>Ballad Health</t>
  </si>
  <si>
    <t>Customer continues to be unfavorable. Moving toward neutral. Link to Gainsight Adoption/Success Plan: https://workday.lightning.force.com/one/one.app#eyJjb21wb25lbnREZWYiOiJvbmU6YWxvaGFQYWdlIiwiYXR0cmlidXRlcyI6eyJhZGRyZXNzIjoiaHR0cHM6Ly93b3JrZGF5LS1qYmN4bS52Zi5mb3JjZS5jb20vYXBleC9HYWluc2lnaHROWFQjY3VzdG9tZXJzdWNjZXNzMzYwJTNGY2lkJTNEMVAwMkhCSzQ1UVRHSFEyN1Q0QTM3MzlHR0hMMjBRTkVWOUdRIn0sInN0YXRlIjp7fX0%3D</t>
  </si>
  <si>
    <t>2026-09-30T13:24:29.000+0000</t>
  </si>
  <si>
    <t>Customer is unhappy with Launch Express deployment (go-live 9/26/22). Feels they were not a good fit for that type of deployment based on the size/bandwidth of their team and were rushed into it. They were not replacing an HR system of record, but starting from scratch. Have had turnover in their HR department due to the disorganization as a result of the Launch Express deployment and have been dealing with the results since. 
Customer Success has attempted to engage with customer several times, including after an unfavorable NSC survey. Customer has previously not responded and did not show for the scheduled meeting in October 2023 to discuss the survey.
After outreach attempts from teamed CSM, CBAE and CSM met with customer on 4/29/24 to uncover their issues. 
Next steps: CBAE is soliciting WD partners to do a health check. Target 7/31/24 on-site workshop focused on optimization. AVR date TBD pending health check.
CSM to educate on:
Training (11.5/35 credits expired 7/16/23)
WSP
Expert Assist
Partners</t>
  </si>
  <si>
    <t>Application Knowledge;Deployments;Customer Turnover</t>
  </si>
  <si>
    <t>017VT0000GuQARRYQ4</t>
  </si>
  <si>
    <t>2025-04-18T20:52:16.000+0000</t>
  </si>
  <si>
    <t>a3A4X000004XReZUAW</t>
  </si>
  <si>
    <t>0014X00002KiRKqQAN</t>
  </si>
  <si>
    <t>{attributes={url=/services/data/v62.0/sobjects/Account/0011B00002CXUyzQAH, type=Account}, Name=Capital Lumber Company, PS_Region_New__c=US Medium Enterprise DI, Industry=Materials}</t>
  </si>
  <si>
    <t>a0pVT00000Cpzs9YAB</t>
  </si>
  <si>
    <t>1-16-25
Account team continuing monthly calls. Key areas of focus for Apex right now are on 1) identifying opportunities for EA's/DPG's and other opportunities to partner w/Workday and provide input. 2) Account team continuing to provide demos of the Agents of highest interest to Apex (session around Payroll agent was hosted last week), 3) identifying networking connections and a 4) reporting specialist to help troubleshoot remaining issues.</t>
  </si>
  <si>
    <t>a0rVT00001DWs5KYAT</t>
  </si>
  <si>
    <t>Customer has a complex tenant whereby they are servicing 604 companies (that own nursing homes).  Avaap was their implementation partner and there has been ongoing pre and post deployment challenges, including post live performance issues.  
Apex has a "unicorn" Workday tenant model with shared services to provide to nursing homes (Fins-Book Closing and Reporting; HCM is for Apex HQ).</t>
  </si>
  <si>
    <t>Product Gaps</t>
  </si>
  <si>
    <t>0011B00002CXU3tQAH</t>
  </si>
  <si>
    <t>a0rVT00001DXALaYAP</t>
  </si>
  <si>
    <t>2026-01-16T18:29:56.000+0000</t>
  </si>
  <si>
    <t>2026-09-30T13:23:44.000+0000</t>
  </si>
  <si>
    <t>{attributes={url=/services/data/v62.0/sobjects/Account/0011B00002CXU3tQAH, type=Account}, PS_Region_New__c=Canada, SubRegion__c=Canada Commercial, PS_Sub_Region__c=Canada Commercial, Name=Kriska Transportation Group Ltd (Inactive Account), Industry=Land and Rail Transportation and Freight}</t>
  </si>
  <si>
    <t>Baltimore County Public School System</t>
  </si>
  <si>
    <t>a3A4X000004XRfIUAW</t>
  </si>
  <si>
    <t>017VT0000GuREZuYQO</t>
  </si>
  <si>
    <t>0014X00002U4jfKQAR</t>
  </si>
  <si>
    <t>5/1/25: Loren at Moss Adams responded and confirmed that DCA Outdoor declared bankruptcy in Feb 2025</t>
  </si>
  <si>
    <t>US Local Gov LE NN East</t>
  </si>
  <si>
    <t>5/1/25: Loren at Moss Adams responded and confirmed that DCA Outdoor declared bankruptcy in Feb 2025
Main power user left the company.  Samantha, the controller asked to pause the subscription until she can hire someone to manage Adaptive.  She has no bandwidth and it appears no one has used since Nov 2023.</t>
  </si>
  <si>
    <t>{PS_Region_New__c=US Medium Enterprise DI, Name=Eagle River Water and Sanitation District, attributes={url=/services/data/v62.0/sobjects/Account/001VT00000b31VKYAY, type=Account}, Industry=Utilities}</t>
  </si>
  <si>
    <t>2025-05-01T20:39:27.000+0000</t>
  </si>
  <si>
    <t>a3A4X000004XRfwUAG</t>
  </si>
  <si>
    <t>2026-09-30T13:26:12.000+0000</t>
  </si>
  <si>
    <t>0018000000esq5EAAQ</t>
  </si>
  <si>
    <t>20251222: Follow-up meeting scheduled for Feb. 9th to discuss Finance roadmap.  On the HR front, CHRO not ready to meet.  Got a 5 hrs investment  to help with the HELP SKU deployment.</t>
  </si>
  <si>
    <t>017VT0000GuQe3pYQC</t>
  </si>
  <si>
    <t>HR lost at least 5 key resources. Overall, retail is suffering and GT laid off 5% of its employees including the product owner who is the manager of the Center of Excellence. Four key HR and Scheduling contacts were laid off or resigned on their own:  Head of HR, lead on Talent, Security, Compensation and Scheduling.  This will have a huge impact on GT and the EE experience and their referral standing as our first and EA Scheduling customer.</t>
  </si>
  <si>
    <t>a0pVT00000Cq1M5YAJ</t>
  </si>
  <si>
    <t>Lack of Customer Engagement;Leadership Turnover;Resource/Knowledge Issue</t>
  </si>
  <si>
    <t>a0rVT00001DWzwSYAT</t>
  </si>
  <si>
    <t>2025-12-22T20:24:47.000+0000</t>
  </si>
  <si>
    <t>{attributes={url=/services/data/v62.0/sobjects/Account/0014X00002K4HX1QAN, type=Account}, PS_Region_New__c=US Large Enterprise DI &amp; Mexico, Industry=Professional Services, Name=NTT Global Sourcing, Inc.}</t>
  </si>
  <si>
    <t>a3A4X000004XRhnUAG</t>
  </si>
  <si>
    <t>Baltimore County, Maryland</t>
  </si>
  <si>
    <t>0013000000HnZ0PAAV</t>
  </si>
  <si>
    <t>{attributes={type=Account, url=/services/data/v62.0/sobjects/Account/0013000000HnZ0PAAV}, Name=Amgen Inc., PS_Sub_Region__c=Diversified Industries LE CB TM &amp; PS, SubRegion__c=US DI LE CB TM &amp; PS Northwest, Industry=Professional Services, PS_Region_New__c=US Large Enterprise DI &amp; Mexico}</t>
  </si>
  <si>
    <t>0014X00002XJYsjQAH</t>
  </si>
  <si>
    <t>2026-09-30T13:24:41.000+0000</t>
  </si>
  <si>
    <t>Despite the additional work that Topbloc have put in and the corrections that OSV have made, they are still frustrated and want to move onto other platforms away from Workday. When we met they said the wanted to be out of their contract by the start of 2025 so they could go live on other systems, however we discussed again that this will not be possible and that in the short term at least, they would be better to invest in time and resources to making Workday work for their business as they will have to pay for the platform until the contract expiry. The relationship is not good.</t>
  </si>
  <si>
    <t>017VT0000GuQgG3YQK</t>
  </si>
  <si>
    <t>{attributes={type=Account, url=/services/data/v62.0/sobjects/Account/001VT00000b2nXDYAY}, PS_Region_New__c=US Medium Enterprise DI, Name=Coretrans, Industry=Land and Rail Transportation and Freight}</t>
  </si>
  <si>
    <t>In it's briefest form:
During the time that Propeller were deploying Workday there was a big round of redundancies, taking them from an organisation of 300 FTE to 98. Most of the project team from the implementation left and new people took over. They were busy with all of the changes and didn't take advantage of any of their training credits and were therefore not enabled on Workday and had no previous experience with the system.
Topbloc (partner) worked with Propeller for Deployment and after a rocky start with an empoyee that ended up leaving Topbloc, they had, at the time, a good implementation, which the team were happy with at testing phase. Post go live, they encountered a lot of issues where they feel like the system is not built to service their requirements and have spent lots of time trying to work through issues caused by this. They feel that Topbloc were not responsive enough and weren't able to fully resolve their issues leading them to complain about Topbloc and threaten to stop using them.
Topbloc then agreed to give them a month of additional tickets as Propeller are currently only paying for the lowest level of support. They did this as part of a 'get well plan' to stabilise their instance and start moving towards a better relationship and more appropriate system for their needs.
They also use OSV as part of their payroll process. Propeller had complaints that they were being taxed large amounts for tax codes that they didn't require. They blame this on Topbloc and OSV for advising them badly at deployment, however they take no accountability for signing off on all of these different tax locations during implementation. OSV have since amended all of these locations to only the relevant locations, however they are still working on whether there will be a credit for the charges.
Propeller want out of their contract and said they are being held hostage on a platform that isn't suitable for a company their size. They say that they can't afford it and it's causing them to lose a lot of hours of their working week through process inefficiencies. We have advised them that they can not break or amend their contract.
All in all they are not enabled well enough on the platform and are saying that they don't have time to learn, whilst also wanting to save money. This was caused by poor change management during the redundancies. We are working with their partners to help stabilise them so that they can start using Workday in a more efficient manner, however we've been told categorically that this will be a churn.</t>
  </si>
  <si>
    <t>Application Knowledge;Deployments;Partner Management;Customer Turnover</t>
  </si>
  <si>
    <t>2024-05-20T09:43:18.000+0000</t>
  </si>
  <si>
    <t>2026-09-30T13:26:06.000+0000</t>
  </si>
  <si>
    <t>a3A4X000004XRi2UAG</t>
  </si>
  <si>
    <t>a0pVT00000CplXUYAZ</t>
  </si>
  <si>
    <t>a0rVT00001DXEU1YAP</t>
  </si>
  <si>
    <t>0018000000PJx30AAD</t>
  </si>
  <si>
    <t>017VT0000GcCd90YQC</t>
  </si>
  <si>
    <t>Baptist Health - Arkansas</t>
  </si>
  <si>
    <t>Sales sent customer 820K/year proposal w/WSP and 20% discounted ReNew services package. working to schedule time w/customer to discuss the offering and answer questions.</t>
  </si>
  <si>
    <t>New workday team, overwhelmed/struggle prioritizing focus areas. 
Working w/AMS but they share sentiment that customer doesn't know where to begin. 
Chord recently acquired Enterplus late 2024, causing bandwidth issues
new CHRO joined 08/2024 via Merger between Whiting Oil &amp; Oasis Petroleum and kept original Whiting configuration. The previous HR team had extensive Workday knowledge &amp; the configuration is extremely sophisticated &amp; engineered to business process of previous Whiting company and never corrected it to fit needs of new Chord Energy organization.  This is causing high cost of ownership &amp; lack of understanding how to manage the system or gain value.</t>
  </si>
  <si>
    <t>{Name=Amgen Inc., PS_Region_New__c=US Large Enterprise DI &amp; Mexico, attributes={type=Account, url=/services/data/v62.0/sobjects/Account/0013000000HnZ0PAAV}, SubRegion__c=US DI LE CB TM &amp; PS Northwest, PS_Sub_Region__c=Diversified Industries LE CB TM &amp; PS, Industry=Professional Services}</t>
  </si>
  <si>
    <t>{Industry=Restaurant &amp; Food Service, PS_Region_New__c=US Large Enterprise DI &amp; Mexico, attributes={url=/services/data/v62.0/sobjects/Account/0014X00002FC577QAD, type=Account}, Name=Quality Restaurant Group, LLC}</t>
  </si>
  <si>
    <t>2025-06-04T15:57:31.000+0000</t>
  </si>
  <si>
    <t>a3A4X000004XRjPUAW</t>
  </si>
  <si>
    <t>2026-09-18T13:04:52.000+0000</t>
  </si>
  <si>
    <t>0018000001bJEN4AAO</t>
  </si>
  <si>
    <t>T Negative
U Customer has stated they will churn at contract end
R Yes
N Followed up with customer for a meeting, no response</t>
  </si>
  <si>
    <t>017VT0000GuPX04YQG</t>
  </si>
  <si>
    <t>a0pVT00000CplytYAB</t>
  </si>
  <si>
    <t>Excel Fitness has been rather silent to both AE and CSM outreach over the last fiscal year. In early February 2024, customer provided CS with a large list of issues and it was determined that all issues can be addressed with Professional Services. Aligned with RSM for consulting, the customer turned to their Workday team to rectify the situation.
After addressing the concerns/pain points of the customer on a call, CS then engaged Intecrowd (current partner for Excel Fitness) for assistance, but customer explicitly stated they want Workday to provide recommendations on solutions for each individual line item and did not want 3rd party assistance. Intecrowd was not aware of any of these challenges until CS presented the list to them.
Sales has offered the customer numerous concessions, including WSP, CCB, MSG, and TLO upgrade with their renewal which will solve for most, if not all, of the issues. In addition to this, CS has offered an investment for a consultant to specifically address Security pain points.
Ultimately, the customer has decided not not renew with Workday and declines to comment whether this decision was due to budgetary concerns or a gap in product functionality. Instead they have generally mentioned that Workday is "too much for them" and have refused continued offers of assistance to put them in a healthier state.</t>
  </si>
  <si>
    <t>a0rVT00001DWxhkYAD</t>
  </si>
  <si>
    <t>{Name=3M Company, PS_Region_New__c=US Large Enterprise DI &amp; Mexico, Industry=Softlines, attributes={type=Account, url=/services/data/v62.0/sobjects/Account/0018000000Ln6MGAAZ}}</t>
  </si>
  <si>
    <t>2025-03-05T17:09:51.000+0000</t>
  </si>
  <si>
    <t>BASIS</t>
  </si>
  <si>
    <t>0018000000WfIKiAAN</t>
  </si>
  <si>
    <t>a3A4X000004XRjjUAG</t>
  </si>
  <si>
    <t>{SubRegion__c=US FSI ME CB Northeast 2, PS_Sub_Region__c=FSI ME CB, Name=AMLI Management Company, PS_Region_New__c=US FSI, attributes={type=Account, url=/services/data/v62.0/sobjects/Account/0018000000WfIKiAAN}, Industry=Investment Management}</t>
  </si>
  <si>
    <t>2026-09-30T13:24:57.000+0000</t>
  </si>
  <si>
    <t>0018000001GTzCOAA1</t>
  </si>
  <si>
    <t>US Higher Ed ME NN West</t>
  </si>
  <si>
    <t>017VT0000GuRUd4YQG</t>
  </si>
  <si>
    <t>Agreed to speak with the customer in September due to the lack of bandwidth currently.</t>
  </si>
  <si>
    <t>Over the past few months, our attempts to schedule a meeting with Maxam have gone unanswered. This lack of communication poses a risk to our ongoing projects and client relationship. In response, the CSM team is formulating a strategic approach to re-engage the client and address their needs effectively.
Current Situation:
Lack of Response: Despite multiple follow-ups, maxam has not responded to our emails or meeting requests.
Pending Projects: Important discussions regarding project progress and future deployments are delayed.
Action Plan:
Wellness Plan Development:
The CSM team has developed a comprehensive wellness plan aimed at addressing the client’s needs and optimizing their experience with our services.
The plan includes targeted solutions and strategies to enhance client satisfaction and project outcomes.
Coordination with CBAE Team:
We will align with the CBAE team to facilitate a reintroduction to the client’s team.
Emphasis will be placed on the importance of having a direct discussion to understand the client’s current situation and to reinforce the value of our partnership.</t>
  </si>
  <si>
    <t>{Industry=Technology Solutions, attributes={type=Account, url=/services/data/v62.0/sobjects/Account/0018000001B0SSuAAN}, Name=Hitachi America, Ltd., PS_Region_New__c=Japan}</t>
  </si>
  <si>
    <t>2025-07-30T07:36:27.000+0000</t>
  </si>
  <si>
    <t>a0pVT00000Cq2GYYAZ</t>
  </si>
  <si>
    <t>2026-09-30T13:25:38.000+0000</t>
  </si>
  <si>
    <t>a3A4X000004XRmTUAW</t>
  </si>
  <si>
    <t>0013000000JpfUIAAZ</t>
  </si>
  <si>
    <t>017VT0000GcCcHqYQK</t>
  </si>
  <si>
    <t>{PS_Region_New__c=US FSI, attributes={type=Account, url=/services/data/v62.0/sobjects/Account/0018000000WfIKiAAN}, Name=AMLI Management Company, PS_Sub_Region__c=FSI ME CB, SubRegion__c=US FSI ME CB Northeast 2, Industry=Investment Management}</t>
  </si>
  <si>
    <t>10/30/2025
Trend: Favourable.
Update: Customer has restarted the Execution phase of engagement investment, after completing three of the recommendations, due to customer turnover at leadership level. The Leadership team want to re-align on the recommendation. Customer is also working on an SRR to add in multiple Workday Products. However, People Analytics is likely to churn as they use Tableau as a full enterprise-wide solution. 
Risk: Ensure that the customer is aware that the execution phase will set them up for success to adoption additional Workday features and SKUs. The recommendations that are provided are after an in-depth discovery and tenant assessment and multiple art of the possible sessions.
Next Step:
Customer currently working with Sales on possible SSR/Renewal options.</t>
  </si>
  <si>
    <t>{PS_Region_New__c=UKI, Name=Taco Bell UK and Europe, attributes={url=/services/data/v62.0/sobjects/Account/001VT00000b2Tv4YAE, type=Account}, Industry=Restaurant &amp; Food Service}</t>
  </si>
  <si>
    <t>Applied Materials (AMAT), Customer #107, has been live on Workday HCM/TT (07/2010); REC (02/2019); STRATEGIC SOURCING (10/2020); US &amp; CAN PAY / TT (01/2023)
Purchased TLOA as part of the original 2 years for free deal, pay the 3rd year.   They never deployed Talent Marketplace or expanded beyond turning on skills and did renew TLOA in their renewal January 2023 through January 2028.     Customer licensed Eightfold for Recruiting CRM and there is constant competitive pressure to expand eightfold skills AI for their talent and internal mobility.     
Recent CXC held 02/20/2024 and customer does want to utilize TLOA and account team has set up three customer networking connections but customer has not acted on them.    
Focus of this Wellness Plan is to ensure TLOA is turned on and fully utilized.</t>
  </si>
  <si>
    <t>Leadership Turnover</t>
  </si>
  <si>
    <t>2025-10-30T18:23:20.000+0000</t>
  </si>
  <si>
    <t>017VT0000GuREZxYQO</t>
  </si>
  <si>
    <t>a0pVT00000Cq0kzYAB</t>
  </si>
  <si>
    <t>{PS_Region_New__c=US Healthcare, Industry=Post Acute, attributes={url=/services/data/v62.0/sobjects/Account/001VT00000b2WrLYAU, type=Account}, Name=IntelliChoice Home Care}</t>
  </si>
  <si>
    <t>a0rVT00001DWs8YYAT</t>
  </si>
  <si>
    <t>00130000008MSEDAA4</t>
  </si>
  <si>
    <t>a0rVT00001DXF6jYAH</t>
  </si>
  <si>
    <t>{Industry=Insurance, SubRegion__c=US FSI Majors, PS_Region_New__c=US FSI, Name=The Northwestern Mutual Life Insurance Company, PS_Sub_Region__c=FSI LE, attributes={type=Account, url=/services/data/v62.0/sobjects/Account/00130000008MSEDAA4}}</t>
  </si>
  <si>
    <t>BAYADA Home Health Care, Inc.</t>
  </si>
  <si>
    <t>017VT0000GcCd9OYQS</t>
  </si>
  <si>
    <t>{Name=Pivot Workforce, PS_Region_New__c=US Medium Enterprise DI, attributes={type=Account, url=/services/data/v62.0/sobjects/Account/001VT00000b2XNdYAM}, Industry=Professional Services}</t>
  </si>
  <si>
    <t>017VT0000GuRG2ZYQW</t>
  </si>
  <si>
    <t>a0pVT00000CpeR9YAJ</t>
  </si>
  <si>
    <t>a0rVT00001DWs8ZYAT</t>
  </si>
  <si>
    <t>a0rVT00001DX402YAD</t>
  </si>
  <si>
    <t>0014X00002ejOn2QAE</t>
  </si>
  <si>
    <t>{Name=Source Refrigeration &amp; Hvac, Inc., Industry=Architecture, Engineering &amp; Construction, PS_Region_New__c=US Medium Enterprise DI, attributes={url=/services/data/v62.0/sobjects/Account/00180000010GevnAAC, type=Account}}</t>
  </si>
  <si>
    <t>Baylor Trucking, Inc.</t>
  </si>
  <si>
    <t>{PS_Region_New__c=US Healthcare, attributes={url=/services/data/v62.0/sobjects/Account/0014X00002ejOn2QAE, type=Account}, PS_Sub_Region__c=Healthcare ME, Industry=Ambulatory, SubRegion__c=US Healthcare ME NN West, Name=Elk Ridge Community Health}</t>
  </si>
  <si>
    <t>2026-09-30T13:25:33.000+0000</t>
  </si>
  <si>
    <t>017VT0000GuRYGeYQO</t>
  </si>
  <si>
    <t>a0pVT00000Cq7t0YAB</t>
  </si>
  <si>
    <t>{Name=Stanford Health Care, attributes={url=/services/data/v62.0/sobjects/Account/0018000001MISf3AAH, type=Account}, Industry=Acute Hospital / Health System, PS_Region_New__c=US Healthcare}</t>
  </si>
  <si>
    <t>a0rVT00001DWsLTYA1</t>
  </si>
  <si>
    <t>a0rVT00001DX43GYAT</t>
  </si>
  <si>
    <t>BBQNC3 Corporation</t>
  </si>
  <si>
    <t>0018000001U9iG4AAJ</t>
  </si>
  <si>
    <t>2026-09-30T13:25:48.000+0000</t>
  </si>
  <si>
    <t>{PS_Sub_Region__c=FSI Commercial NN, attributes={url=/services/data/v62.0/sobjects/Account/0018000001U9iG4AAJ, type=Account}, Name=Merchant e-Solutions, Industry=FinTech, SubRegion__c=US FSI Commercial NN, PS_Region_New__c=US FSI}</t>
  </si>
  <si>
    <t>017VT0000GcCd9RYQS</t>
  </si>
  <si>
    <t>{Name=Devoted Guardians, Industry=Post Acute, attributes={url=/services/data/v62.0/sobjects/Account/001VT00000b2LcbYAE, type=Account}, PS_Region_New__c=US Large Enterprise DI &amp; Mexico}</t>
  </si>
  <si>
    <t>017VT0000GcCcLQYQ0</t>
  </si>
  <si>
    <t>a0rVT00001DX85IYAT</t>
  </si>
  <si>
    <t>Beat The Streets Inc</t>
  </si>
  <si>
    <t>a0pVT00000Cpne7YAB</t>
  </si>
  <si>
    <t>{attributes={type=Account, url=/services/data/v62.0/sobjects/Account/0014X00002fFnsDQAS}, Name=Hand &amp; Stone Franchise Corp., Industry=Other Retail, PS_Region_New__c=US Medium Enterprise DI}</t>
  </si>
  <si>
    <t>a0rVT00001DWsLUYA1</t>
  </si>
  <si>
    <t>US NFP NN West</t>
  </si>
  <si>
    <t>001VT00000MUguqYAD</t>
  </si>
  <si>
    <t>{Industry=Restaurant &amp; Food Service, Name=Bobby's Burger Palace, PS_Sub_Region__c=ME NN RHT East, attributes={type=Account, url=/services/data/v62.0/sobjects/Account/001VT00000MUguqYAD}, PS_Region_New__c=US Medium Enterprise DI, SubRegion__c=US DI ME NN RHT Southeast}</t>
  </si>
  <si>
    <t>017VT0000GuRVdxYQG</t>
  </si>
  <si>
    <t>{attributes={type=Account, url=/services/data/v62.0/sobjects/Account/0018000000tjsy1AAA}, Industry=Restaurant &amp; Food Service, Name=The Nutrition Group, PS_Region_New__c=US Large Enterprise DI &amp; Mexico}</t>
  </si>
  <si>
    <t>2026-09-30T13:25:26.000+0000</t>
  </si>
  <si>
    <t>017VT0000GuQAROYQ4</t>
  </si>
  <si>
    <t>{Industry=Land and Rail Transportation and Freight, PS_Region_New__c=Canada, Name=Kriska Transportation Group Ltd (Inactive Account), attributes={url=/services/data/v62.0/sobjects/Account/0011B00002CXU3tQAH, type=Account}}</t>
  </si>
  <si>
    <t>a0pVT00000Cq1XOYAZ</t>
  </si>
  <si>
    <t>017VT0000GcCcI2YQK</t>
  </si>
  <si>
    <t>{Industry=Restaurant &amp; Food Service, SubRegion__c=US DI ME NN RHT Southeast, PS_Region_New__c=US Medium Enterprise DI, attributes={type=Account, url=/services/data/v62.0/sobjects/Account/001VT00000MUguqYAD}, PS_Sub_Region__c=ME NN RHT East, Name=Bobby's Burger Palace}</t>
  </si>
  <si>
    <t>{attributes={url=/services/data/v62.0/sobjects/Account/0013000000HnZ0PAAV, type=Account}, Name=Amgen Inc., Industry=Professional Services, PS_Region_New__c=US Large Enterprise DI &amp; Mexico}</t>
  </si>
  <si>
    <t>017VT0000GcCcITYQ0</t>
  </si>
  <si>
    <t>a3A4X000004XRnbUAG</t>
  </si>
  <si>
    <t>{Name=AMLI Management Company, PS_Region_New__c=US FSI, Industry=Investment Management, attributes={url=/services/data/v62.0/sobjects/Account/0018000000WfIKiAAN, type=Account}}</t>
  </si>
  <si>
    <t>a0rVT00001DX1BvYAL</t>
  </si>
  <si>
    <t>BELFOR Franchise Group</t>
  </si>
  <si>
    <t>0013000000KKttDAAT</t>
  </si>
  <si>
    <t>a0pVT00000CqApBYAV</t>
  </si>
  <si>
    <t>017VT0000GuQ2htYQC</t>
  </si>
  <si>
    <t>1/23/2025: Aligned with CBAE, reviewed subscription with customer. Customer now 53 employees with 13 in Canada, looking at renewal options. May go into bankruptcy See Gainsight for additional details.</t>
  </si>
  <si>
    <t>{Industry=Restaurant &amp; Food Service, PS_Region_New__c=US Medium Enterprise DI, attributes={url=/services/data/v62.0/sobjects/Account/001VT00000MUguqYAD, type=Account}, SubRegion__c=US DI ME NN RHT Southeast, PS_Sub_Region__c=ME NN RHT East, Name=Bobby's Burger Palace}</t>
  </si>
  <si>
    <t>{Industry=Insurance, Name=The Northwestern Mutual Life Insurance Company, attributes={url=/services/data/v62.0/sobjects/Account/00130000008MSEDAA4, type=Account}, PS_Region_New__c=US FSI}</t>
  </si>
  <si>
    <t>Risk of customer churn or significant SKU drop (HCM) keeping only FIN.
Customer has gone through multiple divestitures
Headcount 250, expected to be lower.
Executives not convinced Workday is right solution from a cost perspective.
Enquiry into what it would cost should they keep FINs only.
Plan is to onboard executives and resell value of Workday to organization.</t>
  </si>
  <si>
    <t>2026-09-30T13:23:50.000+0000</t>
  </si>
  <si>
    <t>017VT0000GcCcHnYQK</t>
  </si>
  <si>
    <t>2025-03-12T15:00:06.000+0000</t>
  </si>
  <si>
    <t>a0rVT00001DXCqPYAX</t>
  </si>
  <si>
    <t>a0pVT00000CprjMYAR</t>
  </si>
  <si>
    <t>Belron Canada Inc.</t>
  </si>
  <si>
    <t>a3A4X000004XRo0UAG</t>
  </si>
  <si>
    <t>{attributes={type=Account, url=/services/data/v62.0/sobjects/Account/0014X00002ejOn2QAE}, Industry=Ambulatory, PS_Region_New__c=US Healthcare, Name=Elk Ridge Community Health}</t>
  </si>
  <si>
    <t>0014X00002XIDh4QAH</t>
  </si>
  <si>
    <t>{Industry=Restaurant &amp; Food Service, attributes={type=Account, url=/services/data/v62.0/sobjects/Account/001VT00000MUguqYAD}, PS_Region_New__c=US Medium Enterprise DI, Name=Bobby's Burger Palace, SubRegion__c=US DI ME NN RHT Southeast, PS_Sub_Region__c=ME NN RHT East}</t>
  </si>
  <si>
    <t>017VT0000GuRNk4YQG</t>
  </si>
  <si>
    <t>Customer business has closed. Customer will not be renewing their agreement.</t>
  </si>
  <si>
    <t>2024-06-14T12:36:55.000+0000</t>
  </si>
  <si>
    <t>{PS_Region_New__c=US FSI, attributes={url=/services/data/v62.0/sobjects/Account/0018000001U9iG4AAJ, type=Account}, Industry=FinTech, Name=Merchant e-Solutions}</t>
  </si>
  <si>
    <t>a0rVT00001DXGvdYAH</t>
  </si>
  <si>
    <t>a3A4X000004XRoFUAW</t>
  </si>
  <si>
    <t>Bernard Personnel Consultants</t>
  </si>
  <si>
    <t>a0pVT00000CpzLvYAJ</t>
  </si>
  <si>
    <t>2026-09-30T13:25:50.000+0000</t>
  </si>
  <si>
    <t>a0rVT00001DWswZYAT</t>
  </si>
  <si>
    <t>0011B00002CYRUgQAP</t>
  </si>
  <si>
    <t>017VT0000GcCcJFYQ0</t>
  </si>
  <si>
    <t>0014X00002fFmchQAC</t>
  </si>
  <si>
    <t>{attributes={url=/services/data/v62.0/sobjects/Account/0014X00002fFmchQAC, type=Account}, PS_Sub_Region__c=ME NN MFG, Industry=Consumer Goods, PS_Region_New__c=US Medium Enterprise DI, SubRegion__c=US DI ME NN MFG Northeast, Name=Ferraro Foods, Inc.}</t>
  </si>
  <si>
    <t>Link to the Gainsight Success Plan:
https://workday.lightning.force.com/one/one.app#eyJjb21wb25lbnREZWYiOiJvbmU6YWxvaGFQYWdlIiwiYXR0cmlidXRlcyI6eyJhZGRyZXNzIjoiaHR0cHM6Ly93b3JrZGF5LS1qYmN4bS52Zi5mb3JjZS5jb20vYXBleC9HYWluc2lnaHROWFQjY3VzdG9tZXJzdWNjZXNzMzYwJTNGY2lkJTNEMVAwMkhCSzQ1UVRHSFEyN1Q0Vk5BVDJWVFEyRkMzQzk0Q0hGIn0sInN0YXRlIjp7fX0%3D</t>
  </si>
  <si>
    <t>{Name=Bobby's Burger Palace, Industry=Restaurant &amp; Food Service, attributes={url=/services/data/v62.0/sobjects/Account/001VT00000MUguqYAD, type=Account}, PS_Region_New__c=US Medium Enterprise DI}</t>
  </si>
  <si>
    <t>017VT0000GuQCpZYQW</t>
  </si>
  <si>
    <t>a0rVT00001DX8ObYAL</t>
  </si>
  <si>
    <t>a0pVT00000CpzybYAB</t>
  </si>
  <si>
    <t>Best Western International, Inc.</t>
  </si>
  <si>
    <t>a0rVT00001DWt2vYAD</t>
  </si>
  <si>
    <t>Scout only customer is potentially not renewing their contract in 7/14/2024. 
This account was previously owned by CSM in US and it was recently assigned to us to support on these conversations. Their contract is set for an automatic autorenewal, and they didn’t notify WD of a non-renewal 90 days in advance as stated in their previous contract, but they still might be able to drop.
I have been working with the CoE team for Scout Kim Lunte and keep pushing from the CS perspective, but it seems the customer had already made their decision since before we engaged and are even willing to involve their legal team. Emily Forsythe is involved in the renewal as the Specialized AE.
Main Pain Points shared by customer:
- Spanish Limitation- due to this, about 10% of our processes go through Scout, so the usage is really low. Kim said there is limited translations in the system and suggested using Chrome translate as a temporary solution, but noted that any content exported from the system would not be translated which is a significant challenge for their users.
- Authentication through a QR code New functionality released. Kim mentioned though some customers have adopted well the QR code new functionality as extra security, they have received feedback that the suppliers are not mature enough for the feature which is the case for UVM.
- Customer has no budget to renew. Customer has asked if there is a way for a price reduction, though I asked Emily if it was possible and she doesn't think her Management would approve since they already signed the agreement and its legally binding so once she has the answer from legal she will circulate with her Manager and let me know.
Despite them not giving the 90 days notification notice, the customer is confident they won't renew as they say they notified Javier Abdala and Emmanuel Ortiz in April during their call. Though there is nothing in writing.
I scheduled a call with Emily Forsythe (specialized AE looking at this renewal) and Kim Lunte (Scout CSM) to plan on next steps.</t>
  </si>
  <si>
    <t>{PS_Region_New__c=US Medium Enterprise DI, Name=Ferraro Foods, Inc., attributes={url=/services/data/v62.0/sobjects/Account/0014X00002fFmchQAC, type=Account}, Industry=Consumer Goods}</t>
  </si>
  <si>
    <t>0011B00002CYQtqQAH</t>
  </si>
  <si>
    <t>{attributes={url=/services/data/v62.0/sobjects/Account/0011B00002CYQtqQAH, type=Account}, SubRegion__c=Mexico, PS_Sub_Region__c=Mexico, Name=Grupo Aeroméxico, S.A.B. de C.V., PS_Region_New__c=US Large Enterprise DI &amp; Mexico, Industry=Travel &amp; Hospitality}</t>
  </si>
  <si>
    <t>2025-01-10T17:29:10.000+0000</t>
  </si>
  <si>
    <t>2026-09-30T13:24:39.000+0000</t>
  </si>
  <si>
    <t>a3A4X000004XRoyUAG</t>
  </si>
  <si>
    <t>017VT0000GuPuHdYQK</t>
  </si>
  <si>
    <t>0014X00002dTKr8QAG</t>
  </si>
  <si>
    <t>{Name=Grupo Aeroméxico, S.A.B. de C.V., attributes={url=/services/data/v62.0/sobjects/Account/0011B00002CYQtqQAH, type=Account}, PS_Region_New__c=US Large Enterprise DI &amp; Mexico, Industry=Travel &amp; Hospitality}</t>
  </si>
  <si>
    <t>1/7/25 BJ - ONE YEAR RENEWAL - met with the customer, they had a terrible implementation and they are weighing their options of reimplementation vs implementing a new option and the cost of each. Working with Laura on the customer team to advocate for Adaptive and connecting her with partners.
8/8/24 BJ - ONE YEAR RENEWAL - customer renewed for 1 year after a rough negotiation. second outreach to try to schedule avr, if no response will send a calendar invite
7/22/24 BJ - sent email to schedule avr, no update
6/18 BJ: Customer is very firm on renewal pricing and is in tough negotiations with the CBAE. Churn risk if they cannot meet the customer at an "affordable" renewal price.</t>
  </si>
  <si>
    <t>a0pVT00000Cq00DYAR</t>
  </si>
  <si>
    <t>{SubRegion__c=Mexico, PS_Sub_Region__c=Mexico, attributes={type=Account, url=/services/data/v62.0/sobjects/Account/0011B00002CYQtqQAH}, Industry=Travel &amp; Hospitality, Name=Grupo Aeroméxico, S.A.B. de C.V., PS_Region_New__c=US Large Enterprise DI &amp; Mexico}</t>
  </si>
  <si>
    <t>2026-09-30T13:23:45.000+0000</t>
  </si>
  <si>
    <t>a0rVT00001DXDcnYAH</t>
  </si>
  <si>
    <t>6/18 BJ: Customer is very firm on renewal pricing and is in tough negotiations with the CBAE. Churn risk if they cannot meet the customer at an "affordable" renewal price.</t>
  </si>
  <si>
    <t>BHP Billiton Ltd.</t>
  </si>
  <si>
    <t>017VT0000GcCdAwYQK</t>
  </si>
  <si>
    <t>2025-01-07T18:40:06.000+0000</t>
  </si>
  <si>
    <t>a0rVT00001DWtcVYAT</t>
  </si>
  <si>
    <t>001VT00000b2nQlYAI</t>
  </si>
  <si>
    <t>a3A4X000004XRwEUAW</t>
  </si>
  <si>
    <t>{attributes={type=Account, url=/services/data/v62.0/sobjects/Account/001VT00000b2nQlYAI}, Name=Sodexo SA, Industry=Restaurant &amp; Food Service, PS_Region_New__c=EMEA South}</t>
  </si>
  <si>
    <t>017VT0000GcCcHwYQK</t>
  </si>
  <si>
    <t>a0pVT00000Cq01pYAB</t>
  </si>
  <si>
    <t>a0rVT00001DWtz4YAD</t>
  </si>
  <si>
    <t>0018000000esqAFAAY</t>
  </si>
  <si>
    <t>{PS_Region_New__c=Canada, Name=Intact Financial Corporation, attributes={url=/services/data/v62.0/sobjects/Account/0018000000esqAFAAY, type=Account}, Industry=Insurance}</t>
  </si>
  <si>
    <t>0014X00002XHKSzQAP</t>
  </si>
  <si>
    <t>017VT0000GcCdCCYQ0</t>
  </si>
  <si>
    <t>Update
2/12/25 BJ - LOW USAGE - AE Aman is still in process of having the customer sign the agreement for the add on Learning SKU. No change with customer's plan on their use case.
1/21/25 BJ - LOW USAGE - met with the customer, they have no plans of changing their use case. They want to add on the Learning SKU, Aman let them know they will need to sign an agreement for it. That agreement is in progress currently.
1/7/25 BJ - LOW USAGE - understood the reasoning for the low usage. This customer apparently only bought HCM to build on top of it and sell to their clients. They also have not paid their invoices. In contact with the customer now, but treading lightly. Working with Aman Bajaj (internal AE).
8/7/24 BJ - LOW USAGE - trying to schedule a meeting with the main admins. no update, will reach out again on 8/15 if no response
7/23/24 BJ - Usage for all SKUs is low. One SKU is at 0%, trying to schedule meeting</t>
  </si>
  <si>
    <t>a0rVT00001DWu2JYAT</t>
  </si>
  <si>
    <t>a0rVT00001DXBWRYA5</t>
  </si>
  <si>
    <t>{Industry=Travel &amp; Hospitality, PS_Region_New__c=US Large Enterprise DI &amp; Mexico, SubRegion__c=Mexico, PS_Sub_Region__c=Mexico, attributes={type=Account, url=/services/data/v62.0/sobjects/Account/0011B00002CYQtqQAH}, Name=Grupo Aeroméxico, S.A.B. de C.V.}</t>
  </si>
  <si>
    <t>0018000001BOCMdAAP</t>
  </si>
  <si>
    <t>{attributes={url=/services/data/v62.0/sobjects/Account/0018000001BOCMdAAP, type=Account}, Industry=Professional Services, Name=Cielo, Inc - MSP, PS_Region_New__c=US Medium Enterprise DI}</t>
  </si>
  <si>
    <t>Biagi Bros, Inc.</t>
  </si>
  <si>
    <t>Usage for all SKUs is low. One SKU is at 0%</t>
  </si>
  <si>
    <t>2025-02-12T21:28:17.000+0000</t>
  </si>
  <si>
    <t>017VT0000GuQa1yYQC</t>
  </si>
  <si>
    <t>a0rVT00001DWubnYAD</t>
  </si>
  <si>
    <t>0013000000II8OAAA1</t>
  </si>
  <si>
    <t>US DI ME NN RHT Pacific</t>
  </si>
  <si>
    <t>a3A4X000004XRyPUAW</t>
  </si>
  <si>
    <t>0014X00002IwmyEQAR</t>
  </si>
  <si>
    <t>Update - 01/02/2025
See Update that is now tracked as Risk in Adoption Plan in Gainsight.
https://workday--jbcxm.vf.force.com/one/one.app#eyJjb21wb25lbnREZWYiOiJvbmU6YWxvaGFQYWdlIiwiYXR0cmlidXRlcyI6eyJhZGRyZXNzIjoiaHR0cHM6Ly93b3JrZGF5LS1qYmN4bS52Zi5mb3JjZS5jb20vYXBleC9HYWluc2lnaHROWFQjY29ja3BpdCUyMyUyRmxpc3QlMkZjdGElMkYxUzAxU0daNlJMMVNNUU9COUJINlhJVk00OVk0WEZJNFQ0R1IifX0=</t>
  </si>
  <si>
    <t>{Name=CMG Strategy Co., LLC, Industry=Restaurant &amp; Food Service, PS_Region_New__c=US Large Enterprise DI &amp; Mexico, attributes={type=Account, url=/services/data/v62.0/sobjects/Account/0013000000II8OAAA1}}</t>
  </si>
  <si>
    <t>Retail customer shrunk significantly, shuttering US operations, as COVID expedited the consumer shift to purchasing pet supplies and pet food online.  CIO from Canada; Workday purchase decision was made by US executives who moved out of organization. 
Workday not invited to RFP for Finance.
Cost is the driver.
Lack of value: some opportunities to increase value were raised to Eric Smith, some are detailed in initial wellness update.
Looking for quick wins.  
SNI Labor Optimization, Scheduling.</t>
  </si>
  <si>
    <t>2026-09-30T13:24:03.000+0000</t>
  </si>
  <si>
    <t>017VT0000GuR49NYQS</t>
  </si>
  <si>
    <t>a0rVT00001DWugcYAD</t>
  </si>
  <si>
    <t>2025-02-20T22:05:11.000+0000</t>
  </si>
  <si>
    <t>a0rVT00001DX1GmYAL</t>
  </si>
  <si>
    <t>0013000000J2sIkAAJ</t>
  </si>
  <si>
    <t>a3A4X000004XRzcUAG</t>
  </si>
  <si>
    <t>{Name=The Pep Boys - Manny, Moe &amp; Jack LLC, Industry=Auto, PS_Region_New__c=US Large Enterprise DI &amp; Mexico, attributes={url=/services/data/v62.0/sobjects/Account/0013000000J2sIkAAJ, type=Account}}</t>
  </si>
  <si>
    <t>Big Peach Car Wash</t>
  </si>
  <si>
    <t>a0pVT00000Cq03RYAR</t>
  </si>
  <si>
    <t>0014X00002Ouey3QAB</t>
  </si>
  <si>
    <t>2026-09-30T13:24:13.000+0000</t>
  </si>
  <si>
    <t>[May 2026] - LF 
Legal discussion still on going. The customer didn't accepted the settlement agreement to restart the project, and rejected the offer. Clues are pointing towards a litigation between the parties.</t>
  </si>
  <si>
    <t>017VT0000GcCd74YQC</t>
  </si>
  <si>
    <t>a0rVT00001DWuiEYAT</t>
  </si>
  <si>
    <t>{PS_Sub_Region__c=Mexico, Name=Grupo Aeroméxico, S.A.B. de C.V., attributes={url=/services/data/v62.0/sobjects/Account/0011B00002CYQtqQAH, type=Account}, PS_Region_New__c=US Large Enterprise DI &amp; Mexico, Industry=Travel &amp; Hospitality, SubRegion__c=Mexico}</t>
  </si>
  <si>
    <t>0018000000rRs19AAC</t>
  </si>
  <si>
    <t>{Name=NextEra Energy, Inc, attributes={url=/services/data/v62.0/sobjects/Account/0018000000rRs19AAC, type=Account}, PS_Region_New__c=US Large Enterprise DI &amp; Mexico, Industry=Utilities}</t>
  </si>
  <si>
    <t>Assist Digital is working on a deployment HCM &amp; FIN for Mid-Jan 2025. They are facing issues regarding product configuration aligned to Italian labor-law and knowledge on specific topics, such as Time Tracking.
They are asking (email from August 2nd):
- for clarity around the requested specifications, and if they can be implemented in WD. 
- an intervention plan from WD on how to address Time Tracking (more urgent scenario) before E2E test. 
Lead on the project: Jean Carlos De Gaetano</t>
  </si>
  <si>
    <t>2026-04-30T11:29:21.000+0000</t>
  </si>
  <si>
    <t>a3A8000000042e1EAA</t>
  </si>
  <si>
    <t>017VT0000GuRDTRYQ4</t>
  </si>
  <si>
    <t>a0rVT00001DWuqLYAT</t>
  </si>
  <si>
    <t>a0rVT00001DX9uBYAT</t>
  </si>
  <si>
    <t>00180000018JN5UAAW</t>
  </si>
  <si>
    <t>0018000001ByZndAAF</t>
  </si>
  <si>
    <t>Biltmore</t>
  </si>
  <si>
    <t>{Name=SRS Distribution Inc., Industry=Hardlines, PS_Region_New__c=US Large Enterprise DI &amp; Mexico, attributes={url=/services/data/v62.0/sobjects/Account/0018000001ByZndAAF, type=Account}}</t>
  </si>
  <si>
    <t>11/27/17 [LI] - Moving to unfavorable as we were officially notified of their intention to offboard (acquisition related).</t>
  </si>
  <si>
    <t>2026-09-30T13:25:41.000+0000</t>
  </si>
  <si>
    <t>Rice Energy was acquired by EQT Corporation:   June 19th - public notice hit the market. 
Internal email from Frank Feola - advising that Courtney (Director HR for Rice) is unsure what this means long term - and uncertain of any future.   
Planning Deployment is currently in progress to begin - but may be on hold because of this news. 
Customer is happy - and No Risk to the Executive Survey that will be launched in July
Customer Success APR is scheduled for July 18th:  And will update this wellness plan as progress towards preparing for the APR is discussed with Rice team.</t>
  </si>
  <si>
    <t>017VT0000GcCdCUYQ0</t>
  </si>
  <si>
    <t>2017-11-27T15:54:55.000+0000</t>
  </si>
  <si>
    <t>a0rVT00001DWutXYAT</t>
  </si>
  <si>
    <t>a3A80000000Dwt4EAC</t>
  </si>
  <si>
    <t>a0pVT00000Cq641YAB</t>
  </si>
  <si>
    <t>0011B00002GMewVQAT</t>
  </si>
  <si>
    <t>{attributes={url=/services/data/v62.0/sobjects/Account/0011B00002GMewVQAT, type=Account}, PS_Region_New__c=US Medium Enterprise DI, Name=Buildertrend Solutions, Inc., Industry=Software &amp; Platforms}</t>
  </si>
  <si>
    <t>a0rVT00001DWt2wYAD</t>
  </si>
  <si>
    <t>0018000000Ln9gOAAR</t>
  </si>
  <si>
    <t>Reopening to flag this customer as offboarding into Dentsu.</t>
  </si>
  <si>
    <t>0014X00002dTG5CQAW</t>
  </si>
  <si>
    <t>017VT0000GcCcN1YQK</t>
  </si>
  <si>
    <t>a0rVT00001DWwqUYAT</t>
  </si>
  <si>
    <t>Merkle has been purchased by Dentsu Aegis Network Limited in the EMEA.  Dentsu has purchased Workday and went live 9/28/17.  Once Merkle's contract is up (12/31/18) the plan is for Merkle to be absorbed by the Dentsu tenant.  Merkle would like to stay on their own tenant and operate as 2 organizations because they are further along with their Workday experience than Dentsu (Merkle is customer 216).  The Wellness Plan is opened in order for us to stay ahead of the situation.  Other than the merger the customer is favorable.</t>
  </si>
  <si>
    <t>a0rVT00001DWutYYAT</t>
  </si>
  <si>
    <t>{Name=Crown Bakeries, PS_Region_New__c=US Medium Enterprise DI, Industry=Consumer Goods, SubRegion__c=US DI ME NN MFG South, attributes={type=Account, url=/services/data/v62.0/sobjects/Account/0014X00002dTG5CQAW}, PS_Sub_Region__c=ME NN MFG}</t>
  </si>
  <si>
    <t>Birmingham Green</t>
  </si>
  <si>
    <t>0018000001JinQzAAJ</t>
  </si>
  <si>
    <t>2022-05-02T19:34:19.000+0000</t>
  </si>
  <si>
    <t>{Industry=Restaurant &amp; Food Service, attributes={url=/services/data/v62.0/sobjects/Account/0018000001JinQzAAJ, type=Account}, PS_Region_New__c=US Large Enterprise DI &amp; Mexico, Name=Shake Shack Enterprises, LLC}</t>
  </si>
  <si>
    <t>a3A80000000JVzpEAG</t>
  </si>
  <si>
    <t>US Healthcare ME NN Northeast</t>
  </si>
  <si>
    <t>00180000011WO84AAG</t>
  </si>
  <si>
    <t>017VT0000GuQuYSYQ0</t>
  </si>
  <si>
    <t>a0rVT00001DWutZYAT</t>
  </si>
  <si>
    <t>001VT00000b2n2YYAQ</t>
  </si>
  <si>
    <t>I just spoke with Angela from Ebates and she will be opening a case to help with the transition of tenant data.</t>
  </si>
  <si>
    <t>{Industry=Non-Profit, Name=NC African Services Coalition, PS_Region_New__c=US SLED, attributes={url=/services/data/v62.0/sobjects/Account/001VT00000b2n2YYAQ, type=Account}}</t>
  </si>
  <si>
    <t>Ebates will not be renewing as their Parent Company, Rakuten is a new customer and they will be moving to their new tenant</t>
  </si>
  <si>
    <t>2026-09-30T13:26:03.000+0000</t>
  </si>
  <si>
    <t>2016-09-08T22:19:29.000+0000</t>
  </si>
  <si>
    <t>a3AVT000000CSi52AG</t>
  </si>
  <si>
    <t>017VT0000GuQlL9YQK</t>
  </si>
  <si>
    <t>a0rVT00001DX7vZYAT</t>
  </si>
  <si>
    <t>0018000000uBmXAAA0</t>
  </si>
  <si>
    <t>BJ's Wholesale Club, Inc.</t>
  </si>
  <si>
    <t>0013000000HVlzOAAT</t>
  </si>
  <si>
    <t>a0pVT00000CpypfYAB</t>
  </si>
  <si>
    <t>2/11/25 Brad Torok has been brought on as Sr. Manager, People Tech last week of Jan. looking to schedule call in coming weeks to reset with customer and get list of gaps/issues to build action plan to address</t>
  </si>
  <si>
    <t>{attributes={url=/services/data/v62.0/sobjects/Account/0013000000HVlzOAAT, type=Account}, Name=AFLAC Incorporated, Industry=Health Insurance, PS_Region_New__c=US Healthcare}</t>
  </si>
  <si>
    <t>11/6/24 Anne Aviles responded to Exec. Survey giving us a Zero &amp; Unfavorable.  Only feedback, Workday's UI is clunky and needs attention &amp; integration strategy needs to be modernized
 - CBAE (John Millard) &amp; CSM (Marsha Chintz) over FY25 have made ourselves available to assist/partner with the customer, conversations for how we can assist have gone nowhere.
 - Customer is siloed, has no unified direction, has had constant leadership changes, and will not provide spend to optimize their system.
•	Anne continues to be a blocker to the Workday team to get deeper leadership alignment</t>
  </si>
  <si>
    <t>2026-09-30T13:23:58.000+0000</t>
  </si>
  <si>
    <t>2025-02-19T23:47:17.000+0000</t>
  </si>
  <si>
    <t>{Industry=Consumer Goods, PS_Sub_Region__c=ME NN MFG, PS_Region_New__c=US Medium Enterprise DI, SubRegion__c=US DI ME NN MFG South, Name=Crown Bakeries, attributes={type=Account, url=/services/data/v62.0/sobjects/Account/0014X00002dTG5CQAW}}</t>
  </si>
  <si>
    <t>017VT0000GuP8xHYQS</t>
  </si>
  <si>
    <t>a3AVT000000Ca7l2AC</t>
  </si>
  <si>
    <t>0013000000KLc3YAAT</t>
  </si>
  <si>
    <t>0018000000bHG1GAAW</t>
  </si>
  <si>
    <t>{attributes={type=Account, url=/services/data/v62.0/sobjects/Account/0013000000KLc3YAAT}, Industry=Post Acute, PS_Region_New__c=US Healthcare, Name=American Senior Communities}</t>
  </si>
  <si>
    <t>25th Feb
- Session hosted by product to share roadmap, well received by RM
- On track of deployment next week on 3rd march
- OD and exec board request confirmed and internal team engaged
- Introduced to new AE Colm completed 
- IoS mobile survey link issue in flight - Critical accounts engaged
- Jose confirmed as remaining to support with Fatma, following RM escalation
- leadership engaged to confirm message and approach for strategy services engagement following team being made redundant 
Full weekly updates can be found here - https://app.smartsheet.com/sheets/M9VJGpGr9w57Rj96xVFQm2jJRVM7vrwH86v9QGx1?view=grid</t>
  </si>
  <si>
    <t>2026-09-30T13:24:23.000+0000</t>
  </si>
  <si>
    <t>017VT0000GuRRexYQG</t>
  </si>
  <si>
    <t>a0rVT00001DWvDoYAL</t>
  </si>
  <si>
    <t>a0rVT00001DXFDBYA5</t>
  </si>
  <si>
    <t>0013000000KLfNeAAL</t>
  </si>
  <si>
    <t>{attributes={type=Account, url=/services/data/v62.0/sobjects/Account/0013000000KLfNeAAL}, Name=First Student, Inc., Industry=Transit Systems, PS_Region_New__c=US Large Enterprise DI &amp; Mexico}</t>
  </si>
  <si>
    <t>Blackline Systems, Inc.</t>
  </si>
  <si>
    <t>2026-09-30T13:24:25.000+0000</t>
  </si>
  <si>
    <t>a0pVT00000Cprt1YAB</t>
  </si>
  <si>
    <t>017VT0000GuP8xKYQS</t>
  </si>
  <si>
    <t>0013000000Ke3u0AAB</t>
  </si>
  <si>
    <t>Royal Mail have made some recent escalations around numerous areas during their deployment, not limited to product functionality, feelings of being oversold, disappointing service and support, and overall frustrations with the Workday partnership.
Royal Mail has piloted a survey to 2000 managers so far, with a full survey to approx 130K employee due early 2025. Following RMs CPO escalating this, Customer Success are now involved, and we spoke to the RM project owners today. A summary of current issues from their perspective below from CS Leader Julie Egan:
It is very clear they are frustrated and at the end of their tether and we need to rally together to turn this satiation around. To summarize this was there key areas of feedback
- Rachel opened by saying they moved to WD thinking they were moving to better solution and as it stands they feel it’s not. They believe they have been oversold (word Rachel used) and there are a number of areas where they feel it was not made clear how the system worked, Rachel provided an example of benchmarks. Clearly this may not be the case, but having not been involved in the sales cycle I am unable to comment. That said perception is reality and this is how they feel. Nick and Steve
– I will leave you to discuss and consider if any follow up is required.
- Workday appears to be disjointed, with lots of different teams taking a small role and as such they are disappointed in the lack of an overall single point of contact, leaving then unclear on the overall plan and approach, for example they were not aware that the original SoW only covered to the pilot. 
I advised I would be point of escalation day to day. Weekly Internal alignment call schedule starting on Monday 9th Dec and weekly call with Rachel, Carly, Nathan and myself set up for 14:00 every Monday form the 9th Dec
- Steve has also engaged Peter Gamble as the Exec sponsor and is working to get a session with Hayley CPO
- Frustration around support tickets, case handling and responsiveness. They feel the support team are using delaying tactics, moving cases to waiting for customer, asking questions that should be clear to ‘Stop the clock’.
All cases have been reviewed and escalated to support for review. Nathan will keep a track on cases and take any action as required.
- Disappointed that there has been no follow up since the session with Product on the 11th Nov, they advised there shared a list of items and discussed on the call. They was expecting a response to each item raised.
List obtained (13 items in total) and full review being completed. The objective is to identify the correct owner for each item and co-ordinate a response. Once we have a PoV on those that are deployment vs Support vs Product, we will arrange a product call with Ken Klaus (VP, Product) and coordinate responses to the remaining ones
- Underwhelmed by the outputs of the insight review. Nick West (AE) arranged for OD to provide support and whist it’s in a much better place and heading in the right direction, albeit maybe not ready for the RM session scheduled on 11th Dec, the engagement with Jess has been very been positive and Jess has done a great job in a very short amount of time. Rachel did want to highlight she feels Jess has not been set up for success, her view is that she was not briefed, nor set up to succeed and she feels very sorry for Jess. ‘unfair’ was the word used and in essence feels Jess has been dumped with this with no co-ordination or support.
Short term: Jess to continue as is and we will check in
Med term: Nathan to review premium support package to confirm what RM have included going forward in OD space, vs what is required and discuss with RM
These were the main points, I now feel we have a consolidated like to outstanding items, an agreed point of co-ordination and calls schedule to keep us on track as a team and with RM. There is clearly lessons to be learnt in how we handle complex customer like RM going forward as I think we can all agree this has not been a good experience for the customer nor us as workmates. I will take an action to arrange a debrief/lessons learnt once we are in a better place and have the head space.</t>
  </si>
  <si>
    <t>{Name=ABC Liquors, Inc., Industry=Consumer Goods, PS_Region_New__c=US Medium Enterprise DI, attributes={type=Account, url=/services/data/v62.0/sobjects/Account/0013000000Ke3u0AAB}}</t>
  </si>
  <si>
    <t>2025-02-25T11:59:50.000+0000</t>
  </si>
  <si>
    <t>{SubRegion__c=US DI ME NN MFG South, PS_Sub_Region__c=ME NN MFG, Industry=Consumer Goods, Name=Crown Bakeries, attributes={url=/services/data/v62.0/sobjects/Account/0014X00002dTG5CQAW, type=Account}, PS_Region_New__c=US Medium Enterprise DI}</t>
  </si>
  <si>
    <t>a3AVT000000Chu12AC</t>
  </si>
  <si>
    <t>017VT0000GcCcLHYQ0</t>
  </si>
  <si>
    <t>a0rVT00001DWvDqYAL</t>
  </si>
  <si>
    <t>001800000121Rc4AAE</t>
  </si>
  <si>
    <t>001VT00000b2mhbYAA</t>
  </si>
  <si>
    <t>30/01: no response yet from Sarah. Bella picking up and prompting a response.</t>
  </si>
  <si>
    <t>{Name=Fuel America LLC, PS_Region_New__c=US Medium Enterprise DI, attributes={url=/services/data/v62.0/sobjects/Account/001VT00000b2mhbYAA, type=Account}, Industry=Restaurant &amp; Food Service}</t>
  </si>
  <si>
    <t>CPO Helen Mullings submitted a 6/10 response. This shows a neutral view of Workday. The goal is to ensure this is improved.
Link to adoption plan: https://workday.lightning.force.com/one/one.app#eyJjb21wb25lbnREZWYiOiJvbmU6YWxvaGFQYWdlIiwiYXR0cmlidXRlcyI6eyJhZGRyZXNzIjoiaHR0cHM6Ly93b3JrZGF5LS1qYmN4bS52Zi5mb3JjZS5jb20vYXBleC9HYWluc2lnaHROWFQjY3VzdG9tZXJzdWNjZXNzMzYwJTNGY2lkJTNEMVAwMkhCSzQ1UVRHSFEyN1Q0RVhDSDI0OUNLS01MWE1GWUMxIn0sInN0YXRlIjp7fX0%3D</t>
  </si>
  <si>
    <t>2025-01-30T14:10:54.000+0000</t>
  </si>
  <si>
    <t>017VT0000GcCcEtYQK</t>
  </si>
  <si>
    <t>a3AVT000000Cq7h2AC</t>
  </si>
  <si>
    <t>0011B00002CXXPUQA5</t>
  </si>
  <si>
    <t>0018000001DwDSLAA3</t>
  </si>
  <si>
    <t>{Name=Arauco NA, Industry=Materials, attributes={url=/services/data/v62.0/sobjects/Account/0018000001DwDSLAA3, type=Account}, PS_Region_New__c=US Large Enterprise DI &amp; Mexico}</t>
  </si>
  <si>
    <t>a0pVT00000Cq65dYAB</t>
  </si>
  <si>
    <t>017VT0000GuQFTXYQ4</t>
  </si>
  <si>
    <t>Contact Established with Nik Nolan :
Discussion Topics:
Vanco's usage of Adaptive, their upcoming renewal, and potential improvements.
Concerns about costs and the need for a more efficient meeting system.
Limitations of their current business model and Adaptive tools.
Consider sandbox renewal by March 31st.
Potential further discussions with the Workday commercial team about renewal options.
Vanco’s Current Usage:
Primarily using Adaptive for reporting.
Considering a simpler tool due to overpayment concerns.
Uncertainty about renewing the entire product due to a price increase two years ago.
Business Model Limitations:
Vanco is segmented by clients and markets, making budgeting and tracking costs challenging.
Main costs are people-related and not easily tracked through advertising or other expenses.
No integrations used; mainly used for accounting data.
Usage Report:
11 users entitled to access, 51 with access, and 13 have logged in recently.
1,535 accounts, 1,251 levels, and 100 versions.
System Improvements Without Additional Costs:
Nick downsized his team and outsourced most work to the business intelligence team.
Meeting Efficiency:
Nick needs a more efficient meeting system due to a busy schedule.
Angela emphasized the importance of logging requests for training, technical issues, and support.
Angela expressed appreciation for Nick’s honesty</t>
  </si>
  <si>
    <t>a0rVT00001DWvcgYAD</t>
  </si>
  <si>
    <t>a0rVT00001DXAv4YAH</t>
  </si>
  <si>
    <t>Limited Engagement from Customer - Could affect the renewal - See Success Plan</t>
  </si>
  <si>
    <t>0018000000PkZ4CAAV</t>
  </si>
  <si>
    <t>Blessing Corporate Services, Inc.</t>
  </si>
  <si>
    <t>2025-03-20T06:49:41.000+0000</t>
  </si>
  <si>
    <t>{Industry=Hardlines, Name=Mattress Firm, Inc., PS_Region_New__c=US Large Enterprise DI &amp; Mexico, attributes={url=/services/data/v62.0/sobjects/Account/0018000000PkZ4CAAV, type=Account}}</t>
  </si>
  <si>
    <t>{PS_Region_New__c=US Medium Enterprise DI, attributes={type=Account, url=/services/data/v62.0/sobjects/Account/0014X00002dTG5CQAW}, Industry=Consumer Goods, PS_Sub_Region__c=ME NN MFG, SubRegion__c=US DI ME NN MFG South, Name=Crown Bakeries}</t>
  </si>
  <si>
    <t>a3AVT000000Crer2AC</t>
  </si>
  <si>
    <t>2026-09-30T13:25:17.000+0000</t>
  </si>
  <si>
    <t>0013000000KDEfuAAH</t>
  </si>
  <si>
    <t>017VT0000GuRGccYQG</t>
  </si>
  <si>
    <t>Trend: Neutral
Update: Initial meeting with new sustainment manager, D. Dinunzio and VP of HR Operations , Will Frederick. New VP of HR operations is a Workday advocate at Cineplex. His mandate is
a Workday first mentality. Brought in to optimize existing environment but also to consider new Workday solutions that would benefit. For example, scheduling. Only corporate employees on Workday at this time and perception is the solution is a place where HR data is stored. Broader employee base not aware of full capabilities. Receptive an SSR. 
New AE Jared Reid has been engaged with customer. Will work on Value Exercise with Cineplex 
Risk: Poor Product adoption and risk of SKU churn at Cineplex. 
Next Steps: Work with customer on Roadmap and Value Exercise.</t>
  </si>
  <si>
    <t>001VT00000JurGQYAZ</t>
  </si>
  <si>
    <t>{attributes={type=Account, url=/services/data/v62.0/sobjects/Account/001VT00000JurGQYAZ}, Name=AI Fire, Industry=Business Services, PS_Region_New__c=US Medium Enterprise DI}</t>
  </si>
  <si>
    <t>December 2024, Meghan Vear:
Kim West, SVP HR, responded to the most recent Executive Sponsor Survey with "Unfavourable" and a 2 without any comment as to why. This came as a surprise to the account team after a positive AVR at the end of August and no indication around her dissatisfaction with Workday. We have reached out twice asking for a meeting to discuss, she has not responded.
NEXT STEPS: We have a meeting with Kennie Ko, VP Total Rewards, on December 19th. Kennie reports into Kim and we will ask her if there is a particular reason why she responded this way and how we can improve her experience with Workday.
Please see the adoption plan for updates - https://workday--jbcxm.vf.force.com/one/one.app#eyJjb21wb25lbnREZWYiOiJvbmU6YWxvaGFQYWdlIiwiYXR0cmlidXRlcyI6eyJhZGRyZXNzIjoiaHR0cHM6Ly93b3JrZGF5LS1qYmN4bS52Zi5mb3JjZS5jb20vYXBleC9HYWluc2lnaHROWFQjY29ja3BpdCUyMyUyRmxpc3QlMkZjdGElMkYxUzAxU0daNlJMMVNNUU9COUJLUUpaUDVVV0VRVEVaMDRFQzUifX0=</t>
  </si>
  <si>
    <t>2026-09-30T13:26:17.000+0000</t>
  </si>
  <si>
    <t>2026-05-06T21:37:11.000+0000</t>
  </si>
  <si>
    <t>017VT0000GcCdB2YQK</t>
  </si>
  <si>
    <t>a0rVT00001DWvfzYAD</t>
  </si>
  <si>
    <t>a3AVT000000Csz72AC</t>
  </si>
  <si>
    <t>0013000000J2U4YAAV</t>
  </si>
  <si>
    <t>0011B00002GNDZZQA5</t>
  </si>
  <si>
    <t>{Industry=Industrial Manufacturing, PS_Region_New__c=US Large Enterprise DI &amp; Mexico, attributes={url=/services/data/v62.0/sobjects/Account/0013000000J2U4YAAV, type=Account}, Name=The Timken Company}</t>
  </si>
  <si>
    <t>3/21/2025 Workday is waiting for Nuance to submit the number of users in Workday for the upcoming renewal.</t>
  </si>
  <si>
    <t>a0pVT00000CpOkZYAV</t>
  </si>
  <si>
    <t>Nuance Communications Inc. was purchased by Microsoft Corp on March 4, 2022.  The plan was to move all users from Workday to Microsoft. This has been completed and now they only have contingent workers are in Workday, currently 7000 contingent workers but this number will go down to 300 by September 2025.</t>
  </si>
  <si>
    <t>017VT0000GuPuHjYQK</t>
  </si>
  <si>
    <t>a0rVT00001DWvo2YAD</t>
  </si>
  <si>
    <t>0011B00002CZdKnQAL</t>
  </si>
  <si>
    <t>March 4, 2024 Microsoft Corp (Nasdaq: MSFT) announced the completion of its acquisition of Nuance Communications Inc. (Nasdaq: NUAN), a leader in conversational AI and ambient intelligence across industries including healthcare, financial services, retail and telecommunications.
Due to this acquisition Nuance Communication conveyed to the Workday team that they will renew for at least 1 year and possibly 2 years depending on the pricing that is provided.  They confirmed they are only using Workday for a small contingent labor force. In Oct they had 7000 employee but the plan is to have 300 employees by Sept 2025. Their renewal is in Oct 2025.</t>
  </si>
  <si>
    <t>{Name=Spotify AB, PS_Region_New__c=EMEA North, Industry=Media &amp; Entertainment, attributes={type=Account, url=/services/data/v62.0/sobjects/Account/0011B00002CZdKnQAL}}</t>
  </si>
  <si>
    <t>2025-03-24T19:02:01.000+0000</t>
  </si>
  <si>
    <t>{PS_Region_New__c=US Medium Enterprise DI, SubRegion__c=US DI ME NN MFG South, Name=Crown Bakeries, PS_Sub_Region__c=ME NN MFG, attributes={url=/services/data/v62.0/sobjects/Account/0014X00002dTG5CQAW, type=Account}, Industry=Consumer Goods}</t>
  </si>
  <si>
    <t>a3AVT000000CzAz2AK</t>
  </si>
  <si>
    <t>017VT0000GcCcIoYQK</t>
  </si>
  <si>
    <t>a0rVT00001DWvo3YAD</t>
  </si>
  <si>
    <t>0011B00002CXTxbQAH</t>
  </si>
  <si>
    <t>001VT00000b2nVZYAY</t>
  </si>
  <si>
    <t>{Industry=Professional Services, PS_Region_New__c=US Medium Enterprise DI, Name=Missouri Advertising Association, attributes={url=/services/data/v62.0/sobjects/Account/001VT00000b2nVZYAY, type=Account}}</t>
  </si>
  <si>
    <t>NP Jan 22, 2025 - The process is taking longer than anticipated because Nouria is in the midst of acquiring Enmarket stores, which puts them at risk. Here is the press release: Nouria Signs Definitive Agreement to Acquire Enmarket. Johanna is in contact with Enmarket’s CFO and is awaiting an update. According to Johanna, Nouria is a WD Core customer; however, I couldn’t find them in SFDC. I’ve asked Johanna to confirm if there’s been a mix-up with a similar customer name, Nouria Energy Corporation.</t>
  </si>
  <si>
    <t>017VT0000GuRSOFYQ4</t>
  </si>
  <si>
    <t>a0rVT00001DWvxeYAD</t>
  </si>
  <si>
    <t>Enmarket’s renewal for Adaptive Planning is due by January 31, 2025, and while there is positive sentiment from key stakeholders, engagement has been limited, presenting a significant renewal risk. The account currently uses Adaptive Planning solely for budgeting, with minimal interaction from key contacts. The CSM team has actively worked to align with Enmarket’s strategic priorities, and due to a lack of response, we have sent the AVR slides to encourage further engagement. Efforts to increase involvement include discussing adoption value and addressing ongoing challenges, with key contacts including Todd Patterson (Manager, Reporting &amp; Analytics) and Angie Bivens (Director of Finance).</t>
  </si>
  <si>
    <t>0014X00002eiQnoQAE</t>
  </si>
  <si>
    <t>{attributes={type=Account, url=/services/data/v62.0/sobjects/Account/0014X00002eiQnoQAE}, PS_Region_New__c=India, Name=WeWork India Management Private Limited, Industry=Business Services}</t>
  </si>
  <si>
    <t>NP Jan 17, 2025 - 1/17/25 JSD: Enmarket CFO is following up with Nouria on how they would like to proceed with the instance of Adaptive. 
NP Dec 20, 2024 - Johanna confirmed this account is churning. I asked if there is a known reason; no response or indication of what it could be within the opportunity. SFDC opportunity not yet updated. Still on stage 1.
NP Dec 20, 2024 - No response from any of our contacts. I've messaged Johanna on Slack and tagged her in the risk assessment timeline event to check if they've been in contact with her.
NP Dec/19/24 - Based on previous opportunity notes, they could potentially at risk, but the negotiation is on track for the 2024 renewal. 3 weeks ago, our AE confirmed the renewal and term length, and prepared an OF document. I am following this closely.</t>
  </si>
  <si>
    <t>2026-09-30T13:24:36.000+0000</t>
  </si>
  <si>
    <t>2025-01-22T14:33:05.000+0000</t>
  </si>
  <si>
    <t>a0rVT00001DX2pWYAT</t>
  </si>
  <si>
    <t>017VT0000GcCcK7YQK</t>
  </si>
  <si>
    <t>a3AVT000000DA3B2AW</t>
  </si>
  <si>
    <t>a0pVT00000CpuR5YAJ</t>
  </si>
  <si>
    <t>Bloomin' Brands International</t>
  </si>
  <si>
    <t>0014X00002OtAc0QAF</t>
  </si>
  <si>
    <t>0014X00002XIcm4QAD</t>
  </si>
  <si>
    <t>{attributes={type=Account, url=/services/data/v62.0/sobjects/Account/0014X00002OtAc0QAF}, Name=Alvarado Restaurant Nation, PS_Region_New__c=US Medium Enterprise DI, Industry=Restaurant &amp; Food Service}</t>
  </si>
  <si>
    <t>2nd Jan 2025 RN: No known issues at this time. Will reach out to Assigned AE Ryan Parry and discuss CS Intro and adoption review in the NY.</t>
  </si>
  <si>
    <t>2nd Jan 2025 RN: No known issues at this time.</t>
  </si>
  <si>
    <t>{attributes={url=/services/data/v62.0/sobjects/Account/001VT00000b2nQlYAI, type=Account}, PS_Region_New__c=EMEA South, SubRegion__c=France RHT LE, PS_Sub_Region__c=France, Name=Sodexo SA, Industry=Restaurant &amp; Food Service}</t>
  </si>
  <si>
    <t>017VT0000GuRTTvYQO</t>
  </si>
  <si>
    <t>a0rVT00001DWw7KYAT</t>
  </si>
  <si>
    <t>2025-01-02T00:20:00.000+0000</t>
  </si>
  <si>
    <t>0018000000oiyxTAAQ</t>
  </si>
  <si>
    <t>a3AVT000000DA4n2AG</t>
  </si>
  <si>
    <t>{attributes={type=Account, url=/services/data/v62.0/sobjects/Account/0018000000oiyxTAAQ}, PS_Region_New__c=US Healthcare, Industry=Post Acute, Name=Visiting Nurse Service of New York}</t>
  </si>
  <si>
    <t>2026-09-30T13:25:11.000+0000</t>
  </si>
  <si>
    <t>0014X00002XGQ59QAH</t>
  </si>
  <si>
    <t>017VT0000GuP8xEYQS</t>
  </si>
  <si>
    <t>2nd Jan 2025 RN: No known issues that i know of at this time, will discuss with Assigned AE Jess Chappell in the NY and look to conduct a CS Intro and Adoption Review.</t>
  </si>
  <si>
    <t>a0rVT00001DWwAZYA1</t>
  </si>
  <si>
    <t>0013000000KeHNbAAN</t>
  </si>
  <si>
    <t>2nd Jan 2025 RN: No known issues that i know of at this time.</t>
  </si>
  <si>
    <t>{PS_Region_New__c=US Large Enterprise DI &amp; Mexico, attributes={type=Account, url=/services/data/v62.0/sobjects/Account/0013000000KeHNbAAN}, Name=DENSO International America Inc, Industry=Auto Manufacturing}</t>
  </si>
  <si>
    <t>2025-01-02T00:58:31.000+0000</t>
  </si>
  <si>
    <t>a3AVT000000DA6P2AW</t>
  </si>
  <si>
    <t>017VT0000GcCcKMYQ0</t>
  </si>
  <si>
    <t>0014X00002XJNhqQAH</t>
  </si>
  <si>
    <t>0018000001KeQXxAAN</t>
  </si>
  <si>
    <t>2nd Jan 2025 RN: Will assess any identified issues with assigned AE in the NY. Looking to make a CS Introduction and conduct an Adoption Review.</t>
  </si>
  <si>
    <t>a0pVT00000Cpu2sYAB</t>
  </si>
  <si>
    <t>{PS_Region_New__c=US Large Enterprise DI &amp; Mexico, Name=Areas Usa, Inc., attributes={type=Account, url=/services/data/v62.0/sobjects/Account/0018000001KeQXxAAN}, Industry=Restaurant &amp; Food Service}</t>
  </si>
  <si>
    <t>2nd Jan 2025 RN: Will assess any identified issues with assigned AE in the NY.</t>
  </si>
  <si>
    <t>2025-01-02T01:59:28.000+0000</t>
  </si>
  <si>
    <t>a0rVT00001DXC5dYAH</t>
  </si>
  <si>
    <t>017VT0000GcCcKPYQ0</t>
  </si>
  <si>
    <t>a3AVT000000DA812AG</t>
  </si>
  <si>
    <t>a0rVT00001DWwAbYAL</t>
  </si>
  <si>
    <t>{attributes={url=/services/data/v62.0/sobjects/Account/001VT00000b2nQlYAI, type=Account}, PS_Region_New__c=EMEA South, Industry=Restaurant &amp; Food Service, Name=Sodexo SA, SubRegion__c=France RHT LE, PS_Sub_Region__c=France}</t>
  </si>
  <si>
    <t>Blue Cross Blue Shield of Arizona</t>
  </si>
  <si>
    <t>0018000001dyYcgAAE</t>
  </si>
  <si>
    <t>{Name=Wyndham Hotels &amp; Resorts, Inc., Industry=Lodging &amp; Resorts, attributes={type=Account, url=/services/data/v62.0/sobjects/Account/0018000001dyYcgAAE}, PS_Region_New__c=US Medium Enterprise DI}</t>
  </si>
  <si>
    <t>0014X00002U1MwVQAV</t>
  </si>
  <si>
    <t>2nd Jan 2025 RN: Once i have received the email copy from Jess Chappell, i will reach out to the customer to discuss further.</t>
  </si>
  <si>
    <t>2nd Jan 2025 RN: As per Jess Chappell's note in the 2025 renewal opportunity, customer will not be renewing. I was unable to open the customer email that was saved in Notes and Attachments. Will ask Jess to forward the email.Will then discuss next steps with Assigned AE and engage customer.</t>
  </si>
  <si>
    <t>017VT0000GuQuYVYQ0</t>
  </si>
  <si>
    <t>a0rVT00001DWwYkYAL</t>
  </si>
  <si>
    <t>2nd Jan 2025 RN: As per Jess Chappell's note in the 2025 renewal opportunity, customer will not be renewing. I was unable to open the customer email that was saved in Notes and Attachments. Will ask Jess to forward the email.</t>
  </si>
  <si>
    <t>001VT00000b2nc2YAA</t>
  </si>
  <si>
    <t>2025-01-02T02:25:45.000+0000</t>
  </si>
  <si>
    <t>{PS_Region_New__c=US Medium Enterprise DI, Name=Susquehanna Workforce Network, attributes={type=Account, url=/services/data/v62.0/sobjects/Account/001VT00000b2nc2YAA}, Industry=Professional Services}</t>
  </si>
  <si>
    <t>a0pVT00000Cpt6oYAB</t>
  </si>
  <si>
    <t>a3AVT000000DAET2A4</t>
  </si>
  <si>
    <t>0014X00002Ki9fwQAB</t>
  </si>
  <si>
    <t>017VT0000GcCcHeYQK</t>
  </si>
  <si>
    <t>{PS_Sub_Region__c=France, attributes={type=Account, url=/services/data/v62.0/sobjects/Account/001VT00000b2nQlYAI}, Name=Sodexo SA, PS_Region_New__c=EMEA South, Industry=Restaurant &amp; Food Service, SubRegion__c=France RHT LE}</t>
  </si>
  <si>
    <t>a0rVT00001DWwaPYAT</t>
  </si>
  <si>
    <t>2nd Jan 2025 RN: No known issues i am aware of. Will connect with assigned AE Jess Chappell and partner QMetrix to discuss further and to organise a CS Intro and Adoption Review.</t>
  </si>
  <si>
    <t>0018000001MqmoVAAR</t>
  </si>
  <si>
    <t>2nd Jan 2025 RN: No known issues i am aware of.</t>
  </si>
  <si>
    <t>{PS_Region_New__c=null, Name=Clari Inc., attributes={type=Account, url=/services/data/v62.0/sobjects/Account/0018000001MqmoVAAR}, Industry=null}</t>
  </si>
  <si>
    <t>2025-01-02T04:57:10.000+0000</t>
  </si>
  <si>
    <t>a3AVT000000DAJJ2A4</t>
  </si>
  <si>
    <t>017VT0000GuQcBLYQ0</t>
  </si>
  <si>
    <t>a0rVT00001DWwk3YAD</t>
  </si>
  <si>
    <t>0014X00002MByuJQAT</t>
  </si>
  <si>
    <t>0018000000pNRFGAA4</t>
  </si>
  <si>
    <t>{Industry=Telecom, Name=WideOpenWest Finance, LLC, attributes={type=Account, url=/services/data/v62.0/sobjects/Account/0018000000pNRFGAA4}, PS_Region_New__c=US Medium Enterprise DI}</t>
  </si>
  <si>
    <t>2nd Jan 2025 RN: A revised and new contract was negotiated in 2024 as a result of Covid impacting business. Will discuss a CS Intro and Adoption Review since with Assigned AE Anil Doraiswamy and assigned partner Fusion5.</t>
  </si>
  <si>
    <t>a0pVT00000CqBRtYAN</t>
  </si>
  <si>
    <t>a0rVT00001DXAgYYAX</t>
  </si>
  <si>
    <t>2026-09-30T13:25:18.000+0000</t>
  </si>
  <si>
    <t>Application Knowledge;COVID-19</t>
  </si>
  <si>
    <t>017VT0000GuRYbZYQW</t>
  </si>
  <si>
    <t>Blue Link Wireless</t>
  </si>
  <si>
    <t>a0rVT00001DWwyYYAT</t>
  </si>
  <si>
    <t>2025-01-02T05:44:20.000+0000</t>
  </si>
  <si>
    <t>{PS_Region_New__c=EMEA South, SubRegion__c=France RHT LE, attributes={url=/services/data/v62.0/sobjects/Account/001VT00000b2nQlYAI, type=Account}, Name=Sodexo SA, PS_Sub_Region__c=France, Industry=Restaurant &amp; Food Service}</t>
  </si>
  <si>
    <t>0018000001WMHdZAAX</t>
  </si>
  <si>
    <t>a3AVT000000DBdZ2AW</t>
  </si>
  <si>
    <t>{attributes={type=Account, url=/services/data/v62.0/sobjects/Account/0018000001WMHdZAAX}, Name=Irvine Eastgate Office II LLC, Industry=Investment Management, PS_Region_New__c=US FSI}</t>
  </si>
  <si>
    <t>0011B00002BBtVtQAL</t>
  </si>
  <si>
    <t>2026-09-30T13:25:54.000+0000</t>
  </si>
  <si>
    <t>017VT0000GcCcJ9YQK</t>
  </si>
  <si>
    <t>They’re not renewing their subscription because they were acquired by Anew Health.
Since this is a churn exception due to the acquisition, Andrew asked me to update the opportunity to stage 35 and include some details.</t>
  </si>
  <si>
    <t>a0rVT00001DWxElYAL</t>
  </si>
  <si>
    <t>0018000000M5ugrAAB</t>
  </si>
  <si>
    <t>2025-01-03T03:38:50.000+0000</t>
  </si>
  <si>
    <t>a0pVT00000CpyxkYAB</t>
  </si>
  <si>
    <t>{Industry=Oil &amp; Gas, attributes={url=/services/data/v62.0/sobjects/Account/0018000000M5ugrAAB, type=Account}, PS_Region_New__c=UKI, Name=BP International Limited}</t>
  </si>
  <si>
    <t>a3AVT000000DPDV2A4</t>
  </si>
  <si>
    <t>0011B00002CXXW1QAP</t>
  </si>
  <si>
    <t>017VT0000GuRZqyYQG</t>
  </si>
  <si>
    <t>{Name=Intact Financial Corporation, PS_Sub_Region__c=Canada FSI, Industry=Insurance, attributes={url=/services/data/v62.0/sobjects/Account/0018000000esqAFAAY, type=Account}, PS_Region_New__c=Canada, SubRegion__c=Canada FSI}</t>
  </si>
  <si>
    <t>a0rVT00001DWxeVYAT</t>
  </si>
  <si>
    <t>Key Highlights &amp; Initiatives
main poc left previously and trying to find new contact person but thy are unersponsive
usage: utilize the Planning &amp; Analytics bundle, including the Dashboard for more real-time reporting for the executive staff and our team. And would still like to decentralize the budget process to include members of other departments
Adoption Overview
1/14/20: Met Fabienne at the NYC user group.
11/12/19: Things are going well. Fabienne looks to be primary.
9/3/19: Account given to BChacon. Reached out to john, Allison and Fabienne today.
Stakeholders &amp; Sentiment
Allison Hertz
John Anthony Butler</t>
  </si>
  <si>
    <t>001VT00000Jr4oxYAB</t>
  </si>
  <si>
    <t>Customer has been nonresponsive to my outreach suggesting a meeting for a CS Intro/ standard engagement.</t>
  </si>
  <si>
    <t>{Name=Syberg's Family Restaurants, PS_Region_New__c=US Medium Enterprise DI, attributes={url=/services/data/v62.0/sobjects/Account/001VT00000Jr4oxYAB, type=Account}, Industry=Restaurant &amp; Food Service}</t>
  </si>
  <si>
    <t>2025-01-06T14:22:54.000+0000</t>
  </si>
  <si>
    <t>a3AVT000000DVQz2AO</t>
  </si>
  <si>
    <t>2026-09-30T13:26:16.000+0000</t>
  </si>
  <si>
    <t>0018000000OzoqeAAB</t>
  </si>
  <si>
    <t>017VT0000GcCcKbYQK</t>
  </si>
  <si>
    <t>20251222: next meeting to discuss new features scheduled on the 7th of January.  Moving from negative to neutral.</t>
  </si>
  <si>
    <t>a0rVT00001DWxeWYAT</t>
  </si>
  <si>
    <t>a0rVT00001DXDBNYA5</t>
  </si>
  <si>
    <t>Customer Executive Sentiment is negative since the the CS model transition.  They are unhappy about the self-help model via community.  They are looking tor additional guidance and support to continue developing Peakon Strategy as they used to with the dedicated Peakon CSM.  They prefer high touch support.  Customer has also expressed dissatisfaction for Peakon deprecating mobile app.  They did not see the developments they expected based on thier inputs about two years ago.</t>
  </si>
  <si>
    <t>001VT00000b2j2AYAQ</t>
  </si>
  <si>
    <t>Resource/Knowledge Issue</t>
  </si>
  <si>
    <t>{Industry=Acute Hospital / Health System, PS_Region_New__c=US Medium Enterprise DI, attributes={url=/services/data/v62.0/sobjects/Account/001VT00000b2j2AYAQ, type=Account}, Name=Sioux Center Health}</t>
  </si>
  <si>
    <t>2025-12-22T20:26:53.000+0000</t>
  </si>
  <si>
    <t>a0pVT00000CpzyfYAB</t>
  </si>
  <si>
    <t>a3AVT000000Dabx2AC</t>
  </si>
  <si>
    <t>0018000000qWgPhAAK</t>
  </si>
  <si>
    <t>1-16-25
No changes in customer willingness to dedicate time to addressing challenges and taking advantage of the investment offered. Expect this to be a drop upon contract renewal.</t>
  </si>
  <si>
    <t>{SubRegion__c=Canada FSI, PS_Sub_Region__c=Canada FSI, Industry=Insurance, attributes={url=/services/data/v62.0/sobjects/Account/0018000000esqAFAAY, type=Account}, PS_Region_New__c=Canada, Name=Intact Financial Corporation}</t>
  </si>
  <si>
    <t>017VT0000GuRVdoYQG</t>
  </si>
  <si>
    <t>a0rVT00001DWxhiYAD</t>
  </si>
  <si>
    <t>Adaptive Planning at risk based on feedback from FP&amp;A team and leadership at Adventist HealthCare. 16 issues have been identified based on discussions with customer. A plan to address each is being determined in collaboration internally with product, COE CSM and services team members.
Workday contract is not up for renewal until 7/29/27, but customer has stated that they are going to be evaluating systems to support them in preparation for their 2026 budget. Workday Adaptive Planning is not meeting their needs currently. 
They're asking themselves - are they trying to fit a round peg in a square hole when it comes to Adaptive? 
They will be looking at Axiom - first priority is to stay w/WD, but at the same time, the fiscal leaders (they don't have the information they need do their work).  Things are more challenging than they should be. 
The team is questioning if they are missing something and there is a way to address their challenges in Adaptive or if they need to move to a different system.</t>
  </si>
  <si>
    <t>0018000000tVezxAAC</t>
  </si>
  <si>
    <t>2026-01-16T19:16:58.000+0000</t>
  </si>
  <si>
    <t>{PS_Region_New__c=EMEA South, Name=L'Oréal S.A., attributes={type=Account, url=/services/data/v62.0/sobjects/Account/0018000000tVezxAAC}, Industry=Softlines}</t>
  </si>
  <si>
    <t>a3AVT000000DdtB2AS</t>
  </si>
  <si>
    <t>0013000000HnORSAA3</t>
  </si>
  <si>
    <t>trending negative
update- advised customer to open m&amp;a case
risk- renewal
next steps- monitor case, try to engage new op co</t>
  </si>
  <si>
    <t>017VT0000GcCcMRYQ0</t>
  </si>
  <si>
    <t>OYO acquisition finalized Dec 2024
Former champion and exec sponsors non responsive (likely left the org) 
Customer informed CBAE of desire to reduce subscription costs due to FSE change
Also, Expenses remains SNI- (they use Oracle for FINS and deployed expenses there)</t>
  </si>
  <si>
    <t>a0rVT00001DWxhjYAD</t>
  </si>
  <si>
    <t>2025-02-18T21:57:55.000+0000</t>
  </si>
  <si>
    <t>001VT00000b2niTYAQ</t>
  </si>
  <si>
    <t>a3AVT000000Df0X2AS</t>
  </si>
  <si>
    <t>{attributes={url=/services/data/v62.0/sobjects/Account/001VT00000b2niTYAQ, type=Account}, Industry=Restaurant &amp; Food Service, PS_Region_New__c=US Medium Enterprise DI, Name=Wasatch Valley Pizza, LLC (AWRG PH)}</t>
  </si>
  <si>
    <t>a0rVT00001DX24hYAD</t>
  </si>
  <si>
    <t>0013000000JPE1pAAH</t>
  </si>
  <si>
    <t>No Update</t>
  </si>
  <si>
    <t>Board of Regents of the University System of Georgia by and on behalf of Augusta University</t>
  </si>
  <si>
    <t>Daiichi Sankyo provided an update regarding their HRIS strategy and recent vendor selection process. They have selected another vendor and will phase out Workday.</t>
  </si>
  <si>
    <t>017VT0000GuQzEJYQ0</t>
  </si>
  <si>
    <t>a0rVT00001DWxjKYAT</t>
  </si>
  <si>
    <t>0013000000JOPTRAA5</t>
  </si>
  <si>
    <t>{Name=Ingram Micro, Inc., attributes={url=/services/data/v62.0/sobjects/Account/0013000000JOPTRAA5, type=Account}, Industry=Other Transportation, PS_Region_New__c=US Large Enterprise DI &amp; Mexico}</t>
  </si>
  <si>
    <t>a0pVT00000CpoQVYAZ</t>
  </si>
  <si>
    <t>Daiichi Sankyo provided an update regarding their HRIS strategy and recent vendor selection process. They have selected another vendor and will phase out Workday.
Key Details:
New Vendor: Not shared by client
RFP Date: Approximately 1.5 years ago, Workday Japan participated
Timeframes: Go-live with the new vendor expected for late 2026; Workday renewal scheduled for July 2025. Workday renewal expected to avoid abrupt disruption through 2027 or 2028.
Date the account team was informed:10/10/24
Program Owner: Nancy Lugo (HR Exec Sponsor)
RFP Process &amp; Vendor Selection:
They went through an RFP process approximately 1.5 years ago, evaluating SuccessFactors, Workday, and PeopleSoft for a global HRIS solution.
Workday Japan conducted the demo, focusing on Workday’s US-based capabilities, while the other vendors were evaluated for a full global HRIS scope.
Feedback indicated that Workday Japan did not effectively demonstrate the value Workday could bring to a global HRIS solution, and there appeared to be a disconnect, as the Workday US team was not involved in the process.
Daiichi Sankyo ultimately selected another vendor due to the perceived lack of alignment and the failure to meet their requirements during the demos. Nancy expressed that she feels bad for being the one relaying the bad news, as there’s nothing that can be done now.
Current Workday Usage &amp; Future Plans:
Despite selecting another vendor, Daiichi Sankyo has not yet determined an exact timeline for discontinuing Workday.
Their global HRIS implementation is not expected to be completed until late 2026, with an estimated timeline of Workday usage extending until at least 2027-2028.
Renewal discussions remain open, with the next renewal scheduled for July 2025. Based on the current information, Daiichi Sankyo anticipates keeping Workday active for the foreseeable future to support their US operations and global transition.
Context from Previous Engagements:
The feedback on Workday was positive with no indication that they were evaluating or moving away from our platform. The information shared during this call was new to the US account team.
Most recent ABR was Nov 2023 which is after RFP selection had been made according to client's timeline
Action Items
Connect with the Workday Japan team to understand the disconnect and gather insights on what could have been done differently to meet Daiichi Sankyo’s requirements.
Begin strategizing around the July 2025 renewal, ensuring we align our efforts with their global transition timeline and maintain Workday as a critical piece in their HRIS landscape until at least 2027.</t>
  </si>
  <si>
    <t>2026-09-30T13:24:19.000+0000</t>
  </si>
  <si>
    <t>2025-01-31T21:01:50.000+0000</t>
  </si>
  <si>
    <t>a3AVT000000DjvN2AS</t>
  </si>
  <si>
    <t>{PS_Region_New__c=Canada, SubRegion__c=Canada FSI, attributes={type=Account, url=/services/data/v62.0/sobjects/Account/0018000000esqAFAAY}, Name=Intact Financial Corporation, PS_Sub_Region__c=Canada FSI, Industry=Insurance}</t>
  </si>
  <si>
    <t>017VT0000GuRDREYQ4</t>
  </si>
  <si>
    <t>a0rVT00001DWxmYYAT</t>
  </si>
  <si>
    <t>0011B00002CXUt1QAH</t>
  </si>
  <si>
    <t>0014X00002XItbkQAD</t>
  </si>
  <si>
    <t>23-Jan-25:  After meeting with customer I believe risk to be lower than thought.  They have indicated they will renew.</t>
  </si>
  <si>
    <t>{attributes={type=Account, url=/services/data/v62.0/sobjects/Account/0014X00002XItbkQAD}, Industry=Restaurant &amp; Food Service, PS_Region_New__c=US Medium Enterprise DI, Name=Real Artisan Brands, LLC}</t>
  </si>
  <si>
    <t>Looked at usage in preparation for our call on 22-Jan-25 and they have not logged in since Feb-25.  Carolyn Goodall has left so suspect that may be why.</t>
  </si>
  <si>
    <t>2026-09-30T13:24:51.000+0000</t>
  </si>
  <si>
    <t>2025-01-23T03:13:51.000+0000</t>
  </si>
  <si>
    <t>a3AVT000000Djyb2AC</t>
  </si>
  <si>
    <t>017VT0000GcCd9XYQS</t>
  </si>
  <si>
    <t>a0rVT00001DWxmZYAT</t>
  </si>
  <si>
    <t>0014X00002OsqqgQAB</t>
  </si>
  <si>
    <t>Bobby's Burger Palace</t>
  </si>
  <si>
    <t>001VT00000NpIKKYA3</t>
  </si>
  <si>
    <t>FIC hours provided and our own Consultant provided recommendations.
I personally don't think they are at serious risk of churn but thought it prudent to create a wellness plan due to the strength of their language to Niveen.</t>
  </si>
  <si>
    <t>{attributes={url=/services/data/v62.0/sobjects/Account/001VT00000NpIKKYA3, type=Account}, PS_Region_New__c=US Medium Enterprise DI, Name=Edley's Bar-B-Que, Industry=Restaurant &amp; Food Service}</t>
  </si>
  <si>
    <t>Customer feels that the implementation from Fusion 5 was not optimal.
FIC hours provided and our own Consultant provided recommendations.</t>
  </si>
  <si>
    <t>a0pVT00000CpwMRYAZ</t>
  </si>
  <si>
    <t>Customer feels that the implementation from Fusion 5 was not optimal.</t>
  </si>
  <si>
    <t>US DI ME NN RHT Southeast</t>
  </si>
  <si>
    <t>2025-01-16T02:48:11.000+0000</t>
  </si>
  <si>
    <t>a3AVT000000Dk0D2AS</t>
  </si>
  <si>
    <t>017VT0000GcCcHGYQ0</t>
  </si>
  <si>
    <t>{Industry=Insurance, attributes={url=/services/data/v62.0/sobjects/Account/0018000000esqAFAAY, type=Account}, PS_Region_New__c=Canada, Name=Intact Financial Corporation, PS_Sub_Region__c=Canada FSI, SubRegion__c=Canada FSI}</t>
  </si>
  <si>
    <t>0011B00002CXV6tQAH</t>
  </si>
  <si>
    <t>a0rVT00001DWxt1YAD</t>
  </si>
  <si>
    <t>They decided they need the Non-Prod after all</t>
  </si>
  <si>
    <t>0018000000RCZX3AAP</t>
  </si>
  <si>
    <t>With any new change of leadership there is always risk if they haven't used Adaptive before.  Peter sent a very disgruntled email to Jess, their AE so creating this just in case, but at time of typing I don't see a real risk.</t>
  </si>
  <si>
    <t>{PS_Region_New__c=US Healthcare, attributes={url=/services/data/v62.0/sobjects/Account/0018000000RCZX3AAP, type=Account}, Industry=Acute Hospital / Health System, Name=Capital Health System, Inc.}</t>
  </si>
  <si>
    <t>New CFO was very strong in his disgruntlement to Jess when they purchased a Non-Prod instance then wanted to cancel.  This is resolved as they decided they do need a Non-Prod after all</t>
  </si>
  <si>
    <t>2025-01-16T03:59:54.000+0000</t>
  </si>
  <si>
    <t>a3AVT000000Dk3R2AS</t>
  </si>
  <si>
    <t>017VT0000GuQ425YQC</t>
  </si>
  <si>
    <t>0011B00002HkFgEQAV</t>
  </si>
  <si>
    <t>a0rVT00001DWxt2YAD</t>
  </si>
  <si>
    <t>a0rVT00001DX8BjYAL</t>
  </si>
  <si>
    <t>Currently no open cases.  Have escalated to Aidan</t>
  </si>
  <si>
    <t>Bodybuilding.com, LLC (Inactive Account)</t>
  </si>
  <si>
    <t>0018000000qX1WBAA0</t>
  </si>
  <si>
    <t>They have had a litany of performance issues.  I don't think they are of serious risk of churn at time of typing but they are unhappy.</t>
  </si>
  <si>
    <t>{Industry=Hardlines, PS_Region_New__c=US Large Enterprise DI &amp; Mexico, Name=Techtronic Industries North America, Inc., attributes={type=Account, url=/services/data/v62.0/sobjects/Account/0018000000qX1WBAA0}}</t>
  </si>
  <si>
    <t>On-going issues with slowness and quality of data.</t>
  </si>
  <si>
    <t>a0pVT00000Cq9wLYAR</t>
  </si>
  <si>
    <t>2025-01-16T04:39:38.000+0000</t>
  </si>
  <si>
    <t>2026-09-30T13:25:20.000+0000</t>
  </si>
  <si>
    <t>a3AVT000000Dk532AC</t>
  </si>
  <si>
    <t>0014X00002K4QyVQAV</t>
  </si>
  <si>
    <t>017VT0000GuOgEZYQ0</t>
  </si>
  <si>
    <t>I have had an AVR with them to show them the resources available to them.  Showed an interest in Headcount Planning</t>
  </si>
  <si>
    <t>{SubRegion__c=US DI ME NN PBS Midwest, attributes={url=/services/data/v62.0/sobjects/Account/0018000001BOCMdAAP, type=Account}, PS_Sub_Region__c=ME NN PBS, PS_Region_New__c=US Medium Enterprise DI, Industry=Professional Services, Name=Cielo, Inc - MSP}</t>
  </si>
  <si>
    <t>a0rVT00001DWy5uYAD</t>
  </si>
  <si>
    <t>Lack of ownership from their side.
Jess (AE) feels if they don't get onto the beta testing for Google Sheets and Mac this account is at real risk of churn</t>
  </si>
  <si>
    <t>001VT00000ZtRl3YAF</t>
  </si>
  <si>
    <t>Application Knowledge;Product Issues/Gaps</t>
  </si>
  <si>
    <t>{Industry=High Technology, Name=Textron Aviation, attributes={type=Account, url=/services/data/v62.0/sobjects/Account/001VT00000ZtRl3YAF}, PS_Region_New__c=US Large Enterprise DI &amp; Mexico}</t>
  </si>
  <si>
    <t>2025-01-16T05:14:22.000+0000</t>
  </si>
  <si>
    <t>a3AVT000000Dk6f2AC</t>
  </si>
  <si>
    <t>2026-09-30T13:26:22.000+0000</t>
  </si>
  <si>
    <t>0011B00002CXWSSQA5</t>
  </si>
  <si>
    <t>We offered them free services.</t>
  </si>
  <si>
    <t>017VT0000GcCcKqYQK</t>
  </si>
  <si>
    <t>a0rVT00001DWyFjYAL</t>
  </si>
  <si>
    <t>New COO.  Won't invest in services but also won't self-learn.   Zoe (new COO) signed an agreement then tried to not pay the annual fees.
We have offered them free services.</t>
  </si>
  <si>
    <t>New COO.  Won't invest in services but also won't self-learn.   Zoe (new COO) signed an agreement then tried to not pay the annual fees.</t>
  </si>
  <si>
    <t>0018000000LUH7OAAX</t>
  </si>
  <si>
    <t>a0rVT00001DXC2QYAX</t>
  </si>
  <si>
    <t>2025-01-16T05:18:17.000+0000</t>
  </si>
  <si>
    <t>{Name=Disney Worldwide Services, Inc., Industry=Media &amp; Entertainment, attributes={url=/services/data/v62.0/sobjects/Account/0018000000LUH7OAAX, type=Account}, PS_Region_New__c=US Large Enterprise DI &amp; Mexico}</t>
  </si>
  <si>
    <t>Boeing Company, The</t>
  </si>
  <si>
    <t>a3AVT000000Dk8H2AS</t>
  </si>
  <si>
    <t>a0pVT00000Cq6laYAB</t>
  </si>
  <si>
    <t>0014X00002OsBjXQAV</t>
  </si>
  <si>
    <t>Google Sheet EA is completely full and the waiting list is long. The OC on Mac EA will kick off in 25R1 and they are above the cut line so they will be included there</t>
  </si>
  <si>
    <t>017VT0000GuRYbTYQW</t>
  </si>
  <si>
    <t>{PS_Sub_Region__c=ME NN PBS, attributes={url=/services/data/v62.0/sobjects/Account/0018000001BOCMdAAP, type=Account}, PS_Region_New__c=US Medium Enterprise DI, SubRegion__c=US DI ME NN PBS Midwest, Name=Cielo, Inc - MSP, Industry=Professional Services}</t>
  </si>
  <si>
    <t>Jess AE feels if they don't get on the early adopter programme for Google Sheets and Mac, they will churn.</t>
  </si>
  <si>
    <t>a0rVT00001DWyIlYAL</t>
  </si>
  <si>
    <t>2025-01-16T05:24:56.000+0000</t>
  </si>
  <si>
    <t>0018000001WMGgbAAH</t>
  </si>
  <si>
    <t>a3AVT000000DkBV2A0</t>
  </si>
  <si>
    <t>{Industry=Consumer Goods, PS_Region_New__c=US Medium Enterprise DI, Name=Upstate Niagara Cooperative, Inc., attributes={url=/services/data/v62.0/sobjects/Account/0018000001WMGgbAAH, type=Account}}</t>
  </si>
  <si>
    <t>0018000001XAtnFAAT</t>
  </si>
  <si>
    <t>Free hours so our services can assist the partner.</t>
  </si>
  <si>
    <t>The customer wanted to implement in a certain way that was not recommended by the partner but the partner did it how they said and now on some of the larger reports they have awful rendering issues.
I don't believe that they are genuine risk of churn as there is a lot that is going well for them aside from these particular reports.</t>
  </si>
  <si>
    <t>a0pVT00000Cq9xxYAB</t>
  </si>
  <si>
    <t>017VT0000GcCdBfYQK</t>
  </si>
  <si>
    <t>They believe the Partner did not implement properly
They believe there are failings with the product.
Rendering is very slow on the very large reports.</t>
  </si>
  <si>
    <t>a0rVT00001DWyIoYAL</t>
  </si>
  <si>
    <t>Customer Ownership;Partner Management;Product Issues/Gaps</t>
  </si>
  <si>
    <t>2025-01-16T05:29:25.000+0000</t>
  </si>
  <si>
    <t>0018000000nlmK2AAI</t>
  </si>
  <si>
    <t>{attributes={url=/services/data/v62.0/sobjects/Account/0018000001BOCMdAAP, type=Account}, PS_Sub_Region__c=ME NN PBS, Name=Cielo, Inc - MSP, SubRegion__c=US DI ME NN PBS Midwest, Industry=Professional Services, PS_Region_New__c=US Medium Enterprise DI}</t>
  </si>
  <si>
    <t>{Name=Schindler Elevator Corporation, Industry=Industrial Manufacturing, PS_Region_New__c=US Large Enterprise DI &amp; Mexico, attributes={url=/services/data/v62.0/sobjects/Account/0018000000nlmK2AAI, type=Account}}</t>
  </si>
  <si>
    <t>a0rVT00001DX85FYAT</t>
  </si>
  <si>
    <t>a3AVT000000DkoD2AS</t>
  </si>
  <si>
    <t>BOKF, NA</t>
  </si>
  <si>
    <t>0014X00002MBxsXQAT</t>
  </si>
  <si>
    <t>Zentalis Pharmaceuticals is a biopharmaceutical company that focuses on developing and commercializing targeted cancer therapies. The company's pipeline includes potential treatments for various forms of cancer, with a focus on delivering personalized care to patients.</t>
  </si>
  <si>
    <t>017VT0000GuRS38YQG</t>
  </si>
  <si>
    <t>a0rVT00001DWyPGYA1</t>
  </si>
  <si>
    <t>- Cory, main point of contact and NSC, didn't respond to my outreach emails for an AVR and din't express interest to discuss the slide deck I sent
- Transition notes say that the use case for Adaptive is minimal; also, main user doesn't have a lot of time to use Adaptive and start learning more about it
- They integration issues with Netsuite</t>
  </si>
  <si>
    <t>0013000000L0fInAAJ</t>
  </si>
  <si>
    <t>2025-01-16T14:28:43.000+0000</t>
  </si>
  <si>
    <t>{attributes={url=/services/data/v62.0/sobjects/Account/0013000000L0fInAAJ, type=Account}, Name=Polycom, Inc. (Inactive Account), Industry=High Technology, PS_Region_New__c=US Large Enterprise DI &amp; Mexico}</t>
  </si>
  <si>
    <t>a3AVT000000DlVl2AK</t>
  </si>
  <si>
    <t>a0pVT00000Cq8nPYAR</t>
  </si>
  <si>
    <t>0014X00002U2ciIQAR</t>
  </si>
  <si>
    <t>{PS_Sub_Region__c=ME NN PBS, SubRegion__c=US DI ME NN PBS Midwest, Name=Cielo, Inc - MSP, attributes={type=Account, url=/services/data/v62.0/sobjects/Account/0018000001BOCMdAAP}, PS_Region_New__c=US Medium Enterprise DI, Industry=Professional Services}</t>
  </si>
  <si>
    <t>017VT0000GuQqQHYQ0</t>
  </si>
  <si>
    <t>This company is also known as Rogers Building Solutions
RBS delivers comprehensive services to facilities by offering our clients construction, retrofit, service &amp; maintenance. Rogers Building Solutions (RBS) is a best-in-class solutions provider serving high-growth, critical end markets with a comprehensive set of building services.
Website
www.rogers.build
Industry
Construction
Company size
501-1,000 employees</t>
  </si>
  <si>
    <t>- customer hadn't paid their invoice in February 2024
- customer hadn't implemented Adaptive in February 2024
- customer hadn't started training in Adaptive Planning in February 2024
Next steps:
contact accounts receivable to find out if they've paid, talk with their partner about implementation and payment and discuss with customer in a business review</t>
  </si>
  <si>
    <t>0013000000JMu9wAAD</t>
  </si>
  <si>
    <t>{PS_Region_New__c=US Large Enterprise DI &amp; Mexico, Name=AMC Entertainment Holdings, Inc., Industry=Media &amp; Entertainment, attributes={type=Account, url=/services/data/v62.0/sobjects/Account/0013000000JMu9wAAD}}</t>
  </si>
  <si>
    <t>2025-01-16T16:51:12.000+0000</t>
  </si>
  <si>
    <t>a3AVT000000DlcD2AS</t>
  </si>
  <si>
    <t>2026-09-30T13:24:17.000+0000</t>
  </si>
  <si>
    <t>0018000000wF8ilAAC</t>
  </si>
  <si>
    <t>017VT0000GuQt6MYQS</t>
  </si>
  <si>
    <t>a0pVT00000Cq9zZYAR</t>
  </si>
  <si>
    <t>a0rVT00001DWyU8YAL</t>
  </si>
  <si>
    <t>Travelzoo keeps the search for travel deals tame. On its websites, users find discount offers, promotions, and related information provided by more than 2,000 travel companies. Airlines, car rental companies, cruise lines, hotels, and travel agencies pay Travelzoo to publicize fares and promotions on its eponymous website, through its Travelzoo Top 20 newsletter, and across its Newsflash e-mail alert service. 
Travelzoo also operates SuperSearch, a pay-per-click search engine specializing in travel content, and Fly.com, a search engine that compares flight information. The company has operations in North America and Europe. Travelzoo founder Ralph Bartel owns about 66% of the company's shares.</t>
  </si>
  <si>
    <t>0014X00002aSWXPQA4</t>
  </si>
  <si>
    <t>{PS_Region_New__c=US Medium Enterprise DI, Industry=Professional Services, attributes={url=/services/data/v62.0/sobjects/Account/0018000001BOCMdAAP, type=Account}, PS_Sub_Region__c=ME NN PBS, SubRegion__c=US DI ME NN PBS Midwest, Name=Cielo, Inc - MSP}</t>
  </si>
  <si>
    <t>{PS_Region_New__c=US Medium Enterprise DI, attributes={url=/services/data/v62.0/sobjects/Account/0014X00002aSWXPQA4, type=Account}, Name=Celerion, Industry=Professional Services}</t>
  </si>
  <si>
    <t>- Not logging in much: 6 Named users, 16 users with instance access, 6% logged in in the past 1 month, 6% in the past 3 months
From Transition notes:
- Use of Adaptive is limited. For 2022 &amp; 2023 budget cycle - did not use
-Excel basis at a high level. Using Adaptive for actual reporting. Intend to use Adaptive for next budget cycle
- Since COVID - team has shrunk significantly and they did not replace resources; Reduced team size is a limitation to take on looking at using new features in Adaptive
- Very price sensitive and said will look at other tools if there is an increase</t>
  </si>
  <si>
    <t>2025-01-16T18:01:36.000+0000</t>
  </si>
  <si>
    <t>2026-09-30T13:24:34.000+0000</t>
  </si>
  <si>
    <t>a3AVT000000Dt3V2AS</t>
  </si>
  <si>
    <t>017VT0000GuRTv8YQG</t>
  </si>
  <si>
    <t>0014X00002U4LIFQA3</t>
  </si>
  <si>
    <t>a0rVT00001DWyU9YAL</t>
  </si>
  <si>
    <t>0018000000N5pg2AAB</t>
  </si>
  <si>
    <t>a0pVT00000CprjLYAR</t>
  </si>
  <si>
    <t>a0rVT00001DXEDwYAP</t>
  </si>
  <si>
    <t>{attributes={url=/services/data/v62.0/sobjects/Account/0018000000N5pg2AAB, type=Account}, Industry=Professional Services, Name=Plante &amp; Moran PLLC, PS_Region_New__c=US Large Enterprise DI &amp; Mexico}</t>
  </si>
  <si>
    <t>Border Foods, Inc.</t>
  </si>
  <si>
    <t>{attributes={type=Account, url=/services/data/v62.0/sobjects/Account/0018000001BOCMdAAP}, Name=Cielo, Inc - MSP, PS_Region_New__c=US Medium Enterprise DI, SubRegion__c=US DI ME NN PBS Midwest, PS_Sub_Region__c=ME NN PBS, Industry=Professional Services}</t>
  </si>
  <si>
    <t>2026-09-30T13:25:05.000+0000</t>
  </si>
  <si>
    <t>AS - Go Live Delayed 
AS - Partner RSMUS - Contact :  Dan.Spreitzer@rsmus.com
The scope and timeline has changed quite a bit since the project started, mainly due to turnover on the Praesum side. They have a completely new team since we started the project.
The current scope is solely focused on reporting, which we had started, but they have now decided to re-do the COA in Adaptive. In summary the scope is:
1.	Update COA in Sandbox - Complete
2.	GP Data Integration and Validation – In process; pending Praesum troubleshooting an error in the connection which we are actively assisting with
3.	Update COA in Prod and re-import data
4.	Finalize IS/BS Reports</t>
  </si>
  <si>
    <t>2025-01-21T01:49:24.000+0000</t>
  </si>
  <si>
    <t>017VT0000GuQbz1YQC</t>
  </si>
  <si>
    <t>a0rVT00001DWyUAYA1</t>
  </si>
  <si>
    <t>a3AVT000000E5Pd2AK</t>
  </si>
  <si>
    <t>0018000000Wsp7RAAR</t>
  </si>
  <si>
    <t>0018000001KdcwCAAR</t>
  </si>
  <si>
    <t>{PS_Region_New__c=US SLED, Industry=Acute Hospital / Health System, attributes={type=Account, url=/services/data/v62.0/sobjects/Account/0018000000Wsp7RAAR}, Name=The University of Chicago Medical Center}</t>
  </si>
  <si>
    <t>a0rVT00001DX8A5YAL</t>
  </si>
  <si>
    <t>a0pVT00000Cpx5bYAB</t>
  </si>
  <si>
    <t>a0rVT00001DWu2KYAT</t>
  </si>
  <si>
    <t>Boston Scientific Corporation</t>
  </si>
  <si>
    <t>The Carnegie Institution for Science is a private, nonprofit organization conducting basic research in the fields of astronomy, earth, and planetary sciences, genetics, developmental biology, and plant biology.
Partner: Abacist Group - wrote out Dashboarding and reporting</t>
  </si>
  <si>
    <t>2026-09-30T13:25:29.000+0000</t>
  </si>
  <si>
    <t>0018000001HnbuBAAR</t>
  </si>
  <si>
    <t>- customer reported Netusite integration issues, for which they had a 7-hour integration Expert Assist project in 2024; they also had a session with pbu Enablement in July 2024
- Tableau shows they had 0 users logging in in the last 3 months, and 3 users logging in in the past 6 months</t>
  </si>
  <si>
    <t>{SubRegion__c=US FSI LE West, Industry=Banking &amp; Capital Markets, PS_Region_New__c=US FSI, Name=Mortgage Research Center LLC dba Veterans United Home Loans, PS_Sub_Region__c=FSI LE, attributes={type=Account, url=/services/data/v62.0/sobjects/Account/0018000001HnbuBAAR}}</t>
  </si>
  <si>
    <t>017VT0000GuRFSnYQO</t>
  </si>
  <si>
    <t>a0rVT00001DWylqYAD</t>
  </si>
  <si>
    <t>2025-01-23T13:00:26.000+0000</t>
  </si>
  <si>
    <t>0013000000Hmn8mAAB</t>
  </si>
  <si>
    <t>a3AVT000000E5xV2AS</t>
  </si>
  <si>
    <t>{attributes={url=/services/data/v62.0/sobjects/Account/0013000000Hmn8mAAB, type=Account}, Name=Swinerton, Inc., Industry=Architecture, Engineering &amp; Construction, PS_Region_New__c=US Large Enterprise DI &amp; Mexico}</t>
  </si>
  <si>
    <t>0011B00002CXUQnQAP</t>
  </si>
  <si>
    <t>2026-09-30T13:23:55.000+0000</t>
  </si>
  <si>
    <t>From June 2023 notes:
Use Case:
Using Adaptive currently more as a GL and report spot, budget templates etc
They have a June 30th FY end
Bob's 3 Goals right now:
1. Understand how to leverage more self service tools so that they can do things themselves and feel that they know what they are doing. Possibly bring more users in - 18 Plants and each has a GM.
2. Look at more options to have more graphical rep
3. Talk about how to improve their current Budget process
We will review more of the above, how they can optimize some things, talk about resources available and touch on the upcoming renewal on July 21st.</t>
  </si>
  <si>
    <t>a0pVT00000CpxgiYAB</t>
  </si>
  <si>
    <t>017VT0000GuOcefYQC</t>
  </si>
  <si>
    <t>a0rVT00001DX9xPYAT</t>
  </si>
  <si>
    <t>They have been nonresponsive:
they haven't responded to my 4 emails suggesting a meeting. They also did not want a renewal call with the AE last year, according to the notes on the renewal opportunity in September 2024. They only confirmed in an email that they want to renew for a year only.
Turnover:
Bob Pfordresher, Chief Financial Officer/SVP - Said he was retiring end of 2022 but I still see him in LI with UC so I'm not sure that went through
No longer with the org as of june 2023: Kimberly Ammon - Corp Controller</t>
  </si>
  <si>
    <t>Boulder Valley School District</t>
  </si>
  <si>
    <t>{Industry=Banking &amp; Capital Markets, Name=Mortgage Research Center LLC dba Veterans United Home Loans, PS_Sub_Region__c=FSI LE, attributes={url=/services/data/v62.0/sobjects/Account/0018000001HnbuBAAR, type=Account}, SubRegion__c=US FSI LE West, PS_Region_New__c=US FSI}</t>
  </si>
  <si>
    <t>0018000000ULAggAAH</t>
  </si>
  <si>
    <t>2025-01-23T18:26:28.000+0000</t>
  </si>
  <si>
    <t>{PS_Region_New__c=UKI, Name=BAE Systems plc, Industry=High Technology, attributes={url=/services/data/v62.0/sobjects/Account/0018000000ULAggAAH, type=Account}}</t>
  </si>
  <si>
    <t>a3AVT000000E5z72AC</t>
  </si>
  <si>
    <t>2026-09-30T13:25:28.000+0000</t>
  </si>
  <si>
    <t>0014X00002XHj9VQAT</t>
  </si>
  <si>
    <t>017VT0000GuRDR8YQO</t>
  </si>
  <si>
    <t>Figure Eight Federal LLC is a company that specializes in developing and providing artificial intelligence and machine learning solutions for government agencies and organizations.
Partner: NeoSystems Corp</t>
  </si>
  <si>
    <t>a0rVT00001DWyp5YAD</t>
  </si>
  <si>
    <t>a0pVT00000Cpum3YAB</t>
  </si>
  <si>
    <t>- unclear if customer finished implementation, no info about this in Deployment Scorecard in Salesforce
- no customer log in to Adaptive in the past 3 months, according to Tableau</t>
  </si>
  <si>
    <t>0018000000dQ8u2AAC</t>
  </si>
  <si>
    <t>a0rVT00001DWzoaYAD</t>
  </si>
  <si>
    <t>2025-01-23T18:44:10.000+0000</t>
  </si>
  <si>
    <t>{PS_Region_New__c=US Medium Enterprise DI, attributes={url=/services/data/v62.0/sobjects/Account/0018000000dQ8u2AAC, type=Account}, Industry=Other Retail, Name=H&amp;E Equipment Services, Inc.}</t>
  </si>
  <si>
    <t>{PS_Sub_Region__c=Diversified Industries Key Accounts, attributes={url=/services/data/v62.0/sobjects/Account/0013000000II8OAAA1, type=Account}, PS_Region_New__c=US Large Enterprise DI &amp; Mexico, Industry=Restaurant &amp; Food Service, Name=CMG Strategy Co., LLC, SubRegion__c=US DI Key Accounts RHT}</t>
  </si>
  <si>
    <t>Boynton Canyon Management Company</t>
  </si>
  <si>
    <t>a3AVT000000E8Lt2AK</t>
  </si>
  <si>
    <t>0011B00002BCTwxQAH</t>
  </si>
  <si>
    <t>017VT0000GuQ2phYQC</t>
  </si>
  <si>
    <t>a0rVT00001DWyxAYAT</t>
  </si>
  <si>
    <t>0013000000IoHZnAAN</t>
  </si>
  <si>
    <t>Purchasing Power, LLC is an employee purchase program that offers an online platform for employees to purchase consumer products and services through payroll deduction, with the goal of helping employees better manage their finances and improve their financial wellness.</t>
  </si>
  <si>
    <t>{Industry=Food &amp; Drug, PS_Region_New__c=US Large Enterprise DI &amp; Mexico, Name=Conagra Brands, Inc., attributes={url=/services/data/v62.0/sobjects/Account/0013000000IoHZnAAN, type=Account}}</t>
  </si>
  <si>
    <t>- Per Purchasing Power integration would send emails when Dimensions were missing. Per Support we only send emails for Accounts and Levels. Product Dev said this was an enhancement to the model that will affect the Workflow of integration and it is a major change. They are looking into it but no date has been set for the fix to be in place.
- Also looking into changing into a fiscal year from calendar year but still need to report on calendar year for tax purposes. Enablement provided solution but Neghem still needs to test.</t>
  </si>
  <si>
    <t>2026-09-30T13:24:06.000+0000</t>
  </si>
  <si>
    <t>2025-01-24T18:29:02.000+0000</t>
  </si>
  <si>
    <t>a0pVT00000Cq3CbYAJ</t>
  </si>
  <si>
    <t>017VT0000GuRVcDYQW</t>
  </si>
  <si>
    <t>a0rVT00001DX3lZYAT</t>
  </si>
  <si>
    <t>a0rVT00001DWz0OYAT</t>
  </si>
  <si>
    <t>a3AVT000000E8k52AC</t>
  </si>
  <si>
    <t>Boys Town National Research Hospital</t>
  </si>
  <si>
    <t>0018000000zVTeLAAW</t>
  </si>
  <si>
    <t>{Industry=Non-Profit, Name=Uplift Education Foundation (Inactive Account), PS_Region_New__c=null, attributes={type=Account, url=/services/data/v62.0/sobjects/Account/0018000000zVTeLAAW}}</t>
  </si>
  <si>
    <t>0014X00002OuioXQAR</t>
  </si>
  <si>
    <t>{attributes={url=/services/data/v62.0/sobjects/Account/0013000000J2sIkAAJ, type=Account}, Name=The Pep Boys - Manny, Moe &amp; Jack LLC, PS_Sub_Region__c=Diversified Industries LE CB RHT, SubRegion__c=US DI LE CB RHT Northeast, PS_Region_New__c=US Large Enterprise DI &amp; Mexico, Industry=Auto}</t>
  </si>
  <si>
    <t>2026-09-30T13:25:32.000+0000</t>
  </si>
  <si>
    <t>017VT0000GuRPbgYQG</t>
  </si>
  <si>
    <t>Update March 10, 2025
Notes from Adveen Dosanjh
1. Moving Wellness Plan to neutral after conversation with David Mark, as things are moving in a postive direction to mitigate the current challenges of mobile adoption.  
2. A tenant extension was provided to customer - Onni2 tenant extension. We were able to have the tenant extended for 3 months until May 6, 2025, at no cost to Onni.
3.  Case# 266030 was open with support team Mobile App - Connectivity Issues on Login.   Support team is working hard to resolve the issue.  
4.  Jordan Miller AE is able to waive annual growth charges of $ 6k in support of partnership. 
Keeping wellness plan open for a few month and just closely monitor it if any further issue arise with current issue.</t>
  </si>
  <si>
    <t>a0rVT00001DWz1yYAD</t>
  </si>
  <si>
    <t>0018000001WMFPXAA5</t>
  </si>
  <si>
    <t>Onni Property Management Services has recently gone live with Workday HCM as of December 9, 2024. 
An upcoming Standard Engagement - Welcome to Workday Customer Success will be held in early February with the customer. 
One area the customer has struggle with is the deployment of our Mobile Application. At a high level, the Onni Group employees cannot use the Workday Mobile App to access their data. In short, they are experiencing mobile connectivity issues. The customer executive sponsor has expressed dis-satisfaction and escalated the issue to Workday. A customer support case was rasied to address in mid December but has yet to be resolved.</t>
  </si>
  <si>
    <t>{Name=DFCU Financial, Industry=Banking &amp; Capital Markets, PS_Region_New__c=US FSI, attributes={type=Account, url=/services/data/v62.0/sobjects/Account/0018000001WMFPXAA5}}</t>
  </si>
  <si>
    <t>2026-09-30T13:25:53.000+0000</t>
  </si>
  <si>
    <t>2025-03-10T18:19:47.000+0000</t>
  </si>
  <si>
    <t>017VT0000GuRRB7YQO</t>
  </si>
  <si>
    <t>a3AVT000000EAab2AG</t>
  </si>
  <si>
    <t>a0rVT00001DWz3cYAD</t>
  </si>
  <si>
    <t>a0pVT00000Cq3B0YAJ</t>
  </si>
  <si>
    <t>0014X00002Ouq4VQAR</t>
  </si>
  <si>
    <t>0013000000KycsXAAR</t>
  </si>
  <si>
    <t>{Name=Logitech Inc., PS_Region_New__c=US Large Enterprise DI &amp; Mexico, attributes={url=/services/data/v62.0/sobjects/Account/0013000000KycsXAAR, type=Account}, Industry=High Technology}</t>
  </si>
  <si>
    <t>T Unfavorable
U Kicked off WSP subscription. However, customer has made little use of the service.
R Yes
N Schedule adoption meeting to discuss where they can further adopt and future initiatives.</t>
  </si>
  <si>
    <t>{PS_Region_New__c=US Large Enterprise DI &amp; Mexico, attributes={url=/services/data/v62.0/sobjects/Account/0018000000rRs19AAC, type=Account}, SubRegion__c=US DI LE NN MFG East, Name=NextEra Energy, Inc, PS_Sub_Region__c=Diversified Industries LE NN, Industry=Utilities}</t>
  </si>
  <si>
    <t>Customer Ownership;Partner Management</t>
  </si>
  <si>
    <t>2026-09-30T13:24:28.000+0000</t>
  </si>
  <si>
    <t>2025-03-05T17:13:00.000+0000</t>
  </si>
  <si>
    <t>017VT0000GcCcKzYQK</t>
  </si>
  <si>
    <t>a3AVT000000ESKb2AO</t>
  </si>
  <si>
    <t>a0rVT00001DWz8QYAT</t>
  </si>
  <si>
    <t>0018000000MSTHMAA5</t>
  </si>
  <si>
    <t>0018000001O9xaOAAR</t>
  </si>
  <si>
    <t>{Industry=Acute Hospital / Health System, attributes={type=Account, url=/services/data/v62.0/sobjects/Account/0018000000MSTHMAA5}, PS_Region_New__c=US Healthcare, Name=Kettering Adventist Healthcare dba Kettering Health}</t>
  </si>
  <si>
    <t>a0pVT00000Cpr9tYAB</t>
  </si>
  <si>
    <t>a0rVT00001DX8q2YAD</t>
  </si>
  <si>
    <t>017VT0000GuRFOLYQ4</t>
  </si>
  <si>
    <t>Bradford White Corporation</t>
  </si>
  <si>
    <t>a0rVT00001DWz8RYAT</t>
  </si>
  <si>
    <t>0018000000RCg9VAAT</t>
  </si>
  <si>
    <t>{attributes={url=/services/data/v62.0/sobjects/Account/0018000000RCg9VAAT, type=Account}, PS_Region_New__c=US FSI, Industry=Insurance, Name=Trustmark Insurance Company}</t>
  </si>
  <si>
    <t>{SubRegion__c=US DI LE NN MFG East, Industry=Utilities, PS_Region_New__c=US Large Enterprise DI &amp; Mexico, attributes={type=Account, url=/services/data/v62.0/sobjects/Account/0018000000rRs19AAC}, Name=NextEra Energy, Inc, PS_Sub_Region__c=Diversified Industries LE NN}</t>
  </si>
  <si>
    <t>No engagement from NCC on progress on completing VR surveys. Emailed  Rebecca Fox (Executive sponsor )and Alex Johnson ( WD owner) on lack of updates and failing to attend / cancelling meeting ( there own meeting) just before the start.
AA email on 7.3.25
I see the meeting has been cancelled, is there another time we can catch you please. Also, Kelly has emailed 21st and 25th , see attached as we would like to introduce you to Emma Minshull as the new Account Executive. 
We would like to discuss progress on Value Study,  I see good progress being on HCM,  below is the current status by functional domain:-
HCM Survey submission status
•	Not Started :      Workday for HR and Employee Engagement, Recruiting
•	In Progress:       HR Headcount and Time and Absence
•	Complete :        HR Operations, Onboarding, Compensation, Benefits, Payroll
Finance survey status
•	Not Started - Workday for Finance, Finance Headcount, Finance IS/IT, Financial Reporting, Accounting, Audit, Accounts Receivable, Expenses, Strategic Sourcing, Contracts, Procurement, PSA, Financial Planning and Analysis.
•	In Progress - Nil
•	Complete - Nil</t>
  </si>
  <si>
    <t>13.1.25 - Annual review meeting CIO expressed concern on lack flexibility to manage WD. Agreed on completing VR study to support adoption and  surface insights for optimisation.</t>
  </si>
  <si>
    <t>2026-09-30T13:25:23.000+0000</t>
  </si>
  <si>
    <t>Rebecca Fox - CIO and Executive Sponsor highlight lack of ROI from WD. Total cost of ownership too high compared to Oracle Administration of WD too cumbersome,</t>
  </si>
  <si>
    <t>017VT0000GuPf5HYQS</t>
  </si>
  <si>
    <t>a0rVT00001DXBxZYAX</t>
  </si>
  <si>
    <t>a0rVT00001DWzEuYAL</t>
  </si>
  <si>
    <t>2025-05-01T15:47:33.000+0000</t>
  </si>
  <si>
    <t>Brewer Companies</t>
  </si>
  <si>
    <t>0018000001WMFFOAA5</t>
  </si>
  <si>
    <t>a3AVT000000EUfl2AG</t>
  </si>
  <si>
    <t>{attributes={type=Account, url=/services/data/v62.0/sobjects/Account/0018000001WMFFOAA5}, Industry=Investment Management, PS_Region_New__c=US FSI, Name=Data Analysis Inc.}</t>
  </si>
  <si>
    <t>US DI ME NN PBS Central</t>
  </si>
  <si>
    <t>a0pVT00000CpyGDYAZ</t>
  </si>
  <si>
    <t>0018000001V5MZsAAN</t>
  </si>
  <si>
    <t>2026-09-30T13:25:51.000+0000</t>
  </si>
  <si>
    <t>1/29/2025
T Neutral
U Reid is tracking towards Q2 completion of their Workday implementation.
R No risk to deployment
N Meet with Crossvue to understand current state of the Reid project. Notes entered for steering committee meetings.</t>
  </si>
  <si>
    <t>{PS_Region_New__c=US Large Enterprise DI &amp; Mexico, SubRegion__c=US DI LE NN MFG East, Industry=Utilities, PS_Sub_Region__c=Diversified Industries LE NN, Name=NextEra Energy, Inc, attributes={url=/services/data/v62.0/sobjects/Account/0018000000rRs19AAC, type=Account}}</t>
  </si>
  <si>
    <t>017VT0000GcCcLxYQK</t>
  </si>
  <si>
    <t>Reid Health is currently ensconced in their implementation and is targeting a summer 2025 go-live. However, throughout their implementation, there have been many issues with their partner CrossVue in terms of securing funding for education. In addition, our main POC, Carol Owen-Clark, Director of Lean Management is lacks in depth knowledge to fully handle the Workday implementation. As such, I would like to keep a wellness plan open until they successfully launch.</t>
  </si>
  <si>
    <t>a0rVT00001DWzMxYAL</t>
  </si>
  <si>
    <t>Application Knowledge;Customer Ownership;Deployments;Methodology Knowledge;Partner Management</t>
  </si>
  <si>
    <t>a0rVT00001DXCf7YAH</t>
  </si>
  <si>
    <t>2025-01-29T22:48:46.000+0000</t>
  </si>
  <si>
    <t>0013000000JMWyjAAH</t>
  </si>
  <si>
    <t>a3AVT000000EUiz2AG</t>
  </si>
  <si>
    <t>{PS_Region_New__c=US Large Enterprise DI &amp; Mexico, attributes={url=/services/data/v62.0/sobjects/Account/0013000000JMWyjAAH, type=Account}, Name=Milwaukee Electric Tool Corporation, Industry=High Technology}</t>
  </si>
  <si>
    <t>0018000000P0ePYAAZ</t>
  </si>
  <si>
    <t>a0pVT00000Cq9zaYAB</t>
  </si>
  <si>
    <t>T Neutral, trending towards Favorable
U Met with CF to alert them of the account transition. Introduced new AE. Will send team info later.
R No
N Officially transition CF to Teamed CS model.</t>
  </si>
  <si>
    <t>CF is currently in a very favorable state. However, given they are in the process of deploying /adopting Help and Learning,  it makes sense to open a Wellness plan to track the completion of both.</t>
  </si>
  <si>
    <t>017VT0000GcCcM3YQK</t>
  </si>
  <si>
    <t>{PS_Region_New__c=US Large Enterprise DI &amp; Mexico, Industry=Hardlines, attributes={type=Account, url=/services/data/v62.0/sobjects/Account/0018000001ByZndAAF}, PS_Sub_Region__c=Diversified Industries LE CB MFG, Name=SRS Distribution Inc., SubRegion__c=US DI Key Accounts MFG}</t>
  </si>
  <si>
    <t>a0rVT00001DWzMyYAL</t>
  </si>
  <si>
    <t>2025-03-05T16:55:35.000+0000</t>
  </si>
  <si>
    <t>0018000000vVHEMAA4</t>
  </si>
  <si>
    <t>a3AVT000000EWJN2A4</t>
  </si>
  <si>
    <t>{Industry=Professional Services, PS_Region_New__c=US Large Enterprise DI &amp; Mexico, Name=Resultscx, attributes={type=Account, url=/services/data/v62.0/sobjects/Account/0018000000vVHEMAA4}}</t>
  </si>
  <si>
    <t>0018000001SYA8OAAX</t>
  </si>
  <si>
    <t>Held AVR with Customer on 9/8. CBAE and CS are working on Extend opportunity to address customers concerns. Customer is also engaged with KPMG for optimization efforts.</t>
  </si>
  <si>
    <t>017VT0000GuRLd2YQG</t>
  </si>
  <si>
    <t>a0rVT00001DWzQAYA1</t>
  </si>
  <si>
    <t>a0pVT00000Cq0jQYAR</t>
  </si>
  <si>
    <t>001VT00000b2oufYAA</t>
  </si>
  <si>
    <t>{attributes={url=/services/data/v62.0/sobjects/Account/001VT00000b2oufYAA, type=Account}, Name=Workforce Solutions Texoma, Industry=Professional Services, PS_Region_New__c=US Medium Enterprise DI}</t>
  </si>
  <si>
    <t>Ross Garrett, Senior Director, Financial Enablement Solutions and Operations Accounting at Altasciences, escalated case 2689356 indicating that deployment partner KPMG created statistic definitions tied to the Ledger 'Historic Payroll' claiming this as an error that Workday's delivery assurance service did not catch. Altasciences went live on Workday Financials on January 1, 2025. 
According to Ross, these statistic definitions are unusable and cannot be inactivated. 
Since Ross believes that Workday “allowed” KPMG to “break” their tenant he is making a refund request and talking about taking legal action. 
Wellness plan updates will be included in Gainsight under Altasciences Adoption plan.</t>
  </si>
  <si>
    <t>{attributes={url=/services/data/v62.0/sobjects/Account/0018000001ByZndAAF, type=Account}, PS_Region_New__c=US Large Enterprise DI &amp; Mexico, Industry=Hardlines, Name=SRS Distribution Inc., PS_Sub_Region__c=Diversified Industries LE CB MFG, SubRegion__c=US DI Key Accounts MFG}</t>
  </si>
  <si>
    <t>Application Knowledge;Deployments;Methodology Knowledge;Partner Management;Product Issues/Gaps</t>
  </si>
  <si>
    <t>2026-09-30T13:26:07.000+0000</t>
  </si>
  <si>
    <t>a0rVT00001DX8DKYA1</t>
  </si>
  <si>
    <t>2025-11-03T18:53:50.000+0000</t>
  </si>
  <si>
    <t>Brightcove Inc.</t>
  </si>
  <si>
    <t>a3AVT000000EWw52AG</t>
  </si>
  <si>
    <t>017VT0000GuP8xTYQS</t>
  </si>
  <si>
    <t>a0rVT00001DWzl9YAD</t>
  </si>
  <si>
    <t>0018000001MGbStAAL</t>
  </si>
  <si>
    <t>0013000000KeH6jAAF</t>
  </si>
  <si>
    <t>{Name=Magna International Inc., Industry=Auto Manufacturing, PS_Region_New__c=Canada, attributes={type=Account, url=/services/data/v62.0/sobjects/Account/0013000000KeH6jAAF}}</t>
  </si>
  <si>
    <t>25-Sep-2026
T: Trending
Yellow
U: Progress Update
BNB and ONCE tested the the 3 remaining Workday-SAP Concur blockers. According to BNB these blockers are solved. 
MP and DSM had exec alingment call with ONCE's IT and HR director prior to ONCE decision around go/no-go expected on Monday Sep 28th. HR Director doesn't see accessibility as a go-live bloker. However, IT director is not fully clear: he mentiones Workday would be deemed non-compliant should ONCE complete its internal accessibility assessment. A main issue is the 13 blocking cases that have a fix date that still needs to be delivered by WOrkday or accepted by ONCE.
MP Aligned with accessibility team: New fix dates or workarounds would always reinforce WDAY's commitment to ONCE.
R: Risk
 ONCE's IT leadership may still cite unresolved blocking accessibility cases as grounds for non-compliance, risking delay or a negative CEO decision for go-live and strong case-closure momentum.
N: Next steps
Sep 28th ONCE will take a decision on go/no-go on November.</t>
  </si>
  <si>
    <t>a0pVT00000Cq0RdYAJ</t>
  </si>
  <si>
    <t>Nirmala Chaturi</t>
  </si>
  <si>
    <t>The deployment project faces two types of risks: the actual implementation and Workday's compliance with ONCE's accessibility standards.
Regarding the risk related to the actual implementation, ONCE and its partners (BNB and ShapeIN) are collaborating to secure a successful outcome. Due to the customer's complex processes and requirements, its lack of experience in similar projects, and the integration and configuration of Workday, the implementation project constitutes the main risk.
Additionally, Workday and ONCE are collaborating together to secure the right accessible experience for ONCE's employees considering their special needs. For ONCE, accessibility is prerequisite as 80%+ of its 24,000+ employees are either totally or partially visually impaired.</t>
  </si>
  <si>
    <t>a0rVT00001DX3OyYAL</t>
  </si>
  <si>
    <t>017VT0000GuQzGQYQ0</t>
  </si>
  <si>
    <t>{Industry=Software &amp; Platforms, attributes={type=Account, url=/services/data/v62.0/sobjects/Account/0011B00002GMewVQAT}, PS_Region_New__c=US Medium Enterprise DI, SubRegion__c=US DI ME CB TM Northwest, PS_Sub_Region__c=ME CB TM &amp; RHT, Name=Buildertrend Solutions, Inc.}</t>
  </si>
  <si>
    <t>The go-live date has been postponed twice with a high risk of been postponed a third time.
Main causes of delay:
1. Playback repetition to senior management due to unsuccessful past playbacks by Partner
2. Delay gathering functional requirements
3. Customer request to build a parallel payroll process as alternative plan in go-live
Improvable project governance that impacts communication within the customer and Partner, decision-taking process and team's time efficiency in the project</t>
  </si>
  <si>
    <t>Brightli</t>
  </si>
  <si>
    <t>a0rVT00001DWzoZYAT</t>
  </si>
  <si>
    <t>2026-09-25T12:45:30.000+0000</t>
  </si>
  <si>
    <t>0013000000IniApAAJ</t>
  </si>
  <si>
    <t>{Industry=Consumer Goods, PS_Region_New__c=US Large Enterprise DI &amp; Mexico, Name=The Campbell's Company, attributes={type=Account, url=/services/data/v62.0/sobjects/Account/0013000000IniApAAJ}}</t>
  </si>
  <si>
    <t>a3AVT000000EXvN2AW</t>
  </si>
  <si>
    <t>0014X00002ltUUOQA2</t>
  </si>
  <si>
    <t>2026-09-30T13:24:05.000+0000</t>
  </si>
  <si>
    <t>12/9/25 KS - No new update. Awaiting legal guidance.</t>
  </si>
  <si>
    <t>a0pVT00000Cq0TFYAZ</t>
  </si>
  <si>
    <t>017VT0000GcCdAnYQK</t>
  </si>
  <si>
    <t>a0rVT00001DXBO5YAP</t>
  </si>
  <si>
    <t>Thomas James Homes has a small team managing Workday (one person) and feels overburdened with running the solution. Their main administrator has an affinity for ADP and is having trouble navigating the Workday ecosystem. 
The Chief People Officer expressed dissatisfaction with the Workday deployment experience. The CPO is frustrated that they invested $200k for a Workday implementation and still need to engage outside consultant help for post deployment support. 
Potential full churn risk in 2029 and Product SKU risk for Prism ($18k) and Adaptive ($3k)</t>
  </si>
  <si>
    <t>Brightstar Credit Union</t>
  </si>
  <si>
    <t>{PS_Region_New__c=US Medium Enterprise DI, Industry=Software &amp; Platforms, SubRegion__c=US DI ME CB TM Northwest, Name=Buildertrend Solutions, Inc., attributes={type=Account, url=/services/data/v62.0/sobjects/Account/0011B00002GMewVQAT}, PS_Sub_Region__c=ME CB TM &amp; RHT}</t>
  </si>
  <si>
    <t>2025-12-09T15:33:03.000+0000</t>
  </si>
  <si>
    <t>0018000001WMGtjAAH</t>
  </si>
  <si>
    <t>FSI Commercial NN</t>
  </si>
  <si>
    <t>US FSI Commercial NN</t>
  </si>
  <si>
    <t>{PS_Region_New__c=US Medium Enterprise DI, Industry=Lodging &amp; Resorts, Name=Boynton Canyon Management Company, attributes={type=Account, url=/services/data/v62.0/sobjects/Account/0018000001WMGtjAAH}}</t>
  </si>
  <si>
    <t>a3AVT000000EgCH2A0</t>
  </si>
  <si>
    <t>0014X00002eiO3tQAE</t>
  </si>
  <si>
    <t>Oct 17 2024: Mats Dang (Workday CSM) has stepped in to help the customer build a governance &amp; support model.
Nov 12 2024: Mats Dang + Steve Dougherty (AE) met the customer to follow-up on certain action items (support model + adoption toolkit + upselling opportunities)
Jan 22, 2025: Mats Dang scheduled AVRP to help customer plan their strategies for 2025.</t>
  </si>
  <si>
    <t>017VT0000GuQbz7YQC</t>
  </si>
  <si>
    <t>a0pVT00000CptYEYAZ</t>
  </si>
  <si>
    <t>a0rVT00001DX1S1YAL</t>
  </si>
  <si>
    <t>0018000000Wsn8XAAR</t>
  </si>
  <si>
    <t>{PS_Region_New__c=US SLED, Industry=State &amp; Local Government, Name=Baltimore County, Maryland, attributes={type=Account, url=/services/data/v62.0/sobjects/Account/0018000000Wsn8XAAR}}</t>
  </si>
  <si>
    <t>Brink's Company, The</t>
  </si>
  <si>
    <t>{Name=Buildertrend Solutions, Inc., Industry=Software &amp; Platforms, PS_Region_New__c=US Medium Enterprise DI, attributes={url=/services/data/v62.0/sobjects/Account/0011B00002GMewVQAT, type=Account}, SubRegion__c=US DI ME CB TM Northwest, PS_Sub_Region__c=ME CB TM &amp; RHT}</t>
  </si>
  <si>
    <t>Context
- Customer experiencing high growth, and was seeking for a system that will help automate and drive efficiency. They were currently using ADP as HRIS and Payroll, for which they experience challenges with effective dating. 
- Combined with a growing need for Position Management (i.e. defining org structure and access groups), they don't believe ADP can partner with them for the long term. 
- They ran a RFP, for which Workday won.
New update
- OSIS got acquired by OCHIN, leading to significant organisational changes within OSIS.
- Adoption Strategy currently TBD, as the CFO is leaving the company to work for the parent company in the next month. CFO has shared during the CSI that decisions will have to be made by stakeholders at the parent company.
- VP of HR will be the new Workday Admin. Uneasy about the next steps on how to maintain/optimise Workday. Needs more hand-holding. Could be a great candidate for WSP Essentials (for 1 year) before transitioning to Expert Assist for ad-hoc touch points.
- Customer is already re-assessing their subscription to identify SKUs to be dropped, and new SKUs to be purchased (e.g. People Analytics &amp; Adaptive Planning)
- Customer is unable to provide strategic objectives for 2025, as she is awaiting guidelines from the new parent company. VP of HR is worried for her position, and tries to position herself as a Workday expert.
DEPLOYED
Core HCM
Advanced Comp
Benefits
Cloud Connect Benefits
Recruiting
Performance &amp; Development
Payroll - US
Absence Management
Time Tracking
DEFERRED
- Learning
- Cloud Connect Learning
- Peakon (potentially part of a 2nd wave)
- Extend
UPSELLING OPPORTUNITIES
- Adaptive Planning (lower priority, maybe end of year)
- People Analytics (potentially part of a 2nd wave)
- WSP / Expert Assist (guidance)
- Professional Services (deployment of Peakon and People Analytics)</t>
  </si>
  <si>
    <t>017VT0000GuOceiYQC</t>
  </si>
  <si>
    <t>- Customer acquired Workday HCM at the beginning of 2024.
- In July 2024, the Customer was acquired by another company called OCHIN. The new parent company (who uses SAP) initially asked the Customer to stop their deployment, then allowed the deployment to continue, with only half of the SKUs.
- CFO changed roles and joined the parent company's payroll team. He was the executive sponsor for Workday and the main Admin. 
- VP of HR became the new Workday Admin. No technical knowledge of the platform. She inititially thought that she could manage Workday as the only POC.
- Mats Dang (Workday CSM) has stepped in to help the customer build a governance &amp; support model.</t>
  </si>
  <si>
    <t>a0rVT00001DWzwTYAT</t>
  </si>
  <si>
    <t>Application Knowledge;Customer Ownership;Deployments;Internal;Methodology Knowledge;Customer Turnover</t>
  </si>
  <si>
    <t>0018000000vRpqvAAC</t>
  </si>
  <si>
    <t>2025-02-03T19:19:22.000+0000</t>
  </si>
  <si>
    <t>{PS_Region_New__c=US Large Enterprise DI &amp; Mexico, Industry=Consumer Goods, Name=C.H. Guenther &amp; Son LLC, attributes={type=Account, url=/services/data/v62.0/sobjects/Account/0018000000vRpqvAAC}}</t>
  </si>
  <si>
    <t>a3AVT000000EgDt2AK</t>
  </si>
  <si>
    <t>a0pVT00000CporvYAB</t>
  </si>
  <si>
    <t>0018000000vU9C3AAK</t>
  </si>
  <si>
    <t>a0rVT00001DX6hlYAD</t>
  </si>
  <si>
    <t>017VT0000GuRVxIYQW</t>
  </si>
  <si>
    <t>Bristol-Myers Squibb Company</t>
  </si>
  <si>
    <t>- Two meetings with Customer Enablement team to fix their issues with Personnel Sheet.
- 1 meeting with the Customer was scheduled to discuss FUTURE STATE. Integration, dashboards and data consolidation were discussed.</t>
  </si>
  <si>
    <t>a0rVT00001DX0CYYA1</t>
  </si>
  <si>
    <t>001VT00000b2vcoYAA</t>
  </si>
  <si>
    <t>- Customer is considering churning due to lack of value realization.
- Currently using Workday Adaptive for budgeting, forecasting (outside the tool, then uploading numbers when necessary) + personnel sheet + OfficeConnect.
- Currently using MS Business Central as ERP and UKG as HCM.</t>
  </si>
  <si>
    <t>{Industry=Professional Services, attributes={url=/services/data/v62.0/sobjects/Account/001VT00000b2vcoYAA, type=Account}, PS_Region_New__c=US Medium Enterprise DI, Name=CareerSource Okaloosa Walton}</t>
  </si>
  <si>
    <t>{attributes={url=/services/data/v62.0/sobjects/Account/0018000001JinQzAAJ, type=Account}, Name=Shake Shack Enterprises, LLC, PS_Region_New__c=US Large Enterprise DI &amp; Mexico, SubRegion__c=US DI LE CB RHT Northeast, Industry=Restaurant &amp; Food Service, PS_Sub_Region__c=Diversified Industries LE CB RHT}</t>
  </si>
  <si>
    <t>- Customer is considering churning due to lack of value realization.
- Currently using Workday Adaptive for budgeting, forecasting (outside the tool, then uploading numbers when necessary) + personnel sheet + OfficeConnect.</t>
  </si>
  <si>
    <t>2026-09-30T13:26:11.000+0000</t>
  </si>
  <si>
    <t>Application Knowledge;Internal;Methodology Knowledge</t>
  </si>
  <si>
    <t>2025-02-03T19:29:14.000+0000</t>
  </si>
  <si>
    <t>017VT0000GuR5VoYQK</t>
  </si>
  <si>
    <t>a0rVT00001DX0EBYA1</t>
  </si>
  <si>
    <t>0018000001XB2MjAAL</t>
  </si>
  <si>
    <t>{attributes={type=Account, url=/services/data/v62.0/sobjects/Account/0018000001XB2MjAAL}, Industry=Non-Profit, PS_Region_New__c=US SLED, Name=The Y in Central Maryland}</t>
  </si>
  <si>
    <t>a3AVT000000EiHJ2A0</t>
  </si>
  <si>
    <t>a0rVT00001DXDD0YAP</t>
  </si>
  <si>
    <t>2026-09-30T13:25:55.000+0000</t>
  </si>
  <si>
    <t>Broward House</t>
  </si>
  <si>
    <t>017VT0000GuRZG3YQO</t>
  </si>
  <si>
    <t>0018000001Rl1p1AAB</t>
  </si>
  <si>
    <t>a0pVT00000CprHzYAJ</t>
  </si>
  <si>
    <t>a0rVT00001DX0MHYA1</t>
  </si>
  <si>
    <t>001VT00000b2lDgYAI</t>
  </si>
  <si>
    <t>- Trend: yellow
- Update: preparing workshop and QBR for October 6 as well as CSM transition (maternity leave)
- Risk: CZ could still open an RFP ahead of renewal (10/30/2028); mitigation: help CZ see the value of Workday AI via Candidate Experience, HiredScore AI for Talent, Sana Enterprise
- Next step: work on new AI roadmap</t>
  </si>
  <si>
    <t>{Industry=State &amp; Local Government, Name=Chandler Police Department, attributes={type=Account, url=/services/data/v62.0/sobjects/Account/001VT00000b2lDgYAI}, PS_Region_New__c=US SLED}</t>
  </si>
  <si>
    <t>{SubRegion__c=US DI LE CB RHT Northeast, Name=Shake Shack Enterprises, LLC, PS_Region_New__c=US Large Enterprise DI &amp; Mexico, attributes={url=/services/data/v62.0/sobjects/Account/0018000001JinQzAAJ, type=Account}, Industry=Restaurant &amp; Food Service, PS_Sub_Region__c=Diversified Industries LE CB RHT}</t>
  </si>
  <si>
    <t>2026-09-30T13:26:00.000+0000</t>
  </si>
  <si>
    <t>017VT0000GuRFSkYQO</t>
  </si>
  <si>
    <t>0013000000HoNZWAA3</t>
  </si>
  <si>
    <t>{PS_Region_New__c=US FSI, Industry=Insurance, attributes={url=/services/data/v62.0/sobjects/Account/0013000000HoNZWAA3, type=Account}, Name=Asurion, LLC}</t>
  </si>
  <si>
    <t>017VT0000GuQtmfYQC</t>
  </si>
  <si>
    <t>a0rVT00001DX0R4YAL</t>
  </si>
  <si>
    <t>a0rVT00001DXDBPYA5</t>
  </si>
  <si>
    <t>a0pVT00000Cq8gxYAB</t>
  </si>
  <si>
    <t>0014X00002K7vIoQAJ</t>
  </si>
  <si>
    <t>Buckner Retirement Services</t>
  </si>
  <si>
    <t>{Name=Miniat Holdings LLC, attributes={type=Account, url=/services/data/v62.0/sobjects/Account/0014X00002K7vIoQAJ}, Industry=Consumer Goods, PS_Region_New__c=US Medium Enterprise DI}</t>
  </si>
  <si>
    <t>2026-09-30T13:24:43.000+0000</t>
  </si>
  <si>
    <t>{PS_Sub_Region__c=Diversified Industries LE CB RHT, SubRegion__c=US DI LE CB RHT Northeast, attributes={type=Account, url=/services/data/v62.0/sobjects/Account/0018000001JinQzAAJ}, PS_Region_New__c=US Large Enterprise DI &amp; Mexico, Industry=Restaurant &amp; Food Service, Name=Shake Shack Enterprises, LLC}</t>
  </si>
  <si>
    <t>Apparently you can only have one WP per account open so combining two interconnected risks here:
1) Customer ownership
2) Adaptive deployment
-----------------
Status overall: challenging situation from a people, platform and partnership situation:
People:
- Vivek Shukla, WD Product Owner (CHRO-2): resigned
- Anirudh Kumar, Head of Global HR Transformation &amp; Operation (Senior Director, CHRO-1): CZ decided to part ways with him
- Limited executive engagement
- Mitigation:
   - Cris, AE, talked to Harald Bader (CIO-2) to get his perspective. Harald has taken the technical and functional lead as interim manager
   - Markus, CB VP Sales, and Alfredo, MP, to meet Georg, CHRO, on 4 June 2025
------------------
Adaptive Planning deployment has been delayed due to wrong configuration, wrong data and lack of trust with implementation partner (Deloitte). 
Carl Zeiss (CZ) has asked WD for support to get things fixed and be able to go live asap. 
We need to get a consultant into their tenant and support with config, cant be done via WSP, rather Expert Assist SOW
Adaptive planning SNI for 5 years
Deloitte supporting implementation, but used inexperienced staff
Changed PMs x3 times
Customer is now not wanting to work with Deloitte 
Our consultant has access and has assessed that we need 5 days to ‘fix’ the config
Are we confident fixing config will give CZ the right outcomes (i.e. we are 100% on their requirements)
Situation improved in 2 ways:
Requirements have been documented by our consultant and he is confident in 5 days work
All project team at CZ have signed up for Adaptive training - completed last week.
So - consultant is now confident that this will resolve
5 hours advise - WSP AAE
3 days for config - build dashboards  and knowledge transfer
Scorecard inactive - CZ are saying that Deloitte have walked away
Deloitte are saying that they are reaching out to CZ and they aren’t coming back to them</t>
  </si>
  <si>
    <t>017VT0000GuQmC5YQK</t>
  </si>
  <si>
    <t>a0rVT00001DX0VuYAL</t>
  </si>
  <si>
    <t>Competitive Pressure</t>
  </si>
  <si>
    <t>0018000000NyTbTAAV</t>
  </si>
  <si>
    <t>2026-09-15T16:21:26.000+0000</t>
  </si>
  <si>
    <t>{attributes={url=/services/data/v62.0/sobjects/Account/0018000000NyTbTAAV, type=Account}, PS_Region_New__c=US Large Enterprise DI &amp; Mexico, Name=IRB Holding Corp., Industry=Restaurant &amp; Food Service}</t>
  </si>
  <si>
    <t>a3AVT000000FD8D2AW</t>
  </si>
  <si>
    <t>2026-09-30T13:25:08.000+0000</t>
  </si>
  <si>
    <t>0014X00002IwJnJQAV</t>
  </si>
  <si>
    <t>a0rVT00001DX6t4YAD</t>
  </si>
  <si>
    <t>Budha Inc</t>
  </si>
  <si>
    <t>Nadine Nahoul will be reaching out to Bryan to normarlize the sentiment and discussPhase 2 of the project that is yet to be planned.
Nadine will advise the internal team on the outcomes of her meeting with Bryan.</t>
  </si>
  <si>
    <t>017VT0000GcCcHAYQ0</t>
  </si>
  <si>
    <t>a0rVT00001DX0akYAD</t>
  </si>
  <si>
    <t>a0pVT00000Cq0LEYAZ</t>
  </si>
  <si>
    <t>0018000000NLix8AAD</t>
  </si>
  <si>
    <t>Executive Sponsor, Bryan Boles gave a low score on the Deployment survey and backed out of a panel invitation indicating that he is not satisfied with Workday Deployment.
The Internal team including Deliver Directors, SE, CBAE and CSM met on Feb. 11th to discuss the info from the customer received as a response to a marketing invitation, received on Feb. 5.  
Port Colborne team and other sponsors did not have any issues with the deployment.  Due to some inappropriate and sensitive comments made to a delivery team member, Bryan was circumvented by the Delivery Director for communications.  Since then Bryan has been promoted to CAO and is not the Exec Sponsor for Colborne.  Bryan's seems to be retaliatory to being cut off from deployment Communication.</t>
  </si>
  <si>
    <t>{Industry=Acute Hospital / Health System, PS_Region_New__c=US Healthcare, attributes={url=/services/data/v62.0/sobjects/Account/0018000000NLix8AAD, type=Account}, Name=ProHealth Care, Inc.}</t>
  </si>
  <si>
    <t>{Industry=Non-Profit, PS_Region_New__c=US SLED, Name=NC African Services Coalition, attributes={type=Account, url=/services/data/v62.0/sobjects/Account/001VT00000b2n2YYAQ}, PS_Sub_Region__c=Higher Education LE, SubRegion__c=US NFP NN East}</t>
  </si>
  <si>
    <t>2025-02-11T15:35:07.000+0000</t>
  </si>
  <si>
    <t>a3AVT000000FDcr2AG</t>
  </si>
  <si>
    <t>017VT0000GcCdAYYQ0</t>
  </si>
  <si>
    <t>a0rVT00001DX0alYAD</t>
  </si>
  <si>
    <t>0014X00002U4tmuQAB</t>
  </si>
  <si>
    <t>0018000000P0T4HAAV</t>
  </si>
  <si>
    <t>{Name=Plastipak Packaging, Inc., attributes={type=Account, url=/services/data/v62.0/sobjects/Account/0018000000P0T4HAAV}, PS_Region_New__c=US Large Enterprise DI &amp; Mexico, Industry=Materials}</t>
  </si>
  <si>
    <t>Buildertrend Solutions, Inc.</t>
  </si>
  <si>
    <t>Implementation with their partner went pretty poorly (processes are not where they are supposed to be, partner project manager up and left and dropped the ball, partner over complicated their processes and built out processes in a way that doesn't align to how they work, etc) and now they can't use it. Will likely need to rebuild things.</t>
  </si>
  <si>
    <t>017VT0000GcCcH1YQK</t>
  </si>
  <si>
    <t>a0pVT00000Cq117YAB</t>
  </si>
  <si>
    <t>a0rVT00001DX0amYAD</t>
  </si>
  <si>
    <t>0018000000PIVBjAAP</t>
  </si>
  <si>
    <t>2025-02-11T18:44:52.000+0000</t>
  </si>
  <si>
    <t>{PS_Region_New__c=US Large Enterprise DI &amp; Mexico, attributes={url=/services/data/v62.0/sobjects/Account/0018000000PIVBjAAP, type=Account}, Name=New Balance Athletics, Inc., Industry=Softlines}</t>
  </si>
  <si>
    <t>a3AVT000000Fp2D2AS</t>
  </si>
  <si>
    <t>{PS_Region_New__c=US Healthcare, attributes={url=/services/data/v62.0/sobjects/Account/0013000000HVlzOAAT, type=Account}, Name=AFLAC Incorporated, Industry=Health Insurance, PS_Sub_Region__c=Healthcare ME, SubRegion__c=US Healthcare Payor}</t>
  </si>
  <si>
    <t>0018000000P0iTHAAZ</t>
  </si>
  <si>
    <t>017VT0000GuQmCBYQ0</t>
  </si>
  <si>
    <t>a0rVT00001DX0dzYAD</t>
  </si>
  <si>
    <t>CS has invested in helping the customer get more value out of WD.  We were able to secure a pass to Rising in 2024 and have provided training credits to help the customer train their developing team.</t>
  </si>
  <si>
    <t>0018000000NyoYHAAZ</t>
  </si>
  <si>
    <t>a0rVT00001DX969YAD</t>
  </si>
  <si>
    <t>{Name=Pike Enterprises, LLC, attributes={type=Account, url=/services/data/v62.0/sobjects/Account/0018000000NyoYHAAZ}, Industry=Architecture, Engineering &amp; Construction, PS_Region_New__c=US Large Enterprise DI &amp; Mexico}</t>
  </si>
  <si>
    <t>Kirstin Brenneman (VP of HR) has returned 2 consecutive unfavorable surveys.  The unhappiness is based on the cost to maintain and support Workday. The renewal is coming up in December 2025 and could be contentious.</t>
  </si>
  <si>
    <t>Burlington Coat Factory Warehouse Corporation</t>
  </si>
  <si>
    <t>2025-02-20T21:32:46.000+0000</t>
  </si>
  <si>
    <t>017VT0000GuRVcGYQW</t>
  </si>
  <si>
    <t>a3AVT000000G1TB2A0</t>
  </si>
  <si>
    <t>a0rVT00001DX0e0YAD</t>
  </si>
  <si>
    <t>a0pVT00000Cq12jYAB</t>
  </si>
  <si>
    <t>0018000000zXjFJAA0</t>
  </si>
  <si>
    <t>0018000001MsQHAAA3</t>
  </si>
  <si>
    <t>{attributes={type=Account, url=/services/data/v62.0/sobjects/Account/0018000000zXjFJAA0}, PS_Region_New__c=US Medium Enterprise DI, Industry=Hardlines, Name=M S International, Inc.}</t>
  </si>
  <si>
    <t>{SubRegion__c=US Healthcare Payor, PS_Sub_Region__c=Healthcare ME, Name=AFLAC Incorporated, attributes={url=/services/data/v62.0/sobjects/Account/0013000000HVlzOAAT, type=Account}, PS_Region_New__c=US Healthcare, Industry=Health Insurance}</t>
  </si>
  <si>
    <t>017VT0000GcCcK4YQK</t>
  </si>
  <si>
    <t>a0rVT00001DX0e1YAD</t>
  </si>
  <si>
    <t>a0rVT00001DX9CbYAL</t>
  </si>
  <si>
    <t>Sales quarterly check in took place 1/22/2025. The customer expressed a deep dissatisfaction with their Workday experience. They are still picking up the pieces from their initial implementation. They were disappointed with the post go live support/accountability and have concerns about Phase 2 resulting in a similar sentiment. The team has asked for escalation on this matter. In addition to uncertainty on their phase 2, the team misunderstood the Expert Assist offering. They are looking for immediate support vs waiting for the staffing turnaround with our services. A follow up call was set up to review the Expert Assist, Support SLAs and partners opportunities but the team quickly stopped the conversation expressing the partnership with Workday Professional Services needs to be addressed before reviewing additional support. Director of Engagement Management is aligned with the team and working to schedule a call (as of 2/24/2025). 
CS Next Steps: Stay in touch with Elizabeth (CBAE) and Erin (Director, Engagement Management) on progress. Potentially step back in when implementation plans are resolved and the team is open to reengaging on AMS partners.</t>
  </si>
  <si>
    <t>0018000001JgewWAAR</t>
  </si>
  <si>
    <t>Burris Logistics</t>
  </si>
  <si>
    <t>{attributes={url=/services/data/v62.0/sobjects/Account/0018000001JgewWAAR, type=Account}, PS_Region_New__c=US Large Enterprise DI &amp; Mexico, Industry=Media &amp; Entertainment, Name=Sony Interactive Entertainment LLC}</t>
  </si>
  <si>
    <t>Ongoing issues with implementation, concerns about Phase 2 and dissatisfied with Expert Assist turnaround times.</t>
  </si>
  <si>
    <t>2025-02-24T18:44:58.000+0000</t>
  </si>
  <si>
    <t>017VT0000GuREqLYQW</t>
  </si>
  <si>
    <t>a3AVT000000GFzB2AW</t>
  </si>
  <si>
    <t>a0rVT00001DX0faYAD</t>
  </si>
  <si>
    <t>a0pVT00000Cq14LYAR</t>
  </si>
  <si>
    <t>0013000000JrVEFAA3</t>
  </si>
  <si>
    <t>001800000121HAWAA2</t>
  </si>
  <si>
    <t>{Industry=Insurance, Name=Sedgwick Claims Management Services, Inc., PS_Region_New__c=US FSI, attributes={type=Account, url=/services/data/v62.0/sobjects/Account/0013000000JrVEFAA3}}</t>
  </si>
  <si>
    <t>{attributes={url=/services/data/v62.0/sobjects/Account/0013000000HVlzOAAT, type=Account}, PS_Region_New__c=US Healthcare, SubRegion__c=US Healthcare Payor, Industry=Health Insurance, Name=AFLAC Incorporated, PS_Sub_Region__c=Healthcare ME}</t>
  </si>
  <si>
    <t>2026-09-30T13:24:20.000+0000</t>
  </si>
  <si>
    <t>2/26/25 - DN: CS and Sales attended a session between Auberge and Advise Now. As we're both new in supporting Auberge, this session facilitated introductions and provided us with insights into their roadmap and current priorities with Advise Now. Concurrently, CS received an email from Stephen Wong, Auberge's newly appointed leader of hotel finance operations, requesting a discussion with Customer Success to address remaining implementation items and explore potential opportunities. 
Action Items:
1. CS is coordinating a call with Stephen to exchange introductions, partner on his request and develop a plan to help support his current priorities.</t>
  </si>
  <si>
    <t>017VT0000GcCcGCYQ0</t>
  </si>
  <si>
    <t>a0rVT00001DXG4PYAX</t>
  </si>
  <si>
    <t>a0rVT00001DX0m2YAD</t>
  </si>
  <si>
    <t>BW NHHC Holdco, Inc. DBA Elara Caring</t>
  </si>
  <si>
    <t>001VT00000b2Se6YAE</t>
  </si>
  <si>
    <t>{attributes={url=/services/data/v62.0/sobjects/Account/001VT00000b2Se6YAE, type=Account}, Industry=Oil &amp; Gas, PS_Region_New__c=Corporate, Name=Metlen}</t>
  </si>
  <si>
    <t>Auberge, a long-standing Adaptive Planning customer since 2017, recently expanded their Workday footprint by purchasing and deploying Financials and Peakon in Summer 2024. Their Financials implementation, supported by Kainos on an accelerated timeline, has presented significant challenges. Auberge reports feeling rushed during the configuration process, leading to a system that doesn't adequately reflect their unique organizational structure. This was compounded by their limited initial familiarity with Workday capabilities, hindering their ability to ask strategic questions during the implementation.
To address these post-go-live issues, Auberge has engaged a new partner, Advise Now, for remediation. While the initial implementation experience has created engagement challenges for Sales and Customer Success, Auberge has recently expressed a renewed willingness to collaborate with Workday to resolve outstanding implementation items and explore potential opportunities.
Furthermore, Auberge has experienced connectivity issues with Peakon, a less common product in conjunction with Financials. To address this, Workday Services provided a complimentary 24-hour Statement of Work (SOW) to optimize their Peakon processes.
Our primary focus is to partner with Auberge to optimize their existing Workday investments and rebuild trust. This is particularly crucial as they have recently released a formal HCM RFP, presenting a significant opportunity for Workday to consolidate their disparate systems and expand our partnership.</t>
  </si>
  <si>
    <t>Application Knowledge;Partner Management</t>
  </si>
  <si>
    <t>017VT0000GcCdBWYQ0</t>
  </si>
  <si>
    <t>2025-02-26T22:59:24.000+0000</t>
  </si>
  <si>
    <t>a0rVT00001DX0sZYAT</t>
  </si>
  <si>
    <t>0013000000KDc5nAAD</t>
  </si>
  <si>
    <t>a3AVT000000GSWb2AO</t>
  </si>
  <si>
    <t>{attributes={type=Account, url=/services/data/v62.0/sobjects/Account/0013000000KDc5nAAD}, Name=Sun Life Assurance Company of Canada, Industry=Insurance, PS_Region_New__c=Canada}</t>
  </si>
  <si>
    <t>a0pVT00000Cq4QPYAZ</t>
  </si>
  <si>
    <t>0013000000J0qi7AAB</t>
  </si>
  <si>
    <t>017VT0000GcCd9UYQS</t>
  </si>
  <si>
    <t>a0rVT00001DX0uOYAT</t>
  </si>
  <si>
    <t>{PS_Region_New__c=US Healthcare, PS_Sub_Region__c=Healthcare LE, attributes={type=Account, url=/services/data/v62.0/sobjects/Account/0013000000KLc3YAAT}, Name=American Senior Communities, Industry=Post Acute, SubRegion__c=US Healthcare LE NN Central}</t>
  </si>
  <si>
    <t>0011B00002CX2r9QAD</t>
  </si>
  <si>
    <t>{Name=Now Health Group, Inc., Industry=Consumer Goods, attributes={type=Account, url=/services/data/v62.0/sobjects/Account/0011B00002CX2r9QAD}, PS_Region_New__c=US Medium Enterprise DI}</t>
  </si>
  <si>
    <t>C.H. Guenther &amp; Son LLC</t>
  </si>
  <si>
    <t>017VT0000GuQzEMYQ0</t>
  </si>
  <si>
    <t>a0rVT00001DX0vrYAD</t>
  </si>
  <si>
    <t>0013000000JNYmmAAH</t>
  </si>
  <si>
    <t>{attributes={url=/services/data/v62.0/sobjects/Account/0013000000JNYmmAAH, type=Account}, PS_Region_New__c=US Federal, Name=Lockheed Martin Corporation, Industry=High Technology}</t>
  </si>
  <si>
    <t>017VT0000GuRD2nYQG</t>
  </si>
  <si>
    <t>a0rVT00001DX0xMYAT</t>
  </si>
  <si>
    <t>0014X00002luL4DQAU</t>
  </si>
  <si>
    <t>{Name=The Redland Company, attributes={type=Account, url=/services/data/v62.0/sobjects/Account/0014X00002luL4DQAU}, PS_Region_New__c=US Medium Enterprise DI, Industry=Architecture, Engineering &amp; Construction}</t>
  </si>
  <si>
    <t>a0pVT00000Cpx2NYAR</t>
  </si>
  <si>
    <t>Hi Pete and Bobby,
Here’s the latest from this week’s activities with Mattel:
Strategic Alignment &amp; Mini-SOW Approach
•	Pete and I connected in person earlier this week and aligned on the phased “mini-SOW” strategy. This approach continues to resonate given Mattel’s lean team, concerns about bandwidth, and desire to progress in digestible work packets.
•	During our call with Larry, he inquired about a potential investment. I deferred that conversation until the end of the engagement to ensure alignment and value realization first. Pete, thank you for connecting Wednesday and glad we agree this topic may be revisited following Phase 2.
AVR &amp; WSP Review with Yvette and Tony
•	Conducted an Adoption &amp; Value Review and walked through the Workday Success Plan. Key theme: once Mattel reaches operational stability, they want to ensure they can sustain rolling adoption and avoid technical debt.
•	Cost sensitivity remains high, so we emphasized Accelerate plan benefits such as:
o	Feature Release Reviews
o	Learn on Demand
o	Adoption Toolkit
o	Certification courses
•	I also introduced the Feature Adoption Assessment as a structured way to guide prioritization.
Next Steps
•	The team is addressing follow-up requests from Mattel (screenshots, report definitions, etc.) ahead of the August 28 Phase 1 closure session.
•	Refining our prioritization checklist inputs and preparing closure and commitments
•	Continuing groundwork for Phase 2 (Reporting/Prism &amp; Compensation) and sequencing into Phase 3 (HCM), pending any changes in priority from Mattel. 
Thank you again for your support as we position Mattel for continued adoption and phased success. Please let me know if you’d like me to highlight anything specific with the customer before the Phase 1 wrap-up.
Best,</t>
  </si>
  <si>
    <t>2026-09-30T13:24:45.000+0000</t>
  </si>
  <si>
    <t>017VT0000GuQ8rxYQC</t>
  </si>
  <si>
    <t>The leadership wants to understand if they are using Workday to its full capability. Yvette Veal (solution owner and a Workday champion) wants to partner with Workday to demonstrate the value and progress to date to her leadership - CHRO Karen Ancira and VP of People Denisse Cazu.
There are also SKUs at risk due to changing priorities and resource constraints. Product SKU Risk Payroll ($160k ACV) and Time Tracking ($47k).Payroll and TT are confirmed to be dropped due to Mattel's decision to outsource payroll. 
Product SKU Risk Learning ($97k ACV) and Prism ($161k ACV). For Learning, they have limited funds to deploy and it is not part of their current roadmap. Prism shows as deployed but it really isn't in use.</t>
  </si>
  <si>
    <t>a0rVT00001DX0xNYAT</t>
  </si>
  <si>
    <t>a0rVT00001DX6wIYAT</t>
  </si>
  <si>
    <t>{PS_Region_New__c=US Large Enterprise DI &amp; Mexico, attributes={url=/services/data/v62.0/sobjects/Account/0013000000KLfNeAAL, type=Account}, PS_Sub_Region__c=Diversified Industries LE CB RHT, SubRegion__c=US DI LE CB RHT Northeast, Name=First Student, Inc., Industry=Transit Systems}</t>
  </si>
  <si>
    <t>2025-08-23T00:10:46.000+0000</t>
  </si>
  <si>
    <t>0018000001LcIpQAAV</t>
  </si>
  <si>
    <t>C&amp;S Wholesale Grocers, LLC</t>
  </si>
  <si>
    <t>{Industry=Restaurant &amp; Food Service, PS_Region_New__c=US Medium Enterprise DI, attributes={url=/services/data/v62.0/sobjects/Account/0018000001LcIpQAAV, type=Account}, Name=SSP America, Inc.}</t>
  </si>
  <si>
    <t>a3AVT000000GV9V2AW</t>
  </si>
  <si>
    <t>0011B00002Ak2VuQAJ</t>
  </si>
  <si>
    <t>2026-09-30T13:25:46.000+0000</t>
  </si>
  <si>
    <t>U.S. Senate Sergeant of Arms has terminated for convenience their contract with w/Workday via resellers Accenture Federal and Meridian Partners.</t>
  </si>
  <si>
    <t>017VT0000GcCcMFYQ0</t>
  </si>
  <si>
    <t>a0rVT00001DX0xOYAT</t>
  </si>
  <si>
    <t>001VT00000b2Ry6YAE</t>
  </si>
  <si>
    <t>{Industry=Restaurant &amp; Food Service, Name=Tasty King LLC, PS_Region_New__c=US Medium Enterprise DI, attributes={url=/services/data/v62.0/sobjects/Account/001VT00000b2Ry6YAE, type=Account}}</t>
  </si>
  <si>
    <t>a0rVT00001DX6UrYAL</t>
  </si>
  <si>
    <t>Cabify Matriz S.L.U.</t>
  </si>
  <si>
    <t>On 2/28/2025 Greg Doman received an email from Wil Martinez @ Meridian Partners to constitute a formal notice that Meridian Partners, LLC (“Meridian”) has been directed by Accenture Federal Services LLC (“Prime”), that the United States Senate Office of the Sergeant at Arms (“Customer”), has terminated the Task Order supporting the Human Capital Management Program.  This termination for convenience is in accordance with the USS Task Order Clause, shown below, and will apply to all Workday software and services that support the Customer: Agreement numbers 00444223.0, 00492067.0, 00444733.0 and 444783.
Termination for Convenience. The SAA reserves the right to terminate this Order, or any part hereof, for its sole convenience. In the event of such termination, the Contractor shall immediately stop all work hereunder and shall immediately cause any and all of its suppliers and subcontractors to cease work. Subject to the terms of this Order, the SAA shall be liable only for payment in accordance with the payment provisions of this Order for products delivered or services rendered prior to the effective date of termination.
Consequently,  Workday shall immediately stop all work under the Agreement numbers listed above. Final payments and settlements will be processed for services rendered through the termination date of February 26, 2025.  We appreciate the work Workday has performed on this effort.  Workday should prepare its Termination Settlement Proposal for any services, subscription licenses, and training prior to date of termination and provide to Meridian NLT March 9th, 2025, COB. 
Please respond to this email with an acknowledgement of the termination for convenience and confirmation that no further work will be performed under the listed Agreement numbers.  If you have questions relating to this matter, please let me know.</t>
  </si>
  <si>
    <t>a0pVT00000Cq0l1YAB</t>
  </si>
  <si>
    <t>Iberia ME</t>
  </si>
  <si>
    <t>2025-04-29T16:01:59.000+0000</t>
  </si>
  <si>
    <t>017VT0000GuRRKAYQ4</t>
  </si>
  <si>
    <t>a3AVT000000IC5x2AG</t>
  </si>
  <si>
    <t>{PS_Sub_Region__c=Diversified Industries LE CB RHT, Name=First Student, Inc., attributes={url=/services/data/v62.0/sobjects/Account/0013000000KLfNeAAL, type=Account}, PS_Region_New__c=US Large Enterprise DI &amp; Mexico, SubRegion__c=US DI LE CB RHT Northeast, Industry=Transit Systems}</t>
  </si>
  <si>
    <t>a0rVT00001DX170YAD</t>
  </si>
  <si>
    <t>0018000001EfC7EAAV</t>
  </si>
  <si>
    <t>0013000000JLvJwAAL</t>
  </si>
  <si>
    <t>{Name=Redner's Markets, Inc, PS_Region_New__c=US Large Enterprise DI &amp; Mexico, Industry=Food &amp; Drug, attributes={url=/services/data/v62.0/sobjects/Account/0013000000JLvJwAAL, type=Account}}</t>
  </si>
  <si>
    <t>a0rVT00001DX6zVYAT</t>
  </si>
  <si>
    <t>2026-09-30T13:24:16.000+0000</t>
  </si>
  <si>
    <t>Cadence Education, LLC</t>
  </si>
  <si>
    <t>a0pVT00000Cq2TSYAZ</t>
  </si>
  <si>
    <t>017VT0000GcCcHMYQ0</t>
  </si>
  <si>
    <t>Trend (T):
Valet Living is in a Critical Evaluation Phase, with a short 30-day decision window to determine whether to optimize Workday, bolt on additional tools, or move to an alternative platform. While fatigue from manual processes and fragmented tools is high, the team remains engaged and cautiously open to solutions—indicating a possible shift from unfavorable-trending-neutral, if fast, targeted value is delivered.
Update (U):
In the latest session, frustration with administrative overhead and tool sprawl was pronounced. The recruiting process is weighed down by workarounds and lacks automation, visibility, and consistency. Though licensed for Candidate Engagement and showing interest in Workday Learning, actual value realization is low. Stakeholder dynamics are complex: Erica (HR Ops) is the most supportive but appears overwhelmed and spread thin. Antonio (TA) is engaged but strategically neutral—open to solutions, but not yet emotionally or politically committed to Workday. Rob (CIO) is a clear detractor, skeptical of the platform’s ability to deliver needed change at scale.
Risk (R):
Renewal Risk (High): Decision due in 30 days; unresolved pain and internal skepticism raise the likelihood of switching to high-volume recruiting alternatives (Paradox, Fountain, etc.).
Operational Risk: Manual processes for scheduling, SMS, and onboarding are not sustainable at scale—creating compliance gaps and recruiter burnout.
Sentiment Risk: With Rob actively unconvinced and Antonio not fully leaning in, the success of the renewal hinges almost entirely on winning Erica over with real deliverables.
Perception Risk: There's a narrative that Workday has had “years” to fix this, which undercuts confidence in current proposals unless they are clearly differentiated.
Next Steps (N):
Targeted Demo + Roadmap Review: Schedule and tailor the upcoming session to demonstrate automation, compliance support, and efficiency gains—particularly focused on Erica’s pain points and Antonio’s KPI lens.
Quick Win Deliverables: Identify and prioritize 2–3 rapid-deploy solutions that can be configured immediately to show movement (e.g., self-scheduling, SMS templates, questionnaire routing).
Stakeholder Strategy: Reframe engagement strategy—support Erica with clarity and focus (possibly a 1:1 working session), neutralize Rob’s concerns through tech credibility or partner expertise, and align Antonio with KPI-based outcomes.
Candidate Engagement Activation: Leverage licensed but unused Candidate Engagement module to show tangible progress in nurturing and conversion metrics.
Workday Learning Pilot: Initiate a scoped demo or sandbox pilot to illustrate how Learning can replace Demio and streamline onboarding.
Scheduling Integration Option: Explore Radar or partner scheduling solutions to eliminate Calendly and strengthen recruiter workflow inside Workday.</t>
  </si>
  <si>
    <t>0014X00002luJLpQAM</t>
  </si>
  <si>
    <t>{Industry=Consumer Goods, attributes={url=/services/data/v62.0/sobjects/Account/0013000000Ke3u0AAB, type=Account}, PS_Sub_Region__c=ME CB MFG, SubRegion__c=US DI ME CB MFG South, Name=ABC Liquors, Inc., PS_Region_New__c=US Medium Enterprise DI}</t>
  </si>
  <si>
    <t>{Industry=Professional Services, PS_Region_New__c=US Medium Enterprise DI, Name=BELFOR Franchise Group, attributes={url=/services/data/v62.0/sobjects/Account/0014X00002luJLpQAM, type=Account}}</t>
  </si>
  <si>
    <t>Valet Living has experienced ongoing challenges in maximizing the value of Workday, particularly around high-volume recruiting and HR engagement. Despite strong executive-level advocacy from the CIO—who highlights successes in payroll—the HR leadership, led by the CHRO, has repeatedly questioned Workday’s ability to meet their complex recruiting needs and has advocated for alternatives (e.g., ADP). Adding to this tension, Valet Living’s previous Workday team experienced 100% turnover since go-live, creating knowledge gaps and adoption struggles.
However, a newly involved investment firm favors Workday, and key financial stakeholders have shown interest in preserving the existing platform. Recent performance metrics reveal good support outcomes (short resolution times, minimal Severity 1 incidents) but extremely low engagement with self-service resources. A renewed focus on reconfiguration and training could help meet the high-volume recruiting demands, though buy-in from HR leadership remains critical to solidify Workday’s long-term viability at Valet Living.</t>
  </si>
  <si>
    <t>017VT0000GcCcKJYQ0</t>
  </si>
  <si>
    <t>a0rVT00001DX1F4YAL</t>
  </si>
  <si>
    <t>001VT00000HCushYAD</t>
  </si>
  <si>
    <t>{attributes={url=/services/data/v62.0/sobjects/Account/001VT00000HCushYAD, type=Account}, PS_Region_New__c=Canada, Industry=Professional Services, Name=Pattison Outdoor}</t>
  </si>
  <si>
    <t>a0rVT00001DXEQoYAP</t>
  </si>
  <si>
    <t>HR Disengagement &amp; Lack of Buy-In
- The CHRO and recruiting leadership are skeptical that Workday Recruiting can handle the company’s high-volume, part-time hiring needs.
- Attempts to engage HR in solution discussions have been difficult, with the CHRO actively exploring alternative vendors.
Leadership Turnover &amp; Knowledge Gaps
- Valet Living’s Workday team turned over completely since go-live, leading to lost institutional knowledge.
- Repeated reviews and recommendations have not been fully implemented, and some Workday functionality remains underused or misunderstood.
Adoption &amp; Engagement Deficits
- Recent health metrics show very low training completion rates (zero courses completed) and minimal Workday Community usage (about 10% monthly active users).
- Advanced Compensation Management and other modules are not activated, suggesting untapped opportunities to improve ROI.
Recruiting Configuration Concerns
- The recruiting leader remains unconvinced that current Position Management settings align with rapid, high-volume hiring needs.
- Prior “review &amp; recommend” efforts provided partial solutions, but core pain points (e.g., candidate flows, repeated logins, time-to-hire) persist.
Threat of Non-Renewal &amp; Competing Offers
- Persistent dissatisfaction has led to serious consideration of alternative providers such as Oracle for HCM and ADP for HR/payroll.
- Although the CIO favors Workday, escalating subscription costs and a perceived lack of value have fueled the CEO and CHRO’s doubts.</t>
  </si>
  <si>
    <t>Application Knowledge;Deployments;Product Issues/Gaps</t>
  </si>
  <si>
    <t>Canada Goose Inc.</t>
  </si>
  <si>
    <t>2025-04-09T18:46:34.000+0000</t>
  </si>
  <si>
    <t>a3AVT000000ITLJ2A4</t>
  </si>
  <si>
    <t>017VT0000GcCd8lYQC</t>
  </si>
  <si>
    <t>a0pVT00000CqAKZYA3</t>
  </si>
  <si>
    <t>001VT00000b2kO2YAI</t>
  </si>
  <si>
    <t>{PS_Region_New__c=US Medium Enterprise DI, attributes={url=/services/data/v62.0/sobjects/Account/001VT00000b2kO2YAI, type=Account}, Industry=Professional Services, Name=Big Peach Car Wash}</t>
  </si>
  <si>
    <t>0018000000Qbj5iAAB</t>
  </si>
  <si>
    <t>{PS_Region_New__c=US Medium Enterprise DI, SubRegion__c=US DI Commercial NN Northeast, attributes={type=Account, url=/services/data/v62.0/sobjects/Account/001VT00000b2mhbYAA}, Industry=Restaurant &amp; Food Service, Name=Fuel America LLC, PS_Sub_Region__c=ME NN RHT East}</t>
  </si>
  <si>
    <t>11/24/25: EP - no new update. Customer not renewing. Moving plan to Cheryl Johnston.</t>
  </si>
  <si>
    <t>a0rVT00001DXDCzYAP</t>
  </si>
  <si>
    <t>017VT0000GuRRK1YQO</t>
  </si>
  <si>
    <t>Challenge:
Sacramento Kings are full platform + Adaptive. They have struggled with the ownership of Workday for years, despite efforts to get them on the right support model, resources, WSP, etc. 
Background:
In 2024, Workday scaled back our partnership with the Kings and Paycom began sponsoring them which created external market pressure for the Kings to move onto Paycom. 
Current State:
As of March 19, 2025, we were made aware that the Kings have signed a contract with Paycom and are offboarding with Workday for HCM and Payroll. They will be live with Paycom by the end of 2025. 
There has not been talks of what they are doing for Financials - staying with Workday or leaving - but the Finance team has been unresponsive to Workday. 
Next Steps:
- Connect with Finance team to see if we can save Financials at the Kings</t>
  </si>
  <si>
    <t>Canfor Corporation</t>
  </si>
  <si>
    <t>a0rVT00001DX1PrYAL</t>
  </si>
  <si>
    <t>2025-11-24T22:06:27.000+0000</t>
  </si>
  <si>
    <t>0013000000JMDr5AAH</t>
  </si>
  <si>
    <t>a3AVT000000IZdd2AG</t>
  </si>
  <si>
    <t>{Name=QVC Group, Inc., Industry=Softlines, attributes={url=/services/data/v62.0/sobjects/Account/0013000000JMDr5AAH, type=Account}, PS_Region_New__c=US Large Enterprise DI &amp; Mexico}</t>
  </si>
  <si>
    <t>0018000001WO7tAAAT</t>
  </si>
  <si>
    <t>3/21/25 BH: Working with RSD until CBAE returns from leave. Submitted Value Management Services Request Form</t>
  </si>
  <si>
    <t>a0pVT00000Cq9WZYAZ</t>
  </si>
  <si>
    <t>017VT0000GuRTyNYQW</t>
  </si>
  <si>
    <t>Merging with Trustwave who uses Dayforce for HCM. 
Trustwave's Executive Leadership Team is the overall operating influence under the merger.
Cybereason plans to sign a 1-year renewal in June 2025 and drop SNI SKUs (REC &amp; LRN), then fully transition to Dayforce in 2026.
Gainsight Adoption/Success Plan: https://workday.lightning.force.com/one/one.app#eyJjb21wb25lbnREZWYiOiJvbmU6YWxvaGFQYWdlIiwiYXR0cmlidXRlcyI6eyJhZGRyZXNzIjoiaHR0cHM6Ly93b3JrZGF5LS1qYmN4bS52Zi5mb3JjZS5jb20vYXBleC9HYWluc2lnaHROWFQjY3VzdG9tZXJzdWNjZXNzMzYwJTNGY2lkJTNEMVAwMkhCSzQ1UVRHSFEyN1Q0WVRXUVJYUlc1SEE0WjJBSUxVIn0sInN0YXRlIjp7fX0%3D</t>
  </si>
  <si>
    <t>a0rVT00001DX1QMYA1</t>
  </si>
  <si>
    <t>2025-03-29T12:48:35.000+0000</t>
  </si>
  <si>
    <t>0018000000NLisGAAT</t>
  </si>
  <si>
    <t>a3AVT000000IaJZ2A0</t>
  </si>
  <si>
    <t>{Industry=Restaurant &amp; Food Service, PS_Sub_Region__c=ME NN RHT East, Name=Fuel America LLC, SubRegion__c=US DI Commercial NN Northeast, PS_Region_New__c=US Medium Enterprise DI, attributes={url=/services/data/v62.0/sobjects/Account/001VT00000b2mhbYAA, type=Account}}</t>
  </si>
  <si>
    <t>{PS_Region_New__c=US Healthcare, Name=Smile Brands, attributes={type=Account, url=/services/data/v62.0/sobjects/Account/0018000000NLisGAAT}, Industry=Ambulatory}</t>
  </si>
  <si>
    <t>0018000000wCgHEAA0</t>
  </si>
  <si>
    <t>Trend: Neutral
Update: Reached out to customer for initial introduction
Risk: None at this time.
Nest Step: Schedule formal customer introduction and AVR for late April/early May 2025</t>
  </si>
  <si>
    <t>2026-09-30T13:25:06.000+0000</t>
  </si>
  <si>
    <t>Customer has experienced employee turnover/ownership issues since account inception. Plan to track until we move them to favorable.</t>
  </si>
  <si>
    <t>017VT0000GuRU3UYQW</t>
  </si>
  <si>
    <t>a0rVT00001DX1QNYA1</t>
  </si>
  <si>
    <t>2025-03-21T22:16:05.000+0000</t>
  </si>
  <si>
    <t>a3AVT000000IkkL2AS</t>
  </si>
  <si>
    <t>0018000000qXhlfAAC</t>
  </si>
  <si>
    <t>{Industry=Land and Rail Transportation and Freight, Name=Southeastern Freight Lines, LLC, attributes={type=Account, url=/services/data/v62.0/sobjects/Account/0018000000qXhlfAAC}, PS_Region_New__c=US Large Enterprise DI &amp; Mexico}</t>
  </si>
  <si>
    <t>0018000001Dy6ljAAB</t>
  </si>
  <si>
    <t>2026-09-30T13:25:21.000+0000</t>
  </si>
  <si>
    <t>3/25/25 JB: Per Cyril Lopez, interim AVP Finance, " we suffered major staff disruption soon after we signed up and have not even opened the application. John tried to assist us get a deferral of fees but Workday refused. At this time we have no timeline to start the project and will not renew the licence subscription automatically. Will decide at some later date.</t>
  </si>
  <si>
    <t>a0pVT00000Cpn7rYAB</t>
  </si>
  <si>
    <t>2025-03-25T19:23:33.000+0000</t>
  </si>
  <si>
    <t>017VT0000GcCdCIYQ0</t>
  </si>
  <si>
    <t>Capital Lumber Company</t>
  </si>
  <si>
    <t>a3AVT000000IqrN2AS</t>
  </si>
  <si>
    <t>0014X00002MEF84QAH</t>
  </si>
  <si>
    <t>{PS_Region_New__c=US Medium Enterprise DI, attributes={url=/services/data/v62.0/sobjects/Account/001VT00000b2mhbYAA, type=Account}, Name=Fuel America LLC, SubRegion__c=US DI Commercial NN Northeast, PS_Sub_Region__c=ME NN RHT East, Industry=Restaurant &amp; Food Service}</t>
  </si>
  <si>
    <t>0018000000eucN7AAI</t>
  </si>
  <si>
    <t>10/27/25- JW - customer still hasn't signed extension to offboard, and the customer hasn't opened an offboarding case yet. emailed main point of contact again to open offboarding case.</t>
  </si>
  <si>
    <t>{Name=Brink's Company, The, attributes={url=/services/data/v62.0/sobjects/Account/0018000000eucN7AAI, type=Account}, Industry=Business Services, PS_Region_New__c=US Large Enterprise DI &amp; Mexico}</t>
  </si>
  <si>
    <t>This was a 1 year WSP contract. Despite the previous CSM having monthly calls and sending weekly emails to encourage WSP usage, they haven’t used any of the features, even AAE. I met with them on 3/5 where they were still hesitant to use AAE due to “bandwidth” even though myself &amp; the previous CSM were on the call encouraging them to use this to help with bandwidth. 
On this call the customer shared WD in general is at risk, not just WSP. They are going to be evaluating other systems and this is a “prove it or lose it” year for WD. The good news is that we got the main POC to submit a functional review and there is now an EM assigned and should be kicking off soon. They need help showing the value of WD, so I proposed an AVR where we can walk through adoption analytics &amp; the FA scorecard. I’m trying to get this scheduled in April. 
If they continue with WD, there is still a WSP risk due to cost &amp; lack of utilization with it being a 1-year contract. However, this is a high priority for me to see what we can do here and if there’s any possibility of saving it.</t>
  </si>
  <si>
    <t>017VT0000GuRSssYQG</t>
  </si>
  <si>
    <t>a0rVT00001DX1VCYA1</t>
  </si>
  <si>
    <t>2025-10-27T19:38:54.000+0000</t>
  </si>
  <si>
    <t>a3AVT000000Iqub2AC</t>
  </si>
  <si>
    <t>0018000001BNNGVAA5</t>
  </si>
  <si>
    <t>{attributes={url=/services/data/v62.0/sobjects/Account/0018000001BNNGVAA5, type=Account}, Industry=Post Acute, Name=Saint Elizabeth Health Care, PS_Region_New__c=Canada}</t>
  </si>
  <si>
    <t>0018000000VIkPqAAL</t>
  </si>
  <si>
    <t>a0rVT00001DX7VlYAL</t>
  </si>
  <si>
    <t>2026-09-30T13:25:40.000+0000</t>
  </si>
  <si>
    <t>Captain D's, LLC</t>
  </si>
  <si>
    <t>WSP at Risk:
There are 2 issues: 1) they use WD as a filing cabinet (low engagement, feature adoption). Want to work together to find a way to get more use and value out of WD. Headcount to rise year over year. Don't use WD strategically. 2) sentiment issue: having audit issues (process documentation, etc.) auditors are asking, and customer wants to know on this as well - lack of explanation around processes, etc. 
Since I am new to this account, i'm trying to meet with customer - have reached out several times with no response</t>
  </si>
  <si>
    <t>a0pVT00000CqBQHYA3</t>
  </si>
  <si>
    <t>2025-03-26T22:14:29.000+0000</t>
  </si>
  <si>
    <t>017VT0000GuPX0AYQW</t>
  </si>
  <si>
    <t>a3AVT000000Iy492AC</t>
  </si>
  <si>
    <t>a0rVT00001DX1dGYAT</t>
  </si>
  <si>
    <t>0014X00002OsjY5QAJ</t>
  </si>
  <si>
    <t>0018000000kuQlCAAU</t>
  </si>
  <si>
    <t>{PS_Sub_Region__c=ME NN RHT East, SubRegion__c=US DI Commercial NN Northeast, Industry=Restaurant &amp; Food Service, Name=Fuel America LLC, attributes={url=/services/data/v62.0/sobjects/Account/001VT00000b2mhbYAA, type=Account}, PS_Region_New__c=US Medium Enterprise DI}</t>
  </si>
  <si>
    <t>Confirmed with Andrew Nguyen, WD CSM that Jake Thornton, former VP Controller at Parachute informed him that they would not renew. They are in collections with WD. Customer has gone through various netsuite integration issues during 2023, ultimately Workday has done everything we could to resolve the issue but customer has made it clear they did not want to pay their active invoice. Currently customer is dealing with AR to resolve balance due but customer has made it clear they will be moving of the platform.</t>
  </si>
  <si>
    <t>{PS_Region_New__c=US SLED, Name=Washington Elementary District, Industry=Education (K-12), attributes={url=/services/data/v62.0/sobjects/Account/0018000000kuQlCAAU, type=Account}}</t>
  </si>
  <si>
    <t>2025-03-27T15:55:39.000+0000</t>
  </si>
  <si>
    <t>a3AVT000000J7sD2AS</t>
  </si>
  <si>
    <t>0018000001B0086AAB</t>
  </si>
  <si>
    <t>017VT0000GuRYbfYQG</t>
  </si>
  <si>
    <t>a0rVT00001DX1dHYAT</t>
  </si>
  <si>
    <t>Customer told TopBloc they are going to RFP.
Feature adoption scorecard shows very low feature utilization.
CBAE is planning on-site meeting in Wilmington, NC, on 4/23/25. CSM will call in to the meeting to present RPU.
Engaged with Value Management.
Gainsight Adoption/Success Plan: https://workday.lightning.force.com/one/one.app#eyJjb21wb25lbnREZWYiOiJvbmU6YWxvaGFQYWdlIiwiYXR0cmlidXRlcyI6eyJhZGRyZXNzIjoiaHR0cHM6Ly93b3JrZGF5LS1qYmN4bS52Zi5mb3JjZS5jb20vYXBleC9HYWluc2lnaHROWFQjY3VzdG9tZXJzdWNjZXNzMzYwJTNGY2lkJTNEMVAwMkhCSzQ1UVRHSFEyN1Q0NU5BQVIyVEFQQlIyQ0lPMTI4In0sInN0YXRlIjp7fX0%3D</t>
  </si>
  <si>
    <t>a0rVT00001DWz1zYAD</t>
  </si>
  <si>
    <t>0018000001WMH5uAAH</t>
  </si>
  <si>
    <t>Car Spa, Inc.</t>
  </si>
  <si>
    <t>2025-03-29T13:55:29.000+0000</t>
  </si>
  <si>
    <t>{attributes={type=Account, url=/services/data/v62.0/sobjects/Account/0018000001WMH5uAAH}, PS_Region_New__c=US Healthcare, Industry=Ambulatory, Name=Vista Community Clinic}</t>
  </si>
  <si>
    <t>a3AVT000000JRxN2AW</t>
  </si>
  <si>
    <t>a0pVT00000CpmDPYAZ</t>
  </si>
  <si>
    <t>0011B00002CXUCgQAP</t>
  </si>
  <si>
    <t>Customer not reacting to CSM outreach
No model changes in the past 12 months. Very low usage of Workday Adaptive (1 user login).</t>
  </si>
  <si>
    <t>017VT0000GcCcJ6YQK</t>
  </si>
  <si>
    <t>a0rVT00001DX1gZYAT</t>
  </si>
  <si>
    <t>{Industry=Materials, attributes={url=/services/data/v62.0/sobjects/Account/0018000001DwDSLAA3, type=Account}, PS_Sub_Region__c=Diversified Industries LE NN, Name=Arauco NA, PS_Region_New__c=US Large Enterprise DI &amp; Mexico, SubRegion__c=US DI LE NN MFG East}</t>
  </si>
  <si>
    <t>2025-04-02T15:26:52.000+0000</t>
  </si>
  <si>
    <t>0013000000KLhKrAAL</t>
  </si>
  <si>
    <t>a3AVT000000Kxwn2AC</t>
  </si>
  <si>
    <t>{Industry=Lodging &amp; Resorts, PS_Region_New__c=US Large Enterprise DI &amp; Mexico, Name=The Vail Corporation, attributes={type=Account, url=/services/data/v62.0/sobjects/Account/0013000000KLhKrAAL}}</t>
  </si>
  <si>
    <t>0014X00002iGmZKQA0</t>
  </si>
  <si>
    <t>6.9.25 KI - Vailly, the main administrator, is struggling with fundamental system maintenance and version control, leading to potential data integrity issues and dissatisfaction. Key problems include Vailly's incorrect plan version setup, misunderstanding of personnel management features, and unbalanced financial statements. A hands-on consultant is recommended to guide Vailly through the budgeting cycle and mitigate risks associated with her current lack of understanding.</t>
  </si>
  <si>
    <t>a0rVT00001DXAF9YAP</t>
  </si>
  <si>
    <t>017VT0000GuPUnCYQW</t>
  </si>
  <si>
    <t>4.17.25 KI - CHURN RISK. Spoke with Vailly and she informed me that they had a very bad implementation with Alight and now have a complex system that they don't know how to use. Vailly has never used Adaptive before and did not receive any trainings. Setting up model review with our enablement team to ease some of her frustrations and connecting her to E78 and Plansimpli.</t>
  </si>
  <si>
    <t>a0rVT00001DX1gaYAD</t>
  </si>
  <si>
    <t>CareAparent</t>
  </si>
  <si>
    <t>001VT00000b2nwzYAA</t>
  </si>
  <si>
    <t>2025-06-09T15:50:45.000+0000</t>
  </si>
  <si>
    <t>{Industry=Restaurant &amp; Food Service, PS_Region_New__c=US Medium Enterprise DI, attributes={type=Account, url=/services/data/v62.0/sobjects/Account/001VT00000b2nwzYAA}, Name=SoCal Pizza Holdings (AWRG PH)}</t>
  </si>
  <si>
    <t>a3AVT000000L4S12AK</t>
  </si>
  <si>
    <t>a0pVT00000Cq8FWYAZ</t>
  </si>
  <si>
    <t>0014X00002FBmZoQAL</t>
  </si>
  <si>
    <t>2026-09-30T13:26:05.000+0000</t>
  </si>
  <si>
    <t>No update</t>
  </si>
  <si>
    <t>017VT0000GuRNTZYQ4</t>
  </si>
  <si>
    <t>ExteNet's Strategic Sourcing adoption has ceased since February 2024 due to reductions in force, and their team's focus has shifted to ERP data cleanup, creating a renewal risk. To address this, we will showcase value of adopting their existing subscriptions to Intake and Supplier Management to improve operational efficiency. Workday go-forward strategy forthcoming week of April 21st. Ultimately, we aim to secure the renewal by proving Workday's ability to streamline processes and support ExteNet's goals.</t>
  </si>
  <si>
    <t>a0rVT00001DX1i6YAD</t>
  </si>
  <si>
    <t>{Name=Arauco NA, PS_Sub_Region__c=Diversified Industries LE NN, SubRegion__c=US DI LE NN MFG East, attributes={type=Account, url=/services/data/v62.0/sobjects/Account/0018000001DwDSLAA3}, Industry=Materials, PS_Region_New__c=US Large Enterprise DI &amp; Mexico}</t>
  </si>
  <si>
    <t>Strategic Sourcing only customer, next renewal 10/31/25, current ACV $117K, Low Renewal Confidence
No product usage since 2024, seen by Workday in Pendo, confirmed by customer
Change in business priorities away from centrally managing RFx events, which had been a primary use case
Turnover of remaining trained resources and lack of current team skills in Workday as well as procurement/sourcing</t>
  </si>
  <si>
    <t>0014X00002MBzcGQAT</t>
  </si>
  <si>
    <t>2025-07-07T19:21:26.000+0000</t>
  </si>
  <si>
    <t>{PS_Region_New__c=US Medium Enterprise DI, Industry=Business Services, Name=Goettl Air Conditioning, attributes={url=/services/data/v62.0/sobjects/Account/0014X00002MBzcGQAT, type=Account}}</t>
  </si>
  <si>
    <t>a3AVT000000L4v32AC</t>
  </si>
  <si>
    <t>2026-09-30T13:24:48.000+0000</t>
  </si>
  <si>
    <t>0013000000KCxB9AAL</t>
  </si>
  <si>
    <t>017VT0000GcCdBxYQK</t>
  </si>
  <si>
    <t>CareerSource Okaloosa Walton</t>
  </si>
  <si>
    <t>a0rVT00001DX1k4YAD</t>
  </si>
  <si>
    <t>00180000010yxg8AAA</t>
  </si>
  <si>
    <t>{attributes={url=/services/data/v62.0/sobjects/Account/00180000010yxg8AAA, type=Account}, PS_Region_New__c=ANZ, Industry=Business Services, Name=McDonald's - NZ}</t>
  </si>
  <si>
    <t>017VT0000GcCcEqYQK</t>
  </si>
  <si>
    <t>a0rVT00001DX1qCYAT</t>
  </si>
  <si>
    <t>a0pVT00000CpyOEYAZ</t>
  </si>
  <si>
    <t>0018000000Wtz1iAAB</t>
  </si>
  <si>
    <t>Updated: 9/15/2026
Trend (T):
Customer sentiment is Neutral. Ongoing leadership turnover at Micron has resulted in perpetual engagement challenges and need for continuous education. Micron still struggles to align internally on strategy and execution.
Update (U):
o	9/23: Executive-level AI session in Boise. Confirmed attendees: VP IT JungAh Choi, Cher Whee Sim, VP People Strategy, Joe DeWitt, Sr. Dir. Workforce Innovation &amp; AI, Heidi Rhay, Sr. Manager, IT People Systems.
o	Talent Team Engagement
	8/13: Talent Vision Intake session held to determine core Talent fit vs. Extend use case options.
o	8/19: Held Micron Learning landscape workshop and Sana LRN demo held in Boise. 
o	8/31: Micron shared list of Top 10 HR workflows for optimization. Activities in progress to support evaluation of those processes and how/where Workday can support efficiency. 
o	Skills and Work Intelligence session to be co-led by Workday and Micron Director of Skilling. Scheduling pending Micron availability.
o	Re-visit Advanced Compensation capabilities and processes. October target.
o	MCP EA Program - Micron provided additional use cases. MP shared with product team. Strong desire to join as soon as possible.
uMSA status: Signature expected by 9/18/26.
Risk (R):
- Continued leadership churn at Micron creates challenges with strategic planning, engagement alignment and lack of product knowledge among decision-makers.
- SKUs confirmed as loss for renewal: PLN, PLNX 
- SKUs at risk for potential loss long term: PRA, WSS, LRN.
- Areas of concern for Micron: AI capabilities, AI Value evaluation, Third-Party Integration
capabilities, User Experience, Skills, Strategic Sourcing, Reporting, Prism, Compensation and Total Rewards Statements.
Next Steps (N):
- 9/16: Workday Extend strategy team to present option for an app that would provide a single experience for Micron's talent process.
- 9/23: Executive-level AI session in Boise to support renewal efforts and Micron's AI strategy. 
- Activities in progress to support evaluation of Top 10 Micron people processes and how/where Workday can support efficiency. 
- Support discussion of Skills and Work Intelligence to support Micron skills strategy. Scheduling pending Micron availability.
- Re-visit of Adv Compensation capabilities - target October.
- Zach Keiter, RVP to continue meeting cadence with JungAh Choi, VP IT.
- uMSA execution in progress.
- Continue to support Paradox adoption, request for configuration enhancements, and present a unified "one Workday" account team.
- Continue to support participation in DPG/EA programs.</t>
  </si>
  <si>
    <t>{attributes={type=Account, url=/services/data/v62.0/sobjects/Account/0018000000Wtz1iAAB}, Name=County of Kern, Industry=State &amp; Local Government, PS_Region_New__c=US SLED}</t>
  </si>
  <si>
    <t>{attributes={type=Account, url=/services/data/v62.0/sobjects/Account/0018000000PkZ4CAAV}, PS_Sub_Region__c=Diversified Industries LE CB RHT, SubRegion__c=US DI LE CB RHT South, Industry=Hardlines, Name=Mattress Firm, Inc., PS_Region_New__c=US Large Enterprise DI &amp; Mexico}</t>
  </si>
  <si>
    <t>a0rVT00001DX8A6YAL</t>
  </si>
  <si>
    <t>Opening a new plan to document shift in summary of issues since original plan was opened in May of 2022.
Renewal Risk
Micron's renewal was executed on three order forms:
 - Core Workday subscription 12/20/24 - 12/19/26
 - Extend Pro 10/31/24 - 12/19/26
 - WSP ACC+ 10/31/24 - 12/19/25
24-month core renewal includes swap language due to dissatisfaction with WSS and PLN.
SKUs with renewal risk at term:
 - WSP ACC+ - Short term agreement. Limited time to demonstrate ROI.
 - WSS - Ongoing product gaps. Strong SAP relationship in finance. WSS champion/COE leader left Micron. Expected loss by end of 2025.
 - LRN - Ongoing product gaps. OJT certification functionality lacking for compliance and workforce readiness capabilities. 32 learning platforms in use at Micron, including WD LRN. Consideration of LXP solution. CCLRN opportunity for integration simplification.
 - PLNX - SNI. Original use case envisioned by F,P&amp;A and Sourcing leaders abandoned after both of those leaders left Micron.
- PLNF - Financial Planning deployed and in use. Team disengaged due to turnover in Micron leadership and product ownership.
- PRA - Perceived performance issues.
Strategic alignment concerns:
- Micron leadership continues to turn over, creating alignment challenges and delays in strategic planning, and requiring repeated product capabilities education.</t>
  </si>
  <si>
    <t>CareLinc Medical Equipment</t>
  </si>
  <si>
    <t>2026-09-15T16:47:11.000+0000</t>
  </si>
  <si>
    <t>a3AVT000000LK6z2AG</t>
  </si>
  <si>
    <t>017VT0000GcCcHtYQK</t>
  </si>
  <si>
    <t>a0rVT00001DX234YAD</t>
  </si>
  <si>
    <t>US DI ME NN MFG Midwest</t>
  </si>
  <si>
    <t>0014X00002Ot0wvQAB</t>
  </si>
  <si>
    <t>0011B00002CXUOSQA5</t>
  </si>
  <si>
    <t>{Industry=High Technology, attributes={type=Account, url=/services/data/v62.0/sobjects/Account/0011B00002CXUOSQA5}, PS_Region_New__c=US Medium Enterprise DI, Name=pSemi Corporation (Inactive Account)}</t>
  </si>
  <si>
    <t>T (Trending): Amber
U (Progress Update): The Sept 14 SteerCo confirmed Data Purge is now GREEN and resolved, removed from future agendas. On Data Visibility, Workday sent its formal response on 17/09, clarifying agreed scope ended in April, agreeing only to assess feasibility of MB's 7 additional items once specs are provided, and rejecting further open-ended scope creep; MB's reply is pending.
R (Risk): Data Visibility risk remains high: MB reserves the right to raise further findings indefinitely, and Workday's 17/09 rejection of scope creep raises high risk of escalation beyond account management. Gerrit Katzmaier is fully briefed on potential executive-level escalation. A 30/09 SteerCo deadline still applies, with overall program sentiment trending toward Amber/Red amid testing delays.
N (Next steps): Monitor MB's reaction to Workday's 17/09 position and prepare for potential escalation beyond account management, keeping Gerrit Katzmaier briefed. Evaluate feasibility of the 7 additionally requested items once MB provides specs, without committing to delivery. Track progress toward the 30/09 SteerCo deadline and continue closing out remaining Data Purge items, including the photo-deletion request.</t>
  </si>
  <si>
    <t>017VT0000GuPYSYYQ4</t>
  </si>
  <si>
    <t>As of 18 September 2026, Mercedes-Benz's Data Purge has moved to GREEN and is resolved. Data Visibility remains RED: Workday's formal response, sent 17/09, confirmed agreed scope ended in April, offered only to assess feasibility of MB's 7 additional items pending specs, and rejected open-ended scope creep. This firm stance carries a high risk of escalation beyond account management; Gerrit Katzmaier is already briefed.
T (Trending): Amber
U (Progress Update): The Sept 14 SteerCo confirmed Data Purge is now GREEN and resolved, removed from future agendas. On Data Visibility, Workday sent its formal response on 17/09, clarifying agreed scope ended in April, agreeing only to assess feasibility of MB's 7 additional items once specs are provided, and rejecting further open-ended scope creep; MB's reply is pending.
R (Risk): Data Visibility risk remains high: MB reserves the right to raise further findings indefinitely, and Workday's 17/09 rejection of scope creep raises high risk of escalation beyond account management. Gerrit Katzmaier is fully briefed on potential executive-level escalation. A 30/09 SteerCo deadline still applies, with overall program sentiment trending toward Amber/Red amid testing delays.
N (Next steps): Monitor MB's reaction to Workday's 17/09 position and prepare for potential escalation beyond account management, keeping Gerrit Katzmaier briefed. Evaluate feasibility of the 7 additionally requested items once MB provides specs, without committing to delivery. Track progress toward the 30/09 SteerCo deadline and continue closing out remaining Data Purge items, including the photo-deletion request.</t>
  </si>
  <si>
    <t>a0pVT00000Cq7mTYAR</t>
  </si>
  <si>
    <t>0018000000O9AIxAAN</t>
  </si>
  <si>
    <t>a0rVT00001DX4UhYAL</t>
  </si>
  <si>
    <t>{PS_Region_New__c=US SLED, attributes={type=Account, url=/services/data/v62.0/sobjects/Account/0018000000O9AIxAAN}, Name=Board of Regents of the University System of Georgia by and on behalf of Augusta University, Industry=Higher Education}</t>
  </si>
  <si>
    <t>Cargill, Incorporated</t>
  </si>
  <si>
    <t>MB's escalation focuses on three key areas:
#1 Time-Based Data Visibility Restrictions
Description of the Issue: MB has raised concern about the lack of time-based restrictions on data visibility, under GDPR’s data minimisation principle.  For example, this would prevent a two-year-old transaction from being readily visible to current managers or HR personnel. MB requires this be addressed in all instances, as they consider it a GDPR requirement.
They have surfaced priority areas for exploration: Compensation, Performance, Absence, and Learning but continue to state a need for this requirement across the board.
Issue #2: Data Purging Framework (Detail HERE)
Description of the Issue:
MB requests comprehensive automated purging capabilities for data types not currently supported, including OTP, Absence, Learning, and other personal data. Note: MB has not provided a list of prioritized fields as their current solution allows deletion of any stored data in line with their established retention schedule.
Issue #3: ERA
Description of the Issue: MB has a requirement to implement and deploy ERA functionality in Workday for all Mercedes Benz companies across Germany.  ERA are compensation structures and processes that are necessary as of the applicable Collective Agreements and Works Council Agreements that amend those structures and processes within the scope of the listed entities. These processes are complex due to variations in each customers’ Payroll, Absence, and Time Tracking (PATT) configuration. MB wants to avoid costs/complexities associated with implementing/maintaining workarounds and seeks a native WD solution to streamline earnings restatement processes.</t>
  </si>
  <si>
    <t>{attributes={url=/services/data/v62.0/sobjects/Account/0018000000PkZ4CAAV, type=Account}, PS_Sub_Region__c=Diversified Industries LE CB RHT, Name=Mattress Firm, Inc., SubRegion__c=US DI LE CB RHT South, PS_Region_New__c=US Large Enterprise DI &amp; Mexico, Industry=Hardlines}</t>
  </si>
  <si>
    <t>2026-09-30T13:25:09.000+0000</t>
  </si>
  <si>
    <t>2026-09-18T13:27:11.000+0000</t>
  </si>
  <si>
    <t>a3AVT000000LPzV2AW</t>
  </si>
  <si>
    <t>017VT0000GuQ2pkYQC</t>
  </si>
  <si>
    <t>a0rVT00001DX2CkYAL</t>
  </si>
  <si>
    <t>0013000000LSL4mAAH</t>
  </si>
  <si>
    <t>0013000000InzdUAAR</t>
  </si>
  <si>
    <t>{Industry=Consumer Goods, PS_Region_New__c=US Large Enterprise DI &amp; Mexico, Name=Shamrock Foods Company, attributes={type=Account, url=/services/data/v62.0/sobjects/Account/0013000000InzdUAAR}}</t>
  </si>
  <si>
    <t>Zappos, a Workday customer since 2010, has been instructed by its parent company, Amazon, to wind down its Workday tenant by the March 2026 renewal. This is a top-down decision to centralize HR and finance functions within Amazon's existing system, PeopleSoft. This represents a loss of a long-time happy customer, multiple champions who have spoken at various WD/Amazon events, and a risk indicator of the broader Amazon strategy showcasing an alliance to PeopleSoft/Oracle.</t>
  </si>
  <si>
    <t>017VT0000GcCdASYQ0</t>
  </si>
  <si>
    <t>2025-04-22T19:55:27.000+0000</t>
  </si>
  <si>
    <t>a0rVT00001DX2MZYA1</t>
  </si>
  <si>
    <t>0018000000ogrXtAAI</t>
  </si>
  <si>
    <t>a3AVT000000Lyh72AC</t>
  </si>
  <si>
    <t>{attributes={type=Account, url=/services/data/v62.0/sobjects/Account/0018000000ogrXtAAI}, PS_Region_New__c=US FSI, Name=Gables Residential Services, Inc., Industry=Investment Management}</t>
  </si>
  <si>
    <t>a0rVT00001DWxeUYAT</t>
  </si>
  <si>
    <t>0014X00002KjmgCQAR</t>
  </si>
  <si>
    <t>Carglass GmbH</t>
  </si>
  <si>
    <t>a0pVT00000Cq5pWYAR</t>
  </si>
  <si>
    <t>017VT0000GcCcM0YQK</t>
  </si>
  <si>
    <t>CSM BB spoke with CoE James Coates - JC confirmed that WFP was deployed by Workday but no indication that WD deployed FP. JC reviewed the above issues from customer and indicates that these are WFP issues. JC recommends having discovery with CoE member and end users, then a discovery deep dive with a consultant on WFP and FP seperately with the end users. As it appears to be a workday primed issue, it is likely that we will need a FIC but initial discovery needs to be conducted. JC available after the 17th of June</t>
  </si>
  <si>
    <t>a0rVT00001DX2MaYAL</t>
  </si>
  <si>
    <t>Germany ME</t>
  </si>
  <si>
    <t>Germany ME NN 1</t>
  </si>
  <si>
    <t>Customer stating Workday deployment of adaptive is substandard, considerable reputation risk as well as product churn - previous wellness case on benefits/My CSP was a huge issue for reputation also. Adaptive churn 90K impact 1/2026 renewal</t>
  </si>
  <si>
    <t>001VT00000b2dOCYAY</t>
  </si>
  <si>
    <t>{attributes={url=/services/data/v62.0/sobjects/Account/001VT00000b2dOCYAY, type=Account}, Industry=Post Acute, Name=MBK Senior Living, PS_Region_New__c=US Healthcare}</t>
  </si>
  <si>
    <t>{Name=AI Fire, attributes={url=/services/data/v62.0/sobjects/Account/001VT00000JurGQYAZ, type=Account}, PS_Sub_Region__c=ME NN PBS, Industry=Business Services, SubRegion__c=US DI ME NN PBS Pacific, PS_Region_New__c=US Medium Enterprise DI}</t>
  </si>
  <si>
    <t>017VT0000GuRRB1YQO</t>
  </si>
  <si>
    <t>a0rVT00001DX2SsYAL</t>
  </si>
  <si>
    <t>90K GBP - renewal 11/2026
Good Morning Joe.
Further to our discussions in February around Adaptive Planning, we have worked with Kainos to try to resolve the issues with the HR implementation in piecemeal, but this week concluded that the platform configuration is severely deficient and have ceased any further work.  As an example, the following implementation issues have become apparent as we have been working through:
•	A Sandbox tenant was never setup
•	Inactive Supervisory Organisations are being imported into Adaptive Planning
•	Overlap Positions are not being imported into Adaptive Planning
•	Top-down modelling has not been setup
•	‘Publish-back’ functionality has not been setup
•	The cost of workforce has not been validated with the ICO’s own Finance team
Although the platform was implemented before I joined the ICO, I have been told that it was Workday employees who implemented the system for us, so it’s really disappointing that these errors were not resolved at implementation.
Given the issues in the platform, it is unlikely that we will renew Adaptive Planning at the end of this year unless we can make radical improvements.  This will be a big deal for the ICO as a huge investment has been made in the platform, both in time and financially.  Please can you advise us how you would recommend we proceed?  If you would like to meet then more than happy, but I am on holiday now until 6 May.
	Ben Kowalewicz
Senior Product Owner
Information Commissioner’s Office, Wycliffe House, Water Lane, Wilmslow, Cheshire SK9 5AF
T. 03303131697 ico.org.uk  twitter.com/iconews</t>
  </si>
  <si>
    <t>0013000000KydPXAAZ</t>
  </si>
  <si>
    <t>{attributes={url=/services/data/v62.0/sobjects/Account/0013000000KydPXAAZ, type=Account}, PS_Region_New__c=US Large Enterprise DI &amp; Mexico, Industry=Auto Manufacturing, Name=Lear Corporation}</t>
  </si>
  <si>
    <t>2025-05-21T17:28:11.000+0000</t>
  </si>
  <si>
    <t>a3AVT000000MPFt2AO</t>
  </si>
  <si>
    <t>0018000000oj6HNAAY</t>
  </si>
  <si>
    <t>017VT0000GuRSO9YQO</t>
  </si>
  <si>
    <t>a0rVT00001DXEiXYAX</t>
  </si>
  <si>
    <t>22/05: Bella met Jola, Claire and Rachel at Elevate. Positive feedback on the Ai and where Workday is now and how this is different to what AMS sees. Agreed to do an Adoption Value Review that will feed into the Rich Bye session on AI and HR vision and strategy on the 26th June.
17/06: Prep sessions and completion of Adoption Value Review on the 17th June. Bella send actions and information that feeds into the Rich Bye session.</t>
  </si>
  <si>
    <t>0014X00002aVNYNQA4</t>
  </si>
  <si>
    <t>Carglass SAS</t>
  </si>
  <si>
    <t>{Name=Arbor E&amp;T LLC dba Equus Workforce Solutions, attributes={type=Account, url=/services/data/v62.0/sobjects/Account/0014X00002aVNYNQA4}, PS_Region_New__c=US Large Enterprise DI &amp; Mexico, Industry=Professional Services}</t>
  </si>
  <si>
    <t>02/05: Internal planning meeting with CBAE, CSM and SE. Actions agreed: 1. Dean &amp; Bella connect with People Director on CPO requirements. 2. Bella connect with IT Workday team to understand their view. 3. Connect with Collaborative to get their view. GOAL: Establish a good understanding of strategy, pain points and what they have done since the AVR in 2024 (where recommendations were given on these issues) ahead of the June session.</t>
  </si>
  <si>
    <t>1st May 2025 raised by Dean Jones as Risk. New CIO joined from Ceridian and keen to make changes. CHRO met with CBAE and confirmed that Workday is not working well on process and experience. (Eg. Has to raise 300 requs per month and approve manually 2 per day). Formally said they would be looking at other systems if this did not change. This could be feasible as they have enough time before their 2028 renewal to run an RFP process. CBAE asked for session on the 26th June to cover Workday AI and innovation, AMS strategy and recommended next steps on the 26th June.</t>
  </si>
  <si>
    <t>France RHT ME</t>
  </si>
  <si>
    <t>017VT0000GcCcJCYQ0</t>
  </si>
  <si>
    <t>a0pVT00000CpreUYAR</t>
  </si>
  <si>
    <t>2025-06-27T12:34:01.000+0000</t>
  </si>
  <si>
    <t>a0rVT00001DX2ZKYA1</t>
  </si>
  <si>
    <t>a3AVT000000MoJ72AK</t>
  </si>
  <si>
    <t>0018000000oh8HZAAY</t>
  </si>
  <si>
    <t>{PS_Region_New__c=US Medium Enterprise DI, Name=MPW Industrial Services Group, Inc., attributes={type=Account, url=/services/data/v62.0/sobjects/Account/0018000000oh8HZAAY}, Industry=Business Services}</t>
  </si>
  <si>
    <t>0014X00002OuAwLQAV</t>
  </si>
  <si>
    <t>{PS_Region_New__c=US Large Enterprise DI &amp; Mexico, attributes={url=/services/data/v62.0/sobjects/Account/0013000000J2U4YAAV, type=Account}, Industry=Industrial Manufacturing, PS_Sub_Region__c=Diversified Industries LE NN, SubRegion__c=US DI LE NN MFG East, Name=The Timken Company}</t>
  </si>
  <si>
    <t>017VT0000GuRFSwYQO</t>
  </si>
  <si>
    <t>a0rVT00001DX2awYAD</t>
  </si>
  <si>
    <t>Customer Sentiment:
The Witherslack team remains frustrated due to unresolved issues in their Workday implementation, particularly in the HR module. Key concerns include undelivered features, limited communication, and a backlog of outstanding items. Despite these challenges, there is a renewed openness to collaboration following the introduction of new Workday contacts.
Recent Engagement:
Jodie (Customer Success Manager) and Joe (Customer Contact Lead) introduced themselves to Norris (CTO), acknowledged the implementation gaps, and committed to improving communication and support. The conversation was constructive, with all parties aligned on the need for a clearer support structure and regular updates.
Focus Areas:
Immediate attention on resolving HR-related issues.
Improved visibility and collaboration through shared tracking of outstanding items.
Establishing a consistent cadence of meetings to support progress and transparency.
Enhancing team training and reducing overreliance on internal IT resources for business applications.
Next Steps:
Monthly meetings to be scheduled starting week of June 9.
Bi-weekly check-ins with Sarah to begin.
Norris to circulate a spreadsheet of outstanding issues.
Training sessions to be prioritized and booked.
Internal Workday feedback loop to be initiated by Jodie and Joe.
Outlook:
While sentiment is currently strained, the introduction of proactive support measures and clearer communication pathways offers a positive opportunity to rebuild trust and demonstrate progress. A reassessment is planned in one month to evaluate improvements and adjust the support plan as needed.</t>
  </si>
  <si>
    <t>0013000000HpCTVAA3</t>
  </si>
  <si>
    <t>{attributes={url=/services/data/v62.0/sobjects/Account/0013000000HpCTVAA3, type=Account}, PS_Region_New__c=US Large Enterprise DI &amp; Mexico, Name=Genuine Parts Company, Industry=Auto}</t>
  </si>
  <si>
    <t>a0rVT00001DXGqnYAH</t>
  </si>
  <si>
    <t>017VT0000GuRWjYYQW</t>
  </si>
  <si>
    <t>Carlton Staffing</t>
  </si>
  <si>
    <t>a0rVT00001DX2axYAD</t>
  </si>
  <si>
    <t>00180000018KCAEAA4</t>
  </si>
  <si>
    <t>Undelivered Features
Several features promised during the discovery phase were not delivered, leading to reliance on workarounds.
These gaps have persisted since pre–go-live and remain unresolved despite being raised repeatedly.
Lack of Communication
Ongoing lack of clear, consistent communication from Workday has contributed to frustration and misalignment.
Norris and his team have not felt adequately informed or supported throughout the implementation process.
Outstanding Items and Accountability
A number of unresolved items still need to be addressed, particularly within the HR module.
The absence of clear ownership and follow-up on issues has led to inefficiencies and stakeholder fatigue.
HR System Functionality
HR is the most problematic area, while Payroll and VHS are progressing well.
Norris stressed that the priority is to fix what was originally promised before exploring additional features.
Training Access and Prioritization
There has been insufficient prioritization and booking of Workday training sessions for the team.
The lack of a structured training plan has contributed to limited system adoption and self-sufficiency.
Role Clarity and Resource Constraints
Internal product ownership for HR and Finance is informally assigned, but lack of official roles and capacity is a challenge.
The organization is considered too small to appoint formal product owners, adding pressure on IT and functional teams.
Denmark Integration and Adaptive
Tight timelines and competing priorities (e.g., Denmark project, Adaptive issues) add complexity to implementation.
These are progressing but require ongoing attention alongside HR system fixes.
Change Fatigue and Leadership Frustration
Norris, as CTO, expressed concern about being deeply involved in a business-facing application.
There is visible fatigue and dissatisfaction at the leadership level due to the effort required versus outcomes achieved.</t>
  </si>
  <si>
    <t>{PS_Region_New__c=US Large Enterprise DI &amp; Mexico, attributes={url=/services/data/v62.0/sobjects/Account/00180000018KCAEAA4, type=Account}, Industry=Healthcare Manufacturing, Name=Exact Sciences Corporation}</t>
  </si>
  <si>
    <t>Customer Ownership;Product Issues/Gaps</t>
  </si>
  <si>
    <t>a0pVT00000Cq2JmYAJ</t>
  </si>
  <si>
    <t>2025-05-06T14:50:33.000+0000</t>
  </si>
  <si>
    <t>2026-09-30T13:25:37.000+0000</t>
  </si>
  <si>
    <t>a3AVT000000MoRB2A0</t>
  </si>
  <si>
    <t>017VT0000GuRY5IYQW</t>
  </si>
  <si>
    <t>a0rVT00001DX2ayYAD</t>
  </si>
  <si>
    <t>{Industry=Industrial Manufacturing, PS_Sub_Region__c=Diversified Industries LE NN, PS_Region_New__c=US Large Enterprise DI &amp; Mexico, Name=The Timken Company, SubRegion__c=US DI LE NN MFG East, attributes={url=/services/data/v62.0/sobjects/Account/0013000000J2U4YAAV, type=Account}}</t>
  </si>
  <si>
    <t>0014X00002ej3z7QAA</t>
  </si>
  <si>
    <t>0018000001KdJKnAAN</t>
  </si>
  <si>
    <t>{attributes={url=/services/data/v62.0/sobjects/Account/0018000001KdJKnAAN, type=Account}, Industry=Post Acute, PS_Region_New__c=US Healthcare, Name=HAH Group Holdings LLC}</t>
  </si>
  <si>
    <t>2026-09-30T13:25:45.000+0000</t>
  </si>
  <si>
    <t>5/6/25 KS -
Partner Success pulled Customer Success into an escalation. Customer expressed dissatisfaction with TopBloc as their deployment + AMS partner. Streamline Healthcare CFO told the CBAE today that they have decided not to continue the partnership with TopBloc
Internal call between CBAE, Partner Success and Customer Success on 5/1 to solidify next steps
Customer Success met with Streamline CFO on 5/6. TopBloc firm on cutting off support tomorrow (5/7) unless a January invoice is paid. Streamline CFO will not pay this until work he thinks is owed is complete. Threatened legal action against TopBloc if they get cut off
Streamline exploring partnership with Okorio or a WSP subscription as backup plan</t>
  </si>
  <si>
    <t>Application Knowledge;Deployments;Partner Management</t>
  </si>
  <si>
    <t>017VT0000GuRY5LYQW</t>
  </si>
  <si>
    <t>2025-05-06T17:27:41.000+0000</t>
  </si>
  <si>
    <t>a0rVT00001DX2mEYAT</t>
  </si>
  <si>
    <t>0018000001JjV3NAAV</t>
  </si>
  <si>
    <t>a3AVT000000Mqw12AC</t>
  </si>
  <si>
    <t>a0rVT00001DX7tyYAD</t>
  </si>
  <si>
    <t>{attributes={type=Account, url=/services/data/v62.0/sobjects/Account/0018000001JjV3NAAV}, Name=Tacala, LLC, Industry=Restaurant &amp; Food Service, PS_Region_New__c=US Large Enterprise DI &amp; Mexico}</t>
  </si>
  <si>
    <t>0018000001WLaEaAAL</t>
  </si>
  <si>
    <t>CarMax Enterprise Services, LLC</t>
  </si>
  <si>
    <t>017VT0000GuQbyyYQC</t>
  </si>
  <si>
    <t>a0pVT00000Cq09tYAB</t>
  </si>
  <si>
    <t>Low NPS Score; Negative Detractor Survey responses
Unresponsive to all communication for follow up discussion to survey answers
Expressed concerns with the system’s rigidness, customization requirements, and overall user unfriendliness</t>
  </si>
  <si>
    <t>a0rVT00001DX2nuYAD</t>
  </si>
  <si>
    <t>0018000000WsoqcAAB</t>
  </si>
  <si>
    <t>2025-05-07T19:16:56.000+0000</t>
  </si>
  <si>
    <t>{Name=City University of New York (Precision Task Group, Inc.), Industry=Higher Education, attributes={url=/services/data/v62.0/sobjects/Account/0018000000WsoqcAAB, type=Account}, PS_Region_New__c=US SLED}</t>
  </si>
  <si>
    <t>a3AVT000000MwdF2AS</t>
  </si>
  <si>
    <t>{Industry=Media &amp; Entertainment, PS_Region_New__c=EMEA North, attributes={type=Account, url=/services/data/v62.0/sobjects/Account/0011B00002CZdKnQAL}, Name=Spotify AB, SubRegion__c=Sweden NN, PS_Sub_Region__c=EMEA North Commercial}</t>
  </si>
  <si>
    <t>017VT0000GcCcG3YQK</t>
  </si>
  <si>
    <t>0011B00002HkFcRQAV</t>
  </si>
  <si>
    <t>Unhappy customer out of Launch Express deployment. They feel they were sold a deployment that was not appropriate for them and were not informed/sold properly by WD. 
$31K FIC was previously approved with Prof. Svcs. for additional work outside of original SOW. 
Good candidate for ACC and WSP, however, they are not willing to invest anything additional in WD until they are past stabilization.
Gainsight Success Plan: https://workday.lightning.force.com/one/one.app#eyJjb21wb25lbnREZWYiOiJvbmU6YWxvaGFQYWdlIiwiYXR0cmlidXRlcyI6eyJhZGRyZXNzIjoiaHR0cHM6Ly93b3JrZGF5LS1qYmN4bS52Zi5mb3JjZS5jb20vYXBleC9HYWluc2lnaHROWFQjY3VzdG9tZXJzdWNjZXNzMzYwJTNGY2lkJTNEMVAwMkhCSzQ1UVRHSFEyN1Q0UTFRMkZPVDFLTDJYME5FNzcwIn0sInN0YXRlIjp7fX0%3D</t>
  </si>
  <si>
    <t>{Name=Bloomin' Brands International, PS_Region_New__c=US Large Enterprise DI &amp; Mexico, Industry=Restaurant &amp; Food Service, attributes={type=Account, url=/services/data/v62.0/sobjects/Account/0011B00002HkFcRQAV}}</t>
  </si>
  <si>
    <t>2025-05-09T21:57:53.000+0000</t>
  </si>
  <si>
    <t>a3AVT000000NB612AG</t>
  </si>
  <si>
    <t>017VT0000GuQmzRYQS</t>
  </si>
  <si>
    <t>a0rVT00001DX2xWYAT</t>
  </si>
  <si>
    <t>0014X00002XGybgQAD</t>
  </si>
  <si>
    <t>a0pVT00000CpmBnYAJ</t>
  </si>
  <si>
    <t>0014X00002aTXNhQAO</t>
  </si>
  <si>
    <t>a0rVT00001DX6Y5YAL</t>
  </si>
  <si>
    <t>{attributes={url=/services/data/v62.0/sobjects/Account/0014X00002aTXNhQAO, type=Account}, PS_Region_New__c=US SLED, Industry=Non-Profit, Name=Rise Services Inc}</t>
  </si>
  <si>
    <t>HIGH
CC: Claudio tried and reach out to customer twice asking if any support was needed while contract is trill running - No response
SAB: 24th Feb 2025. Sofia &amp; Brian agreed Brian would reach out again since he has been engaged previously.
BG 28/11/2024 - Client has said they are no longer using the application following the M&amp;A activity and do not intend to renew in 2025. Will continue to try and engage for the next 12 months to see if there is any opportunity.
There was a major change in the organisation structure for this company and a new FP&amp;A team was formed. The previous Adaptive champion/admin was moved to a different team. I spoke to members of the new team in November 2023, with a view to meeting with the new FP&amp;A manager when they were appointed. Since then the contacts I have are no longer responding to me and usage is very minimal. Renewal is due in December 2025 so will continue to try and engage.</t>
  </si>
  <si>
    <t>Carrier Corporation</t>
  </si>
  <si>
    <t>2026-09-30T13:24:35.000+0000</t>
  </si>
  <si>
    <t>{attributes={url=/services/data/v62.0/sobjects/Account/001VT00000b2nVZYAY, type=Account}, SubRegion__c=US DI Commercial NN Central, PS_Sub_Region__c=ME Commercial West, Name=Missouri Advertising Association, PS_Region_New__c=US Medium Enterprise DI, Industry=Professional Services}</t>
  </si>
  <si>
    <t>2025-05-15T09:27:47.000+0000</t>
  </si>
  <si>
    <t>017VT0000GcCcINYQ0</t>
  </si>
  <si>
    <t>a0rVT00001DX33yYAD</t>
  </si>
  <si>
    <t>a3AVT000000NKcL2AW</t>
  </si>
  <si>
    <t>0013000000J1WDdAAN</t>
  </si>
  <si>
    <t>{PS_Region_New__c=US Large Enterprise DI &amp; Mexico, attributes={url=/services/data/v62.0/sobjects/Account/0013000000J1WDdAAN, type=Account}, Industry=Healthcare Manufacturing, Name=Edwards Lifesciences LLC}</t>
  </si>
  <si>
    <t>0014X00002OsVCOQA3</t>
  </si>
  <si>
    <t>AS - 16/05/25 - Sent Client Outreach : Received bounce from milla rouhiainen (milla.rouhiainen@enerim.com) Head of Business Control</t>
  </si>
  <si>
    <t>017VT0000GuRNi6YQG</t>
  </si>
  <si>
    <t>AS - 16/05/25 - No NSC Assigned, No Client Replies &amp; No Standard Engagements or Time Line Entries Since 4/30/2024</t>
  </si>
  <si>
    <t>a0rVT00001DX3C2YAL</t>
  </si>
  <si>
    <t>0014X00002FC1wtQAD</t>
  </si>
  <si>
    <t>2025-05-16T11:12:48.000+0000</t>
  </si>
  <si>
    <t>{Name=Catalyte, Inc., PS_Region_New__c=US Medium Enterprise DI, Industry=Software &amp; Platforms, attributes={url=/services/data/v62.0/sobjects/Account/0014X00002FC1wtQAD, type=Account}}</t>
  </si>
  <si>
    <t>2026-09-30T13:24:37.000+0000</t>
  </si>
  <si>
    <t>Frontline Employee</t>
  </si>
  <si>
    <t>a3AVT000000NKdx2AG</t>
  </si>
  <si>
    <t>017VT0000GcCcIuYQK</t>
  </si>
  <si>
    <t>0018000000qWT9sAAG</t>
  </si>
  <si>
    <t>a0rVT00001DX3FGYA1</t>
  </si>
  <si>
    <t>a0pVT00000Cq4WuYAJ</t>
  </si>
  <si>
    <t>Catalyte, Inc.</t>
  </si>
  <si>
    <t>T: yellow
U: Final version of all responses to Thales HR Legal and DPO provided by P&amp;T Legal and shared back with customer. DPO says they will come back to us to discuss this topic based on the responses. No news yet.
R: churn of WD TLOA and limited account growth
N: Laurent will send a follow-up email to DPO and VP of HR Operations, suggesting follow-up meeting with PM Legal.</t>
  </si>
  <si>
    <t>0018000001eXtuYAAS</t>
  </si>
  <si>
    <t>{Industry=Banking &amp; Capital Markets, attributes={url=/services/data/v62.0/sobjects/Account/0018000001eXtuYAAS, type=Account}, Name=Stout Risius Ross, LLC, PS_Region_New__c=US FSI}</t>
  </si>
  <si>
    <t>{attributes={type=Account, url=/services/data/v62.0/sobjects/Account/0014X00002eiQnoQAE}, PS_Sub_Region__c=India, SubRegion__c=India, Industry=Business Services, Name=WeWork India Management Private Limited, PS_Region_New__c=India}</t>
  </si>
  <si>
    <t>Esclation from Thales, coming from Ugo Schreiber, EVP HR Operations, with regards to the overall skills assessement Campaign experience with Extend. Disatisfaction and concerns sit on 3 points
User experience,
not at the expected level, especially for the managers when compared to the presales demo in June July 2024. Aside from the Radar graph promised then and quickly abandonned, the overall Manager experience is seen as more than unproductive (Ugo mention for instance, the necessity to scroll down  in pages to asses ratings while the graph showing the results stay at the top of the page, which implies contiuous scroll up and down
Process for managers with large span of controls need to go through multiple pages
System performance and capability
To avoid any system performance issues, we have recommanded to split the next wave of skills assessement in may with 4 waves in 2 days. This needs a change in Thales deployment / change strategy communicated  weeks/onths ago. Additionally, Thales is concerned to see already product limit with only 1/3 of the population
Maintenance and evolution
Thales is concerned about the level of seniority needed on Extend to be able to maintain the app, and believe it will not have the capacity to do it  alone
We already mentioned that we are reching the capability of the app when more enhancements will be expected from Thales
Conclusion
Ugo Schreiber regrets the decision to go with Extend CHRO Clement de Villepin has even suggested to shift all the Skills experience to another vendor which Ugo is backfiring at the moment .
He would rather understand if our Standard skills product will move to their requirements, as he does not see this sustainable on the long term.</t>
  </si>
  <si>
    <t>2026-09-11T12:59:02.000+0000</t>
  </si>
  <si>
    <t>017VT0000GuRVxCYQW</t>
  </si>
  <si>
    <t>a0rVT00001DX3IYYA1</t>
  </si>
  <si>
    <t>a3AVT000000NKfZ2AW</t>
  </si>
  <si>
    <t>001VT00000b2vBNYAY</t>
  </si>
  <si>
    <t>0018000000shOlCAAU</t>
  </si>
  <si>
    <t>{Industry=Amusement &amp; Recreation, Name=Sport Clips Canada, attributes={url=/services/data/v62.0/sobjects/Account/001VT00000b2vBNYAY, type=Account}, PS_Region_New__c=Canada}</t>
  </si>
  <si>
    <t>- Trend: yellow
- Update: product decided not to continue with "one-page apply"
- Risk: If unsatisfied, Rhenus might not renew REC on 7/30/2029. Mitigation: one-page apply via Extend app or consider HS, Paradox
- Next step: Extend/HS/Paradox evaluation</t>
  </si>
  <si>
    <t>PDX Legacy Eqtble</t>
  </si>
  <si>
    <t>017VT0000GuREqFYQW</t>
  </si>
  <si>
    <t>Rhenus's CHRO is deeply disappointment that the "One-click application" feature is not yet available, despite being promised during sales cycle. Rhenus used this feature internally to sell WD internally and to deploy Recruiting during Phase 1. CHRO argues this makes WD untrustworthy and demands a binding statement to know if/when it will come, if not, Rhenus will reconsider dropping SKU during renewal in 2029.</t>
  </si>
  <si>
    <t>a0pVT00000CpuZ9YAJ</t>
  </si>
  <si>
    <t>a0rVT00001DXEsDYAX</t>
  </si>
  <si>
    <t>0013000000Jp0uvAAB</t>
  </si>
  <si>
    <t>2026-09-01T13:22:06.000+0000</t>
  </si>
  <si>
    <t>{Industry=Professional Services, PS_Region_New__c=US Large Enterprise DI &amp; Mexico, attributes={url=/services/data/v62.0/sobjects/Account/0013000000Jp0uvAAB, type=Account}, Name=Allegis Group Inc.}</t>
  </si>
  <si>
    <t>a3AVT000000Ncm92AC</t>
  </si>
  <si>
    <t>CBE Group, Inc.</t>
  </si>
  <si>
    <t>0014X00002aV7vdQAC</t>
  </si>
  <si>
    <t>{attributes={type=Account, url=/services/data/v62.0/sobjects/Account/0014X00002OtAc0QAF}, PS_Region_New__c=US Medium Enterprise DI, Name=Alvarado Restaurant Nation, PS_Sub_Region__c=ME Commercial West, Industry=Restaurant &amp; Food Service, SubRegion__c=US DI Commercial NN Central}</t>
  </si>
  <si>
    <t>017VT0000GuQCpTYQW</t>
  </si>
  <si>
    <t>a0rVT00001DX3K7YAL</t>
  </si>
  <si>
    <t>5/16/25: ACELYRIN will not renew as they are being acquired by another Adaptive customer, Alumis. This is M&amp;A- Courtney will keep Rita H and I updated as the acquisition goes through.</t>
  </si>
  <si>
    <t>5/16/25: ACELYRIN will not renew as they are being acquired by another Adaptive customer, Alumis.  This is M&amp;A- Courtney will keep Rita H and I updated as the acquisition goes through.</t>
  </si>
  <si>
    <t>0014X00002fGJWbQAO</t>
  </si>
  <si>
    <t>{Name=Desert Diamond Casinos, PS_Region_New__c=US SLED, attributes={type=Account, url=/services/data/v62.0/sobjects/Account/0014X00002fGJWbQAO}, Industry=Special Districts}</t>
  </si>
  <si>
    <t>2025-05-19T15:41:14.000+0000</t>
  </si>
  <si>
    <t>a3AVT000000NpoD2AS</t>
  </si>
  <si>
    <t>017VT0000GrY5x2YQC</t>
  </si>
  <si>
    <t>0014X00002MBysSQAT</t>
  </si>
  <si>
    <t>a0rVT00001DX3OxYAL</t>
  </si>
  <si>
    <t>a0pVT00000Cq5RJYAZ</t>
  </si>
  <si>
    <t>0018000000bHL4bAAG</t>
  </si>
  <si>
    <t>5/19/25: Jeff Descano, CFO, confirmed that they are in discussions for M&amp;A and may be sold in the next 3 months.  They may be bought by another Adaptive customer that uses NetSuite.  Jeff is a huge Adaptive fan and will buy Adaptive if his next company does not have Adaptive.</t>
  </si>
  <si>
    <t>{PS_Region_New__c=US Large Enterprise DI &amp; Mexico, attributes={url=/services/data/v62.0/sobjects/Account/0018000000bHL4bAAG, type=Account}, Industry=Amusement &amp; Recreation, Name=Cinemark USA, Inc.}</t>
  </si>
  <si>
    <t>2026-09-28T17:54:02.000+0000</t>
  </si>
  <si>
    <t>2025-05-19T21:11:32.000+0000</t>
  </si>
  <si>
    <t>017VT0000GuPpCMYQ0</t>
  </si>
  <si>
    <t>{PS_Sub_Region__c=ME Commercial West, Industry=Restaurant &amp; Food Service, SubRegion__c=US DI Commercial NN Central, Name=Alvarado Restaurant Nation, attributes={url=/services/data/v62.0/sobjects/Account/0014X00002OtAc0QAF, type=Account}, PS_Region_New__c=US Medium Enterprise DI}</t>
  </si>
  <si>
    <t>a3AVT000000OBDd2AO</t>
  </si>
  <si>
    <t>a0rVT00001DX3QYYA1</t>
  </si>
  <si>
    <t>a0rVT00001DX9VxYAL</t>
  </si>
  <si>
    <t>0018000000M4yWCAAZ</t>
  </si>
  <si>
    <t>0018000001SZIY9AAP</t>
  </si>
  <si>
    <t>CCC Intelligent Solutions Inc.</t>
  </si>
  <si>
    <t>{Name=Moog Inc., PS_Region_New__c=US Large Enterprise DI &amp; Mexico, Industry=High Technology, attributes={type=Account, url=/services/data/v62.0/sobjects/Account/0018000000M4yWCAAZ}}</t>
  </si>
  <si>
    <t>5/22/2025 BWaller:
Issue escalated to Trista Hannan who is working up concession options.  WSP is an option.  BWaller meeting with Steph McCachren on Friday May 30th during regular check in cadence.  Will get internal update prior to meeting.</t>
  </si>
  <si>
    <t>Exec Summary - 5/22/2025:
HCM is happy and thriving, FINs is not and may have to redo their FDM in order to get Adaptive to work, so they have an SNI on Adaptive that may stretch out into end of year that they’re paying on.</t>
  </si>
  <si>
    <t>017VT0000GcCcG0YQK</t>
  </si>
  <si>
    <t>a0rVT00001DX3QZYA1</t>
  </si>
  <si>
    <t>a0pVT00000CppJLYAZ</t>
  </si>
  <si>
    <t>Overview - 5/22/2025:
HCM is happy and thriving, FINs is not and may have to redo their FDM in order to get Adaptive to work, so they have an SNI on Adaptive that may stretch out into end of year that they’re paying on. 
Kainos is in there doing a R&amp;R now and will be recommending in a few weeks on how they can fix things.
Our contact, Stephanie, and Trista spoke and their CFO is asking to tear up the Adaptive contract unti this is resolved. To get him off that, Steph is looking for some other way to get investments to soften the blow of some of the extra expense due to the fins rework.</t>
  </si>
  <si>
    <t>001VT00000bDwiPYAS</t>
  </si>
  <si>
    <t>2025-05-22T13:47:36.000+0000</t>
  </si>
  <si>
    <t>{attributes={type=Account, url=/services/data/v62.0/sobjects/Account/001VT00000bDwiPYAS}, PS_Region_New__c=US Large Enterprise DI &amp; Mexico, Name=Dollar General - Retail, Industry=Softlines}</t>
  </si>
  <si>
    <t>{PS_Sub_Region__c=ME Commercial West, SubRegion__c=US DI Commercial NN Central, Name=Alvarado Restaurant Nation, PS_Region_New__c=US Medium Enterprise DI, attributes={url=/services/data/v62.0/sobjects/Account/0014X00002OtAc0QAF, type=Account}, Industry=Restaurant &amp; Food Service}</t>
  </si>
  <si>
    <t>a3AVT000000OBf32AG</t>
  </si>
  <si>
    <t>0018000000wCpRTAA0</t>
  </si>
  <si>
    <t>017VT0000GuOoKsYQK</t>
  </si>
  <si>
    <t>a0rVT00001DX3X1YAL</t>
  </si>
  <si>
    <t>No update at this time. Q1 lifecycle will be scheduled with new CSM</t>
  </si>
  <si>
    <t>00180000012zqhXAAQ</t>
  </si>
  <si>
    <t>{Name=New Relic, Inc., PS_Region_New__c=US Medium Enterprise DI, attributes={url=/services/data/v62.0/sobjects/Account/00180000012zqhXAAQ, type=Account}, Industry=Software &amp; Platforms}</t>
  </si>
  <si>
    <t>CBAE and CSM met with Betsy (CHRO) after negative NPS Survey Results. Her concerns are summarized below:
- Declining Service Quality &amp; Rising Costs: Betsy states that Workday's service quality has deteriorated while costs have increased. She is particularly frustrated with the rising add-on costs and the need to pay more to regain previous service levels. The annual cost of Workday, approximately $600,000, is a major concern.
- Lack of Manufacturing-Specific Features: Betsy feels Workday lacks features tailored to the manufacturing industry, making it less effective for Spectrum Control's specific needs.
- "Nickel-and-Diming" &amp; Excessive Clicks: She describes Workday as "nickel-and-diming" everything, with an internal running joke that they cannot join a call without being sold something. Betsy also finds the platform requires too many clicks to accomplish tasks.
- Customer Service Issues: There are concerns about deteriorating customer service.
- High Public Cloud Migration Costs: Betsy reported potential costs of $100,000-$200,000 for a public cloud migration project, which is considered unacceptable.
- Lack of AI Integration: Workday is not perceived as having established itself in the AI space and is not brought up in conversations about AI in HRIS systems.
- Future Considerations: Given Spectrum Control is PE-owned and may be for sale in 2027, Betsy plans to recommend evaluating other solutions and leaving Workday if that happens.</t>
  </si>
  <si>
    <t>017VT0000GuRRIfYQO</t>
  </si>
  <si>
    <t>a0rVT00001DXBZQYA5</t>
  </si>
  <si>
    <t>a0pVT00000CplnbYAB</t>
  </si>
  <si>
    <t>a0rVT00001DX3YcYAL</t>
  </si>
  <si>
    <t>2026-02-09T20:02:33.000+0000</t>
  </si>
  <si>
    <t>CD Cedar Hill</t>
  </si>
  <si>
    <t>001VT00000bDtEIYA0</t>
  </si>
  <si>
    <t>a3AVT000000Pkyv2AC</t>
  </si>
  <si>
    <t>{PS_Region_New__c=US Large Enterprise DI &amp; Mexico, attributes={type=Account, url=/services/data/v62.0/sobjects/Account/001VT00000bDtEIYA0}, Industry=Restaurant &amp; Food Service, Name=Tasty Hut, LLC}</t>
  </si>
  <si>
    <t>0011B00002CXVrqQAH</t>
  </si>
  <si>
    <t>{PS_Region_New__c=US Medium Enterprise DI, attributes={url=/services/data/v62.0/sobjects/Account/0014X00002OtAc0QAF, type=Account}, SubRegion__c=US DI Commercial NN Central, Industry=Restaurant &amp; Food Service, Name=Alvarado Restaurant Nation, PS_Sub_Region__c=ME Commercial West}</t>
  </si>
  <si>
    <t>2026-09-30T13:26:14.000+0000</t>
  </si>
  <si>
    <t>017VT0000GcCcM6YQK</t>
  </si>
  <si>
    <t>a0rVT00001DX3aEYAT</t>
  </si>
  <si>
    <t>0013000000KydP7AAJ</t>
  </si>
  <si>
    <t>AS - 03/06/25 - Update from AE Wahaab Mir : 
Feedback on Client Meeting :  The discussion was positive, and the client is expected to renew their Adaptive Planning subscription this time around.
However, due to their ongoing integration with their parent company, Valantic, the renewal will likely be for one year.  
Over the next 12 months, Wahaab will focus on aligning with the client's evolving systems landscape post-integration. While this presents a churn risk for the following renewal, it also offers potential upsell opportunities.
Next Steps:
- Wahaab aims to finalize the current renewal before the Nordic summer holidays in July.
- A follow-up call is being scheduled for October to discuss potentially extending Adaptive Planning to their sister company, Venso.</t>
  </si>
  <si>
    <t>{attributes={type=Account, url=/services/data/v62.0/sobjects/Account/0013000000KydP7AAJ}, Name=Under Armour, Inc., PS_Region_New__c=US Large Enterprise DI &amp; Mexico, Industry=Softlines}</t>
  </si>
  <si>
    <t>2025-06-03T14:55:06.000+0000</t>
  </si>
  <si>
    <t>a3AVT000000Qj4j2AC</t>
  </si>
  <si>
    <t>017VT0000GuRNk1YQG</t>
  </si>
  <si>
    <t>a0rVT00001DX3dSYAT</t>
  </si>
  <si>
    <t>0014X00002XJlCzQAL</t>
  </si>
  <si>
    <t>0018000001RRPMgAAP</t>
  </si>
  <si>
    <t>a0pVT00000Cq6X6YAJ</t>
  </si>
  <si>
    <t>Sep 26/2025 
Met with Chakra &amp; Dom in person at Rising. 
The acquisition (by QualComm) is still in progress and will take some time. They are starting to meet internally to discuss processes. They suggested they may renew for 1-year subscription (until they know more). 
Shared this info with their (new) CBAE Jeff Fraser. Renewal is up Jan/2026.</t>
  </si>
  <si>
    <t>{Industry=Ambulatory, Name=District Medical Group, Inc., PS_Region_New__c=US Healthcare, attributes={url=/services/data/v62.0/sobjects/Account/0018000001RRPMgAAP, type=Account}}</t>
  </si>
  <si>
    <t>Alphawave to be acquired by QualComm.</t>
  </si>
  <si>
    <t>Jun 9/2025
We were notified via email from Alphawave's Procurement (with an attached letter from their CEO) that there is an official proposal to acquire Alphawave by Qualcomm (a Workday customer). 
They have not yet received approval for the takeover so the process will take at least another 30 days. 
Action Plan / Owner:
1. CBAE Lindsay Hastings has moved on from ME to LE (Sharif is the RSD on this account).
2. Have reached out to CS contacts (Chakra &amp; Dom, both are WD enthusiasts) and will be here to support them (they will both plan to go to Rising).</t>
  </si>
  <si>
    <t>a0rVT00001DX7POYA1</t>
  </si>
  <si>
    <t>{Name=Visiting Nurse Service of New York, Industry=Post Acute, PS_Sub_Region__c=Healthcare LE, PS_Region_New__c=US Healthcare, attributes={type=Account, url=/services/data/v62.0/sobjects/Account/0018000000oiyxTAAQ}, SubRegion__c=US Healthcare LE CB East}</t>
  </si>
  <si>
    <t>2025-09-26T19:55:18.000+0000</t>
  </si>
  <si>
    <t>CDK Global, LLC</t>
  </si>
  <si>
    <t>017VT0000GuPwstYQC</t>
  </si>
  <si>
    <t>a3AVT000000RHKv2AO</t>
  </si>
  <si>
    <t>0014X00002iHmdfQAC</t>
  </si>
  <si>
    <t>{Name=Boys Town National Research Hospital, PS_Region_New__c=US SLED, Industry=Acute Hospital / Health System, attributes={type=Account, url=/services/data/v62.0/sobjects/Account/0014X00002iHmdfQAC}}</t>
  </si>
  <si>
    <t>2026-09-30T13:24:40.000+0000</t>
  </si>
  <si>
    <t>017VT0000GuQ8ruYQC</t>
  </si>
  <si>
    <t>PTG provided a second "initial" proposal to Hector covering the additional 10 months of scope, with a discount representing investment from both PTG and Deloitte — still not near the 50% mark Hector has requested. CUNY has yet to counter, but PTG and Deloitte are proceeding with collaborative meetings with Workday to assess feasibility and readiness for the re-planned effort, including bringing in an independent Workday delivery expert (Jeff Brady, under a paid PTG engagement) to stress-test whether the replan is credible. CUNY continues to press for honest estimates, and Hector has been explicit that he will not accept a slip past a 2027 go-live.</t>
  </si>
  <si>
    <t>a0rVT00001DX3laYAD</t>
  </si>
  <si>
    <t>a0pVT00000Cq0jPYAR</t>
  </si>
  <si>
    <t>Andrew Hamilton</t>
  </si>
  <si>
    <t>0018000001KdYwJAAV</t>
  </si>
  <si>
    <t>{PS_Region_New__c=US Healthcare, attributes={type=Account, url=/services/data/v62.0/sobjects/Account/0018000001KdYwJAAV}, Industry=Acute Hospital / Health System, Name=Montage Health}</t>
  </si>
  <si>
    <t>{Name=DENSO International America Inc, Industry=Auto Manufacturing, SubRegion__c=US DI LE NN MFG Central, PS_Sub_Region__c=Diversified Industries LE NN, PS_Region_New__c=US Large Enterprise DI &amp; Mexico, attributes={type=Account, url=/services/data/v62.0/sobjects/Account/0013000000KeHNbAAN}}</t>
  </si>
  <si>
    <t>Trend — Escalation is still yellow, but CUNY's own PMO has now reported the program status "Red" for four straight weeks (8/24, 8/31, 9/1, 9/14), which raises the odds it tips red if TWD's replan doesn't show hard proof of credibility soon.
Update — TWD delivered a concrete piece of the replan this week: a proposed adjunct/legacy payroll solution reviewed internally on 9/11 and going to CUNY/Deloitte for acceptance on 9/16, alongside Workday's Jeff Brady embedded onsite driving PMO rigor.
Risk — The 7 hardest integrations — all payroll, tied to CUNY's two 1990s-era mainframe systems (NYC and NY State) — are now targeted for completion between 11/23 and 12/18, meaning the November 1 testing kickoff could start without a proven payroll path.
Next Steps — Sustain Jeff Brady's PMO advisory support and the extended Advisory FIC, and support TWD in pushing the payroll solution to formal CUNY acceptance.</t>
  </si>
  <si>
    <t>017VT0000GcCd82YQC</t>
  </si>
  <si>
    <t>a0rVT00001DX3lbYAD</t>
  </si>
  <si>
    <t>Mitch Gipson ( Senior Advisor to the Chief Operating Officer) raised with PTG Reseller (Jessica Rios) that he is not seeing the value of WSP and would like to have it removed from their contract. Jessica escalated to Suzanne Ferguson (CBAE) and Keith O'Reilly (RSD). Keith has had internal Workday discussions and shared that he would like a direct conversation with Mitch as the information being shared is incomplete. His early read is that there is a deep misalignment between the customer's expectations of WSP and the reality of the service. This is consistent with what I have indicated previously based on my interactions with the customer. It is also consistent with feedback from Brad Cobbs at Deloitte.</t>
  </si>
  <si>
    <t>Partner Challenges</t>
  </si>
  <si>
    <t>001VT00000bSbsBYAS</t>
  </si>
  <si>
    <t>2026-09-16T02:21:36.000+0000</t>
  </si>
  <si>
    <t>{PS_Region_New__c=Corporate, Industry=Software &amp; Platforms, Name=Log-On, attributes={url=/services/data/v62.0/sobjects/Account/001VT00000bSbsBYAS, type=Account}}</t>
  </si>
  <si>
    <t>a3AVT000000Rvjl2AC</t>
  </si>
  <si>
    <t>a0rVT00001DX8MzYAL</t>
  </si>
  <si>
    <t>017VT0000GcCcGUYQ0</t>
  </si>
  <si>
    <t>0014X00002FC0sgQAD</t>
  </si>
  <si>
    <t>a0rVT00001DX3ryYAD</t>
  </si>
  <si>
    <t>CDW LLC</t>
  </si>
  <si>
    <t>During last month's renewal, the customer dropped all SKUs except Extend, Prism and HCM core.</t>
  </si>
  <si>
    <t>001VT00000b34JVYAY</t>
  </si>
  <si>
    <t>{PS_Region_New__c=US Medium Enterprise DI, attributes={type=Account, url=/services/data/v62.0/sobjects/Account/001VT00000b34JVYAY}, Industry=Restaurant &amp; Food Service, Name=Summit Eateries, LLC}</t>
  </si>
  <si>
    <t>a0pVT00000Cpz7OYAR</t>
  </si>
  <si>
    <t>EOP's deployment is atypical. They are not using Workday HCM as their system of record; the primary use is to track administrative onboarding tasks. 
Workday Services is executing on a $375k investment project to address customer concerns, in effort to preserve the account and may influence long-term planning for system of record. 
EOP dropped several SKUs that they did not deploy, to include cancelation of WSP.</t>
  </si>
  <si>
    <t>1) EOP is dissatisfied with their Workday deployment, citing usability concerns (“too many clicks”).
2) Customer lost confidence in KPMG as their SI; their contract has been reduced and expected to end by 10/31/25. 
3) Political environment plays a role – Workday was implemented by the former Presidential Administration; prior political appointees ignored end-user sentiment during deployment. Following change in administration, one particular end-user is now a Political Appointee and dislikes Workday. 
4) EOP is applying pressure to reduce cost of the subscription. Workday already reduced contract cost by ~30%; however, EOP subsequently requested additional cuts to remove unused SKUs.</t>
  </si>
  <si>
    <t>Application Knowledge;Customer Ownership;Deployments;Partner Management;Customer Turnover;Product Issues/Gaps</t>
  </si>
  <si>
    <t>017VT0000GcCd88YQC</t>
  </si>
  <si>
    <t>{Industry=Auto Manufacturing, SubRegion__c=US DI LE NN MFG Central, PS_Region_New__c=US Large Enterprise DI &amp; Mexico, attributes={url=/services/data/v62.0/sobjects/Account/0013000000KeHNbAAN, type=Account}, Name=DENSO International America Inc, PS_Sub_Region__c=Diversified Industries LE NN}</t>
  </si>
  <si>
    <t>2025-09-05T13:25:02.000+0000</t>
  </si>
  <si>
    <t>a0rVT00001DX3vDYAT</t>
  </si>
  <si>
    <t>a3AVT000000SwsH2AS</t>
  </si>
  <si>
    <t>0014X00002U1FkSQAV</t>
  </si>
  <si>
    <t>{Industry=Hardlines, Name=GAF Materials LLC, PS_Region_New__c=US Large Enterprise DI &amp; Mexico, attributes={type=Account, url=/services/data/v62.0/sobjects/Account/0014X00002U1FkSQAV}}</t>
  </si>
  <si>
    <t>04.08.2025 (delayed update due to PTO). Renaud is currently in finalizing stages of the renewal. Benefits/CCB/TT will be dropped but as significant uplift of overall contract value is expected due to FSE growth. We (likely) managed to secure Absence and Extend. It is also very likely that Journeys, Help and Talent will be included in the new contract.</t>
  </si>
  <si>
    <t>017VT0000GcCcGgYQK</t>
  </si>
  <si>
    <t>a0rVT00001DX3y6YAD</t>
  </si>
  <si>
    <t>Argenx is dropping Time Tracking, Benefits, and CCB SKUs from their Workday renewal due to internal changes and a lack of clear use cases or implementation appetite. While the Time Tracking drop is significant, the overall contract value will increase due to FSE growth and the addition of Journeys, Help, and TLO SKUs. We recommend accepting this drop, focusing instead on supporting the new SKUs and exploring the VNDLY opportunity.</t>
  </si>
  <si>
    <t>0018000001WMGBFAA5</t>
  </si>
  <si>
    <t>{attributes={type=Account, url=/services/data/v62.0/sobjects/Account/0018000001WMGBFAA5}, Name=Flynn Group LP, Industry=Restaurant &amp; Food Service, PS_Region_New__c=US Large Enterprise DI &amp; Mexico}</t>
  </si>
  <si>
    <t>a0pVT00000CpkYAYAZ</t>
  </si>
  <si>
    <t>Argenx is renewing their Workday subscription, leading to a decision to drop several SKUs from their original 2019 agreement. While the overall contract value will see a significant uplift due to FSE growth and the addition of new SKUs, understanding the rationale behind the SKU reductions, particularly for Time Tracking, is crucial.
Background and Context
Argenx initially subscribed to a comprehensive set of Workday SKUs in 2019, including Absence and Time Tracking, which were not deployed but renewed for another three years in 2022 (until October 2025). Extend was also added later.
The Argenx Workday team experienced significant changes in contacts and ownership. Keri Palacio joined in December 2023, taking on the Workday Product Owner role in 2024, and Steven Van Broeck (formerly of PwC Belgium) joined at the beginning of 2025. Establishing a meaningful cadence with Keri initially took time, as she was managing a heavy workload, including an ongoing Recruiting enhancements project that required specific innovation services features, leading to a (CSM and customer) focus on getting the ISA signed.
For a period, it remained unclear if and when Benefits, Core Compensation (CCB), Absence, Time Tracking, and Extend would be implemented. The initial reasons or use cases for including these SKUs in the original subscription were also unclear. When addressed, the general sentiment was that identifying these use cases would require significant time and focus from the core team, which was not available. A mutual "on the roadmap" assumption was reflected in the C360 risk assessment (On Roadmap).
With Steven Van Broeck (former PWC) joining early 2025, a more thorough and rational scrutiny of the subscription SKUs and the HRIT timelines commenced. This coincided with the start of renewal conversations led by Renaud. Through these discussions, it became increasingly clear that there was limited appetite to implement certain SKUs, alongside no clear need, use case, or "burning platform" identified for their adoption. There are also the known product gaps around Belgian legal/Time Tracking requirements 
Consequently, Argenx has decided to drop Benefits, CCB, and Time Tracking.
Absence will most likely be retained due to appetite for its implementation in the US. We've proposed aligning with the relevant stakeholder upon her return from leave in August to define the necessary support and inspiration.
Renaud successfully persuaded Steven and Keri to retain Extend, largely based on potential future pricing model changes if they were to drop it now and repurchase later.
Financial Impact
The ACV drop resulting from the Benefits and CCB discontinuation is relatively small. However, the impact of dropping Time Tracking is significant. Despite this, given the absence of clear use cases and the client's current heavy roadmap, limited time/appetite to address it and know product Gaps for Belgium, we recommend accepting this drop.
This decision is further supported by Argenx's choice to include Journeys, Help, and Talent Optimization (TLO) in their renewal, which will substantially offset the ACV loss from the dropped SKUs. Furthermore, the overall contract value will see a significant uplift due to their FSE growth.
We also see an opportunity for VNDLY. Considering all these factors, we recommend focusing our efforts on supporting the newly added SKUs, capitalizing on the overall contract value growth, and exploring the VNDLY opportunity, while accepting the drop of the Time Tracking SKU</t>
  </si>
  <si>
    <t>{attributes={url=/services/data/v62.0/sobjects/Account/0018000001KeQXxAAN, type=Account}, PS_Sub_Region__c=Diversified Industries LE NN, SubRegion__c=US DI LE NN RHT South, Industry=Restaurant &amp; Food Service, Name=Areas Usa, Inc., PS_Region_New__c=US Large Enterprise DI &amp; Mexico}</t>
  </si>
  <si>
    <t>017VT0000GuRWgAYQW</t>
  </si>
  <si>
    <t>a0rVT00001DX403YAD</t>
  </si>
  <si>
    <t>2025-08-04T07:23:15.000+0000</t>
  </si>
  <si>
    <t>00180000015ghkXAAQ</t>
  </si>
  <si>
    <t>a3AVT000000TI9d2AG</t>
  </si>
  <si>
    <t>{Name=City Furniture, Inc., attributes={url=/services/data/v62.0/sobjects/Account/00180000015ghkXAAQ, type=Account}, PS_Region_New__c=US Medium Enterprise DI, Industry=Hardlines}</t>
  </si>
  <si>
    <t>0018000001a3yhdAAA</t>
  </si>
  <si>
    <t>017VT0000GcCcMvYQK</t>
  </si>
  <si>
    <t>Update 01.09.26
T: Amber
U: Activities freozen due to summer break - Leonardo was in company day off almost for the entire month of August. Workshop scheduled on 5th October (+60people IT&amp;HR)
Optimisation initiative will support Leonardo to advise opportunities for planning adoption - Kick off Mid-Sept. COE team engaged
Evaluate support of Lucas Kennedy to facilitate planning adoption
R: Leonardo team need to collect key use cases possible delays related to other on-going programme - preparation session to be held on Sept '26
N: Follow up session with client and partners to define a plan</t>
  </si>
  <si>
    <t>a0rVT00001DX404YAD</t>
  </si>
  <si>
    <t>001VT00000b2GxrYAE</t>
  </si>
  <si>
    <t>Deployment at risk "red" due to:
- Performance issue on headcount plan
- Potential configuration issue to be address with Product team and Professional Services
- Blocker for E2E test to be performed from 21st July to 31st July
Financial risk: possible SKU drop for missing go-live date</t>
  </si>
  <si>
    <t>{PS_Region_New__c=US Medium Enterprise DI, Name=Eastern Carolina Workforce Development Board, attributes={type=Account, url=/services/data/v62.0/sobjects/Account/001VT00000b2GxrYAE}, Industry=Professional Services}</t>
  </si>
  <si>
    <t>SNI/Sales Promotion</t>
  </si>
  <si>
    <t>Celerion</t>
  </si>
  <si>
    <t>2026-09-01T23:01:12.000+0000</t>
  </si>
  <si>
    <t>a0pVT00000Cq3e3YAB</t>
  </si>
  <si>
    <t>a3AVT000000Tnuz2AC</t>
  </si>
  <si>
    <t>017VT0000GcCcGIYQ0</t>
  </si>
  <si>
    <t>0014X00002kjsHfQAI</t>
  </si>
  <si>
    <t>{SubRegion__c=US DI LE NN RHT South, attributes={type=Account, url=/services/data/v62.0/sobjects/Account/0018000001KeQXxAAN}, Name=Areas Usa, Inc., PS_Region_New__c=US Large Enterprise DI &amp; Mexico, PS_Sub_Region__c=Diversified Industries LE NN, Industry=Restaurant &amp; Food Service}</t>
  </si>
  <si>
    <t>001VT00000b2LSsYAM</t>
  </si>
  <si>
    <t>Feb 2, 2026
No change to report in this Wellness update. 
Checked Account View in Tableau and shows usage in the Last Month. 
Legal Request Case: https://workday.lightning.force.com/lightning/r/Case/500VT00000b3K3JYAU/view</t>
  </si>
  <si>
    <t>{Name=BBQNC3 Corporation, attributes={url=/services/data/v62.0/sobjects/Account/001VT00000b2LSsYAM, type=Account}, PS_Region_New__c=US Medium Enterprise DI, Industry=Restaurant &amp; Food Service}</t>
  </si>
  <si>
    <t>Nabil Hasnany</t>
  </si>
  <si>
    <t>Village Family Dental (VFD) has expressed that they are experiencing significant challenges with Workday, particularly dissatisfaction from the CFO regarding reporting functionality and perceived functional regression despite increased costs.
As a result of ongoing frustrations with Workday and OSV, VFD CEO has sent email(s) requesting to terminate their Workday subscription due to perceived deceptive practices and poor execution of the Statement of Work (SOW).
There is a misalignment between VFD's C-suite and operational departments, leading to unclear responsibilities and processes for payroll transition from their previous service to Workday.
VFD went live Jan 2025. TopBloc was their deployment partner. It's important to note that VFD did not use any of their 35 Training Credits. They stated that WD should be intuitive and not require training, and they don't believe in using Community. They are also upset with OSV having to play a part in their payroll process (2 vendors instead of 1).</t>
  </si>
  <si>
    <t>017VT0000GuQddjYQC</t>
  </si>
  <si>
    <t>2026-02-02T14:49:26.000+0000</t>
  </si>
  <si>
    <t>a0rVT00001DX4CyYAL</t>
  </si>
  <si>
    <t>a3AVT000000TuZt2AK</t>
  </si>
  <si>
    <t>0018000000dRBy2AAG</t>
  </si>
  <si>
    <t>0018000000agGD3AAM</t>
  </si>
  <si>
    <t>{attributes={url=/services/data/v62.0/sobjects/Account/0018000000dRBy2AAG, type=Account}, PS_Region_New__c=US Large Enterprise DI &amp; Mexico, Industry=Banking &amp; Capital Markets, Name=Penske Truck Leasing Co LP}</t>
  </si>
  <si>
    <t>CSM Update 1/15/26
- Trending Negative
- Additional scoping complete
- Client has decision to make on how much time they are willing to set aside for their action items 
- Connecting week of 1/20 to ascertain what they reasonably can tackle based on our team's feedback
- MH actively hiring for Oracle expertise for implementation 
Update: Meeting with MH team week of 1/20 to review VNDLY contract and spend to support hopeful renewal; if renewed, ACV will drop severely as customer does not leverage current spend thru system</t>
  </si>
  <si>
    <t>2026-09-30T13:24:53.000+0000</t>
  </si>
  <si>
    <t>a0pVT00000CpmDQYAZ</t>
  </si>
  <si>
    <t>017VT0000GuRZKjYQO</t>
  </si>
  <si>
    <t>a0rVT00001DX4HmYAL</t>
  </si>
  <si>
    <t>001VT00000b2mckYAA</t>
  </si>
  <si>
    <t>{attributes={url=/services/data/v62.0/sobjects/Account/0018000001KeQXxAAN, type=Account}, SubRegion__c=US DI LE NN RHT South, PS_Sub_Region__c=Diversified Industries LE NN, Industry=Restaurant &amp; Food Service, PS_Region_New__c=US Large Enterprise DI &amp; Mexico, Name=Areas Usa, Inc.}</t>
  </si>
  <si>
    <t>Critical Renewal Risk &amp; Expansion Opportunity with Memorial Hermann
1. Top-Line Summary
We face a significant and unexpected risk with a key customer. The customer has verbally indicated their intent to not renew their contract (currently set for 2028) and migrate to Oracle. This notification was delivered in the midst of an active sales motion for a platform expansion, indicating a serious deterioration of the relationship.
2. Key Drivers &amp; Analysis
The catalyst for this decision is the customer's Chief Human Resources Officer (CHRO), who has been minimally involved with Workday to date.
Customer's Stated Position: The CHRO cites a lack of presence from the Workday team and dissatisfaction with recent product demonstrations. They also perceive our AI capabilities as insufficient for their needs.
Our Assessment: We believe the CHRO's stance is primarily a reaction to internal issues. Our expansion discovery process appears to have exposed significant organizational gaps, a lack of strategic clarity, and poor governance within the CHRO's own organization. The current dissatisfaction is likely an attempt to deflect from these internal challenges. The customer has also experienced considerable internal chaos recently, including leadership reorganizations and firings.
3. Workday Accountability &amp; Gaps
We must acknowledge two critical missteps on our part that contributed to this situation:
Insufficient Executive Sponsorship: We failed to establish and maintain strong executive-to-executive relationships, allowing the relationship to be managed at lower levels.
Flawed Sales Execution: The initial product demonstrations for the expansion opportunity missed the mark, failing to align with the customer's core business objectives and damaging our credibility at a crucial moment.
Patrick Blair connected w/ Massey Villarreal (MMHS board | owns Precision Task Group) to push for reconsideration and cost for Oracle move | Massey has influence over the finance committee and will take concerns to CFO and board
4. Immediate Risks
Revenue: Immediate loss of the current expansion opportunity and the long-term loss of the full account renewal.
Competitive: A strategic loss to a key competitor, Oracle, which can be leveraged against us in other deals.</t>
  </si>
  <si>
    <t>{Industry=Professional Services, Name=Christian Help, attributes={type=Account, url=/services/data/v62.0/sobjects/Account/001VT00000b2mckYAA}, PS_Region_New__c=US Medium Enterprise DI}</t>
  </si>
  <si>
    <t>2026-01-16T19:17:50.000+0000</t>
  </si>
  <si>
    <t>Angelique Moore</t>
  </si>
  <si>
    <t>a3AVT000000U8D32AK</t>
  </si>
  <si>
    <t>2026-09-30T13:26:01.000+0000</t>
  </si>
  <si>
    <t>0018000001NdPkhAAF</t>
  </si>
  <si>
    <t>017VT0000GcCcFEYQ0</t>
  </si>
  <si>
    <t>05/26/2026 NH Update: Full Churn confirmed. Customer confirmed bankruptcy filing on 03/25. Workday Legal engaged and pursuing offboarding process as per M&amp;A playbook.</t>
  </si>
  <si>
    <t>a0rVT00001DX4UgYAL</t>
  </si>
  <si>
    <t>0013000000HVm08AAD</t>
  </si>
  <si>
    <t>{Name=KFC Corporation, Industry=Restaurant &amp; Food Service, PS_Region_New__c=US Large Enterprise DI &amp; Mexico, attributes={url=/services/data/v62.0/sobjects/Account/0013000000HVm08AAD, type=Account}}</t>
  </si>
  <si>
    <t>a0pVT00000CpyT4YAJ</t>
  </si>
  <si>
    <t>{Name=Areas Usa, Inc., PS_Sub_Region__c=Diversified Industries LE NN, attributes={url=/services/data/v62.0/sobjects/Account/0018000001KeQXxAAN, type=Account}, Industry=Restaurant &amp; Food Service, SubRegion__c=US DI LE NN RHT South, PS_Region_New__c=US Large Enterprise DI &amp; Mexico}</t>
  </si>
  <si>
    <t>017VT0000GuR1QuYQK</t>
  </si>
  <si>
    <t>0013000000J1WRZAA3</t>
  </si>
  <si>
    <t>Account Overview
Del Monte Foods filed for Chapter 11 bankruptcy on July 1, 2025 in the U.S. Bankruptcy Court (District of New Jersey) and is pursuing a sale of all or substantially all assets as a going concern. The company secured $912.5M in DIP financing (including $165M new funding) to maintain operations during the sale process.
Key drivers of the filing include:
&gt; $1B in long-term secured debt with rising interest costs.
Declining demand for canned goods, with consumer shift toward fresh/private-label products.
Increased production costs from tariffs on steel and aluminum packaging materials.
Current Customer Context
Trend: Negative.
FSE Reduction: Workforce reduced to ~2,800; multiple plant closures.
Leadership Request: CHRO has requested cost reductions.
Sales/CSM Transitions: Sales moved from Susan P. to Barb Mull; CSM handoff in progress.
AE Introduction: On hold pending internal guidance post-bankruptcy filing.
Deployment Status: Unclear status for Help SKU with Intercrowd; no deployment scorecard available.
Territory Question: Need to confirm if Del Monte will remain in Segment 1 or transition to Segment 2 (teamed accounts) under Bobby (RVP).
Stakeholders &amp; Sentiment
The HR technology team is small but knowledgeable, led by experienced Workday practitioners:
Belen Lao-Abanilla – Director of HR Technology; reports to CHRO; new to Del Monte but has deployed Workday multiple times.
Glen Ostergard – HRIS Senior Manager; 37 years at Del Monte; positive sentiment on Workday improvements.
Shelby Ruschak – HR Business Specialist; 2 years at Del Monte; leading Payroll operations.
Risks
Financial: High potential for ACV reduction due to workforce downsizing and cost-cutting measures. Peakon ACV at $52K.
Operational: Risk of deployment disruption during leadership transitions and bankruptcy process.
Relationship: Delay in AE introduction could stall strategic momentum.
Territory Alignment: Uncertainty on segment ownership could slow internal coordination.
Next Steps
Confirm segment ownership (Segment 1 vs. Segment 2) with leadership and RVP Bobby.
Schedule internal sync with Barb Mull to align on customer engagement approach.
Reach out to Belen with a supportive message and offer targeted assistance.
Gather deployment status details and prepare a value summary for internal review.
Wellness Plan
Our focus is to stabilize the account, preserve ACV, and maintain trust during restructuring.
1. Strengthen Relationships
Maintain bi-weekly check-ins with Belen, Glen, and Shelby to monitor sentiment and identify issues early.
Keep communications supportive and cost-optimization focused.
Delay AE introduction until corporate alignment is achieved.
2. Secure Deployment Progress
Validate status of Help SKU deployment with Intercrowd and resolve blockers.
Prioritize support for core SKUs essential to HR operations.
3. Monitor Financial &amp; Legal Developments
Track bankruptcy proceedings, sale milestones, and any operational impact from DIP financing terms.
Coordinate with Finance to monitor payment health.
4. Internal Coordination
Confirm Segment 1 vs. Segment 2 ownership with leadership (impacting RVP/CSM alignment).
Work with Barb Mull to finalize post-bankruptcy engagement strategy.
Align with Legal and Finance on contractual considerations if ownership changes.
5. Contingency Planning
Prepare a “minimum viable Workday” footprint if budget cuts occur.
Create a retention plan to present to potential new ownership.</t>
  </si>
  <si>
    <t>{attributes={url=/services/data/v62.0/sobjects/Account/0013000000J1WRZAA3, type=Account}, Name=Cargill, Incorporated, Industry=Chemicals, PS_Region_New__c=US Large Enterprise DI &amp; Mexico}</t>
  </si>
  <si>
    <t>a0rVT00001DXFzZYAX</t>
  </si>
  <si>
    <t>2026-06-04T20:58:51.000+0000</t>
  </si>
  <si>
    <t>Centers Health Care</t>
  </si>
  <si>
    <t>2026-09-30T13:24:10.000+0000</t>
  </si>
  <si>
    <t>a3AVT000000UbYP2A0</t>
  </si>
  <si>
    <t>a0pVT00000Cq3HVYAZ</t>
  </si>
  <si>
    <t>017VT0000GuRS3EYQW</t>
  </si>
  <si>
    <t>0018000001NVw44AAD</t>
  </si>
  <si>
    <t>a0rVT00001DX4UiYAL</t>
  </si>
  <si>
    <t>{PS_Sub_Region__c=Diversified Industries LE NN, Name=Areas Usa, Inc., Industry=Restaurant &amp; Food Service, PS_Region_New__c=US Large Enterprise DI &amp; Mexico, SubRegion__c=US DI LE NN RHT South, attributes={type=Account, url=/services/data/v62.0/sobjects/Account/0018000001KeQXxAAN}}</t>
  </si>
  <si>
    <t>0013000000KzleTAAR</t>
  </si>
  <si>
    <t>Trend: Negative due to pricing constraints — high churn risk.
Competitor (Oracle) actively pursuing account with lower pricing.
Relationship is strained; customer’s willingness to renew depends heavily on pricing agreement.
OP PHX is engaged to support retention and executive outreach is planned.</t>
  </si>
  <si>
    <t>{attributes={url=/services/data/v62.0/sobjects/Account/0013000000KzleTAAR, type=Account}, PS_Region_New__c=US Large Enterprise DI &amp; Mexico, Industry=Restaurant &amp; Food Service, Name=Chick-fil-A, Inc.}</t>
  </si>
  <si>
    <t>Lumentum is in a critical renewal phase with elevated churn risk, driven primarily by price sensitivity and competitive pressure from Oracle. Despite multiple negotiation rounds and a revised $1.35M ACV proposal that meets their request for significant reductions while preserving contract value, the account may still choose to leave. With the AE on leave, OP PHX and executive outreach are key to influencing the outcome. A proposal review with EVP Michael Brooker is being scheduled, and Sales will present the revised offer next week.</t>
  </si>
  <si>
    <t>Account has moved between segments over the years; returned to S1 in Feb 2025.
Long-standing history of price sensitivity and contentious renewal negotiations.
Current renewal discussions have escalated, with Lumentum threatening to move to Oracle due to pricing.
Negotiations have shifted from a flat renewal to significant price concessions.
Current offer: $1.35M ACV (flat to last year) vs. original $2.1M ACV.
CSM has tried to engaged and customer has pushed back on meeting
AE currently on leave, creating coverage challenges.</t>
  </si>
  <si>
    <t>017VT0000GuRTyWYQW</t>
  </si>
  <si>
    <t>2025-08-14T14:38:37.000+0000</t>
  </si>
  <si>
    <t>a0rVT00001DX4UjYAL</t>
  </si>
  <si>
    <t>a0rVT00001DXA3qYAH</t>
  </si>
  <si>
    <t>a3AVT000000Usz32AC</t>
  </si>
  <si>
    <t>0018000000NLEG5AAP</t>
  </si>
  <si>
    <t>Centria Healthcare LLC</t>
  </si>
  <si>
    <t>0018000001JgzHgAAJ</t>
  </si>
  <si>
    <t>{Industry=Utilities, Name=Veolia Environnement SA, attributes={type=Account, url=/services/data/v62.0/sobjects/Account/0018000000NLEG5AAP}, PS_Region_New__c=EMEA South}</t>
  </si>
  <si>
    <t>a0pVT00000Cq7eQYAR</t>
  </si>
  <si>
    <t>Latest Update , 31 July : 
Ernest Ng (hiredscore) had a dinner with Grab CHRO + HR leaders on 22nd July. Grab are going to release RFP, there are 3 requests from Grab :
Track 1 : Current Product Optimization (services)
1. Resolve Existing Issues: They want long-standing issues addressed separately and don't want them discussed during the workshop. They need to know if these problems stem from their system setup or our product's limitations.
Track 2 : Future/Transformational State (product)
2. Visioning Workshop: They want a collaborative workshop on the future of AI and agent-based solutions, focusing on their vision of talent agility and connecting insights from "hire to retire." 
3. Trusted Partner : If the RFP goes in Workday favor, they want a recommendation for a trusted, regional Systems Integrator (SI) for their re-implementation. 
Next Steps : 
1. Current product optimization (services) : we are still waiting for feedback if the solutions we provided fits for business. We are preparing assessment approach if Grab would needs re-implementation or just major reconfiguration.
2. Future/ transformational state (product) : we have offered Grab CXC in Singapore OR, SF rising + CXC</t>
  </si>
  <si>
    <t>{PS_Region_New__c=US Large Enterprise DI &amp; Mexico, attributes={url=/services/data/v62.0/sobjects/Account/0018000001KeQXxAAN, type=Account}, Industry=Restaurant &amp; Food Service, PS_Sub_Region__c=Diversified Industries LE NN, SubRegion__c=US DI LE NN RHT South, Name=Areas Usa, Inc.}</t>
  </si>
  <si>
    <t>017VT0000GuRTCIYQ4</t>
  </si>
  <si>
    <t>Reason of Churn 
-Best-of-breed preference: Grab favors specialized, standalone solutions over integrated suites like Workday.
CHRO's impression over the years :
-Slow product improvement: Workday's product evolution, is perceived as stagnant compared to standalone competitors. E.g performance management - Grab used their own in house solution.
-Poor UI and inflexibility: The application's user interface isn't intuitive, and product lack of flexibility is a significant concern.</t>
  </si>
  <si>
    <t>a0rVT00001DX4WIYA1</t>
  </si>
  <si>
    <t>We're facing a significant logo churn risk as they've been dropping our SKUs one by one, demonstrating a concerning trend of attrition and dissatisfaction. Here's a quick overview of the situation:
2020: Dropped Learning (LRN)
2023: Dropped Recruiting (REC)
2024: Moving away from Skills Cloud to Gloat
2024: Purchased Workday Extend but are struggling with development.</t>
  </si>
  <si>
    <t>0018000000rQmo7AAC</t>
  </si>
  <si>
    <t>{attributes={type=Account, url=/services/data/v62.0/sobjects/Account/0018000000rQmo7AAC}, PS_Region_New__c=ASEAN, Name=StarHub Ltd., Industry=Telecom}</t>
  </si>
  <si>
    <t>2025-08-20T09:11:10.000+0000</t>
  </si>
  <si>
    <t>a3AVT000000VDKL2A4</t>
  </si>
  <si>
    <t>2026-09-30T13:25:24.000+0000</t>
  </si>
  <si>
    <t>0013000000IpUc9AAF</t>
  </si>
  <si>
    <t>017VT0000GuRG2WYQW</t>
  </si>
  <si>
    <t>a0rVT00001DX4ckYAD</t>
  </si>
  <si>
    <t>00180000010Frd7AAC</t>
  </si>
  <si>
    <t>JS 5/14/26: While Dave &amp; Buster’s remains a high-risk, 30% activation account, the recovery strategy has shifted toward a "path to green" following the April launch of the FINs RENEW Investment led by EM Brian Eppig. Early requirement meetings have yielded positive feedback from VP Controller Tanis Darnell, signaling a positive turn in sentiment. The focus now shifts to a pivotal onsite executive meeting on June 23rd, where the Workday team (including AVP Dale Smythe and RVP Dave Gilbert) will align with the new CIO and CFO to review state of the partnership, successes and vision for the future . This meeting serves as an important reset to stabilize the partnership.</t>
  </si>
  <si>
    <t>{PS_Region_New__c=US Large Enterprise DI &amp; Mexico, attributes={url=/services/data/v62.0/sobjects/Account/00180000010Frd7AAC, type=Account}, Industry=Business Services, Name=Kellermeyer Bergensons Services LLC}</t>
  </si>
  <si>
    <t>a0pVT00000CppnzYAB</t>
  </si>
  <si>
    <t>017VT0000GuR49QYQS</t>
  </si>
  <si>
    <t>{SubRegion__c=US DI ME NN RHT Northeast, Name=Wyndham Hotels &amp; Resorts, Inc., PS_Region_New__c=US Medium Enterprise DI, Industry=Lodging &amp; Resorts, PS_Sub_Region__c=ME NN RHT East, attributes={url=/services/data/v62.0/sobjects/Account/0018000001dyYcgAAE, type=Account}}</t>
  </si>
  <si>
    <t>a0rVT00001DX4jCYAT</t>
  </si>
  <si>
    <t>0013000000J2sKyAAJ</t>
  </si>
  <si>
    <t>{attributes={url=/services/data/v62.0/sobjects/Account/0013000000J2sKyAAJ, type=Account}, Industry=Consumer Goods, Name=Kraft Heinz Foods Company, PS_Region_New__c=US Large Enterprise DI &amp; Mexico}</t>
  </si>
  <si>
    <t>017VT0000GcCcGmYQK</t>
  </si>
  <si>
    <t>a0rVT00001DX4jDYAT</t>
  </si>
  <si>
    <t>0014X00002aUYO5QAO</t>
  </si>
  <si>
    <t>a0rVT00001BxD46YAF</t>
  </si>
  <si>
    <t>{attributes={url=/services/data/v62.0/sobjects/Account/0014X00002aUYO5QAO, type=Account}, PS_Region_New__c=US FSI, Name=Moody's Corporation, Industry=Investment Management}</t>
  </si>
  <si>
    <t>a0pVT00000Cq19DYAR</t>
  </si>
  <si>
    <t>{SubRegion__c=US DI ME NN RHT Northeast, PS_Region_New__c=US Medium Enterprise DI, Name=Wyndham Hotels &amp; Resorts, Inc., PS_Sub_Region__c=ME NN RHT East, Industry=Lodging &amp; Resorts, attributes={type=Account, url=/services/data/v62.0/sobjects/Account/0018000001dyYcgAAE}}</t>
  </si>
  <si>
    <t>017VT0000GuPYagYQG</t>
  </si>
  <si>
    <t>Dave &amp; Buster's Account: Risk Mitigation Plan
Date: August 27, 2025
Overall Risk Assessment: SIGNIFICANT
This Summary outlines the current risks associated with the Dave &amp; Buster's account, totaling $252,442.49. The following sections detail the specific challenges for each product area and propose actionable next steps to mitigate these risks, stabilize the account, and rebuild client trust.
Risk Summary &amp; Financial Impact
The total amount at risk is distributed across three primary service areas. An immediate and concentrated effort is required to address the most urgent issues and prevent churn.
- Peakon	($79,323.33):	High Risk - Significant product gaps compared to previous vendor (Gallup); upcoming annual survey deployment on the week of 8/25.
- Projects ($92,543.83)	High Risk - Poor initial testing and configuration leading to systemic issues;
- Strategic Sourcing ($80,575.33) - Medium - Underutilization due to product gaps and team's focus being diverted to critical failures in other modules (Projects/OCR).
Detailed Risk Analysis
1. Peakon (Immediate Risk):
The client is a former Gallup user and perceives Peakon as having significant functional gaps. This is a critical issue as their annual employee survey is scheduled for the week of August 25th. A poor experience during this deployment will likely lead to immediate churn for this product. The client's expectations were not properly set regarding the differences between the two platforms, leading to dissatisfaction.
2. Projects (High Risk)
The core issue stems from inadequate testing and configuration during the initial deployment, a fact the client acknowledges. This has created several downstream problems
- General System Gaps: The lack of thorough testing has resulted in an unstable and unreliable user experience across the Projects module.
- Unclear what are gaps vs. issues due to lack of testing
3. OCR Scanning (High Risk):
The OCR Scanning tool is a huge pain point and is failing to perform accurately. It is incorrectly scanning supplier invoices, which forces the client's team to manually review and correct nearly every single invoice. This has completely eroded their trust in the feature's accuracy and is causing a significant drain on their resources.
4. Strategic Sourcing (Medium Risk)
This module is at risk due to potential product gaps downstream impacts from OCR. The client's team is also so consumed with managing the fallout from the Projects and OCR issues that they lack the time and resources to properly engage with and leverage the Strategic Sourcing tool to its full potential.
Proposed Next Steps &amp; Action Plan
1. Address Peakon Immediately (Pre-Survey Actions)
•.    Assign a Peakon Product Manager and IO psych to discuss Peakon Methodology and Customization options
•.    Conduct Emergency Meeting to discuss capabilities and ensure necessary insights can be pulled (By September 4)
-     Clearly document the specific feature gaps between Peakon and Gallup that are most critical for the upcoming survey.
-     Identify workarounds, alternative methodologies within Peakon, and communication strategies to manage employee/manager expectations.
2. Stabilize the Projects Module
-     Engage with Product Team ASAP to address config vs. use case gaps
-     Identify investment opportunity to help client with significant challenges to possibly re-deploy projects
3. Address significant OCR challenges:
-     D&amp;B to log support cases for all shortfalls with OCR (not currently being executed)
-     Workday D&amp;B Team to meet 8/27 to discuss shortfalls and roadmap
-     Establish next steps and whether current functionality meets D&amp;B's needs
4. Re-engage on Strategic Sourcing
- Develop a Value-Based Roadmap: Propose a 90-day plan that outlines specific, achievable sourcing goals that can be met with the tool, demonstrating a clear path to ROI.
- Engage Product Management to discuss current challenges and roadmap to success</t>
  </si>
  <si>
    <t>a0rVT00001DX4jEYAT</t>
  </si>
  <si>
    <t>2026-05-14T17:02:18.000+0000</t>
  </si>
  <si>
    <t>001VT00000b2v3JYAQ</t>
  </si>
  <si>
    <t>{PS_Region_New__c=US Medium Enterprise DI, Name=Hirschbach Motor Lines, Inc., attributes={url=/services/data/v62.0/sobjects/Account/001VT00000b2v3JYAQ, type=Account}, Industry=Land and Rail Transportation and Freight}</t>
  </si>
  <si>
    <t>a3AVT000000Vk6b2AC</t>
  </si>
  <si>
    <t>0014X00002ejWrMQAU</t>
  </si>
  <si>
    <t>2026-09-30T13:26:10.000+0000</t>
  </si>
  <si>
    <t>Scorecard request: 3392055</t>
  </si>
  <si>
    <t>August 22 2025 - Met with customer to make recommendations on training, ongoing support model, and how to prioritize enhancements.</t>
  </si>
  <si>
    <t>017VT0000GuRSizYQG</t>
  </si>
  <si>
    <t>a0rVT00001DX4rGYAT</t>
  </si>
  <si>
    <t>0014X00002l5Nh6QAE</t>
  </si>
  <si>
    <t>The customer is having a lot of challenges following their deployment. Below are some of the key areas we have identified:
1. Lean Support Team - Lean internal support team and turnover from initial deployment has created more pressure.
2. Reverted Back to Previous System - Catch up data was missing in Workday. Users also felt more confident in transacting in legacy system over Workday.
3. Lack of Training - Eze Cloud administered KT during deployment, but formal Workday training is still pending.
4. Basic Functional Configuration - The quick deployment timeline was intended to configure the core functionality but customization and additional features are still pending.
5. Reporting Challenges - Custom reports are needed but the expertise to develop the reports in house is not present yet.
6. Change Management &amp; Adoption Planning - There isn't a formal change management or adoption planning process in place currently.</t>
  </si>
  <si>
    <t>a0pVT00000Cq6DkYAJ</t>
  </si>
  <si>
    <t>{Name=Young Men's Christian Association of Greater Long Beach, PS_Region_New__c=US SLED, Industry=Non-Profit, attributes={url=/services/data/v62.0/sobjects/Account/0014X00002l5Nh6QAE, type=Account}}</t>
  </si>
  <si>
    <t>Application Knowledge;Customer Ownership;Customer Turnover</t>
  </si>
  <si>
    <t>2025-09-08T09:39:46.000+0000</t>
  </si>
  <si>
    <t>a3AVT000000WrFh2AK</t>
  </si>
  <si>
    <t>{Name=Susquehanna Workforce Network, PS_Region_New__c=US Medium Enterprise DI, Industry=Professional Services, SubRegion__c=US DI Commercial NN Mid-Atlantic, attributes={url=/services/data/v62.0/sobjects/Account/001VT00000b2nc2YAA, type=Account}, PS_Sub_Region__c=ME Commercial East}</t>
  </si>
  <si>
    <t>0018000000sfbzzAAA</t>
  </si>
  <si>
    <t>017VT0000GcCcGdYQK</t>
  </si>
  <si>
    <t>a0rVT00001DX4uWYAT</t>
  </si>
  <si>
    <t>Currently looking to align time with the CPO on the engagement plan to get agreement on the governance model.</t>
  </si>
  <si>
    <t>0011B00002FbkiGQAR</t>
  </si>
  <si>
    <t>Christine Davall</t>
  </si>
  <si>
    <t>{attributes={url=/services/data/v62.0/sobjects/Account/0011B00002FbkiGQAR, type=Account}, PS_Region_New__c=US Medium Enterprise DI, Industry=Business Services, Name=Dwyer Franchising LLC d/b/a Neighborly}</t>
  </si>
  <si>
    <t>017VT0000GuQ0ZZYQ0</t>
  </si>
  <si>
    <t>NAB is currently still in major deployment.  Having delivered HCM and Recruiting to the 11 smaller countries, NAB is in the middle of deploying to the major market, Australia. NAB’s WSP Acc+ Renewal due 22 Dec 2025 valued at AUD$703k ACV. The WSP was signed 31 Oct 2024 and is not co-termed with NAB’s Core Workday subscription running through until 22 Dec 2026. 
There is some concern that not not renew WSP Acc+</t>
  </si>
  <si>
    <t>a0rVT00001DX4zLYAT</t>
  </si>
  <si>
    <t>0018000000MUvzWAAT</t>
  </si>
  <si>
    <t>2026-09-27T23:14:08.000+0000</t>
  </si>
  <si>
    <t>{attributes={url=/services/data/v62.0/sobjects/Account/0018000000MUvzWAAT, type=Account}, PS_Region_New__c=US Large Enterprise DI &amp; Mexico, Name=Korn Ferry - MSP, Industry=Professional Services}</t>
  </si>
  <si>
    <t>a0pVT00000CpoS6YAJ</t>
  </si>
  <si>
    <t>a3AVT000000Wrh72AC</t>
  </si>
  <si>
    <t>2026-09-30T13:25:03.000+0000</t>
  </si>
  <si>
    <t>{Industry=null, PS_Sub_Region__c=null, SubRegion__c=null, Name=Clari Inc., PS_Region_New__c=null, attributes={url=/services/data/v62.0/sobjects/Account/0018000001MqmoVAAR, type=Account}}</t>
  </si>
  <si>
    <t>017VT0000GuPHMMYQ4</t>
  </si>
  <si>
    <t>No further updates at this time</t>
  </si>
  <si>
    <t>a0rVT00001DX4zMYAT</t>
  </si>
  <si>
    <t>Chandler Police Department</t>
  </si>
  <si>
    <t>001VT00000b1MHMYA2</t>
  </si>
  <si>
    <t>Customer has purchased the HiredScore integration SKU and is under the impression that this includes Paradox licenses (prior to Paradox acquisition).</t>
  </si>
  <si>
    <t>{PS_Region_New__c=US Large Enterprise DI &amp; Mexico, Name=First Watch Restaurants, Inc, Industry=Restaurant &amp; Food Service, attributes={url=/services/data/v62.0/sobjects/Account/001VT00000b1MHMYA2, type=Account}}</t>
  </si>
  <si>
    <t>2026-09-30T08:00:31.000+0000</t>
  </si>
  <si>
    <t>2026-09-30T13:25:56.000+0000</t>
  </si>
  <si>
    <t>a3AVT000000X1mv2AC</t>
  </si>
  <si>
    <t>017VT0000GcCcL2YQK</t>
  </si>
  <si>
    <t>0018000000qWqJDAA0</t>
  </si>
  <si>
    <t>a0rVT00001DX51hYAD</t>
  </si>
  <si>
    <t>5 Oct - CoE Request made</t>
  </si>
  <si>
    <t>0018000000YOdeDAAT</t>
  </si>
  <si>
    <t>FLSsmidth (FLS) has Workforce Planning SKU and have not deployed it (SNI). There has been some changes in stakeholders, Planning stakeholder has left and also FLS has divested part of the company - FLSmidth Cement. Brian Oscarson has informed WD that they are likely not mature enough to deploy WFPLN and this could be at risk. Engagement requested with WFPLN CoE to support this and engage with FLS to address the situation</t>
  </si>
  <si>
    <t>{Industry=Restaurant &amp; Food Service, PS_Region_New__c=UKI, attributes={type=Account, url=/services/data/v62.0/sobjects/Account/0018000000YOdeDAAT}, Name=McDonald’s Restaurants Limited}</t>
  </si>
  <si>
    <t>a0pVT00000Cq2reYAB</t>
  </si>
  <si>
    <t>2025-10-09T09:52:05.000+0000</t>
  </si>
  <si>
    <t>a3AVT000000X2cX2AS</t>
  </si>
  <si>
    <t>017VT0000GcCd7wYQC</t>
  </si>
  <si>
    <t>{Name=WideOpenWest Finance, LLC, PS_Sub_Region__c=ME CB TM &amp; RHT, Industry=Telecom, SubRegion__c=US DI ME CB TM Southwest, attributes={url=/services/data/v62.0/sobjects/Account/0018000000pNRFGAA4, type=Account}, PS_Region_New__c=US Medium Enterprise DI}</t>
  </si>
  <si>
    <t>a0rVT00001DX55tYAD</t>
  </si>
  <si>
    <t>0014X00002fG64SQAS</t>
  </si>
  <si>
    <t>0018000000fhqYtAAI</t>
  </si>
  <si>
    <t>{attributes={type=Account, url=/services/data/v62.0/sobjects/Account/0018000000fhqYtAAI}, Name=Great Wolf Resorts, Inc., PS_Region_New__c=US Large Enterprise DI &amp; Mexico, Industry=Lodging &amp; Resorts}</t>
  </si>
  <si>
    <t>Per CBAE, customer is renewal/churn risk.
Customer having a lot of turnover. People supporting Workday now were not involved in initial deployment and most have no WD experience. Due to turnover and some new people without previous WD experience, customer is still stabilizing and focusing on adopting and understanding how to start working with Workday.</t>
  </si>
  <si>
    <t>2025-10-09T21:33:36.000+0000</t>
  </si>
  <si>
    <t>a3AVT000000X3vB2AS</t>
  </si>
  <si>
    <t>017VT0000GuPFHkYQO</t>
  </si>
  <si>
    <t>a0rVT00001DX57jYAD</t>
  </si>
  <si>
    <t>0018000000Wsn7pAAB</t>
  </si>
  <si>
    <t>0018000000qVUTcAAO</t>
  </si>
  <si>
    <t>{Industry=Business Services, attributes={type=Account, url=/services/data/v62.0/sobjects/Account/0018000000qVUTcAAO}, PS_Region_New__c=US Medium Enterprise DI, Name=Stanley Steemer International, Inc.}</t>
  </si>
  <si>
    <t>a0pVT00000CpyGCYAZ</t>
  </si>
  <si>
    <t>The City of Tucson leadership is highly dissatisfied with its Workday investment, citing a significant lack of optimization, particularly within the HR department. They are questioning the entire deployment methodology, partner performance, and client enablement process. Much of their concerns stem from new leadership disagreeing with how Workday was implemented under previous leadership.
Root Causes of Dissatisfaction
The core problems stem from systemic issues within the City's adoption and management of Workday:
Poor Ownership &amp; Training: Many City users (IT, HR, Finance) were improperly trained, and expectations were poorly set. Instead of optimizing processes, users simply moved their old, inefficient procedures into the new system. Prism was specifically called out as a product that they were sold but do not use due to lack of knowledge transfer to IT and no formal change over to IT from the partner. 
Governance Vacuum: The City lacks formal governance for enterprise applications, a vision for digital transformation, and processes for release management. This means audit recommendations often lack follow-through.
Partner Accountability: Implementation partners are perceived as being solely focused on delivery time and budget, neglecting the "end game" of customer enablement and positive outcomes (e.g., poor knowledge transfer on systems like Prism).
Inefficient Implementations: Modules like Recruiting (SKU) and proposed ones like Learning (LRN) suffer from "band-aid implementations" where the City doesn't understand or utilize Workday best practices.</t>
  </si>
  <si>
    <t>2026-09-30T13:25:19.000+0000</t>
  </si>
  <si>
    <t>Chick-fil-A, Inc.</t>
  </si>
  <si>
    <t>0014X00002aSHxcQAG</t>
  </si>
  <si>
    <t>Opening this wellness plan due to large threat to customer satisfaction. 
Trend-Unfavorable
Update-CBAE Michele King and her Manager Maureen Hagen joined a call with CSM and Services to discuss concerns with Tucson leadership 9-30. Workday team to visit the customer on site. Workday team to define next steps, including a training plan with enablement for Tucson team. Potential next step-Workday services to implement LRN for the city. This would help win over the HR Director. Workday team to help educate the customer on WSP offerings for knowledge gaps. CSM to help with Ask an Expert utilization and Optimization Packages.
Risk-Customer satisfaction is very negative currently. Prism SKU is not being utilized.
Next Steps-Maureen and Michele sent a note to Tucson leadership 10-6 requesting an in person meeting later in October to discuss the above. Tucson has yet to reply.</t>
  </si>
  <si>
    <t>017VT0000GuRYGYYQ4</t>
  </si>
  <si>
    <t>{attributes={type=Account, url=/services/data/v62.0/sobjects/Account/0014X00002aSHxcQAG}, PS_Region_New__c=US Healthcare, Name=Birmingham Green, PS_Sub_Region__c=Healthcare ME, SubRegion__c=US Healthcare ME NN Northeast, Industry=Post Acute}</t>
  </si>
  <si>
    <t>2025-10-10T21:08:27.000+0000</t>
  </si>
  <si>
    <t>0018000001LZEqhAAH</t>
  </si>
  <si>
    <t>a3AVT000000XGPN2A4</t>
  </si>
  <si>
    <t>{PS_Region_New__c=US Healthcare, Name=Adelante Healthcare, attributes={type=Account, url=/services/data/v62.0/sobjects/Account/0018000001LZEqhAAH}, Industry=Acute Hospital / Health System}</t>
  </si>
  <si>
    <t>0018000001AwXYVAA3</t>
  </si>
  <si>
    <t>Customer is unhappy.  They have not had much interaction with CSMs, as a WSP customer.  They were under the impression that WSP was included in their bundle and had to pay for it after 1 yr.  This caused high level of customer's negative sentiment about Workday.  
This was followed by a growth event which was also a surprise for them.  CBAE is working as a sponsor and advocate for the customer.  Her assessment is that the CSM engagement is lacking. 
She advised that the customer need contract education at this time.  Once the contract conversation is over, a meeting should be arranged in November.  A CSM that can be on-site would be more helpful for this customer.</t>
  </si>
  <si>
    <t>017VT0000GuPf5EYQS</t>
  </si>
  <si>
    <t>a0rVT00001DX57lYAD</t>
  </si>
  <si>
    <t>0018000001WLsCRAA1</t>
  </si>
  <si>
    <t>Lack of Customer Engagement;Resource/Knowledge Issue</t>
  </si>
  <si>
    <t>{Name=Young Men's Christian Association of Greater Indianapolis, PS_Region_New__c=US SLED, Industry=Non-Profit, attributes={url=/services/data/v62.0/sobjects/Account/0018000001WLsCRAA1, type=Account}}</t>
  </si>
  <si>
    <t>2025-10-15T19:37:19.000+0000</t>
  </si>
  <si>
    <t>a0pVT00000CpwXmYAJ</t>
  </si>
  <si>
    <t>a3AVT000000XIz32AG</t>
  </si>
  <si>
    <t>a0rVT00001DWwwwYAD</t>
  </si>
  <si>
    <t>a0rVT00001DX6mcYAD</t>
  </si>
  <si>
    <t>0018000001TfCo2AAF</t>
  </si>
  <si>
    <t>Chobani, LLC (Inactive Account)</t>
  </si>
  <si>
    <t>001VT00000b2uonYAA</t>
  </si>
  <si>
    <t>No change in customer's plans. Customer will not be attending Rising.  Customer will not be renewing Workday at the end of their contract. They will be moving to Restaurant 365 by July 2027.</t>
  </si>
  <si>
    <t>017VT0000GuQzqFYQS</t>
  </si>
  <si>
    <t>{Industry=Post Acute, SubRegion__c=US Healthcare ME NN West, PS_Region_New__c=US Healthcare, Name=Stellar Senior Living, attributes={type=Account, url=/services/data/v62.0/sobjects/Account/001VT00000b2uonYAA}, PS_Sub_Region__c=Healthcare ME}</t>
  </si>
  <si>
    <t>a0rVT00001DX57mYAD</t>
  </si>
  <si>
    <t>Lack of Customer Engagement</t>
  </si>
  <si>
    <t>2026-09-25T20:30:30.000+0000</t>
  </si>
  <si>
    <t>001VT00000b2hd4YAA</t>
  </si>
  <si>
    <t>{PS_Region_New__c=US SLED, Name=City of Derby, Kansas, Industry=State &amp; Local Government, attributes={url=/services/data/v62.0/sobjects/Account/001VT00000b2hd4YAA, type=Account}}</t>
  </si>
  <si>
    <t>a3AVT000000XWCP2A4</t>
  </si>
  <si>
    <t>0011B00002CZggHQAT</t>
  </si>
  <si>
    <t>2026-09-30T13:25:58.000+0000</t>
  </si>
  <si>
    <t>9/22/26 - Team is tracking green to move to B&amp;B January 1st 2027
KPMG is helping with the cutover activities so all is going fine
RSC is running Performance Reviews in Workday in november.
Paul Moga who was the main POC at RSC resigned and will not be joining the B&amp;B Team</t>
  </si>
  <si>
    <t>017VT0000GcCdAeYQK</t>
  </si>
  <si>
    <t>2026-09-22T19:37:01.000+0000</t>
  </si>
  <si>
    <t>a0rVT00001DX5CEYA1</t>
  </si>
  <si>
    <t>a3AVT000000XWSX2A4</t>
  </si>
  <si>
    <t>0013000000L1vlnAAB</t>
  </si>
  <si>
    <t>{Name=Tennant Company, attributes={type=Account, url=/services/data/v62.0/sobjects/Account/0013000000L1vlnAAB}, PS_Region_New__c=US Large Enterprise DI &amp; Mexico, Industry=Industrial Manufacturing}</t>
  </si>
  <si>
    <t>0018000000sfc65AAA</t>
  </si>
  <si>
    <t>a0pVT00000CqBmrYAF</t>
  </si>
  <si>
    <t>Update 19/01/26
New MTP Date 19/01/26 and Business Go-Live Date of 2nd Feb signed off as part of replanning.
Move to Production Completed. Catchup Transactions and Business Go-Live Prep is in progress.
Next Steps 19/01/26
Support Go-Live Preparation.
Continue Post Production Support, In Progress.
Complete Knowledge Transfer Sessions.
PRODUCT SPECIFIC NEEDS UPDATE 9/23/2025
AUS Payroll in scope and will require support during Pay runs.
ASKS:
Support required from Workday Leadership on Phase I Budget Overrun and Phase II Realignment Discussion with Seven Project Sponsor</t>
  </si>
  <si>
    <t>Arvind Sundaresan</t>
  </si>
  <si>
    <t>017VT0000GuRYGVYQ4</t>
  </si>
  <si>
    <t>Seven West Media (SWM) is misaligned with the Workday Launch Methodology, expecting a traditional SI model with full-time resources. They exhibit project unreadiness in resourcing, governance, and SOW understanding (responsibilities, project management, functionality). SWM anticipates SDLC governance and extensive Workday documentation across all domains. SWM Program Manager from Mivada, Andrew Janssen and CHRO Luncinda have set very aggressive timelines despite limited resource skill and availability on SWM side.
Issue Category - Customer readiness &amp; Program mgt/complexity
Escalation Path - Chris Curtis was introduced to Lucinda Gemmell, Chief People &amp; Culture Officer</t>
  </si>
  <si>
    <t>{PS_Region_New__c=US Healthcare, Industry=Post Acute, attributes={url=/services/data/v62.0/sobjects/Account/001VT00000b2uonYAA, type=Account}, PS_Sub_Region__c=Healthcare ME, Name=Stellar Senior Living, SubRegion__c=US Healthcare ME NN West}</t>
  </si>
  <si>
    <t>Christian Help</t>
  </si>
  <si>
    <t>a0rVT00001DX5CFYA1</t>
  </si>
  <si>
    <t>2026-01-23T05:41:24.000+0000</t>
  </si>
  <si>
    <t>0018000001MICJWAA5</t>
  </si>
  <si>
    <t>a3AVT000000XlUn2AK</t>
  </si>
  <si>
    <t>{Name=Heartland Dental, LLC, PS_Region_New__c=US Healthcare, attributes={type=Account, url=/services/data/v62.0/sobjects/Account/0018000001MICJWAA5}, Industry=Ambulatory}</t>
  </si>
  <si>
    <t>0013000000IIITUAA5</t>
  </si>
  <si>
    <t>017VT0000GcCd7bYQC</t>
  </si>
  <si>
    <t>0014X00002iHm0QQAS</t>
  </si>
  <si>
    <t>a0pVT00000Cpu67YAB</t>
  </si>
  <si>
    <t>{Industry=Business Services, Name=Asset Living, attributes={url=/services/data/v62.0/sobjects/Account/0014X00002iHm0QQAS, type=Account}, PS_Region_New__c=US Large Enterprise DI &amp; Mexico}</t>
  </si>
  <si>
    <t>9/3/2026 Update
Trend: Neutral turning toward Positive
Update: While Cisco renewed through January 30 2030, revenue is not currently at Risk and we are working  new Cisco leadership is not aligned on the Workday first mentality and they successfully completed their WD Recruiting + Phenom for external and internal candidates in November 2025. TLOA is at risk, as Cisco learning team deployed Cornerstone On Demand Learning and chose Cornerstone’s newly built Skills System as their Skills Strategy and integrate into Workday.
Continuing to negotiate uMSA and Flex Credits and Cisco Team welcomed the update on Platform Flex Credits consumption for API calls only.   
Engaging Forward Deploying Engagement (FDE) team for creating a workshop to outline Agent use cases and support Leadership Alignment and buy-in for Workday technology 
7/30 Performance Management Roadmap Overview and potential participation in resumed Performance Management EA (announcement week of 7/20/2026)
Cisco team has additional extend use cases they are evaluating and committed to finding one that will work to meet their strategic goals. .
The next biggest risk is for the Financials and Accounting Center licensed during the last early renewal as the Cisco Exec Sponsor for the purchase, the CFO, retired and new leadership for the Use Case of fins &amp; ACC for their Acquisitions has not been fully bought into it which leaves the two sku's at risk. New relationships on the Cisco FPNA team are being formed to help find use cases for Workday Financial Planning.
Risk: TLOA, Fins and ACC dropped
Next Steps:
EU Pay Transparency Analyzer Licensed and Deployment kicked off and go live August August 17 2026; Go Decision made and on track to roll out to 27 countries the week of August 17th!   
Cisco accepted into the Sana Lighthouse Program and key Cisco Leaders met with Sana Executive team to share the vision for Sana Enterprise and they are keenly interested
Renewed Performance Agent EA Program Participation ON HOLD until uMSA signed 
Continue building expanded Executive Relationships and alignment as their Director of HRIT and another Workday Champion left Cisco in mid-December leaving the HRIT team reports without a Champion in their corner.
ECOMM Sponsor Ben Carter has been instrumental in utilizing Liz Centoni, Cisco’s Chief Customer Experience Officer and position on the Board to re-establish key Executive Relationships and drive our partnership forward
Liz Centoni setting up an executive relationship building meeting with Cisco’s key AI Owner and also their Operations Executive to support our efforts</t>
  </si>
  <si>
    <t>{PS_Sub_Region__c=Healthcare ME, Industry=Post Acute, attributes={url=/services/data/v62.0/sobjects/Account/001VT00000b2uonYAA, type=Account}, Name=Stellar Senior Living, PS_Region_New__c=US Healthcare, SubRegion__c=US Healthcare ME NN West}</t>
  </si>
  <si>
    <t>a0rVT00001DXDsvYAH</t>
  </si>
  <si>
    <t>017VT0000GcCcIrYQK</t>
  </si>
  <si>
    <t>9/3/26 Executive Summary: 
The Cisco account remains stable following a renewal through January 2030. While core revenue is secure, the account is continuing to navigate a period of significant leadership transition. A "Workday-first" mentality is being challenged by new stakeholders, leading to a mix of functional wins and platform risks.
Critical Risks TLOA, Fins &amp; ACC
Next Steps:
Deliver an AI Executive Alignment Session with committed members of Cisco’s new IT Leadership Team and ensure the right leaders and time commitment beyond 25 mins is given 
 ECOMM Sponsor Ben Carter has been instrumental in utilizing Liz Centoni, Cisco’s Chief Customer Experience Officer and while Cisco is part of the “Sana Lighthouse Accounts” we are still determining how Sana Enterprise can co-exist with Cisco’s Claude Enterprise Front Door Strategy 
Cisco IT &amp; HR Analytics Strategy Team part of FDE engagement and exploring use of Developer Agent (which requires Extend Pro) through end of October 
Fins movement:    New CFO hired and desire to engage Todd Fraser to support a resell of Financials, Financial Planning and Accounting Center</t>
  </si>
  <si>
    <t>a0rVT00001DX5IhYAL</t>
  </si>
  <si>
    <t>CHRISTUS Health</t>
  </si>
  <si>
    <t>2026-09-03T11:44:48.000+0000</t>
  </si>
  <si>
    <t>0011B000024TbRzQAK</t>
  </si>
  <si>
    <t>a3AVT000000XlbF2AS</t>
  </si>
  <si>
    <t>{Industry=null, PS_Region_New__c=null, attributes={type=Account, url=/services/data/v62.0/sobjects/Account/0011B000024TbRzQAK}, Name=Zoom Communications, Inc.}</t>
  </si>
  <si>
    <t>00180000010IwK4AAK</t>
  </si>
  <si>
    <t>017VT0000GcCdCXYQ0</t>
  </si>
  <si>
    <t>a0pVT00000CplyuYAB</t>
  </si>
  <si>
    <t>0018000001MGC78AAH</t>
  </si>
  <si>
    <t>{attributes={url=/services/data/v62.0/sobjects/Account/0018000001MGC78AAH, type=Account}, Name=ABC Phones of North Carolina, Inc., PS_Region_New__c=US Large Enterprise DI &amp; Mexico, Industry=Hardlines}</t>
  </si>
  <si>
    <t>9/3/2026 Update
Trending: Neutral to Positive
Update:
Lineage deploying Help (SNI) and will go live in 2027
Planning for a future oCFO Art of the Possible Day now moved to early FY28
Introduction in June to Michel Martin (former WD Financials and Accounting Center Consultant) to VP Corp Systems and Mark Barnard to discuss potential use cases and how to start small and continue deploying  
HR Team requested review of Workday Talent Acquisition Suite:   Recruiting (in deployment), Hired Score, Paradox &amp; CE (SNI) to compare with current Recruiting &amp; Phenom, Contract expires 12/2027;   Demo for Recruiting, Candidate Engagement &amp; Messaging for the EMEA team scheduled for late September and could open the evaluation of the broader workday Recruiting Suite 
HR team requested review of Time Tracking (going live in Aus &amp; NZ) &amp; Labor Scheduling/Optimization compared to current Dayforce TT &amp; Workforce Scheduling:  Demo set for 9/22/2026
Risk: Candidate Engagement, Help, Labor Scheduling &amp; Optimization, Extend, France Payroll (no longer WD sku to be deployed)
Procurement and VP Corp Systems requesting to review current contract and simplify / drop products:   Candidate Engagement, Messaging, Help, Labor Scheduling, France Payroll and People Analytics are at risk due to ltd use cases and low interest
Procurement seeking ways to reduce cost of VNDLY through sku swap and dropping SNI sku’s 
Help at risk due to the desire to move all services ticketing to SFDC
Demo 7/6; interest on this sku for HR Help Desk specific use cases 
Labor Scheduling and Optimization at risk due to lack of Use Case and Sponsorship beyond Time Tracking initial Deployment
Next Steps:
Review Lineage Roadmap, review WSP Adoption and utilize Operation Phoenix for positioning help and other AI functionality and agent adoption. Follow-up out of 4/1 oCHRO Day for WSP Usage - Follow-up on Accounting Center Demo for deployment timing (delay due to turnover of the VP Corp Systems) Interest still remains but needing to find a less risky deployment use case.
Strengthening the relationship with the Strategic Sourcing Team and build a stronger support model, understanding for support ownership and escalation
Work with Lineage to co-develop an updated Value Realization (Strategic Plan and AI Strategy) roadmap and updated governance model.
Extend first use case deployment for User Access Review to meet Sox Audit Requirements</t>
  </si>
  <si>
    <t>{PS_Sub_Region__c=Healthcare ME, SubRegion__c=US Healthcare ME NN West, attributes={type=Account, url=/services/data/v62.0/sobjects/Account/001VT00000b2uonYAA}, PS_Region_New__c=US Healthcare, Industry=Post Acute, Name=Stellar Senior Living}</t>
  </si>
  <si>
    <t>9/3/26 Executive Summary: 
Update: The account is undergoing a significant leadership "reset" that has effectively cleared previous bottlenecks. With the onboarding of the new VP of Corporate Systems and with the engagement of Project Phoenix, we are pivoting from reactive issue resolution to proactive AI strategy and roadmap expansion. While technical risks remain in specific SKU areas, the overall sentiment is improving as we formalize a new governance model.
Risk: Candidate Engagement, Labor Scheduling &amp; Optimization, France Payroll (no longer WD sku to be deployed) and PPLA
Next Steps
Develop compelling agenda for oCFO Art of the Possible Day 
Help Deployment (Go Live 2027) and use of WSP Deployment Resources along with Expert Assist Investment SOW to support SNI deployment
Value Realization: Co-develop an updated Value Realization Roadmap (incorporating AI Strategy) and a modernized governance model.
Deploy Extend first use case:   User Assignment Resources for SOX requirements 
Financials Bridging: Provide targeted enablement for the new VP of Corp Systems to address the lack of Financials experience and de-risk the Accounting Center deployment.</t>
  </si>
  <si>
    <t>Cielo, Inc - MSP</t>
  </si>
  <si>
    <t>017VT0000GcCcIxYQK</t>
  </si>
  <si>
    <t>US DI ME NN PBS Midwest</t>
  </si>
  <si>
    <t>a0rVT00001DX5IjYAL</t>
  </si>
  <si>
    <t>2026-09-03T12:26:39.000+0000</t>
  </si>
  <si>
    <t>001VT00000b2v6XYAQ</t>
  </si>
  <si>
    <t>a3AVT000000XleT2AS</t>
  </si>
  <si>
    <t>{attributes={url=/services/data/v62.0/sobjects/Account/001VT00000b2v6XYAQ, type=Account}, Industry=Restaurant &amp; Food Service, Name=Groupe Poulet Rouge Inc., PS_Region_New__c=Canada}</t>
  </si>
  <si>
    <t>Account Update: Brink’s
Trend: Opportunities are leaning positive, highlighted by retaining WSP and adding a Paradox expansion. This is in internal approvals. Engagement by account team + Value + DGS to support Brink's and Accenture in developing a business case for NCR Integration.
Update: Revised TA proposal shared with Angela Gambaro via Michael Walker, while the uMSA amendment moves forward without disrupting existing terms and remaining TA modules are deferred to a later phase.
Risks: Accenture’s 7-year managed-services transformation monopolizes budget and mindshare (leaving VNDLY and Expenses neutral), while Oracle aggressively competes on Financials.
Next Steps
Finalize WSP and Paradox deal.
Partnering with Angela Gambaro and others on the uMSA.
Maintain VNDLY and Expenses visibility through the Elizabeth Galloway relationship.
Collaborate and deliver Brink's business plan.</t>
  </si>
  <si>
    <t>Cinemark USA, Inc.</t>
  </si>
  <si>
    <t>a0pVT00000Cq9OZYAZ</t>
  </si>
  <si>
    <t>017VT0000GcCcJIYQ0</t>
  </si>
  <si>
    <t>a0rVT00001DX5P9YAL</t>
  </si>
  <si>
    <t>2026-09-28T22:21:58.000+0000</t>
  </si>
  <si>
    <t>0013000000IIsztAAD</t>
  </si>
  <si>
    <t>a3AVT000000Xlkv2AC</t>
  </si>
  <si>
    <t>{Name=Rent A Center, Texas L.P., Industry=Hardlines, attributes={type=Account, url=/services/data/v62.0/sobjects/Account/0013000000IIsztAAD}, PS_Region_New__c=US Large Enterprise DI &amp; Mexico}</t>
  </si>
  <si>
    <t>{PS_Sub_Region__c=Healthcare ME, Industry=Post Acute, Name=Stellar Senior Living, PS_Region_New__c=US Healthcare, attributes={url=/services/data/v62.0/sobjects/Account/001VT00000b2uonYAA, type=Account}, SubRegion__c=US Healthcare ME NN West}</t>
  </si>
  <si>
    <t>0013000000IBtnWAAT</t>
  </si>
  <si>
    <t>9/23/2026:
Trend: Neutral
Update: WW Grocery Stores continue to work on 'Convergence' to be ready to migrate off of Workday HCM for US by next year. They do not currently have a solution to migrate UK and Canada. Account team moving forward supporting OP2 for Financial investments (e.g. Close Agent, ADI)
Risk: Finance and Planning might transition to Amazon corporate tools. Imminent risk of this is low.
Next Step: Continue to provide strategic services to WW Grocery Finance and Planning organizations to shore up renewal protection. Follow-up from late Aug / early Sep Agentic discovery sessions to support OP2 continues. Scheduled 28-Sept check-in with Mike Hill to understand customer's next steps.</t>
  </si>
  <si>
    <t>017VT0000GuR49ZYQS</t>
  </si>
  <si>
    <t>a0rVT00001DX5PAYA1</t>
  </si>
  <si>
    <t>2026-09-23T22:49:08.000+0000</t>
  </si>
  <si>
    <t>a3AVT000000Xlo92AC</t>
  </si>
  <si>
    <t>0013000000J2rtzAAB</t>
  </si>
  <si>
    <t>{PS_Region_New__c=US FSI, attributes={type=Account, url=/services/data/v62.0/sobjects/Account/0013000000J2rtzAAB}, Name=The Vanguard Group, Inc., Industry=Investment Management}</t>
  </si>
  <si>
    <t>0013000000KdWV5AAN</t>
  </si>
  <si>
    <t>a0rVT00001DXAVGYA5</t>
  </si>
  <si>
    <t>23-Sept Update:
Trend: Positive / Neutral
Update: On 21-Sept, Hannah Osborne shared we could expect to be invited to the RFP for HCM/Pay/Time/Scheduling in the next four weeks.
Risk: SAP could win the business with their extremely low cost proposal. CTO Mike Wheeler emphasized Tyson will not expand the contract and may not keep Workday.
Next Step: Continuing in a 'quiet period' of no new engagement ahead of RFP. We have scheduled Rising touchpoints:  CXC check-in with Colin Forth and a team happy hour.</t>
  </si>
  <si>
    <t>Citadel Federal Credit Union</t>
  </si>
  <si>
    <t>a0pVT00000Cpz90YAB</t>
  </si>
  <si>
    <t>2026-09-23T22:52:39.000+0000</t>
  </si>
  <si>
    <t>017VT0000GcCcMUYQ0</t>
  </si>
  <si>
    <t>a3AVT000000Xlub2AC</t>
  </si>
  <si>
    <t>a0rVT00001DX5QkYAL</t>
  </si>
  <si>
    <t>US FSI ME NN Central</t>
  </si>
  <si>
    <t>0013000000HV4omAAD</t>
  </si>
  <si>
    <t>0018000000Scjx6AAB</t>
  </si>
  <si>
    <t>{PS_Sub_Region__c=FSI ME NN, SubRegion__c=US FSI ME NN West, PS_Region_New__c=US FSI, Name=Irvine Eastgate Office II LLC, Industry=Investment Management, attributes={url=/services/data/v62.0/sobjects/Account/0018000001WMHdZAAX, type=Account}}</t>
  </si>
  <si>
    <t>{attributes={url=/services/data/v62.0/sobjects/Account/0018000000Scjx6AAB, type=Account}, Name=Dermalogica, Industry=Consumer Goods, PS_Region_New__c=UKI}</t>
  </si>
  <si>
    <t>9/3/2026 Update 
Trend: Neutral to Negative  (Evisort Renewal) 
Update:
Reorg of Engineering team with new leader Senthil who was head of Fin Engineering and now oversees all Workday Engineering (Finance and Talent Mgmt)   Shome (Finance) and Michelle (Talent) report to Senthil. 
Netflix joined DataCloud EA program and evaluating upgrade to Extend Pro
$1million Evisort CLM December 2026 renewal at Risk
New Head of Legal Operations named with limited experience with Evisort    Legal Operations team does not report to the Engineering Team who owns all of Workday and now Legal Engineering Technology but not Legal Operations.   Legal Engineering team is requesting an extraction of all of Evisort Contracts for a competitive bake-off with Netflix AI technology.   Leadership re-alignment adds to the renewal risk along with Workday Evisort Renewal Sales Turnover (RSD and AE working on Renewal both recently left).   Strong engagement with 
Netflix asked to sign on Evisort paper instead of Workday UMSA paper; confirmed they must be on Workday paper.
Evisort pricing is document-volume based, not per-seat; under UMSA, custom AI models would consume Flex credits instead.
Goal is a flat renewal per Chloe's read, not an upsell, since Netflix feels oversold on current Evisort spend.
Netflix HR Recruiting team evaluating  HiredScore and Paradox as a replacement for 8fold (renewing this year)
Netflix selected Claude for their Front Door for work and Agentic AI Development Strategy.  
Risk: Evisort, PPLA, Planning, Expenses
Large Evisort Contract: December 2026 renewal risk, $1 million, ownership in separate org and wd team in separate org. Renewal on Evisort Paper to co-term with WD Subscription; No WSP included in renewal due to cost sensitivity
Adaptive (Lost to Anaplan) - NOTE Planning legacy sku purchased, small ACV
PPLA (no use cases) all at Risk
Expenses (Limitations for our product until the new Expenses Module which will cost Netflix) they are in pressure to drop expenses and move to competitive product; RFP issued and will require a reselling of Expenses    High Risk 
Low:  ACC (Exploring Use Cases and renewed interest)
Next Step:
Support Evisort team to gather intelligence on the CLM Renewal and introduce WD Core CBAE Chloe to Netflix to potentially save the renewal.   
Work with new HCM Leadership for evaluation of PPLA and expansion of other sku's in Talent Space (Paradox, Hired Score, Learning)
Next Steps on Flex Credits, Data Cloud EA and Extend Pro Upgrade Eval   
August 5th QBR Postponed due to several absence and Michelle Snay (Talent Engineering Lead) Personal Leave for Fin/HR/Engineering Leadership QBR 
Review of all outstanding initiatives:    Flex Credits, Data Cloud, Upgrade to Extend Pro, Recruiting Suite Evaluation, Evisort Renewal and impact for Fins/Spend Management Integration
Finalize HCM/Talent Tech CXC Meeting for late September or post-Rising</t>
  </si>
  <si>
    <t>017VT0000GcCdC6YQK</t>
  </si>
  <si>
    <t>0013000000Hnb0EAAR</t>
  </si>
  <si>
    <t>a0rVT00001DX8urYAD</t>
  </si>
  <si>
    <t>9/3/2026 Executive Summary: 
Netflix remains a foundational Workday partner with high-touch engagement across Financials and HCM. While the core relationship is stable, the account is currently navigating a period of "optimization over expansion." We are seeing a shift where Netflix is actively auditing incumbent SKUs (Evisort, Adaptive, PPLA) in favor of more specialized AI agents (Zamp.ai, HiredScore) or internal engineering builds.
Critical Risks
- The primary concern is a $1.0M revenue risk regarding the Evisort CLM renewal.
- Contractual &amp; Organizational Friction: The Legal Operations team (owners of Evisort) is siloed from the Engineering team (owners of Workday), creating a misalignment in platform strategy.
- Competitive Pressure: Evisort renewal at significant risk, as Netflix is showing high cost-sensitivity and has excluded Workday Success Plans (WSP) from the renewal scope.
Product Gaps &amp; Adoption:
- PPLA: At risk due to zero active use cases or organizational buy-in.
- Expenses: Facing pressure to migrate to a competitor due to current module limitations and the added cost of the upcoming new module.
- Planning/Adaptive: Effectively lost to Anaplan; legacy SKUs remain but carry minimal value.
Growth &amp; Innovation Opportunities
- Despite the risks in the Legal/Fintech space, there is strong momentum in AI and Talent Innovation:
- Talent Replacement Cycle: The HR Recruiting team is evaluating HiredScore and Paradox as replacements for 8fold. Workday has a window to position ourselves as the integration layer or preferred partner during this transition.
- Accounting Center Use Case Review 
Immediate Next Steps
-HCM Expansion: Finalize the agenda for the Late August/September HCM Talent Tech CXC to align new leadership with PPLA, Paradox, and Learning.
-Introduce WD CBAE Chloe Landry Fiepke to Legal Operations Leadership to help save the renewal.    Bringing this to Exec Sponsor, Chad Spechts Attention for his Support.</t>
  </si>
  <si>
    <t>{Name=Advance America, Cash Advance Centers, attributes={url=/services/data/v62.0/sobjects/Account/0013000000Hnb0EAAR, type=Account}, Industry=Banking &amp; Capital Markets, PS_Region_New__c=US FSI}</t>
  </si>
  <si>
    <t>Citizens Financial Group, Inc.</t>
  </si>
  <si>
    <t>2026-09-03T11:50:04.000+0000</t>
  </si>
  <si>
    <t>a3AVT000000Y3LF2A0</t>
  </si>
  <si>
    <t>a0pVT00000Cq5eFYAR</t>
  </si>
  <si>
    <t>0018000001WMFYOAA5</t>
  </si>
  <si>
    <t>017VT0000GcCcLNYQ0</t>
  </si>
  <si>
    <t>a0rVT00001DX5d4YAD</t>
  </si>
  <si>
    <t>Progressing on track - customer sentiment improved</t>
  </si>
  <si>
    <t>0018000000jSKgLAAW</t>
  </si>
  <si>
    <t>{Industry=Utilities, Name=United States Infrastructure Corporation, PS_Region_New__c=US Large Enterprise DI &amp; Mexico, attributes={type=Account, url=/services/data/v62.0/sobjects/Account/0018000000jSKgLAAW}}</t>
  </si>
  <si>
    <t>2026-01-16T15:28:46.000+0000</t>
  </si>
  <si>
    <t>{Name=Irvine Eastgate Office II LLC, SubRegion__c=US FSI ME NN West, attributes={type=Account, url=/services/data/v62.0/sobjects/Account/0018000001WMHdZAAX}, PS_Sub_Region__c=FSI ME NN, Industry=Investment Management, PS_Region_New__c=US FSI}</t>
  </si>
  <si>
    <t>a3AVT000000YXJJ2A4</t>
  </si>
  <si>
    <t>0013000000KdYPeAAN</t>
  </si>
  <si>
    <t>City Furniture, Inc.</t>
  </si>
  <si>
    <t>017VT0000GuQ0ZKYQ0</t>
  </si>
  <si>
    <t>a0rVT00001DX5kFYAT</t>
  </si>
  <si>
    <t>Deloitte is using Avature as their ATS. Currently, our process involves sending candidate grading data (A/B/C/D) to Avature. Deloitte recently flagged a serious risk: we sent grades even for “opt-out” applications. This potentially violates New York City Local Law 144, which requires transparency and restrictions on the use of automated decision tools in hiring. If non-compliance continues, Deloitte (and we) could face legal liability, reputational damage, or regulatory penalties. On the technical front, HiredScore is hesitant to support further customizations for Avature, due to the difficulties to fix integration issues on their side and our side. Without alignment, we risk either halting the grading-to-ATS pipeline (losing value), or continuing in a non-compliant / risky way. On the technical front, leaders also mentioned that they are hesitant to support AVATURE ATS integration as a whole</t>
  </si>
  <si>
    <t>Nicole Skinner</t>
  </si>
  <si>
    <t>0018000000MSYWfAAP</t>
  </si>
  <si>
    <t>{PS_Region_New__c=US SLED, Name=Shakopee Mdewakanton Sioux Community, Industry=Special Districts, attributes={type=Account, url=/services/data/v62.0/sobjects/Account/0018000000MSYWfAAP}}</t>
  </si>
  <si>
    <t>Customer Challenges;Partner Challenges;Product Gaps;Scope, Timeline or Budget</t>
  </si>
  <si>
    <t>2025-11-18T10:03:29.000+0000</t>
  </si>
  <si>
    <t>a3AVT000000YjcD2AS</t>
  </si>
  <si>
    <t>017VT0000GcCd8uYQC</t>
  </si>
  <si>
    <t>a0pVT00000Cq2elYAB</t>
  </si>
  <si>
    <t>a0rVT00001DX5nKYAT</t>
  </si>
  <si>
    <t>0013000000J3XLPAA3</t>
  </si>
  <si>
    <t>0018000001QV6f6AAD</t>
  </si>
  <si>
    <t>{PS_Region_New__c=US SLED, Name=Goodwill-Easter Seals Minnesota, attributes={type=Account, url=/services/data/v62.0/sobjects/Account/0018000001QV6f6AAD}, Industry=Non-Profit}</t>
  </si>
  <si>
    <t>Workday CLM/Evisort ONLY Risk.
CKD Nov. 24, 2025: On Nov. 21, 2025, Workday GTM Legal requested a follow-up call with Vonage Legal + CFIUS Team to answer questions about how Workday Global Support works. Workday Global Support is not willing/able to accommodate the CFIUS requirements, and Workday Legal is not willing/able to mitigate potential risk from agreeing to the CFIUS requirements, so no path forward and account will churn on Dec. 31, 2025.</t>
  </si>
  <si>
    <t>Kelly Kapoor</t>
  </si>
  <si>
    <t>{Industry=Investment Management, Name=Irvine Eastgate Office II LLC, PS_Sub_Region__c=FSI ME NN, SubRegion__c=US FSI ME NN West, PS_Region_New__c=US FSI, attributes={url=/services/data/v62.0/sobjects/Account/0018000001WMHdZAAX, type=Account}}</t>
  </si>
  <si>
    <t>Workday CLM/Evisort ONLY Risk.
Customer is managed by the Us Government and required to abide by a National Security Agreement that requires certain geographic and data restrictions (CFIUS) that does not align with Workday's Global Support model.</t>
  </si>
  <si>
    <t>a0rVT00001DXCgkYAH</t>
  </si>
  <si>
    <t>2025-11-24T17:07:43.000+0000</t>
  </si>
  <si>
    <t>017VT0000GcCd8EYQS</t>
  </si>
  <si>
    <t>City of Amarillo (Precision Task Group, Inc.)</t>
  </si>
  <si>
    <t>a0rVT00001DX5qYYAT</t>
  </si>
  <si>
    <t>a3AVT000000YoSD2A0</t>
  </si>
  <si>
    <t>0018000001U6MuKAAV</t>
  </si>
  <si>
    <t>0018000001f40RGAAY</t>
  </si>
  <si>
    <t>{Name=Rakuten Asia Pte Ltd, PS_Region_New__c=ASEAN, Industry=Software &amp; Platforms, attributes={type=Account, url=/services/data/v62.0/sobjects/Account/0018000001U6MuKAAV}}</t>
  </si>
  <si>
    <t>Progress: Job Architecture (JA) mapping and Foundation Data Model (FDM) work are currently progressing to plan.
Delayed items: 
Completion and base-lining of the Integrated Project Plan
Integration scope confirmation and vendor engagement 
Process Design Workstreams are delayed due to BCH resourcing issues</t>
  </si>
  <si>
    <t>Team Workday (TWD) continues to advocate for reporting the program as Yellow to Red due to persistent challenges with BC Health (BCH) meeting deliverables, which is placing critical path items at risk.
BCH internal recruitment is significantly behind schedule. While 32 hires are complete and 33 positions are posted, recruitment faces substantial structural constraints. 
Compensation: Compensation challenges and salary limitations are severely restricting recruitment (e.g., Business Analyst-level roles capped around $100K, limiting applicants).
HO Alignment: Challenges exist in achieving alignment from Health Organizations (HOs) regarding the release of resources for the project via secondment.</t>
  </si>
  <si>
    <t>017VT0000GuPnScYQK</t>
  </si>
  <si>
    <t>2025-11-25T20:21:49.000+0000</t>
  </si>
  <si>
    <t>a0rVT00001DX5sDYAT</t>
  </si>
  <si>
    <t>a0rVT00001DXFLGYA5</t>
  </si>
  <si>
    <t>a0pVT00000CqAh7YAF</t>
  </si>
  <si>
    <t>a3AVT000000Z3Cj2AK</t>
  </si>
  <si>
    <t>City of Delaware, OH</t>
  </si>
  <si>
    <t>0013000000J2kWKAAZ</t>
  </si>
  <si>
    <t>{PS_Region_New__c=null, Industry=Lodging &amp; Resorts, attributes={url=/services/data/v62.0/sobjects/Account/0013000000J2kWKAAZ, type=Account}, Name=Radisson Hospitality, Inc. (Inactive Account)}</t>
  </si>
  <si>
    <t>0018000000tVfABAA0</t>
  </si>
  <si>
    <t>US Local Gov SMG NN</t>
  </si>
  <si>
    <t>2026-09-30T13:24:11.000+0000</t>
  </si>
  <si>
    <t>1) Changes to the customer governance following the audit of the programme in August:
- Program director appointed to lead the programme, reporting to CHRO. All customer PMs are now reporting to him
- IT sponsor not involved anymore. Only one sponsor : CHRO  
2) Full replanning of the programme in progress. To be validated by end of October
3) Short term , 2 top priorities :
- stabilize payroll integration
- improve data conversion process</t>
  </si>
  <si>
    <t>{Industry=Investment Management, Name=Irvine Eastgate Office II LLC, PS_Sub_Region__c=FSI ME NN, attributes={url=/services/data/v62.0/sobjects/Account/0018000001WMHdZAAX, type=Account}, PS_Region_New__c=US FSI, SubRegion__c=US FSI ME NN West}</t>
  </si>
  <si>
    <t>017VT0000GuPX0DYQW</t>
  </si>
  <si>
    <t>a0rVT00001DX5sEYAT</t>
  </si>
  <si>
    <t>Trend : YELLOW 
Update : 
1) HCM rollout in France : pending stabilization of payroll integration and better automation of data conversion  
2) product delivery 2026R2 and 2026R2+ : on track. Project replanning in progress to include SCHEDULING deployment in 2027
Risks : 
- SCHEDULING still at risk to be moved out of scope
Next : 
- demo of SCHEDULING new features after Rising 
- replanning of rollout to be completed by end of October</t>
  </si>
  <si>
    <t>0018000000kuQmYAAU</t>
  </si>
  <si>
    <t>{Industry=Education (K-12), attributes={url=/services/data/v62.0/sobjects/Account/0018000000kuQmYAAU, type=Account}, PS_Region_New__c=US SLED, Name=Shelby County Schools Alabama}</t>
  </si>
  <si>
    <t>2026-09-25T15:21:23.000+0000</t>
  </si>
  <si>
    <t>a3AVT000000ZSr32AG</t>
  </si>
  <si>
    <t>City of Derby, Kansas</t>
  </si>
  <si>
    <t>017VT0000GcCcMXYQ0</t>
  </si>
  <si>
    <t>0011B00002IOuczQAD</t>
  </si>
  <si>
    <t>a0rVT00001DX5sFYAT</t>
  </si>
  <si>
    <t>0018000000nkYcnAAE</t>
  </si>
  <si>
    <t>{Industry=Higher Education, Name=New York Institute of Technology, attributes={url=/services/data/v62.0/sobjects/Account/0018000000nkYcnAAE, type=Account}, PS_Region_New__c=US SLED}</t>
  </si>
  <si>
    <t>017VT0000GuRSGGYQ4</t>
  </si>
  <si>
    <t>a0rVT00001DX5tnYAD</t>
  </si>
  <si>
    <t>0018000000ohFnMAAU</t>
  </si>
  <si>
    <t>a0pVT00000Cq7BNYAZ</t>
  </si>
  <si>
    <t>{Industry=Business Services, attributes={type=Account, url=/services/data/v62.0/sobjects/Account/0018000000ohFnMAAU}, PS_Region_New__c=US Large Enterprise DI &amp; Mexico, Name=TruGreen Limited Partnership}</t>
  </si>
  <si>
    <t>a0rVT00001DXDphYAH</t>
  </si>
  <si>
    <t>Executive Summary: City of Helsinki (CoH)
Date: September 30, 2026
Status: Amber
U: Progress Update
Executive &amp; Stakeholder Alignment: Petri Lumijärvi (CHRO) maintains trust in Workday while managing internal City Hall dynamics. The Steering Committee operates primarily as a formal approval body.
Leadership &amp; Governance: Programme Director Tarja Kaipio departed on August 6, 2026; recruitment is active with Petri leading in the interim. Following internal and CoH alignment calls (Sept 17–18), governance topics continue with Kainos, led by Marie-Veronique from Workday. CoH requested to keep the same interlocutors as September 18 (Jaana and Christian), restricting engagement to Finnish speakers and making strategic involvement from WSP significantly more challenging.
Delivery, Scope &amp; Integration: Unit testing commenced on September 28, 2026, though the compensation stream faces delays due to consultant leave. Architecture and configuration are halfway complete across HCM, 30 integrations, a custom payroll layer, and Teachers CLA Extend app. Rebuilding of the Extend app is required due to effective dating miscommunication. Migration from "wcpdev" to "custdev" tenants must be completed prior to the November 14, 2026 shutdown. CoH requested a Phase 2 demo for Strategic Personnel Planning for the fall.
Commercials: Go-live shifted to October 2027 (+24 weeks). Clarification on SKU/service procurement and joint event cost-sharing remains open.
R: Risks &amp; Identified Needs
Resourcing &amp; Language Barriers: CoH insists on Finnish-speaking interlocutors (Jaana and Christian) and functional architects, creating high friction for English-speaking consultants and severely restricting WSP's ability to engage strategically. Extended leave of the primary compensation consultant adds significant delay risks.
Architecture &amp; Testing: CoH demands a dedicated overall architecture role from Kainos to manage cross-stream workflows, CR disputes, and BP updates. CoH requires strong testing support (onsite or Teams) and continues to present circular dependencies around sign-offs and testing cadence.
Tenant Rework: Tenant migration before November 14 requires an estimated 50–60 hours of unbudgeted Kainos rework.
N: Next Steps &amp; Success Plan
Workday Success Plan &amp; Governance (Early October): Pursue the 45–60 minute session with Jaana and Christian despite language barrier constraints to introduce WSP/TAM capabilities, evaluate DSM fit, and align overall governance with Marie-Veronique and Kainos.
Resource &amp; Technical Remediation: Stabilize integration and compensation resourcing, resolve Extend app effective dating issues, and finalize the dev tenant migration plan ahead of November 14.
Executive Cadence: Maintain the 3-week alignment cadence with Petri Lumijärvi, monitor Programme Director recruitment, and deliver the fall Phase 2 Strategic Personnel Planning demo.</t>
  </si>
  <si>
    <t>2026-09-30T13:25:10.000+0000</t>
  </si>
  <si>
    <t>Marie-Veronique Bernard</t>
  </si>
  <si>
    <t>City of Hope incorporated</t>
  </si>
  <si>
    <t>017VT0000GuRS3BYQW</t>
  </si>
  <si>
    <t>a0rVT00001DX5x0YAD</t>
  </si>
  <si>
    <t>0013000000KzsMFAAZ</t>
  </si>
  <si>
    <t>{Name=BP International Limited, PS_Sub_Region__c=UKI CB Majors, SubRegion__c=UKI Majors CB, attributes={type=Account, url=/services/data/v62.0/sobjects/Account/0018000000M5ugrAAB}, PS_Region_New__c=UKI, Industry=Oil &amp; Gas}</t>
  </si>
  <si>
    <t>{PS_Region_New__c=US Large Enterprise DI &amp; Mexico, Industry=High Technology, attributes={type=Account, url=/services/data/v62.0/sobjects/Account/0013000000KzsMFAAZ}, Name=Marvell Semiconductor, Inc.}</t>
  </si>
  <si>
    <t>Early project friction initially stabilized with Kainos's TES framework update and CHRO Petri Lumijärvi's meeting cadence. However, major risks persist as unit testing progresses (commenced Sept 28):
Resource Shortages &amp; Language Constraints: Kainos lacks Finnish-speaking experts, compounded by key compensation architect leave. CoH insists on keeping September 18 interlocutors (Jaana and Christian), restricting discussions to Finnish speakers and making strategic WSP engagement very difficult.
Timeline &amp; Testing Disagreements: Though go-live moved to October 2027 (+24 weeks), HCM target dates are tight. CoH demands a dedicated Kainos overall architect and pushes to test before configuration completion, conflicting with standard Workday methods.
Technical Rework &amp; Migration: Miscommunication requires an Extend app rebuild (Extend Essentials confirmed; 5-year retro recalculations in Extend advised against). Migrating "wcpdev" to "custdev" before Nov 14 requires 50–60 hours of unbudgeted rework. Compensation, payroll integrations, and absences lag behind.
Workday Success Plan &amp; Next Steps: Scheduling an early October WSP/TAM session with Jaana and Christian despite language barriers. Marie-Veronique leads separate governance follow-ups with Kainos.</t>
  </si>
  <si>
    <t>2026-09-30T12:12:54.000+0000</t>
  </si>
  <si>
    <t>017VT0000GuRFSzYQO</t>
  </si>
  <si>
    <t>a3AVT000000ZYOb2AO</t>
  </si>
  <si>
    <t>0013000000H1mJdAAJ</t>
  </si>
  <si>
    <t>0018000000qWqZMAA0</t>
  </si>
  <si>
    <t>{Industry=High Technology, Name=Arrow Electronics, Inc., PS_Region_New__c=US Large Enterprise DI &amp; Mexico, attributes={url=/services/data/v62.0/sobjects/Account/0013000000H1mJdAAJ, type=Account}}</t>
  </si>
  <si>
    <t>a0rVT00001DX68IYAT</t>
  </si>
  <si>
    <t>5/3 
Sales is leading renewal negotiations. Options for 1,2,3 year renewal provided.  No response yest for ARS workshop to look for new value adding opportunities.</t>
  </si>
  <si>
    <t>City of Kent</t>
  </si>
  <si>
    <t>Niki Kastelijn</t>
  </si>
  <si>
    <t>Sales is leading renewal negotiations. Options for 1,2,3 year renewal provided.  No response yest for ARS workshop to look for new value adding opportunities.</t>
  </si>
  <si>
    <t>017VT0000GuRVcAYQW</t>
  </si>
  <si>
    <t>2026-03-09T13:22:07.000+0000</t>
  </si>
  <si>
    <t>a0rVT00001DX60JYAT</t>
  </si>
  <si>
    <t>a3AVT000000aPHd2AM</t>
  </si>
  <si>
    <t>0018000000zY5DhAAK</t>
  </si>
  <si>
    <t>{PS_Region_New__c=UKI, Industry=Consumer Goods, attributes={url=/services/data/v62.0/sobjects/Account/0018000000zY5DhAAK, type=Account}, Name=Mondelez Global LLC}</t>
  </si>
  <si>
    <t>a0pVT00000Cq1AoYAJ</t>
  </si>
  <si>
    <t>0018000000Wsn61AAB</t>
  </si>
  <si>
    <t>017VT0000GuOgEWYQ0</t>
  </si>
  <si>
    <t>The City of Los Angeles Wellness Plan is showing its first sustained positive movement since opening in January 2026. The 2026R2 retro/payroll performance release went live 9/19, and the Controller's team — previously skeptical — is now actively testing it. The Payroll Functional Review is in its final stretch, with an executive SteerCo readout targeted for 10/13. ITA also gave a first positive signal favoring Workday Time Tracking for Police/Fire personnel. Most notably, a formal closure plan for this Wellness Plan was proposed to account leadership and has been aligned on, targeting close-out within roughly two months.</t>
  </si>
  <si>
    <t>a0rVT00001DX60KYAT</t>
  </si>
  <si>
    <t>001VT00000XN81tYAD</t>
  </si>
  <si>
    <t>{attributes={url=/services/data/v62.0/sobjects/Account/001VT00000XN81tYAD, type=Account}, PS_Region_New__c=US Medium Enterprise DI, Name=Integrity Electrical Solutions, Industry=Architecture, Engineering &amp; Construction}</t>
  </si>
  <si>
    <t>a0rVT00001DXDMfYAP</t>
  </si>
  <si>
    <t>{Name=BP International Limited, attributes={type=Account, url=/services/data/v62.0/sobjects/Account/0018000000M5ugrAAB}, PS_Region_New__c=UKI, Industry=Oil &amp; Gas, PS_Sub_Region__c=UKI CB Majors, SubRegion__c=UKI Majors CB}</t>
  </si>
  <si>
    <t>Trend: Yellow, improving.
Update: Formal closure plan proposed and targeting close-out within ~2 months. Closure is contingent on three things: the new performance release proving out with the Controller, the Payroll Functional Review completing (SteerCo readout 10/13), and the delivery bench contract being signed.
Risk: Two new technical gaps surfaced — Workday's retro-processing limit (72 months) falls short of the City's 10-year retroactive-pay needs, and the Controller's team continues ad hoc configuration changes that block adoption of the new performance tools regardless of the release itself. 
Next Steps: Track real-world Controller results through the 10/13 Payroll FR readout; confirm bench contract signature; reassess close-out readiness once the three conditions above are met.</t>
  </si>
  <si>
    <t>City of Littleton</t>
  </si>
  <si>
    <t>2026-09-29T20:23:25.000+0000</t>
  </si>
  <si>
    <t>017VT0000GuREZoYQO</t>
  </si>
  <si>
    <t>a0rVT00001DX60LYAT</t>
  </si>
  <si>
    <t>a3AVT000000af9V2AQ</t>
  </si>
  <si>
    <t>001VT00000b30mAYAQ</t>
  </si>
  <si>
    <t>0014X00002dTG9JQAW</t>
  </si>
  <si>
    <t>{attributes={type=Account, url=/services/data/v62.0/sobjects/Account/001VT00000b30mAYAQ}, PS_Region_New__c=UKI, Name=Oxford Aunts Care Ltd., Industry=Post Acute}</t>
  </si>
  <si>
    <t>Working closely with Workday legal team to help support. No contact with customer whatsoever at this point outside of legal. Project is on hold status.</t>
  </si>
  <si>
    <t>Patrick Ryan</t>
  </si>
  <si>
    <t>Customer has issued demand letter requesting termination of subscription and services contract as well as refund of any fees paid to date. Project is on hold, legal team has been engaged to lead in all communications with customer. Legal Case: 3094755
Trend: Unfavorable, Alterman has issued demand letter requesting termination of subscription and services contract as well as refund of any fees paid to date citing breach of contract.
Update: Working closely with Workday legal team to help provide any information needed.
Risk: Risk of unfavorable customer sentiment.
Next Steps: Awaiting legal teams guidance on how to proceed. Customer only communicating through legal channels.</t>
  </si>
  <si>
    <t>017VT0000GuRTyZYQW</t>
  </si>
  <si>
    <t>2026-01-22T19:56:29.000+0000</t>
  </si>
  <si>
    <t>0018000000NLityAAD</t>
  </si>
  <si>
    <t>a3AVT000000afB72AI</t>
  </si>
  <si>
    <t>a0pVT00000CpoBzYAJ</t>
  </si>
  <si>
    <t>{Name=Aveanna Healthcare LLC, Industry=Post Acute, PS_Region_New__c=US Healthcare, attributes={type=Account, url=/services/data/v62.0/sobjects/Account/0018000000NLityAAD}}</t>
  </si>
  <si>
    <t>0018000000pPEGdAAO</t>
  </si>
  <si>
    <t>City University of New York (Precision Task Group, Inc.)</t>
  </si>
  <si>
    <t>09/29/2026 Update: Trend: flat on day-to-day sentiment, worsening in structural/contractual complexity — the shift from "renewal" to "extension" and quantified cost pressure add material risk right before the Jan 2027 date, even as routine engagement (WSP reviews, GPC discovery) continues normally. Contract terms discussion is underway the uMSA remains unsigned.
Next Steps: finalize one-year extension terms and Flex Credit reallocation plan; get the uMSA signed; lock the tenant-split decision timeline.</t>
  </si>
  <si>
    <t>{PS_Sub_Region__c=UKI CB Majors, attributes={type=Account, url=/services/data/v62.0/sobjects/Account/0018000000M5ugrAAB}, Name=BP International Limited, Industry=Oil &amp; Gas, SubRegion__c=UKI Majors CB, PS_Region_New__c=UKI}</t>
  </si>
  <si>
    <t>017VT0000GuRW3RYQW</t>
  </si>
  <si>
    <t>a0rVT00001DX655YAD</t>
  </si>
  <si>
    <t>2026-09-29T20:53:45.000+0000</t>
  </si>
  <si>
    <t>0018000000ulOgQAAU</t>
  </si>
  <si>
    <t>a3AVT000000agf32AA</t>
  </si>
  <si>
    <t>{attributes={url=/services/data/v62.0/sobjects/Account/0018000000ulOgQAAU, type=Account}, Industry=Special Districts, Name=Gila River Gaming Enterprises, Inc, PS_Region_New__c=US SLED}</t>
  </si>
  <si>
    <t>0013000000KLLB1AAP</t>
  </si>
  <si>
    <t>JH - 9/17/2026 - HiredScore ($309,456 ACV) Renewal 9/29/2029
T - Neutral
U - No new updates. Aptiv is open to swapping HiredScore for Paradox. Working through this option now.
R - SKU Risk &amp; Sentiment Risk - HiredScore ($309,456 ACV). Aptiv is upset about the Mobley lawsuit on HiredScore. Evaluating SKU swap potential.
N - Still working through the option to switch to Paradox.</t>
  </si>
  <si>
    <t>017VT0000GcCd9aYQC</t>
  </si>
  <si>
    <t>a0rVT00001DX8RpYAL</t>
  </si>
  <si>
    <t>0018000000QaGlbAAF</t>
  </si>
  <si>
    <t>Summary of Escalation: Aptiv is upset about the Mobley HiredScore lawsuit.
-Three weeks after Aptiv went live on HiredScore, they were sent an email from Workday notifying them of the Mobley Litigation.
-Account team set up a call with Workday Legal which took place on September 30th, and this did not go well or instill confidence.
-Aptiv has since turned HiredScore off, and is requesting HiredScore be removed from their subscription and they be compensated.
-Sales Leadership and Rich Sauer met with Aptiv on a series of calls throughout Jan-Feb 2026. ---Aptiv wanted to remove and be compensated for HiredScore, but Workday's stance is we will not be issuing a refund. Could consider a SKU swap.
Next Steps: Aptiv is interested in swapping pursuing a SKU swap for HiredScore. Account Team facilitating exploration of this.</t>
  </si>
  <si>
    <t>{Name=Assurant, Inc., attributes={url=/services/data/v62.0/sobjects/Account/0018000000QaGlbAAF, type=Account}, Industry=Insurance, PS_Region_New__c=US FSI}</t>
  </si>
  <si>
    <t>Claire's Stores, Inc.</t>
  </si>
  <si>
    <t>2026-09-17T19:41:10.000+0000</t>
  </si>
  <si>
    <t>a3AVT000000agvB2AQ</t>
  </si>
  <si>
    <t>a0pVT00000CpjsFYAR</t>
  </si>
  <si>
    <t>00180000010HQfQAAW</t>
  </si>
  <si>
    <t>017VT0000GcCcEeYQK</t>
  </si>
  <si>
    <t>Atlassian hardships with Australian payroll.  Workday Payroll Product Management confirms Workday is within compliance and Workday legal confirms Workday is not breaching any contractual agreements. 
1. STP (single touch payroll): Accuracy, meeting compliance and improvements.
2. Superannuation: Needs to be complete, accurate and formatted in acceptable SAFF format.
3. Pay Calculation accuracy: need to be accurate without the need for manual checks. Tax rates need to be accurate. Payslips formatting compliance.
Next steps:
1.There is 95% confidence that STP will be reconciled to meet Australian Tax Office June 30 2026 deadlines. 
2. Payday super into preview on 5/1/26
3. bugs and enhancement timeline discussions June 2026
Turn green and remove escalation in May 2026</t>
  </si>
  <si>
    <t>Kevin Salmon</t>
  </si>
  <si>
    <t>0018000001Z1qPJAAZ</t>
  </si>
  <si>
    <t>0018000000pOeBHAA0</t>
  </si>
  <si>
    <t>Trend: Atlassian is experiencing issues with Australian payroll. Payroll components and accuracy are not meeting expectations. Main concerns are in STP, Superannuation &amp; pay calculation accuracy. Examples include employees being taxed at higher rates than what's allowed in Australia.
Risk: The risk is low.  There is no legal risk and there is 95% confidence ATO deadlines will be met.</t>
  </si>
  <si>
    <t>{attributes={type=Account, url=/services/data/v62.0/sobjects/Account/0018000000pOeBHAA0}, Name=City of Kent, PS_Region_New__c=US SLED, Industry=State &amp; Local Government}</t>
  </si>
  <si>
    <t>{attributes={type=Account, url=/services/data/v62.0/sobjects/Account/0018000001Z1qPJAAZ}, SubRegion__c=Germany ME NN 1, PS_Sub_Region__c=Germany ME, Name=Carglass GmbH, Industry=Auto, PS_Region_New__c=DACH}</t>
  </si>
  <si>
    <t>2026-04-23T01:04:13.000+0000</t>
  </si>
  <si>
    <t>a3AVT000000as572AA</t>
  </si>
  <si>
    <t>0018000000fjBIMAA2</t>
  </si>
  <si>
    <t>017VT0000GuPnSZYQ0</t>
  </si>
  <si>
    <t>a0rVT00001DX6D8YAL</t>
  </si>
  <si>
    <t>Update 18/09:
Still awaiting outcome of US internal discussions on splitting tenant from EMEAPAC. Nick Patterson (EMEAPAC) has hinted that should the split go ahead they may not continue with WSP. Agreed with Nick to discuss benefits and value of WSP in upcoming meetings.
Pushing for an update on tenant split w/c 21st September</t>
  </si>
  <si>
    <t>Clari Inc.</t>
  </si>
  <si>
    <t>Kev Biscombe</t>
  </si>
  <si>
    <t>0013000000J2EYrAAN</t>
  </si>
  <si>
    <t>{Name=Spire Energy, Industry=Utilities, PS_Region_New__c=US Medium Enterprise DI, attributes={url=/services/data/v62.0/sobjects/Account/0013000000J2EYrAAN, type=Account}}</t>
  </si>
  <si>
    <t>2026-09-18T10:24:43.000+0000</t>
  </si>
  <si>
    <t>a3AVT000000bCa52AE</t>
  </si>
  <si>
    <t>0018000000jPeqHAAS</t>
  </si>
  <si>
    <t>017VT0000GuREqIYQW</t>
  </si>
  <si>
    <t>a0rVT00001DX6D9YAL</t>
  </si>
  <si>
    <t>RUSH removed a significant number of contractors due to a conflict of interest.  RUSH made the decision to bring in a Partner on Data Conversion workstream for HCM only.  Workday advisory services is engaged to monitor the Workstream.  However, Workday has pointed out the risk having a silo'd approach to data conversion.  HCM uses Definian, SCM does their own, and FINS works separately.  This approach carries risk, due to the overall orchestration of data for the project as a whole.  RUSH has dismissed the risk, saying they are watching this issue.</t>
  </si>
  <si>
    <t>0013000000Jp6OhAAJ</t>
  </si>
  <si>
    <t>{Name=Laboratory Corporation of America Holdings, Industry=Other Healthcare, attributes={url=/services/data/v62.0/sobjects/Account/0013000000Jp6OhAAJ, type=Account}, PS_Region_New__c=US Large Enterprise DI &amp; Mexico}</t>
  </si>
  <si>
    <t>RUSH continues toward a 1/1/27 go live.  They have increased resources from KPMG to recover from losses to do unethical contracting issues.  They contracted with Definian at Workday's recommendation for Data Conversion
Trend: Neutral
Update: They have silo'd functional teams for data conversion, and as of 9/17 only 8% of the necessary files have been pulled.  Files due 9/18 for gold build.  
Risk: Project go live data risk
Next Steps:  Email the Executive Sponsor from RUSH to ensure he is aware of the issue.  Meet with RUSH/KPMG and our AdvisoryServices on the creation of a plan or alternate course to keep the current go live.</t>
  </si>
  <si>
    <t>2026-09-17T16:02:18.000+0000</t>
  </si>
  <si>
    <t>a3AVT000000bXcv2AE</t>
  </si>
  <si>
    <t>0018000001UmQ9nAAF</t>
  </si>
  <si>
    <t>017VT0000GuPF80YQG</t>
  </si>
  <si>
    <t>a0rVT00001DX6DBYA1</t>
  </si>
  <si>
    <t>September 10, 2026
T: trending yellow/green
U: Onepoint and Pagero teams actively working to support go-live by end of September. WD PS providing support. Onepoint wants to clarify interco processing (currently reuiring a lot of manual efforts) and is requesting roadmap details about WD solutions.
R: risk for Onepoint to miss September deadline to comply with new regulatory requirements in France.
N: Workday to arrange roadmap session with PM</t>
  </si>
  <si>
    <t>0018000000uDHmbAAG</t>
  </si>
  <si>
    <t>{PS_Region_New__c=US Large Enterprise DI &amp; Mexico, Name=Wayfair LLC, Industry=Hardlines, attributes={type=Account, url=/services/data/v62.0/sobjects/Account/0018000000uDHmbAAG}}</t>
  </si>
  <si>
    <t>2026-09-10T08:30:37.000+0000</t>
  </si>
  <si>
    <t>a3AVT000000bo132AA</t>
  </si>
  <si>
    <t>a0pVT00000Cq91vYAB</t>
  </si>
  <si>
    <t>2026-09-30T13:25:27.000+0000</t>
  </si>
  <si>
    <t>0018000001SZ2WqAAL</t>
  </si>
  <si>
    <t>017VT0000GuRZkaYQG</t>
  </si>
  <si>
    <t>a0rVT00001DX6HyYAL</t>
  </si>
  <si>
    <t>9 June
T: Red trending Red
U: RfP presentation done. Exec connects held last week + OML attended Exec breakfast. WSP Monthly meeting completed.
R: Non-renewal of contract
N: Session on flex credits. Possible CxC/site visit September</t>
  </si>
  <si>
    <t>001VT00000bDlbjYAC</t>
  </si>
  <si>
    <t>29 Sept
T: Red trending Amber
U: We have been awarded the RfP, commercial negotiations will start. CxC date confirmed, agenda input received from OML
R: Risk of contract non-renewal mitigated
N: London CxC 8+9 Oct: prep speakers + content</t>
  </si>
  <si>
    <t>{Industry=Restaurant &amp; Food Service, attributes={type=Account, url=/services/data/v62.0/sobjects/Account/001VT00000bDlbjYAC}, Name=Tasty Delites, LLC, PS_Region_New__c=US Large Enterprise DI &amp; Mexico}</t>
  </si>
  <si>
    <t>2026-09-30T12:17:17.000+0000</t>
  </si>
  <si>
    <t>2026-09-30T13:26:13.000+0000</t>
  </si>
  <si>
    <t>{PS_Sub_Region__c=Germany ME, attributes={type=Account, url=/services/data/v62.0/sobjects/Account/0018000001Z1qPJAAZ}, Name=Carglass GmbH, SubRegion__c=Germany ME NN 1, Industry=Auto, PS_Region_New__c=DACH}</t>
  </si>
  <si>
    <t>a3AVT000000bzSj2AI</t>
  </si>
  <si>
    <t>a0rVT00001Dy3uKYAR</t>
  </si>
  <si>
    <t>017VT0000Gc8CCYYQ2</t>
  </si>
  <si>
    <t>0013000000JpyhjAAB</t>
  </si>
  <si>
    <t>a0rVT00001DX6LBYA1</t>
  </si>
  <si>
    <t>Still evaluating, meeting with Succession Product Manager 9/18; met with Learning Product leader earlier in the week.</t>
  </si>
  <si>
    <t>0011B000024T1K4QAK</t>
  </si>
  <si>
    <t>{PS_Region_New__c=US Large Enterprise DI &amp; Mexico, attributes={url=/services/data/v62.0/sobjects/Account/0011B000024T1K4QAK, type=Account}, Name=Gordon Food Service, Inc., Industry=Restaurant &amp; Food Service}</t>
  </si>
  <si>
    <t>2026-09-18T12:55:40.000+0000</t>
  </si>
  <si>
    <t>2026-09-18T12:01:19.000+0000</t>
  </si>
  <si>
    <t>a3AVT000000c5DB2AY</t>
  </si>
  <si>
    <t>017VT0000GuPeNcYQK</t>
  </si>
  <si>
    <t>a0rVT00001DX6MnYAL</t>
  </si>
  <si>
    <t>Heather Aherne</t>
  </si>
  <si>
    <t>0014X00002dLmXAQA0</t>
  </si>
  <si>
    <t>0011B000028HkpdQAC</t>
  </si>
  <si>
    <t>{Industry=Professional Services, attributes={type=Account, url=/services/data/v62.0/sobjects/Account/0011B000028HkpdQAC}, Name=Zühlke Engineering AG, PS_Region_New__c=DACH}</t>
  </si>
  <si>
    <t>Krishna Kuchibhotla</t>
  </si>
  <si>
    <t>2026-09-30T13:23:43.000+0000</t>
  </si>
  <si>
    <t>Trend: Remain Red (on hold)
Update: On hold until 1/1/27 but HNL has informed us they want to restart divestiture at that time; HNL has requested to meet to discuss what activiities they could be working on through end of year
Risk: Jefferson may tell HNL they can't divest and project would be closed
Next Steps: Meeting with Jefferson Leadership to be scheduled to understand path forward. Meeting with HNL Leadership to determine activities they can work on this year.  Pulled in SE to help create a new SOW including Time Tracking to replace the old SOW</t>
  </si>
  <si>
    <t>a0rVT00001DXEgwYAH</t>
  </si>
  <si>
    <t>Clifton Hill</t>
  </si>
  <si>
    <t>017VT0000GcCdBNYQ0</t>
  </si>
  <si>
    <t>a0rVT00001DX6MoYAL</t>
  </si>
  <si>
    <t>2026-04-03T17:17:14.000+0000</t>
  </si>
  <si>
    <t>Canada Commercial</t>
  </si>
  <si>
    <t>0018000000M4NkrAAF</t>
  </si>
  <si>
    <t>a3AVT000000cdWb2AI</t>
  </si>
  <si>
    <t>{Name=Cornerstone OnDemand, Inc., PS_Region_New__c=Channels, attributes={url=/services/data/v62.0/sobjects/Account/0018000000M4NkrAAF, type=Account}, Industry=Commercial Services}</t>
  </si>
  <si>
    <t>a0pVT00000CpzvOYAR</t>
  </si>
  <si>
    <t>0018000001YSVnJAAX</t>
  </si>
  <si>
    <t>017VT0000GuPeNZYQ0</t>
  </si>
  <si>
    <t>a0rVT00001DX6OPYA1</t>
  </si>
  <si>
    <t>0011B000028HlrEQAS</t>
  </si>
  <si>
    <t>Trend = Red
Update =
MTP completed on schedule and progressing on track for Go Live
Risk due to key resource resignation with immediate effect.
The 1st payrun is on 14 Oct with payday on 15 Oct so there is time to remediate before the payrun if its required 
Risk/Issues =
Go Live will be bumpy and there will be immediate remediations needed to address requirements that have arisen and data conversion given Product rather than Finance own the FDM.
The new payroll owner who has joined sees benefits but these will need to be addressed in BAU. The significant resistance is no longer present as the resource that resigned was the key source of resistance. The risk now is that this person is not around to own design decisions that were made.
These concerns have been raised to the Steer Co and they have formally accepted the risk continuing to go ahead with these issues outstanding.
Mitigation/Next Steps = Customer leaders have acknowledged and accepted risks. Workday has provided additional time to customer resources for validation and tenant review. The Workday team and Cuscal leaders are still expecting a bumpy go live but have taken steps to extend the Hypercare and staff the team based on the risk areas identified.</t>
  </si>
  <si>
    <t>{PS_Region_New__c=US Large Enterprise DI &amp; Mexico, Industry=High Technology, Name=Mobileye Global Inc., attributes={url=/services/data/v62.0/sobjects/Account/0011B000028HlrEQAS, type=Account}}</t>
  </si>
  <si>
    <t>T: Red
U: Progress to Go live proceeding on track with formal risk acceptance from the customer.
R: Significant risk to data quality and some testing was been left partially completed, data conversion for FDM has not been finalised and members of the operations team are not ready.
N: As these issues have been raised to Steer Co and the customer decided to go ahead, Workday is continuing to deliver through deployment and hypercare, with a team staffed aligning to the risk areas.</t>
  </si>
  <si>
    <t>017VT0000GuPeNWYQ0</t>
  </si>
  <si>
    <t>2026-09-24T06:14:25.000+0000</t>
  </si>
  <si>
    <t>{PS_Sub_Region__c=ME NN RHT East, attributes={url=/services/data/v62.0/sobjects/Account/001VT00000Jr4oxYAB, type=Account}, SubRegion__c=US DI ME NN RHT TOLA, Industry=Restaurant &amp; Food Service, Name=Syberg's Family Restaurants, PS_Region_New__c=US Medium Enterprise DI}</t>
  </si>
  <si>
    <t>a3AVT000000cdYD2AY</t>
  </si>
  <si>
    <t>0011B000028HtC5QAK</t>
  </si>
  <si>
    <t>{Industry=null, PS_Region_New__c=null, Name=AstraZeneca UK Limited, attributes={url=/services/data/v62.0/sobjects/Account/0011B000028HtC5QAK, type=Account}}</t>
  </si>
  <si>
    <t>0018000000sfc74AAA</t>
  </si>
  <si>
    <t>017VT0000GuPeNQYQ0</t>
  </si>
  <si>
    <t>a0rVT00001DX6RdYAL</t>
  </si>
  <si>
    <t>Risk of WSP Acc + renewal due to WSP not being co termed with broader agreement. WSP expires 30 January 2027 however full deployment is likely to extend beyond this date.
Historical sentiment has been that much of the DGS services are already included in more depth with SI offering limiting perceived value of DGS.
Mitigations taken to date included Workday WSP Director-level connect with customer C-suite. Director MP’s connecting with RSD on WSP renewal planning, value WSP DG services.
New MP assigned to UTS account since June.
- Engagement with Program has increased with MP participation in SteerCo and with UTS management regarding Support Model discussions.
- MP reintroduced WSP services to various stakeholders at UTS, including both the Program resources and BAU resources that will inherit the support post go live.
Current main deployment Risk called out in SteeerCo relates to SIT and UAT activities with SI due to poor data, data validation and bandwidth of resources, particularly functional testers.
Confirmed no urgent actions required for Workday.
Program Go Live being pushed out again and confirmed Go Live for Phase 1 in March /April2027.
Customer has since included WSP as part proposed post-go-live model and presented to SteerCo. Awaiting endorsement.</t>
  </si>
  <si>
    <t>0011B000029TsbPQAS</t>
  </si>
  <si>
    <t>a0rVT00001DXDg1YAH</t>
  </si>
  <si>
    <t>{attributes={url=/services/data/v62.0/sobjects/Account/0011B000029TsbPQAS, type=Account}, PS_Region_New__c=US Large Enterprise DI &amp; Mexico, Industry=Chemicals, Name=Corteva Agriscience LLC}</t>
  </si>
  <si>
    <t>CMH Services, Inc.</t>
  </si>
  <si>
    <t>Trending: Amber
Update: Customer's Phase 1 Go Live now pushed to March 2027 and Customer continues to have Program resource turnover.
WD resources increased site presence and engagement; including MP actively part of Program SteerCo while also re-educating new Customer resources on WSP services alongside CSM and DGS. MP actively engaged with Program Director, Cutover Manager and Change Manager.
Customer has since included WSP as part proposed post-go-live model and presented to SteerCo. Awaiting full endorsement.
Risk: WSP non co-termed, customer resources on project have been stretched and deployment delays adding to instability with ongoing project team turnover. Customer also looking at sourcing an AMS and will question WSP's role however, most recent SteerCo presented AMS alongside WSP.
Next Steps: MP attendance in SteerCo continues and actively discussing customer's post-go-live operating model and value of WSP in the model, inclusive of an AMS. Ensuring DGS supports new Change Manager and new Cutover Manager.</t>
  </si>
  <si>
    <t>2026-09-16T07:19:13.000+0000</t>
  </si>
  <si>
    <t>017VT0000GuQqQEYQ0</t>
  </si>
  <si>
    <t>a3AVT000000csSP2AY</t>
  </si>
  <si>
    <t>a0rVT00001DX6ReYAL</t>
  </si>
  <si>
    <t>0018000001QS7bMAAT</t>
  </si>
  <si>
    <t>0013000000JMofsAAD</t>
  </si>
  <si>
    <t>{Name=Takeda Pharmaceuticals USA, Inc., attributes={type=Account, url=/services/data/v62.0/sobjects/Account/0013000000JMofsAAD}, Industry=Healthcare Manufacturing, PS_Region_New__c=US Large Enterprise DI &amp; Mexico}</t>
  </si>
  <si>
    <t>Trend: Amber
Update: PSD Programme Director confirmed that Recruiting is in use by most agencies with no significant gaps. Optimization Package completed with recommendations made to improve experience with new features. Recent connect with DS Jamie seems to indicate no decision has been made on Workable; POC feedback has not all been positive.
Risk: Talent Acquisition churn during renewal Nov 2027
Next Steps: Continue to monitor TA usage.</t>
  </si>
  <si>
    <t>Pierce Quek</t>
  </si>
  <si>
    <t>SG Gov is exploring an Application Tracking System (ATS), having reviewed 30+ applications, including a solution from WD (Paradox + Hiredscore). A POC is in progress with Workable, the leading ATS application after evaluation. If this POC is successful, the risk is that SG Gov will attrit from Talent Acquisition SKU at their next renewal in 2027.</t>
  </si>
  <si>
    <t>017VT0000GuPeNTYQ0</t>
  </si>
  <si>
    <t>2026-09-08T07:25:12.000+0000</t>
  </si>
  <si>
    <t>a0rVT00001DX6TFYA1</t>
  </si>
  <si>
    <t>a3AVT000000cwW12AI</t>
  </si>
  <si>
    <t>0011B00002AjW68QAF</t>
  </si>
  <si>
    <t>a0pVT00000Cq6QcYAJ</t>
  </si>
  <si>
    <t>{PS_Region_New__c=null, Industry=null, attributes={url=/services/data/v62.0/sobjects/Account/0011B00002AjW68QAF, type=Account}, Name=Sanford}</t>
  </si>
  <si>
    <t>0013000000KJzDRAA1</t>
  </si>
  <si>
    <t>a0rVT00001DXGkLYAX</t>
  </si>
  <si>
    <t>Activities tracking for the final move over to Fifth Third.
Final Tenant copy scheduled for 9/28/26</t>
  </si>
  <si>
    <t>017VT0000GuRSiwYQG</t>
  </si>
  <si>
    <t>Coast to Coast Coaching, Inc. dba Elevo Learning</t>
  </si>
  <si>
    <t>a0rVT00001DX6TGYA1</t>
  </si>
  <si>
    <t>2026-09-23T15:29:08.000+0000</t>
  </si>
  <si>
    <t>0014X00002KjnVPQAZ</t>
  </si>
  <si>
    <t>a3AVT000000cx0f2AA</t>
  </si>
  <si>
    <t>{PS_Region_New__c=US Medium Enterprise DI, attributes={url=/services/data/v62.0/sobjects/Account/0014X00002KjnVPQAZ, type=Account}, Industry=Consumer Goods, Name=Four Seasons Produce, Inc.}</t>
  </si>
  <si>
    <t>{attributes={url=/services/data/v62.0/sobjects/Account/001VT00000Jr4oxYAB, type=Account}, SubRegion__c=US DI ME NN RHT TOLA, PS_Sub_Region__c=ME NN RHT East, Name=Syberg's Family Restaurants, PS_Region_New__c=US Medium Enterprise DI, Industry=Restaurant &amp; Food Service}</t>
  </si>
  <si>
    <t>0018000000eMUqeAAG</t>
  </si>
  <si>
    <t>17/02: 
CSM spun up project across SC, Product, Value, Sales, Product Strategic Engagement to address immediate feature function questions but with the wider goal to elevate up the conversation, be more business strategic and outcome specific and showcase the power of one over the point solutions.</t>
  </si>
  <si>
    <t>017VT0000GuRDTUYQ4</t>
  </si>
  <si>
    <t>a0rVT00001DX6THYA1</t>
  </si>
  <si>
    <t>0018000001DwG8kAAF</t>
  </si>
  <si>
    <t>a0rVT00001DXCgjYAH</t>
  </si>
  <si>
    <t>{PS_Region_New__c=ANZ, attributes={url=/services/data/v62.0/sobjects/Account/0018000001DwG8kAAF, type=Account}, Name=ILLAWARRA RETIREMENT TRUST (ABN: 52 000 726 536), Industry=Post Acute}</t>
  </si>
  <si>
    <t>Problem Statement
GSK purely see Workday as a system of record and do not see it as a strategic system for their skills strategy. Workday risks the SKU churn of TLAO, REC &amp; Journeys for their January 2027 renewal equalling over $1.5 Million ACV.
Context - Talent
GSK are rolling out their “Workforce of the Future” Plan centred on being a skills-based organisation for Recruiting, Career and workforce planning.  
Workday is the system of record but the experience and analytics are all delivered using point solutions (Phenom, Degreed &amp; Maestro, Visier). 
Negative feedback from a 2025 pilot of Career Hub means it is not being rolled out in 2026. Alternative are being considered, such as Phenom and Maestro. 
Product development in Career Hub have not aligned with GSKs requirements 
Wider strategy &amp; fundamentals
This is happening within a tenant with high configuration debt and maintenance, a stretched Workday team and a tactical partnership between IT and HR. Both the IT and HR strategies are unclear with a tension between disjointed UX between point solutions v AI overlay v needing to simplify foundations and consolidate vendors.</t>
  </si>
  <si>
    <t>Coke One North America (CONA)</t>
  </si>
  <si>
    <t>2026-03-17T17:39:00.000+0000</t>
  </si>
  <si>
    <t>017VT0000GcCcLiYQK</t>
  </si>
  <si>
    <t>a3AVT000000czSH2AY</t>
  </si>
  <si>
    <t>0011B00002BBe71QAD</t>
  </si>
  <si>
    <t>001VT00000FqjoQYAR</t>
  </si>
  <si>
    <t>{PS_Region_New__c=EMEA South, attributes={url=/services/data/v62.0/sobjects/Account/0011B00002BBe71QAD, type=Account}, Industry=Software &amp; Platforms, Name=Cabify Matriz S.L.U.}</t>
  </si>
  <si>
    <t>- End to End test phase complete, but customer is not providing sign off, putting on hold the project with risks of delay. The project has a phase 2 for Finance deployment with a highly constrained timeline with a must have GoLive date due to legacy decomissionning.
- Customer has made the decision to descope Absence, Time Tracking and Scheduling due to major product gaps on the scheduling module.
Risks: 
- Delays to phase 1 causing delays to phase 2 start
- Current financial negociations on the subscription fees for Scheduling, TT and ABS are ongoing, with a threat by customer to cancel the project (all SKUs)</t>
  </si>
  <si>
    <t>017VT0000GuQVghYQG</t>
  </si>
  <si>
    <t>a0rVT00001DX6UsYAL</t>
  </si>
  <si>
    <t>a0pVT00000Cpv2DYAR</t>
  </si>
  <si>
    <t>{Name=MultiCare Health System, PS_Region_New__c=US Healthcare, attributes={url=/services/data/v62.0/sobjects/Account/0018000000LUJguAAH, type=Account}, Industry=Acute Hospital / Health System}</t>
  </si>
  <si>
    <t>a0rVT00001DXEc5YAH</t>
  </si>
  <si>
    <t>Current Stage: End to End
Trend: Red (project on hold on the HCM side and risk of delays to the Finance project that must start end of March to be able to be live by end of year to allow decommissioning of legacy Financials system)
Product gaps:
- a list of 10 product gaps (Adherence to fixed shift times (e.g., 6am–1:30pm), No mixing of Morning/Afternoon/Night shifts within the same week, Minimum rest period of 35 hours must be respected, Limitation of consecutive days worked, Balanced weekend rotation / constraints on a 2-week rhythm, Consecutive days and rest periods (avoiding 1-day-on / 1-day-off patterns, etc.), Conditional rules (e.g., if working 12h Sat/Sun, then rest Mon/Tue), Inter-employee constraints (e.g., shared custody), Balancing weekly hours over the year, Schedule Visualization (Look &amp; Feel of the old system)
- of the product gaps list, only 2 have a proposed solution in 2026R1, the remaining items will need to be managed manually (2 items have a not committed solution in 2027 roadmap). The manual solutions are deemed heavy by the customer, considering now a replacement of Workday for the scheduling part (Kelio or Comet as potential alternative solutions).
Actions in progress:
- Negociations ongoing with AE and RSD along with PS leadership to define an acceptable financial compensation to secure the deployment and mitigate churn risk (with a potential letigation case).</t>
  </si>
  <si>
    <t>{SubRegion__c=US DI ME NN RHT TOLA, Industry=Restaurant &amp; Food Service, PS_Region_New__c=US Medium Enterprise DI, Name=Syberg's Family Restaurants, attributes={url=/services/data/v62.0/sobjects/Account/001VT00000Jr4oxYAB, type=Account}, PS_Sub_Region__c=ME NN RHT East}</t>
  </si>
  <si>
    <t>2026-09-30T13:24:59.000+0000</t>
  </si>
  <si>
    <t>Collins Restaurants Management Pty Ltd (ABN 24 093 912 979)</t>
  </si>
  <si>
    <t>2026-03-18T06:14:48.000+0000</t>
  </si>
  <si>
    <t>017VT0000GcCcFiYQK</t>
  </si>
  <si>
    <t>a0rVT00001DX6WTYA1</t>
  </si>
  <si>
    <t>a3AVT000000czwv2AA</t>
  </si>
  <si>
    <t>0011B00002BBkhOQAT</t>
  </si>
  <si>
    <t>{Name=Wonder Group, Inc, PS_Region_New__c=US Medium Enterprise DI, Industry=Restaurant &amp; Food Service, attributes={type=Account, url=/services/data/v62.0/sobjects/Account/0011B00002BBkhOQAT}}</t>
  </si>
  <si>
    <t>0018000001DwGCEAA3</t>
  </si>
  <si>
    <t>017VT0000GuRNiCYQW</t>
  </si>
  <si>
    <t>a0rVT00001DX6Y6YAL</t>
  </si>
  <si>
    <t>a0pVT00000Cpw9XYAR</t>
  </si>
  <si>
    <t>0014X00002FC1vRQAT</t>
  </si>
  <si>
    <t>a0rVT00001DX8BhYAL</t>
  </si>
  <si>
    <t>{PS_Region_New__c=US FSI, Name=Eagle Bancorp, Inc, Industry=Banking &amp; Capital Markets, attributes={type=Account, url=/services/data/v62.0/sobjects/Account/0014X00002FC1vRQAT}}</t>
  </si>
  <si>
    <t>{SubRegion__c=US DI ME NN RHT TOLA, PS_Sub_Region__c=ME NN RHT East, Name=Syberg's Family Restaurants, Industry=Restaurant &amp; Food Service, PS_Region_New__c=US Medium Enterprise DI, attributes={url=/services/data/v62.0/sobjects/Account/001VT00000Jr4oxYAB, type=Account}}</t>
  </si>
  <si>
    <t>017VT0000GuRT44YQG</t>
  </si>
  <si>
    <t>a0rVT00001DX6Y7YAL</t>
  </si>
  <si>
    <t>0014X00002OsV1fQAF</t>
  </si>
  <si>
    <t>{Industry=Softlines, attributes={type=Account, url=/services/data/v62.0/sobjects/Account/0014X00002OsV1fQAF}, PS_Region_New__c=US Medium Enterprise DI, Name=Madison Reed}</t>
  </si>
  <si>
    <t>Trend
Red, trending red. The Feb/March 2027 go-live remains at risk. E2E execution is complete, but the pass rate is only 82% against the 95% threshold required to enter parallel testing. Still at risk as replanning is not finalised.
Update
E2E testing has reached 100% execution. Current outcomes are 82% passed, 5% failed, 9% blocked, and 4% WIP. There are 101 retests remaining, split between 44 Payroll and 57 Non-Payroll.
Defects are reducing but remain active. Workday-owned defects are down to 5 outstanding, all Severity 3. Broader defect tracking shows no active Sev 1s, 3 active Sev 2s, 20 active Sev 3s, and 1 active Sev 4, with additional items in retest.
Configuration scope is narrowing. Elected Representatives is the only remaining open business configuration item awaiting a business design decision. Other non-payroll impacting configuration changes are being deferred until after technical go-live.
Resourcing coverage is changing. Neil is on leave from 25 September to 12 October, with Giri backfilling for Auckland Council. 
Commercial remedies are also still being explored. At the direction of Colin Forth, as Executive Sponsor, the team is exploring potential commercial remedies in response to AC leadership concerns and ongoing commercial risk around subscription, including WSP Acc+, which is due for renewal in mid CY 2027.
Risks and Issues
Go-live risk remains high. The 82% E2E pass rate is materially below the 95% threshold needed to progress into parallel testing.
Testing velocity is too slow. Daily progress has slowed to approximately 2-3 passes per day due to Auckland Council resource constraints linked to the active Transport Reform allocation.
KPMG forecast is critical and still pending. Without KPMG’s E2E completion forecast, downstream planning remains constrained, including tenant builds, Gold migration, integrated re-planning, and parallel testing milestones.
Commercial timeline is under pressure. Change Order sign-off remains delayed and is needed by late September to support the revised plan.
Outstanding design decision may block configuration closure. Elected Representatives remains the only open business configuration item requiring a business decision.
AC Leadership concerns &amp; subscription renewal risk remain active commercial concerns. Commercial remedies are being explored under Executive Sponsor direction due to ongoing AC leadership concerns and risk around future subscription, including WSP Acc+ renewal due in mid CY 2027.
Next Steps
Obtain KPMG’s E2E completion forecast. This is the key dependency for confirming the integrated re-plan and downstream tenant build schedule.
Accelerate E2E retest closure. Focus on clearing the 101 remaining retests, with particular attention to Payroll items and any blockers affecting the pass-rate uplift to 95%.
Prioritise defect resolution. Continue focus on Sev 1 and Sev 2 items in active or retest status, while progressing the remaining Workday-owned Severity 3 defects.
Confirm Elected Representatives design decision. Auckland Council to provide the required business design decision to Workday following SteerCo.
Secure Change Order approval. Drive late-September sign-off to support the revised delivery plan and downstream mobilisation.
Progress tenant and migration planning. Continue SIT planning post-replan and address delayed PPR configuration migration once the plan is locked.
Progress commercial remedies discussion</t>
  </si>
  <si>
    <t>2026-09-30T13:24:49.000+0000</t>
  </si>
  <si>
    <t>017VT0000GuQARUYQ4</t>
  </si>
  <si>
    <t>a0rVT00001DX6ZhYAL</t>
  </si>
  <si>
    <t>0011B00002CXTdHQAX</t>
  </si>
  <si>
    <t>{Name=Jones Lang LaSalle for GM, attributes={type=Account, url=/services/data/v62.0/sobjects/Account/0011B00002CXTdHQAX}, PS_Region_New__c=US FSI, Industry=Investment Management}</t>
  </si>
  <si>
    <t>Trend
Red, trending red. Feb/March 2027 go-live is at risk, with E2E pass rate at 82% versus the 95% threshold for parallel testing.
Update
E2E execution is complete, but exit criteria are not met. 101 retests remain, and Workday-owned defects are down to 5, all Severity 3.
Scope is largely contained. Elected Representatives is the only open business configuration decision; non-critical changes are deferred post-go-live.
Commercial remedies discussions are still ongoing
Risks and Issues
Timeline risk is material. Testing progress is constrained to 2-3 passes per day due to Auckland Council resource pressures.
Critical planning dependency remains unresolved. KPMG’s E2E completion forecast is needed to lock tenant builds, the integrated re-plan, and Change Order approval by late September.
Commercial remedies cannot be agreed
Next steps
Secure KPMG forecast and re-plan. Confirm the path to 95% pass rate, tenant builds, and parallel testing. Close priority items. Resolve remaining retests and defects, confirm the Elected Representatives decision, and finalise Change Order sign-off.
Commercial remedy discussion to be progressed to finalisation</t>
  </si>
  <si>
    <t>2026-09-24T06:24:56.000+0000</t>
  </si>
  <si>
    <t>017VT0000GuQARFYQ4</t>
  </si>
  <si>
    <t>a3AVT000000d08D2AQ</t>
  </si>
  <si>
    <t>a0rVT00001DX6bJYAT</t>
  </si>
  <si>
    <t>0011B00002CXTqQQAX</t>
  </si>
  <si>
    <t>0014X00002fFuQGQA0</t>
  </si>
  <si>
    <t>{PS_Region_New__c=US Medium Enterprise DI, attributes={type=Account, url=/services/data/v62.0/sobjects/Account/0011B00002CXTqQQAX}, Name=Decker Truck Line, Inc., Industry=Land and Rail Transportation and Freight}</t>
  </si>
  <si>
    <t>September 10, 2026:
T: yellow. Project and customer engagement in place.
U: Platform deployment project ongoing for US and Canada (WD prime). DGS engagement limited to a few sessions only, as most of work done by WD PS. Efor wants to deploy other geos (including France, their largest operations by far) by themselves. Renewal discussions starting now, including additional SKUs and WSP.
R: risk of dropping WSP at renewal or downgrading to WSP Acc.
N: Present"Why WSP" one-pager with Efor before end of September, along with financial elements of all SKUs.</t>
  </si>
  <si>
    <t>017VT0000GuQARIYQ4</t>
  </si>
  <si>
    <t>a0rVT00001DX6cvYAD</t>
  </si>
  <si>
    <t>a0pVT00000CppHmYAJ</t>
  </si>
  <si>
    <t>0011B00002CXUOhQAP</t>
  </si>
  <si>
    <t>2026-09-10T08:26:38.000+0000</t>
  </si>
  <si>
    <t>{Name=True Food Kitchen, attributes={url=/services/data/v62.0/sobjects/Account/0011B00002CXUOhQAP, type=Account}, Industry=Restaurant &amp; Food Service, PS_Region_New__c=US Medium Enterprise DI}</t>
  </si>
  <si>
    <t>a3AVT000000d0cr2AA</t>
  </si>
  <si>
    <t>0018000000tVf1CAAS</t>
  </si>
  <si>
    <t>017VT0000GuQARLYQ4</t>
  </si>
  <si>
    <t>T (Trending): Red
U (Progress Update): On 07/09, Victor questioned WSP's fee structure, weighing several hundred thousand CHF in fees against a ~CHF 50K/year SI frame contract. The team responded with a WSP Value Proposition (14/09) quantifying ~CHF 350K delivered value against the CHF 240K fee (net surplus ~CHF 110K), directly addressing the objection ahead of the 17/09 roadmap session.
R (Risk): Swisscom's contractual right to swap WSP entitlement for product SKUs by year-end remains the account's top risk. The Value Proposition was well received, de-risking this threat, but not eliminating it: final 2027 pricing is unconfirmed and Victor's preference for a cheaper SI alternative is not yet resolved.
N (Next steps): Confirm the 2027 WSP pricing trajectory with Terri to close the remaining cost gap in Victor's comparison. Follow up with Jackson and Victor on the Value Proposition's reception and push for a formal decision before year-end.</t>
  </si>
  <si>
    <t>0011B00002CXUcPQAX</t>
  </si>
  <si>
    <t>{PS_Region_New__c=US SLED, attributes={type=Account, url=/services/data/v62.0/sobjects/Account/0011B00002CXUcPQAX}, Industry=Non-Profit, Name=American Geophysical Union}</t>
  </si>
  <si>
    <t>{Name=Sioux Center Health, attributes={type=Account, url=/services/data/v62.0/sobjects/Account/001VT00000b2j2AYAQ}, PS_Sub_Region__c=ME Commercial West, SubRegion__c=US DI Commercial NN Central, Industry=Acute Hospital / Health System, PS_Region_New__c=US Medium Enterprise DI}</t>
  </si>
  <si>
    <t>9.28.26: On track to wrap up SIT this week. Change order for India has been provided to the client - pending sign off.</t>
  </si>
  <si>
    <t>017VT0000GuPuHaYQK</t>
  </si>
  <si>
    <t>a0rVT00001DXB4jYAH</t>
  </si>
  <si>
    <t>As of 18/09/2026, the account's central risk remains Swisscom's contractual right to swap WSP entitlement for product SKUs by year-end, sharpened on 07/09 when Victor questioned WSP's value against a cheaper ~CHF 50K/year SI contract. The team's 14/09 WSP Value Proposition quantified ~CHF 350K delivered value against the CHF 240K fee and was well received — de-risking the swap threat without eliminating it, since final 2027 pricing remains unconfirmed.
T (Trending): Red
U (Progress Update): On 07/09, Victor questioned WSP's fee structure, weighing several hundred thousand CHF in fees against a ~CHF 50K/year SI frame contract. The team responded with a WSP Value Proposition (14/09) quantifying ~CHF 350K delivered value against the CHF 240K fee (net surplus ~CHF 110K), directly addressing the objection ahead of the 17/09 roadmap session.
R (Risk): Swisscom's contractual right to swap WSP entitlement for product SKUs by year-end remains the account's top risk. The Value Proposition was well received, de-risking this threat, but not eliminating it: final 2027 pricing is unconfirmed and Victor's preference for a cheaper SI alternative is not yet resolved.
N (Next steps): Confirm the 2027 WSP pricing trajectory with Terri to close the remaining cost gap in Victor's comparison. Follow up with Jackson and Victor on the Value Proposition's reception and push for a formal decision before year-end.</t>
  </si>
  <si>
    <t>a0rVT00001DX6g9YAD</t>
  </si>
  <si>
    <t>Community Health Choice</t>
  </si>
  <si>
    <t>0011B00002CXWo4QAH</t>
  </si>
  <si>
    <t>{Industry=Professional Services, Name=Quantum Health, Inc., attributes={url=/services/data/v62.0/sobjects/Account/0011B00002CXWo4QAH, type=Account}, PS_Region_New__c=US Medium Enterprise DI}</t>
  </si>
  <si>
    <t>2026-09-18T13:47:41.000+0000</t>
  </si>
  <si>
    <t>a3AVT000000d0hh2AA</t>
  </si>
  <si>
    <t>00180000010GGgXAAW</t>
  </si>
  <si>
    <t>017VT0000GuQTawYQG</t>
  </si>
  <si>
    <t>a0rVT00001DX6gAYAT</t>
  </si>
  <si>
    <t>Status: Red
Go-Live Date: TBD
The BSO is moving forward with the initial request for Workday involvement.  Steve O'Donnell has met with the BSO to confirm a paid assessment of the tenant and its configuration.  Chad Rorden at GH has been notified that this is taking place, with updated conversations once scope has been finalized.
The relationship between GH and the BSO is fractured, with one member of the BSO team stating in confidence, "This is why I don't see a future with GH.  I don't think we can work together anymore."</t>
  </si>
  <si>
    <t>0011B00002HijbzQAB</t>
  </si>
  <si>
    <t>{attributes={url=/services/data/v62.0/sobjects/Account/0011B00002HijbzQAB, type=Account}, Industry=Non-Profit, Name=GOODWILL IND. OF THE SOUTHERN RIVERS, INC., PS_Region_New__c=US SLED}</t>
  </si>
  <si>
    <t>Status: Red
Workday is transitioning from a support role to an active, paid independent assessment of BSO's tenant configuration.
Nawaz Lalani is finalizing internal staffing and a statement of work, targeted for end of this week.
Workday will review BSO's configuration against original requirements and coordinate with Guidehouse for issue logs, requirements, and decision documents.
Kevin McClure is to forward BSO's full project summary packet, including a review of decisions made by BSO's payroll lead (Irene).
Guidehouse's continued involvement beyond its change order (expiring around October 1) remains unresolved.</t>
  </si>
  <si>
    <t>2026-09-30T13:23:49.000+0000</t>
  </si>
  <si>
    <t>a0rVT00001DXDjFYAX</t>
  </si>
  <si>
    <t>2026-09-29T20:48:09.000+0000</t>
  </si>
  <si>
    <t>017VT0000GcCdAkYQK</t>
  </si>
  <si>
    <t>Compass Group USA, Inc.</t>
  </si>
  <si>
    <t>a3AVT000000d3Iz2AI</t>
  </si>
  <si>
    <t>a0rVT00001DX6gBYAT</t>
  </si>
  <si>
    <t>0013000000LSJEQAA5</t>
  </si>
  <si>
    <t>0018000001KD7IIAA1</t>
  </si>
  <si>
    <t>{PS_Region_New__c=ANZ, attributes={type=Account, url=/services/data/v62.0/sobjects/Account/0018000001KD7IIAA1}, Industry=Investment Management, Name=Vicinity Centres PM Pty Ltd}</t>
  </si>
  <si>
    <t>03/19/26 – RA
T (Trending):
Growing dissatisfaction with Workday’s support for construction-specific needs (Cost Plus, DCAA, complex rev rec).
Declining confidence due to lack of roadmap follow-through from prior sales cycle expectations (e.g., Procore Phase 2, AEC investments).
Increased reliance on manual workarounds (spreadsheets), reducing system efficiency.
U (Updates):
Confirmed: Workday has no plans as of now to support their Cost Plus or DCAA requirements in Workday.
Invisors positioning solutions for a path moving forward. 
If Invisors solutions don't solve customer's gap concerns, Current viable path points toward third-party solutions (e.g., Deltek, COINS) or maintaining existing systems.
R (Risk):
Risk of partial disengagement from Workday Financials for PSA/construction use cases.
N (Next Step):
Align internally on clear, transparent messaging to customer regarding product limitations. 
Facilitate discussion with customer on long-term system strategy (e.g., coexistence with third-party PSA/construction tools).</t>
  </si>
  <si>
    <t>a0pVT00000Cq4AIYAZ</t>
  </si>
  <si>
    <t>017VT0000GuPuHgYQK</t>
  </si>
  <si>
    <t>0011B00002CZcUZQA1</t>
  </si>
  <si>
    <t>{Industry=Healthcare Manufacturing, PS_Region_New__c=UKI, attributes={url=/services/data/v62.0/sobjects/Account/0011B00002CZcUZQA1, type=Account}, Name=Bristol-Myers Squibb Company}</t>
  </si>
  <si>
    <t>2026-03-19T17:58:35.000+0000</t>
  </si>
  <si>
    <t>Conagra Brands, Inc.</t>
  </si>
  <si>
    <t>a3AVT000000d5Fx2AI</t>
  </si>
  <si>
    <t>0018000000MULK4AAP</t>
  </si>
  <si>
    <t>017VT0000GcCd8NYQS</t>
  </si>
  <si>
    <t>{Industry=Softlines, SubRegion__c=France RHT LE, PS_Sub_Region__c=France, PS_Region_New__c=EMEA South, Name=L'Oréal S.A., attributes={url=/services/data/v62.0/sobjects/Account/0018000000tVezxAAC, type=Account}}</t>
  </si>
  <si>
    <t>a0rVT00001DX6l0YAD</t>
  </si>
  <si>
    <t>0013000000J3yuAAAR</t>
  </si>
  <si>
    <t>{PS_Region_New__c=Canada, Name=Loblaws, Inc., attributes={type=Account, url=/services/data/v62.0/sobjects/Account/0013000000J3yuAAAR}, Industry=Food &amp; Drug}</t>
  </si>
  <si>
    <t>Update 9/17/2026 - 
Headline: Post-renewal vision gains strong momentum with executive re-engagement, positive WSP support model reception, and planned January onsite, while high-risk SKUs remain under assessment ahead of November.
Trend: Neutral
Update: Presented Joint Renewal Plan on 8/20; completed initial Prism discovery with strong customer interest; engaged procurement on post-renewal strategy, with UMG framing Workday as central to their "next chapter"; re-engaged SVP People Operations Francine McDermott (joined monthly strategic call); planning January onsite for long-term vision; initial 2 WSP Operational Support Model &amp; Governance sessions well received; continuing renewal syncs, MSA unblocking for AI, Value Manager engagement with Brenna Brown, and securing UMSA/FSE headcount feedback.
Risk: Workday Success Plans (WSP ACC+), Cloud Connect for Learning (SNI), Prism Analytics (SNI), People Analytics, Journeys, Cloud Connect for Third-Party Payroll (CCTPP), Workday Recruiting, Talent Optimization (SNI). (Note: Missing ACV values—please provide ACV at risk per SKU).
Next Steps: Conduct follow-up Prism sessions, partner with Brenna Brown to finalize WSP value story, tie Talent Optimization to TA strategy, execute WSP Operational Support Model &amp; Governance session #3, and prepare for January onsite engagement.</t>
  </si>
  <si>
    <t>017VT0000GuPuHmYQK</t>
  </si>
  <si>
    <t>a0rVT00001DX6mbYAD</t>
  </si>
  <si>
    <t>0011B00002CZqbrQAD</t>
  </si>
  <si>
    <t>2026-09-17T20:25:48.000+0000</t>
  </si>
  <si>
    <t>{Industry=Auto, attributes={type=Account, url=/services/data/v62.0/sobjects/Account/0011B00002CZqbrQAD}, PS_Region_New__c=US Large Enterprise DI &amp; Mexico, Name=Valvoline LLC}</t>
  </si>
  <si>
    <t>a3AVT000000dA5x2AE</t>
  </si>
  <si>
    <t>017VT0000GuOG9WYQW</t>
  </si>
  <si>
    <t>0013000000LTHBPAA5</t>
  </si>
  <si>
    <t>a0rVT00001DXAYTYA5</t>
  </si>
  <si>
    <t>CAE has expanded usage to other countries and is an early adopter of LLM capabilities. 
New LLM testing and explainability testing by CAE team will surface any quality gaps on French coverage, and the plan is for Michal to obtain feedback and define a path for product/Brain improvement based on feedback from EA program. 
There are active HyperCare meetings set up with CAE stakeholders to discuss feedback and next steps.</t>
  </si>
  <si>
    <t>0018000000x2CepAAE</t>
  </si>
  <si>
    <t>Continental Cafe, LLC DBA Continental Services</t>
  </si>
  <si>
    <t>{attributes={url=/services/data/v62.0/sobjects/Account/0018000000x2CepAAE, type=Account}, Name=Chobani, LLC (Inactive Account), Industry=Consumer Goods, PS_Region_New__c=US Medium Enterprise DI}</t>
  </si>
  <si>
    <t>US DI ME NN RHT Central</t>
  </si>
  <si>
    <t>Trend – CAE expanded HiredScore usage across additional countries and is an early adopter of new LLM capabilities, increasing both value and technical complexity.
Update – CAE is actively running LLM and explainability tests, with Michal collecting structured feedback—especially on French coverage—to channel into a defined product/Brain improvement path via the EA program.
Risk – If LLM quality and explainability gaps (particularly in French) are not quickly understood and addressed, CAE’s confidence and adoption momentum could continue to decline, elevating churn and reputational risk for early‑adopter AI offerings.
Next Steps – Leverage HyperCare meetings with CAE stakeholders to validate findings, align on mitigations and timelines, and ensure Michal’s feedback loop into product/Brain yields prioritized fixes and clear communication back to CAE.</t>
  </si>
  <si>
    <t>2026-09-30T13:25:31.000+0000</t>
  </si>
  <si>
    <t>2026-04-07T15:16:22.000+0000</t>
  </si>
  <si>
    <t>017VT0000GuRP1zYQG</t>
  </si>
  <si>
    <t>a0rVT00001DX6oDYAT</t>
  </si>
  <si>
    <t>a3AVT000000dAXN2A2</t>
  </si>
  <si>
    <t>0011B00002Dyv39QAB</t>
  </si>
  <si>
    <t>{PS_Region_New__c=Canada, Name=OSF Digital, attributes={url=/services/data/v62.0/sobjects/Account/0011B00002Dyv39QAB, type=Account}, Industry=Software &amp; Platforms}</t>
  </si>
  <si>
    <t>0018000000mKwxKAAS</t>
  </si>
  <si>
    <t>Full Churn $780k ACV, Renewal 4/27/2027
T - Negative
U - Customer has been unresponsive to outreach from the account team attempting to connect and receive updates on their RFP plans.
R - Full Churn $780k ACV.  CSM and AE inherited this account with significant risk to fully churn. During 2/27/26 intro call, customer confirmed they will be going to RFP in March 2026. RFP will be for HCM and potentially FINs as well. Customer says their data set is broken. They don't want to invest in services to optimize WD at this time, would rather go to RFP.</t>
  </si>
  <si>
    <t>2026-09-30T13:23:47.000+0000</t>
  </si>
  <si>
    <t>a0pVT00000Cpo5XYAR</t>
  </si>
  <si>
    <t>Account team continuing to try to make contact and receive an update on RFP plans.  Historical engagements show that we have made FIC investments in the past to optimize before, but it's clear the issues persist and the customer isn't owning Workday oversight and updates.</t>
  </si>
  <si>
    <t>017VT0000GuRP25YQG</t>
  </si>
  <si>
    <t>a0rVT00001DXGE5YAP</t>
  </si>
  <si>
    <t>2026-05-26T15:25:52.000+0000</t>
  </si>
  <si>
    <t>Continental Siding</t>
  </si>
  <si>
    <t>0011B00002DzqH3QAJ</t>
  </si>
  <si>
    <t>a3AVT000000dAYz2AM</t>
  </si>
  <si>
    <t>{PS_Region_New__c=US Large Enterprise DI &amp; Mexico, Industry=Business Services, attributes={type=Account, url=/services/data/v62.0/sobjects/Account/0011B00002DzqH3QAJ}, Name=Aptive Environmental, LLC}</t>
  </si>
  <si>
    <t>0018000000nkQNHAA2</t>
  </si>
  <si>
    <t>Trend: Neutral
Update: Customer has received funding approval from the Legislature of the appropriation to accommodate the shift from phased to platform. MP managed expectations with customer that MP role will stop at end of June.
Risk: Delay in re-starting the project 
Next Steps: Share WD SLED MP Director contact with customer to address any WSP inquiries not directed to the CBAE</t>
  </si>
  <si>
    <t>{SubRegion__c=US DI Commercial NN Southwest, attributes={url=/services/data/v62.0/sobjects/Account/001VT00000b2niTYAQ, type=Account}, PS_Sub_Region__c=ME Commercial West, PS_Region_New__c=US Medium Enterprise DI, Industry=Restaurant &amp; Food Service, Name=Wasatch Valley Pizza, LLC (AWRG PH)}</t>
  </si>
  <si>
    <t>017VT0000GuRP22YQG</t>
  </si>
  <si>
    <t>a0rVT00001DX6t3YAD</t>
  </si>
  <si>
    <t>2026-06-24T22:47:49.000+0000</t>
  </si>
  <si>
    <t>0011B00002FeLBQQA3</t>
  </si>
  <si>
    <t>a3AVT000000dIWX2A2</t>
  </si>
  <si>
    <t>{Name=Ochsner Clinic Foundation, attributes={url=/services/data/v62.0/sobjects/Account/0011B00002FeLBQQA3, type=Account}, Industry=null, PS_Region_New__c=null}</t>
  </si>
  <si>
    <t>0018000001KdYvgAAF</t>
  </si>
  <si>
    <t>Kelly Van Orsdel</t>
  </si>
  <si>
    <t>a0rVT00001DXAocYAH</t>
  </si>
  <si>
    <t>017VT0000GcCcJgYQK</t>
  </si>
  <si>
    <t>CoolIT Systems</t>
  </si>
  <si>
    <t>As of March 2026, the ILG account is flagged as a renewal risk. During a sync on March 24, 2026, the new leadership lead, Scott Gregory, expressed significant skepticism regarding HiredScore’s incremental value over native Workday Recruiting functionality. While the end-user base remains highly active, there is a disconnect at the stakeholder level regarding the platform's long-term ROI.
Current Usage &amp; Adoption Insights
Despite the risk at the leadership level, the platform maintains a strong 70% adoption rate. Key areas of value for the recruiting team include:
Spotlight Efficiency: Users rely on HiredScore for rapid candidate review and profile switching.
UX Superiority: The team prefers HiredScore’s filtering and "Pending Action" views over Workday’s native interface to move through candidate lists quickly.
Gap: Fetch is currently underutilized, contributing to the "redundancy" perception by leadership.
Key Challenges &amp; Friction Points
New Leadership Alignment: Scott Gregory (POC) does not currently see the value proposition of HiredScore as a separate investment from Workday.
Functionality Comparison: The client is currently viewing HiredScore primarily as a UI overlay rather than a strategic AI/automation partner.
Strategic Mitigation &amp; Next Steps
To secure the June 2026 renewal, the account team will pivot from tactical usage discussions to a long-term vision strategy:
Comprehensive Roadmap Session (Immediate): Schedule a deep-dive session to present the 2026–2027 Product Roadmap. The goal is to demonstrate upcoming innovations that differentiate HiredScore from Workday’s baseline capabilities.
Internal Stakeholder Alignment: Conduct a debrief with the AE to evaluate a Services Investment to optimize deployment and potentially re-onboard the team on underutilized features (like Fetch).
Value Confirmation: Reframe the 70% adoption and speed-to-hire metrics into a tangible ROI story for the new POC.</t>
  </si>
  <si>
    <t>2026-03-25T07:24:36.000+0000</t>
  </si>
  <si>
    <t>a3AVT000000dOVV2A2</t>
  </si>
  <si>
    <t>001VT00000b2v89YAA</t>
  </si>
  <si>
    <t>0011B00002AJs5UQAT</t>
  </si>
  <si>
    <t>{PS_Region_New__c=US Medium Enterprise DI, Industry=Restaurant &amp; Food Service, attributes={url=/services/data/v62.0/sobjects/Account/001VT00000b2v89YAA, type=Account}, Name=Budha Inc}</t>
  </si>
  <si>
    <t>a0rVT00001DXCs1YAH</t>
  </si>
  <si>
    <t>Kontoor Brands has grown significantly through the acquisition of Helly Hansen. The focus for HR has been largely on foundational and tactical execution as the acquisition is absorbed. While attempts to contact executives have been largely rejected, we jsut learned that Kontoor is going through a divestiture of one of its major brands. We are connecting with Patti Taylor, in-person, the last week of June
Trend - Trending up
Update- Account Executive (Daniel Mercer) and MP (Daryl McCuiston) Opened Wellness Plan to focus on strategic focus and alignment with Kontoor. A planned engagement with the SVP of Total Rewards is scheduled for the last week of June.
Risk- Kontoor's WSP and core renewals are co-terminus at 5/28/27
Next Steps - A planned engagement with the SVP of Total Rewards is rescheduled for August 13th.</t>
  </si>
  <si>
    <t>CoorsTek, Inc.</t>
  </si>
  <si>
    <t>017VT0000GuRP28YQG</t>
  </si>
  <si>
    <t>Kontoor Brands has grown significantly through the acquisition of Helly Hansen. The focus for HR has been largely on foundational and tactical execution as the acquisition is absorbed.
Kontoor is going through a divestiture of one of its major brands, Lee. This recent activity has increased our connectivity with key members of Kontoor.
A planned connection with Patti Taylor (SVP of total rewards), in-person, Mid August, for a dedicated strategic planning session was cancelled by the customer last minute, This was rescheduled from an earlier planned engagement. The plan was to close the Wellness plan after that engagement.
We have created a new engagement series with a new Sr. Director of HRIS that will hopefully create the needed engagement
- Trend - Trending steady
- Update- Account Executive (Daniel Mercer) and MP (Daryl McCuiston) Opened Wellness Plan to focus on strategic focus and alignment with Kontoor.
- Risk- Kontoor's WSP and core renewals are co-terminus at 5/28/27
- Next Steps - A planned engagement with the SVP of Total Rewards rescheduled for August 13th was cancelled
- A new series of engagements with a new Sr. Director of HRIS was kicking off September 9th. This engagement is being rescheduled as the Kontoor side did not show.
- Engaging MP cohort for best practices and lessons learned in similar situations</t>
  </si>
  <si>
    <t>a0rVT00001DX6ufYAD</t>
  </si>
  <si>
    <t>2026-09-25T19:05:32.000+0000</t>
  </si>
  <si>
    <t>0011B00002FeUyGQAV</t>
  </si>
  <si>
    <t>{Industry=null, PS_Region_New__c=null, Name=Insight Direct USA, Inc., attributes={type=Account, url=/services/data/v62.0/sobjects/Account/0011B00002FeUyGQAV}}</t>
  </si>
  <si>
    <t>a3AVT000000dZ7Z2AU</t>
  </si>
  <si>
    <t>0018000000wBu4rAAC</t>
  </si>
  <si>
    <t>017VT0000GuPR62YQG</t>
  </si>
  <si>
    <t>a0rVT00001DXB1YYAX</t>
  </si>
  <si>
    <t>9/24/26 Update:
Further churn at Block creates additional Risk. Main POC Dani Schmidt Global Enterprise People Technology is leaving Block. This is a risk because she is one of the limited users of WSP. - No backfill is planned
Small HRIS team with limited resources to use WSP
Learning, CCLRN, Performance and possibly Adv Comp at Risk along with significant FSE reduction will make the April 2027 renewal difficult</t>
  </si>
  <si>
    <t>Copenhagen Imports, Inc.</t>
  </si>
  <si>
    <t>0018000000ggIigAAE</t>
  </si>
  <si>
    <t>{PS_Region_New__c=US Healthcare, Industry=Acute Hospital / Health System, attributes={type=Account, url=/services/data/v62.0/sobjects/Account/0018000000ggIigAAE}, Name=Arkansas Children's Hospital}</t>
  </si>
  <si>
    <t>2026-09-24T13:55:14.000+0000</t>
  </si>
  <si>
    <t>2026-09-30T13:24:54.000+0000</t>
  </si>
  <si>
    <t>a3AVT000000dZab2AE</t>
  </si>
  <si>
    <t>017VT0000GuRP2BYQW</t>
  </si>
  <si>
    <t>a0rVT00001DX6wHYAT</t>
  </si>
  <si>
    <t>0013000000GbilDAAR</t>
  </si>
  <si>
    <t>0011B00002GLi8EQAT</t>
  </si>
  <si>
    <t>9/30 - no additional updates</t>
  </si>
  <si>
    <t>{PS_Region_New__c=US Large Enterprise DI &amp; Mexico, Industry=Telecom, Name=U.S. Cellular Corporation, attributes={url=/services/data/v62.0/sobjects/Account/0011B00002GLi8EQAT, type=Account}}</t>
  </si>
  <si>
    <t>017VT0000GcCdAqYQK</t>
  </si>
  <si>
    <t>2026-09-30T18:12:47.000+0000</t>
  </si>
  <si>
    <t>a3AVT000000dd7x2AA</t>
  </si>
  <si>
    <t>0013000000KLvSYAA1</t>
  </si>
  <si>
    <t>{Industry=Food &amp; Drug, Name=C&amp;S Wholesale Grocers, LLC, attributes={url=/services/data/v62.0/sobjects/Account/0013000000KLvSYAA1, type=Account}, PS_Region_New__c=US Large Enterprise DI &amp; Mexico}</t>
  </si>
  <si>
    <t>0018000000rPuFNAA0</t>
  </si>
  <si>
    <t>Coretrans</t>
  </si>
  <si>
    <t>017VT0000GuRMilYQG</t>
  </si>
  <si>
    <t>AUGUST 4, 2026 UPDATE from Karma Seawright:
The latest Deployment Health Update (DHP) on the scorecard indicates that the project is still yellow, but as of 29 July: Merakey will go-live to end users in early June 2027. Unit Testing is complete at 97% overall. The DHP will be closed when the new schedule is finalized and change order signed in August. The change order was submitted to Merakey in late June.
Given this information, I’m asking for confirmation on the following items so the original escalation that was raised to Partner Success can be closed:
Impact Advisors @Vicki McGuire Please confirm that after the change order is signed this month, you’ll ensure that Jeff Walters updates all of the key dates on the scorecard to reflect the July 2027 plan and that normal program governance will continue throughout the new timeline.
Workday @Corey Rhood Please confirm that Merakey’s CEO and executive sponsors feel their original concerns around configuration guidance, best practices, and testing support have been addressed, and that no further executive level intervention is being requested.</t>
  </si>
  <si>
    <t>a0rVT00001DX6wJYAT</t>
  </si>
  <si>
    <t>0014X00002ltVjIQAU</t>
  </si>
  <si>
    <t>{PS_Region_New__c=US Medium Enterprise DI, attributes={type=Account, url=/services/data/v62.0/sobjects/Account/0014X00002ltVjIQAU}, Name=LeadPoint, Industry=Professional Services}</t>
  </si>
  <si>
    <t>2026-08-14T14:30:38.000+0000</t>
  </si>
  <si>
    <t>2026-09-30T13:24:44.000+0000</t>
  </si>
  <si>
    <t>a3AVT000000dfzN2AQ</t>
  </si>
  <si>
    <t>017VT0000GuRWjbYQG</t>
  </si>
  <si>
    <t>0018000001GQKLhAAP</t>
  </si>
  <si>
    <t>a0rVT00001DX6wKYAT</t>
  </si>
  <si>
    <t>001800000171hbjAAA</t>
  </si>
  <si>
    <t>9/18 Update: Uman was informed on 9/15 that Audible will not be moving forward with UMSA as part of this renewal.  Additionally, the are no longer considering additional SKUs as part of this renewal and only renewing existing SKUs.  WSP  was not called out specifically in this communication.</t>
  </si>
  <si>
    <t>{PS_Region_New__c=ASEAN, Industry=Travel &amp; Hospitality, attributes={type=Account, url=/services/data/v62.0/sobjects/Account/001800000171hbjAAA}, Name=Scoot Pte. Ltd.}</t>
  </si>
  <si>
    <t>Risk Summary: WSP-Acc+ churn risk due to low adoption and leadership turnover (Value). Renewal Date: 11/29/2026
Trend: Negative
Updates: Audible stated they will not move forward with UMSA and no additional SKUs as part of this renewal.
Next Steps: Ozzy and Ryan are heading to meet Audible week of Sept 28th to recognize VNDLY Go-LIve, will inquire about WSP as part of renewal.</t>
  </si>
  <si>
    <t>017VT0000GuQTazYQG</t>
  </si>
  <si>
    <t>2026-09-18T15:28:14.000+0000</t>
  </si>
  <si>
    <t>a0rVT00001DX6xtYAD</t>
  </si>
  <si>
    <t>a3AVT000000dgCH2AY</t>
  </si>
  <si>
    <t>0011B00002GNSBKQA5</t>
  </si>
  <si>
    <t>{Name=Hewlett Packard Enterprise Company, PS_Region_New__c=null, Industry=null, attributes={type=Account, url=/services/data/v62.0/sobjects/Account/0011B00002GNSBKQA5}}</t>
  </si>
  <si>
    <t>0018000001SZ27SAAT</t>
  </si>
  <si>
    <t>Cornerstone OnDemand, Inc.</t>
  </si>
  <si>
    <t>Update 01.09.26
T: Amber
U: Action plan to secure WSP+ renewal (key areas/Drivers) defined - need to be discussed internally
1st scenario (best): WSP+ Renewal
2nd scenario: Downgrade to WSP Accelerate
3rd scenario: WSP+ swap to HiredScore
R: Budget constrain still critical for renewal
N: Discuss internally the renewal plan and create value stories to discuss with the client</t>
  </si>
  <si>
    <t>Commercial Services</t>
  </si>
  <si>
    <t>017VT0000GuQTb2YQG</t>
  </si>
  <si>
    <t>Channels</t>
  </si>
  <si>
    <t>0011B00002GNaLoQAL</t>
  </si>
  <si>
    <t>2026-09-01T23:02:43.000+0000</t>
  </si>
  <si>
    <t>{PS_Region_New__c=US SLED, Industry=Non-Profit, attributes={url=/services/data/v62.0/sobjects/Account/0011B00002GNaLoQAL, type=Account}, Name=Cadence Education, LLC}</t>
  </si>
  <si>
    <t>a3AVT000000dhuj2AA</t>
  </si>
  <si>
    <t>0018000001YGvkeAAD</t>
  </si>
  <si>
    <t>017VT0000GuQmzUYQS</t>
  </si>
  <si>
    <t>a0rVT00001DX6zWYAT</t>
  </si>
  <si>
    <t>0014X00002aVB9IQAW</t>
  </si>
  <si>
    <t>{Industry=Automotive Rental and Leasing, attributes={url=/services/data/v62.0/sobjects/Account/0014X00002aVB9IQAW, type=Account}, PS_Region_New__c=US Medium Enterprise DI, Name=JX Enterprises}</t>
  </si>
  <si>
    <t>09/29/26 Update — Trend: relationship sentiment holding steady/positive, but operational and contractual risk remains elevated. TAM trust and a support-escalation gap surfaced internally this month; Oracle competitive pressure is active.
SKUs at risk: Full portfolio — HCM, Payroll, Benefits, Recruiting, Learning, Talent, Adaptive Planning, Peakon.
ACV at risk: $2.58MM (≈80% of total $3.24M ACV).
Renewal date: 12/30/2027 
Next steps: Finish value narrative and CBAE to present SSR proposal.</t>
  </si>
  <si>
    <t>2026-09-29T19:58:54.000+0000</t>
  </si>
  <si>
    <t>017VT0000GcCcKDYQ0</t>
  </si>
  <si>
    <t>a0rVT00001DX717YAD</t>
  </si>
  <si>
    <t>a3AVT000000drdx2AA</t>
  </si>
  <si>
    <t>0011B00002H5dExQAJ</t>
  </si>
  <si>
    <t>a0rVT00001DX8d8YAD</t>
  </si>
  <si>
    <t>{Industry=Business Services, Name=Sport Clips, PS_Region_New__c=US Large Enterprise DI &amp; Mexico, attributes={type=Account, url=/services/data/v62.0/sobjects/Account/0011B00002H5dExQAJ}}</t>
  </si>
  <si>
    <t>0014X00002aV4myQAC</t>
  </si>
  <si>
    <t>CornerStone Staffing</t>
  </si>
  <si>
    <t>017VT0000GuQTb5YQG</t>
  </si>
  <si>
    <t>a0rVT00001DX72jYAD</t>
  </si>
  <si>
    <t>0011B00002H9ECYQA3</t>
  </si>
  <si>
    <t>{PS_Region_New__c=US Medium Enterprise DI, attributes={url=/services/data/v62.0/sobjects/Account/0011B00002H9ECYQA3, type=Account}, Name=Misfits Market, Inc., Industry=Software &amp; Platforms}</t>
  </si>
  <si>
    <t>Key Strategic Developments:
· Cost-to-serve (CTS) insights remain in high demand as margins face pressure and annual planning approaches (Amazon OP Process), with AWS L8–L10 level leaders now briefed on the broader strategic Workday relationship and its AI-powered use cases.
· AWS Immediate priorities by the end of September: align on a path forward for the Adaptive renewal, add Decision Intelligence to the agreement, decide on additional tools to contract for CTS work, and resolve the long-term owner of CTS (Finance vs. Central Support, where the AWS Workday product team sits and plans to drive the work from). Expansion of Adaptive across AWS is now being encouraged by senior leaders, backed by renewed leadership support to scale adoption after past attempts stalled.
· A recent adoption project wrapped up with strong results: six business units built new tools, optimized processes, and expanded data integrations, prompting leadership to request a fast follow to onboard more teams next month.
· Andrew Ruud continues to focus on ensuring AWS Partners/Customers are viewed as a 360-degree relationship and continues to provide us with a first-of-its-kind internal champion to help navigate AWS purchasing bureaucracy.
· Sarah Samudio continues to be an outspoken advocate/champion for Workday Adaptive by speaking at Adaptive Pulse and NYC and she is also presenting at US Rising.</t>
  </si>
  <si>
    <t>Vann Smiley</t>
  </si>
  <si>
    <t>We are actively executing a strategy to bridge a $10M funding gap for the AWS renewal, aiming to expand their currently approved $5M budget to our $15M target. Our approach centers on upgrading AWS to Adaptive Pro and introducing Cost to Serve (C2S) solutions. We are leveraging strong product demand and new internal AWS advocacy to align their internal purchasing divisions and secure the expanded spend.</t>
  </si>
  <si>
    <t>017VT0000GcCcJUYQ0</t>
  </si>
  <si>
    <t>a0rVT00001DX72kYAD</t>
  </si>
  <si>
    <t>0013000000L1v4NAAR</t>
  </si>
  <si>
    <t>2026-09-22T18:46:57.000+0000</t>
  </si>
  <si>
    <t>{PS_Region_New__c=US Medium Enterprise DI, Name=Regis Corporation, attributes={url=/services/data/v62.0/sobjects/Account/0013000000L1v4NAAR, type=Account}, Industry=Other Retail}</t>
  </si>
  <si>
    <t>a3AVT000000duf32AA</t>
  </si>
  <si>
    <t>0014X00002FBmcrQAD</t>
  </si>
  <si>
    <t>017VT0000GuRDQzYQO</t>
  </si>
  <si>
    <t>a0rVT00001DX72lYAD</t>
  </si>
  <si>
    <t>Week of 9/21 - Session for 8/18 FAP Workshop onsite in Pittsburgh has been completed and was well received.  They are very lighty staffed to take on much more than keeping things running.  Was able to connect them to The Groove who they hired to support configuration of FLSA issues raised from our payroll functional review.  I am trying to partner next with The Groove to see how they could help implement some of the Must Do/Should Do items from the FAP workshop.  They don't have budget to attend Rising, but planning to use digital pass.</t>
  </si>
  <si>
    <t>0014X00002XIxZdQAL</t>
  </si>
  <si>
    <t>Executive Summary
Risk Summary: Favorable sentiment w/ low WSP adoption &amp; minimal customer executive engagement.
Trend: Positive
Updates: FAP Session Completed.  The Groove supported with FLSA configuration issues.
Risk: Churn Risk - WSP Acc+
Next Steps: Working to schedule annual planning session for 2027.</t>
  </si>
  <si>
    <t>{PS_Region_New__c=US Large Enterprise DI &amp; Mexico, attributes={url=/services/data/v62.0/sobjects/Account/0014X00002XIxZdQAL, type=Account}, Industry=Softlines, Name=Verano Holdings LLC}</t>
  </si>
  <si>
    <t>Corteva Agriscience LLC</t>
  </si>
  <si>
    <t>2026-09-22T19:41:40.000+0000</t>
  </si>
  <si>
    <t>a3AVT000000dxzV2AQ</t>
  </si>
  <si>
    <t>0014X00002FBvc3QAD</t>
  </si>
  <si>
    <t>017VT0000GuRU3RYQW</t>
  </si>
  <si>
    <t>a0rVT00001DX72mYAD</t>
  </si>
  <si>
    <t>FBG filed for Chapter 11 bankruptcy in September 2025 and is winding down key North American operations. The company is actively seeking buyers for remaining assets while facing liquidity issues and potential fraud investigations. FBG is currently pursuing Chapter 7 liquidation.
Workday team has been terminated. Sr. Manager HRIS is now a contract employee. Role is merely to keep Workday operational until liquidation is complete.
MP will maintain monthly connect with Sr. Manager to ensure Workday legal has a contact into FBG if needed.</t>
  </si>
  <si>
    <t>0018000000qYo8PAAS</t>
  </si>
  <si>
    <t>{PS_Region_New__c=US Large Enterprise DI &amp; Mexico, Name=Festival Foods, attributes={url=/services/data/v62.0/sobjects/Account/0018000000qYo8PAAS, type=Account}, Industry=Food &amp; Drug}</t>
  </si>
  <si>
    <t>2026-08-17T17:31:35.000+0000</t>
  </si>
  <si>
    <t>a3AVT000000dzLN2AY</t>
  </si>
  <si>
    <t>0013000000IniJKAAZ</t>
  </si>
  <si>
    <t>017VT0000GuQTb8YQG</t>
  </si>
  <si>
    <t>a0rVT00001DX74LYAT</t>
  </si>
  <si>
    <t>Trend:  Positive
Canon has mostly agreed to the recommendations provided during the onsite meeting in late June.  NTT and Intecrowd have also agreed to a formal recovery plan and are updating contracts accordingly.
Initial go-live has been moved out to 7/1/2027 and appropriate project activities are underway.  Starting week of 8/3 there have been a series of on-site CCS "re-do" sessions which are focused on preparing the Canon team to enter unit testing.</t>
  </si>
  <si>
    <t>Mark Wayland</t>
  </si>
  <si>
    <t>0011B00002H9WSFQA3</t>
  </si>
  <si>
    <t>{attributes={url=/services/data/v62.0/sobjects/Account/0011B00002H9WSFQA3, type=Account}, PS_Region_New__c=ASEAN, Industry=Softlines, Name=Shiseido Asia Pacific Pte Ltd}</t>
  </si>
  <si>
    <t>017VT0000GcCcLWYQ0</t>
  </si>
  <si>
    <t>a0rVT00001DX75xYAD</t>
  </si>
  <si>
    <t>0011B00002Hjn8YQAR</t>
  </si>
  <si>
    <t>{attributes={url=/services/data/v62.0/sobjects/Account/0011B00002Hjn8YQAR, type=Account}, Name=Ocean Network Express Pte. Ltd, Industry=Sea and Water Transportation, PS_Region_New__c=ASEAN}</t>
  </si>
  <si>
    <t>2026-08-07T13:29:12.000+0000</t>
  </si>
  <si>
    <t>a0rVT00001DXE5qYAH</t>
  </si>
  <si>
    <t>Covenant Aviation Security, LLC</t>
  </si>
  <si>
    <t>017VT0000GuQa2AYQS</t>
  </si>
  <si>
    <t>a0rVT00001DX75yYAD</t>
  </si>
  <si>
    <t>a3AVT000000dzjZ2AQ</t>
  </si>
  <si>
    <t>0013000000IHbqFAAT</t>
  </si>
  <si>
    <t>{PS_Region_New__c=US Large Enterprise DI &amp; Mexico, attributes={type=Account, url=/services/data/v62.0/sobjects/Account/0013000000IHbqFAAT}, Industry=Softlines, Name=Kohl's, Inc.}</t>
  </si>
  <si>
    <t>0018000001GRg2AAAT</t>
  </si>
  <si>
    <t>017VT0000GuQ2hqYQC</t>
  </si>
  <si>
    <t>a0rVT00001DX77ZYAT</t>
  </si>
  <si>
    <t>0011B00002HkCQWQA3</t>
  </si>
  <si>
    <t>{PS_Region_New__c=US SLED, Name=Michigan Department of Transportation, Industry=State &amp; Local Government, attributes={type=Account, url=/services/data/v62.0/sobjects/Account/0011B00002HkCQWQA3}}</t>
  </si>
  <si>
    <t>a0rVT00001DXBHdYAP</t>
  </si>
  <si>
    <t>Cowbell Cyber Inc.</t>
  </si>
  <si>
    <t>9/29/26 Update - WSP Renewal Risk, broader Workday renewal risk has decreased due to continued conversation with Snap team and Ashley Goldsmith call with Snap CPO. WSP OP Consulting team wanted to start with AAE's prior to a formal OP allowing time for our Partner teams to connect with our Partners about overages and dive further into what is driving API overage.   Current overage is driven from Gem (Partner), GoodTime (Resolved), RecEco and Okta. OP Team is reluctant to engage since these are all vendor integrations and not built within Workday.
Call between Ashley Goldsmith and Scott (CPO of Snap) went well and Scott did not raise the same concerns as our contact Dave. The renewal risk is reduced at this time.
Scott's current Status with Workday:
- Old configuration that doesn’t suit the company they are today
- They need to do a lot of process optimization
- Want a consumer grade user experience for their workforce
- Workday is probably the best HR Tech option and they are figuring out how to optimize.
- Proposed a CXC and Scott loved the idea. In process of planning for early December.
Current WSP Utilization
Usage remains limited to tactical offerings such as Ask-an-Expert and Collaboration Crews. Adoption of broader WSP capabilities (training, optimization packages, governance frameworks) has not progressed. While a WSP Feature Adoption Workshop was successfully completed in October, there has been limited additional traction or expansion of engagement beyond that milestone. They want hands on keyboards vs. advisory offerings given their limited bandwidth. They did recently submit an Optimization Package for their API Overage (Tech Guidance).
Customer Sentiment
Scott, their CPO recently received feedback from employees about their cumbersome HR processes. The perception is Workday, however it spans across their HR Tech stack. Snap team has not taken recommendations for Strategic WSP offerings such as Optimization packages. Additionally, an NSC Survey feedback reflects dissatisfaction across both product and services, with particular concern around cost structure and AI scalability.
Next Steps:
- We are engaging internal teams to support Snap through their Platform Usage reduction however Snap has limited bandwidth or budget for additional resources. Overage is coming from 3rd party systems, not Workday Integrations.- Conducting Optimization Package.
-Planning a CXC for Dec.
-Attempted introduction of CIO to our CTO team from Ashley to Scott. No reply from Scott and we got our hand slapped by Dave for going around him.</t>
  </si>
  <si>
    <t>017VT0000GcCd7MYQS</t>
  </si>
  <si>
    <t>a0rVT00001DX7AnYAL</t>
  </si>
  <si>
    <t>Snap engages with Workday on an as-needed basis, but overall engagement remains inconsistent. Recent NSC survey feedback indicates declining sentiment, particularly around cost (Platform/Flex Credits), product experience, and scalability.
Snap is a top 10 overage for platform usage. We hosted a call to discuss Platform usage cost at list price and was not received well. Their HR Tech leader expressed concern about the cost increase, noting this was the second significant price increase in less than a year (FSE increase) with no additional functionality, and indicated he would go to their CHRO to discuss possibly moving away from Workday. We now believe this was posturing after Ashley's call with Snaps CPO (Scott).
Noted lack of engagement from their executive team, suggesting they view our partnership as more transactional than strategic. The Workday Account team is actively trying to foster stronger relationships and elevate the partnership to a more strategic level; however, engagement from executives has been sparse. We are planning a CXC for Dec.</t>
  </si>
  <si>
    <t>00130000008NNFcAAO</t>
  </si>
  <si>
    <t>{PS_Region_New__c=US Large Enterprise DI &amp; Mexico, Industry=Telecom, Name=Cox Corporate Services, Inc., attributes={url=/services/data/v62.0/sobjects/Account/00130000008NNFcAAO, type=Account}}</t>
  </si>
  <si>
    <t>2026-09-29T20:17:38.000+0000</t>
  </si>
  <si>
    <t>a3AVT000000e9cT2AQ</t>
  </si>
  <si>
    <t>0018000000uCt0eAAC</t>
  </si>
  <si>
    <t>017VT0000GcCd7PYQS</t>
  </si>
  <si>
    <t>Link to Gainsight Adoption Plan: https://workday--jbcxm.vf.force.com/apex/GainsightNXT#customersuccess360%3Fcid%3D1P02HBK45QTGHQ27T4LBWJHFFLXV6BNDOCC5%23%2Fd2b50784-c028-4597-a3e5-dfdddedcc4cf</t>
  </si>
  <si>
    <t>Cox Corporate Services, Inc.</t>
  </si>
  <si>
    <t>Brian Treston</t>
  </si>
  <si>
    <t>PS is in the process of analyzing the customer's 100+ issues; most of which are with PSA. PS has brought in Performance Management and Product to help resolve issues and communicate the product road map. PS has engaged with Sales, Customer Success and Field Services to help manage the relationship. The analysis and action plan are targeted to be complete by June 19, 2026.</t>
  </si>
  <si>
    <t>0018000000fj4T4AAI</t>
  </si>
  <si>
    <t>{attributes={url=/services/data/v62.0/sobjects/Account/0018000000fj4T4AAI, type=Account}, Industry=Acute Hospital / Health System, PS_Region_New__c=US Healthcare, Name=Ballad Health}</t>
  </si>
  <si>
    <t>2026-06-04T17:52:11.000+0000</t>
  </si>
  <si>
    <t>a3AVT000000fAMn2AM</t>
  </si>
  <si>
    <t>0013000000IH8NGAA1</t>
  </si>
  <si>
    <t>017VT0000GuRVduYQG</t>
  </si>
  <si>
    <t>a0rVT00001DX7ApYAL</t>
  </si>
  <si>
    <t>Trend: Neutral. CHRO has indicated she cannot fully fund WSP after their 1 year contract and needs Payroll and IT to supplement. Neither has committed yet.
Update: Tracking wellness plan as we now almost 9 months into the 1 year WSP contract and 3 months away from renewal.
Risk: Medium
Next Steps: MP, Debbie McDevitt, met with new CIO, Chris Leigh to share accomplishments to date and to explain why it would be detrimental to Eversource to no longer have access to WSP services. WSP Value deck has been compiled and presented to CHRO, CFO and CIO and highlighting successes with internal stakeholders. A joint 2 year road mapping call was held with our key stakeholders in an attempt to show areas of opportunity/future value post WSP contract end date. On a positive note, Workday Learning and Talent Optimization implementations were listed on the roadmap (even though those opportunities aren't finalized yet.) During recent demos, we did highlight Workday deployment guidance services to encourage the WSP extension. In addition, the Workday Viper team just completed an engagement where a PRISM optimization package could support with solutioning an issue. This is an example of a use case for WSP after the 1 year contract. CSM, Kim Lunte, also shared a ROI and WSP accomplishments slide at the recently monthly WSP meeting to continue to increase awareness at Eversource. The key contacts at Eversource are really seeing the value of WSP. They presented the Executive Team with a proposal to extend and we are supporting this with ROI calculations/slides. They just completed a combined Comp/Advanced comp functional review and gave extremely positive feedback. Their next optimization, Performance and Talent, is kicking off in late August and they requested their 4th OP, HCM Security. We need to keep elevating this sentiment to the Executive team. a CTO Connection is also being planned with Dan Wesley and the Eversource CIO, Chris Leigh to continue to strengthen relationships. Paradox product and support escalations continue to be an ongoing challenge. Eversource shared they are planning to send 4 people to Rising and we are encouraging the CHRO and CIO to attend the Exec Symposium, which will be a great opportunity to continue to showcase Workday and discuss the renewal. AE, Mike O'Neil, is hopeful we can package WSP with an early renewal/SSR if and when Workday learning is selected and hoping to tie in Talent Optimization as well.</t>
  </si>
  <si>
    <t>0018000000tiRFiAAM</t>
  </si>
  <si>
    <t>a0rVT00001DXE2bYAH</t>
  </si>
  <si>
    <t>{PS_Region_New__c=ANZ, attributes={type=Account, url=/services/data/v62.0/sobjects/Account/0018000000tiRFiAAM}, Name=Telstra Limited, Industry=Telecom}</t>
  </si>
  <si>
    <t>Coöperatieve Rabobank U.A</t>
  </si>
  <si>
    <t>Trend: Neutral. CHRO has indicated she cannot fully fund WSP after their 1 year contract and needs Payroll and IT to supplement. Neither has committed yet.
Update: Tracking wellness plan as we now 10 months into the 1 year WSP contract and 2 months away from renewal.
Risk: Medium
Next Steps: MP, Debbie McDevitt, met with new CIO, Chris Leigh to share accomplishments to date and to explain why it would be detrimental to Eversource to no longer have access to WSP services. WSP Value deck has been compiled and presented to CHRO, CFO and CIO and highlighting successes with internal stakeholders. A joint 2 year road mapping call was held with our key stakeholders in an attempt to show areas of opportunity/future value post WSP contract end date. On a positive note, Workday Learning and Talent Optimization implementations were listed on the roadmap (even though those opportunities aren't finalized yet.) During recent demos, we did highlight Workday deployment guidance services to encourage the WSP extension. In addition, the Workday Viper team completed an engagement where a PRISM optimization package could support with solutioning an issue. This is an example of a use case for WSP after the 1 year contract. CSM, Kim Lunte, also shared a ROI and WSP accomplishments slide at the recently monthly WSP meeting to continue to increase awareness at Eversource. The key contacts at Eversource are really seeing the value of WSP. They presented the Executive Team with a proposal to extend and we are supporting this with ROI calculations/slides. They just completed a combined Comp/Advanced comp functional review and gave extremely positive feedback. Their next optimization, Performance and Talent, kicked off in late August and they requested their 4th OP, HCM Security. We need to keep elevating this sentiment to the Executive team. A CTO Connection is scheduled for late October with Dan Wesley and the Eversource CIO, Chris Leigh to continue to strengthen relationships. Paradox product and support escalations continue to be an ongoing challenge. Eversource is sending 5 people to Rising and we are encouraging the CHRO and CIO to attend the Exec Symposium, which will be a great opportunity to continue to showcase Workday and discuss the renewal. AE, Mike O'Neil, is hopeful we can package WSP with an early renewal/SSR if and when Workday learning is selected and hoping to tie in Talent Optimization as well. Onsite meeting held last week for learning demos and for an Embedded AI Feature workshop, as well as overall relationship strengthening, which went well.</t>
  </si>
  <si>
    <t>2026-09-22T15:13:47.000+0000</t>
  </si>
  <si>
    <t>a3AVT000000fAOP2A2</t>
  </si>
  <si>
    <t>017VT0000GcCd85YQC</t>
  </si>
  <si>
    <t>a0rVT00001DX7CPYA1</t>
  </si>
  <si>
    <t>Trend: QVC has recently emerged from Chapter 11 bankruptcy and now has a new Board and new but returning CEO.
Update: WSP utilization was very low but is improving month over month due to focused efforts and is now up to stable 59.1%. They are continuing to express interest in Workday offerings, events and have been engaging with the account team. The account team has been impacted by the AE resigning, the CSM's maternity leave, the TAM's medical leave and a change in EComm sponsor.
Risk: Medium However, as of July 29th, a new AE has been assigned and has been engaged, the CSM has returned from maternity leave and the new EComm sponsor, Colin Forth, has engaged and offered to connect with QVC.   
Next Steps: MP, Debbie McDevitt, established biweekly meetings with Courtney Zaun, Global Director, People Solutions, to maintain situational awareness. Core renewal isn't at risk. She is happy with the partnership and support overall. She shared disappointment with the Learning RFP in flight, in particular Workday's pricing and responsiveness. RSD, Kristy Hawes is supporting new AE, Nicola Sailer on competitive pricing for Learning.  They are also pushing back on paying for WSP during the Learning implementation.  In addition, in May a Flex credit overview session was held and uMSA is in their hands and is being actively negotiated. However, it was determined this would be on hold until the core renewal in January. MP, Debbie McDevitt, was able to obtain approval for Lauren Deasy, VP, Global Total Rewards, People Tech &amp; Ops (and Courtney Zaun's direct leader), who historically hasn't engaged with Workday, to attend the Rising Executive symposium and she has since registered. MP, Debbie McDevitt, sent a personal note to Lauren Deasy twice offering to connect.   She also set up a EComm connection in the CXC for Colin Forth and Lauren Deasy to connect while at Rising.  They also requested their first WSP Optimization package for this summer which is a good opportunity. Workday marketing team is meeting with QVC to see if there are any creative ways to highlight the brand at Rising or through other channels as well.</t>
  </si>
  <si>
    <t>00130000008NNFfAAO</t>
  </si>
  <si>
    <t>{PS_Region_New__c=US Large Enterprise DI &amp; Mexico, Industry=Restaurant &amp; Food Service, Name=Darden Restaurants, Inc., attributes={url=/services/data/v62.0/sobjects/Account/00130000008NNFfAAO, type=Account}}</t>
  </si>
  <si>
    <t>Trend: QVC has recently emerged from Chapter 11 bankruptcy and now has a new Board and new but returning CEO.
Update: WSP utilization was very low but is improving month over month due to focused efforts and is now up to stable 59.1%. They are continuing to express interest in Workday offerings, events and have been engaging with the account team. The account team has been impacted by the AE resigning, the CSM's maternity leave, the TAM's medical leave and a change in EComm sponsor.  However, as of July 29th, a new AE has been assigned and has been engaged, the CSM has returned from maternity leave and the new EComm sponsor, Colin Forth, is scheduled to connect with QVC at Rising.  
Risk: Medium 
Next Steps: MP, Debbie McDevitt, established biweekly meetings with Courtney Zaun, Global Director, People Solutions, to maintain situational awareness. Core renewal isn't at risk. She is happy with the partnership and support overall.  Positive update is Learning SKU was purchased on Sept 17th, 2026 which was heavily negotiated.   Next priority is to start conversations for the January core renewal, to include the uMSA.  WSP Accelerate Plus may be at risk to a downgrade to Accelerate.   We completed a presentation on the lost value with this downgrade.   MP, Debbie McDevitt, was able to obtain approval for Lauren Deasy, VP, Global Total Rewards, People Tech &amp; Ops (and Courtney Zaun's direct leader), who historically hasn't engaged with Workday, to attend the Rising Executive symposium and she has since registered. MP, Debbie McDevitt, sent a personal note to Lauren Deasy twice offering to connect. She also set up a EComm connection in the CXC for Colin Forth and Lauren Deasy to connect while at Rising. They also completed and found value in their first WSP Optimization package, Payroll Functional Review.</t>
  </si>
  <si>
    <t>2026-09-22T15:02:06.000+0000</t>
  </si>
  <si>
    <t>a3AVT000000fgg12AA</t>
  </si>
  <si>
    <t>a0rVT00001DXC7GYAX</t>
  </si>
  <si>
    <t>017VT0000GcCcJdYQK</t>
  </si>
  <si>
    <t>a0rVT00001DX7E1YAL</t>
  </si>
  <si>
    <t>0013000000IK8psAAD</t>
  </si>
  <si>
    <t>Crete Carrier Corporation</t>
  </si>
  <si>
    <t>00130000008NNFpAAO</t>
  </si>
  <si>
    <t>{attributes={type=Account, url=/services/data/v62.0/sobjects/Account/00130000008NNFpAAO}, PS_Region_New__c=US Large Enterprise DI &amp; Mexico, Name=Federal Express Corporation, Industry=Couriers &amp; Express Delivery Services}</t>
  </si>
  <si>
    <t>Strong champion w VP of HR, Ed Krauss, who has shared Workday is their "HR backbone". However IT &amp; Procurement shared dissatisfaction with partnership &amp; value of WD. Renewed for 1 year. 
Trend: Neutral 
CSI: Unfavorable - Jan 2026 renewal was extremely contentious with Deputy CIO refusing to sign contract longer then 1 year.  Shared dissatisfaction with partnership &amp; value of WD. However conflicting feelings from  VP of HR who has recently stated Workday is their "HR backbone". Preparing for April Business review onsite. Sheri Rhodes will also be meeting virtually with Kristie Grinnell, CIO, 5/18.
Updates: 
- Missed AI Opportunity: TD SYNNEX has decided to use IBM Orchestrate ("Ask HR") as their employee-facing front door. Workday will serve as the backbone and core system of record. Ed noted they are now "married to IBM."
-Jan 2026 renewal: CBAE (Brian Bradley) has been in tough negotiations with the VP of HR, Ed Krauss (champion) and their Procurement since Oct. 2025.  Had 3 year (full) renewal with $400K uplift in the 11th hour (1/29/26) AE, RVP &amp; Jason Leach asked to join a call with Deputy CIO(Jeff Wiggin) who refused to sign anything more than a 1 year renewal.  Shared dissatisfaction with partnership &amp; value of WD.  Did not explicitly state would be leaving Workday, but would not sign for more than a year.
Risk Summary: Need to determine customers intention of either off boarding or working with the Workday Account team (including Project Phoenix/GCR &amp; Value Management) over FY27 ($1,993,311)
Next Steps:  CBAE, CSM &amp; Jason Leach to meet customer onsite for April business review. Working to "rebuild" relationship and showcase Workday Innovation.</t>
  </si>
  <si>
    <t>TD SYNNEX is dissatisfied because they feel they’re not getting sufficient value from Workday relative to spend, and that the relationship has been largely transactional rather than strategic. SVP of HR Ops and CIO explicitly say they are not getting the value based on spend, want a formal wellness / value realization assessment, and note that 30% of managers report they do not like using Workday, with data quality issues, confusing learning and performance experiences, and AI functionality not hitting the mark. The January renewal was contentious, with the deputy CIO cutting a planned multi‑year to a one‑year term and ongoing friction over UMSA and FlexCredit policies, reinforcing trust and contract concerns. They also believe Workday lagged on AI readiness six months ago (driving investments in IBM AskHR and Microsoft‑built agents) and are now demanding a clearer AI roadmap, agent governance model, and stronger, more hands‑on governance and support from Workday.</t>
  </si>
  <si>
    <t>2026-05-04T19:21:37.000+0000</t>
  </si>
  <si>
    <t>017VT0000GuR0DdYQK</t>
  </si>
  <si>
    <t>a3AVT000000fgkr2AA</t>
  </si>
  <si>
    <t>a0rVT00001DX7FdYAL</t>
  </si>
  <si>
    <t>0013000000J3H4pAAF</t>
  </si>
  <si>
    <t>00130000008NNGhAAO</t>
  </si>
  <si>
    <t>{Industry=Hardlines, Name=Lowe's Companies, Inc., attributes={type=Account, url=/services/data/v62.0/sobjects/Account/00130000008NNGhAAO}, PS_Region_New__c=US Large Enterprise DI &amp; Mexico}</t>
  </si>
  <si>
    <t>Customer Sentiment is Unfavorable due to new Executive's (Chief People Officer) dislike for their Workday Agreement. EchoStar’s primary objective is to "reset" the contract to reflect "current commercial realities" rather than the assumptions from a year ago. 
■ Headline: CPO demands contract reset amid service friction, FSE overage and SKU drop. ■ Trend: Negative ■ Update: New CPO is requesting a full contract reset and has replaced Workday Services with Deloitte due to engagement frustrations. Sent official termination letter pertaining to deployment services agreement with Workday (now using Deloitte.) ■ Risk: Total Contract Value (TCV): EchoStar’s proposed core TCV is $4,211,621, compared to the current Workday position of $9,884,108 (SSR Proposal) and $8,475,781(Current TCV).  Dropping Help SKU ($138,385.80) in favor of ServiceNow and overpayment on FSEs following the satellite business sale to SpaceX. ■ Next Steps: 5/1 CPO sent counter proposal with significant concessions. The customer has requested a written response and a meeting with a decision-maker within 10 business days to avoid missing a Q1 2027 go-live.  Workday account team meeting with Mark Wayland 5/5 to review and put plan in place.</t>
  </si>
  <si>
    <t>2026-09-30T13:23:53.000+0000</t>
  </si>
  <si>
    <t>EchoStar is a high‑risk, dissatisfied customer driven by contract and deployment breakdowns. The new CPO is demanding a contract reset and has replaced Workday Services with Deloitte after a perceived poor services experience, while refusing to pay a $1.9M invoice on the current agreement as their go-live has been pushed out and they feel they should not be billed for new SKUs (Payroll, Time Tracking, Expenses, Talent) until confirmed production go-live. They assert that the Dish/Boost Mobile deployment work Workday Services delivered over several months is unusable and have given notice they don’t want to continue, which means lost services revenue and a request for a completely new production tenant going forward. The commercial construct (back‑end‑loaded, Help SKU overpay risk following a SpaceX divestiture) and threat of churn on Help/ServiceNow further amplify dissatisfaction.</t>
  </si>
  <si>
    <t>a0rVT00001DXBRJYA5</t>
  </si>
  <si>
    <t>2026-05-04T19:31:42.000+0000</t>
  </si>
  <si>
    <t>Cristo Rey Network</t>
  </si>
  <si>
    <t>017VT0000GcCcLfYQK</t>
  </si>
  <si>
    <t>a3AVT000000ficz2AA</t>
  </si>
  <si>
    <t>a0rVT00001DX7FeYAL</t>
  </si>
  <si>
    <t>0014X00002l5H7jQAE</t>
  </si>
  <si>
    <t>0018000001OT0YQAA1</t>
  </si>
  <si>
    <t>Fuller Technologies is demanding a mid-term downsize and U.S. support following a divestiture, signaling high churn risk after being denied contract concessions.
Trend: Negative
Update: New CHRO requested reduction from 2,700 to 1,600 FSEs and U.S.-based support for EU-based subsidiary FLSmidth &amp; Co.; customer expressed significant dissatisfaction and hinted at a go-forward strategy pivot after being notified mid-term contract changes are restricted.
Risk: HCM ($155k), WPLN ($70k), WSP ($82k), REC ($62k), TT ($12k), LRN ($47k), Peakon ($47k), CCTPP ($38k).
Next Step: Align with Legal and Leadership to assess total churn risk and determine if any commercial flexibility exists to prevent full platform loss at renewal.
Unfavorable due denied request for contract concessions</t>
  </si>
  <si>
    <t>{attributes={url=/services/data/v62.0/sobjects/Account/0018000001OT0YQAA1, type=Account}, Name=Osaic, Inc., PS_Region_New__c=US FSI, Industry=Investment Management}</t>
  </si>
  <si>
    <t>Fuller’s dissatisfaction is driven primarily by executive‑level frustration with the contract (FSE count going down following a divestiture) and low value realization from key SKUs. The CHRO is questioning the fairness and clarity of the commercial structure they are unable to change mid-contract.</t>
  </si>
  <si>
    <t>2026-05-04T22:20:40.000+0000</t>
  </si>
  <si>
    <t>a3AVT000000fieb2AA</t>
  </si>
  <si>
    <t>017VT0000GuR0DgYQK</t>
  </si>
  <si>
    <t>a0rVT00001DX7HFYA1</t>
  </si>
  <si>
    <t>0018000000VIkRrAAL</t>
  </si>
  <si>
    <t>a0pVT00000CppzHYAR</t>
  </si>
  <si>
    <t>00130000008NNH1AAO</t>
  </si>
  <si>
    <t>Headline CS 042726: RingCentral has indicated an intent to not renew their December 2026 contract, requiring immediate executive alignment to address governance challenges and product utilization gaps, and pending data extraction requirements.
Trend: Negative (non-renewal signal received January 2026; persistent stakeholder unresponsiveness and governance friction, and formal offboarding initiation).
Update: Ongoing lack of engagement, documented IT dissatisfaction with UI, stalled deployment strategies for VNDLY and Succession Planning, and new offboarding case opened for data extraction quote.
Risk: Collective ACV at risk is $1,255,568. (HCM $490k ACV, USP $135k ACV, REC 218k ACV, TT $81k ACV, BEN $27k ACV, CCB $25k AVC, ACM $57k ACV, AM $48K ACV. SP $24k ACV, PD $75K ACV.)
Next Step: Partner with Sales to confirm formal non-renewal notice, initiate executive-level outreach for reconnection and engage Professional Services for data extraction quote.
Customer Sentiment: Unfavorable due to full churn</t>
  </si>
  <si>
    <t>{attributes={url=/services/data/v62.0/sobjects/Account/00130000008NNH1AAO, type=Account}, PS_Region_New__c=US Large Enterprise DI &amp; Mexico, Name=NIKE, Inc., Industry=Softlines}</t>
  </si>
  <si>
    <t>RingCentral has formalized their decision not to renew the HCM contract in December 2026/intent to fully churn, driven by low perceived value and a desire to move to a different solution. Root causes include persistent stakeholder unresponsiveness, governance friction and lack of a clear ownership model, and IT dissatisfaction with the Workday UI (“very clicky, not easily customizable”), even as HR remained generally satisfied.</t>
  </si>
  <si>
    <t>2026-05-04T22:52:22.000+0000</t>
  </si>
  <si>
    <t>a0rVT00001DXF1tYAH</t>
  </si>
  <si>
    <t>{Name=Wasatch Valley Pizza, LLC (AWRG PH), PS_Sub_Region__c=ME Commercial West, Industry=Restaurant &amp; Food Service, attributes={url=/services/data/v62.0/sobjects/Account/001VT00000b2niTYAQ, type=Account}, SubRegion__c=US DI Commercial NN Southwest, PS_Region_New__c=US Medium Enterprise DI}</t>
  </si>
  <si>
    <t>017VT0000GuRFORYQ4</t>
  </si>
  <si>
    <t>a3AVT000000fijR2AQ</t>
  </si>
  <si>
    <t>a0rVT00001DX7HGYA1</t>
  </si>
  <si>
    <t>Criteo Technology</t>
  </si>
  <si>
    <t>0018000000rNxYOAA0</t>
  </si>
  <si>
    <t>{PS_Region_New__c=DACH, Industry=Healthcare Manufacturing, Name=Novartis Pharma AG, attributes={type=Account, url=/services/data/v62.0/sobjects/Account/0018000000rNxYOAA0}}</t>
  </si>
  <si>
    <t>0018000000x3mXpAAI</t>
  </si>
  <si>
    <t>017VT0000GcCcGRYQ0</t>
  </si>
  <si>
    <t>a0rVT00001DX7IrYAL</t>
  </si>
  <si>
    <t>00130000008NNHZAA4</t>
  </si>
  <si>
    <t>Trend: FINS - Negative - $362,048
Update: currently on 3rd 'redeploy' of FINS w/ Strada - CEO expressing frustration and is asking to speak to Workday directly. Threatening to drop. Multiple internal planning meetings w/ Execs and FINS Specialists. Prep call held w/ CTO and CIO (Dave and Ray Ann), Strada and WD FINS. Added option of IMPL tenant to hold history vs Prism. CSM provided IMPL tenant cost.
Risk: Dropping FINS - possibly HR too?  Dropping Adaptive and moving to Open Sesame - FINS - $362,048 / Adaptive Planning (FIN and WFM) - $227,300
Next: CEO meeting held 4/30.
Below is the feedback that Brint shared with his team at Ryan:
**The Ryan team has 3 action items per CEO, Brint Ryan:
Document/ask questions of Workday around capabilities. Brint was very underwhelmed with the options in general, but also with the lack of HCM discussion
Do an inventory audit of what's connected between WD HCM and Finance within Ryan setup. They had some questions again around whether or not WD could exist in standalone prod tenants for FINS vs. HCM, capabilities for connecting WD to WD, potential for WD to another system, etc.
Look at potential for other ERP platforms (other than WD)
CS next action items:
1) call is scheduled w/ Ryan HCM team and 2 HCM experts (from Derek Nixson’s team) next Wednesday - gathering more details about pain points including document attachments etc. (Ed has requested to join as well)
2) connected w/ Services re: estimate needed for Advisory services to 'Oversee' the project (whichever decision is made)  
3) follow-up w/ Strada after HCM call w/ Ryan next week to debrief and probably schedule another call w/ Ryan</t>
  </si>
  <si>
    <t>{PS_Region_New__c=US Large Enterprise DI &amp; Mexico, Name=USR Parent Inc (Inactive Account), Industry=Hardlines, attributes={url=/services/data/v62.0/sobjects/Account/00130000008NNHZAA4, type=Account}}</t>
  </si>
  <si>
    <t>Ryan LLC’s dissatisfaction is concentrated on FINs, where years of dissatisfaction due to design issues in the initial deployment have left the CEO feeling stuck between two expensive, non-ideal options: optimizing the current system or doing a full redeploy. The CEO has already threatened to remove FINs and move to Unit 4, describing the choice as a “bad or worse” scenario, and has escalated directly to Workday for guidance. In contrast, HCM is stable and viewed positively by HR, which reduces full‑platform churn risk but increases pressure to justify the incremental FINs investment.</t>
  </si>
  <si>
    <t>a0pVT00000CqBYLYA3</t>
  </si>
  <si>
    <t>017VT0000GcCcEkYQK</t>
  </si>
  <si>
    <t>a0rVT00001DX7KTYA1</t>
  </si>
  <si>
    <t>2026-05-04T23:09:05.000+0000</t>
  </si>
  <si>
    <t>0013000000DRfRTAA1</t>
  </si>
  <si>
    <t>{PS_Region_New__c=Corporate, Name=Workday, Industry=Software &amp; Platforms, attributes={url=/services/data/v62.0/sobjects/Account/0013000000DRfRTAA1, type=Account}}</t>
  </si>
  <si>
    <t>a3AVT000000fimf2AA</t>
  </si>
  <si>
    <t>{PS_Sub_Region__c=ME Commercial West, SubRegion__c=US DI Commercial NN Southwest, Industry=Restaurant &amp; Food Service, PS_Region_New__c=US Medium Enterprise DI, attributes={type=Account, url=/services/data/v62.0/sobjects/Account/001VT00000b2niTYAQ}, Name=Wasatch Valley Pizza, LLC (AWRG PH)}</t>
  </si>
  <si>
    <t>a0rVT00001DX9yzYAD</t>
  </si>
  <si>
    <t>0018000001T9tzbAAB</t>
  </si>
  <si>
    <t>Crocs, Inc.</t>
  </si>
  <si>
    <t>017VT0000GcCcFKYQ0</t>
  </si>
  <si>
    <t>Headline:  Microfocus (OpenText) confirmed churn for July 2026 due to SAP consolidation; focus shifted to compliant data offboarding and SOW finalization.
Trend: Negative
Update: Customer transitioning to SAP infrastructure; current activity focused on negotiating SOW for data extraction and record retention compliance while managing resource limitations for post-Workday engagement.
Risk: HCM, TLOA, REC, TT, EXP, JRNYS, Projects, PPLA, CCTTP ($1,600,000 ACV)
Next Steps: Finalize offboarding SOW with Tiffany Huoh, provide partner recommendations for specialized migration, and deliver final documentation to address VP-level concerns without committing additional technical resources.
CSI Sentiment: Unfavorable due to confirmed churn.</t>
  </si>
  <si>
    <t>Micro Focus LLC is a confirmed full churn at July 30, 2026 renewal of ~$1.58M. OpenText completed its acquisition of Micro Focus on January 31, 2023, and post‑acquisition integration is driving a parent‑led consolidation away from Workday to SAP. Governance and decision rights shifted to OpenText, and the strategic direction is to offboard Workday and standardize on the parent company’s SAP platform.</t>
  </si>
  <si>
    <t>0013000000GbKjaAAF</t>
  </si>
  <si>
    <t>{Name=American Family Mutual Insurance Company, S.I., PS_Region_New__c=US FSI, Industry=Insurance, attributes={type=Account, url=/services/data/v62.0/sobjects/Account/0013000000GbKjaAAF}}</t>
  </si>
  <si>
    <t>2026-05-04T23:18:13.000+0000</t>
  </si>
  <si>
    <t>a3AVT000000fioH2AQ</t>
  </si>
  <si>
    <t>0018000001YlMtuAAF</t>
  </si>
  <si>
    <t>017VT0000GuQe3sYQC</t>
  </si>
  <si>
    <t>a0pVT00000Cpsp6YAB</t>
  </si>
  <si>
    <t>a0rVT00001DX7M6YAL</t>
  </si>
  <si>
    <t>0014X00002K6TmYQAV</t>
  </si>
  <si>
    <t>{PS_Region_New__c=US Medium Enterprise DI, attributes={type=Account, url=/services/data/v62.0/sobjects/Account/001VT00000b2niTYAQ}, PS_Sub_Region__c=ME Commercial West, SubRegion__c=US DI Commercial NN Southwest, Name=Wasatch Valley Pizza, LLC (AWRG PH), Industry=Restaurant &amp; Food Service}</t>
  </si>
  <si>
    <t>{Name=W.W. Grainger, Inc., Industry=Hardlines, PS_Region_New__c=US Large Enterprise DI &amp; Mexico, attributes={url=/services/data/v62.0/sobjects/Account/0014X00002K6TmYQAV, type=Account}}</t>
  </si>
  <si>
    <t>High-priority risk escalated as Samsara halts Talent Optimization and demands commercial restructuring to address AI gaps and competitor pressure from Pave.
Trend: Negative
Update: Implementation of Talent Optimization paused 4/8; CPO/CIO requesting 60-minute session for contract renegotiation and scope reduction following prior UI/UX escalations.
Risk:Talent Optimization ($146k ACV), Advanced Comp ($70k ACV); Total ACV at Risk: $216,000.
Next Step:Deliver completed Advanced Comp optimization recommendations on 5/5 to neutralize Pave threat; execute UI/UX roadmap deep dive with WD VP of Design on 5/14. CIO/CPO requested meeting on contract structure was scheduled for 5/6 and customer asked to reschedule (meeting TBD).</t>
  </si>
  <si>
    <t>Crowe Advisory LLC</t>
  </si>
  <si>
    <t>017VT0000GuPWzyYQG</t>
  </si>
  <si>
    <t>Samsara's dissatisfaction centers on compensation and talent optimization value, as well as commercial policy friction. They have abruptly halted their talent optimization deployment and are seeking to restructure the agreement, with a CIO/CPO contract renegotiation meeting requested.  On the comp side, leadership is unhappy with the perceived value of Advanced Comp relative to cost and is actively evaluating Pave as an alternative, even as a WSP Advanced Comp Optimization package wraps up.  The relationship has been further strained by frustration over consulting engagement expectations and lead times, plus ongoing pushback on flex credit and policy topics, creating a narrative that Samsara is not getting timely, high‑value support from Workday for its highest‑visibility programs.</t>
  </si>
  <si>
    <t>a0rVT00001DX7M7YAL</t>
  </si>
  <si>
    <t>2026-05-04T23:26:59.000+0000</t>
  </si>
  <si>
    <t>0018000000kuQjgAAE</t>
  </si>
  <si>
    <t>a3AVT000000gatV2AQ</t>
  </si>
  <si>
    <t>{Name=Paradise Valley Unified District, PS_Region_New__c=US SLED, attributes={url=/services/data/v62.0/sobjects/Account/0018000000kuQjgAAE, type=Account}, Industry=Education (K-12)}</t>
  </si>
  <si>
    <t>0018000000P0iSDAAZ</t>
  </si>
  <si>
    <t>a0pVT00000CpyhaYAB</t>
  </si>
  <si>
    <t>JS 5/13/26: Noodles is struggling Financially with their overall business. Next renewal isn't until July 2028; however, customer continually cites cost concerns due to slowing sales.  Alana and Mario are working to schedule an onsite in the upcoming weeks to better understand overall business landscape.</t>
  </si>
  <si>
    <t>017VT0000GcCcFHYQ0</t>
  </si>
  <si>
    <t>001VT00000bDuGnYAK</t>
  </si>
  <si>
    <t>a0rVT00001DX7M8YAL</t>
  </si>
  <si>
    <t>{PS_Sub_Region__c=Higher Education ME, Industry=Higher Education, PS_Region_New__c=US SLED, Name=BASIS, SubRegion__c=US Higher Ed ME NN West, attributes={type=Account, url=/services/data/v62.0/sobjects/Account/001VT00000bDuGnYAK}}</t>
  </si>
  <si>
    <t>0018000001BNUoMAAX</t>
  </si>
  <si>
    <t>2026-05-13T18:52:15.000+0000</t>
  </si>
  <si>
    <t>{attributes={url=/services/data/v62.0/sobjects/Account/0018000001BNUoMAAX, type=Account}, Industry=Professional Services, PS_Region_New__c=US Medium Enterprise DI, Name=Risepoint, LLC}</t>
  </si>
  <si>
    <t>a3AVT000000ggXV2AY</t>
  </si>
  <si>
    <t>0013000000IGxUmAAL</t>
  </si>
  <si>
    <t>017VT0000GcCdA7YQK</t>
  </si>
  <si>
    <t>Held a QBR/TAM review with Red Hat in September.  Nothing is official yet although Christian was able to confirm there is a project green lit to migrate data from Workday to IBM SAP and a project manager has been hired to manager the scoping and project long term.  At dinner he also confirmed everything is normal BAU but there is no budget assigned for Workday subscription renewal.  Cross training to SAP is also being laid out for all Workday system configurators at this time.</t>
  </si>
  <si>
    <t>Crown Bakeries</t>
  </si>
  <si>
    <t>a0rVT00001DX7NhYAL</t>
  </si>
  <si>
    <t>{Industry=Auto Manufacturing, attributes={type=Account, url=/services/data/v62.0/sobjects/Account/0013000000GbilDAAR}, Name=General Motors Holdings LLC, PS_Region_New__c=US Large Enterprise DI &amp; Mexico}</t>
  </si>
  <si>
    <t>2026-09-25T16:50:46.000+0000</t>
  </si>
  <si>
    <t>a3AVT000000ghYP2AY</t>
  </si>
  <si>
    <t>a0pVT00000CpxX0YAJ</t>
  </si>
  <si>
    <t>017VT0000GuR5VYYQ0</t>
  </si>
  <si>
    <t>0014X00002MDtU5QAL</t>
  </si>
  <si>
    <t>0018000001Jh1F9AAJ</t>
  </si>
  <si>
    <t>{PS_Region_New__c=US Large Enterprise DI &amp; Mexico, Name=Ingram Micro, Inc., Industry=Other Transportation, PS_Sub_Region__c=Diversified Industries LE CB TM &amp; PS, attributes={type=Account, url=/services/data/v62.0/sobjects/Account/0013000000JOPTRAA5}, SubRegion__c=US DI LE CB TM &amp; PS Southwest}</t>
  </si>
  <si>
    <t>{PS_Region_New__c=US Large Enterprise DI &amp; Mexico, Industry=Software &amp; Platforms, Name=CDK Global, LLC, attributes={url=/services/data/v62.0/sobjects/Account/0018000001Jh1F9AAJ, type=Account}}</t>
  </si>
  <si>
    <t>The Workday account team in partnership with the Project Phoenix team is focusing on the following areas: Relationship &amp; trust building, Executive Education, preparing for a Getting to Good session vs Oracle, promoting the value of staying with Workday and WSP benefits. A 30/60/90 day plan is in progress. 
The MP reached out to C-Suite executives in September for  engagement as planned.  No response was received which was expected.  Offers to visit in person have been declined. Pye-Barker has had a new President named for their organization, as their board continues to bring in new executive leadership. Their HRIS team will be attending Rising in October, and our AE has a post-Rising debrief scheduled with them.  The strategic meeting with Chris Reese in October will review WSP ACC+ value in detail.</t>
  </si>
  <si>
    <t>2026-09-30T13:25:43.000+0000</t>
  </si>
  <si>
    <t>017VT0000GcCd9mYQC</t>
  </si>
  <si>
    <t>2026-09-30T14:03:26.000+0000</t>
  </si>
  <si>
    <t>a0rVT00001DX7QvYAL</t>
  </si>
  <si>
    <t>0013000000HSQCrAAP</t>
  </si>
  <si>
    <t>a3AVT000000gkBJ2AY</t>
  </si>
  <si>
    <t>{attributes={type=Account, url=/services/data/v62.0/sobjects/Account/0013000000HSQCrAAP}, Industry=Acute Hospital / Health System, PS_Region_New__c=US Healthcare, Name=The Children's Hospital Corporation, d/b/a Boston Children's Hospital}</t>
  </si>
  <si>
    <t>0014X00002aRkQjQAK</t>
  </si>
  <si>
    <t>a0pVT00000Cq3J4YAJ</t>
  </si>
  <si>
    <t>017VT0000GcCd7VYQS</t>
  </si>
  <si>
    <t>a0rVT00001DX7SXYA1</t>
  </si>
  <si>
    <t>T (Trending): Amber
U (Progress Update): The tenant build decision remains finalized, with PwC's test and cutover managers in place and sprint 4 processes completed on schedule. Technical/HR go-live continues to target late November, HR-only after Mömax's exit from the pilot, while the broader Business go-live is still expected around mid-January to avoid the Christmas dead period.
R (Risk): Timeline clarity remains the key risk: the internal distinction between Technical, HR, and Business go-live is still unclear, and the Business go-live date, originally expected in early September, remains unconfirmed as of this review. The Christmas dead period continues to compress the runway between the HR-only technical go-live and full business rollout.
N (Next steps): Pasquale to pursue the Deployment Guidance Service exception for the Phase 2 group rollout given xxxLutz's scale. Dominik and Pasquale to finalize the Tenant Management Plan, including the Gold tenant move targeted for end of September and a separate Training Tenant for November. The vision session with Silvia remains planned for early November.</t>
  </si>
  <si>
    <t>0013000000HSR2fAAH</t>
  </si>
  <si>
    <t>{Name=Marriott International, Inc., PS_Region_New__c=US Large Enterprise DI &amp; Mexico, attributes={url=/services/data/v62.0/sobjects/Account/0013000000HSR2fAAH, type=Account}, Industry=Lodging &amp; Resorts}</t>
  </si>
  <si>
    <t>{Industry=Other Transportation, PS_Sub_Region__c=Diversified Industries LE CB TM &amp; PS, Name=Ingram Micro, Inc., attributes={url=/services/data/v62.0/sobjects/Account/0013000000JOPTRAA5, type=Account}, PS_Region_New__c=US Large Enterprise DI &amp; Mexico, SubRegion__c=US DI LE CB TM &amp; PS Southwest}</t>
  </si>
  <si>
    <t>xxxLutz's Phase 1 pilot holds steady progress since the 28/08 update: tenant build, test/cutover management, and sprint 4 processes remain on track, with Technical/HR go-live still targeted for late November (HR-only) and Business go-live expected mid-January. The main watch item is that the Business go-live date, originally expected in early September, remains unconfirmed, elevating timeline-clarity risk. The Deployment Guidance Service exception request and Tenant Management Plan alignment are progressing as next steps.
T (Trending): Amber
U (Progress Update): The tenant build decision remains finalized, with PwC's test and cutover managers in place and sprint 4 processes completed on schedule. Technical/HR go-live continues to target late November, HR-only after Mömax's exit from the pilot, while the broader Business go-live is still expected around mid-January to avoid the Christmas dead period.
R (Risk): Timeline clarity remains the key risk: the internal distinction between Technical, HR, and Business go-live is still unclear, and the Business go-live date, originally expected in early September, remains unconfirmed as of this review. The Christmas dead period continues to compress the runway between the HR-only technical go-live and full business rollout.
N (Next steps): Pasquale to pursue the Deployment Guidance Service exception for the Phase 2 group rollout given xxxLutz's scale. Dominik and Pasquale to finalize the Tenant Management Plan, including the Gold tenant move targeted for end of September and a separate Training Tenant for November. The vision session with Silvia remains planned for early November.</t>
  </si>
  <si>
    <t>017VT0000GuQlLCYQ0</t>
  </si>
  <si>
    <t>a0rVT00001DX7U9YAL</t>
  </si>
  <si>
    <t>2026-09-11T19:14:13.000+0000</t>
  </si>
  <si>
    <t>0013000000HUz1FAAT</t>
  </si>
  <si>
    <t>{Industry=Other Retail, PS_Region_New__c=US Large Enterprise DI &amp; Mexico, attributes={url=/services/data/v62.0/sobjects/Account/0013000000HUz1FAAT, type=Account}, Name=United Rentals, Inc.}</t>
  </si>
  <si>
    <t>a3AVT000000glKH2AY</t>
  </si>
  <si>
    <t>a0rVT00001DXD1hYAH</t>
  </si>
  <si>
    <t>CTCA Shared Services, Inc.</t>
  </si>
  <si>
    <t>0018000001QT1X3AAL</t>
  </si>
  <si>
    <t>a0pVT00000Cq5XlYAJ</t>
  </si>
  <si>
    <t>017VT0000GuQzqCYQS</t>
  </si>
  <si>
    <t>May 15, 2026
Next Steps: Dale is reaching out to their CIO, Imran Kazi.</t>
  </si>
  <si>
    <t>a0rVT00001DX7UAYA1</t>
  </si>
  <si>
    <t>001VT00000b2iB0YAI</t>
  </si>
  <si>
    <t>{Industry=Non-Profit, PS_Region_New__c=US SLED, Name=Laurens Institute For Education, attributes={type=Account, url=/services/data/v62.0/sobjects/Account/001VT00000b2iB0YAI}}</t>
  </si>
  <si>
    <t>Headline: Carvana is high-risk due to persistent operational churn, service entitlement friction, and unvetted new stakeholders.
Renewal: 9.17.27
Trend: Negative
Update: Prior Account Team shared there's been a history of "Engagement Loops" where technical initiatives are abandoned late-stage due to shifting priorities; client resistant to self-service and expects free out-of-scope support. Messaging SNI removed following confirmation from customer that it's being used for payroll direct deposit changes with plans to extend its use to benefit enrollments later this year. Customer continues to be interested in exploring Workday's AI capabilities. Internal Risk Strategy Meeting between prior/current account teams and CS leadership on 05.04.26.
Risk: Large volume of SNI. Scheduling ($284,520.20), Help ($284,520.20), Journeys ($142,260.00) = $711K total. There is risk of customer moving away from Workday Expenses ($284,520.20) to Brex, as they are implementing another solution with Brex right now. There is also risk of removing WSP Enhanced ($174,073.30) because they have a legacy SKU and will have to upgrade to Acc or Acc+ at time of renewal. SNI + At-Risk SKU total = $1,169,893.90.
Next Step: CBAE to build relationship with / engage IT (Imran Kazi) &amp; HR Leadership (Adrienne Sanford) for Exec Level conversation</t>
  </si>
  <si>
    <t>{PS_Sub_Region__c=ME Commercial East, Name=Real Artisan Brands, LLC, Industry=Restaurant &amp; Food Service, SubRegion__c=US DI Commercial CB East, attributes={type=Account, url=/services/data/v62.0/sobjects/Account/0014X00002XItbkQAD}, PS_Region_New__c=US Medium Enterprise DI}</t>
  </si>
  <si>
    <t>2026-05-15T20:19:12.000+0000</t>
  </si>
  <si>
    <t>017VT0000GcCcL5YQK</t>
  </si>
  <si>
    <t>a3AVT000000glLt2AI</t>
  </si>
  <si>
    <t>0013000000HVlzhAAD</t>
  </si>
  <si>
    <t>{PS_Region_New__c=US Medium Enterprise DI, Industry=Restaurant &amp; Food Service, attributes={url=/services/data/v62.0/sobjects/Account/0013000000HVlzhAAD, type=Account}, Name=Captain D's, LLC}</t>
  </si>
  <si>
    <t>00180000019lCAVAA2</t>
  </si>
  <si>
    <t>017VT0000GcCcLlYQK</t>
  </si>
  <si>
    <t>a0rVT00001DX7XNYA1</t>
  </si>
  <si>
    <t>Amazon is systematically consolidating its subsidiaries onto its own internal HCM platform — Amazon People Engine — with Zappos already having migrated off Workday and Amazon MGM Studios already running People Engine as their primary HCM system.  The pattern strongly suggests a top-down Amazon corporate push to standardize on their own platform, making Twitch's renewal a retention priority that needs executive-level engagement now.</t>
  </si>
  <si>
    <t>0013000000HVm0WAAT</t>
  </si>
  <si>
    <t>{Name=Rockwell Automation, Inc., Industry=Industrial Manufacturing, PS_Region_New__c=US Large Enterprise DI &amp; Mexico, attributes={type=Account, url=/services/data/v62.0/sobjects/Account/0013000000HVm0WAAT}}</t>
  </si>
  <si>
    <t>a0pVT00000CpsPIYAZ</t>
  </si>
  <si>
    <t>2026-05-15T20:42:58.000+0000</t>
  </si>
  <si>
    <t>a3AVT000000glNV2AY</t>
  </si>
  <si>
    <t>017VT0000GuPf52YQC</t>
  </si>
  <si>
    <t>a0rVT00001DX7XOYA1</t>
  </si>
  <si>
    <t>0018000001d9nLPAAY</t>
  </si>
  <si>
    <t>{PS_Sub_Region__c=ME Commercial East, attributes={type=Account, url=/services/data/v62.0/sobjects/Account/001VT00000NpIKKYA3}, SubRegion__c=US DI Commercial NN Southeast, PS_Region_New__c=US Medium Enterprise DI, Name=Edley's Bar-B-Que, Industry=Restaurant &amp; Food Service}</t>
  </si>
  <si>
    <t>0018000001WMFBMAA5</t>
  </si>
  <si>
    <t>{attributes={url=/services/data/v62.0/sobjects/Account/0018000001WMFBMAA5, type=Account}, Industry=Land and Rail Transportation and Freight, PS_Region_New__c=US Medium Enterprise DI, Name=Koch Services, Inc.}</t>
  </si>
  <si>
    <t>Amazon is systematically consolidating its subsidiaries onto its own internal HCM platform — Amazon People Engine — with Zappos already having migrated off Workday and Amazon MGM Studios already running People Engine as their primary HCM system.  The pattern strongly suggests a top-down Amazon corporate push to standardize on their own platform, making Zoox's renewal a retention priority that needs executive-level engagement now.</t>
  </si>
  <si>
    <t>a0rVT00001DXC7FYAX</t>
  </si>
  <si>
    <t>017VT0000GuRFStYQO</t>
  </si>
  <si>
    <t>CVS Pharmacy, Inc.</t>
  </si>
  <si>
    <t>a0rVT00001DX7YzYAL</t>
  </si>
  <si>
    <t>2026-05-15T20:44:06.000+0000</t>
  </si>
  <si>
    <t>0013000000HnBOgAAN</t>
  </si>
  <si>
    <t>a3AVT000000glP72AI</t>
  </si>
  <si>
    <t>{Industry=Land and Rail Transportation and Freight, PS_Region_New__c=US Large Enterprise DI &amp; Mexico, Name=Knight-Swift Transportation Holdings Inc., attributes={url=/services/data/v62.0/sobjects/Account/0013000000HnBOgAAN, type=Account}}</t>
  </si>
  <si>
    <t>0018000001KCNvgAAH</t>
  </si>
  <si>
    <t>017VT0000GuRFSqYQO</t>
  </si>
  <si>
    <t>0013000000HngMVAAZ</t>
  </si>
  <si>
    <t>a0pVT00000Cpy03YAB</t>
  </si>
  <si>
    <t>{PS_Region_New__c=US Medium Enterprise DI, Industry=Utilities, Name=Alliant Energy Corporate Services, Inc., attributes={url=/services/data/v62.0/sobjects/Account/0013000000HngMVAAZ, type=Account}}</t>
  </si>
  <si>
    <t>Amazon is systematically consolidating its subsidiaries onto its own internal HCM platform — Amazon People Engine — with Zappos already having migrated off Workday and Amazon MGM Studios already running People Engine as their primary HCM system.  The pattern strongly suggests a top-down Amazon corporate push to standardize on their own platform, making 1Life Healthcare's renewal a retention priority that needs executive-level engagement now.</t>
  </si>
  <si>
    <t>a0rVT00001DXBkgYAH</t>
  </si>
  <si>
    <t>017VT0000GcCd9FYQS</t>
  </si>
  <si>
    <t>{PS_Region_New__c=US Medium Enterprise DI, Industry=Restaurant &amp; Food Service, Name=Edley's Bar-B-Que, PS_Sub_Region__c=ME Commercial East, SubRegion__c=US DI Commercial NN Southeast, attributes={url=/services/data/v62.0/sobjects/Account/001VT00000NpIKKYA3, type=Account}}</t>
  </si>
  <si>
    <t>2026-05-15T20:45:08.000+0000</t>
  </si>
  <si>
    <t>a0rVT00001DX7acYAD</t>
  </si>
  <si>
    <t>D &amp; H Company</t>
  </si>
  <si>
    <t>0013000000LRvnyAAD</t>
  </si>
  <si>
    <t>a3AVT000000glQj2AI</t>
  </si>
  <si>
    <t>{Name=Saint Luke’s Health System, Inc., attributes={type=Account, url=/services/data/v62.0/sobjects/Account/0013000000LRvnyAAD}, PS_Region_New__c=US Healthcare, Industry=Acute Hospital / Health System}</t>
  </si>
  <si>
    <t>0018000001a3ANrAAM</t>
  </si>
  <si>
    <t>017VT0000GcCcKtYQK</t>
  </si>
  <si>
    <t>Amazon is systematically consolidating its subsidiaries onto its own internal HCM platform — Amazon People Engine — with Zappos already having migrated off Workday and Amazon MGM Studios already running People Engine as their primary HCM system.  The pattern strongly suggests a top-down Amazon corporate push to standardize on their own platform, making Woot's renewal a retention priority that needs executive-level engagement now.</t>
  </si>
  <si>
    <t>2026-05-15T20:46:03.000+0000</t>
  </si>
  <si>
    <t>a0pVT00000CpsFgYAJ</t>
  </si>
  <si>
    <t>a0rVT00001DX7cDYAT</t>
  </si>
  <si>
    <t>a3AVT000000gv9x2AA</t>
  </si>
  <si>
    <t>0013000000HoE7wAAF</t>
  </si>
  <si>
    <t>{Industry=Auto, PS_Region_New__c=UKI, Name=Safelite Group, attributes={url=/services/data/v62.0/sobjects/Account/0013000000HoE7wAAF, type=Account}}</t>
  </si>
  <si>
    <t>0018000000QynYWAAZ</t>
  </si>
  <si>
    <t>{Industry=Restaurant &amp; Food Service, PS_Sub_Region__c=ME Commercial East, SubRegion__c=US DI Commercial NN Southeast, PS_Region_New__c=US Medium Enterprise DI, Name=Edley's Bar-B-Que, attributes={url=/services/data/v62.0/sobjects/Account/001VT00000NpIKKYA3, type=Account}}</t>
  </si>
  <si>
    <t>ACV $1.5M, renewal 8/29/2026: TPTI's CTO initiated an RFP in January to assess their options, cost will be a factor due to business challenged by AI new tools for translations.</t>
  </si>
  <si>
    <t>017VT0000GuQ0ZTYQ0</t>
  </si>
  <si>
    <t>a0rVT00001DXDo6YAH</t>
  </si>
  <si>
    <t>a0rVT00001DX7cEYAT</t>
  </si>
  <si>
    <t>Phoenix team engaged. 3 month renewal extension agreed upon in May. 
Trend: Neutral 
Updates: CTO has agreed to meet monthly. Mike Briggs meeting with CHRO.</t>
  </si>
  <si>
    <t>Dade County School District</t>
  </si>
  <si>
    <t>{Name=UMG Recordings, Inc., attributes={type=Account, url=/services/data/v62.0/sobjects/Account/0018000000MULK4AAP}, Industry=Media &amp; Entertainment, PS_Region_New__c=US Large Enterprise DI &amp; Mexico}</t>
  </si>
  <si>
    <t>2026-05-19T13:50:08.000+0000</t>
  </si>
  <si>
    <t>a3AVT000000h7332AA</t>
  </si>
  <si>
    <t>017VT0000GuP6CsYQK</t>
  </si>
  <si>
    <t>a0rVT00001DX7dpYAD</t>
  </si>
  <si>
    <t>0013000000IH8ObAAL</t>
  </si>
  <si>
    <t>0013000000HpNciAAF</t>
  </si>
  <si>
    <t>{attributes={type=Account, url=/services/data/v62.0/sobjects/Account/0013000000HpNciAAF}, Industry=Investment Management, Name=The Prudential Insurance Company of America, PS_Region_New__c=US FSI}</t>
  </si>
  <si>
    <t>Onsite realignment meeting on May 27th regarding the cancellation of the Workday Payroll project, requested by Tutor Perini’s leadership after their decision to halt Workday Payroll. Zach Keiter and Adam Ettrick will lead the meeting. TPC is continuing to work with Invisors on their two year plan for HCM and continuing deployments of other SNI SKUs.</t>
  </si>
  <si>
    <t>2026-09-30T13:23:57.000+0000</t>
  </si>
  <si>
    <t>017VT0000GcCdBcYQK</t>
  </si>
  <si>
    <t>a0rVT00001DX7dqYAD</t>
  </si>
  <si>
    <t>a0rVT00001DX9anYAD</t>
  </si>
  <si>
    <t>0018000000OTQCPAA5</t>
  </si>
  <si>
    <t>{Name=Middle Tennessee YMCA, attributes={type=Account, url=/services/data/v62.0/sobjects/Account/0018000000OTQCPAA5}, Industry=Non-Profit, PS_Region_New__c=US SLED}</t>
  </si>
  <si>
    <t>Tutor Perini (TPC) halted US and Canada Payroll implementation and cancelled go‑live after failed testing of Advance Lookup Tables and custom union programs. Executive leadership (CEO/CFO/CIO) asserts Workday cannot support construction‑specific union requirements and is requesting significant contract credits, including for Kyriba (Workday Bank Connectivity). HCM has been live since April 2025; Payroll Phase 2 has been stalled for ~1 year, driving poor customer satisfaction and negative executive sentiment.
Key challenges:
- Perception that Workday Payroll fundamentally cannot meet complex union requirements in construction.
- Implementation stalled in “no‑man’s land” for a year, creating fatigue and mistrust.
- Failed union testing (Advance Lookup Tables, custom union logic) with unclear separation between product gaps vs. design/configuration issues.
- Significant credit request on Payroll and Kyriba with no agreed path forward.
Goals:
- Re‑establish an evidence‑based view of Payroll fit/gap for TPC’s union scenarios
- Define and gain agreement on a realistic recovery path for US/Canada Payroll and Bank Connectivity
- Stabilize the relationship at the executive level.</t>
  </si>
  <si>
    <t>2026-05-21T23:29:15.000+0000</t>
  </si>
  <si>
    <t>017VT0000GcCcMCYQ0</t>
  </si>
  <si>
    <t>Dana-Farber Cancer Institute, Inc.</t>
  </si>
  <si>
    <t>a0rVT00001DX7drYAD</t>
  </si>
  <si>
    <t>a3AVT000000hGEP2A2</t>
  </si>
  <si>
    <t>001VT00000b2novYAA</t>
  </si>
  <si>
    <t>{Industry=Professional Services, attributes={type=Account, url=/services/data/v62.0/sobjects/Account/001VT00000b2novYAA}, PS_Region_New__c=Corporate, Name=TUI InfoTec GmbH}</t>
  </si>
  <si>
    <t>a0pVT00000Cq5KsYAJ</t>
  </si>
  <si>
    <t>0018000001SYXeFAAX</t>
  </si>
  <si>
    <t>017VT0000GuP6CvYQK</t>
  </si>
  <si>
    <t>{Name=Edley's Bar-B-Que, PS_Sub_Region__c=ME Commercial East, attributes={type=Account, url=/services/data/v62.0/sobjects/Account/001VT00000NpIKKYA3}, Industry=Restaurant &amp; Food Service, PS_Region_New__c=US Medium Enterprise DI, SubRegion__c=US DI Commercial NN Southeast}</t>
  </si>
  <si>
    <t>a0rVT00001DX7fRYAT</t>
  </si>
  <si>
    <t>28/9
* Trend: Red 
* Update: 19/6 met with customer :
- Juliette confirmed that the WSP renewal extension is not currently included in MSF’s 2027 budget.
- Before making any decision, MSF will hold discussions across the three entities to build its own ROI case for the work delivered during the second year, then review it internally. No decision has been made at this stage.
- Juliette was transparent that the current intent is to continue using WSP through the end of the second year, but there is no commitment yet to extend.
- MSF is also under broader budget pressure. Juliette highlighted unplanned costs such as the e-invoicing project, which cost close to €250K outside budget. - She also noted that the application portfolio, including maintenance and support, continues to grow each year, increasing the number of trade-offs required between different tools, including WSP.
* Risk: Churn
* Next steps:
- Workday can support by helping quantify WSP’s impact and shaping the ROI and commercial narrative needed for MSF’s internal approval.</t>
  </si>
  <si>
    <t>0013000000HpQqSAAV</t>
  </si>
  <si>
    <t>{PS_Region_New__c=US Large Enterprise DI &amp; Mexico, Name=Southwire Company, LLC, attributes={type=Account, url=/services/data/v62.0/sobjects/Account/0013000000HpQqSAAV}, Industry=Diversified Metals and Mining}</t>
  </si>
  <si>
    <t>2026-09-28T08:13:06.000+0000</t>
  </si>
  <si>
    <t>Darden Restaurants, Inc.</t>
  </si>
  <si>
    <t>017VT0000GuRYLPYQ4</t>
  </si>
  <si>
    <t>a3AVT000000hH2P2AU</t>
  </si>
  <si>
    <t>a0rVT00001DX7fSYAT</t>
  </si>
  <si>
    <t>0018000001PROyQAAX</t>
  </si>
  <si>
    <t>00180000018KP3MAAW</t>
  </si>
  <si>
    <t>{Industry=Architecture, Engineering &amp; Construction, PS_Region_New__c=US Medium Enterprise DI, attributes={type=Account, url=/services/data/v62.0/sobjects/Account/0018000001PROyQAAX}, Name=Garney}</t>
  </si>
  <si>
    <t>6/23 Innovation Day scheduled onsite to connect with stakeholders, determine feasibility of expansion vs. contraction.  Mike Whelan is Sales Exec Sponsor, historical context, and can attend.</t>
  </si>
  <si>
    <t>2026-09-30T13:25:49.000+0000</t>
  </si>
  <si>
    <t>017VT0000GcCdCRYQ0</t>
  </si>
  <si>
    <t>FIN at WeWork is at risk for 2/1/2027. ($1.5M for Fins, AC, RM, Expenses, WFP combined) Yardi Systems has majority ownership stake in WeWork, and have their own FINS solution.</t>
  </si>
  <si>
    <t>a0rVT00001DX7h3YAD</t>
  </si>
  <si>
    <t>a0pVT00000Cq4TdYAJ</t>
  </si>
  <si>
    <t>0013000000HpR2qAAF</t>
  </si>
  <si>
    <t>a0rVT00001DWxt0YAD</t>
  </si>
  <si>
    <t>{Industry=Lodging &amp; Resorts, PS_Region_New__c=UKI, attributes={type=Account, url=/services/data/v62.0/sobjects/Account/0013000000HpR2qAAF}, Name=InterContinental Hotels Group PLC}</t>
  </si>
  <si>
    <t>2026-06-09T16:10:38.000+0000</t>
  </si>
  <si>
    <t>0013000000KLfdQAAT</t>
  </si>
  <si>
    <t>a3AVT000000hH7F2AU</t>
  </si>
  <si>
    <t>{attributes={url=/services/data/v62.0/sobjects/Account/0013000000KLfdQAAT, type=Account}, Name=The Scotts Company LLC, PS_Region_New__c=US Large Enterprise DI &amp; Mexico, PS_Sub_Region__c=Diversified Industries LE CB MFG, Industry=Consumer Goods, SubRegion__c=US DI LE CB MFG Midwest}</t>
  </si>
  <si>
    <t>017VT0000GuR5pwYQC</t>
  </si>
  <si>
    <t>a0rVT00001DX7h4YAD</t>
  </si>
  <si>
    <t>0018000001Byl3BAAR</t>
  </si>
  <si>
    <t>{PS_Region_New__c=US Large Enterprise DI &amp; Mexico, Name=Whole Foods Market Services LLC, Industry=Food &amp; Drug, attributes={url=/services/data/v62.0/sobjects/Account/0013000000IBtnWAAT, type=Account}}</t>
  </si>
  <si>
    <t>Renewal Date: October, 21,2026.  SKU(s): Project Billing, Prism, and CCB attrition in FY'27 confirmed ($800K). They are also reviewing Learning, TOLA , and Recruiting. They said they are speaking with other vendors because the Workday cost is too high. 
Product usage Learning is 46% (over an average is 44%), TOLA is 35% (over an average is 27%) and Recruiting is 51% (over an average is 43%). We believe they are looking at other vendors, but they don't have the runway to turn everything they are using off.  
Trend: Negative</t>
  </si>
  <si>
    <t>Jadzia Walczyk</t>
  </si>
  <si>
    <t>5/26: Synechron is going to use Microsoft to consolidate reporting over Prism. They have no resources or budget to deploy CCB.  
Next Steps: AE provided client with cost of current renewal if all products are included in the 2026 renewal. Client came back with 4 options of product to include and remove. In all 3 cases CCB, Project Billing, and Prism were removed with no usage in CCB &amp; Prism. 
CSM reinforcing usage and gathering intel from customer.  
Philip Halpert is going to speak with Christin Spigai, CHRO at Synechron regarding upcoming renewal next week.</t>
  </si>
  <si>
    <t>2026-09-30T13:24:00.000+0000</t>
  </si>
  <si>
    <t>017VT0000GcCcLKYQ0</t>
  </si>
  <si>
    <t>a0rVT00001DX7h5YAD</t>
  </si>
  <si>
    <t>2026-05-26T16:06:21.000+0000</t>
  </si>
  <si>
    <t>0013000000KLbTSAA1</t>
  </si>
  <si>
    <t>a0pVT00000Cq2gMYAR</t>
  </si>
  <si>
    <t>a3AVT000000hUyv2AE</t>
  </si>
  <si>
    <t>{PS_Region_New__c=US FSI, Name=OneMain Financial Group, LLC, Industry=Banking &amp; Capital Markets, attributes={url=/services/data/v62.0/sobjects/Account/0013000000KLbTSAA1, type=Account}}</t>
  </si>
  <si>
    <t>0013000000KD3vqAAD</t>
  </si>
  <si>
    <t>{attributes={type=Account, url=/services/data/v62.0/sobjects/Account/0013000000KLfdQAAT}, SubRegion__c=US DI LE CB MFG Midwest, PS_Region_New__c=US Large Enterprise DI &amp; Mexico, Industry=Consumer Goods, Name=The Scotts Company LLC, PS_Sub_Region__c=Diversified Industries LE CB MFG}</t>
  </si>
  <si>
    <t>017VT0000GuP6D1YQK</t>
  </si>
  <si>
    <t>Next Steps: Lexmark requested an extension of Payroll through Feb. Renewal manager owning. Beyond this potential extension, the account will fully churn. We have received their notice of intent to not renew.</t>
  </si>
  <si>
    <t>a0rVT00001DX7ifYAD</t>
  </si>
  <si>
    <t>0013000000HpZnxAAF</t>
  </si>
  <si>
    <t>{Industry=Lodging &amp; Resorts, attributes={type=Account, url=/services/data/v62.0/sobjects/Account/0013000000HpZnxAAF}, Name=Loews Hotels, LLC., PS_Region_New__c=US Large Enterprise DI &amp; Mexico}</t>
  </si>
  <si>
    <t>Data Analysis Inc.</t>
  </si>
  <si>
    <t>In H2 2025, Xerox Corporation completed its acquisition of Lexmark. Lexmark is now operating as "Lexmark International II, LLC, A Subsidiary of Xerox Corporation." Xerox is an Oracle shop and has issued a corporate directive to migrate Lexmark from Workday to Oracle by end of December 2026 — the same month as Lexmark's Workday renewal. The HRIS team has been instructed to pause all Workday implementation work since September 2025.
Where things stand today: The December 14, 2026 renewal ($3.35M TCV, $1.12M/year) is fully at risk and should be omitted at all forecast levels. Three SNI SKUs — Projects, Workday Extend, and Cloud Connect for Benefits — were never deployed and are at risk of being dropped. Engagement has been limited to transactional issues since September 2025. The most recent substantive activity was a Workday Adaptive demo with Kevin Lutes (May 20, 2026). Kristy Scheffelmaer (Global HRIS Manager), the primary internal champion, remains an advocate for Workday but is transitioning from HRIS to IT by year-end.
The path forward: The only viable retention path runs through the an opportunity with Xerox which gained little traction and has been closed/lost due to do nothing. If Workday wins Xerox as a customer, Lexmark follows.</t>
  </si>
  <si>
    <t>017VT0000GcCdA4YQK</t>
  </si>
  <si>
    <t>US FSI ME NN West</t>
  </si>
  <si>
    <t>a0rVT00001DX7kIYAT</t>
  </si>
  <si>
    <t>2026-06-05T15:25:44.000+0000</t>
  </si>
  <si>
    <t>0018000000oh8IkAAI</t>
  </si>
  <si>
    <t>a3AVT000000hVdF2AU</t>
  </si>
  <si>
    <t>{PS_Region_New__c=US Large Enterprise DI &amp; Mexico, Industry=Restaurant &amp; Food Service, attributes={type=Account, url=/services/data/v62.0/sobjects/Account/0018000000oh8IkAAI}, Name=Pappas Restaurants, Inc.}</t>
  </si>
  <si>
    <t>0018000000M3XQRAA3</t>
  </si>
  <si>
    <t>a0pVT00000CpnKmYAJ</t>
  </si>
  <si>
    <t>017VT0000GcCcGXYQ0</t>
  </si>
  <si>
    <t>Trend: Negative - Sales was informed customer is going to RFP at the end of 2026
Update: Engaged Project Pheonix, provided CHRO with adoption/subscription assets, account team targeting regular cadence with support team to showcase committed partnership
Risk: Full churn
Next Step: Sales to review contract terms, with intent to restructure and include WSP.</t>
  </si>
  <si>
    <t>a0rVT00001DX7kJYAT</t>
  </si>
  <si>
    <t>0018000000zZ70oAAC</t>
  </si>
  <si>
    <t>CHRO feels the partnership is not meeting expectations. Long time customer not seeing business is valued, no consistent advocate with repeated turnover in account team. Not a need for optimization, they use Workday effectively but may have opportunity to enhance Prism usage. Interest in enhancing talent acquisition tools and people analytics. CHRO asking for a review of contract to ensure most current &amp; favorable terms. Next renewal Jan 2029.</t>
  </si>
  <si>
    <t>{Name=OCI NV, PS_Region_New__c=EMEA North, Industry=Chemicals, attributes={type=Account, url=/services/data/v62.0/sobjects/Account/0018000000zZ70oAAC}}</t>
  </si>
  <si>
    <t>{Industry=Acute Hospital / Health System, PS_Sub_Region__c=Healthcare LE, SubRegion__c=US Healthcare LE CB East, attributes={type=Account, url=/services/data/v62.0/sobjects/Account/0018000000RCZX3AAP}, PS_Region_New__c=US Healthcare, Name=Capital Health System, Inc.}</t>
  </si>
  <si>
    <t>2026-06-05T15:58:44.000+0000</t>
  </si>
  <si>
    <t>a3AVT000000hVer2AE</t>
  </si>
  <si>
    <t>017VT0000GuP6CyYQK</t>
  </si>
  <si>
    <t>a0rVT00001DX7ltYAD</t>
  </si>
  <si>
    <t>0018000000PueIxAAJ</t>
  </si>
  <si>
    <t>0013000000HphbWAAR</t>
  </si>
  <si>
    <t>{Name=Eby-Brown Company (Inactive Account), PS_Region_New__c=null, Industry=Professional Services, attributes={type=Account, url=/services/data/v62.0/sobjects/Account/0013000000HphbWAAR}}</t>
  </si>
  <si>
    <t>Trend: Positive
Update: Engaged Project Pheonix, cancelled Workday Service contract, working with ERPA on combined demo &amp; deployment scope conversation to get new project in the books. Discovery call completed 4/23/26
Risk: Full churn
Next Step: Schedule demo May 2026, work with ERPA/Helios to construct a desirable project scope</t>
  </si>
  <si>
    <t>Original NN purchase 10/30/2022, project started Nov 2022 and was paused May 2023 due to economic conditions/data readiness/resource constraints and has continued to be a moving target since. In early 2026, Workday Services pushed for contract cancellation and explained how the existing configurations and tenants from the paused projects have become unusable, necessitating a fresh start for any deployment, cancellation completed March 2026. Planning has begun for a potential restart. Winnebago expressed a need for a high-level understanding of Workday's current capabilities, particularly with AI and recent acquisitions, account team is using Project Pheonix resources for art of possible demos. They aim to align Workday's offerings with their existing roadmap and avoid overlapping with their Salesforce and Adobe platforms. Conversations are also concurrently happening with ERPA for deployment and team consulted Helios about guidance potential to deploy TT sooner than other SKUs due to sunsetting ADP/Kronos eTime solution current in place.</t>
  </si>
  <si>
    <t>017VT0000GuQzEGYQ0</t>
  </si>
  <si>
    <t>2026-06-05T15:58:11.000+0000</t>
  </si>
  <si>
    <t>a0rVT00001DX7lvYAD</t>
  </si>
  <si>
    <t>a3AVT000000hcmn2AA</t>
  </si>
  <si>
    <t>0013000000JN4PrAAL</t>
  </si>
  <si>
    <t>0014X00002aTJrMQAW</t>
  </si>
  <si>
    <t>{Industry=Restaurant &amp; Food Service, attributes={type=Account, url=/services/data/v62.0/sobjects/Account/0013000000JN4PrAAL}, Name=Panda Restaurant Group, Inc., PS_Region_New__c=US Large Enterprise DI &amp; Mexico}</t>
  </si>
  <si>
    <t>a0rVT00001DX8JmYAL</t>
  </si>
  <si>
    <t>a0pVT00000Cq8qbYAB</t>
  </si>
  <si>
    <t>017VT0000GcCcIBYQ0</t>
  </si>
  <si>
    <t>a0rVT00001DX7nWYAT</t>
  </si>
  <si>
    <t>0014X00002luFWKQA2</t>
  </si>
  <si>
    <t>- HCM live since early 2026
- phase 2 go live planned 13-july (simplified PSA)
- phase 3 (full FIN) no agreement yet
- no agreement on budget and potential change orders
- product gaps due to overselling
- customer resource and liability challenges
Trend: yellow, phase 2 on track for go live in July, FIN scope to be reviewed
Risk: customer churn, &gt;100k€ CO discussion outstanding, customer has stopped paying invoices several months ago</t>
  </si>
  <si>
    <t>{Industry=Food &amp; Drug, attributes={url=/services/data/v62.0/sobjects/Account/0014X00002luFWKQA2, type=Account}, Name=Southern Crown Partners, PS_Region_New__c=US Medium Enterprise DI}</t>
  </si>
  <si>
    <t>{SubRegion__c=US DI LE CB RHT Southeast, Name=Techtronic Industries North America, Inc., attributes={url=/services/data/v62.0/sobjects/Account/0018000000qX1WBAA0, type=Account}, PS_Sub_Region__c=Diversified Industries LE CB RHT, PS_Region_New__c=US Large Enterprise DI &amp; Mexico, Industry=Hardlines}</t>
  </si>
  <si>
    <t>2026-06-01T14:04:54.000+0000</t>
  </si>
  <si>
    <t>a3AVT000000hdSj2AI</t>
  </si>
  <si>
    <t>017VT0000GcCcIiYQK</t>
  </si>
  <si>
    <t>0013000000KLvTcAAL</t>
  </si>
  <si>
    <t>We are still working with the customer to see if we can get them to agree to move forward with our new pricing offer on WSP.  I have a meeting with Adrienne tomorrow and should have a better update.</t>
  </si>
  <si>
    <t>0013000000HqZ87AAF</t>
  </si>
  <si>
    <t>{attributes={type=Account, url=/services/data/v62.0/sobjects/Account/0013000000HqZ87AAF}, Industry=Insurance, Name=American Automobile Association of Northern California, Nevada &amp; Utah, PS_Region_New__c=US FSI}</t>
  </si>
  <si>
    <t>2026-09-16T20:08:09.000+0000</t>
  </si>
  <si>
    <t>a3AVT000000hhmT2AQ</t>
  </si>
  <si>
    <t>a0pVT00000Cq7PuYAJ</t>
  </si>
  <si>
    <t>0018000001H8zLIAAZ</t>
  </si>
  <si>
    <t>017VT0000GcCd8oYQC</t>
  </si>
  <si>
    <t>a0rVT00001DX7qjYAD</t>
  </si>
  <si>
    <t>12 June
Trend: yellow
Ongoing client and internal discussions - commercial and engagement
Progress:
Meeting with client on 11 June - alignment and requirements list and preview of workshop agenda; agreed with client that current list is not appropriate foundation for RfP or comparison of vendors
Risks:
- Client stakeholders (some distractors; lack of access to CHRO), internal alignment (risk of too many/wrong "cooks in the kitchen")
- Cost vs. value; comparison with low-budget startups
Next steps:
- Revision of requirements (Flix), Feedback by WD team
- Internal alignment: right team, based on feedback from client; right approach &amp; workshop development
- Meeting with client on 17 June; confirmation of workshop agenda and logistics (currently scheduled for 29 June, Munich office)</t>
  </si>
  <si>
    <t>0013000000HqnLrAAJ</t>
  </si>
  <si>
    <t>{attributes={type=Account, url=/services/data/v62.0/sobjects/Account/0018000000qX1WBAA0}, PS_Sub_Region__c=Diversified Industries LE CB RHT, Industry=Hardlines, Name=Techtronic Industries North America, Inc., PS_Region_New__c=US Large Enterprise DI &amp; Mexico, SubRegion__c=US DI LE CB RHT Southeast}</t>
  </si>
  <si>
    <t>{attributes={url=/services/data/v62.0/sobjects/Account/0013000000HqnLrAAJ, type=Account}, Industry=Utilities, PS_Region_New__c=US Large Enterprise DI &amp; Mexico, Name=Waste Connections US, Inc.}</t>
  </si>
  <si>
    <t>17 Sep
Trend: yellow/red
Progress: 
Partial or even full churn risk remains - decision expected next week. Continuous engagement, also with CHRO and providing her our perspective (value of WD/WSP+/engagement to date that she was apparently not aware of)
Perception: internal split between HR and IT, with some HR stakeholders in favor of switch, while IT in favor of WD (and fully recognising the underlying HR issues mentioned)
Next steps:
Commercial and strategic input complete; expecting decision by next week. Close alignment with Sales on potential next steps.</t>
  </si>
  <si>
    <t>2026-09-17T12:18:03.000+0000</t>
  </si>
  <si>
    <t>a0rVT00001DXAVFYA5</t>
  </si>
  <si>
    <t>a3AVT000000hohV2AQ</t>
  </si>
  <si>
    <t>017VT0000GcCcKSYQ0</t>
  </si>
  <si>
    <t>Day 1 Academies</t>
  </si>
  <si>
    <t>a0rVT00001DX7sLYAT</t>
  </si>
  <si>
    <t>0018000000nm2OmAAI</t>
  </si>
  <si>
    <t>0013000000IBp1wAAD</t>
  </si>
  <si>
    <t>{PS_Region_New__c=US Large Enterprise DI &amp; Mexico, attributes={url=/services/data/v62.0/sobjects/Account/0013000000IBp1wAAD, type=Account}, Name=Tractor Supply Company, Industry=Consumer Goods}</t>
  </si>
  <si>
    <t>Customer was acquired by RXO, contract expires on 9/21/2026.  Tracking M&amp;A activity until that is complete.</t>
  </si>
  <si>
    <t>017VT0000GcCd8TYQS</t>
  </si>
  <si>
    <t>2026-09-15T13:18:49.000+0000</t>
  </si>
  <si>
    <t>a0rVT00001DX7txYAD</t>
  </si>
  <si>
    <t>a3AVT000000hoj72AA</t>
  </si>
  <si>
    <t>0013000000IGXnpAAH</t>
  </si>
  <si>
    <t>{Name=Nordstrom, Inc., PS_Region_New__c=US Large Enterprise DI &amp; Mexico, attributes={url=/services/data/v62.0/sobjects/Account/0013000000IGXnpAAH, type=Account}, Industry=Softlines}</t>
  </si>
  <si>
    <t>a0pVT00000Cq4DYYAZ</t>
  </si>
  <si>
    <t>OL, Date: 5/14/26Risk Summary: Mattress Firm merger with Tempur Sealy,SKU(s): Prism, People Analytics, Candidate Engagement,Reason: Tenant consolidation and SNI status, At risk ACV: $147,000,Renewal Date: July 2027,Trend: NeutralUpdates: Client explicitly stated intention to drop SNI SKUs, requesting singular agreement to match Tempur pricing and facilitate future mergers.Risk: SKU churnNext Steps: Determine tenant migration plans for Tempur/MFRM; AE to rebuild subscription details accordingly</t>
  </si>
  <si>
    <t>017VT0000GuR5VJYQ0</t>
  </si>
  <si>
    <t>a0rVT00001DXEqbYAH</t>
  </si>
  <si>
    <t>Dealer Tire LLC</t>
  </si>
  <si>
    <t>0018000001Hob3HAAR</t>
  </si>
  <si>
    <t>{Industry=Hardlines, attributes={type=Account, url=/services/data/v62.0/sobjects/Account/0018000000qX1WBAA0}, PS_Sub_Region__c=Diversified Industries LE CB RHT, SubRegion__c=US DI LE CB RHT Southeast, PS_Region_New__c=US Large Enterprise DI &amp; Mexico, Name=Techtronic Industries North America, Inc.}</t>
  </si>
  <si>
    <t>{Industry=Professional Services, attributes={url=/services/data/v62.0/sobjects/Account/0018000001Hob3HAAR, type=Account}, Name=AlphaSights Ltd, PS_Region_New__c=UKI}</t>
  </si>
  <si>
    <t>2026-06-04T16:53:38.000+0000</t>
  </si>
  <si>
    <t>a3AVT000000homL2AQ</t>
  </si>
  <si>
    <t>017VT0000GcCcMOYQ0</t>
  </si>
  <si>
    <t>0018000001UVs7HAAT</t>
  </si>
  <si>
    <t>0013000000IGoGrAAL</t>
  </si>
  <si>
    <t>{Name=BJ's Wholesale Club, Inc., attributes={url=/services/data/v62.0/sobjects/Account/0013000000IGoGrAAL, type=Account}, Industry=Softlines, PS_Region_New__c=US Large Enterprise DI &amp; Mexico}</t>
  </si>
  <si>
    <t>FK 5/13/2026 Headline Bungie, Inc. faces $688K+ in ACV churn due to its merger with Sony, requiring a complex transition of HCM to Sony’s Workday tenant and Financials to SAP.Trend: PositiveUpdate: Managed 9-month extension to align with March 2026 merger; HCM migration to Sony tenant on track for mid-December, and Adaptive Planning carved out as a separate multi-year contract.Risk: Churn of unused modules ($488K: EXP-02, ACC, RM, INV, PRO, SRCEXP, PRA-02) and planned discontinuation of Finance modules (~$200K) following SAP migration.Next Step: Finalize the extension of FINS and HCM production tenants through September 2026 and secure signatures for the standalone Adaptive Planning renewal.Risk to Review: Collective ACV at risk is $688,000</t>
  </si>
  <si>
    <t>017VT0000GuRGcZYQW</t>
  </si>
  <si>
    <t>a0rVT00001DX7vaYAD</t>
  </si>
  <si>
    <t>Decker Truck Line, Inc.</t>
  </si>
  <si>
    <t>2026-06-04T17:00:14.000+0000</t>
  </si>
  <si>
    <t>001VT00000Ndl6iYAB</t>
  </si>
  <si>
    <t>a3AVT000000honx2AA</t>
  </si>
  <si>
    <t>{PS_Region_New__c=US Medium Enterprise DI, Name=MSR Properties, LLC, attributes={type=Account, url=/services/data/v62.0/sobjects/Account/001VT00000Ndl6iYAB}, Industry=Lodging &amp; Resorts}</t>
  </si>
  <si>
    <t>a0pVT00000Cq5hSYAR</t>
  </si>
  <si>
    <t>0018000000OxR0QAAV</t>
  </si>
  <si>
    <t>Peet's is being merged into DPS Holdings, will be folded into their tenant Peet's was acquired by DPS Holdings and will no longer be a standalone customer. Renewal 12/14/2027  Waiting for more information on the details of the acquisition and timeline</t>
  </si>
  <si>
    <t>017VT0000GuQjBZYQ0</t>
  </si>
  <si>
    <t>a0rVT00001DX7xBYAT</t>
  </si>
  <si>
    <t>{PS_Region_New__c=US Large Enterprise DI &amp; Mexico, Name=Techtronic Industries North America, Inc., attributes={url=/services/data/v62.0/sobjects/Account/0018000000qX1WBAA0, type=Account}, SubRegion__c=US DI LE CB RHT Southeast, PS_Sub_Region__c=Diversified Industries LE CB RHT, Industry=Hardlines}</t>
  </si>
  <si>
    <t>2026-06-04T17:06:13.000+0000</t>
  </si>
  <si>
    <t>0013000000IGqMCAA1</t>
  </si>
  <si>
    <t>{Industry=Healthcare Manufacturing, Name=Stryker Corporation, attributes={url=/services/data/v62.0/sobjects/Account/0013000000IGqMCAA1, type=Account}, PS_Region_New__c=US Large Enterprise DI &amp; Mexico}</t>
  </si>
  <si>
    <t>a3AVT000000how12AA</t>
  </si>
  <si>
    <t>0014X00002l5OmrQAE</t>
  </si>
  <si>
    <t>a0rVT00001DX86rYAD</t>
  </si>
  <si>
    <t>2026-09-30T13:24:01.000+0000</t>
  </si>
  <si>
    <t>Dell USA L.P.</t>
  </si>
  <si>
    <t>017VT0000GuQa21YQC</t>
  </si>
  <si>
    <t>a0rVT00001DX7ynYAD</t>
  </si>
  <si>
    <t>{attributes={type=Account, url=/services/data/v62.0/sobjects/Account/0013000000IH8NGAA1}, PS_Region_New__c=US Large Enterprise DI &amp; Mexico, Industry=Utilities, Name=Eversource Energy Service Company}</t>
  </si>
  <si>
    <t>Top Golf is flagged Unfavorable primarily because CPO Maryam Morse submitted a detractor NPS score (0–6) after roughly a year of communication gaps from Workday. The account also has unresolved technical issues from the Callaway spin-off degrading reporting and dashboards, a key HR contact departing, and multiple CSM transitions that compounded the relationship breakdown. Workforce Planning was purchased but never deployed — and the CPO didn't even know it existed — signaling a clear value realization gap.
Next steps the account team has committed to:
Feroz Korimbocus to establish a monthly cadence with the incoming HR Director (Prasanthi)
John Tatum to send Workforce Planning contract details to Maryam Morse and schedule quarterly executive syncs with Maryam and Jay Spears
John Tatum to re-engage implementation partner Top Block and arrange a hospitality industry briefing with Sharon Schell
The AVRP (Adoption &amp; Value Roadmap Planning) CTA is overdue — progress is gated on the new HR Director being fully onboarded</t>
  </si>
  <si>
    <t>2026-06-04T17:35:28.000+0000</t>
  </si>
  <si>
    <t>a0pVT00000Cq0Y6YAJ</t>
  </si>
  <si>
    <t>a3AVT000000hoxd2AA</t>
  </si>
  <si>
    <t>017VT0000GuRZR3YQO</t>
  </si>
  <si>
    <t>a0rVT00001DXB1VYAX</t>
  </si>
  <si>
    <t>a0rVT00001DX80VYAT</t>
  </si>
  <si>
    <t>0018000000vVHF7AAO</t>
  </si>
  <si>
    <t>{PS_Sub_Region__c=Diversified Industries LE NN, Name=Textron Aviation, PS_Region_New__c=US Large Enterprise DI &amp; Mexico, SubRegion__c=US DI LE NN MFG East, attributes={url=/services/data/v62.0/sobjects/Account/001VT00000ZtRl3YAF, type=Account}, Industry=High Technology}</t>
  </si>
  <si>
    <t>DELOITTE (AUSTRALIA) PTY LIMITED</t>
  </si>
  <si>
    <t>001VT00000b2nTyYAI</t>
  </si>
  <si>
    <t>FirstFleet is being acquired by another WD Customer (Werner, Inc.) and will be combining their tenant and employees into the Werner tenant. They have indicated they intend to do so prior to open enrollment in November 2026 and we will have WD M&amp;amp;A Team engaged to assist. Risk: Full Churn ($1.23Mil) Next Steps: Will continue to support customer and work with WD M&amp;amp;A Team until merger has been completed</t>
  </si>
  <si>
    <t>{attributes={type=Account, url=/services/data/v62.0/sobjects/Account/001VT00000b2nTyYAI}, Industry=Architecture, Engineering &amp; Construction, PS_Region_New__c=US Medium Enterprise DI, Name=PKY Corporation}</t>
  </si>
  <si>
    <t>2026-06-04T17:59:13.000+0000</t>
  </si>
  <si>
    <t>a3AVT000000hozF2AQ</t>
  </si>
  <si>
    <t>0018000001TARnbAAH</t>
  </si>
  <si>
    <t>Oak Street Health was acquired by CVS in 2023 and have migrated all EE's to the CVS tenant. In July 2025, Customer signed new renewal returning all HCM related sku's and will retain Core Fins, Fins Planning, and Expenses skus through 2028, when at which time, their financial solution will be consolidated under CVS. Risk: FINS: $436k, FINS PLN: $147k, EXP: $131k Next Steps: Will continue to work with Oak Street and CVS accounts</t>
  </si>
  <si>
    <t>017VT0000GuQa2DYQS</t>
  </si>
  <si>
    <t>a0rVT00001DX821YAD</t>
  </si>
  <si>
    <t>a0pVT00000CpN0UYAV</t>
  </si>
  <si>
    <t>2026-06-04T18:01:31.000+0000</t>
  </si>
  <si>
    <t>0013000000IHbJ6AAL</t>
  </si>
  <si>
    <t>a3AVT000000hpSH2AY</t>
  </si>
  <si>
    <t>{Industry=Lodging &amp; Resorts, attributes={url=/services/data/v62.0/sobjects/Account/0013000000IHbJ6AAL, type=Account}, Name=Monarch Casino &amp; Resort, Inc., PS_Region_New__c=US Medium Enterprise DI}</t>
  </si>
  <si>
    <t>017VT0000GuQa24YQC</t>
  </si>
  <si>
    <t>a0rVT00001DX83dYAD</t>
  </si>
  <si>
    <t>0013000000IHfj9AAD</t>
  </si>
  <si>
    <t>0018000000Ny4WwAAJ</t>
  </si>
  <si>
    <t>{Name=Disney Worldwide Services, Inc., PS_Sub_Region__c=Diversified Industries Key Accounts, Industry=Media &amp; Entertainment, PS_Region_New__c=US Large Enterprise DI &amp; Mexico, attributes={type=Account, url=/services/data/v62.0/sobjects/Account/0018000000LUH7OAAX}, SubRegion__c=US DI Key Accounts TM &amp; PS}</t>
  </si>
  <si>
    <t>{Industry=Banking &amp; Capital Markets, PS_Region_New__c=US FSI, Name=Webster Financial Corporation, attributes={url=/services/data/v62.0/sobjects/Account/0013000000IHfj9AAD, type=Account}}</t>
  </si>
  <si>
    <t>Targeting an onsite July 2026 to save SKUs and discuss AI and new SKUs. Will request FIC investment to help deploy some SKUs if they can be saved.</t>
  </si>
  <si>
    <t>Daikin Applied Americas is entering a renewal with internal turnover, a newer Workday team and significant fatigue from many starts-stops of their initial go live. They have capacity constraints and conflicting priorities including integrating multiple legacy acquisitions and union populations, while also pursuing a Mexico expansion which is stretching HR, IT, and operations bandwidth. Current team is unsure why they purchased certain SNI SKUs as well as if they would have the capacity to deploy any SKUs in the near future that would stay in the contract.</t>
  </si>
  <si>
    <t>a0rVT00001DXA8fYAH</t>
  </si>
  <si>
    <t>2026-06-04T20:41:06.000+0000</t>
  </si>
  <si>
    <t>017VT0000GuQa27YQC</t>
  </si>
  <si>
    <t>a3AVT000000hpTt2AI</t>
  </si>
  <si>
    <t>0011B00002HkFgmQAF</t>
  </si>
  <si>
    <t>0013000000IHnorAAD</t>
  </si>
  <si>
    <t>{Industry=Banking &amp; Capital Markets, PS_Region_New__c=US FSI, attributes={url=/services/data/v62.0/sobjects/Account/0013000000IHnorAAD, type=Account}, Name=BOKF, NA}</t>
  </si>
  <si>
    <t>Next Steps: Working to set up QBR in June/July 2026 with customers focused on skills and manufacturing trends. Will include Josh Tarr and John Marth.  Will bring in Lili to discuss PLNW (SNI).</t>
  </si>
  <si>
    <t>SNI
PLNW $87k ACV
JRNY $30k ACV
Generac has imposed strict controls on capital and headcount investments.  Internal scrutiny is high, making new software or personnel investments challenging. 
Support Case Delays -   One is resolved.  Another causing forced manual processes, especially in payroll operations around holidays. Development is involved. Delays in case resolution have increased operational burden on their teams
Key contacts gave low NPS scores (6 and 4), mainly focused on reporting gaps and workarounds.</t>
  </si>
  <si>
    <t>2026-06-04T20:44:30.000+0000</t>
  </si>
  <si>
    <t>017VT0000GuR49WYQS</t>
  </si>
  <si>
    <t>a3AVT000000hpX72AI</t>
  </si>
  <si>
    <t>a0rVT00001DX85GYAT</t>
  </si>
  <si>
    <t>0013000000J2sPcAAJ</t>
  </si>
  <si>
    <t>0018000001KCqc3AAD</t>
  </si>
  <si>
    <t>{attributes={type=Account, url=/services/data/v62.0/sobjects/Account/0013000000J2sPcAAJ}, Industry=Chemicals, Name=PPG Industries, Inc., PS_Region_New__c=US Large Enterprise DI &amp; Mexico}</t>
  </si>
  <si>
    <t>a0pVT00000Cq5r8YAB</t>
  </si>
  <si>
    <t>017VT0000GuRS1gYQG</t>
  </si>
  <si>
    <t>a0rVT00001DX85HYAT</t>
  </si>
  <si>
    <t>0014X00002aRe9QQAS</t>
  </si>
  <si>
    <t>{PS_Region_New__c=US Medium Enterprise DI, Industry=Professional Services, attributes={type=Account, url=/services/data/v62.0/sobjects/Account/0014X00002aRe9QQAS}, Name=Get Staffed Up, LLC}</t>
  </si>
  <si>
    <t>2026-09-30T13:24:31.000+0000</t>
  </si>
  <si>
    <t>DENSO International America Inc</t>
  </si>
  <si>
    <t>017VT0000GuRZG0YQO</t>
  </si>
  <si>
    <t>001VT00000b2lDeYAI</t>
  </si>
  <si>
    <t>{PS_Region_New__c=US SLED, Name=Beat The Streets Inc, attributes={type=Account, url=/services/data/v62.0/sobjects/Account/001VT00000b2lDeYAI}, Industry=Education (K-12)}</t>
  </si>
  <si>
    <t>{Name=Disney Worldwide Services, Inc., attributes={type=Account, url=/services/data/v62.0/sobjects/Account/0018000000LUH7OAAX}, PS_Sub_Region__c=Diversified Industries Key Accounts, PS_Region_New__c=US Large Enterprise DI &amp; Mexico, SubRegion__c=US DI Key Accounts TM &amp; PS, Industry=Media &amp; Entertainment}</t>
  </si>
  <si>
    <t>017VT0000GcCcN4YQK</t>
  </si>
  <si>
    <t>0013000000IIV7MAAX</t>
  </si>
  <si>
    <t>{Industry=Technology Solutions, PS_Region_New__c=US Large Enterprise DI &amp; Mexico, Name=Dell USA L.P., attributes={url=/services/data/v62.0/sobjects/Account/0013000000IIV7MAAX, type=Account}}</t>
  </si>
  <si>
    <t>Dermalogica</t>
  </si>
  <si>
    <t>017VT0000GcCcLcYQK</t>
  </si>
  <si>
    <t>a0rVT00001DX88TYAT</t>
  </si>
  <si>
    <t>0013000000IIszOAAT</t>
  </si>
  <si>
    <t>{attributes={url=/services/data/v62.0/sobjects/Account/0013000000IIszOAAT, type=Account}, Name=United Services Automobile Association, Industry=Banking &amp; Capital Markets, PS_Region_New__c=US FSI}</t>
  </si>
  <si>
    <t>a0pVT00000Cq0HxYAJ</t>
  </si>
  <si>
    <t>a0rVT00001DWyIkYAL</t>
  </si>
  <si>
    <t>017VT0000GuQzGEYQ0</t>
  </si>
  <si>
    <t>0013000000IJ076AAD</t>
  </si>
  <si>
    <t>{Industry=Healthcare Manufacturing, attributes={type=Account, url=/services/data/v62.0/sobjects/Account/0013000000IJ076AAD}, Name=Boston Scientific Corporation, PS_Region_New__c=US Large Enterprise DI &amp; Mexico}</t>
  </si>
  <si>
    <t>0011B00002E08nAQAR</t>
  </si>
  <si>
    <t>{PS_Sub_Region__c=Healthcare ME, Name=Southwest Behavioral Health Services, Inc., SubRegion__c=US Healthcare ME NN West, PS_Region_New__c=US Healthcare, Industry=Other Healthcare, attributes={url=/services/data/v62.0/sobjects/Account/0011B00002E08nAQAR, type=Account}}</t>
  </si>
  <si>
    <t>017VT0000GuRP3sYQG</t>
  </si>
  <si>
    <t>a0rVT00001DXBJFYA5</t>
  </si>
  <si>
    <t>Desert De Oro Foods</t>
  </si>
  <si>
    <t>0014X00002U4qwcQAB</t>
  </si>
  <si>
    <t>{Industry=Healthcare Manufacturing, Name=CareLinc Medical Equipment, PS_Region_New__c=US Medium Enterprise DI, attributes={url=/services/data/v62.0/sobjects/Account/0014X00002U4qwcQAB, type=Account}}</t>
  </si>
  <si>
    <t>2026-09-30T13:24:50.000+0000</t>
  </si>
  <si>
    <t>017VT0000GuQzGHYQ0</t>
  </si>
  <si>
    <t>{attributes={url=/services/data/v62.0/sobjects/Account/0013000000IJ4GoAAL, type=Account}, PS_Region_New__c=US Large Enterprise DI &amp; Mexico, Name=Columbia Sportswear Company, Industry=Softlines}</t>
  </si>
  <si>
    <t>017VT0000GuPrg7YQC</t>
  </si>
  <si>
    <t>Desert Diamond Casinos</t>
  </si>
  <si>
    <t>a0pVT00000Cq539YAB</t>
  </si>
  <si>
    <t>a0rVT00001DX8BiYAL</t>
  </si>
  <si>
    <t>0018000000ipkKvAAI</t>
  </si>
  <si>
    <t>US Special Districts NN</t>
  </si>
  <si>
    <t>{attributes={url=/services/data/v62.0/sobjects/Account/0018000000ipkKvAAI, type=Account}, Industry=Professional Services, Name=Premier Healthcare Solutions, Inc., PS_Region_New__c=US Healthcare}</t>
  </si>
  <si>
    <t>{PS_Region_New__c=US Medium Enterprise DI, attributes={type=Account, url=/services/data/v62.0/sobjects/Account/0018000001WMGgbAAH}, SubRegion__c=US DI ME NN MFG Northeast, Industry=Consumer Goods, PS_Sub_Region__c=ME NN MFG, Name=Upstate Niagara Cooperative, Inc.}</t>
  </si>
  <si>
    <t>2026-09-30T13:24:56.000+0000</t>
  </si>
  <si>
    <t>017VT0000GcCcK1YQK</t>
  </si>
  <si>
    <t>0018000001CgAzGAAV</t>
  </si>
  <si>
    <t>{Name=Bodybuilding.com, LLC (Inactive Account), attributes={url=/services/data/v62.0/sobjects/Account/0018000001CgAzGAAV, type=Account}, Industry=Consumer Goods, PS_Region_New__c=null}</t>
  </si>
  <si>
    <t>017VT0000GcCd9pYQC</t>
  </si>
  <si>
    <t>a0pVT00000Cq5SxYAJ</t>
  </si>
  <si>
    <t>a0rVT00001DX8DJYA1</t>
  </si>
  <si>
    <t>0013000000IJZ7YAAX</t>
  </si>
  <si>
    <t>{Industry=Healthcare Manufacturing, PS_Region_New__c=US Large Enterprise DI &amp; Mexico, attributes={url=/services/data/v62.0/sobjects/Account/0013000000IJZ7YAAX, type=Account}, Name=Medtronic, Inc.}</t>
  </si>
  <si>
    <t>{PS_Sub_Region__c=ME NN MFG, Industry=Consumer Goods, PS_Region_New__c=US Medium Enterprise DI, attributes={url=/services/data/v62.0/sobjects/Account/0018000001WMGgbAAH, type=Account}, Name=Upstate Niagara Cooperative, Inc., SubRegion__c=US DI ME NN MFG Northeast}</t>
  </si>
  <si>
    <t>017VT0000GuQdOaYQK</t>
  </si>
  <si>
    <t>00180000010yopuAAA</t>
  </si>
  <si>
    <t>{Industry=Media &amp; Entertainment, PS_Region_New__c=US Medium Enterprise DI, Name=Brightcove Inc., attributes={type=Account, url=/services/data/v62.0/sobjects/Account/00180000010yopuAAA}}</t>
  </si>
  <si>
    <t>2026-09-30T13:25:35.000+0000</t>
  </si>
  <si>
    <t>017VT0000GuQzGKYQ0</t>
  </si>
  <si>
    <t>a0pVT00000Cpqs6YAB</t>
  </si>
  <si>
    <t>a0rVT00001DX8GXYA1</t>
  </si>
  <si>
    <t>Devoted Guardians</t>
  </si>
  <si>
    <t>0013000000IK1MBAA1</t>
  </si>
  <si>
    <t>{Industry=Insurance, PS_Region_New__c=US FSI, Name=Massachusetts Mutual Life Insurance Company, attributes={type=Account, url=/services/data/v62.0/sobjects/Account/0013000000IK1MBAA1}}</t>
  </si>
  <si>
    <t>{PS_Sub_Region__c=Diversified Industries LE NN, Industry=Industrial Manufacturing, PS_Region_New__c=US Large Enterprise DI &amp; Mexico, attributes={url=/services/data/v62.0/sobjects/Account/0018000000nlmK2AAI, type=Account}, SubRegion__c=US DI LE NN MFG East, Name=Schindler Elevator Corporation}</t>
  </si>
  <si>
    <t>017VT0000GcCcL8YQK</t>
  </si>
  <si>
    <t>a0rVT00001DX8I9YAL</t>
  </si>
  <si>
    <t>0013000000IKBryAAH</t>
  </si>
  <si>
    <t>DFCU Financial</t>
  </si>
  <si>
    <t>{PS_Region_New__c=US Large Enterprise DI &amp; Mexico, Name=GoDaddy.com, LLC, attributes={type=Account, url=/services/data/v62.0/sobjects/Account/0013000000IKBryAAH}, Industry=Software &amp; Platforms}</t>
  </si>
  <si>
    <t>017VT0000GuQzGNYQ0</t>
  </si>
  <si>
    <t>a0rVT00001DX8JlYAL</t>
  </si>
  <si>
    <t>a0pVT00000Cq3pKYAR</t>
  </si>
  <si>
    <t>0013000000IKCdwAAH</t>
  </si>
  <si>
    <t>{Name=Hubbell Incorporated, PS_Region_New__c=US Large Enterprise DI &amp; Mexico, attributes={type=Account, url=/services/data/v62.0/sobjects/Account/0013000000IKCdwAAH}, Industry=High Technology}</t>
  </si>
  <si>
    <t>{SubRegion__c=null, PS_Sub_Region__c=Diversified Industries LE CB TM &amp; PS, attributes={url=/services/data/v62.0/sobjects/Account/0013000000L0fInAAJ, type=Account}, Industry=High Technology, PS_Region_New__c=US Large Enterprise DI &amp; Mexico, Name=Polycom, Inc. (Inactive Account)}</t>
  </si>
  <si>
    <t>017VT0000GcCcG6YQK</t>
  </si>
  <si>
    <t>a0rVT00001DXDGDYA5</t>
  </si>
  <si>
    <t>0013000000KLX5lAAH</t>
  </si>
  <si>
    <t>Diageo Great Britain Limited</t>
  </si>
  <si>
    <t>{Industry=Ambulatory, PS_Region_New__c=US Healthcare, attributes={type=Account, url=/services/data/v62.0/sobjects/Account/0013000000KLX5lAAH}, Name=DaVita Inc.}</t>
  </si>
  <si>
    <t>017VT0000GcCd9vYQC</t>
  </si>
  <si>
    <t>a0rVT00001DX8LNYA1</t>
  </si>
  <si>
    <t>a0pVT00000CpuxKYAR</t>
  </si>
  <si>
    <t>0013000000IfwhRAAR</t>
  </si>
  <si>
    <t>{attributes={type=Account, url=/services/data/v62.0/sobjects/Account/0013000000IfwhRAAR}, Industry=Auto, PS_Region_New__c=US Large Enterprise DI &amp; Mexico, Name=DriveTime Car Sales Company, LLC}</t>
  </si>
  <si>
    <t>{PS_Region_New__c=US Large Enterprise DI &amp; Mexico, SubRegion__c=US DI LE NN TM &amp; PS East, PS_Sub_Region__c=Diversified Industries LE NN, Name=AMC Entertainment Holdings, Inc., attributes={url=/services/data/v62.0/sobjects/Account/0013000000JMu9wAAD, type=Account}, Industry=Media &amp; Entertainment}</t>
  </si>
  <si>
    <t>017VT0000GuQ2pqYQC</t>
  </si>
  <si>
    <t>0013000000Inpe8AAB</t>
  </si>
  <si>
    <t>{PS_Region_New__c=US Large Enterprise DI &amp; Mexico, Industry=Technology Solutions, Name=CDW LLC, attributes={url=/services/data/v62.0/sobjects/Account/0013000000Inpe8AAB, type=Account}}</t>
  </si>
  <si>
    <t>017VT0000GcCcIZYQ0</t>
  </si>
  <si>
    <t>a0pVT00000Cq2hyYAB</t>
  </si>
  <si>
    <t>0013000000InzuHAAR</t>
  </si>
  <si>
    <t>{PS_Sub_Region__c=Diversified Industries LE NN, SubRegion__c=US DI LE NN TM &amp; PS East, PS_Region_New__c=US Large Enterprise DI &amp; Mexico, Industry=Media &amp; Entertainment, Name=AMC Entertainment Holdings, Inc., attributes={type=Account, url=/services/data/v62.0/sobjects/Account/0013000000JMu9wAAD}}</t>
  </si>
  <si>
    <t>{Industry=Lodging &amp; Resorts, attributes={url=/services/data/v62.0/sobjects/Account/0013000000InzuHAAR, type=Account}, Name=Best Western International, Inc., PS_Region_New__c=US Medium Enterprise DI}</t>
  </si>
  <si>
    <t>017VT0000GcCdC9YQK</t>
  </si>
  <si>
    <t>a0rVT00001DX8OcYAL</t>
  </si>
  <si>
    <t>00180000011TUgjAAG</t>
  </si>
  <si>
    <t>{Industry=Business Services, attributes={url=/services/data/v62.0/sobjects/Account/00180000011TUgjAAG, type=Account}, PS_Region_New__c=US Medium Enterprise DI, Name=Taylor Morrison, Inc.}</t>
  </si>
  <si>
    <t>a0pVT00000Cq3hFYAR</t>
  </si>
  <si>
    <t>017VT0000GuQ2pnYQC</t>
  </si>
  <si>
    <t>a0rVT00001DX8QDYA1</t>
  </si>
  <si>
    <t>Direct Supply Inc.</t>
  </si>
  <si>
    <t>0013000000Io0qRAAR</t>
  </si>
  <si>
    <t>{PS_Region_New__c=US Large Enterprise DI &amp; Mexico, Industry=Lodging &amp; Resorts, attributes={type=Account, url=/services/data/v62.0/sobjects/Account/0013000000Io0qRAAR}, Name=Hilton Worldwide Holdings Inc.}</t>
  </si>
  <si>
    <t>{PS_Region_New__c=US Large Enterprise DI &amp; Mexico, Industry=Media &amp; Entertainment, Name=AMC Entertainment Holdings, Inc., PS_Sub_Region__c=Diversified Industries LE NN, attributes={url=/services/data/v62.0/sobjects/Account/0013000000JMu9wAAD, type=Account}, SubRegion__c=US DI LE NN TM &amp; PS East}</t>
  </si>
  <si>
    <t>017VT0000GcCcGjYQK</t>
  </si>
  <si>
    <t>a0rVT00001DX8QEYA1</t>
  </si>
  <si>
    <t>0013000000JLmNpAAL</t>
  </si>
  <si>
    <t>{attributes={type=Account, url=/services/data/v62.0/sobjects/Account/0013000000JLmNpAAL}, PS_Region_New__c=US Large Enterprise DI &amp; Mexico, Industry=Restaurant &amp; Food Service, Name=Kehe Distributors, LLC}</t>
  </si>
  <si>
    <t>a0rVT00001DXATdYAP</t>
  </si>
  <si>
    <t>017VT0000GuQ2ptYQC</t>
  </si>
  <si>
    <t>Discord Inc.</t>
  </si>
  <si>
    <t>a0pVT00000Cq3FqYAJ</t>
  </si>
  <si>
    <t>0013000000Io5oNAAR</t>
  </si>
  <si>
    <t>{Industry=Softlines, Name=Claire's Stores, Inc., PS_Region_New__c=US Large Enterprise DI &amp; Mexico, attributes={type=Account, url=/services/data/v62.0/sobjects/Account/0013000000Io5oNAAR}}</t>
  </si>
  <si>
    <t>{SubRegion__c=US DI LE NN TM &amp; PS East, PS_Sub_Region__c=Diversified Industries LE NN, attributes={url=/services/data/v62.0/sobjects/Account/0013000000JMu9wAAD, type=Account}, Name=AMC Entertainment Holdings, Inc., PS_Region_New__c=US Large Enterprise DI &amp; Mexico, Industry=Media &amp; Entertainment}</t>
  </si>
  <si>
    <t>SecureWorks is being acquired by Sophos Limited (Thoma Bravo-backed). As part of the integration, SecureWorks is actively migrating all systems — HCM, Financials, Procurement, Revenue Management, and Adaptive Planning — into SAP, Sophos's incumbent ERP. This is a confirmed, structured migration and a near-certain churn event. All 5 SKUs at risk — HCM, Core Financials, Revenue Management, Procurement, and Planning. 
It is a shame because SecureWorks has been a strong Workday customer with demonstrated value in Financials.</t>
  </si>
  <si>
    <t>017VT0000GuQ2pwYQC</t>
  </si>
  <si>
    <t>a0rVT00001DX8TRYA1</t>
  </si>
  <si>
    <t>0013000000IoB7CAAV</t>
  </si>
  <si>
    <t>{Industry=Architecture, Engineering &amp; Construction, attributes={url=/services/data/v62.0/sobjects/Account/0013000000IoB7CAAV, type=Account}, Name=Kiewit Corporation, PS_Region_New__c=US Large Enterprise DI &amp; Mexico}</t>
  </si>
  <si>
    <t>2026-06-04T21:16:20.000+0000</t>
  </si>
  <si>
    <t>a3AVT000000hrib2AA</t>
  </si>
  <si>
    <t>017VT0000GcCcJRYQ0</t>
  </si>
  <si>
    <t>Disney Worldwide Services, Inc.</t>
  </si>
  <si>
    <t>a0rVT00001DX8V3YAL</t>
  </si>
  <si>
    <t>a0pVT00000Cq1KWYAZ</t>
  </si>
  <si>
    <t>0013000000IomeJAAR</t>
  </si>
  <si>
    <t>{Industry=Health Insurance, Name=United Healthcare Services, Inc., PS_Region_New__c=US Healthcare, attributes={type=Account, url=/services/data/v62.0/sobjects/Account/0013000000IomeJAAR}}</t>
  </si>
  <si>
    <t>017VT0000GuPpCPYQ0</t>
  </si>
  <si>
    <t>9/30/26 Update:  Trending Very Positive
Rory Purcell reported that they are very pleased with HiredScore and things are going well.
Keeping this wellness plan open a few more weeks while we align the HiredScore CSM into the greater account team.  Vanguard asked that we coordinate resources so there aren't so many disparate reach outs/meetings.</t>
  </si>
  <si>
    <t>a0rVT00001DX8V4YAL</t>
  </si>
  <si>
    <t>0018000000M3dvEAAR</t>
  </si>
  <si>
    <t>2026-09-30T14:47:58.000+0000</t>
  </si>
  <si>
    <t>{attributes={type=Account, url=/services/data/v62.0/sobjects/Account/0018000000M3dvEAAR}, Industry=High Technology, PS_Region_New__c=US Federal, Name=Gulfstream Aerospace Corporation}</t>
  </si>
  <si>
    <t>a3AVT000000hs1x2AA</t>
  </si>
  <si>
    <t>0018000001DvIuXAAV</t>
  </si>
  <si>
    <t>{PS_Sub_Region__c=ME NN PBS, SubRegion__c=US DI ME NN PBS Central, Name=Celerion, PS_Region_New__c=US Medium Enterprise DI, Industry=Professional Services, attributes={type=Account, url=/services/data/v62.0/sobjects/Account/0014X00002aSWXPQA4}}</t>
  </si>
  <si>
    <t>District Medical Group, Inc.</t>
  </si>
  <si>
    <t>017VT0000GuQ2pzYQC</t>
  </si>
  <si>
    <t>KL 6.4.26 | RFP for HCM with a June/July kick off timeline. Mainly comes down to pricing and feeling lack of partnership
The customer expressed significant dissatisfaction with the previous teamed service model, feeling the partnership is one-sided and that they are consistently directed to self-service resources instead of receiving proactive, strategic guidance from Workday.  The core of the issue is a breakdown in the customer relationship, which poses a significant churn risk.
Trend: The customer feels Workday has been "absent" and unsupportive for most of their 10-year partnership. 
CSI: Unfavorable - WSP kick off call went well yet still building back trust and establishing Workdays value
Update: CBAE closed 2-Yr renewal March 2026 with WSP Accelerate included. $40K Review, Recommend and Optimize Services Investment of Hours approved. FIC routing for approval. Customer has shared they will RFP for HCM with a TBD timeline
**Customer has almost exceeded allotted flex credits while they test agents. Reassured them of grace period of API calls and WSSA until August. Shared rate card and corresponding WSSA action card.
Risk:  Full churn risk due to dissatisfaction with the partnership.
Next Steps: Established monthly connect with customer and will be focused on driving WSP value and aligning on their goals</t>
  </si>
  <si>
    <t>a0rVT00001DX8WfYAL</t>
  </si>
  <si>
    <t>0013000000IqIdRAAV</t>
  </si>
  <si>
    <t>Stitch Fix has been a Workday customer for ~10 years and reports feeling that Workday has been “absent” and unsupportive for most of that time, especially under the prior teamed service model where they were frequently pushed to self‑service content instead of receiving proactive, strategic partnership. This has eroded trust and created a view that the relationship is one‑sided in Workday’s favor.</t>
  </si>
  <si>
    <t>{PS_Region_New__c=US Large Enterprise DI &amp; Mexico, Industry=Food &amp; Drug, attributes={url=/services/data/v62.0/sobjects/Account/0013000000IqIdRAAV, type=Account}, Name=McKesson Corporation}</t>
  </si>
  <si>
    <t>2026-06-05T22:44:59.000+0000</t>
  </si>
  <si>
    <t>a3AVT000000hs3Z2AQ</t>
  </si>
  <si>
    <t>0013000000JMDhhAAH</t>
  </si>
  <si>
    <t>017VT0000GcCcMaYQK</t>
  </si>
  <si>
    <t>a0rVT00001DX8WgYAL</t>
  </si>
  <si>
    <t>0018000000rQ90sAAC</t>
  </si>
  <si>
    <t>Trending negative. While we released fixes that provided a short term resolution, the error messages and performance issues have resurfaced. Support is monitoring and actively trying solutions but we lack a proactive engagement to fully put these issues to rest.
Ask: Can we identify an executive level person responsible who can drive this issue to resolution?
Closure Criteria: Customer goes two weeks without issues and warms towards restarting sales conversations.</t>
  </si>
  <si>
    <t>{PS_Region_New__c=DACH, Industry=Consumer Goods, Name=Japan Tobacco Inc., attributes={type=Account, url=/services/data/v62.0/sobjects/Account/0018000000rQ90sAAC}}</t>
  </si>
  <si>
    <t>a0pVT00000Cq0UuYAJ</t>
  </si>
  <si>
    <t>a0rVT00001DXAa5YAH</t>
  </si>
  <si>
    <t>Ongoing performance issues since moving to the public cloud (GCP) are created major CSAT issue. Resulting in the following:
1) Blocking ~$675k in add-on ACV for CE, Paradox, and TLOA (Phenom replacement).
2) Will impede our ability to win a FINS RFP coming in August that is valued at ~$1.25M.
3) Preventing the customer from signing the UMSA, purchasing flex credits, and adopting our AI agents.
Cases have been investigated since January with no progress, but issue started immediately after migrating to the Public Cloud. Several fixes have been released and config changes implemented, but none have resolved the issues. Critical accounts is engaged and multiple support and development resources, but triage, investigation, and resolution is not being pursued with urgency. Giant Eagle users have been running into intermittent error messages that make the system unusable for nearly 8 months. They are seeing payroll retro calculations taking 4+ hours. While it is clear that the issue is elusive and very difficult to solve, we're at a point were we need executive level oversight to ensure the right resources are engaged and that we operate with a clear sense of urgency to resolve the issue. Frankly, if we don't, we can't in good faith expect Giant Eagle to trust us with their Finance data and come 2028 it could support them no longer trusting us with their people data.
Cases: 3124831, 3191279, &amp; 3238350</t>
  </si>
  <si>
    <t>Diversified Restaurant Group RSC, LLC</t>
  </si>
  <si>
    <t>Performance/Availability Issue</t>
  </si>
  <si>
    <t>2026-08-04T17:42:07.000+0000</t>
  </si>
  <si>
    <t>017VT0000GuRZW0YQO</t>
  </si>
  <si>
    <t>{PS_Region_New__c=US Large Enterprise DI &amp; Mexico, Industry=Professional Services, attributes={type=Account, url=/services/data/v62.0/sobjects/Account/0018000000N5pg2AAB}, Name=Plante &amp; Moran PLLC, PS_Sub_Region__c=Diversified Industries LE CB TM &amp; PS, SubRegion__c=US DI LE CB TM &amp; PS Midwest}</t>
  </si>
  <si>
    <t>a0rVT00001DX8WhYAL</t>
  </si>
  <si>
    <t>a3AVT000000hs5B2AQ</t>
  </si>
  <si>
    <t>001VT00000b2ojNYAQ</t>
  </si>
  <si>
    <t>0013000000J2sNgAAJ</t>
  </si>
  <si>
    <t>{PS_Region_New__c=US Medium Enterprise DI, Industry=Other Healthcare, attributes={url=/services/data/v62.0/sobjects/Account/001VT00000b2ojNYAQ, type=Account}, Name=Fellowship House}</t>
  </si>
  <si>
    <t>Customer went bankrupt, closed all stores, and ceased operations.  Contract will not be renewed (April 29, 2029)</t>
  </si>
  <si>
    <t>2026-06-05T23:51:09.000+0000</t>
  </si>
  <si>
    <t>a0rVT00001DXFJeYAP</t>
  </si>
  <si>
    <t>a3AVT000000hs6n2AA</t>
  </si>
  <si>
    <t>017VT0000GuRZkXYQW</t>
  </si>
  <si>
    <t>0014X00002K4KNjQAN</t>
  </si>
  <si>
    <t>DK Crown Holdings Inc.</t>
  </si>
  <si>
    <t>a0rVT00001DX8WiYAL</t>
  </si>
  <si>
    <t>Customer acquired by The Boyd Group (existing Workday customer) and will move on to their tenant.  Sales was tracking a possible need for a short term extension to facilitate transition, but that appears to not be necessary.  Renewal date 10/21/2026.</t>
  </si>
  <si>
    <t>001VT00000b343NYAQ</t>
  </si>
  <si>
    <t>2026-06-05T23:56:14.000+0000</t>
  </si>
  <si>
    <t>{attributes={url=/services/data/v62.0/sobjects/Account/001VT00000b343NYAQ, type=Account}, Industry=Non-Profit, PS_Region_New__c=US SLED, Name=Project Lead The Way, Inc.}</t>
  </si>
  <si>
    <t>a3AVT000000hs8P2AQ</t>
  </si>
  <si>
    <t>a0pVT00000Cq0l2YAB</t>
  </si>
  <si>
    <t>Claire's will not be renewing their current contract due to Chapter 11 filing and acquisition. Renewal Date: 6/10/2026. Their NA team was acquired by a private equity that requires them to move to their system of management, UKG. Their UK &amp; I operations will still be in Workday but that will be with a net new contract as they have moved off the current tenant due to legal requirements</t>
  </si>
  <si>
    <t>{PS_Sub_Region__c=Diversified Industries LE CB TM &amp; PS, Name=Plante &amp; Moran PLLC, Industry=Professional Services, SubRegion__c=US DI LE CB TM &amp; PS Midwest, attributes={url=/services/data/v62.0/sobjects/Account/0018000000N5pg2AAB, type=Account}, PS_Region_New__c=US Large Enterprise DI &amp; Mexico}</t>
  </si>
  <si>
    <t>2026-06-05T23:58:57.000+0000</t>
  </si>
  <si>
    <t>017VT0000GcCd8rYQC</t>
  </si>
  <si>
    <t>a3AVT000000i1jZ2AQ</t>
  </si>
  <si>
    <t>a0rVT00001DXF1uYAH</t>
  </si>
  <si>
    <t>0018000000WsotqAAB</t>
  </si>
  <si>
    <t>DKSH Management Pte Ltd</t>
  </si>
  <si>
    <t>0013000000IrJf8AAF</t>
  </si>
  <si>
    <t>Christopher Curtis</t>
  </si>
  <si>
    <t>{Industry=Chemicals, attributes={type=Account, url=/services/data/v62.0/sobjects/Account/0013000000IrJf8AAF}, Name=Avery Dennison Corporation, PS_Region_New__c=US Large Enterprise DI &amp; Mexico}</t>
  </si>
  <si>
    <t>Singapore NN</t>
  </si>
  <si>
    <t>9/28/26 Update
Trend - Still trending Neutral. The customer is delaying the decision until mid-October. The COO is intensely focused on the 10/1/26 Finance Go Live.
Update - FAMU will be fully live on Platform (HCM/Payroll/Finance) on 10/1/26. The COO is showing positive signs and growing interest in Workday Student. Last week, he registered for Rising 2026. They (COO Lawson &amp; CIO Seniors) are registered for the Higher Ed Summit and a CXC session with Mike Hofherr and Bonnie Benson.
Risk - Operating without an executed 12-month change order leaves the project vulnerable to a formal deployment pause, threatening FAMU's milestone as the first Florida SUS rollout. Additional operational schedule risks include a severe external vendor integration backlog and a missed deadline to finalize the "SISSHINES" state compliance application strategy.
Next Steps - This is on the 9/29 Steer Co agenda.
Product - The Workday and FAMU teams have formally re-verified that no technical product defects or software gaps are showstoppers to the deployment. However, they did express concern with one Student item: Academic Plan Grade Threshold Displays. The customer explicitly flagged this dual-view display as a significant issue that would be highly confusing to students. Because this standard display functionality was not accepted as a viable student experience, it has been formally documented as one of the Issues Noted for follow up. For now, University advisors must rely solely on the APR as the official scorecard rather than the Academic Plan.</t>
  </si>
  <si>
    <t>a0pVT00000Cq0LCYAZ</t>
  </si>
  <si>
    <t>017VT0000GuRR3qYQG</t>
  </si>
  <si>
    <t>2026-09-30T21:15:24.000+0000</t>
  </si>
  <si>
    <t>a0rVT00001DX8bVYAT</t>
  </si>
  <si>
    <t>a3AVT000000i1oP2AQ</t>
  </si>
  <si>
    <t>{Name=Plante &amp; Moran PLLC, PS_Region_New__c=US Large Enterprise DI &amp; Mexico, Industry=Professional Services, SubRegion__c=US DI LE CB TM &amp; PS Midwest, attributes={type=Account, url=/services/data/v62.0/sobjects/Account/0018000000N5pg2AAB}, PS_Sub_Region__c=Diversified Industries LE CB TM &amp; PS}</t>
  </si>
  <si>
    <t>0013000000IrLUbAAN</t>
  </si>
  <si>
    <t>0018000000mLf3MAAS</t>
  </si>
  <si>
    <t>{attributes={url=/services/data/v62.0/sobjects/Account/0013000000IrLUbAAN, type=Account}, Name=The Reinalt-Thomas Corporation, Industry=Auto, PS_Region_New__c=US Large Enterprise DI &amp; Mexico}</t>
  </si>
  <si>
    <t>a0rVT00001DXAdJYAX</t>
  </si>
  <si>
    <t>DMB Sports Clubs</t>
  </si>
  <si>
    <t>The project status is currently Yellow, trending Red, as a failed FLSA solution and incomplete testing have delayed the June 8th payroll parallel and pushed the core go-live date three months to November 16th. This timeline shift is heavily driven by the customer’s resistance to standard Workday capabilities in favor of a "lift and shift" of 20-year legacy processes, coupled with a continuous stream of new requirements. Consequently, the customer is leveraging these technical challenges and partner staffing turnover to pressure Workday into financially funding the required ground-up FLSA redesign. To safeguard the revised January 2027 first pay target, immediate priorities must focus on stabilizing project scope, enforcing standard solution adoption, and aligning on a funded path forward for FLSA.</t>
  </si>
  <si>
    <t>2026-09-30T13:24:08.000+0000</t>
  </si>
  <si>
    <t>017VT0000GuRR45YQG</t>
  </si>
  <si>
    <t>rend: Yellow, trending Red
Update: Payroll parallel planned for 6/8 is delayed by at least 1 week because Payroll E2E is not complete.
FLSA solution failed and requires a ground‑up redesign.
Current trajectory implies a 3‑month go‑live shift from 9/16 to 11/16, with first pay now targeting January 2027.
Risk:  Workday $$ investment likely required to redesign the FLSA solution.
Continuous stream of new / changed key requirements from the customer.
Customer preference for a “lift and shift” of 20+ year legacy processes vs. adopting standard Workday capabilities.
Customer is positioning current FLSA issues and staffing bandwidth/turnover (Workday and ERPA) as reasons to request Workday investment.
Next Steps:
Align on a path forward for FLSA (including scope and funding).
Reinforce the need to adopt standard Workday delivered solutions where possible.
Stabilize scope and expectations to protect the revised timeline.</t>
  </si>
  <si>
    <t>2026-06-08T21:35:18.000+0000</t>
  </si>
  <si>
    <t>0013000000J0aDaAAJ</t>
  </si>
  <si>
    <t>a3AVT000000i6Eb2AI</t>
  </si>
  <si>
    <t>{Industry=Insurance, PS_Region_New__c=US FSI, attributes={url=/services/data/v62.0/sobjects/Account/0013000000J0aDaAAJ, type=Account}, Name=Allstate Insurance Company}</t>
  </si>
  <si>
    <t>0018000000jPNVIAA4</t>
  </si>
  <si>
    <t>a0rVT00001DXG1BYAX</t>
  </si>
  <si>
    <t>Evisort Deployment, Contract Intelligence. primed by TopBloc.</t>
  </si>
  <si>
    <t>a0pVT00000Cq7WMYAZ</t>
  </si>
  <si>
    <t>Do It, LLC.</t>
  </si>
  <si>
    <t>Evisort Deployment, Contract Intelligence. primed by TopBloc</t>
  </si>
  <si>
    <t>017VT0000GcCd8xYQC</t>
  </si>
  <si>
    <t>2026-06-09T13:09:59.000+0000</t>
  </si>
  <si>
    <t>0014X00002fG6tlQAC</t>
  </si>
  <si>
    <t>{attributes={type=Account, url=/services/data/v62.0/sobjects/Account/0014X00002fG6tlQAC}, Industry=Professional Services, PS_Region_New__c=US Medium Enterprise DI, Name=CornerStone Staffing}</t>
  </si>
  <si>
    <t>{PS_Sub_Region__c=Higher Education LE, Name=The University of Chicago Medical Center, SubRegion__c=US Higher Ed LE West, attributes={url=/services/data/v62.0/sobjects/Account/0018000000Wsp7RAAR, type=Account}, PS_Region_New__c=US SLED, Industry=Acute Hospital / Health System}</t>
  </si>
  <si>
    <t>a3AVT000000i6Mf2AI</t>
  </si>
  <si>
    <t>Paradox deployment, wdaycollab program - subbed to Invisors</t>
  </si>
  <si>
    <t>017VT0000GcCcJLYQ0</t>
  </si>
  <si>
    <t>Paradox Go-Live 7/29 (subbed to Invisors)</t>
  </si>
  <si>
    <t>0018000001VlqnlAAB</t>
  </si>
  <si>
    <t>2026-06-17T17:05:46.000+0000</t>
  </si>
  <si>
    <t>{Name=Altice USA, Inc., PS_Region_New__c=US Large Enterprise DI &amp; Mexico, attributes={url=/services/data/v62.0/sobjects/Account/0018000001VlqnlAAB, type=Account}, Industry=Telecom}</t>
  </si>
  <si>
    <t>a3AVT000000i8Rh2AI</t>
  </si>
  <si>
    <t>0013000000KzBLHAA3</t>
  </si>
  <si>
    <t>017VT0000GcCd8HYQS</t>
  </si>
  <si>
    <t>a0pVT00000CppUcYAJ</t>
  </si>
  <si>
    <t>Creating the Wellness plan to reflect current state for CSH's CLM implementation.  CSH launched CI for their organization in May of 2025 with modest success.  They had to extend their support with WD Services for an additional 90 days to provide support with their production issues.
CSH then decided to further the CLM deployment of 3 Workflows for Physician intake, Real Estate and General workflows (Legal) along with an integration to their Matter Management tech.  They successfully went live in May of 2026 and was regarded as a successful deployment.
The third wave of activity is now focused on the integration of WSS/CLM and Core Procurement to coincide with their full platform launch in July of 2027.  They have provided Workday with feedback on the slowness of roadmap items and have have asked for 3 critical blockers - all of which are now on the WD CLM roadmap with releases in May of 2026 as well as November of 2026 in time for their July 2027 launch.</t>
  </si>
  <si>
    <t>a0rVT00001DX8gLYAT</t>
  </si>
  <si>
    <t>a0rVT00001DWyfeYAD</t>
  </si>
  <si>
    <t>Two successful deployments of CLM now complete.   The final deployment will be the integrated solution of WSS/CLM and Core Procurement in July of 2027.  While the initial 2 deployment had issues, Workday Product and Services were able to address the critical issues and provide relief in our Product roadmap to facilitate their long-term plans.</t>
  </si>
  <si>
    <t>0013000000J0boTAAR</t>
  </si>
  <si>
    <t>00130000009irj9AAA</t>
  </si>
  <si>
    <t>a0rVT00001DXHBlYAP</t>
  </si>
  <si>
    <t>{attributes={url=/services/data/v62.0/sobjects/Account/0013000000J0boTAAR, type=Account}, Name=DTE Energy Company, Industry=Utilities, PS_Region_New__c=US Large Enterprise DI &amp; Mexico}</t>
  </si>
  <si>
    <t>{SubRegion__c=US DI Key Accounts TM &amp; PS, attributes={url=/services/data/v62.0/sobjects/Account/00130000009irj9AAA, type=Account}, PS_Region_New__c=US Large Enterprise DI &amp; Mexico, Name=Salesforce, Inc., PS_Sub_Region__c=Diversified Industries Key Accounts, Industry=Software &amp; Platforms}</t>
  </si>
  <si>
    <t>Dollar General - Distribution Centers</t>
  </si>
  <si>
    <t>2026-06-09T23:08:34.000+0000</t>
  </si>
  <si>
    <t>a3AVT000000iBhJ2AU</t>
  </si>
  <si>
    <t>017VT0000GuRR3wYQG</t>
  </si>
  <si>
    <t>0018000000qYVodAAG</t>
  </si>
  <si>
    <t>a0rVT00001DX8hxYAD</t>
  </si>
  <si>
    <t>0013000000J0bonAAB</t>
  </si>
  <si>
    <t>{attributes={url=/services/data/v62.0/sobjects/Account/0013000000J0bonAAB, type=Account}, PS_Region_New__c=US Large Enterprise DI &amp; Mexico, Industry=Consumer Goods, Name=E. &amp; J. Gallo Winery}</t>
  </si>
  <si>
    <t>a0pVT00000Cq1IrYAJ</t>
  </si>
  <si>
    <t>a0rVT00001DXH8XYAX</t>
  </si>
  <si>
    <t>Dollar General - Fleet</t>
  </si>
  <si>
    <t>{Industry=Architecture, Engineering &amp; Construction, PS_Sub_Region__c=Diversified Industries LE CB MFG, SubRegion__c=US DI LE CB MFG West, PS_Region_New__c=US Large Enterprise DI &amp; Mexico, Name=Swinerton, Inc., attributes={url=/services/data/v62.0/sobjects/Account/0013000000Hmn8mAAB, type=Account}}</t>
  </si>
  <si>
    <t>T — Trend
The relationship is shifting from a fragmented, siloed engagement into a structured, cross-functional operating model. Compassus has moved out of the assessment phase and into active execution across payroll remediation (Extend apps), Accounting Center implementation, formal governance, and Public Cloud Migration (PCM) planning. The primary counterweight to this positive trajectory remains competitive/commercial tension — Compassus is still weighing the total cost of the Workday path against a lower-cost Dayforce alternative for payroll.
U — Update
Governance formalized: Compassus held its second Workday Steering Committee meeting in late August; cadence is confirmed as a monthly 60-minute working session plus a 90-minute quarterly strategic session, and Workday has proposed folding an Executive Sponsor QBR into that quarterly slot.
Commercial Growth: The $108K growth order form and the Extend Pro have been signed.
Monthly connection call (Aug 27): Overall WSP score is 61.2%; mobile adoption is strong at 64% (above the healthcare benchmark); Ask an Expert utilization is 56.7% (26 requests over 3 months); native AI feature adoption is lagging at 11 of 94 available features vs. a 12.7 benchmark.
Accounting Center: Vendor selection finalized with Commit Consulting; formal kickoff set for September 2026 to integrate the Homecare Homebase EMR system.
Public Cloud Migration: Compassus formally requested a PCM briefing; Workday delivered a full overview (scope, IT involvement, governance, documentation) and Compassus is now submitting the migration case/ticket. A related Sept 9 best-practices webinar (Stanford/CHOP) was shared and FINS has already registered.
OCR/Agent Review:  Compassus FINS leadership met with Hammad Shah to review OCR functionality and AP agents for consideration of insourcing this process.
Leadership continuity: SVP Matt Sherrill has been onboarded, and an internal escalation is underway to get him an Executive Symposium.  He has been on the waiting list for 6 weeks and ES is now full.  CPO has offered up her seat.  Working with AE and leadership on other options.
R — Risks
Executive Symposium seat: If Matt Sherrill's seat isn't secured, there's a real risk CPO Priscila Mattingly swaps herself out, costing the account its top executive presence at the event.
Adoption gap: Native AI feature adoption (11 of 94) trails the healthcare benchmark, an area executives may flag as under-realized value.
Delivery Hours: SOW for conversion of project hours is currently with Compassus legal.  Expect that to be signed this week. Backlog of ~100 feature-adoption has been prioritized and grouped by services for Expert Assist.  Compassus will align and request once the tenant review by Impact Advisors is complete.
N — Next Steps
Resolve the Executive Symposium seat for Matt Sherrill (currently escalated internally to Kate Lohuis, Will Flor, and Paul Zipoy).
Finalize $0 Expert Assist SOW. 
Advance the Public Cloud Migration case and bring in Compassus IT stakeholders per the PCM overview shared by the technical team.
Share the list of unused native AI features with Compassus to help close the adoption gap.
Continue the steering committee cadence and formally integrate a Workday Executive Sponsor QBR into the next quarterly session.</t>
  </si>
  <si>
    <t>017VT0000GcCcLBYQ0</t>
  </si>
  <si>
    <t>a0rVT00001DX8hyYAD</t>
  </si>
  <si>
    <t>2026-09-02T13:27:09.000+0000</t>
  </si>
  <si>
    <t>Dollar General - Retail</t>
  </si>
  <si>
    <t>a0pVT00000Cq6vGYAR</t>
  </si>
  <si>
    <t>0014X00002U4P71QAF</t>
  </si>
  <si>
    <t>a3AVT000000iFzR2AU</t>
  </si>
  <si>
    <t>{attributes={url=/services/data/v62.0/sobjects/Account/0014X00002U4P71QAF, type=Account}, Industry=Insurance, Name=Independence Pet Group, Inc., PS_Region_New__c=US FSI}</t>
  </si>
  <si>
    <t>0018000000ukUuSAAU</t>
  </si>
  <si>
    <t>{SubRegion__c=UKI MFG LE, PS_Region_New__c=UKI, Name=BAE Systems plc, Industry=High Technology, attributes={type=Account, url=/services/data/v62.0/sobjects/Account/0018000000ULAggAAH}, PS_Sub_Region__c=UKI TME}</t>
  </si>
  <si>
    <t>017VT0000GrR9iEYQS</t>
  </si>
  <si>
    <t>a0rVT00001DX8jZYAT</t>
  </si>
  <si>
    <t>0013000000J0faKAAR</t>
  </si>
  <si>
    <t>a0rVT00001DXA3pYAH</t>
  </si>
  <si>
    <t>{PS_Region_New__c=US Large Enterprise DI &amp; Mexico, Name=Newell Brands Inc., attributes={url=/services/data/v62.0/sobjects/Account/0013000000J0faKAAR, type=Account}, Industry=Consumer Goods}</t>
  </si>
  <si>
    <t>Dollar General Corporation</t>
  </si>
  <si>
    <t>2026-09-28T16:44:10.000+0000</t>
  </si>
  <si>
    <t>a0pVT00000Cq5RLYAZ</t>
  </si>
  <si>
    <t>017VT0000GuRR3tYQG</t>
  </si>
  <si>
    <t>*** Trend: Worsening for Workday Student (unchanged from the confirmed multi-year pause) while operational/platform engagement has moved from "stable" to showing the first concrete signs of forward motion on capability expansion and governance formalization.
*** Update: On September 18, Bob Muhn (having already looped in Jaci Autrey internally) formally asked Adam Abner to "put together a proposal or a few specific ideas" on what Workday could do for Ivy Tech during the extended runway before a Student implementation begins, since the subscription remains active per the existing agreement. That same day, Luis Arias delivered the routine Operations &amp; System Health Insights review, reaffirming platform stability. On September 29, Workday stood up a new recurring Account Team cadence (every 3 weeks). Adam could not attend that first session but reported he is "working on looking at SKU's for a proposal"; the first tangible sign of movement on Bob's ask. Separately that same day, a check-in with Kurt, James, and Shelly covered a broad capability-mapping agenda: Koribya (cash reconciliation, Huron-supported), Open Enrollment (end of October), UMSA/Flex Credits/AI strategy, SNI, Talent Optimization, People Analytics/Prism (Ivy Tech has used Snowflake for years and wants to bring in data from external systems), an HR leadership meet-and-greet (Jordan Dunn/Molly Dodge), Adaptive Planning adoption, WSP utilization, and Workday Rising. On September 30, James initiated direct outreach to Ivy Tech's HR leadership (Jordan Dunn, Molly Dodge) on workforce planning/HR priorities — executing on that meet-and-greet and widening the relationship beyond Finance/IT. Also on September 30, Emily Forsythe (Adaptive Planning CSM) and Shelly ran an Adaptive Planning Adoption Value Review with Brian Kirkley and Morgan Wiley/Robinette, surfacing concrete expansion opportunities (Office Connect now Mac-compatible, Planning Hubs/Workflows, cash-forecasting maturity, a peer connection with St Louis U at Rising) — direct progress on maximizing value from the existing platform.
*** Risk: Workday Student remains at high SNI and commercial risk; the confirmed 2030 pause and the unresolved Student subscription obligation are unchanged. Relationship risk looks contained for now; Bob's outreach was framed around being "a good partner," Adam is actively engaging rather than going quiet, and the new monthly cadence signals durable governance rather than a punitive posture, but this risk resurfaces if the eventual commercial response is seen as inadequate, or if Adam's SKU proposal stalls. Competitive risk persists if Ivy Tech makes interim Banner/Ellucian commitments before 2030. 
*** Next Steps:
Finalize the proposal response with Bob/Jaci once Adam shares Ivy Tech's SKU list, aligning commercial guardrails and a value-recapture strategy before any readout to Sejal.
Use the new Account Team cadence to formalize the capability-mapping discussion with Adam and Kurt, building toward Sejal's involvement.
Follow through on the HR leadership introduction with Jordan Dunn/Molly Dodge to build sponsorship outside Finance/IT, particularly ahead of Ivy Tech's planned new architect hire.
Advance the Adaptive Planning follow-ups (Office Connect setup, Planning Hubs/Workflows, cash-forecasting peer connection with SLU at Rising) to keep demonstrating near-term value.
Continue monitoring for interim Banner/Ellucian moves and preserve Student as a post-2030 roadmap option.</t>
  </si>
  <si>
    <t>a0rVT00001DX8lBYAT</t>
  </si>
  <si>
    <t>0013000000J0fq9AAB</t>
  </si>
  <si>
    <t>{PS_Region_New__c=US Medium Enterprise DI, Name=H&amp;E Equipment Services, Inc., PS_Sub_Region__c=ME CB TM &amp; RHT, attributes={url=/services/data/v62.0/sobjects/Account/0018000000dQ8u2AAC, type=Account}, SubRegion__c=null, Industry=Other Retail}</t>
  </si>
  <si>
    <t>Following CIO Sejal Vaishnav's confirmation of a multi-year Student pause (driven by budget cuts, RIFs, and lack of an internal sponsor), the account has shifted from defensive risk management to proactive partnership-building. Bob Muhn's September 18 request for a value proposal signals continued goodwill, with Adam Abner now actively reviewing SKUs in response. Workday has reinforced this momentum with a new recurring Monthly Account Team cadence and broader stakeholder outreach beyond sole champion Adam Abner, including HR leadership contacts and an Adaptive Planning review with Brian Kirkley and Morgan Wiley that surfaced concrete expansion opportunities (Planning Hubs/Workflows, cash forecasting, resolved Mac support blocker). Platform health remains stable, and Flex Credits pricing was finalized in early September. Next steps: develop the requested proposal and convert new relationship threads into durable multi-threaded sponsorship.</t>
  </si>
  <si>
    <t>{Name=Owens Corning, attributes={url=/services/data/v62.0/sobjects/Account/0013000000J0fq9AAB, type=Account}, Industry=Hardlines, PS_Region_New__c=US Large Enterprise DI &amp; Mexico}</t>
  </si>
  <si>
    <t>a0rVT00001DX8tGYAT</t>
  </si>
  <si>
    <t>2026-09-30T20:42:42.000+0000</t>
  </si>
  <si>
    <t>017VT0000GcCcEwYQK</t>
  </si>
  <si>
    <t>a3AVT000000iG5t2AE</t>
  </si>
  <si>
    <t>a0rVT00001DX8mnYAD</t>
  </si>
  <si>
    <t>0018000000WsoquAAB</t>
  </si>
  <si>
    <t>0013000000J0h6TAAR</t>
  </si>
  <si>
    <t>{PS_Region_New__c=US Healthcare, attributes={type=Account, url=/services/data/v62.0/sobjects/Account/0013000000J0h6TAAR}, Name=Sharp HealthCare, Industry=Acute Hospital / Health System}</t>
  </si>
  <si>
    <t>AI PRODUCT Deployment / Go Live Date
CSU is deploying Workday Platform (including CLM) and Student. Alchemy is the primary SI, while Workday Services is handling the CLM implementation. CSU added Workday Advisory Services for A&amp;C stages of the implementations to ensure Workday maintains direct accountability. Go live for Platform is July 27, Student is targeted for Fall '28, with a desire to move it up implementation start. CSU has requested a temporary hold on CLM implementation activities, with a revised project timeline expected this summer. Initial CLM demos have been shared to baseline their knowledge before formal implementation work resumes.</t>
  </si>
  <si>
    <t>a0pVT00000Cq1cFYAR</t>
  </si>
  <si>
    <t>2026-09-29T16:35:20.000+0000</t>
  </si>
  <si>
    <t>017VT0000GcCd7hYQC</t>
  </si>
  <si>
    <t>a0rVT00001DX8moYAD</t>
  </si>
  <si>
    <t>a3AVT000000iG7V2AU</t>
  </si>
  <si>
    <t>0014X00002MED0EQAX</t>
  </si>
  <si>
    <t>0018000000O0AktAAF</t>
  </si>
  <si>
    <t>{Industry=Restaurant &amp; Food Service, attributes={type=Account, url=/services/data/v62.0/sobjects/Account/0014X00002MED0EQAX}, Name=Zambrero, PS_Region_New__c=ANZ}</t>
  </si>
  <si>
    <t>{Industry=Food &amp; Drug, PS_Region_New__c=US Large Enterprise DI &amp; Mexico, attributes={type=Account, url=/services/data/v62.0/sobjects/Account/0013000000IoHZnAAN}, Name=Conagra Brands, Inc., PS_Sub_Region__c=Diversified Industries LE CB RHT, SubRegion__c=US DI LE CB RHT Central}</t>
  </si>
  <si>
    <t>AI PRODUCT Deployment / Go Live Date
KC is deploying Workday Platform, including CLM. Accenture is serving as the SI. Due to the delayed contract negotiation and late start, the scheduled September 2027 "Big Bang" go-live target is currently at risk. HR was actively considering a duplicate product, requiring targeted alignment regarding Workday's functional capabilities. To ensure operational readiness, additional CLM demos were delivered via AAE to the Purchasing department.</t>
  </si>
  <si>
    <t>DriveTime Car Sales Company, LLC</t>
  </si>
  <si>
    <t>2026-09-29T16:29:22.000+0000</t>
  </si>
  <si>
    <t>017VT0000GuRR42YQG</t>
  </si>
  <si>
    <t>a3AVT000000iGCL2A2</t>
  </si>
  <si>
    <t>a0rVT00001DX8oPYAT</t>
  </si>
  <si>
    <t>0018000000Qb8iJAAR</t>
  </si>
  <si>
    <t>0013000000J0hleAAB</t>
  </si>
  <si>
    <t>{attributes={url=/services/data/v62.0/sobjects/Account/0013000000J0hleAAB, type=Account}, Industry=Utilities, PS_Region_New__c=US Large Enterprise DI &amp; Mexico, Name=Xcel Energy Services Inc.}</t>
  </si>
  <si>
    <t>I PRODUCT Deployment / Go Live Date: 
Cornell has purchased CLM as part of their early renewal and CEMI project transformation, but they do not yet have a firm plan for implementing. Huron will likely prime, but Cornell is still evaluating use cases and implementation timelines.</t>
  </si>
  <si>
    <t>a0pVT00000CpxtbYAB</t>
  </si>
  <si>
    <t>2026-06-25T16:24:39.000+0000</t>
  </si>
  <si>
    <t>a3AVT000000iGDx2AM</t>
  </si>
  <si>
    <t>DTE Energy Company</t>
  </si>
  <si>
    <t>0018000000WsowjAAB</t>
  </si>
  <si>
    <t>{PS_Region_New__c=null, attributes={url=/services/data/v62.0/sobjects/Account/0018000000zVTeLAAW, type=Account}, PS_Sub_Region__c=null, Industry=Non-Profit, SubRegion__c=null, Name=Uplift Education Foundation (Inactive Account)}</t>
  </si>
  <si>
    <t>AI PRODUCT Deployment / Go Live Date: 
Johns Hopkins purchased CLM with the expectation Workday was going to develop a Grants Award Agent using CLM technology. That product development is put on hold for FY27, so at this point Hopkins is not planning to deploy CLM, making it SNI. Actively working with PAO and Product to evaluate alternatives.</t>
  </si>
  <si>
    <t>017VT0000GuRR3zYQG</t>
  </si>
  <si>
    <t>a0rVT00001DX8q1YAD</t>
  </si>
  <si>
    <t>2026-06-25T16:22:09.000+0000</t>
  </si>
  <si>
    <t>a3AVT000000iGFZ2A2</t>
  </si>
  <si>
    <t>0013000000J0kmQAAR</t>
  </si>
  <si>
    <t>0018000000Wsp7cAAB</t>
  </si>
  <si>
    <t>{Name=Wasserman Media Group LLC, Industry=Professional Services, PS_Region_New__c=US Medium Enterprise DI, attributes={type=Account, url=/services/data/v62.0/sobjects/Account/0013000000J0kmQAAR}}</t>
  </si>
  <si>
    <t>UF has purchased CLM for both the University and UF Health. Deloitte has a SOW in front of UF, and Workday is planning to have a footprint - currently waiting on the Schedule A to be signed. UF plans to kick off the implementation in July 2026 to go live in October 2026.</t>
  </si>
  <si>
    <t>2026-06-12T01:43:46.000+0000</t>
  </si>
  <si>
    <t>a3AVT000000iGHB2A2</t>
  </si>
  <si>
    <t>a0pVT00000CpvdHYAR</t>
  </si>
  <si>
    <t>a0rVT00001DXCFJYA5</t>
  </si>
  <si>
    <t>0018000000Wsp8oAAB</t>
  </si>
  <si>
    <t>DTN, LLC</t>
  </si>
  <si>
    <t>017VT0000GuR1QlYQK</t>
  </si>
  <si>
    <t>AI PRODUCT Deployment / Go Live Date: 
UVA purchased CLM and has begun its implementation using Workday Services, beginning their effort in April 2026, targeting go-live in August 2026.</t>
  </si>
  <si>
    <t>a0rVT00001DX8rdYAD</t>
  </si>
  <si>
    <t>2026-06-25T16:20:48.000+0000</t>
  </si>
  <si>
    <t>0013000000J0pX1AAJ</t>
  </si>
  <si>
    <t>a3AVT000000iIPR2A2</t>
  </si>
  <si>
    <t>{PS_Region_New__c=US FSI, Name=DFCU Financial, SubRegion__c=US FSI Commercial NN, PS_Sub_Region__c=FSI Commercial NN, Industry=Banking &amp; Capital Markets, attributes={url=/services/data/v62.0/sobjects/Account/0018000001WMFPXAA5, type=Account}}</t>
  </si>
  <si>
    <t>{attributes={type=Account, url=/services/data/v62.0/sobjects/Account/0013000000J0pX1AAJ}, Industry=Investment Management, PS_Region_New__c=US FSI, Name=Public Storage}</t>
  </si>
  <si>
    <t>0018000000qYoqpAAC</t>
  </si>
  <si>
    <t>017VT0000GcCcJsYQK</t>
  </si>
  <si>
    <t>Status: GreenDate: September 30, 2026U: Progress UpdateExecutive Leadership Alignment &amp; Sentiment: Following recent feedback from Hette, CHRO Heleen Cocu-Wassink expressed high overall satisfaction as a Workday customer. She is actively exploring options to avoid the mandatory EU public tender process to extend the core Workday contract long-term.   Leadership Successor Identified: Esther van Vulpen’s departure has been addressed. Natasja van Rens has taken over Transformation and Organizational Development. Heleen Cocu-Wassink explicitly approved direct executive outreach to Natasja.   AI Presentation Completed: The AI presentation was successfully delivered today, September 30, by Esmee To with approximately 40 participants in attendance.   AI &amp; Efficiency Initiatives: Today's AI session directly connects with Alliander's "Give One Million Minutes back to the business" efficiency initiative. The team is positioning Workday AI capabilities to directly support these high-impact use cases.   Infrastructure &amp; Platform Strategy: Plans are moving forward for a public cloud migration to AWS (target Q1/Q2 2027) to enable agent-readiness and zero-downtime operations. Alliander currently has 6 applications live in production using Extend/Extend Pro.   R: RiskPlatform Separation &amp; Scope Tenders: While core Workday HCM retention sentiment is strong, Peakon is going to public tender due to unmet specific requirements.   Resource &amp; Capacity Constraints: Fleur’s team continues to face operational capacity limits and split HR/IT decision-making structures, slowing immediate feature adoption despite strong overall account health.   API Overconsumption &amp; Technical Deadlines: The 3.2M API call entitlement overage over the trailing 12 months requires commercial and technical resolution via Flex Credits. The legacy NHP Dev tenant expiration in November 2026 requires case tracking.   N: Next StepsPost-Presentation Follow-up: Capitalize on the engagement from Esmee To's session (40 participants) to drive follow-up technical and business case conversations with key attendees.Stakeholder Outreach: Hette to reach out directly to Natasja van Rens to establish leadership alignment with Marie-Véronique.   AI Value Alignment: MV and John to formulate a concrete value proposition demonstrating how Workday AI directly supports Alliander's "Give One Million Minutes" initiative.   Technical Deep-Dives &amp; Support Cases:Keith to chase open cases regarding the header length issue and the November Dev tenant expiration.   Set up the technical workshop on API usage, agent requirements, and Flex Credit estimation with Fleur, Wilfried, Joep, and Keith.   Confirm AWS migration prerequisites and verify cloud preferences following UMSA alignment.</t>
  </si>
  <si>
    <t>Dunham's Sports</t>
  </si>
  <si>
    <t>a0rVT00001DX8tFYAT</t>
  </si>
  <si>
    <t>0013000000J1LaiAAF</t>
  </si>
  <si>
    <t>a0pVT00000Cq2JnYAJ</t>
  </si>
  <si>
    <t>Alliander's partnership with Workday has seen positive momentum at the executive level despite operational friction, capacity constraints, and split HR/IT decision-making structures. Following the August 20, 2026 QBR, the team continues aligning around Flex Credits, Extend Pro, Data Cloud, and public cloud migration prerequisites (focusing on AWS for agent readiness). On September 30, 2026, an AI presentation was successfully delivered by Esmee To to approximately 40 participants, connecting directly with Alliander's "Give One Million Minutes back to the business" efficiency initiative.   Recent feedback from Hette indicates that CHRO Heleen Cocu-Wassink is a highly satisfied Workday customer and is actively exploring options to avoid a mandatory EU public tender process to extend the core platform contract long-term. The gap left by Esther van Vulpen's departure has been resolved, with Natasja van Rens taking over Transformation and Organizational Development. CHRO Heleen Cocu-Wassink has explicitly approved direct executive outreach to Natasja to re-establish leadership alignment alongside ongoing plans to engage Chief Digital Officer Rinke van de Rhee.   While core Workday platform retention sentiment remains strong, specific modules like Peakon are going to public tender due to unmet scope requirements. Operational constraints on Fleur’s team, legacy Dev tenant expirations in November, and a 3.2M API call overage remain active areas of focus. The account team is leveraging the newly established leadership alignment and high AI engagement to demonstrate strategic value and secure the contract extension through 2031.</t>
  </si>
  <si>
    <t>{Industry=Consumer Goods, PS_Region_New__c=US Large Enterprise DI &amp; Mexico, attributes={type=Account, url=/services/data/v62.0/sobjects/Account/0013000000J1LaiAAF}, Name=Nestlé USA, Inc.}</t>
  </si>
  <si>
    <t>2026-09-30T08:51:13.000+0000</t>
  </si>
  <si>
    <t>0018000001WMHfFAAX</t>
  </si>
  <si>
    <t>{Name=Car Spa, Inc., attributes={url=/services/data/v62.0/sobjects/Account/0018000001WMHfFAAX, type=Account}, PS_Region_New__c=US Medium Enterprise DI, Industry=Auto, SubRegion__c=US DI ME NN RHT TOLA, PS_Sub_Region__c=ME NN RHT East}</t>
  </si>
  <si>
    <t>a3AVT000000iJGf2AM</t>
  </si>
  <si>
    <t>017VT0000GuR5VVYQ0</t>
  </si>
  <si>
    <t>0013000000HpK7vAAF</t>
  </si>
  <si>
    <t>AIG is deploying a high risk COE SKU - Paradox</t>
  </si>
  <si>
    <t>0018000001FtZsdAAF</t>
  </si>
  <si>
    <t>{Industry=Softlines, Name=doTERRA International, LLC, PS_Region_New__c=US Medium Enterprise DI, attributes={url=/services/data/v62.0/sobjects/Account/0018000001FtZsdAAF, type=Account}}</t>
  </si>
  <si>
    <t>2026-06-13T01:20:39.000+0000</t>
  </si>
  <si>
    <t>a3AVT000000iJIH2A2</t>
  </si>
  <si>
    <t>a0pVT00000Cq3MIYAZ</t>
  </si>
  <si>
    <t>Dwyer Franchising LLC d/b/a Neighborly</t>
  </si>
  <si>
    <t>0013000000KLX7iAAH</t>
  </si>
  <si>
    <t>017VT0000GuR1QrYQK</t>
  </si>
  <si>
    <t>Visa is an MCP EA participant as well as SSA. . .uMSA is not signed.  Tons of opportunity with this customer FINS, Payroll, Learning, VNDLY. . .Recent RECR/HiredScore deployment has gone well and Visa is supporting multiple Marketing events.  Need to keep this customer extremely happy.</t>
  </si>
  <si>
    <t>0013000000J1OJoAAN</t>
  </si>
  <si>
    <t>{SubRegion__c=US DI ME NN RHT TOLA, Industry=Auto, PS_Region_New__c=US Medium Enterprise DI, Name=Car Spa, Inc., attributes={type=Account, url=/services/data/v62.0/sobjects/Account/0018000001WMHfFAAX}, PS_Sub_Region__c=ME NN RHT East}</t>
  </si>
  <si>
    <t>{PS_Region_New__c=US FSI, Name=Citizens Financial Group, Inc., Industry=Banking &amp; Capital Markets, attributes={url=/services/data/v62.0/sobjects/Account/0013000000J1OJoAAN, type=Account}}</t>
  </si>
  <si>
    <t>2026-06-13T01:12:45.000+0000</t>
  </si>
  <si>
    <t>a3AVT000000iJJt2AM</t>
  </si>
  <si>
    <t>0013000000KLQYyAAP</t>
  </si>
  <si>
    <t>017VT0000GuR1QoYQK</t>
  </si>
  <si>
    <t>Customer is eager to deploy SSA.  They have been granted exception WSP support to deliver a successful outcome</t>
  </si>
  <si>
    <t>a0rVT00001DX8y5YAD</t>
  </si>
  <si>
    <t>0013000000J1WQzAAN</t>
  </si>
  <si>
    <t>2026-06-13T01:15:56.000+0000</t>
  </si>
  <si>
    <t>{Industry=Health Insurance, PS_Region_New__c=US Healthcare, Name=Highmark Health, attributes={type=Account, url=/services/data/v62.0/sobjects/Account/0013000000J1WQzAAN}}</t>
  </si>
  <si>
    <t>a3AVT000000iJLV2A2</t>
  </si>
  <si>
    <t>a0rVT00001DXA5RYAX</t>
  </si>
  <si>
    <t>0013000000HqBYXAA3</t>
  </si>
  <si>
    <t>a0pVT00000Cq1KXYAZ</t>
  </si>
  <si>
    <t>State Street is deploying a high risk COE SKU - Evisort.</t>
  </si>
  <si>
    <t>Dycom Industries, Inc.</t>
  </si>
  <si>
    <t>017VT0000GcCdBEYQ0</t>
  </si>
  <si>
    <t>a0rVT00001DX8zhYAD</t>
  </si>
  <si>
    <t>2026-06-13T01:18:15.000+0000</t>
  </si>
  <si>
    <t>0013000000J21HlAAJ</t>
  </si>
  <si>
    <t>{PS_Sub_Region__c=ME NN RHT East, Industry=Auto, Name=Car Spa, Inc., SubRegion__c=US DI ME NN RHT TOLA, PS_Region_New__c=US Medium Enterprise DI, attributes={type=Account, url=/services/data/v62.0/sobjects/Account/0018000001WMHfFAAX}}</t>
  </si>
  <si>
    <t>a3AVT000000iJN72AM</t>
  </si>
  <si>
    <t>{PS_Region_New__c=US Large Enterprise DI &amp; Mexico, attributes={url=/services/data/v62.0/sobjects/Account/0013000000J21HlAAJ, type=Account}, Name=Pegasystems Inc., Industry=Software &amp; Platforms}</t>
  </si>
  <si>
    <t>GEICO is deploying a high risk COE product - Paradox</t>
  </si>
  <si>
    <t>017VT0000GuR49KYQS</t>
  </si>
  <si>
    <t>a0rVT00001DX91JYAT</t>
  </si>
  <si>
    <t>2026-06-13T01:19:57.000+0000</t>
  </si>
  <si>
    <t>0013000000J2TwSAAV</t>
  </si>
  <si>
    <t>a3AVT000000iZdB2AU</t>
  </si>
  <si>
    <t>{Industry=Health Insurance, PS_Region_New__c=US Healthcare, attributes={url=/services/data/v62.0/sobjects/Account/0013000000J2TwSAAV, type=Account}, Name=Elevance Health, Inc.}</t>
  </si>
  <si>
    <t>0018000000rOsTDAA0</t>
  </si>
  <si>
    <t>a0rVT00001DXDZdYAP</t>
  </si>
  <si>
    <t>a0pVT00000Cq4FAYAZ</t>
  </si>
  <si>
    <t>MSTeams bot installation issue resolved, with TIAA and HiredScore team working closely as the bot is rolled out in TIAA.     Currently, no other critical issues.     MP proposing a lessons learned with TIAA business and PMO resources.</t>
  </si>
  <si>
    <t>Dynatrace LLC</t>
  </si>
  <si>
    <t>Tami Brandt</t>
  </si>
  <si>
    <t>017VT0000GuPuBNYQ0</t>
  </si>
  <si>
    <t>a0rVT00001DX91KYAT</t>
  </si>
  <si>
    <t>2026-09-28T12:08:01.000+0000</t>
  </si>
  <si>
    <t>0018000000njUrHAAU</t>
  </si>
  <si>
    <t>{SubRegion__c=US DI ME NN RHT TOLA, PS_Sub_Region__c=ME NN RHT East, Industry=Auto, Name=Car Spa, Inc., attributes={url=/services/data/v62.0/sobjects/Account/0018000001WMHfFAAX, type=Account}, PS_Region_New__c=US Medium Enterprise DI}</t>
  </si>
  <si>
    <t>{Name=Stetson University, PS_Region_New__c=US SLED, Industry=Higher Education, attributes={type=Account, url=/services/data/v62.0/sobjects/Account/0018000000njUrHAAU}}</t>
  </si>
  <si>
    <t>a3AVT000000iZi12AE</t>
  </si>
  <si>
    <t>0018000000Qb8iKAAR</t>
  </si>
  <si>
    <t>T - Neutral
U - Customer notified us that they are testing agents in impl and stopped because they got alerts around usage and also they were able to access business process optimize in impl
R - none
N - provide customer assurance that they will not get charged for impl testing</t>
  </si>
  <si>
    <t>017VT0000GcCcKAYQ0</t>
  </si>
  <si>
    <t>Testing workday created agents</t>
  </si>
  <si>
    <t>0013000000J2pevAAB</t>
  </si>
  <si>
    <t>2026-06-17T17:10:25.000+0000</t>
  </si>
  <si>
    <t>{attributes={type=Account, url=/services/data/v62.0/sobjects/Account/0013000000J2pevAAB}, PS_Region_New__c=US Large Enterprise DI &amp; Mexico, Name=Avis Budget Car Rental, LLC, Industry=Automotive Rental and Leasing}</t>
  </si>
  <si>
    <t>a3AVT000000iZjd2AE</t>
  </si>
  <si>
    <t>a0pVT00000Cq4evYAB</t>
  </si>
  <si>
    <t>T - positive
U - Preparing for paradox go live, hiredscore project just started 
R - resource availability given FIN project is starting
N - continuing to monitor customer resourcing</t>
  </si>
  <si>
    <t>017VT0000GcCcKnYQK</t>
  </si>
  <si>
    <t>Paradox &amp; Hiredscore demployment in progress (paradox expected to go live in July)</t>
  </si>
  <si>
    <t>E. &amp; J. Gallo Winery</t>
  </si>
  <si>
    <t>0013000000J2pgWAAR</t>
  </si>
  <si>
    <t>2026-06-17T17:17:04.000+0000</t>
  </si>
  <si>
    <t>{Industry=Softlines, Name=Burlington Coat Factory Warehouse Corporation, attributes={url=/services/data/v62.0/sobjects/Account/0013000000J2pgWAAR, type=Account}, PS_Region_New__c=US Large Enterprise DI &amp; Mexico}</t>
  </si>
  <si>
    <t>a3AVT000000iaCf2AI</t>
  </si>
  <si>
    <t>US DI LE NN MFG West</t>
  </si>
  <si>
    <t>{PS_Region_New__c=US Large Enterprise DI &amp; Mexico, Name=Logitech Inc., PS_Sub_Region__c=Diversified Industries LE CB MFG, attributes={url=/services/data/v62.0/sobjects/Account/0013000000KycsXAAR, type=Account}, Industry=High Technology, SubRegion__c=US DI LE CB MFG West}</t>
  </si>
  <si>
    <t>Team executing against a new timeline for PY live. HCM went live in June, BEN went live in Sept.
Project currently in final stages Parallel data prep to start early Oct.</t>
  </si>
  <si>
    <t>017VT0000GcCcM9YQK</t>
  </si>
  <si>
    <t>Jamie Donelson</t>
  </si>
  <si>
    <t>a0rVT00001DX97lYAD</t>
  </si>
  <si>
    <t>T- Awaiting signature for full timeline extension CO for 1st pay in Jan go-live.
U- Additional 'Bridge CO' ($194k) sent to customer 9/28 to cover budget thru end of Oct.  CIO also sent $320k approx CO for project budget through PPS.
R- Current budget will be exhausted by October~ depending on burn supporting Parallel Testing.
N- On 9/29 Steer Co, awaiting Oct bridge CIO while he continues to working through funding for full timeline $.</t>
  </si>
  <si>
    <t>0013000000J2qf4AAB</t>
  </si>
  <si>
    <t>{PS_Region_New__c=US Medium Enterprise DI, Industry=Oil &amp; Gas, attributes={type=Account, url=/services/data/v62.0/sobjects/Account/0013000000J2qf4AAB}, Name=NJR Service Corporation}</t>
  </si>
  <si>
    <t>2026-09-30T19:31:09.000+0000</t>
  </si>
  <si>
    <t>a3AVT000000ijvt2AA</t>
  </si>
  <si>
    <t>0018000000errhFAAQ</t>
  </si>
  <si>
    <t>a0pVT00000Cq4gXYAR</t>
  </si>
  <si>
    <t>017VT0000GuRYLJYQ4</t>
  </si>
  <si>
    <t>AI PRODUCT DEPLOYMENT/ Sept 30, 2026
55 Custom AI, 250K contracts, 15 workflows.
Contract Migration to Production complete.
Contract Intelligence and Workflow Discovery Sessions continue.
Next Steps:
Document Grouping: confirm status
QC on Standard Fields: Analysis received on fields. Workday to summarize any inaccuracies identified and share with Advent. Emily to follow up on how to correct standard AI
Request from Advent to understand how to manage archiving and reporting on contract status and share best practice. To cover on upcoming calls.
Confirm expected date for receiving additional information on 4 Custom AI models. AH to confirm with MC on timeline for migrating remaining docs.
Confirm if all Admin trainings have been completed.
Plan for Value Session. Wait to hear from Sacha on timing after next governance meeting. Plan to do pre meeting on Value slides before official call.  AH to confirm timing (potentially bookmark for governance meeting on 07/21 at 3pm est).</t>
  </si>
  <si>
    <t>a0rVT00001DX97mYAD</t>
  </si>
  <si>
    <t>0018000001Oige3AAB</t>
  </si>
  <si>
    <t>{SubRegion__c=US DI LE CB MFG West, attributes={type=Account, url=/services/data/v62.0/sobjects/Account/0013000000KycsXAAR}, PS_Sub_Region__c=Diversified Industries LE CB MFG, Name=Logitech Inc., PS_Region_New__c=US Large Enterprise DI &amp; Mexico, Industry=High Technology}</t>
  </si>
  <si>
    <t>Eagle Bancorp, Inc</t>
  </si>
  <si>
    <t>{PS_Region_New__c=US FSI, Industry=Insurance, Name=OneDigital, attributes={type=Account, url=/services/data/v62.0/sobjects/Account/0018000001Oige3AAB}}</t>
  </si>
  <si>
    <t>2026-07-01T17:25:51.000+0000</t>
  </si>
  <si>
    <t>a3AVT000000ijxV2AQ</t>
  </si>
  <si>
    <t>0018000000rNzQhAAK</t>
  </si>
  <si>
    <t>US FSI ME NN Northeast</t>
  </si>
  <si>
    <t>017VT0000GuR49TYQS</t>
  </si>
  <si>
    <t>0013000000J2ravAAB</t>
  </si>
  <si>
    <t>{attributes={type=Account, url=/services/data/v62.0/sobjects/Account/0013000000J2ravAAB}, PS_Region_New__c=US Large Enterprise DI &amp; Mexico, Name=Aramark SCM, Inc., Industry=Restaurant &amp; Food Service}</t>
  </si>
  <si>
    <t>a0pVT00000CplqoYAB</t>
  </si>
  <si>
    <t>{attributes={url=/services/data/v62.0/sobjects/Account/0018000000MSTHMAA5, type=Account}, Name=Kettering Adventist Healthcare dba Kettering Health, PS_Sub_Region__c=Healthcare LE, Industry=Acute Hospital / Health System, PS_Region_New__c=US Healthcare, SubRegion__c=US Healthcare LE CB Central}</t>
  </si>
  <si>
    <t>TREND
NGHS expressed significant concern regarding the upcoming policy requiring API calls to consume Flex credits, which they view as an added expense without clear added value. To address this, both teams agreed to improve transparency and set up a regular cadence with the TAM to optimize API usage and mitigate extra costs.(Account team has been trying to get this scheduled repeatedly with no response from the customer.  Escalation to the Chief Application officer has resulted in better engagement.
Chris Paravate, CIO stated he is meeting with Aneel at Rising, Executive Symposium.
Furthermore, Executive Anna Demioz noted that NGHS questions whether they are receiving sufficient value for their $5M annual spend and requested clearer visibility into this. She highlighted that Workday’s pricing and metering model could cause NGHS to lag behind in AI capabilities, potentially leading them to consider alternative solutions other than Workday.
Finally, NGHS has stated they have not seen value in the Payroll agent, citing the skills are not what is needed.  They continue to test with other agents.
Additional Items:
Expansion motion: The Talent Acquisition CRM RFI has progressed from questionnaire to a scheduled executive demo, and CLM (Evisort) implementation continues on a steady biweekly working-session cadence with strong cross-functional attendance.
Trust repair in progress: A prior canceled Optimization Package (API/Integration Tuning) generated negative executive feedback, and the team is actively working to rebuild confidence around Optimization Package scope-setting and Payroll consulting engagement.
Recurring support watch item: Production stability continues to be closely monitored after intermittent WD1 and Extend issues in late August 
UPDATE 
RFI → Demo scheduled (Talent Acquisition CRM) NGHS is evaluating Talent Acquisition CRM solutions, and following Workday's RFI response, Michelle Boyd confirmed the NGHS project team wants a demo, flagging interest in three modules: HiredScore, Paradox, and Workday Candidate Engagement. Sheria Ward confirmed a 1.5-hour session gives enough time for demo and Q&amp;A, and asked Michelle to confirm specific feature priorities and her team's preferred timeframe — landing on September 10.
CLM (Evisort) implementation — steady momentum Working sessions were held on 8/26 and 8/28 with roughly 47 invited participants each, continuing the implementation cadence. Separately, Greg James (Director of Systems &amp; Technology, Supply Chain) asked Workday for a contact at another healthcare system that uses CLM so he could discuss the "unstacking" process and file-renaming/mapping experience, and Trevor confirmed Stephanie has two potential references in mind and is awaiting confirmation of specific contacts.
Payroll Optimization Package — engagement launching for a Payroll OP.  Engagement Manager Simona Fripp noted consultant availability can take up to eight weeks, with the earliest Payroll consultant available on 10/12/26. 
API usage / Flex Credit follow-up Trevor confirmed a September 10 session with Danielle Fields' team to walk through API usage and Flex Credit implications, continuing a thread that runs back to August's ISU-driven API volume analysis. 
Ongoing investigation into WD1 intermittent performance issues (load balancer instability) continues. 
RISKS
WSP Integration OP — The initial Optimization Package was cancelled due to scope limitations excluding third-party integrations and delivered connectors. The account team is steering NGHS to first partner with their TAM on API analysis before revisiting an OP, while actively aligning with Michael Mueller and Jonell Westerman to standardize CX guidance.
Payroll Timeline Exposure — Limited consultant availability (earliest slot in mid-October) and delayed planning calls risk creating a perception of slow follow-through on a requested engagement.
NEXT STEPS
Finalize feature priorities and secure internal resourcing for the September 10 Talent Acquisition CRM demo (HiredScore, Paradox, Candidate Engagement).
Coordinate internal WSP planning to align on the Payroll OP roadmap.
Standardize WSP/TAM API-optimization messaging ahead of the September 10 session with Danielle Fields’ team.
Confirm and provide a peer-reference contact for Greg James regarding CLM "unstacking" and file migration.</t>
  </si>
  <si>
    <t>017VT0000GuR49HYQS</t>
  </si>
  <si>
    <t>a0rVT00001DX9AzYAL</t>
  </si>
  <si>
    <t>0013000000J2rscAAB</t>
  </si>
  <si>
    <t>2026-09-02T21:31:27.000+0000</t>
  </si>
  <si>
    <t>{PS_Region_New__c=US Large Enterprise DI &amp; Mexico, Name=KPMG LLP [US], attributes={type=Account, url=/services/data/v62.0/sobjects/Account/0013000000J2rscAAB}, Industry=Professional Services}</t>
  </si>
  <si>
    <t>Eagle River Water and Sanitation District</t>
  </si>
  <si>
    <t>a3AVT000000iucn2AA</t>
  </si>
  <si>
    <t>0013000000J2XBfAAN</t>
  </si>
  <si>
    <t>a0pVT00000Cq1ApYAJ</t>
  </si>
  <si>
    <t>017VT0000GcCcHkYQK</t>
  </si>
  <si>
    <t>SNT 7/27: The EM finalized the estimate to finish the work and will submit the FIC this week.
Trending: Green
L.E.K.’s 3 Extend Apps went live the following dates:
1. Case Reviews app –10/1/25
2. Upward Feedback app - 10/1/25
3. Summary Reviews - 2/23/26
The project is currently over budget due to historical scope mismanagement and underestimation of Change Orders. A FIC will be needed to close out the remaining backlog of items contracted to complete.
Next Steps: Determine the FIC amount and estimated timeline to complete the backlog scope.</t>
  </si>
  <si>
    <t>2026-07-27T17:31:28.000+0000</t>
  </si>
  <si>
    <t>{attributes={url=/services/data/v62.0/sobjects/Account/0018000000RCg9VAAT, type=Account}, Industry=Insurance, PS_Region_New__c=US FSI, SubRegion__c=US FSI LE West, Name=Trustmark Insurance Company, PS_Sub_Region__c=FSI LE}</t>
  </si>
  <si>
    <t>0013000000J3CxxAAF</t>
  </si>
  <si>
    <t>a3AVT000000iytJ2AQ</t>
  </si>
  <si>
    <t>{Name=Burris Logistics, PS_Region_New__c=US Medium Enterprise DI, Industry=Land and Rail Transportation and Freight, attributes={url=/services/data/v62.0/sobjects/Account/0013000000J3CxxAAF, type=Account}}</t>
  </si>
  <si>
    <t>0013000000HpLMsAAN</t>
  </si>
  <si>
    <t>8/4/26 (JCB):
Anticipated go-live for Sana is Jan 2027, soft launch for creators is targeted for September
Workstreams are set up and running, core working team is getting access to Sana as learners this week
Weekly workstreams include: Weekly planning, Learning ops (access roles &amp; publishing process), Integrations, Content migration &amp; creation, PM sync, (&amp; soon starting: Change management)</t>
  </si>
  <si>
    <t>017VT0000GcCd9CYQS</t>
  </si>
  <si>
    <t>a0rVT00001DXCDhYAP</t>
  </si>
  <si>
    <t>8/4/26 (JCB): Consulting PSA issue has been resolved and project is moving forward with anticipated Go Live of Jan 2027 soft launch. 
Morgan Stanley was engaged in discussions with Sana pre Workday acquisition for a POC to include Morgan Stanley Technology and HR for HR.
The goal of the project is technology consolidation, one home for Learning and streamlined content creation. Long term vision is for full Learning platform consolidation across the firm.
Primary MS Owners
Katie Wolfman - Research and innovation lead for Tech Talent
Kate Taylor - Runs technology Talent Development team</t>
  </si>
  <si>
    <t>Eagle-Picher Technologies LLC</t>
  </si>
  <si>
    <t>0013000000JLlztAAD</t>
  </si>
  <si>
    <t>{Name=ARRIS Technology, Inc. (Inactive Account), Industry=High Technology, attributes={url=/services/data/v62.0/sobjects/Account/0013000000JLlztAAD, type=Account}, PS_Region_New__c=null}</t>
  </si>
  <si>
    <t>2026-08-04T16:07:40.000+0000</t>
  </si>
  <si>
    <t>US DI ME NN MFG West</t>
  </si>
  <si>
    <t>a3AVT000000iz9R2AQ</t>
  </si>
  <si>
    <t>a0pVT00000CqAHJYA3</t>
  </si>
  <si>
    <t>a0rVT00001DWzEtYAL</t>
  </si>
  <si>
    <t>017VT0000GuQdhQYQS</t>
  </si>
  <si>
    <t>a0rVT00001DX9FpYAL</t>
  </si>
  <si>
    <t>0018000001K94HdAAJ</t>
  </si>
  <si>
    <t>0013000000JLv1dAAD</t>
  </si>
  <si>
    <t>{PS_Sub_Region__c=Healthcare ME, Industry=Post Acute, SubRegion__c=US Healthcare ME CB East, PS_Region_New__c=US Healthcare, attributes={type=Account, url=/services/data/v62.0/sobjects/Account/0018000001K94HdAAJ}, Name=National Church Residences}</t>
  </si>
  <si>
    <t>{Industry=Hardlines, attributes={type=Account, url=/services/data/v62.0/sobjects/Account/0013000000JLv1dAAD}, PS_Region_New__c=US Large Enterprise DI &amp; Mexico, Name=Hajoca Corporation}</t>
  </si>
  <si>
    <t>2026-09-30T13:24:14.000+0000</t>
  </si>
  <si>
    <t>Capital Group's Paradox deployment is at risk due to a mismatch between the customer's white-glove service expectations (rooted in prior Workday core methodology experience) and the leaner Paradox delivery model, compounded by inexperienced consultants unable to answer Capital Group's unusually detailed questions. Two urgent technical gaps need resolution before the December 7th go-live (configuration freeze December 14th): architecture/WhatsApp integration documentation and a disputed log ingestion requirement that Capital Group now says is a go-live blocker but isn't in the SOW.</t>
  </si>
  <si>
    <t>Minerva Phifer</t>
  </si>
  <si>
    <t>a0rVT00001DXCFKYA5</t>
  </si>
  <si>
    <t>017VT0000GuRRK4YQO</t>
  </si>
  <si>
    <t>a0rVT00001DX9HRYA1</t>
  </si>
  <si>
    <t>2026-09-29T19:56:11.000+0000</t>
  </si>
  <si>
    <t>East West Resorts, LLC</t>
  </si>
  <si>
    <t>0013000000JLxYnAAL</t>
  </si>
  <si>
    <t>a3AVT000000izNx2AI</t>
  </si>
  <si>
    <t>{Name=Wellspan Health, PS_Region_New__c=US Healthcare, attributes={url=/services/data/v62.0/sobjects/Account/0013000000JLxYnAAL, type=Account}, Industry=Acute Hospital / Health System}</t>
  </si>
  <si>
    <t>0018000000ogzKqAAI</t>
  </si>
  <si>
    <t>CHOP has signed the change order with an agreement that the go-live date will be no later than 11/15.  Will continue to keep this in yellow and monitor progress with the delivery team.</t>
  </si>
  <si>
    <t>Jenna Eastman</t>
  </si>
  <si>
    <t>a0pVT00000Cq1adYAB</t>
  </si>
  <si>
    <t>017VT0000GuRVcJYQW</t>
  </si>
  <si>
    <t>a0rVT00001DX9HSYA1</t>
  </si>
  <si>
    <t>2026-09-29T16:24:39.000+0000</t>
  </si>
  <si>
    <t>a3AVT000000izW12AI</t>
  </si>
  <si>
    <t>0018000000ZzAQoAAN</t>
  </si>
  <si>
    <t>{Name=Linde Gas North America, Industry=Chemicals, PS_Region_New__c=US Large Enterprise DI &amp; Mexico, attributes={url=/services/data/v62.0/sobjects/Account/0018000000ZzAQoAAN, type=Account}}</t>
  </si>
  <si>
    <t>{Name=Data Analysis Inc., Industry=Investment Management, PS_Region_New__c=US FSI, PS_Sub_Region__c=FSI ME NN, attributes={type=Account, url=/services/data/v62.0/sobjects/Account/0018000001WMFFOAA5}, SubRegion__c=US FSI ME NN West}</t>
  </si>
  <si>
    <t>0013000000KLVM4AAP</t>
  </si>
  <si>
    <t>Evisort deployment owned by the legal team at Banner.  Significant resourcing churn on the Workday services team (2 PMs have left Workday during the project); scope changes starting to become the norm along with timeline shifts given capacity constraints on the customer side.</t>
  </si>
  <si>
    <t>Eastern Carolina Workforce Development Board</t>
  </si>
  <si>
    <t>017VT0000GuRRJyYQO</t>
  </si>
  <si>
    <t>2026-06-23T21:26:16.000+0000</t>
  </si>
  <si>
    <t>a0rVT00001DX9J3YAL</t>
  </si>
  <si>
    <t>a3AVT000000izZF2AY</t>
  </si>
  <si>
    <t>0013000000JLxZgAAL</t>
  </si>
  <si>
    <t>0018000000LUwViAAL</t>
  </si>
  <si>
    <t>{Industry=Utilities, Name=Westinghouse Electric Company LLC, attributes={url=/services/data/v62.0/sobjects/Account/0013000000JLxZgAAL, type=Account}, PS_Region_New__c=US Large Enterprise DI &amp; Mexico}</t>
  </si>
  <si>
    <t>Evisort deployment with active proof of concept in flight.  Customer documented feedback across internal teams and sentiment for product/functionality is neutral to negative.   Deployment risk.</t>
  </si>
  <si>
    <t>a0pVT00000Cq3anYAB</t>
  </si>
  <si>
    <t>2026-06-23T21:29:43.000+0000</t>
  </si>
  <si>
    <t>a3AVT000000j27J2AQ</t>
  </si>
  <si>
    <t>017VT0000GcCdBoYQK</t>
  </si>
  <si>
    <t>{Industry=High Technology, attributes={url=/services/data/v62.0/sobjects/Account/0013000000JMWyjAAH, type=Account}, SubRegion__c=US DI LE CB RHT Southeast, PS_Region_New__c=US Large Enterprise DI &amp; Mexico, Name=Milwaukee Electric Tool Corporation, PS_Sub_Region__c=Diversified Industries LE CB RHT}</t>
  </si>
  <si>
    <t>a0rVT00001DX9J4YAL</t>
  </si>
  <si>
    <t>0018000001Q7ErGAAV</t>
  </si>
  <si>
    <t>001VT00000b2jWpYAI</t>
  </si>
  <si>
    <t>The program is still in RED. The program team is currently completing a full impact assessment of the MoG26 that triggered the major UK government reshuffle. The replanning includes a new go-live strategy, full revision of the timeline, the shared service operating model and program cost/benefits.
This replanning has also prompted a request to renegotiate the commercial terms with Workday. Dan Pell and Lesley Moore will have an initial call on September 8 with the Matrix Exec Sponsor.
Executive Summary</t>
  </si>
  <si>
    <t>{Industry=Acute Hospital / Health System, attributes={url=/services/data/v62.0/sobjects/Account/001VT00000b2jWpYAI, type=Account}, Name=Eastern Plumas Health Care, PS_Region_New__c=US Medium Enterprise DI}</t>
  </si>
  <si>
    <t>a0rVT00001DX6DAYA1</t>
  </si>
  <si>
    <t>Trend: RED trending RED
Update:
Replanning still ongoing following the announcement of a major UK government reshuffle affecting the Matrix departments. Current target is for an initial go-live in April/May 2027. The exact composition in terms of departments and FSEs is still tbc.
Risks:
- key resources and SMEs being diverted to the reorg impacting timely completion of key activities such as testing
- go-live and support design needs to be re-evaluated in light with the changes
- low confidence on the ability from the new pension provider (Capita) to provide a test environment by the September deadline
Next Steps:
- Program Team aims to complete the impact assessment and replanning in October. 
- Initiate commercial discussion with Workday. Initial call with Dan Pell and Lesley Moore took place on September 8th. Hilla (AE) is working on a commercial proposal to align to their new timelines, reduction on FSEs and also includes Recruiter (HS) and Candidate Agents (Paradox).</t>
  </si>
  <si>
    <t>Eastern New Mexico Medical Center</t>
  </si>
  <si>
    <t>2026-09-25T10:31:08.000+0000</t>
  </si>
  <si>
    <t>017VT0000GcCcMgYQK</t>
  </si>
  <si>
    <t>a0pVT00000Cq3cPYAR</t>
  </si>
  <si>
    <t>a3AVT000000j2bx2AA</t>
  </si>
  <si>
    <t>a0rVT00001DX9J5YAL</t>
  </si>
  <si>
    <t>001VT00000b2nQkYAI</t>
  </si>
  <si>
    <t>{PS_Region_New__c=US FSI, Industry=Investment Management, attributes={url=/services/data/v62.0/sobjects/Account/001VT00000b2nQkYAI, type=Account}, Name=Hukl Investments}</t>
  </si>
  <si>
    <t>Pilot group still progressing.  No major issues raised.
Also started Paradox deployment - moving along without issues at this point</t>
  </si>
  <si>
    <t>{Industry=High Technology, Name=Milwaukee Electric Tool Corporation, PS_Sub_Region__c=Diversified Industries LE CB RHT, SubRegion__c=US DI LE CB RHT Southeast, PS_Region_New__c=US Large Enterprise DI &amp; Mexico, attributes={url=/services/data/v62.0/sobjects/Account/0013000000JMWyjAAH, type=Account}}</t>
  </si>
  <si>
    <t>2026-09-16T18:10:51.000+0000</t>
  </si>
  <si>
    <t>a3AVT000000j2dZ2AQ</t>
  </si>
  <si>
    <t>017VT0000GuRRKDYQ4</t>
  </si>
  <si>
    <t>a0rVT00001DX9MHYA1</t>
  </si>
  <si>
    <t>0018000000qYLUVAA4</t>
  </si>
  <si>
    <t>0013000000JMKFoAAP</t>
  </si>
  <si>
    <t>9/24: No change in status: We have engaged the Planning COE to assist. Next steps are for RSG (Ross R) to provide feedback and engage with COE. Due to conflicting priorities, the date for moving that forward is to be determined.</t>
  </si>
  <si>
    <t>{attributes={type=Account, url=/services/data/v62.0/sobjects/Account/0013000000JMKFoAAP}, Name=Graybar Electric Company, Inc., Industry=Hardlines, PS_Region_New__c=US Large Enterprise DI &amp; Mexico}</t>
  </si>
  <si>
    <t>Todd Krenke</t>
  </si>
  <si>
    <t>Eastern Plumas Health Care</t>
  </si>
  <si>
    <t>a0pVT00000Cq3SkYAJ</t>
  </si>
  <si>
    <t>2026-09-24T19:44:14.000+0000</t>
  </si>
  <si>
    <t>a3AVT000000j2fB2AQ</t>
  </si>
  <si>
    <t>017VT0000GuPyPbYQK</t>
  </si>
  <si>
    <t>a0rVT00001DX9MIYA1</t>
  </si>
  <si>
    <t>{Name=Milwaukee Electric Tool Corporation, Industry=High Technology, PS_Sub_Region__c=Diversified Industries LE CB RHT, SubRegion__c=US DI LE CB RHT Southeast, attributes={url=/services/data/v62.0/sobjects/Account/0013000000JMWyjAAH, type=Account}, PS_Region_New__c=US Large Enterprise DI &amp; Mexico}</t>
  </si>
  <si>
    <t>Customer working on other priorities.  No legal roadblocks and plan to restart deployment likely in early 2027</t>
  </si>
  <si>
    <t>0013000000KLTkcAAH</t>
  </si>
  <si>
    <t>{PS_Region_New__c=US Large Enterprise DI &amp; Mexico, attributes={type=Account, url=/services/data/v62.0/sobjects/Account/0013000000KLTkcAAH}, Industry=Consumer Goods, Name=The Procter &amp; Gamble U.S. Business Services Company}</t>
  </si>
  <si>
    <t>2026-09-16T18:13:40.000+0000</t>
  </si>
  <si>
    <t>a3AVT000000j3Ef2AI</t>
  </si>
  <si>
    <t>2026-09-30T13:24:26.000+0000</t>
  </si>
  <si>
    <t>a0rVT00001DXAF7YAP</t>
  </si>
  <si>
    <t>017VT0000GuRRK7YQO</t>
  </si>
  <si>
    <t>9/24: Art of the Possible workshop scheduled for first week of November. TA Optimization Package has also been initiated. On track to move to green by 11/15</t>
  </si>
  <si>
    <t>eBay Inc.</t>
  </si>
  <si>
    <t>0013000000JMNh4AAH</t>
  </si>
  <si>
    <t>2026-09-24T19:46:54.000+0000</t>
  </si>
  <si>
    <t>{Name=1939 Group, Inc., Industry=Food &amp; Drug, attributes={type=Account, url=/services/data/v62.0/sobjects/Account/0013000000JMNh4AAH}, PS_Region_New__c=US Large Enterprise DI &amp; Mexico}</t>
  </si>
  <si>
    <t>a3AVT000000j5Zp2AI</t>
  </si>
  <si>
    <t>0018000000NLiwUAAT</t>
  </si>
  <si>
    <t>a0pVT00000Cq26sYAB</t>
  </si>
  <si>
    <t>Trend: Negative
Update: Core FINs issues are being put to the side as Kyriba Bank integrations are not functioning properly. Case 3364122 has been open for 22 days without resolution.  Due to this being an Embed SKU, Workday support is responsible for working with Kyriba support.  They have been unable to get a response from Kyriba, but have also asked us not to engage Kyriba directly which we attempted to do.  The challenges here are a direct outcome of our Embed SKU process that puts Workday support in the middle of the customer and the partner (who needs to fix the issue).  It is not a fast or focused process and leaves our customers feeling as though their issues are lost in a black hole.
Risk: Daily duplicate payments being processed.  Customer sentiment and faith in work declines every day this drags on.
Next: Customer Success meeting with Workday Support team on 8/25</t>
  </si>
  <si>
    <t>017VT0000GcCcIKYQ0</t>
  </si>
  <si>
    <t>0013000000JMYqpAAH</t>
  </si>
  <si>
    <t>Eby-Brown Company (Inactive Account)</t>
  </si>
  <si>
    <t>{Name=Milwaukee Electric Tool Corporation, Industry=High Technology, SubRegion__c=US DI LE CB RHT Southeast, PS_Region_New__c=US Large Enterprise DI &amp; Mexico, PS_Sub_Region__c=Diversified Industries LE CB RHT, attributes={type=Account, url=/services/data/v62.0/sobjects/Account/0013000000JMWyjAAH}}</t>
  </si>
  <si>
    <t>{Industry=Utilities, Name=American Water Works Company Inc, attributes={url=/services/data/v62.0/sobjects/Account/0013000000JMYqpAAH, type=Account}, PS_Region_New__c=US Large Enterprise DI &amp; Mexico}</t>
  </si>
  <si>
    <t>2026-08-21T19:09:29.000+0000</t>
  </si>
  <si>
    <t>a3AVT000000j5bR2AQ</t>
  </si>
  <si>
    <t>0014X00002MBVhpQAH</t>
  </si>
  <si>
    <t>017VT0000GcCdAhYQK</t>
  </si>
  <si>
    <t>After bankruptcy of Hudson Bay Company, Saks &amp; Company will also cease operations.  They will consolidate all Saks operations into the Saks.com account (separate Workday customer account and tenant).  Saks &amp; Company tenant will remain active for storage but will not be used for operations.
Sales team has negotiated a settlement letter with the customer which is in the process of being signed.</t>
  </si>
  <si>
    <t>0013000000JN4jRAAT</t>
  </si>
  <si>
    <t>2026-06-25T14:27:22.000+0000</t>
  </si>
  <si>
    <t>{Industry=Professional Services, attributes={type=Account, url=/services/data/v62.0/sobjects/Account/0013000000JN4jRAAT}, Name=Advantage Sales and Marketing, LLC dba Advantage Solutions, PS_Region_New__c=US Large Enterprise DI &amp; Mexico}</t>
  </si>
  <si>
    <t>a0pVT00000CpoDaYAJ</t>
  </si>
  <si>
    <t>a3AVT000000j6HN2AY</t>
  </si>
  <si>
    <t>0018000000M3bqxAAB</t>
  </si>
  <si>
    <t>{Industry=High Technology, PS_Sub_Region__c=Diversified Industries LE CB RHT, SubRegion__c=US DI LE CB RHT Southeast, Name=Milwaukee Electric Tool Corporation, PS_Region_New__c=US Large Enterprise DI &amp; Mexico, attributes={type=Account, url=/services/data/v62.0/sobjects/Account/0013000000JMWyjAAH}}</t>
  </si>
  <si>
    <t>T - neutral
U - Pharmacy is live.  Phase 2 for the rest of the organization will be led by Workday, which is in early stages of planning.  Nirmal is working closely with the Fairview teams to ensure they have the education they need going into planning.
R - Required functionality gaps will keep them from rolling out to the rest of the org.
N - Nirmal to continue demos and Q&amp;A sessions with Fairview teams.</t>
  </si>
  <si>
    <t>017VT0000GuPYadYQG</t>
  </si>
  <si>
    <t>a0rVT00001DX9UNYA1</t>
  </si>
  <si>
    <t>2026-08-06T20:34:58.000+0000</t>
  </si>
  <si>
    <t>001VT00000b2uvFYAQ</t>
  </si>
  <si>
    <t>a3AVT000000j6Kb2AI</t>
  </si>
  <si>
    <t>{attributes={url=/services/data/v62.0/sobjects/Account/001VT00000b2uvFYAQ, type=Account}, Industry=Restaurant &amp; Food Service, PS_Region_New__c=US Large Enterprise DI &amp; Mexico, Name=Greater Atlanta McDonalds Operators Association}</t>
  </si>
  <si>
    <t>0018000000pPKt2AAG</t>
  </si>
  <si>
    <t>Paradox project targeted for go-live 9/26
CLM is still in testing</t>
  </si>
  <si>
    <t>a0pVT00000Cq9GPYAZ</t>
  </si>
  <si>
    <t>017VT0000GcCd8QYQS</t>
  </si>
  <si>
    <t>2026-09-16T18:17:05.000+0000</t>
  </si>
  <si>
    <t>a3AVT000000j7yD2AQ</t>
  </si>
  <si>
    <t>{Industry=Professional Services, Name=Resultscx, PS_Sub_Region__c=Diversified Industries LE NN, attributes={type=Account, url=/services/data/v62.0/sobjects/Account/0018000000vVHEMAA4}, SubRegion__c=US DI LE NN TM &amp; PS West, PS_Region_New__c=US Large Enterprise DI &amp; Mexico}</t>
  </si>
  <si>
    <t>0013000000JNNyJAAX</t>
  </si>
  <si>
    <t>0013000000KLfD7AAL</t>
  </si>
  <si>
    <t>{Name=Asphalt Buyer II, LLC D/B/A American Tire Distributors, attributes={type=Account, url=/services/data/v62.0/sobjects/Account/0013000000JNNyJAAX}, PS_Region_New__c=US Large Enterprise DI &amp; Mexico, Industry=Auto}</t>
  </si>
  <si>
    <t>Working with Harbor and have pulled in Workday for some integration work.  Attending project meeting this week</t>
  </si>
  <si>
    <t>2026-09-16T18:15:30.000+0000</t>
  </si>
  <si>
    <t>a3AVT000000j84f2AA</t>
  </si>
  <si>
    <t>017VT0000GcCcMIYQ0</t>
  </si>
  <si>
    <t>a0rVT00001DX9ZBYA1</t>
  </si>
  <si>
    <t>0013000000Jp2YIAAZ</t>
  </si>
  <si>
    <t>Paradox deployment / Go-live Sept 1, 2026
Status: Yellow
Ally Model Risk Team has not approved for use.  Scope reduced.</t>
  </si>
  <si>
    <t>a0pVT00000Cq9I1YAJ</t>
  </si>
  <si>
    <t>{PS_Region_New__c=US Large Enterprise DI &amp; Mexico, Industry=Other Retail, attributes={type=Account, url=/services/data/v62.0/sobjects/Account/0013000000Jp2YIAAZ}, Name=Sunbelt Rentals, Inc.}</t>
  </si>
  <si>
    <t>2026-06-26T15:10:02.000+0000</t>
  </si>
  <si>
    <t>{SubRegion__c=US DI LE NN TM &amp; PS West, attributes={type=Account, url=/services/data/v62.0/sobjects/Account/0018000000vVHEMAA4}, PS_Region_New__c=US Large Enterprise DI &amp; Mexico, Name=Resultscx, PS_Sub_Region__c=Diversified Industries LE NN, Industry=Professional Services}</t>
  </si>
  <si>
    <t>a3AVT000000j86H2AQ</t>
  </si>
  <si>
    <t>017VT0000GuREqOYQW</t>
  </si>
  <si>
    <t>0013000000KLfJXAA1</t>
  </si>
  <si>
    <t>HiredScore deployment / Go-live was Jan 2026 (KB continues to rollout in phases, test, review through July 2026.
Status: Yellow
KeyBank unsatisfied that HiredScore is not fully integrated with Core Workday.</t>
  </si>
  <si>
    <t>0013000000JqFjLAAV</t>
  </si>
  <si>
    <t>{attributes={url=/services/data/v62.0/sobjects/Account/0013000000JqFjLAAV, type=Account}, Industry=Acute Hospital / Health System, Name=Dana-Farber Cancer Institute, Inc., PS_Region_New__c=US Healthcare}</t>
  </si>
  <si>
    <t>2026-06-26T15:14:14.000+0000</t>
  </si>
  <si>
    <t>a3AVT000000j87t2AA</t>
  </si>
  <si>
    <t>00130000008MSEJAA4</t>
  </si>
  <si>
    <t>017VT0000GuRTycYQG</t>
  </si>
  <si>
    <t>a0rVT00001DX9aoYAD</t>
  </si>
  <si>
    <t>0018000000NLiwkAAD</t>
  </si>
  <si>
    <t>8/4/2026 [SN]: last weekend Product pushed in a fix last weekend for embedded fetch, testing and next project steps are underway.
HiredScore deployment / Go-Live Sept 2026
Status: Yellow
DHP status changed to Yellow.
Open issues:
MS Teams integration: There is a blocker on WF’s side regarding sharing the OAuth and client secret for the integration, as well as some API restrictions. The approach and enablement of the solution with WF are still under discussion.
Gold Standard: The approach and timeline for implementing the Gold Standard solution are unclear, as it is currently out of scope for this project.
Wave 2: There is no clear path or timeline from WF for when Wave 2 of the project (AITM and Career Guide) can be initiated.
6/26/2026 [SN]: There is a Deployment Health Plan also open in the Deployment Scorecard.</t>
  </si>
  <si>
    <t>{attributes={url=/services/data/v62.0/sobjects/Account/0018000000NLiwkAAD, type=Account}, Industry=Acute Hospital / Health System, Name=The Methodist Hospital System d/b/a Houston Methodist, PS_Region_New__c=US Healthcare}</t>
  </si>
  <si>
    <t>a0pVT00000Cq2jbYAB</t>
  </si>
  <si>
    <t>2026-08-06T13:28:09.000+0000</t>
  </si>
  <si>
    <t>a3AVT000000j89V2AQ</t>
  </si>
  <si>
    <t>017VT0000GuPR65YQG</t>
  </si>
  <si>
    <t>{PS_Sub_Region__c=Diversified Industries LE NN, SubRegion__c=US DI LE NN TM &amp; PS West, PS_Region_New__c=US Large Enterprise DI &amp; Mexico, Name=Resultscx, attributes={url=/services/data/v62.0/sobjects/Account/0018000000vVHEMAA4, type=Account}, Industry=Professional Services}</t>
  </si>
  <si>
    <t>a0rVT00001DX9apYAD</t>
  </si>
  <si>
    <t>0013000000KLpNgAAL</t>
  </si>
  <si>
    <t>0018000000et9ubAAA</t>
  </si>
  <si>
    <t>7/10/2026 [SN]: Peakon Deployment Scorecard was folded onto the existing Canada Payroll Deployment Scorecard which is why you don't see a separate Scorecard entry.</t>
  </si>
  <si>
    <t>{attributes={url=/services/data/v62.0/sobjects/Account/0018000000et9ubAAA, type=Account}, PS_Region_New__c=EMEA North, Industry=Healthcare Manufacturing, Name=Novo Nordisk A/S}</t>
  </si>
  <si>
    <t>a0rVT00001DXCX4YAP</t>
  </si>
  <si>
    <t>Edgewell Personal Care</t>
  </si>
  <si>
    <t>2026-07-10T15:41:47.000+0000</t>
  </si>
  <si>
    <t>a3AVT000000j8Fx2AI</t>
  </si>
  <si>
    <t>017VT0000GuREqRYQW</t>
  </si>
  <si>
    <t>a0rVT00001DX9cPYAT</t>
  </si>
  <si>
    <t>0013000000Jrj5QAAR</t>
  </si>
  <si>
    <t>{Industry=Technology Solutions, Name=Teradata Operations, Inc., attributes={url=/services/data/v62.0/sobjects/Account/0013000000Jrj5QAAR, type=Account}, PS_Region_New__c=US Large Enterprise DI &amp; Mexico}</t>
  </si>
  <si>
    <t>Adding to track the upcoming deployment of Paradox and HS at Amica. Current being run by Workday PS - which has constrained resources so likely going to sub to current Phase 1 deployment partner (Invisors). Will need to track this is done by early January (following their Phase 1 go-live)</t>
  </si>
  <si>
    <t>a0pVT00000CpnW4YAJ</t>
  </si>
  <si>
    <t>2026-06-26T16:07:25.000+0000</t>
  </si>
  <si>
    <t>017VT0000GcCcGpYQK</t>
  </si>
  <si>
    <t>a3AVT000000j8UT2AY</t>
  </si>
  <si>
    <t>a0rVT00001DX9cQYAT</t>
  </si>
  <si>
    <t>{PS_Sub_Region__c=Diversified Industries LE NN, Name=Resultscx, PS_Region_New__c=US Large Enterprise DI &amp; Mexico, attributes={url=/services/data/v62.0/sobjects/Account/0018000000vVHEMAA4, type=Account}, Industry=Professional Services, SubRegion__c=US DI LE NN TM &amp; PS West}</t>
  </si>
  <si>
    <t>0018000001LcENjAAN</t>
  </si>
  <si>
    <t>Customer is still on target to deploy in Dec 2026</t>
  </si>
  <si>
    <t>Cam Richards</t>
  </si>
  <si>
    <t>Edley's Bar-B-Que</t>
  </si>
  <si>
    <t>001VT00000MVQeJYAX</t>
  </si>
  <si>
    <t>2026-09-20T18:35:41.000+0000</t>
  </si>
  <si>
    <t>a3AVT000000jDXN2A2</t>
  </si>
  <si>
    <t>{Name=Pats Select Pizza, attributes={type=Account, url=/services/data/v62.0/sobjects/Account/001VT00000MVQeJYAX}, PS_Region_New__c=US Medium Enterprise DI, Industry=Restaurant &amp; Food Service}</t>
  </si>
  <si>
    <t>0014X00002ME4ruQAD</t>
  </si>
  <si>
    <t>28/9 - no update 
* Trend: Red
* Update:
- Andreas (CIO) expected to reach out to AE re. 2028 renewal. FIN is safe. HCM is on risk.
- FSE: Ongoing risk of further FSE reduction, with potential divestments being considered.
* Risk: Churn
* Next steps:
- Monitor and AE will engage with CIO (timing to be confirmed)</t>
  </si>
  <si>
    <t>2026-09-28T08:10:03.000+0000</t>
  </si>
  <si>
    <t>a3AVT000000jDtx2AE</t>
  </si>
  <si>
    <t>0013000000KLNrRAAX</t>
  </si>
  <si>
    <t>VNDLY Post Go Live Product Concerns
Customer has escalated concerns with perceived product gaps. Account team is leaning in to understand best path forward.
Tracking 3 actions currently:
1) CSV issue (case ) - resolved but team still monitoring
2) introduce Expert Assist for actioning recommendations - Completed intro, customer has signed up for 100 hours
3) request a list of their asks - Patty emailed George again on 7/14</t>
  </si>
  <si>
    <t>017VT0000GcCdB8YQK</t>
  </si>
  <si>
    <t>2026-07-14T14:49:37.000+0000</t>
  </si>
  <si>
    <t>0013000000JscuOAAR</t>
  </si>
  <si>
    <t>a3AVT000000jI8r2AE</t>
  </si>
  <si>
    <t>{Name=Americold Logistics, LLC, PS_Region_New__c=US Large Enterprise DI &amp; Mexico, attributes={url=/services/data/v62.0/sobjects/Account/0013000000JscuOAAR, type=Account}, Industry=Land and Rail Transportation and Freight}</t>
  </si>
  <si>
    <t>a0rVT00001DXGIvYAP</t>
  </si>
  <si>
    <t>0013000000KyhTgAAJ</t>
  </si>
  <si>
    <t>No current update</t>
  </si>
  <si>
    <t>Education At Work</t>
  </si>
  <si>
    <t>017VT0000GuQe3yYQC</t>
  </si>
  <si>
    <t>a0rVT00001DX9e2YAD</t>
  </si>
  <si>
    <t>2026-07-14T14:05:23.000+0000</t>
  </si>
  <si>
    <t>a3AVT000000jIIX2A2</t>
  </si>
  <si>
    <t>0014X00002K6TyjQAF</t>
  </si>
  <si>
    <t>0018000000ULAgwAAH</t>
  </si>
  <si>
    <t>a0pVT00000Cq9I2YAJ</t>
  </si>
  <si>
    <t>{Name=Komatsu America Corp., Industry=Industrial Manufacturing, PS_Region_New__c=Japan, attributes={url=/services/data/v62.0/sobjects/Account/0014X00002K6TyjQAF, type=Account}}</t>
  </si>
  <si>
    <t>2026-09-30T08:01:08.000+0000</t>
  </si>
  <si>
    <t>a3AVT000000jLBZ2A2</t>
  </si>
  <si>
    <t>017VT0000GcCcHbYQK</t>
  </si>
  <si>
    <t>{PS_Region_New__c=US Large Enterprise DI &amp; Mexico, attributes={url=/services/data/v62.0/sobjects/Account/0018000000vVHEMAA4, type=Account}, Name=Resultscx, SubRegion__c=US DI LE NN TM &amp; PS West, Industry=Professional Services, PS_Sub_Region__c=Diversified Industries LE NN}</t>
  </si>
  <si>
    <t>a0rVT00001DX9e3YAD</t>
  </si>
  <si>
    <t>0018000001LZThUAAX</t>
  </si>
  <si>
    <t>0018000000NwcwoAAB</t>
  </si>
  <si>
    <t>No updates since last time. We are still awaiting confirmation from the customer that the acquisition of OVO has  been approved by the regulator.</t>
  </si>
  <si>
    <t>{Name=Saia Inc., PS_Region_New__c=US Large Enterprise DI &amp; Mexico, attributes={url=/services/data/v62.0/sobjects/Account/0018000000NwcwoAAB, type=Account}, Industry=Land and Rail Transportation and Freight}</t>
  </si>
  <si>
    <t>Edwards Lifesciences LLC</t>
  </si>
  <si>
    <t>2026-07-15T09:03:29.000+0000</t>
  </si>
  <si>
    <t>017VT0000GuR5miYQC</t>
  </si>
  <si>
    <t>a3AVT000000jLUv2AM</t>
  </si>
  <si>
    <t>a0rVT00001DX9fdYAD</t>
  </si>
  <si>
    <t>0013000000KA4DrAAL</t>
  </si>
  <si>
    <t>Paradox - no change to report as of 7/13</t>
  </si>
  <si>
    <t>{Industry=Restaurant &amp; Food Service, Name=Papa John's International, Inc., PS_Region_New__c=US Large Enterprise DI &amp; Mexico, attributes={type=Account, url=/services/data/v62.0/sobjects/Account/0013000000KA4DrAAL}}</t>
  </si>
  <si>
    <t>Chanda Pepping</t>
  </si>
  <si>
    <t>2026-09-30T13:24:22.000+0000</t>
  </si>
  <si>
    <t>2026-07-15T14:09:47.000+0000</t>
  </si>
  <si>
    <t>a0pVT00000Cq53AYAR</t>
  </si>
  <si>
    <t>a3AVT000000jLZl2AM</t>
  </si>
  <si>
    <t>017VT0000GuR5mlYQC</t>
  </si>
  <si>
    <t>a0rVT00001DX9hFYAT</t>
  </si>
  <si>
    <t>0018000000jPUx9AAG</t>
  </si>
  <si>
    <t>T- positive
U- Workday Services team should be ready to start mid-late July 2026
R- n/a
N - Workday Services to engage with UMass team for planning and kickoff activities</t>
  </si>
  <si>
    <t>{PS_Region_New__c=US Large Enterprise DI &amp; Mexico, attributes={url=/services/data/v62.0/sobjects/Account/0013000000KCxB9AAL, type=Account}, Industry=High Technology, Name=Micron Technology, Inc.}</t>
  </si>
  <si>
    <t>CLM implementation with Workday Services.
Workday Services team should be ready to start mid-late July 2026</t>
  </si>
  <si>
    <t>2026-07-01T14:00:27.000+0000</t>
  </si>
  <si>
    <t>{Industry=Professional Services, PS_Region_New__c=US Medium Enterprise DI, Name=Workforce Solutions Texoma, attributes={url=/services/data/v62.0/sobjects/Account/001VT00000b2oufYAA, type=Account}, SubRegion__c=US DI Commercial NN TOLA, PS_Sub_Region__c=ME Commercial West}</t>
  </si>
  <si>
    <t>a3AVT000000jLt72AE</t>
  </si>
  <si>
    <t>T - Positive
U - Staffing in progress
R - Partner staffing; customer isn't pleased with staffing from partner as that raises their internal risk management score. Workday architects will be assigned.
N - Project Kickoff in next two weeks</t>
  </si>
  <si>
    <t>017VT0000GuvEhsYQE</t>
  </si>
  <si>
    <t>Paradox deployment
Led by Workday Services</t>
  </si>
  <si>
    <t>a0rVT00001DX9irYAD</t>
  </si>
  <si>
    <t>2026-07-01T17:35:25.000+0000</t>
  </si>
  <si>
    <t>0013000000KL8XlAAL</t>
  </si>
  <si>
    <t>a3AVT000000jOFt2AM</t>
  </si>
  <si>
    <t>{attributes={type=Account, url=/services/data/v62.0/sobjects/Account/0013000000KL8XlAAL}, Name=Emerson Electric, Co, Industry=Industrial Manufacturing, PS_Region_New__c=US Large Enterprise DI &amp; Mexico}</t>
  </si>
  <si>
    <t>0018000000esTY1AAM</t>
  </si>
  <si>
    <t>9/29/26 - No updates - implementation underway with go live slated for April 2028.</t>
  </si>
  <si>
    <t>Trend: Positive momentum following the successful GC demo, resolving prior concerns regarding the value proposition and cost of adding CLM on top of the live WSS integration.
Update: Confirmation received that Ardent is moving forward with including CLM/WSS in their Phase 1 implementation. The deployment is officially aligned to go live alongside the full project in April 2028.
Risk: Managing Phase 1 scope and execution risks to ensure seamless integration between CLM and WSS while keeping development on track for the April 2028 target go-live date.
Next Steps: Support any questions from Deloitte regarding the project plan as they arise, and maintain close alignment with Ardent and Deloitte to track implementation progress and address any concerns or blockers.</t>
  </si>
  <si>
    <t>2026-09-30T18:17:11.000+0000</t>
  </si>
  <si>
    <t>005VT00000JuvzzYAB</t>
  </si>
  <si>
    <t>2026-09-29T16:34:43.000+0000</t>
  </si>
  <si>
    <t>017VT0000GuRRf0YQG</t>
  </si>
  <si>
    <t>a3AVT000000jOKj2AM</t>
  </si>
  <si>
    <t>a0rVT00001DX9kTYAT</t>
  </si>
  <si>
    <t>0018000000vVHKfAAO</t>
  </si>
  <si>
    <t>a0pVT00000Cq9gEYAR</t>
  </si>
  <si>
    <t>0013000000KLPT2AAP</t>
  </si>
  <si>
    <t>{attributes={url=/services/data/v62.0/sobjects/Account/0013000000KLPT2AAP, type=Account}, Industry=Restaurant &amp; Food Service, Name=McDonald's Corporation, PS_Region_New__c=US Large Enterprise DI &amp; Mexico}</t>
  </si>
  <si>
    <t>a0rVT00001DWzd4YAD</t>
  </si>
  <si>
    <t>Up for renewal on 10/28/31 ACV $1.148m Trend: Neutral, Update: CHRO shared with CBAE during 6/4/26 call that Pace has been bought out by a PE firm and CHRO will be leaving in August, requested assistance with contract and relief due to plant closures, details of assistance needed are unclear at this time, Risk: Pace will leave Workday, Next steps: RSD - Matt Moulakelis will be meeting with CHRO to better understand what sort of contract relief Pace is looking for as result of plant closures.</t>
  </si>
  <si>
    <t>Lauren Trela</t>
  </si>
  <si>
    <t>a0rVT00001DXCX3YAP</t>
  </si>
  <si>
    <t>$1.148M full logo churn due to M&amp;A, bought out by PE firm</t>
  </si>
  <si>
    <t>Elanco US, Inc.</t>
  </si>
  <si>
    <t>0018000001H7r8PAAR</t>
  </si>
  <si>
    <t>{PS_Sub_Region__c=ME NN PBS, Name=Integrated Power Services, LLC, SubRegion__c=US DI ME NN PBS Southeast, PS_Region_New__c=US Medium Enterprise DI, Industry=Architecture, Engineering &amp; Construction, attributes={type=Account, url=/services/data/v62.0/sobjects/Account/0018000001H7r8PAAR}}</t>
  </si>
  <si>
    <t>2026-07-02T16:34:57.000+0000</t>
  </si>
  <si>
    <t>017VT0000GuPyPSYQ0</t>
  </si>
  <si>
    <t>a3AVT000000jONx2AM</t>
  </si>
  <si>
    <t>a0rVT00001DX9m5YAD</t>
  </si>
  <si>
    <t>0013000000KLX1AAAX</t>
  </si>
  <si>
    <t>{PS_Region_New__c=US Large Enterprise DI &amp; Mexico, Industry=Restaurant &amp; Food Service, attributes={type=Account, url=/services/data/v62.0/sobjects/Account/0013000000KLX1AAAX}, Name=Pizza Hut, Inc.}</t>
  </si>
  <si>
    <t>The customer migrated configuration to PRD on 9/24 and ran the recalc job overnight and it completed in the morning of 9/25.  They are running their snap shot reports to ensure they have before and after comparisons, but based on all the exhaustive testing that's been completed prior to migration we have no reason to believe that the issue is not resolved.  We will monitor over the next couple weeks but will then close this wellness plan.</t>
  </si>
  <si>
    <t>This customer is facing a long running issue (since at least March 2026) with sick time off balances that is having regulatory compliance issues for their company. The issue spans multiple support cases and ask an expert requests (Cases: 3311464 &amp;
3199987 | AAE Requests: REQ-458660 &amp; REQ-462739. The configuration issues were all customer induced and we successfully addressed them via AAE. The customer now has 4600 employees who will have some sick time clawed back and it amounts to roughly $1.4 million in impact. We believe that our main POC was terminated due to this issue, which increases the sensitivity of our relationship.  The customer has successfully migrated the new configuration to PRD and recalculated the balances, so this issue appears to be resolved.</t>
  </si>
  <si>
    <t>017VT0000GuP8xNYQS</t>
  </si>
  <si>
    <t>2026-09-25T13:41:59.000+0000</t>
  </si>
  <si>
    <t>a0rVT00001DX9nhYAD</t>
  </si>
  <si>
    <t>a3AVT000000jQ812AE</t>
  </si>
  <si>
    <t>0013000000KLbxBAAT</t>
  </si>
  <si>
    <t>{Industry=Media &amp; Entertainment, Name=Schurz Communications, Inc., PS_Region_New__c=US Medium Enterprise DI, attributes={url=/services/data/v62.0/sobjects/Account/0013000000KLbxBAAT, type=Account}}</t>
  </si>
  <si>
    <t>001VT00000OituDYAR</t>
  </si>
  <si>
    <t>a0rVT00001Dwdp4YAB</t>
  </si>
  <si>
    <t>Zohaib Sheikh</t>
  </si>
  <si>
    <t>Electrolux IT Solutions AB</t>
  </si>
  <si>
    <t>Aven Hospitality is live in production with serious risk due to contract data clean up issues affecting ability to effectively test, Go Live slip from 6/1 to 7/1. Initial Billing Cycles to run in late July/Mid Aug.
Trending well as testing/data clean up/configuration cycles continue to improve live in Production. Workday/Customer teams working 7 days a week to accelerate clean up progress. CO in process.
Risk: Billing will have to be done manually via EIB if unable to process.
Next Steps: Continue monitoring closely and pushing teams to sustain momentum.</t>
  </si>
  <si>
    <t>017VT0000GcCcEPYQ0</t>
  </si>
  <si>
    <t>a0pVT00000CpgSwYAJ</t>
  </si>
  <si>
    <t>a0rVT00001DX9pJYAT</t>
  </si>
  <si>
    <t>2026-07-04T00:41:01.000+0000</t>
  </si>
  <si>
    <t>0013000000KLc60AAD</t>
  </si>
  <si>
    <t>a3AVT000000jUI52AM</t>
  </si>
  <si>
    <t>{Industry=Lodging &amp; Resorts, Name=White Lodging Services Corp, attributes={url=/services/data/v62.0/sobjects/Account/0013000000KLc60AAD, type=Account}, PS_Region_New__c=US Large Enterprise DI &amp; Mexico}</t>
  </si>
  <si>
    <t>0018000000etwCzAAI</t>
  </si>
  <si>
    <t>18/09/26 Update:
Strategy day in the diary for 21/09. First hour of session is Optimisation project plan overview and then overlay of WSP features to support. They are gradually increasing consumption.</t>
  </si>
  <si>
    <t>Ian Staal</t>
  </si>
  <si>
    <t>{PS_Region_New__c=US Medium Enterprise DI, attributes={url=/services/data/v62.0/sobjects/Account/0018000001H7r8PAAR, type=Account}, PS_Sub_Region__c=ME NN PBS, Name=Integrated Power Services, LLC, SubRegion__c=US DI ME NN PBS Southeast, Industry=Architecture, Engineering &amp; Construction}</t>
  </si>
  <si>
    <t>017VT0000GcCcF2YQK</t>
  </si>
  <si>
    <t>a0rVT00001DX9pKYAT</t>
  </si>
  <si>
    <t>2026-09-18T10:36:58.000+0000</t>
  </si>
  <si>
    <t>001VT00000b2XKPYA2</t>
  </si>
  <si>
    <t>a3AVT000000jUJh2AM</t>
  </si>
  <si>
    <t>{Industry=Post Acute, attributes={url=/services/data/v62.0/sobjects/Account/001VT00000b2XKPYA2, type=Account}, PS_Region_New__c=US Medium Enterprise DI, Name=Rocky Mountain Assisted Living}</t>
  </si>
  <si>
    <t>0018000000nlBJlAAM</t>
  </si>
  <si>
    <t>AI Product Deployment / Go Live Date</t>
  </si>
  <si>
    <t>AI Products or Agents being deployed, go-live date, and if part of Turbo, list start dates
* Evisort - CLM / CI - start date 6/26/2026, go-live 3/31/2027 (Workday primed, SOW 517914))</t>
  </si>
  <si>
    <t>017VT0000GcCcIHYQ0</t>
  </si>
  <si>
    <t>a0rVT00001DX9qvYAD</t>
  </si>
  <si>
    <t>2026-07-06T14:01:56.000+0000</t>
  </si>
  <si>
    <t>0013000000KLeVBAA1</t>
  </si>
  <si>
    <t>a3AVT000000jURl2AM</t>
  </si>
  <si>
    <t>{PS_Region_New__c=US Medium Enterprise DI, Industry=Technology Solutions, attributes={url=/services/data/v62.0/sobjects/Account/0013000000KLeVBAA1, type=Account}, Name=Sonifi}</t>
  </si>
  <si>
    <t>a0pVT00000CqACTYA3</t>
  </si>
  <si>
    <t>0018000001NvtvoAAB</t>
  </si>
  <si>
    <t>AI Product Deployment / Go-Live Date</t>
  </si>
  <si>
    <t>AI Products or Agents being deployed, go-live date, and if part of Turbo, list start dates
* Evisort - CLM / CI - SOW in progress (Workday primed), anticipated project start date Summer 2027
* Agents - via Turbo AI Activation program (selected agents: Payroll, Self-Service, Planning), AI team intro in progress as of 6/26, project start date TBD</t>
  </si>
  <si>
    <t>017VT0000GuRRf3YQG</t>
  </si>
  <si>
    <t>2026-07-06T14:14:44.000+0000</t>
  </si>
  <si>
    <t>a0rVT00001DX6kzYAD</t>
  </si>
  <si>
    <t>a3AVT000000jUYD2A2</t>
  </si>
  <si>
    <t>{attributes={url=/services/data/v62.0/sobjects/Account/0013000000KLfD7AAL, type=Account}, PS_Region_New__c=US Healthcare, Name=Avera Health, Industry=Acute Hospital / Health System}</t>
  </si>
  <si>
    <t>00180000011TmCfAAK</t>
  </si>
  <si>
    <t>{PS_Region_New__c=US Medium Enterprise DI, attributes={url=/services/data/v62.0/sobjects/Account/0018000001H7r8PAAR, type=Account}, SubRegion__c=US DI ME NN PBS Southeast, Name=Integrated Power Services, LLC, Industry=Architecture, Engineering &amp; Construction, PS_Sub_Region__c=ME NN PBS}</t>
  </si>
  <si>
    <t>AI Products or Agents being deployed, go-live date, and if part of Turbo, list start dates
* Agents- via Turbo AI Activation program (selected agents: Payroll Agent, Self Service Agent, Business Process Optimization Agent).  Project will also configure ASOR.   Project kicked off June, Scheduled move to production - September 11, 2027.</t>
  </si>
  <si>
    <t>017VT0000GuRP44YQG</t>
  </si>
  <si>
    <t>2026-07-06T14:35:01.000+0000</t>
  </si>
  <si>
    <t>a0rVT00001DX9uAYAT</t>
  </si>
  <si>
    <t>a3AVT000000jUef2AE</t>
  </si>
  <si>
    <t>0014X00002U1nkzQAB</t>
  </si>
  <si>
    <t>{attributes={type=Account, url=/services/data/v62.0/sobjects/Account/0014X00002U1nkzQAB}, Industry=Software &amp; Platforms, PS_Region_New__c=US Medium Enterprise DI, Name=RFPIO Inc. d/b/a Responsive}</t>
  </si>
  <si>
    <t>0018000000P0k2xAAB</t>
  </si>
  <si>
    <t>AI Products or Agents being deployed, go-live date, and if part of Turbo, list start dates
* HiredScore AI Talent Mobility (AITM) - Subscription add-on May 2026 (IHC not aware this was not part of original HS add-on, acct team working with Services to prepare for SOW (watch customer also did not anticipate add'l cost to implement AITM).
* Agents - via Turbo AI Activation program (requested agents: Finance Auditor Agent, Payroll Agent, Self-Service Agent) -- IHC requests plan for SSA rollout timing with 26R2. Workday AI team introduced, meeting to review project plan scheduled July 15th (this will inform go-live dates).</t>
  </si>
  <si>
    <t>017VT0000GuRW3OYQW</t>
  </si>
  <si>
    <t>2026-07-06T14:42:24.000+0000</t>
  </si>
  <si>
    <t>a0pVT00000CpreVYAR</t>
  </si>
  <si>
    <t>a0rVT00001DXGArYAP</t>
  </si>
  <si>
    <t>0018000000vVH8qAAG</t>
  </si>
  <si>
    <t>a3AVT000000jZZV2A2</t>
  </si>
  <si>
    <t>{Name=Biltmore, PS_Region_New__c=US Medium Enterprise DI, Industry=Lodging &amp; Resorts, attributes={type=Account, url=/services/data/v62.0/sobjects/Account/0018000000vVH8qAAG}}</t>
  </si>
  <si>
    <t>Elim Christian Services</t>
  </si>
  <si>
    <t>T Amber
U: Resolved Accenture configuration documentation gaps, aligned 26R2 release timeline to Mondelez’s October 19/20 start date, and established client inquiry triage protocols ahead of formal configuration. 
R: Managing high client response-time expectations for incoming technical inquiries prior to the scheduled October configuration build phase. 
N: Conduct the Accenture joint configuration review on September 17 and finalize the shared configuration assets on Smartsheet.</t>
  </si>
  <si>
    <t>{Industry=Architecture, Engineering &amp; Construction, attributes={type=Account, url=/services/data/v62.0/sobjects/Account/0018000001H7r8PAAR}, PS_Region_New__c=US Medium Enterprise DI, Name=Integrated Power Services, LLC, PS_Sub_Region__c=ME NN PBS, SubRegion__c=US DI ME NN PBS Southeast}</t>
  </si>
  <si>
    <t>017VT0000GuRVxLYQW</t>
  </si>
  <si>
    <t>a0rVT00001DX9uCYAT</t>
  </si>
  <si>
    <t>001VT00000b2vOJYAY</t>
  </si>
  <si>
    <t>2026-09-14T17:20:31.000+0000</t>
  </si>
  <si>
    <t>{PS_Region_New__c=US Medium Enterprise DI, Industry=Acute Hospital / Health System, Name=Leon Health Plan, attributes={url=/services/data/v62.0/sobjects/Account/001VT00000b2vOJYAY, type=Account}}</t>
  </si>
  <si>
    <t>a3AVT000000jZxh2AE</t>
  </si>
  <si>
    <t>0018000000nlyeSAAQ</t>
  </si>
  <si>
    <t>8/14/26: Evisort deployment plan continues on schedule for March 2026. Will update this plan monthly unless additional concerns arise in between.</t>
  </si>
  <si>
    <t>017VT0000GuRRf6YQG</t>
  </si>
  <si>
    <t>a0rVT00001DX9vlYAD</t>
  </si>
  <si>
    <t>0013000000KLfSAAA1</t>
  </si>
  <si>
    <t>{PS_Region_New__c=US Large Enterprise DI &amp; Mexico, attributes={url=/services/data/v62.0/sobjects/Account/0013000000KLfSAAA1, type=Account}, Industry=Food &amp; Drug, Name=Speedway LLC (Inactive Account)}</t>
  </si>
  <si>
    <t>2026-08-14T15:44:08.000+0000</t>
  </si>
  <si>
    <t>a0pVT00000CqAE5YAN</t>
  </si>
  <si>
    <t>a3AVT000000jaAb2AI</t>
  </si>
  <si>
    <t>Elk Ridge Community Health</t>
  </si>
  <si>
    <t>0018000000NhkvMAAR</t>
  </si>
  <si>
    <t>017VT0000GuRRf9YQG</t>
  </si>
  <si>
    <t>a0rVT00001DX9xNYAT</t>
  </si>
  <si>
    <t>1 year renewal signed. WSS is on separate contract... WSS will likely drop when term is up.  Risk: High Risk. WSS likely to drop in Jan 2027 when term ends due to bankruptcy. Full contract likely to end when 1 year renewal on main contract is due in June 2027.  Sleep Number Filed bankruptcy 6/12/2026 and is being acquired by Sleep Country Canada who is not a Workday customer.</t>
  </si>
  <si>
    <t>0013000000KLgweAAD</t>
  </si>
  <si>
    <t>{SubRegion__c=US DI ME NN PBS Southeast, PS_Sub_Region__c=ME NN PBS, Industry=Architecture, Engineering &amp; Construction, Name=Integrated Power Services, LLC, attributes={url=/services/data/v62.0/sobjects/Account/0018000001H7r8PAAR, type=Account}, PS_Region_New__c=US Medium Enterprise DI}</t>
  </si>
  <si>
    <t>{attributes={type=Account, url=/services/data/v62.0/sobjects/Account/0013000000KLgweAAD}, PS_Region_New__c=US FSI, Industry=FinTech, Name=Western Union Financial Services, Inc.}</t>
  </si>
  <si>
    <t>2026-07-07T20:26:13.000+0000</t>
  </si>
  <si>
    <t>a3AVT000000jaFR2AY</t>
  </si>
  <si>
    <t>017VT0000GuPyPPYQ0</t>
  </si>
  <si>
    <t>0018000000x0hLKAAY</t>
  </si>
  <si>
    <t>0013000000KLvSFAA1</t>
  </si>
  <si>
    <t>{Industry=Insurance, attributes={type=Account, url=/services/data/v62.0/sobjects/Account/0013000000KLvSFAA1}, PS_Region_New__c=US FSI, Name=Arthur J Gallagher &amp; Co.}</t>
  </si>
  <si>
    <t>7/1/26 update:Risk: Full subscription $1.69M ACV (Core HCM, REC, USP, EXP). Evaluation timeline allows for potential system migration ahead of the 8/29/27 renewal.Update: Customer issued an unexpected RFP driven by new executive leadership, cost of ownership concerns, and perceived historical poor stewardship of Workday. Despite monthly syncs with the HRIS Director, this was unannounced. A catalyst was an April 2026 Feature Adoption Workshop, where the resulting extensive list of recommendations led the customer to feel it was the right time to evaluate platform ownership. Competitors remain unknown.Trend: NegativeNext Steps: Week of 6/29: CSM and AE John Tatum collaborating with internal teams to complete and submit the RFP response. Early July: Align Solution Consultant (SC) and Value Management resources from Project Phoenix for upcoming demo stages.</t>
  </si>
  <si>
    <t>2026-07-07T20:53:09.000+0000</t>
  </si>
  <si>
    <t>017VT0000GuPX01YQG</t>
  </si>
  <si>
    <t>a0rVT00001DXCK9YAP</t>
  </si>
  <si>
    <t>a3AVT000000jaTx2AI</t>
  </si>
  <si>
    <t>Elkay Manufacturing Co.</t>
  </si>
  <si>
    <t>a0pVT00000Cq98MYAR</t>
  </si>
  <si>
    <t>0018000000kuQklAAE</t>
  </si>
  <si>
    <t>0018000001QRkIDAA1</t>
  </si>
  <si>
    <t>{attributes={type=Account, url=/services/data/v62.0/sobjects/Account/0018000000kuQklAAE}, Name=Boulder Valley School District, PS_Region_New__c=US SLED, Industry=Education (K-12)}</t>
  </si>
  <si>
    <t>Low maturity customer.  Non-committal on Governance.
WSP ACC+ not co-termed with Products. In Q4 2025, customer initially disputed value of WSP and customer subsequently agreed to a discounted 12 months renewal (expiring 19 December 2026).
New MP and CSM assigned to account.
H1 2026 had multiple distractions, inhibiting engagement with senior leaders
- New CEO joined, pausing strategic discussions
- UKG deployment
- Payroll remediation issues
Beginning of H2 seeing renewed interest in engaging with Workday
- CHRO connect with MP
- SPARK (Lite) session with AE, Solutions Architects and Customer's GMs
- MP join People Leadership offsite meeting on 5 August to discuss AI readiness and future People Team impact or insights
- CBAE and RSD met with CPO and CIO
- MP followed up session with CPO to maintain engagement
- CEO and CPO connect with VP Product</t>
  </si>
  <si>
    <t>017VT0000GuRRfCYQW</t>
  </si>
  <si>
    <t>{PS_Region_New__c=US Medium Enterprise DI, Industry=Architecture, Engineering &amp; Construction, SubRegion__c=US DI ME NN PBS Southeast, Name=Integrated Power Services, LLC, PS_Sub_Region__c=ME NN PBS, attributes={url=/services/data/v62.0/sobjects/Account/0018000001H7r8PAAR, type=Account}}</t>
  </si>
  <si>
    <t>0013000000KLhYgAAL</t>
  </si>
  <si>
    <t>Trending - Yellow
- returned to High Risk of non-renewal for WSP 
Update
- Increased engagement for MP, CSM, CBAE in H2; HR Leadership Team workshops, CPO connects, CBAE AI sessions and VP Product Connect for CEO
- Customer continues to demonstrate low strategic maturity and non-committal on Governance
Risk
Non-renewal of WSP Acc+ remains a risk given only 12 months extension, ending 19 December 2026 leaving limited time to prove value during a time of impending organisation-wide change with new CEO joining.
Customer also flagging risk of moving away from Workday Recruiting solutions (currently has Paradox)
Next Steps
- CBAE following up on AI SPARK session with exec (after VP Product connect)
- MP continuing to engage and support CPO (OPs, strategy, governance)
- CSM continuing to engage operational teams</t>
  </si>
  <si>
    <t>{Industry=Softlines, attributes={type=Account, url=/services/data/v62.0/sobjects/Account/0013000000KLhYgAAL}, Name=Crocs, Inc., PS_Region_New__c=US Large Enterprise DI &amp; Mexico}</t>
  </si>
  <si>
    <t>2026-09-16T06:54:50.000+0000</t>
  </si>
  <si>
    <t>a3AVT000000jdOb2AI</t>
  </si>
  <si>
    <t>017VT0000GuPyPVYQ0</t>
  </si>
  <si>
    <t>0013000000KLtPVAA1</t>
  </si>
  <si>
    <t>{Industry=Renewable Energy, Name=AES Big Sky, L.L.C., attributes={url=/services/data/v62.0/sobjects/Account/0013000000KLtPVAA1, type=Account}, PS_Region_New__c=US Large Enterprise DI &amp; Mexico}</t>
  </si>
  <si>
    <t>Booking are deploying the full suite of Talent Acquisition which includes Workday Recruiting, Candidate Experience, Candidate Engagement, HiredScore, Messaging. This is a key strategic win for the BeNeLux region and deepens our AI and Talent footprint at this customer. 
The main issues are:
1. Frequent scope issues arising either due to SoW interpretation or to new customer requirements which have arisen during the deployment
2. Deployment methodology and approach is felt by customer to be fragmented 
3. Difficulties in demonstrating end-to-end design and impacts across Workday Recruiting + Paradox + HiredScore
4. In some instances customer has also struggled to deliver to milestones and so we see some slippage in the project plan</t>
  </si>
  <si>
    <t>Emerson Electric, Co</t>
  </si>
  <si>
    <t>29 Sept
T: Yellow
U: CxC done 15/09. UAT underway, Bea raised concerns with quality and solution readiness.
R: Possible impact on timelines and project costs
N: Review test progress and develop response plan</t>
  </si>
  <si>
    <t>2026-09-30T12:20:56.000+0000</t>
  </si>
  <si>
    <t>017VT0000GcCdAAYQ0</t>
  </si>
  <si>
    <t>a3AVT000000jg1V2AQ</t>
  </si>
  <si>
    <t>0013000000KLvRrAAL</t>
  </si>
  <si>
    <t>a0pVT00000CpuEEYAZ</t>
  </si>
  <si>
    <t>0018000000mManiAAC</t>
  </si>
  <si>
    <t>{attributes={type=Account, url=/services/data/v62.0/sobjects/Account/0013000000KLvRrAAL}, PS_Region_New__c=US Large Enterprise DI &amp; Mexico, Industry=Materials, Name=Andersen Corporation}</t>
  </si>
  <si>
    <t>a0rVT00001DWzhuYAD</t>
  </si>
  <si>
    <t>•	We completed a review of WSS &amp; WSS/CLM integration related questions this week.
o	Next steps from here are for RRH to review information and let us know timeline for implementing the integration and if additional Workday support is required to implement
•	RRH to complete validation of non-compete custom AI model &amp; publish in Production
•	RRH to sign off on updated NDA workflow in sandbox</t>
  </si>
  <si>
    <t>Jordan DePaolis</t>
  </si>
  <si>
    <t>CLM is in progress.</t>
  </si>
  <si>
    <t>001VT00000b2nk5YAA</t>
  </si>
  <si>
    <t>017VT0000Gus024YQA</t>
  </si>
  <si>
    <t>2026-07-09T15:27:50.000+0000</t>
  </si>
  <si>
    <t>{PS_Sub_Region__c=Local Government ME, attributes={type=Account, url=/services/data/v62.0/sobjects/Account/001VT00000b2nk5YAA}, SubRegion__c=US Local Gov SMG NN, Name=Navasota Independent School District, PS_Region_New__c=US SLED, Industry=Education (K-12)}</t>
  </si>
  <si>
    <t>Testing &amp; Issue Remediation In Progress</t>
  </si>
  <si>
    <t>a3AVT000000jg6L2AQ</t>
  </si>
  <si>
    <t>0018000000mMiSoAAK</t>
  </si>
  <si>
    <t>a0rVT00001DXC0nYAH</t>
  </si>
  <si>
    <t>{Name=AltaMed Health Services Corporation, PS_Region_New__c=US Healthcare, Industry=Ambulatory, attributes={type=Account, url=/services/data/v62.0/sobjects/Account/0018000000pPKt2AAG}}</t>
  </si>
  <si>
    <t>VP of HR is upset with the lack of integration, we had product speak to them about the development w/messaging and its integration to Hired/Paradox</t>
  </si>
  <si>
    <t>Empire Auto Parts</t>
  </si>
  <si>
    <t>Paradox-Live
HiredScore-Deployment</t>
  </si>
  <si>
    <t>2026-09-30T19:17:42.000+0000</t>
  </si>
  <si>
    <t>2026-07-09T16:10:35.000+0000</t>
  </si>
  <si>
    <t>005VT00000Jv3MPYAZ</t>
  </si>
  <si>
    <t>a3AVT000000jg7x2AA</t>
  </si>
  <si>
    <t>017VT0000GcCcHDYQ0</t>
  </si>
  <si>
    <t>a0rVT00001DXA2FYAX</t>
  </si>
  <si>
    <t>0018000000qZIiRAAW</t>
  </si>
  <si>
    <t>0018000000vVH8OAAW</t>
  </si>
  <si>
    <t>Deploying w/Deloitte, issues with integration and functionality.</t>
  </si>
  <si>
    <t>{Name=MI Windows and Doors, LLC, attributes={url=/services/data/v62.0/sobjects/Account/0018000000vVH8OAAW, type=Account}, Industry=Hardlines, PS_Region_New__c=US Large Enterprise DI &amp; Mexico}</t>
  </si>
  <si>
    <t>CLM
HiredScore</t>
  </si>
  <si>
    <t>a0pVT00000Cq4LaYAJ</t>
  </si>
  <si>
    <t>2026-07-09T16:13:15.000+0000</t>
  </si>
  <si>
    <t>a3AVT000000jgO52AI</t>
  </si>
  <si>
    <t>0013000000KHwo5AAD</t>
  </si>
  <si>
    <t>017VT0000GcCcKGYQ0</t>
  </si>
  <si>
    <t>a0rVT00001DXF3VYAX</t>
  </si>
  <si>
    <t>{Industry=Auto Manufacturing, SubRegion__c=Canada DI LE West, PS_Sub_Region__c=Canada DI LE West, PS_Region_New__c=Canada, attributes={url=/services/data/v62.0/sobjects/Account/0013000000KeH6jAAF, type=Account}, Name=Magna International Inc.}</t>
  </si>
  <si>
    <t>0013000000KLvS9AAL</t>
  </si>
  <si>
    <t>Encore Global</t>
  </si>
  <si>
    <t>SPECIALIZED PRODUCT Deployment
This wellness plan is being opened to provide visibility into a specialized / agent-based deployment at this customer and to support Go-to-Market Companion and CX reporting. At this time, there is no active escalation; the primary goal is to track scope, partner involvement, and early deployment risks so that we can proactively monitor patterns across customers and surface any issues that may warrant additional attention. This wellness plan will remain open until a new tool is in place to support GTM Companion and CX reporting.
Customer is deploying Contract Lifecycle Management (i.e., Evisort / CLM) as a largely standalone solution, alongside Strategic Sourcing, with KPMG as the primary implementer. Given the limited end-to-end footprint, there is a known risk that the user experience and business process flow may feel somewhat “clunky” until broader platform capabilities are adopted. Scope and responsibilities are defined in the partner SOW; Workday’s role is limited to advising through WSP/DGS/TAM as requested. Early risks and frictions (if any) will be captured here for tracking but are not currently escalated beyond normal governance.</t>
  </si>
  <si>
    <t>{Industry=Softlines, Name=Dollar General Corporation, attributes={type=Account, url=/services/data/v62.0/sobjects/Account/0013000000KLvS9AAL}, PS_Region_New__c=US Large Enterprise DI &amp; Mexico}</t>
  </si>
  <si>
    <t>017VT0000GcCd99YQC</t>
  </si>
  <si>
    <t>2026-09-22T19:03:04.000+0000</t>
  </si>
  <si>
    <t>a3AVT000000jhon2AA</t>
  </si>
  <si>
    <t>0014X00002FBlR9QAL</t>
  </si>
  <si>
    <t>{Name=Centria Healthcare LLC, Industry=Other Healthcare, PS_Region_New__c=US Healthcare, attributes={type=Account, url=/services/data/v62.0/sobjects/Account/0014X00002FBlR9QAL}}</t>
  </si>
  <si>
    <t>Connected with the TopBloc team last week to ensure the team was leveraging the available support resources, including office hours, KSS calls, and one-stop shop.  Will continue to connect with TB and Mercy teams over the coming month to ensure list of open questions is being addressed.</t>
  </si>
  <si>
    <t>2026-09-29T16:26:14.000+0000</t>
  </si>
  <si>
    <t>a0pVT00000Cq2JlYAJ</t>
  </si>
  <si>
    <t>017VT0000GuPHMGYQ4</t>
  </si>
  <si>
    <t>a0rVT00001DXD6XYAX</t>
  </si>
  <si>
    <t>a3AVT000000jnfh2AA</t>
  </si>
  <si>
    <t>a0rVT00001DXA3rYAH</t>
  </si>
  <si>
    <t>Energy Transfer LP By: LE GP, LLC, its General Partner</t>
  </si>
  <si>
    <t>0018000000OCz9pAAD</t>
  </si>
  <si>
    <t>001VT00000b1ztpYAA</t>
  </si>
  <si>
    <t>{Name=Wendy's of Colorado Springs, Inc. (WOCS), attributes={type=Account, url=/services/data/v62.0/sobjects/Account/001VT00000b1ztpYAA}, PS_Region_New__c=US Medium Enterprise DI, Industry=Restaurant &amp; Food Service}</t>
  </si>
  <si>
    <t>7/13/2026 [SN]: Paradox - HNB is having daily meeting to address defect issues</t>
  </si>
  <si>
    <t>{Name=The Campbell's Company, PS_Region_New__c=US Large Enterprise DI &amp; Mexico, SubRegion__c=US DI LE CB MFG Northeast, attributes={url=/services/data/v62.0/sobjects/Account/0013000000IniApAAJ, type=Account}, Industry=Consumer Goods, PS_Sub_Region__c=Diversified Industries LE CB MFG}</t>
  </si>
  <si>
    <t>2026-07-13T19:45:01.000+0000</t>
  </si>
  <si>
    <t>017VT0000GuPyPYYQ0</t>
  </si>
  <si>
    <t>a3AVT000000jnhJ2AQ</t>
  </si>
  <si>
    <t>0013000000KLvSAAA1</t>
  </si>
  <si>
    <t>{attributes={url=/services/data/v62.0/sobjects/Account/0013000000KLvSAAA1, type=Account}, Industry=Architecture, Engineering &amp; Construction, PS_Region_New__c=US Large Enterprise DI &amp; Mexico, Name=Dycom Industries, Inc.}</t>
  </si>
  <si>
    <t>7/13/2026 [SN]:  HireScore deployment is green.  HNB really likes the deployment team.</t>
  </si>
  <si>
    <t>2026-07-13T19:46:45.000+0000</t>
  </si>
  <si>
    <t>017VT0000GuRYbWYQW</t>
  </si>
  <si>
    <t>a3AVT000000jykn2AA</t>
  </si>
  <si>
    <t>a0rVT00001DXA5SYAX</t>
  </si>
  <si>
    <t>a0rVT00001DXAjlYAH</t>
  </si>
  <si>
    <t>a0pVT00000Cq08IYAR</t>
  </si>
  <si>
    <t>0018000001WMGp8AAH</t>
  </si>
  <si>
    <t>HIRED SCORE Deployment: TBD MTP</t>
  </si>
  <si>
    <t>{Name=Pro Em Party and Event Rentals, LLC, Industry=Business Services, PS_Region_New__c=US Medium Enterprise DI, attributes={url=/services/data/v62.0/sobjects/Account/0018000001WMGp8AAH, type=Account}}</t>
  </si>
  <si>
    <t>Englert Inc. (Inactive Account)</t>
  </si>
  <si>
    <t>2026-07-31T14:23:52.000+0000</t>
  </si>
  <si>
    <t>a3AVT000000k6Dh2AI</t>
  </si>
  <si>
    <t>{attributes={type=Account, url=/services/data/v62.0/sobjects/Account/0013000000IniApAAJ}, Industry=Consumer Goods, PS_Sub_Region__c=Diversified Industries LE CB MFG, SubRegion__c=US DI LE CB MFG Northeast, PS_Region_New__c=US Large Enterprise DI &amp; Mexico, Name=The Campbell's Company}</t>
  </si>
  <si>
    <t>0018000000gfKWtAAM</t>
  </si>
  <si>
    <t>017VT0000GcCd7YYQS</t>
  </si>
  <si>
    <t>a0rVT00001DXA73YAH</t>
  </si>
  <si>
    <t>Executive Readout Outcome: Completed with the CIO, CPO, and CAO. Sentiment is positive, and executive confidence in the Strada PMO has been restored.
Workday Final Assessment: Delivered alongside key recommendations.
Investments Delivered:
Training Credits: 19 credits delivered covering 4 courses.
Workday Rising: 4 complimentary passes provided.
Current Status: Wellness plan remains open. While overall account health has stabilized, change management workstream concerns persist. Workday provided recommendations for additional resources to support this workstream; the Investment Executive Manager (EM) is rolling off for now.</t>
  </si>
  <si>
    <t>0013000000KdG7gAAF</t>
  </si>
  <si>
    <t>1. Sentiment &amp; Delivery Health
Previous Assessment (8/5/2026): Telecare leadership (Samantha, Emily) expressed extreme frustration with delivery quality, governance gaps, and unaligned reporting formats, raising concerns over micromanagement and potential descoping.
Current Assessment (9/8/2026): Executive readout with the CIO, CPO, and CAO yielded positive sentiment. Confidence in the Strada PMO is restored following direct intervention and deliverable overhauls by Andrew and Kyler.
2. Strada &amp; Vendor Governance
Performance &amp; Remediation: Formatting, report alignment, and status reporting standards were remediated via direct leadership involvement (Andrew and Kyler) and aligned with client expectations prior to executive readouts.
Resource Adjustments: Investment EM is rolling off at this time. Baseline governance structure remains active to prevent regression in delivery standards.
3. Investment &amp; Commercial Commitments
Training Credits: 19 training credits fulfilled across 4 specified courses.
Event Access: 4 complimentary passes for Workday Rising delivered to Telecare leadership.
4. Ongoing Risk &amp; Focus Areas
Change Management Workstream: Workstream remains a primary area of concern. Workday has delivered resource recommendations to assist with change management execution.
Next Steps: Evaluate resource recommendations for the change management workstream while keeping the Wellness Plan active until this workstream stabilizes.</t>
  </si>
  <si>
    <t>{Name=McDonald's Restaurants of Canada, Ltd., PS_Region_New__c=US Large Enterprise DI &amp; Mexico, Industry=Restaurant &amp; Food Service, attributes={url=/services/data/v62.0/sobjects/Account/0013000000KdG7gAAF, type=Account}}</t>
  </si>
  <si>
    <t>2026-09-08T22:11:35.000+0000</t>
  </si>
  <si>
    <t>a3AVT000000k6on2AA</t>
  </si>
  <si>
    <t>0018000001FAswSAAT</t>
  </si>
  <si>
    <t>017VT0000GcCdCFYQ0</t>
  </si>
  <si>
    <t>On 9/16, customer requested approval from board to move from Workday Scheduling to QGenda due to product feature gaps.  Board approved although we were told there still a very small change it will not happen.  As of Friday, 9/18, we were still awaiting signature on FIC SOW.  They are now eager to begin using the hours.  Once "final final" approval has been given for move to QGenda, customer will sign and schedule implementation with TopBloc and QGenda. They are still targeting a go-live date of 1/1/2027.</t>
  </si>
  <si>
    <t>DJ Jackson</t>
  </si>
  <si>
    <t>a0rVT00001DjGv4YAF</t>
  </si>
  <si>
    <t>2026-09-21T20:58:27.000+0000</t>
  </si>
  <si>
    <t>a0pVT00000CpsykYAB</t>
  </si>
  <si>
    <t>a3AVT000000kBi12AE</t>
  </si>
  <si>
    <t>English Schools Foundation</t>
  </si>
  <si>
    <t>{Name=Deloitte Services LP, PS_Region_New__c=US Large Enterprise DI &amp; Mexico, attributes={type=Account, url=/services/data/v62.0/sobjects/Account/0013000000KdYPeAAN}, Industry=Professional Services}</t>
  </si>
  <si>
    <t>0018000000Ln9pFAAR</t>
  </si>
  <si>
    <t>Team executing against new timeline for an April 2027 go live. Change Order for go live extension has been signed/executed, but deployment remains red. Red Coats (RC) continues to be behind schedule with E2E testing and file delivery for the Parallel build. RC requested 3 more weeks to complete E2E testing and files for the Parallel build.</t>
  </si>
  <si>
    <t>Trend: Red
Update: Red Coats (RC) continues to be delayed in testing and DC file delivery execution for Parallel build. 
Risk: Customer behavior doesn’t change and they continue to be behind in testing and DC file creation. RC is also acquiring another company that may impact project. Customer PM resigned (last day is Oct-02); customer plan is to backfill with existing RC resource(s) that are already overcommitted and underdelivering in other areas.
Next Steps: Incorporate new PMO backfill resource(s) into PMO calls. Continue to monitor progress of E2E Test execution and DC file delivery.</t>
  </si>
  <si>
    <t>017VT0000GuR5mfYQC</t>
  </si>
  <si>
    <t>2026-09-30T22:32:44.000+0000</t>
  </si>
  <si>
    <t>a0rVT00001DXAAHYA5</t>
  </si>
  <si>
    <t>a3AVT000000kEMX2A2</t>
  </si>
  <si>
    <t>0013000000Kdw58AAB</t>
  </si>
  <si>
    <t>0014X00002K6TwsQAF</t>
  </si>
  <si>
    <t>{Industry=Business Services, Name=Fairfield Residential Company LLC, attributes={url=/services/data/v62.0/sobjects/Account/0013000000Kdw58AAB, type=Account}, PS_Region_New__c=US Medium Enterprise DI}</t>
  </si>
  <si>
    <t>Bobo Ching</t>
  </si>
  <si>
    <t>Risk Summary: Merger/turnover/poor adoption, SKU(s): SNI US/Canada Payroll, SNI Journeys, LRN poor adoption, ACV: $1.6M, Renewal: 9/2026, Trend: Negative, Updates: SNI US/Canada Payroll confirmed non-renewal ($65k), SNI Journeys ($82k) and LRN ($155k) at risk due to poor adoption, merger to AzkoNobel approved for late 2026/early 2027, Next Steps: AE providing 1 yr flat renewal with uptick, WoW Journeys and Help adoption call scheduled July 8th, JL provided LRN usage to understand dependancy, AzkoNoble AE presented RFP 6/15 w/Gerritt K onsite. RTR Flag: Total ACV eventually at Risk should they offload to SAP.</t>
  </si>
  <si>
    <t>Merger w Akzo Nobel, SAP shop. Renewal is in Sept, potential for a 2 year renewal with partial churn on their SNI. AE is providing flat 1 yr renewal w some upside w WoW, Journeys, Help. 
Full logo churn once they migrate onto the Akzo Nobel SAP instance.</t>
  </si>
  <si>
    <t>Scorecard request: 3433978</t>
  </si>
  <si>
    <t>2026-07-22T16:29:15.000+0000</t>
  </si>
  <si>
    <t>017VT0000GcCcIWYQ0</t>
  </si>
  <si>
    <t>a3AVT000000kHFZ2A2</t>
  </si>
  <si>
    <t>a0rVT00001DXAAIYA5</t>
  </si>
  <si>
    <t>001VT00000b2O91YAE</t>
  </si>
  <si>
    <t>Loblaws is pursuing a Q4FY27 expansion with 6 SKUs. While offering this expansion to us, they are leveraging our attention to voice concern over our "operating model" for Paradox. They feel the are moving faster than we are due to resource constraints (or an ability to self-configure).</t>
  </si>
  <si>
    <t>{Industry=Post Acute, attributes={url=/services/data/v62.0/sobjects/Account/001VT00000b2O91YAE, type=Account}, PS_Region_New__c=UKI, Name=The Good Care Group}</t>
  </si>
  <si>
    <t>{Name=Boynton Canyon Management Company, Industry=Lodging &amp; Resorts, SubRegion__c=US DI Commercial NN TOLA, PS_Region_New__c=US Medium Enterprise DI, PS_Sub_Region__c=ME Commercial West, attributes={type=Account, url=/services/data/v62.0/sobjects/Account/0018000001WMGtjAAH}}</t>
  </si>
  <si>
    <t>Paradox Resourcing Issue
Because Paradox cannot be customer configured, Loblaws is dependent on our ability to staff resources to make changes that reflect upstream Recruiting changes. With our resources being over-subscribed, Loblaws has voiced concern that we can't set expectations 2 weeks after the initial request (as of 7/23).</t>
  </si>
  <si>
    <t>2026-07-23T18:51:43.000+0000</t>
  </si>
  <si>
    <t>a3AVT000000kJFl2AM</t>
  </si>
  <si>
    <t>017VT0000GuP8xQYQS</t>
  </si>
  <si>
    <t>a0rVT00001DXABtYAP</t>
  </si>
  <si>
    <t>0018000000Wsp8RAAR</t>
  </si>
  <si>
    <t>0013000000Ke3UFAAZ</t>
  </si>
  <si>
    <t>{Name=Zillow, Inc., attributes={url=/services/data/v62.0/sobjects/Account/0013000000Ke3UFAAZ, type=Account}, Industry=Business Services, PS_Region_New__c=US Large Enterprise DI &amp; Mexico}</t>
  </si>
  <si>
    <t>*** Trend: Elevated with active recovery plan underway. UNF CLM/WSS remains an executive-managed watch item, but Workday has moved from issue identification to structured recovery, with onsite customer feedback captured, concerns categorized, and additional CLM, Procurement, and Customer Success resources being mobilized.
*** Update: James, Byron Menchion, and Susan Juers met onsite with UNF on Sept. 11 to hear Procurement and IT concerns and develop a recovery plan across CLM/Evisort, WSS supplier maintenance, onboarding/forms, integrations, punchouts/catalogs, and product feedback. James sent a recovery plan to UNF leadership the following week; Byron and James also held follow-up meetings with UNF and Scott Mars, who listened to concerns and offered options, while James briefed Drea Caldwell, the CLM-specific CSM, and worked with Charlee Dimos to organize a prep meeting with Ross Sobel, Principal Solution Advisor for Procurement.
*** Risk: Trust and change-management risk remain elevated. UNF Procurement is concerned about gaps between expected and actual CLM/WSS functionality, supplier onboarding friction, integration handoffs, manual work, and unclear operating models; if unresolved, these issues could negatively influence broader Workday confidence, including future Student engagement.
*** Next Steps: Schedule and conduct a working session this week with Ross Sobel and the UNF Procurement team to review WSS supplier maintenance, CLM/WSS/Financials integration options, supplier onboarding friction, punchout/catalog concerns, and product-feedback pathways. Continue executive oversight with Byron, Scott Blackburn, Susan Juers, Charlee Dimos, Drea Caldwell, Craig Decker, Shevonne Linton, Scott Mars, and Drew Weaver to maintain clear ownership, communication cadence, and follow-through against the recovery plan.</t>
  </si>
  <si>
    <t>UNF CLM/WSS remains a sensitive deployment and trust-management issue, but Workday has established a more structured recovery path following the Sept. 11 onsite. The immediate priority is to bring Ross Sobel and the right Procurement/CLM expertise into targeted working sessions, demonstrate visible ownership of UNF’s concerns, and convert the recovery plan into practical actions that rebuild Procurement confidence and protect future Workday Student engagement.</t>
  </si>
  <si>
    <t>2026-09-22T18:47:43.000+0000</t>
  </si>
  <si>
    <t>a3AVT000000kMNJ2A2</t>
  </si>
  <si>
    <t>0018000000sfcc0AAA</t>
  </si>
  <si>
    <t>017VT0000GuRRB4YQO</t>
  </si>
  <si>
    <t>&lt; July 27th &gt;
For (1), we have been able secure local resources with cooperation from the WSP team and CSM team to complete the expected tasks by the expected timeline.
For (2) and (3), we are escalating to Chris Monnens for direction and support.</t>
  </si>
  <si>
    <t>a0rVT00001DXADVYA5</t>
  </si>
  <si>
    <t>Hisashi Sube</t>
  </si>
  <si>
    <t>a0pVT00000Cq3CdYAJ</t>
  </si>
  <si>
    <t>0013000000KyjfoAAB</t>
  </si>
  <si>
    <t>Topcon has two Workday contracts. Topcon is consolidating U.S. employee data and business-process configurations into its Japan environment as part of a business separation.
To meet the customer’s accelerated timeline and requested approach, we adopted a copy-based approach. However, technical issues identified during work with the U.S. tenant required us to replan in December 2025. Following the schedule change, Workday Japan moved to a GSS/offshore delivery model. GSS has now advised that it cannot continue under the current timeline and delivery methodology.
There has been a customer escalation demanding the following things :
(1) Complete Organization and Worker Data Loads by end of September 2026.
(2) Complete all modules including US Payroll by the end of December 2026.
(3) Involvement of Delivery Head to insure execution on the above two.</t>
  </si>
  <si>
    <t>{Name=Hot Topic, Inc., attributes={url=/services/data/v62.0/sobjects/Account/0013000000KyjfoAAB, type=Account}, PS_Region_New__c=US Large Enterprise DI &amp; Mexico, Industry=Softlines}</t>
  </si>
  <si>
    <t>2026-07-27T09:45:58.000+0000</t>
  </si>
  <si>
    <t>a3AVT000000kMOv2AM</t>
  </si>
  <si>
    <t>0014X00002U2AfeQAF</t>
  </si>
  <si>
    <t>{PS_Region_New__c=US SLED, attributes={url=/services/data/v62.0/sobjects/Account/0018000000Wsn8XAAR, type=Account}, Industry=State &amp; Local Government, SubRegion__c=US Local Gov LE CB, PS_Sub_Region__c=Local Government LE, Name=Baltimore County, Maryland}</t>
  </si>
  <si>
    <t>017VT0000GuRRAyYQO</t>
  </si>
  <si>
    <t>&lt; July 27th &gt;
The customer’s final decision regarding their future architecture will be made by the end of August, meaning the opportunity to retain Workday remains open.
Our immediate recovery actions are as follows:
1.	Executive Alignment &amp; Joint Approach: Partnering closely with the RSD and AE to establish direct engagement with key executive decision-makers, specifically targeting the EVP.
2.	Quantifiable ROI &amp; Business Value Proposition: Shift the conversation from UI/UX customization to business outcomes. We will present a compelling ROI model demonstrating the long-term value of adopting Workday’s "Fit to Standard" model—proving that the strategic and operational benefits of Workday far outweigh any short-term sacrifices in UI flexibility.
3.	Data-Driven Executive Engagement: Recognizing that the EVP will decide based on metrics rather than emotion or sunk costs, we will leverage financial value modeling and executive-level influence to position Workday as the premier strategic choice.</t>
  </si>
  <si>
    <t>0013000000KzIsTAAV</t>
  </si>
  <si>
    <t>Following the project kickoff, a significant gap emerged within the customer's organization between their desired talent management requirements—specifically, highly flexible UI/UX customizations such as freely adding/removing fields or changing field names on every screen—and Workday’s standardized Multi-Tenant SaaS design (Fit to Standard).
Upon realizing that Workday might not be utilized for their talent management scope, the customer determined that utilizing Workday solely for Core HCM did not offer a sufficient return on investment. During the week of July 20th, the customer’s Executive Vice President (EVP) issued a directive to freeze the project, reset the current enterprise system architecture, and re-evaluate all potential solutions, including Workday as well as simultaneous implementation projects (PathosLogos, TalentPalette).</t>
  </si>
  <si>
    <t>{Name=eBay Inc., Industry=Software &amp; Platforms, attributes={type=Account, url=/services/data/v62.0/sobjects/Account/0013000000KzIsTAAV}, PS_Region_New__c=US Large Enterprise DI &amp; Mexico}</t>
  </si>
  <si>
    <t>2026-07-27T09:49:21.000+0000</t>
  </si>
  <si>
    <t>a3AVT000000kNuT2AU</t>
  </si>
  <si>
    <t>0013000000IH0wcAAD</t>
  </si>
  <si>
    <t>Evisort Deployment</t>
  </si>
  <si>
    <t>017VT0000GuPpCGYQ0</t>
  </si>
  <si>
    <t>a0rVT00001DXAF8YAP</t>
  </si>
  <si>
    <t>2026-07-27T17:53:02.000+0000</t>
  </si>
  <si>
    <t>a3AVT000000kSxN2AU</t>
  </si>
  <si>
    <t>a0pVT00000Cq9BZYAZ</t>
  </si>
  <si>
    <t>a0rVT00001DXDzNYAX</t>
  </si>
  <si>
    <t>0018000000LVJFqAAP</t>
  </si>
  <si>
    <t>0018000001ByQ7cAAF</t>
  </si>
  <si>
    <t>{attributes={type=Account, url=/services/data/v62.0/sobjects/Account/0018000000LVJFqAAP}, Name=Portillo's Hot Dogs, LLC, Industry=Restaurant &amp; Food Service, PS_Region_New__c=US Large Enterprise DI &amp; Mexico}</t>
  </si>
  <si>
    <t>Trend:
Project remains yellow, with a renewed project escalation on the payroll timeline offsetting the earlier gains from the updated project plan and resource optimization.
Update:
Michels started end to end testing on 9/21 for all workstreams outside CAN payroll, which is targeting configuration completion by 9/24, while US payroll unit testing continues in the Michels1 tenant ahead of migration to the end to end tenant, and the team is now resolving tenant copy data and configuration discrepancies the customer flagged during E2E prep.
Risks:
Michels project leadership is concerned about the current go live date given payroll and labor costing complexity, contingency planning will need to take place in Test stage should the risk persist, 5 HCM integrations remain at risk pending vendor dependencies, and missed Michels deliverables continue to delay downstream configuration decisions.
Next Steps:
- Complete CAN payroll configuration by 9/24 and continue US payroll unit testing in Michels1 toward end to end migration.
- Publish the weekly Excel status report Julie requested, covering past due items, cause, revised date, impact, and owner, to rebuild confidence in the plan.
- Resolve the tenant copy do not use and configuration carryover issues through a tenant compare and document root cause ahead of Gold Build.
- Confirm onsite support staffing for the weeks of October 5 and October 12, plus the recurring bi monthly payroll onsite visits through year end.</t>
  </si>
  <si>
    <t>{PS_Region_New__c=US Large Enterprise DI &amp; Mexico, attributes={url=/services/data/v62.0/sobjects/Account/0018000000vRpqvAAC, type=Account}, SubRegion__c=US DI LE CB MFG South, Name=C.H. Guenther &amp; Son LLC, PS_Sub_Region__c=Diversified Industries LE CB MFG, Industry=Consumer Goods}</t>
  </si>
  <si>
    <t>017VT0000GuQuYYYQ0</t>
  </si>
  <si>
    <t>2026-09-22T21:38:35.000+0000</t>
  </si>
  <si>
    <t>a3AVT000000kYbN2AU</t>
  </si>
  <si>
    <t>001VT00000b2niUYAQ</t>
  </si>
  <si>
    <t>{PS_Region_New__c=US Medium Enterprise DI, attributes={url=/services/data/v62.0/sobjects/Account/001VT00000b2niUYAQ, type=Account}, Name=CareAparent, Industry=Ambulatory}</t>
  </si>
  <si>
    <t>0018000000ukWUvAAM</t>
  </si>
  <si>
    <t>Customer remains dark after pricing shared. Canceled follow up call to review pricing and agent demos.</t>
  </si>
  <si>
    <t>2026-09-29T16:17:26.000+0000</t>
  </si>
  <si>
    <t>a0pVT00000Cq1sRYAR</t>
  </si>
  <si>
    <t>a3AVT000000kgST2AY</t>
  </si>
  <si>
    <t>a0rVT00001DXBZOYA5</t>
  </si>
  <si>
    <t>017VT0000GuRS3HYQW</t>
  </si>
  <si>
    <t>0018000000WtyzSAAR</t>
  </si>
  <si>
    <t>a0rVT00001DXAGjYAP</t>
  </si>
  <si>
    <t>Essex Industries, Inc.</t>
  </si>
  <si>
    <t>0013000000L0ltlAAB</t>
  </si>
  <si>
    <t>{SubRegion__c=US DI Commercial NN Southeast, Industry=Professional Services, PS_Sub_Region__c=ME Commercial East, attributes={type=Account, url=/services/data/v62.0/sobjects/Account/001VT00000b2vcoYAA}, Name=CareerSource Okaloosa Walton, PS_Region_New__c=US Medium Enterprise DI}</t>
  </si>
  <si>
    <t>Trend: Yellow, mixed (previously Yellow, improving) — Go-to-Green execution has slipped, not customer satisfaction.
What changed:
Delivery risk escalated: DHCS is holding firm to strict phase-gating (SOW-bound) and rejecting parallel Time Tracking/Absence testing. Oct 9 milestone at risk, worsened by KPMG's Time Tracking &amp; Absence lead departure. No mitigation path committed yet — deferred to Alexis.
Two possible product gaps flagged (Serial Number validation, 607 form e-signature) — unvalidated; pending internal review before any DHCS conversation to avoid another adversarial reaction.
Partial governance win: Eric approved to join the opening portion of monthly PSC meetings (not full ESC) — a modest but useful access gain.
Unchanged/still open:
WSP kickoff and internal alignment cadence remain unscheduled/slipped (cadence now targeting Oct 6).
TAM vacancy still unfilled since Aug 10 departure.
Training-credit usage still at zero.
Stable (no new risk): Org Studio/BCP and role-clarity items remain closed and steady.</t>
  </si>
  <si>
    <t>{PS_Region_New__c=US Medium Enterprise DI, Industry=Other Transportation, Name=Lasership, Inc. dba OnTrac Final Mile, attributes={url=/services/data/v62.0/sobjects/Account/0013000000L0ltlAAB, type=Account}}</t>
  </si>
  <si>
    <t>2026-09-30T01:04:26.000+0000</t>
  </si>
  <si>
    <t>a3AVT000000kr4X2AQ</t>
  </si>
  <si>
    <t>0018000000WsiBcAAJ</t>
  </si>
  <si>
    <t>017VT0000GuRS1jYQG</t>
  </si>
  <si>
    <t>a0rVT00001DXAGkYAP</t>
  </si>
  <si>
    <t>8/6/26: Ohio State University is on track for a late October 2026 Phase 1 go-live for its Workday Strategic Sourcing (WSS) and Contract Lifecycle Management (CLM) deployment, led by the Workday Services team. This initial release focuses on RFP-to-CLM-to-Core Workday contract flows and one-time procurement agreements. Project governance is actively guiding the initiative while mapping out the FY26–FY28 roadmap, with Ellen Rostand (Managing Partner) and Shelly Abbott (CSM) aligning closely with OSU through monthly governance meetings.
As the project approaches its target deadline, three core operational risks are being managed:
Domain Alignment: Cross-domain expertise gaps spanning WSS, CLM, and Core Workday pose potential risks to process design compatibility.
Platform Accessibility: Workday's product teams are actively refactoring WSS supplier portal pages to resolve earlier accessibility concerns raised by OSU.
Testing Workarounds: To address non-production constraints where automatic emails cannot be disabled in Sandbox, OSU is relying on "dummy" internal contacts as a temporary fix while closely monitoring the testing process.</t>
  </si>
  <si>
    <t>0014X00002aRkiTQAS</t>
  </si>
  <si>
    <t>{Name=Oldcastle BuildingEnvelope, Industry=Architecture, Engineering &amp; Construction, PS_Region_New__c=US Large Enterprise DI &amp; Mexico, attributes={type=Account, url=/services/data/v62.0/sobjects/Account/0014X00002aRkiTQAS}}</t>
  </si>
  <si>
    <t>2026-09-29T16:33:34.000+0000</t>
  </si>
  <si>
    <t>a3AVT000000kr692AA</t>
  </si>
  <si>
    <t>0013000000KLeTVAA1</t>
  </si>
  <si>
    <t>T - positive
U - CI has been live since 4/1; however, there are 4 remaining issues that Matt McGee and our support and development teams have been working with Sanford on.  Rerunning the contracts seems to have solved 3 of the issues (as of 8/6 we are still waiting for confirmation from Sanford). For the remaining issue (blank end dates) we are waiting for concrete examples from Sanford.
R - issues aren't resolved and the M&amp;A team stops using the product.  This will get in the way of a larger CLM sale at Sanford. 
N - continue working with Sanford to ensure their issues are resolved.</t>
  </si>
  <si>
    <t>a0pVT00000CpvRyYAJ</t>
  </si>
  <si>
    <t>CI deployment for M&amp;A activities - go live took place 4/1/26.</t>
  </si>
  <si>
    <t>a0rVT00001DX0EAYA1</t>
  </si>
  <si>
    <t>017VT0000GcCcMjYQK</t>
  </si>
  <si>
    <t>2026-08-06T20:43:47.000+0000</t>
  </si>
  <si>
    <t>a0rVT00001DXAILYA5</t>
  </si>
  <si>
    <t>Eversource Energy Service Company</t>
  </si>
  <si>
    <t>a3AVT000000kwH72AI</t>
  </si>
  <si>
    <t>0013000000Io0x4AAB</t>
  </si>
  <si>
    <t>0013000000L1jI2AAJ</t>
  </si>
  <si>
    <t>{SubRegion__c=US DI LE NN MFG West, PS_Sub_Region__c=Diversified Industries LE NN, attributes={type=Account, url=/services/data/v62.0/sobjects/Account/0018000000NLisZAAT}, Name=Inter-Con Security Systems, Inc., Industry=Business Services, PS_Region_New__c=US Large Enterprise DI &amp; Mexico}</t>
  </si>
  <si>
    <t>{Industry=Industrial Manufacturing, PS_Region_New__c=US Large Enterprise DI &amp; Mexico, attributes={type=Account, url=/services/data/v62.0/sobjects/Account/0013000000L1jI2AAJ}, Name=Johnson Controls, Inc.}</t>
  </si>
  <si>
    <t>To resolve the pushback from Concentrix's Chief Procurement Officer regarding the exclusion of Accounting Center ($300K), Chad Specht approved a compromise counteroffer that includes the full $1.366M solution package—encompassing Evisort ($395K), Strategic Sourcing ($100K), Accounting Center, and Flex Credits for API overages ($571K)—leveraged against an early 5-year renewal. To mitigate the risk of setting a precedent for free concessions while protecting Workday’s largest Financials and HCM customer, the approval requires Concentrix to purchase WSP ($380K) and settle an outstanding $250K growth bill for Cloud Connect for Benefits overages prior to executing the SSR. Additionally, the agreement extends price holds on Extend Pro ($500K) and Adaptive ($600K) through January 2027 and establishes a formal Flex Credit rate card to anchor future baseline pricing.</t>
  </si>
  <si>
    <t>2026-08-12T22:28:41.000+0000</t>
  </si>
  <si>
    <t>a3AVT000000kyaf2AA</t>
  </si>
  <si>
    <t>017VT0000GcCcLoYQK</t>
  </si>
  <si>
    <t>NAB have moved their deployment to Red and are planning to reschedule their go live due to missed key testing deadlines for their November go live.
We are supporting through our DGS engagement where possible but the issues are mainly due to payroll issues that need resolving working with their payroll provider ADP.
We are still waiting for the new go live date to be communicated.</t>
  </si>
  <si>
    <t>a0rVT00001DXAJxYAP</t>
  </si>
  <si>
    <t>2026-09-27T23:13:14.000+0000</t>
  </si>
  <si>
    <t>0013000000LRIo3AAH</t>
  </si>
  <si>
    <t>a3AVT000000l1Ld2AI</t>
  </si>
  <si>
    <t>{PS_Region_New__c=US Large Enterprise DI &amp; Mexico, Industry=Professional Services, Name=Taylor Corporation, attributes={type=Account, url=/services/data/v62.0/sobjects/Account/0013000000LRIo3AAH}}</t>
  </si>
  <si>
    <t>a0pVT00000Cq1UAYAZ</t>
  </si>
  <si>
    <t>T= trended to amber now
U = Project on-track with risks due to resources constraints.
R = Resourcing constraints due to adhoc Q&amp;As; request for overall product demo across HS, WD, Paradox for end of Oct.; securing additional resources for expediting test scrip creation
N= Deliver resources to meet above mentioned risks.</t>
  </si>
  <si>
    <t>017VT0000GuRS1dYQG</t>
  </si>
  <si>
    <t>a0rVT00001DXALZYA5</t>
  </si>
  <si>
    <t>Exact Sciences Corporation</t>
  </si>
  <si>
    <t>{Industry=Business Services, PS_Region_New__c=US Large Enterprise DI &amp; Mexico, SubRegion__c=US DI LE NN MFG West, Name=Inter-Con Security Systems, Inc., attributes={url=/services/data/v62.0/sobjects/Account/0018000000NLisZAAT, type=Account}, PS_Sub_Region__c=Diversified Industries LE NN}</t>
  </si>
  <si>
    <t>2026-09-30T10:26:45.000+0000</t>
  </si>
  <si>
    <t>0013000000LTHTfAAP</t>
  </si>
  <si>
    <t>{Name=Rexall, Industry=Food &amp; Drug, attributes={type=Account, url=/services/data/v62.0/sobjects/Account/0013000000LTHTfAAP}, PS_Region_New__c=US Large Enterprise DI &amp; Mexico}</t>
  </si>
  <si>
    <t>a3AVT000000l1NF2AY</t>
  </si>
  <si>
    <t>T= Trended Amber
U = REC / Solution Architect, overall project EM progressing well on project. Fetch integrations is being clarified - Licensing vs SOW. Go live date may be postponed from April to tbd.
R = Need to ensure orchestration of assigned resources is at perfection since many consultants are involved for varying meetings and deliverables
N= Continue the positive momentum</t>
  </si>
  <si>
    <t>017VT0000GcCd9IYQS</t>
  </si>
  <si>
    <t>0018000000kuQhjAAE</t>
  </si>
  <si>
    <t>2026-09-30T10:29:44.000+0000</t>
  </si>
  <si>
    <t>a3AVT000000l5gz2AA</t>
  </si>
  <si>
    <t>{PS_Region_New__c=US SLED, Name=Baltimore County Public School System, Industry=Education (K-12), attributes={url=/services/data/v62.0/sobjects/Account/0018000000kuQhjAAE, type=Account}}</t>
  </si>
  <si>
    <t>a0pVT00000Cq12lYAB</t>
  </si>
  <si>
    <t>0018000000rO3YhAAK</t>
  </si>
  <si>
    <t>a0rVT00001DXAWrYAP</t>
  </si>
  <si>
    <t>{SubRegion__c=US DI LE NN MFG West, Industry=Business Services, attributes={url=/services/data/v62.0/sobjects/Account/0018000000NLisZAAT, type=Account}, PS_Sub_Region__c=Diversified Industries LE NN, Name=Inter-Con Security Systems, Inc., PS_Region_New__c=US Large Enterprise DI &amp; Mexico}</t>
  </si>
  <si>
    <t>017VT0000GuRNiFYQW</t>
  </si>
  <si>
    <t>ExactCare Pharmacy</t>
  </si>
  <si>
    <t>a0rVT00001DXANBYA5</t>
  </si>
  <si>
    <t>0014X00002FBmfdQAD</t>
  </si>
  <si>
    <t>T — Trend
The account is moving from contracting/onboarding into hands-on agent activation. Since the last update, SLUHN has stood up a recurring "Agent Scrum" cadence to work through live BP Agent questions with Workday consultants, its BPO flex-credit billing irritant has been resolved, and operational health metrics (uptime, mobile adoption) remain strong. The account stays net-favorable, though the same foundational Finance/AP stabilization watch items persist.
U — Update
Turbo Agent Activation Service: An Engagement Manager was recently assigned and introduced to the account.  SLUHN is now running weekly "Agent Scrum" meetings, pulling in Ask an Expert (Peter Dimanno)to answer BP Agent questions (e.g., how the agent calculates day-counts on Customer Invoice events).
St. Luke’s has provided feedback on BP optimize
Data Validity and Usability: Users are struggling to interpret the data, causing them to question its validity. They find the report difficult to navigate and understand, noting that as an AI agent, they expected a more intuitive experience.
Specific Reporting Concerns:
Metrics regarding "hundreds of thousands of hours" are unclear.
High cancellation rates and specific timing issues (e.g., customer invoice events with start/end times occurring simultaneously) are confusing.
One-step business processes (BPs) appear to skew data.
The report lacks visibility into statuses such as "waiting" or "paused".
Benchmarking Needs: The customer requested more transparency and granularity in benchmarking, specifically:
The total number of peers included in the cohort.
Sub-industry comparisons (e.g., acute care).
Additional enterprise size breakouts (e.g., excluding sizes &lt;1000).
Request for References: They are seeking to connect with a successful customer—potentially an EA client—to understand how to maximize the tool's value and prevent them from turning it off.
Product Manager Response (Pulkit Aggarwal)
Interpretation and Roadmap: Pulkit suggests some issues may stem from an initial learning curve, but validates the core feedback regarding navigation and the need for deeper explanations of "why" behind the data, which is already on the roadmap. He noted that the Sana integration is intended to assist with ease of use.
Benchmarking Strategy: He explained that broad benchmarking categories are intentional. Increasing granularity would result in smaller peer cohorts, which would degrade the quality and statistical value of the generated benchmarking data.
Customer Connection: He suggested Sun Life and Circle Financials as potential reference customers, noting that both have successfully leveraged BPO and completed BP optimizations, even though they operate in different industry verticals
BPO Agent flex-credit overage resolved: The 100% credit adjustment for BPO Agent's initial activation was confirmed processed as of September 2 — closing out a billing complaint flagged in the prior cycle.
Platform entitlements/PCM briefing (Aug 24): Workday clarified EIB/API metering rules and confirmed the Huron Bill-Only Supply Chain Extend app is exempt (carries the "Built on Workday" badge); also confirmed a complimentary IMPL test tenant will be available once SLUHN opens its Public Cloud Migration case.
Adoption Agent (Release Impact Analysis) findings review: Kim Burke's IT team is running twice-weekly sessions reviewing a completed 6-month historical data pull, with Workday consulting support looped in via the Ask an Expert case.
Workday Help → SSA conversion: Confirmed SLUHN has documents loaded in Workday Help; however, initial customer feedback signaled they're "not seeing a whole lot of value" in Self-Service Agent — more detail requested from the customer.
R — Risks
SSA value-perception risk: early signal that SLUHN isn't seeing strong value in Self-Service Agent could stall the Help-to-SSA conversion effort.
N — Next Steps
Keep the weekly Agent Scrum cadence going with consultant support to close out open BP Agent calculation questions.
Connect SLUHN with EA customers from BP optimize agent
Finish Turbo Agent Activation Service use-case validation and introductions with EM
Follow up with Kim/Megan on the SSA value-perception feedback to shape the Help-to-SSA conversion decision.</t>
  </si>
  <si>
    <t>{PS_Region_New__c=US Healthcare, Name=Otterbein Homes, Industry=Post Acute, attributes={type=Account, url=/services/data/v62.0/sobjects/Account/0014X00002FBmfdQAD}}</t>
  </si>
  <si>
    <t>2026-09-02T17:25:57.000+0000</t>
  </si>
  <si>
    <t>a3AVT000000lBPp2AM</t>
  </si>
  <si>
    <t>Delays in performance testing caused by data load errors.</t>
  </si>
  <si>
    <t>017VT0000GkuqWPYQY</t>
  </si>
  <si>
    <t>a0rVT00001DXAOnYAP</t>
  </si>
  <si>
    <t>KPMG recently ran into issues loading data. We advised capping EIB files at 1,000 rows, avoiding parallel execution across overlapping data, and using bulk import web services. KPMG split the files into 1,000-row batches but then ran them in parallel over the weekend, which conflicts with that guidance and part of the reason why the load has stalled.
We have a plan to load the records sequentially, and we have some schedule buffer since go-live isn't until Dec 31. We've been actively working the issue with KPMG, Partner Alliances and Support.
We're meeting with KPMG and Workday Services on 8/14/2026 to walk through the sequential load plan and discuss any other avenues to get this data in faster. Partner Alliances is now using their GPO budget to bring additional Workday Services resources on to support the loads.</t>
  </si>
  <si>
    <t>2026-08-14T17:41:13.000+0000</t>
  </si>
  <si>
    <t>a0pVT00000Cq4dLYAR</t>
  </si>
  <si>
    <t>0014X00002K4uluQAB</t>
  </si>
  <si>
    <t>a3AVT000000lKw92AE</t>
  </si>
  <si>
    <t>{Industry=Telecom, PS_Region_New__c=US Large Enterprise DI &amp; Mexico, attributes={type=Account, url=/services/data/v62.0/sobjects/Account/0014X00002K4uluQAB}, Name=Verizon Sourcing LLC}</t>
  </si>
  <si>
    <t>0018000000ULAtMAAX</t>
  </si>
  <si>
    <t>a0rVT00001DXGNlYAP</t>
  </si>
  <si>
    <t>Update 16/09/26:</t>
  </si>
  <si>
    <t>Express Care Valvoline</t>
  </si>
  <si>
    <t>{PS_Sub_Region__c=Diversified Industries LE NN, Name=Inter-Con Security Systems, Inc., Industry=Business Services, PS_Region_New__c=US Large Enterprise DI &amp; Mexico, SubRegion__c=US DI LE NN MFG West, attributes={url=/services/data/v62.0/sobjects/Account/0018000000NLisZAAT, type=Account}}</t>
  </si>
  <si>
    <t>2026-09-23T15:15:42.000+0000</t>
  </si>
  <si>
    <t>Trend: Lloyds remains committed to working collaboratively with us to share their findings.
Update:
1-Our formal response to Lloyds is currently undergoing final legal review.
2- Two meetings have been scheduled on the 17th and 18th for Lloyds to present their testing methodology and walk through their key findings.
Risk: Technical Disagreement: Lloyds Testing methodology and findings may be inaccurate, carrying the risk that we are unable to successfully persuade them of the errors in their conclusions.
Next steps:
1- Formal legal response deadline 21/09/26
2-Following meetings on the 17th &amp; 18th, establish a post-meeting action plan</t>
  </si>
  <si>
    <t>2026-09-16T11:27:07.000+0000</t>
  </si>
  <si>
    <t>017VT0000GkvKV9YQM</t>
  </si>
  <si>
    <t>a3AVT000000lRkj2AE</t>
  </si>
  <si>
    <t>0018000000ktOSZAA2</t>
  </si>
  <si>
    <t>{PS_Region_New__c=US Large Enterprise DI &amp; Mexico, Name=Verizon Sourcing LLC, Industry=Telecom, attributes={type=Account, url=/services/data/v62.0/sobjects/Account/0014X00002K4uluQAB}}</t>
  </si>
  <si>
    <t>8/20 Wake has purchased CLM and a SOW is being negotiated with Workday services for implementation. Wake has signed the uMSA but has not yet signed Flex Credits.</t>
  </si>
  <si>
    <t>8/20: Wake has purchased CLM and a SOW is being negotiated with Workday services for implementation. Wake has signed the uMSA but has not yet signed Flex Credits.</t>
  </si>
  <si>
    <t>2026-09-23T15:17:50.000+0000</t>
  </si>
  <si>
    <t>017VT0000GuQe3mYQC</t>
  </si>
  <si>
    <t>2026-09-29T16:36:56.000+0000</t>
  </si>
  <si>
    <t>a0rVT00001DXAQPYA5</t>
  </si>
  <si>
    <t>a0pVT00000Cq7wAYAR</t>
  </si>
  <si>
    <t>a3AVT000000lTRZ2A2</t>
  </si>
  <si>
    <t>0014X00002K6TaeQAF</t>
  </si>
  <si>
    <t>a0rVT00001DXDZeYAP</t>
  </si>
  <si>
    <t>{Name=FTI Consulting Inc., attributes={url=/services/data/v62.0/sobjects/Account/0014X00002K6TaeQAF, type=Account}, Industry=Professional Services, PS_Region_New__c=US Large Enterprise DI &amp; Mexico}</t>
  </si>
  <si>
    <t>0018000000UzxWmAAJ</t>
  </si>
  <si>
    <t>{Name=The Y in Central Maryland, PS_Region_New__c=US SLED, Industry=Non-Profit, PS_Sub_Region__c=Higher Education LE, attributes={type=Account, url=/services/data/v62.0/sobjects/Account/0018000001XB2MjAAL}, SubRegion__c=US NFP NN East}</t>
  </si>
  <si>
    <t>017VT0000GcCcIEYQ0</t>
  </si>
  <si>
    <t>The Workday Separation Project for Family Dollar’s divestiture into their own tenant (separating from Dollar Tree) is now in YELLOW status. As of the 9/17 Stage Gate #2 to move to Cutover, FD catchup transaction dress rehearsals are still in progress and are a significant Risk item as additional resources are being requested of Deloitte. Compass TT E2E testing remains incomplete &amp; signoff expected by 9/25.. A review of all open Risks was held with Workday and Family Dollar in 9/18 with a heavy focus on post go live readiness, and most items are still in progress.
Customer executive leadership still agrees that the target Go-Live date of October 12th remains achievable. Stage Gate #3 is scheduled for a Sept 29th pre-meet prior to an October 1 signoff to approve Move to Production activities. The Workday and Deloitte teams are meeting regularly.</t>
  </si>
  <si>
    <t>a0rVT00001DXAQQYA5</t>
  </si>
  <si>
    <t>0018000000O9F1NAAV</t>
  </si>
  <si>
    <t>{attributes={url=/services/data/v62.0/sobjects/Account/0018000000O9F1NAAV, type=Account}, Industry=High Technology, Name=Sierra Nevada Corporation, PS_Region_New__c=US Large Enterprise DI &amp; Mexico}</t>
  </si>
  <si>
    <t>2026-09-22T19:31:51.000+0000</t>
  </si>
  <si>
    <t>a3AVT000000lfpK2AQ</t>
  </si>
  <si>
    <t>0018000000Wsp82AAB</t>
  </si>
  <si>
    <t>017VT0000GuPrg1YQC</t>
  </si>
  <si>
    <t>a0rVT00001DXAQRYA5</t>
  </si>
  <si>
    <t>0018000000ju8DzAAI</t>
  </si>
  <si>
    <t>{Industry=Professional Services, PS_Region_New__c=US Large Enterprise DI &amp; Mexico, attributes={url=/services/data/v62.0/sobjects/Account/0018000000ju8DzAAI, type=Account}, Name=Proquire Plus Inc.}</t>
  </si>
  <si>
    <t>a0rVT00001DXCwrYAH</t>
  </si>
  <si>
    <t>a0pVT00000CqBLRYA3</t>
  </si>
  <si>
    <t>Extra Space Management, Inc.</t>
  </si>
  <si>
    <t>*** Trend: Early deployment mobilization; stable but capacity-sensitive. CLM remains in pre-implementation readiness and governance-building, not yet active Configure &amp; Prototype. The account remains Healthy, but CLM is moving forward alongside heavier Financials execution and Learning go-live preparation, creating a need to sequence governance, stakeholder alignment, and migration planning carefully. No material change to CLM's own readiness state since the last update. This refresh is being issued mainly to reset the two-week cadence and to note movement on an adjacent governance track that CLM activation depends on.
*** Update: CLM continues to be treated as a formal Wellness Plan workstream. Current scope assumptions remain approximately 1,500–1,600 contracts per year and approximately 4,000 existing documents to migrate. The prior TAM gap remains closed: Jorge Gonzalez is assigned and was introduced during the August 25 monthly check-in. Al Ling has asked to schedule a deeper Flex Credit consumption/ forecasting session with Workday's value team so an accurate credit forecast can be presented when the uMSA is brought forward for execution.
*** Risk: The primary risk remains cross-functional readiness and sequencing, not account health. Stakeholder capacity remains constrained because the same customer leaders are supporting Financials testing, Learning go-live preparation, uMSA/Flex Credit discussions, and broader transformation activity.
*** Next Steps: Convene a focused CLM readiness session, with Huron included as appropriate, given CLM's connection to Finance (still not scheduled). Separately, document the migration approach, including data quality, prioritization, ownership, validation, retention/access considerations, and cutover. Continue to sequence CLM governance work around Financials and Learning demands. On the uMSA/Flex Credit track specifically: a Flex Credit forecasting session between Al Ling and Workday's value team is being scheduled. Once that concludes, revisit any uMSA/Flex Credit implications for CLM-adjacent or AI-enabled capabilities as originally planned.</t>
  </si>
  <si>
    <t>017VT0000GuQcBRYQ0</t>
  </si>
  <si>
    <t>CLM is a net-new Ole Miss deployment requiring continued Wellness Plan management. The account remains Healthy, and the TAM gap has been closed with Jorge Gonzalez now assigned and introduced, but the workstream is still in early mobilization with no change to its readiness posture this period. Key risks remain a dedicated governance forum and customer bandwidth alongside Financials and Learning. The next priority is unchanged: convene the CLM readiness forum, confirm ownership and partner alignment, and document the migration strategy before CLM moves deeper into implementation activity.</t>
  </si>
  <si>
    <t>a0rVT00001DXAQSYA5</t>
  </si>
  <si>
    <t>0018000000pPDjYAAW</t>
  </si>
  <si>
    <t>2026-09-23T16:34:28.000+0000</t>
  </si>
  <si>
    <t>{attributes={type=Account, url=/services/data/v62.0/sobjects/Account/001VT00000b2lDgYAI}, SubRegion__c=US Local Gov ME NN West, Name=Chandler Police Department, PS_Sub_Region__c=Local Government ME, PS_Region_New__c=US SLED, Industry=State &amp; Local Government}</t>
  </si>
  <si>
    <t>{Industry=Business Services, Name=McDonald's Australia Holdings Limited, attributes={type=Account, url=/services/data/v62.0/sobjects/Account/0018000000pPDjYAAW}, PS_Region_New__c=ANZ}</t>
  </si>
  <si>
    <t>a3AVT000000lijx2AA</t>
  </si>
  <si>
    <t>0018000000wDXy6AAG</t>
  </si>
  <si>
    <t>017VT0000GuQe3vYQC</t>
  </si>
  <si>
    <t>a0rVT00001DXAS1YAP</t>
  </si>
  <si>
    <t>T: Amber
U: Re-engaged key stakeholders with CBAE  progress Peakon and initiatives while structuring a one-year, up-front renewal proposal for Help.
 R: Misalignment between internal budget parameters and tenant renewal structures for Help, or disconnect with operational Peakon requirements.   
N: Finalize upfront Help renewal pricing with Nick and hold a joint follow-up with Sally, Vusa, and Customer Success to define operational support.</t>
  </si>
  <si>
    <t>0014X00002K7vHqQAJ</t>
  </si>
  <si>
    <t>{PS_Region_New__c=US Medium Enterprise DI, Name=Nouria Energy Corporation, attributes={url=/services/data/v62.0/sobjects/Account/0014X00002K7vHqQAJ, type=Account}, Industry=Food &amp; Drug}</t>
  </si>
  <si>
    <t>2026-09-25T11:45:02.000+0000</t>
  </si>
  <si>
    <t>a3AVT000000loKj2AI</t>
  </si>
  <si>
    <t>017VT0000GcCcIcYQK</t>
  </si>
  <si>
    <t>a0rVT00001DXAgZYAX</t>
  </si>
  <si>
    <t>a0rVT00001DXAS2YAP</t>
  </si>
  <si>
    <t>0018000000pPEBvAAO</t>
  </si>
  <si>
    <t>Factory Motor Parts</t>
  </si>
  <si>
    <t>00180000014XxFXAA0</t>
  </si>
  <si>
    <t>{Name=Phillips 66, PS_Region_New__c=US Large Enterprise DI &amp; Mexico, attributes={url=/services/data/v62.0/sobjects/Account/00180000014XxFXAA0, type=Account}, Industry=Oil &amp; Gas}</t>
  </si>
  <si>
    <t>a0pVT00000Cq1NhYAJ</t>
  </si>
  <si>
    <t>017VT0000GcCcIfYQK</t>
  </si>
  <si>
    <t>{PS_Sub_Region__c=FSI LE, Industry=Insurance, SubRegion__c=US FSI Majors, PS_Region_New__c=US FSI, attributes={type=Account, url=/services/data/v62.0/sobjects/Account/0013000000HoNZWAA3}, Name=Asurion, LLC}</t>
  </si>
  <si>
    <t>Summary DBS’s October 23 Go-Live remains under close monitoring due to compressed performance testing timelines. The Accounting Center execution defect appears resolved following a successful rollback test, with additional validation cycles pending before final closure ahead of DBS's October 1st Go/No-Go decision point. 
Issue 1 - Accounting Center Batch Execution Defect: During testing, Accounting Center parent jobs completed before child sub-jobs finished, leaving stages stuck and posting duplicate journals upon manual retries. Because this corrupts balance unpredictably, it cannot be mitigated operationally and remains a hard Go-Live blocker. 
Actions Taken:
- Root Cause Identified: A platform Job Framework change triggered a sub-job race condition, causing parent jobs to complete before child sub-jobs finished and breaking safe rollback logic.
- Scope &amp; Production Isolation: This Job Framework change was deployed exclusively to implementation tenants and was never present in Production; therefore, no Production risk exists and no go-live remediation action is required. 
- Tenant Rollback &amp; Permanent Fix: Product reverted the Job Framework change in dbs14, dbs5, dbs6, dbs13, and Sandbox. 
- Tenant Rollback Validation: The Job Framework rollback test passed in dbs14 with no recurrence of the issue during the latest cycle. WD services will monitor across three additional cycles before formal closure.  
Next Steps:
- Product team to deliver an expedited preliminary RCA, ahead of the full formal RCA due September 30. 
Issue 2 - Performance Testing Constraints Performance testing is operating under compressed timelines and non-standard parameters. DBS supplied only 5 days of historical production data (~6–7M records/day) instead of the recommended 1 month, accepting the associated scaling risks. Configuration and report validation remain largely on track outside of Issue 1.
Actions Taken:
- Adjusted performance scope to a "5+1" Day Testing Model (5 days pre-loaded historical data, 1 peak transactional day).
- Reconfirmed that Issue 1 does not block ongoing performance test execution.
Next Steps:
- Execute primary performance testing run, now rescheduled for September 27</t>
  </si>
  <si>
    <t>a0rVT00001DXAS3YAP</t>
  </si>
  <si>
    <t>0018000001IDx9mAAD</t>
  </si>
  <si>
    <t>2026-09-25T09:39:23.000+0000</t>
  </si>
  <si>
    <t>{Name=YMCA of Greater Pittsburgh, Industry=Non-Profit, PS_Region_New__c=US SLED, attributes={type=Account, url=/services/data/v62.0/sobjects/Account/0018000001IDx9mAAD}}</t>
  </si>
  <si>
    <t>a3AVT000000loML2AY</t>
  </si>
  <si>
    <t>0018000000LnD9sAAF</t>
  </si>
  <si>
    <t>017VT0000GuQtmcYQC</t>
  </si>
  <si>
    <t>Paradox Renewal Risk
• January renewal was not on our radar — the contract was originally signed on Paradox paper, so it never flowed into standard Workday renewal tracking. The team only caught this in the 8/26 internal sync.
• PANW isn't seeing the value. Recurring Paradox issues (an interview-round data bug, and an unresolved Google Calendar interview-invite issue) have eroded trust — PANW's Daniel Stevens explicitly warned on 8/27 that they'll "remove Paradox from our tech stack" if the calendar issue isn't resolved.
• ARR of 81K – knowing that our renewal cost will be significantly higher.
Next Steps:
Optimization Package — top priority. Push the Paradox Optimization engagement through Workday Success Plans as a concession exception. We've just kicked off the Paradox OP.
Get the January renewal onto formal tracking working with RSD/temporary AE.</t>
  </si>
  <si>
    <t>0014X00002LAA9CQAX</t>
  </si>
  <si>
    <t>{attributes={url=/services/data/v62.0/sobjects/Account/0014X00002LAA9CQAX, type=Account}, Industry=Software &amp; Platforms, PS_Region_New__c=US Medium Enterprise DI, Name=Discord Inc.}</t>
  </si>
  <si>
    <t>Fairfield Residential Company LLC</t>
  </si>
  <si>
    <t>Paradox renewal in January: it was missed by standard renewal tracking because it sits on Paradox paper, and it's coming due against a backdrop of real customer dissatisfaction with Paradox — including a direct threat to drop Paradox from PANW's tech stack. We had PANW at a CXC in July which they shared concerns they had and were promised an optimization package from James Flowers (Paradox). ~$81k ACV knowing that our renewal will likely come in higher, this needs immediate attention. The plan is to lead with the Paradox Optimization Package — fast-tracked through Workday Success Plans and a scoped pilot with PANW — to rebuild trust and demonstrate value before the renewal conversation.
Kicking off Paradox Optimization Package</t>
  </si>
  <si>
    <t>a0pVT00000CpyrIYAR</t>
  </si>
  <si>
    <t>2026-09-29T21:23:06.000+0000</t>
  </si>
  <si>
    <t>017VT0000GuQqcUYQS</t>
  </si>
  <si>
    <t>a3AVT000000m4m52AA</t>
  </si>
  <si>
    <t>0014X00002MBDyFQAX</t>
  </si>
  <si>
    <t>{attributes={url=/services/data/v62.0/sobjects/Account/0014X00002MBDyFQAX, type=Account}, Name=Day 1 Academies, Industry=Education (K-12), PS_Region_New__c=US SLED}</t>
  </si>
  <si>
    <t>{Industry=Consumer Goods, PS_Sub_Region__c=ME NN MFG, SubRegion__c=US DI ME NN MFG Midwest, Name=Miniat Holdings LLC, PS_Region_New__c=US Medium Enterprise DI, attributes={type=Account, url=/services/data/v62.0/sobjects/Account/0014X00002K7vIoQAJ}}</t>
  </si>
  <si>
    <t>2026-09-30T13:24:46.000+0000</t>
  </si>
  <si>
    <t>02/09: Stagecoach have escalated issues relating to their deployment of Paradox.
1- The issue stems from technical requirements that were not fully communicated at the outset and have only come to light at this late stage (01/09). Stagecoach feel this is likely to push their go live date by up to 6 weeks. They purchased Paradox on a 12 month pilot basis and their pilot window has already been shortened to 5-6 months due to delays with resource on the Workday side.
2- Another issue was raised today in relation to a tenant needed for testing. The Workday deployment team have requested that Stagecoach raises a ticket to transfer their WSP imp tenant over to a dev tenant to allow for testing. This is not an option.
Next steps:
1- set up slack channel with EM, Tim LeMaire &amp; Aaron Barnes to discuss plan and next steps</t>
  </si>
  <si>
    <t>017VT0000GuQqcXYQS</t>
  </si>
  <si>
    <t>0014X00002MBxmoQAD</t>
  </si>
  <si>
    <t>2026-09-02T14:54:49.000+0000</t>
  </si>
  <si>
    <t>{attributes={type=Account, url=/services/data/v62.0/sobjects/Account/0014X00002MBxmoQAD}, PS_Region_New__c=US Healthcare, Industry=Other Healthcare, Name=ExactCare Pharmacy}</t>
  </si>
  <si>
    <t>a3AVT000000m7iL2AQ</t>
  </si>
  <si>
    <t>001VT00000JlksVYAR</t>
  </si>
  <si>
    <t>017VT0000GcCcMLYQ0</t>
  </si>
  <si>
    <t>Nawaz Lalani and the Moorhead CIO are meeting September 23 to walk through the Launch approach in detail and align on scope, timeline, and budget.</t>
  </si>
  <si>
    <t>0014X00002MBywtQAD</t>
  </si>
  <si>
    <t>Windsel McCray</t>
  </si>
  <si>
    <t>{PS_Region_New__c=US Medium Enterprise DI, Industry=Restaurant &amp; Food Service, attributes={url=/services/data/v62.0/sobjects/Account/0014X00002MBywtQAD, type=Account}, Name=Continental Cafe, LLC DBA Continental Services}</t>
  </si>
  <si>
    <t>City of Moorhead has sent Avaap a letter requesting termination of their implementation services contract following a troubled HCM/Pay deployment, but remains committed to Workday as their platform of choice. The customer has asked Workday Services to take over and lead the re-deployment. Nawaz (WD Services Executive) has reviewed the Launch, Launch Flex, and Launch Express approaches with the CIO and the City team, who are leaning toward the standard Launch approach but want a deeper walkthrough before committing to scope, timeline, and budget. The main watch-item is that Avaap has separately reached out to the City offering to restart the project themselves under a Launch approach, even as the termination request is pending — the CIO has not responded and plans to align internally first. A follow-up session is scheduled for September 23 to finalize the approach and move toward scoping.
Trend: Customer reaffirms commitment to their Workday subscription but remains cautious about re-launching after a difficult prior implementation with Avaap.
Risk: Avaap has emailed the customer offering to restart the project under a Launch approach, creating a risk that Avaap re-engages the City before the termination is finalized or before Workday Services can lock in scope/timeline/budget.</t>
  </si>
  <si>
    <t>017VT0000GcCcFWYQ0</t>
  </si>
  <si>
    <t>a0pVT00000Cq6aIYAR</t>
  </si>
  <si>
    <t>2026-09-03T12:06:51.000+0000</t>
  </si>
  <si>
    <t>0014X00002MCkATQA1</t>
  </si>
  <si>
    <t>a3AVT000000m8eP2AQ</t>
  </si>
  <si>
    <t>{PS_Region_New__c=US Large Enterprise DI &amp; Mexico, attributes={type=Account, url=/services/data/v62.0/sobjects/Account/0014X00002MCkATQA1}, Industry=Restaurant &amp; Food Service, Name=Diversified Restaurant Group RSC, LLC}</t>
  </si>
  <si>
    <t>0018000000NwzOxAAJ</t>
  </si>
  <si>
    <t>{SubRegion__c=US DI LE CB RHT Southeast, Name=IRB Holding Corp., attributes={type=Account, url=/services/data/v62.0/sobjects/Account/0018000000NyTbTAAV}, PS_Sub_Region__c=Diversified Industries LE CB RHT, Industry=Restaurant &amp; Food Service, PS_Region_New__c=US Large Enterprise DI &amp; Mexico}</t>
  </si>
  <si>
    <t>017VT0000GcCd8fYQC</t>
  </si>
  <si>
    <t>a0rVT00001DXAa6YAH</t>
  </si>
  <si>
    <t>001VT00000bDnvGYAS</t>
  </si>
  <si>
    <t>{Name=KBP Drive In, LLC (Sonic Drive-In), attributes={url=/services/data/v62.0/sobjects/Account/001VT00000bDnvGYAS, type=Account}, PS_Region_New__c=US Large Enterprise DI &amp; Mexico, Industry=Restaurant &amp; Food Service}</t>
  </si>
  <si>
    <t>Federal Express Corporation</t>
  </si>
  <si>
    <t>Couriers &amp; Express Delivery Services</t>
  </si>
  <si>
    <t>017VT0000GcCdAMYQ0</t>
  </si>
  <si>
    <t>a0rVT00001DXAbhYAH</t>
  </si>
  <si>
    <t>SSM Health — Customer Wellness Plan Update
Reporting window: Last 2 weeks (8/20/2026 – 9/3/2026)
TREND
SSM Health is deepening as a strategic, high-visibility account — but the just-completed Public Cloud migration generating a few  operational issues that are being solutioned.
Relationship expanding upward and outward: New Executive Sponsor Max Wessel held his first direct connection with SVP Krista Barth, moving the conversation beyond HR/Payroll into Finance/Supply Chain and Project Lighthouse AI governance.
Project Lighthouse (Sana Enterprise) is formalizing: a workspace kickoff, first All-Team Meeting, and weekly PM sync have all stood up in the last two weeks — real governance cadence is now in place.
Post-migration turbulence: SSM completed its move to Public Cloud the weekend of Aug 29–30, and in the days since, three separate operational threads have surfaced (report performance, Flex Credit billing dispute, Training Center/WD5 linkage) 
UPDATE
Executive relationship building Max Wessel and Krista Barth held their first executive connection call on August 28. The meeting focused on SSM's expansion from HR/Payroll into Finance and Supply Chain alongside Project Lighthouse, with Krista advocating a platform-first approach to generative AI starting with the Employee Self-Service agent, and flagging significant operational challenges with QGenda scheduling and "broken window" HCM issues (duplicate job titles for FLSA/hourly-vs-salary roles, and managing experience dates). Action items: Account team will arrange Rising deep-dive sessions on scheduling/integration and a workforce strategy session, and an in-person meeting with SSM executives; Krista will submit a detailed "broken window" improvement list.
Sana Enterprise / Project Lighthouse governance stood up The Sana Enterprise + SSM Health Workspace Kickoff (8/24) live-configured the SSMH3 tenant, assigned security roles (Eric Bratcher as Security Admin, Bryan Baer for ASOR/PCC/Provisioning Admin), and demoed Sana orchestrating PTO/holiday-balance checks. After some back-and-forth, SSM confirmed on 9/1 they'll keep SSMH3 as-is and let Workday migrate it in the September 23 window (Option 1), preserving existing configuration and Sana setup. Project Lighthouse then held its first All-Team Meeting (8/31), establishing Smartsheets as the centralized RAID/timeline/use-case tracker, and a Weekly PM Sync the same day discussed bringing SSM's change management team into the project ahead of Open Enrollment (Oct 27–Nov 12) and the "Workday Assist" → unified "Sana" rebranding question.
Public Cloud migration completed, with follow-on effects SSM went live on production over the weekend of Aug 29–30. Since then:
Report performance: Rodney Reynolds flagged in Slack that specific reports are running long post-migration; the team is trying to get diagnostics without a full services engagement, possibly leveraging the Sana deployment as a backstop.
WAF/API timeout migration risk: Workday identified SSM as having 5 custom reports at risk of exceeding a new 1-hour external API timeout (down from 6 hours) tied to a broader Public Cloud WAF migration; WD115 non-prod migration targets Sep 11, prod Oct 23.
Flex Credit billing dispute: Krista Barth escalated on 9/3 that SSM received a "100% of Flex Credits used" notice tied to the BP Optimize Agent. Pulkit Aggarwal (BP Optimize PM) confirmed the initial 202,868-credit activation waiver applied correctly, but recurring monthly charges (~30k in August, ~30k in September) pushed SSM over entitlement. Stephanie asked whether the September charge could be waived given that the migration weekend delayed SSM's tenant access until Saturday 6pm — this was still under review as of 9/3, with SSM's upcoming FINS RFP response also expected to address flex credits.
Training Center access: Tracy League flagged on 9/2 that the Training Center still appears to route to WD5 post-migration, blocking a Tier 3 user from the Learning Center; Rodney asked her to open a formal case and add him.
Recognition and staffing SSM Health was named a 2026 Workday Healthcare Innovation Award Winner. Separately, 
RISKS
Post-migration stabilization pile-up: report performance, Flex Credit billing, and Training Center/WD5 linkage issues all surfaced within days of the Public Cloud go-live — if not resolved visibly and quickly, this could undercut confidence right as SSM evaluates its FINS/SCM RFP.
Flex Credit trust: the billing dispute is unresolved as of 9/3, with ambiguity over whether/how the migration-caused access delay will be credited — a rocky resolution here would be a poor signal heading into RFP season.
Unvalidated timeout exposure: the 5 at-risk custom reports need validation against the new 1-hour API timeout before the Sep 11 (non-prod) and Oct 23 (prod) WD115 migration windows actually enforce it.
NEXT STEPS
Close the Flex Credit dispute — confirm whether September charges can be waived given the migration-caused delay, and align with SSM on narrowing BP Optimize product-line scope to control spend ahead of the Oct 1 renewal charge.  Work with SSM to reduce the number of product lines active in BP optimization.
Drive the Training Center/WD5 case to resolution — ensure Tracy League's case is opened with Rodney added, and closed promptly.
Validate the 5 at-risk custom reports against the new 1-hour API timeout well ahead of the Sep 11 non-prod and Oct 23 prod migration windows.
Push report-performance diagnostics forward (Rodney/Mousa) for the long-running reports flagged since go-live, exploring the Sana deployment as a diagnostic backstop.
Continue Project Lighthouse cadence — finalize SSMH3's Sept 23 migration, schedule SSM's change-management team ahead of Open Enrollment (Oct 27–Nov 12), and settle the Sana branding/self-service-agent relationship.
Follow up on Max Wessel's Rising commitments — scheduling/integration deep-dive, workforce strategy session, and in-person SSM executive meeting — and collect Krista's detailed "broken window" list.</t>
  </si>
  <si>
    <t>0014X00002MDZj9QAH</t>
  </si>
  <si>
    <t>a0pVT00000Cq7RVYAZ</t>
  </si>
  <si>
    <t>{Industry=Technology Solutions, attributes={type=Account, url=/services/data/v62.0/sobjects/Account/0014X00002MDZj9QAH}, Name=Veho Tech, Inc (Inactive Account), PS_Region_New__c=US Medium Enterprise DI}</t>
  </si>
  <si>
    <t>2026-09-03T19:54:00.000+0000</t>
  </si>
  <si>
    <t>a3AVT000000mGld2AE</t>
  </si>
  <si>
    <t>0018000000ai2CGAAY</t>
  </si>
  <si>
    <t>017VT0000GuRNTcYQO</t>
  </si>
  <si>
    <t>{Industry=Restaurant &amp; Food Service, PS_Sub_Region__c=Diversified Industries LE CB RHT, Name=IRB Holding Corp., attributes={url=/services/data/v62.0/sobjects/Account/0018000000NyTbTAAV, type=Account}, PS_Region_New__c=US Large Enterprise DI &amp; Mexico, SubRegion__c=US DI LE CB RHT Southeast}</t>
  </si>
  <si>
    <t>Trend: A technical shift-assignment gap has escalated into a commercial discussion. Maersk is pushing back on using remaining Change Order hours and requesting more investment.
Update:
VNDLY can't natively push shift data to Workday T&amp;A; only manual EIB works, delaying clock access/payroll up to 3 days per worker. Maersk is the first customer on this integration, so there's no precedent.
No bidirectional VNDLY↔Workday integration exists; it's not on VNDLY's 2026 roadmap.
Confusion between Workday Scheduling SKU and HCM Core Work Schedules slowed diagnosis; an HCM Functional Consultant had to be brought in.
Maersk has no overall architect, causing siloed design; NAM is the main rollout blocker (teams prefer SimpleVMS).
Carlos Vasquez proposed 3 options (VNDLY-only, Workday-only [his pick], bidirectional [unsupported]) plus a ~60-hour Orchestrate build.
Sept 24: Maersk submitted formal requirements (4 items) expecting feasibility + timeline within a week.
Root cause isolated to VNDLY/HCM Core shift schedules (not Time Tracking/Scheduling/Absence): changing a work schedule in HCM Core can't yet trigger the needed VNDLY job change. Gap remains on bulk schedule updates for CW/FTE.
Risk:
Likely contractual challenge; more NAM/India services hours needed.
~$500K ACV payroll opportunity at risk (-$500K downside if scope shrinks).
~475 remaining Change Order hours expire Dec 31, 2026, non-extendable; 2027 support would need Ask an Expert, Expert Assist, or a new SOW.
Next Step:
Sales leadership alignment on 25/9
Discussion on PSA hours with Maersk on 25/9
Conal Markey engaged John Adkins and flagged the new Spend GM.
Internal alignment call Sept 29 to align on recommended solution and owners.</t>
  </si>
  <si>
    <t>To move forward, we need:
1. Which team owns the execution and delivery from Workday for the potential solution (VNDLY or HCM)
2. Clear benefits and risks of each solution, verified by product in case there are any foreseeable changes regarding VNDLY/core integrations.</t>
  </si>
  <si>
    <t>0014X00002ME7qfQAD</t>
  </si>
  <si>
    <t>{Name=DMB Sports Clubs, PS_Region_New__c=US Medium Enterprise DI, attributes={url=/services/data/v62.0/sobjects/Account/0014X00002ME7qfQAD, type=Account}, Industry=Amusement &amp; Recreation}</t>
  </si>
  <si>
    <t>2026-09-25T09:14:16.000+0000</t>
  </si>
  <si>
    <t>a3AVT000000mPqX2AU</t>
  </si>
  <si>
    <t>Fellowship House</t>
  </si>
  <si>
    <t>017VT0000GcCdAtYQK</t>
  </si>
  <si>
    <t>a0rVT00001DXAdKYAX</t>
  </si>
  <si>
    <t>28-Sep-2026
T: Trending
Red
U: Progress Update
Executive alignment held on Sept 28 with ECI's Talent Director, local account team, and Product GM Adam Godson. Product team delivered weekend fixes for translation issues, but ECI formally declared the product not mature enough for Go-Live approval. ECI cited deep disappointment with Paradox product capabilities and perceived overselling, though they explicitly distinguished project delivery from product maturity issues.
R: Risk
ECI has officially initiated recruitment for 7,000 Black Friday and Christmas campaign profiles using their traditional methodology due to lack of confidence in Paradox. High risk of SKU cancellation, indefinite Go-Live delay, and severe reputational damage across Iberia references.
N: Next steps
Sept 30: Account team meeting with ECI to explore alternative target dates and viable Go-Live scenarios.
Oct 2: Product team (Adam Godson) deadline to submit a progress update to ECI and the account team detailing open incident resolutions.
Engineering Focus: Accelerate resolution of critical open issues, prioritizing Job Search functionality as the main blocker. 36 items remain open.</t>
  </si>
  <si>
    <t>001VT00000b2hYFYAY</t>
  </si>
  <si>
    <t>{attributes={type=Account, url=/services/data/v62.0/sobjects/Account/001VT00000b2hYFYAY}, Name=Nevada Workforce Connections, Industry=State &amp; Local Government, PS_Region_New__c=US SLED}</t>
  </si>
  <si>
    <t>ECI formally declared a No-Go for the September 21 Paradox go-live, pushing the earliest deployment target to late January while leadership evaluates whether to remain on the platform. The decision stems from critical candidate experience defects compounded by pre-existing internal political friction.
Key Technical Blockers:
1. Job Search Accuracy: Vacancies fail to surface correctly in candidate searches (considered a hard blocker).
2. Localization Defects: Responses default to Latin American Spanish and Brazilian Portuguese rather than European variants, degrading overall Q&amp;A quality.
3. Q&amp;A Quality: Conversational performance is below expectations; ECI will accept a limited, non-contextual Q&amp;A mode for initial launch if required.
4. Functional Requirements: Additional operational gaps are actively tracked via open support cases.
Political Context &amp; Competitor Risk:
1. Internal Misalignment: ECI’s Talent Acquisition (TA) team originally preferred local competitor Orbio but was overruled by the CHRO and IT leadership. Quality issues validate TA's initial skepticism, turning latent resentment into active pushback.
2. Executive Sponsor Exposure: The CHRO—our primary sponsor—is politically exposed by the project's delay, compromising our internal executive advocacy.
3. Potential Vendor Shift: ECI is prepared to evaluate a pivot to Orbio if trust is not rebuilt rapidly.
Path Forward:
1. Product &amp; Engineering: Deliver swift progress on all flagged areas and provide a clear product roadmap with explicit early testing and GA dates.
2. Project Team: Secure adequate resourcing to address and resolve all open customer support cases immediately.</t>
  </si>
  <si>
    <t>017VT0000GuRRDpYQO</t>
  </si>
  <si>
    <t>a0pVT00000Cq6yUYAR</t>
  </si>
  <si>
    <t>a0rVT00001DXAf1YAH</t>
  </si>
  <si>
    <t>2026-09-28T14:56:40.000+0000</t>
  </si>
  <si>
    <t>001VT00000UpJVaYAN</t>
  </si>
  <si>
    <t>a3AVT000000mSDJ2A2</t>
  </si>
  <si>
    <t>{attributes={type=Account, url=/services/data/v62.0/sobjects/Account/001VT00000UpJVaYAN}, PS_Region_New__c=US Medium Enterprise DI, Industry=Professional Services, Name=Terzetto Creative}</t>
  </si>
  <si>
    <t>{PS_Sub_Region__c=Diversified Industries LE CB RHT, SubRegion__c=US DI LE CB RHT Southeast, Name=IRB Holding Corp., Industry=Restaurant &amp; Food Service, PS_Region_New__c=US Large Enterprise DI &amp; Mexico, attributes={type=Account, url=/services/data/v62.0/sobjects/Account/0018000000NyTbTAAV}}</t>
  </si>
  <si>
    <t>September 11, 2026:
T: yellow.
U: Platform deployment project ongoing for US and Canada (WD prime). Efor is claiming that WD Recruiting does not support their specific Pro Services requirements compared to their 2 existing ATS.
R: risk not deploying WD REC and of dropping it at Renewal (USD 17k)
N: Customer connect session with Onepoint to discuss their use of WD Recruiting in a Pro Services context.</t>
  </si>
  <si>
    <t>2026-09-30T13:26:20.000+0000</t>
  </si>
  <si>
    <t>017VT0000GcCd77YQC</t>
  </si>
  <si>
    <t>2026-09-11T13:05:56.000+0000</t>
  </si>
  <si>
    <t>a0rVT00001DXAgXYAX</t>
  </si>
  <si>
    <t>a3AVT000000mSbV2AU</t>
  </si>
  <si>
    <t>0014X00002OsNkgQAF</t>
  </si>
  <si>
    <t>{Industry=Non-Profit, attributes={url=/services/data/v62.0/sobjects/Account/0014X00002OsNkgQAF, type=Account}, Name=Gulliver Preparatory School, Inc, PS_Region_New__c=US SLED}</t>
  </si>
  <si>
    <t>0018000000OzoqIAAR</t>
  </si>
  <si>
    <t>25Sep2026(MS) We continue to work through adoption issues. Earlier this week an attachment feature was moved to PROD which BMO did not request or want. We pulled back via hot patch but now have to ascertain any unintended usage and mitigate from there. Overall adoption is improving and customer is preparing for major presentations of their experiences at Rising.</t>
  </si>
  <si>
    <t>Meghan Vear</t>
  </si>
  <si>
    <t>017VT0000GuRNi9YQG</t>
  </si>
  <si>
    <t>2026-09-25T19:40:03.000+0000</t>
  </si>
  <si>
    <t>0014X00002ej3g5QAA</t>
  </si>
  <si>
    <t>{Name=Blue Link Wireless, attributes={type=Account, url=/services/data/v62.0/sobjects/Account/0014X00002ej3g5QAA}, Industry=Hardlines, PS_Region_New__c=US Medium Enterprise DI}</t>
  </si>
  <si>
    <t>a3AVT000000mbtJ2AQ</t>
  </si>
  <si>
    <t>a0pVT00000Cq1UBYAZ</t>
  </si>
  <si>
    <t>0018000000wDNzyAAG</t>
  </si>
  <si>
    <t>017VT0000GuRWjeYQG</t>
  </si>
  <si>
    <t>Ferraro Foods, Inc.</t>
  </si>
  <si>
    <t>{PS_Region_New__c=US Large Enterprise DI &amp; Mexico, Name=IRB Holding Corp., SubRegion__c=US DI LE CB RHT Southeast, PS_Sub_Region__c=Diversified Industries LE CB RHT, attributes={url=/services/data/v62.0/sobjects/Account/0018000000NyTbTAAV, type=Account}, Industry=Restaurant &amp; Food Service}</t>
  </si>
  <si>
    <t>0018000001AFeqyAAD</t>
  </si>
  <si>
    <t>{Name=Factory Motor Parts, PS_Region_New__c=US Medium Enterprise DI, Industry=Auto, attributes={type=Account, url=/services/data/v62.0/sobjects/Account/0018000001AFeqyAAD}}</t>
  </si>
  <si>
    <t>Risk Summary: 
Origin (July 28): Floor &amp; Decor (Brian Chapman, VP Corporate Systems) sent Workday a term sheet to "right-size" their renewal contract/BOM, requesting a written response by Aug 5.
Pricing questions (Jul 30 - Aug 5): Workday's Todd Beck sought clarification on including additional Workforce Management SKUs (Scheduling, Labor Optimization) beyond Time Keeping; F&amp;D pushed back on missing unit-price transparency in Workday's proposal.
Workday's revised offer (Aug 6): Todd Beck sent a revised pricing sheet reflecting a ~$1.1M reduction in renewal cost, aiming to "right-size" the BOM while showing openness to new SKUs for future value.
F&amp;D's counter (Aug 24): Brian sent a response to Workday's proposal, expressing confidence they're close to finalizing, and asked for Workday's reply by Aug 29.
Sticking point emerges (Aug 25): Workday's Scott Fisher (VP, Large Enterprise Customers) says the bundled/preferential pricing was contingent on F&amp;D committing to specific SKUs (CE, Extend Pro, Paradox, Prism) — but F&amp;D is only requesting price holds, not commitments, which is blocking further progress. He proposes a call Thursday.
F&amp;D's pushback (same day): Brian expresses frustration, stating they were clear with Todd that they would not commit to an expanded BOM now, and that this was reflected in their term sheet. He asks Workday to reconsider and requests an executive-level meeting (with Workday's Lionel Liniger and F&amp;D's CIO/CHRO) next week, contingent on receiving Workday's revised proposal by Friday.
Bottom line: The renewal is stalled on a core disagreement — Workday wants SKU commitments to justify discounted pricing, while F&amp;D wants flexibility (price holds) without locking into an expanded product footprint yet.
Trend: Downward
Updates: Ted will provide update after C-Level &amp; Lionel call on next steps</t>
  </si>
  <si>
    <t>Floor &amp; Decor (Brian Chapman, VP Corporate Systems) sent Workday a term sheet to "right-size" their renewal contract/BOM.  The sales team has provide some options that would require committing to new product purchases. The renewal is currently stalled on a core disagreement — Workday wants SKU commitments to justify discounted pricing, while F&amp;D wants flexibility (price holds) without locking into an expanded product footprint yet.</t>
  </si>
  <si>
    <t>017VT0000GuRNTTYQ4</t>
  </si>
  <si>
    <t>a0rVT00001DXAi9YAH</t>
  </si>
  <si>
    <t>2026-09-15T13:16:47.000+0000</t>
  </si>
  <si>
    <t>0014X00002OsO2QQAV</t>
  </si>
  <si>
    <t>a3AVT000000mipx2AA</t>
  </si>
  <si>
    <t>{attributes={type=Account, url=/services/data/v62.0/sobjects/Account/0014X00002OsO2QQAV}, Industry=Non-Profit, Name=The Carle Foundation, PS_Region_New__c=US SLED}</t>
  </si>
  <si>
    <t>001800000122A9DAAU</t>
  </si>
  <si>
    <t>All cases have bene reviewed by the support with the help of product.
Meeting with the customer scheduled on Sept 30th in order to share our answers case by case.</t>
  </si>
  <si>
    <t>017VT0000GcCcMsYQK</t>
  </si>
  <si>
    <t>Airbus has shared their frustration and dissatisfaction regarding case management.
Specifically, they highlighted two aspects: resolution time and the quality of the deliveries.
This topic is not new at Airbus, but the level of frustration has never been so high, in a sensitive time, as we are negotiating the contract renewal.
Airbus has provided to us a list of 15 cases they flag as critical (the full list of open cases is 35).
The trigger event comes from a resolution provided (out of the release cycle, after 2 years and 3 months) that broke the original feature! A customer alert promised a two-week resolution (far too long). Airbus is challenging our capacity to perform non-regression testing.
We need to come back to Airbus with a detailed analysis of what will be fixed and when , or reason why some issues will not be fixed.</t>
  </si>
  <si>
    <t>a0pVT00000Cpva3YAB</t>
  </si>
  <si>
    <t>Festival Foods</t>
  </si>
  <si>
    <t>2026-09-28T16:49:07.000+0000</t>
  </si>
  <si>
    <t>0014X00002OsV5XQAV</t>
  </si>
  <si>
    <t>{attributes={type=Account, url=/services/data/v62.0/sobjects/Account/0014X00002OsV5XQAV}, PS_Region_New__c=US Medium Enterprise DI, Name=Englert Inc. (Inactive Account), Industry=Architecture, Engineering &amp; Construction}</t>
  </si>
  <si>
    <t>a3AVT000000mjE92AI</t>
  </si>
  <si>
    <t>{Industry=Restaurant &amp; Food Service, Name=IRB Holding Corp., attributes={url=/services/data/v62.0/sobjects/Account/0018000000NyTbTAAV, type=Account}, PS_Region_New__c=US Large Enterprise DI &amp; Mexico, SubRegion__c=US DI LE CB RHT Southeast, PS_Sub_Region__c=Diversified Industries LE CB RHT}</t>
  </si>
  <si>
    <t>Amber Newquist</t>
  </si>
  <si>
    <t>017VT0000GuRD2kYQG</t>
  </si>
  <si>
    <t>a0rVT00001DXAjmYAH</t>
  </si>
  <si>
    <t>Summary of Issue: On September 10, 2026, an issue in the WD5 environment caused custom integrations to stall, resulting in a 7-hour delay to KeyBank's processing completion. The delay was triggered by a messaging buffer bottleneck that stalled while reloading queued background tasks, preventing background workers from retrieving and executing integration jobs. This condition was further compounded by high resource consumption from several long-running tasks, which severely constrained overall system capacity until normal processing was restored. 
Key Issues: 
- Customer Satisfaction &amp; Detection Response: KeyBank expressed dissatisfaction with the time required to detect, communicate, and resolve the issue in WD5 and requested an expedited RCA ahead of the standard 10-day window.
- Business Risk: KeyBank leadership has threatened to pause all active new business discussions pending a satisfactory Root Cause Analysis (RCA). This puts our current LMS Request for Proposal (RFP) at immediate risk, along with pipeline expansion opportunities across Data Cloud and Adaptive Decision Intelligence. 
Next Steps:
- Formal RCA Executive Review (Joint): Host a formal RCA discussion on Friday, September 25, 2026, with KeyBank executives and Workday support leadership and account team.
- Health Assessment &amp; Recovery Path: Continue monitoring operational stability and address KeyBank's exposure concerns to move engagement status back to Green.</t>
  </si>
  <si>
    <t>0014X00002luOPnQAM</t>
  </si>
  <si>
    <t>{PS_Region_New__c=US Medium Enterprise DI, Industry=Food &amp; Drug, attributes={type=Account, url=/services/data/v62.0/sobjects/Account/0014X00002luOPnQAM}, Name=Green Dragon Cannabis}</t>
  </si>
  <si>
    <t>2026-09-17T19:07:42.000+0000</t>
  </si>
  <si>
    <t>a3AVT000000mkwb2AA</t>
  </si>
  <si>
    <t>a0rVT00001DXCs2YAH</t>
  </si>
  <si>
    <t>0018000000qX39fAAC</t>
  </si>
  <si>
    <t>First Credit Union, LLC</t>
  </si>
  <si>
    <t>017VT0000GcCdAPYQ0</t>
  </si>
  <si>
    <t>Product limitation: the system reduces the rounding precision to 2 decimals instead of 5 digits that the T&amp;M contract rate sheet offers, causing invoice amount inaccuracy (cases 3422821 and 3422871). 
Issue escalated within P&amp;T leadership</t>
  </si>
  <si>
    <t>a0pVT00000Cq5RKYAZ</t>
  </si>
  <si>
    <t>0014X00002OsV79QAF</t>
  </si>
  <si>
    <t>Trend: Yellow
Updates:
- Two product issues created 3422821 and 3422871 and escalated by EMEA GVP to Gerrit Kazmaier
- Product starting to investigate Jira FINREV-28871
- Decision board held by customer CFO and CSO (Chief Services Officer) to arbitrate proposed workaround (pending feedback from customer)	
Risk:
- Customer churn on Finance / PSA
- Current opportunity to roll out PSA/Finance to remaining countries in Services forecast
- Negative impact on ongoing HCM opportunity for Sopra Steria Group (sharing same owner as 74Software)
Next Steps:
- Decision by customer on proposed workaround : 22 September
- Go/No Go for the ongoing PSA rollout: 26 October</t>
  </si>
  <si>
    <t>{Name=Autism Learning Partners, Industry=Other Healthcare, PS_Region_New__c=US Healthcare, attributes={url=/services/data/v62.0/sobjects/Account/0014X00002OsV79QAF, type=Account}}</t>
  </si>
  <si>
    <t>2026-09-18T15:24:28.000+0000</t>
  </si>
  <si>
    <t>a3AVT000000ml7t2AA</t>
  </si>
  <si>
    <t>{attributes={type=Account, url=/services/data/v62.0/sobjects/Account/0018000000NyTbTAAV}, PS_Region_New__c=US Large Enterprise DI &amp; Mexico, Industry=Restaurant &amp; Food Service, SubRegion__c=US DI LE CB RHT Southeast, Name=IRB Holding Corp., PS_Sub_Region__c=Diversified Industries LE CB RHT}</t>
  </si>
  <si>
    <t>017VT0000GuRNTWYQ4</t>
  </si>
  <si>
    <t>a0rVT00001DXAmzYAH</t>
  </si>
  <si>
    <t>Customer has stopped the project and informed the partner that they are dropping Workday altogether.  The Workday advisory team has not received a direct communication to this effect.  We've only been told to stop all work.</t>
  </si>
  <si>
    <t>0014X00002OsggJQAR</t>
  </si>
  <si>
    <t>Trend - Red
Update - Customer has stopped the project and informed the partner that they are dropping Workday altogether.
Risk - both services and subscription revenue are at risk
Next Steps - Workday EM has asked for clearer direction from the customer on their intentions.</t>
  </si>
  <si>
    <t>{PS_Region_New__c=US Medium Enterprise DI, attributes={url=/services/data/v62.0/sobjects/Account/0014X00002OsggJQAR, type=Account}, Name=Stack Exchange, Inc., Industry=Software &amp; Platforms}</t>
  </si>
  <si>
    <t>2026-09-30T19:37:42.000+0000</t>
  </si>
  <si>
    <t>a3AVT000000mlSr2AI</t>
  </si>
  <si>
    <t>First Student, Inc.</t>
  </si>
  <si>
    <t>0018000000pOwxSAAS</t>
  </si>
  <si>
    <t>017VT0000GuOG9TYQW</t>
  </si>
  <si>
    <t>a0rVT00001DXAn0YAH</t>
  </si>
  <si>
    <t>0018000000xo91kAAA</t>
  </si>
  <si>
    <t>a0pVT00000Cq7MfYAJ</t>
  </si>
  <si>
    <t>The Workday Student project is Red due to a lack of clear executive ownership at the S/VC level, minimal progress on the Governance Reset activities agreed to at the May 2026 Mini-Greenhouse, and key MinnState vacancies left unfilled. Critical Companion Projects (e.g., Cross Registration) needed for go-live are behind schedule, and the decision process agreed to at the Mini-Greenhouse is not being followed — due diligence to vet solutions appears inadequate. A Memo of Concern from Bonnie Benson and Cathy Milazzo was sent to Chancellor Olson and the S/VCs in August 2026; Olson responded September 8 agreeing with the issues and the path to green.
To return to green, MinnState must:
*** Finalize and approve the Student Steering Committee Structure &amp; RACI
*** Finalize leadership alignment and identify a primary VC driver for the program
*** Address the Permanent OCM Director vacancy and develop a plan to enhance communications with the institutions
*** Address the Payroll Vacancy
Yellow is expected by end of quarter absent new issues</t>
  </si>
  <si>
    <t>{Industry=Non-Profit, PS_Region_New__c=Corporate, Name=Mothers Against Drunk Driving, attributes={url=/services/data/v62.0/sobjects/Account/0018000000xo91kAAA, type=Account}}</t>
  </si>
  <si>
    <t>The Minnesota State Workday Student project is Red due to customer-side leadership, governance, and staffing gaps that Workday cannot resolve unilaterally. A Wellness Plan is needed to track MinnState's execution against the four items agreed to in the August Memo of Concern.
*** Trend: Improving – Chancellor agreed to the path to green; execution against the four required items is the gate to yellow.
*** Update: Olson responded September 8 accepting the Memo of Concern and path forward. Benson and Milazzo meet with him again next week on progress. Architect &amp; Configure continues — Workset A closes September 30, Workset B starts October 1.
*** Risk: No VC driver named, Steering Committee RACI unapproved, OCM Director and Payroll vacancies open. Companion Projects (e.g., Cross Registration) needed for go-live are behind schedule and bypassing the agreed Mini-Greenhouse decision process, risking inadequately vetted solutions — being escalated to MinnState executive leadership.
*** Next Steps: Drive completion of all four items and enforce the decision process on Companion Projects; target yellow by end of quarter.</t>
  </si>
  <si>
    <t>{Name=ProHealth Care, Inc., PS_Sub_Region__c=Healthcare LE, SubRegion__c=US Healthcare LE NN Central, attributes={url=/services/data/v62.0/sobjects/Account/0018000000NLix8AAD, type=Account}, PS_Region_New__c=US Healthcare, Industry=Acute Hospital / Health System}</t>
  </si>
  <si>
    <t>017VT0000GcCd7tYQC</t>
  </si>
  <si>
    <t>a0rVT00001DXAobYAH</t>
  </si>
  <si>
    <t>2026-09-18T20:50:36.000+0000</t>
  </si>
  <si>
    <t>a3AVT000000mok52AA</t>
  </si>
  <si>
    <t>0014X00002U15lSQAR</t>
  </si>
  <si>
    <t>{attributes={url=/services/data/v62.0/sobjects/Account/0014X00002U15lSQAR, type=Account}, Name=Tasty Restaurant Group, Industry=Restaurant &amp; Food Service, PS_Region_New__c=US Large Enterprise DI &amp; Mexico}</t>
  </si>
  <si>
    <t>0018000001AFlbrAAD</t>
  </si>
  <si>
    <t>Wellness plan is open due to lack of engagement with the customer.  Account team is working collaboratively to reach the customer point of contact and CIO.  
Path to Green - Require a meaningful customer engagement with the Customer Executive Sponsor and team to understand the intention for upcoming Renewal.</t>
  </si>
  <si>
    <t>017VT0000GuRSj5YQG</t>
  </si>
  <si>
    <t>2026-09-20T15:17:25.000+0000</t>
  </si>
  <si>
    <t>First Watch Restaurants, Inc</t>
  </si>
  <si>
    <t>0014X00002ltRe6QAE</t>
  </si>
  <si>
    <t>a3AVT000000myuj2AA</t>
  </si>
  <si>
    <t>{attributes={url=/services/data/v62.0/sobjects/Account/0014X00002ltRe6QAE, type=Account}, PS_Region_New__c=Canada, Industry=High Technology, Name=CoolIT Systems}</t>
  </si>
  <si>
    <t>0018000000tVf0rAAC</t>
  </si>
  <si>
    <t>a0pVT00000CppeIYAR</t>
  </si>
  <si>
    <t>017VT0000GuRP41YQG</t>
  </si>
  <si>
    <t>Phase X - FIN deployment France,Switzerland - 
Primed by Accenture
Advisory by Deloitte
Trend : Red
Update : Workday team is engaged to audit the deployment and provide findings+recommendations to executive board on Oct 5th
Risk :
Deployment to stop. Alternative option : resolve root causes and postpone the deployment (likely to be 1 year delay) 
Next :
investigations in progress across all areas : governance, testing, open design decisions, integrations, change management , data conversion</t>
  </si>
  <si>
    <t>0014X00002U1SjGQAV</t>
  </si>
  <si>
    <t>{PS_Region_New__c=US Healthcare, attributes={url=/services/data/v62.0/sobjects/Account/0018000000NLix8AAD, type=Account}, PS_Sub_Region__c=Healthcare LE, Industry=Acute Hospital / Health System, SubRegion__c=US Healthcare LE NN Central, Name=ProHealth Care, Inc.}</t>
  </si>
  <si>
    <t>2026-09-24T09:26:05.000+0000</t>
  </si>
  <si>
    <t>{PS_Region_New__c=US Medium Enterprise DI, Industry=Auto, attributes={type=Account, url=/services/data/v62.0/sobjects/Account/0014X00002U1SjGQAV}, Name=Arapahoe Motors, Inc. d/b/a Schomp Automotive Group}</t>
  </si>
  <si>
    <t>a3AVT000000mzfV2AQ</t>
  </si>
  <si>
    <t>9/24 - Pilot and deploying partner KPMG have escalated concerns with UKG portion of their December deployment that may jeopardize the entire go live. They have significant data load issues occurring with UKG from the Workday integration. Pilot has concerns that the UKG business architecture was not set up correctly. We are meeting with KPMG on 9/24 to discuss the root cause and determine if Services could help get the deployment back on track.</t>
  </si>
  <si>
    <t>017VT0000GcCcFZYQ0</t>
  </si>
  <si>
    <t>a0rVT00001DXAqEYAX</t>
  </si>
  <si>
    <t>0018000000RS7dkAAD</t>
  </si>
  <si>
    <t>2026-09-24T13:37:33.000+0000</t>
  </si>
  <si>
    <t>a0rVT00001DXDHpYAP</t>
  </si>
  <si>
    <t>{PS_Region_New__c=US Healthcare, Name=Maricopa County Special Health Care District dba Valleywise Health (Precision Task Group, Inc.), attributes={type=Account, url=/services/data/v62.0/sobjects/Account/0018000000RS7dkAAD}, Industry=Acute Hospital / Health System}</t>
  </si>
  <si>
    <t>a3AVT000000n2FB2AY</t>
  </si>
  <si>
    <t>FirstBus Holdings Limited</t>
  </si>
  <si>
    <t>a0pVT00000Cq7OHYAZ</t>
  </si>
  <si>
    <t>JCI has confirmed they will not renew their 1-year WSP ACC+ subscription due to overall cost of the plan. The account team is still working to tie the value from WSP to JCI's 4 main initiatives, but we have received written word from our main contact that even with the value, it doesn't change the budget.
Key Account leadership is going to reach out to Kathy Mlada (VP) at JCI to walk through components of WSP that tie directly to her objectives, and share the hard costs they will still incur even without WSP (Tenant, Training, etc.).</t>
  </si>
  <si>
    <t>017VT0000GcCcFfYQK</t>
  </si>
  <si>
    <t>a0rVT00001DXAqFYAX</t>
  </si>
  <si>
    <t>2026-09-24T15:51:02.000+0000</t>
  </si>
  <si>
    <t>0018000000esqA6AAI</t>
  </si>
  <si>
    <t>a3AVT000000n2QT2AY</t>
  </si>
  <si>
    <t>{Name=ProHealth Care, Inc., PS_Region_New__c=US Healthcare, SubRegion__c=US Healthcare LE NN Central, PS_Sub_Region__c=Healthcare LE, Industry=Acute Hospital / Health System, attributes={url=/services/data/v62.0/sobjects/Account/0018000000NLix8AAD, type=Account}}</t>
  </si>
  <si>
    <t>{attributes={type=Account, url=/services/data/v62.0/sobjects/Account/0018000000esqA6AAI}, Industry=Industrial Manufacturing, PS_Region_New__c=Canada, Name=IPEX Management Inc.}</t>
  </si>
  <si>
    <t>T: yellow
U: Meeting with Procurement, CHRO and Hervé Uzan. Sounds like WSP will be renewed but additional SKU (Extend Pro) at risk.
R: downgrading WSP Acc+ to Acc. No additional SKU.
N: ongoing nego with Procurement. Deadline for renewal extended to October 12.</t>
  </si>
  <si>
    <t>017VT0000GuRZqvYQG</t>
  </si>
  <si>
    <t>2026-09-30T16:15:21.000+0000</t>
  </si>
  <si>
    <t>a0rVT00001DXAqHYAX</t>
  </si>
  <si>
    <t>a0rVT00001DXGPNYA5</t>
  </si>
  <si>
    <t>001VT00000bPjmIYAS</t>
  </si>
  <si>
    <t>Florida Georgia Line Operator Business Unit Association</t>
  </si>
  <si>
    <t>{Industry=Consumer Goods, attributes={type=Account, url=/services/data/v62.0/sobjects/Account/001VT00000bPjmIYAS}, PS_Region_New__c=US Large Enterprise DI &amp; Mexico, Name=Le Creuset Group}</t>
  </si>
  <si>
    <t>ME Commercial HRScale</t>
  </si>
  <si>
    <t>US DI Commercial HRScale</t>
  </si>
  <si>
    <t>017VT0000GuRP3yYQG</t>
  </si>
  <si>
    <t>a0pVT00000CpmGdYAJ</t>
  </si>
  <si>
    <t>a0rVT00001DXArpYAH</t>
  </si>
  <si>
    <t>0014X00002U1Up5QAF</t>
  </si>
  <si>
    <t>{PS_Region_New__c=US Large Enterprise DI &amp; Mexico, Industry=Media &amp; Entertainment, attributes={type=Account, url=/services/data/v62.0/sobjects/Account/0014X00002U1Up5QAF}, Name=Scientific Games, LLC}</t>
  </si>
  <si>
    <t>{PS_Region_New__c=US Healthcare, Industry=Acute Hospital / Health System, SubRegion__c=US Healthcare LE NN Central, Name=ProHealth Care, Inc., attributes={type=Account, url=/services/data/v62.0/sobjects/Account/0018000000NLix8AAD}, PS_Sub_Region__c=Healthcare LE}</t>
  </si>
  <si>
    <t>017VT0000GuRP3vYQG</t>
  </si>
  <si>
    <t>a0rVT00001DXAtRYAX</t>
  </si>
  <si>
    <t>Flynn Group LP</t>
  </si>
  <si>
    <t>0014X00002U23eIQAR</t>
  </si>
  <si>
    <t>{PS_Region_New__c=US Medium Enterprise DI, Industry=Auto, Name=GO Car Wash, attributes={type=Account, url=/services/data/v62.0/sobjects/Account/0014X00002U23eIQAR}}</t>
  </si>
  <si>
    <t>017VT0000GuPpCAYQ0</t>
  </si>
  <si>
    <t>a0pVT00000Cprg9YAB</t>
  </si>
  <si>
    <t>a0rVT00001DXAtTYAX</t>
  </si>
  <si>
    <t>0018000000M3WuAAAV</t>
  </si>
  <si>
    <t>{SubRegion__c=US DI LE CB MFG Midwest, PS_Sub_Region__c=Diversified Industries LE CB MFG, Industry=Materials, Name=Plastipak Packaging, Inc., PS_Region_New__c=US Large Enterprise DI &amp; Mexico, attributes={type=Account, url=/services/data/v62.0/sobjects/Account/0018000000P0T4HAAV}}</t>
  </si>
  <si>
    <t>{PS_Region_New__c=US Large Enterprise DI &amp; Mexico, Name=Vermeer Corporation, Industry=Industrial Manufacturing, attributes={type=Account, url=/services/data/v62.0/sobjects/Account/0018000000M3WuAAAV}}</t>
  </si>
  <si>
    <t>a0rVT00001DXFjRYAX</t>
  </si>
  <si>
    <t>FMI</t>
  </si>
  <si>
    <t>017VT0000GuRXyyYQG</t>
  </si>
  <si>
    <t>a0rVT00001DXAtUYAX</t>
  </si>
  <si>
    <t>0018000001f3ltrAAA</t>
  </si>
  <si>
    <t>{attributes={url=/services/data/v62.0/sobjects/Account/0018000001f3ltrAAA, type=Account}, Name=OneOncology LLC, PS_Region_New__c=US Healthcare, Industry=Ambulatory}</t>
  </si>
  <si>
    <t>2026-09-30T13:25:42.000+0000</t>
  </si>
  <si>
    <t>a0pVT00000Cq7GEYAZ</t>
  </si>
  <si>
    <t>017VT0000GcCcHhYQK</t>
  </si>
  <si>
    <t>a0rVT00001DXBBBYA5</t>
  </si>
  <si>
    <t>{PS_Region_New__c=US Large Enterprise DI &amp; Mexico, attributes={url=/services/data/v62.0/sobjects/Account/0018000000P0T4HAAV, type=Account}, Name=Plastipak Packaging, Inc., PS_Sub_Region__c=Diversified Industries LE CB MFG, Industry=Materials, SubRegion__c=US DI LE CB MFG Midwest}</t>
  </si>
  <si>
    <t>0014X00002U2B4mQAF</t>
  </si>
  <si>
    <t>Fontainebleau Las Vegas</t>
  </si>
  <si>
    <t>{Name=Allegion plc, PS_Region_New__c=UKI, attributes={url=/services/data/v62.0/sobjects/Account/0014X00002U2B4mQAF, type=Account}, Industry=Business Services}</t>
  </si>
  <si>
    <t>017VT0000GcCdBKYQ0</t>
  </si>
  <si>
    <t>0018000001EiKQmAAN</t>
  </si>
  <si>
    <t>{Name=Blessing Corporate Services, Inc., attributes={type=Account, url=/services/data/v62.0/sobjects/Account/0018000001EiKQmAAN}, Industry=Acute Hospital / Health System, PS_Region_New__c=US Healthcare}</t>
  </si>
  <si>
    <t>a0rVT00001DXGyrYAH</t>
  </si>
  <si>
    <t>017VT0000GuRP3pYQG</t>
  </si>
  <si>
    <t>a0rVT00001DXAwfYAH</t>
  </si>
  <si>
    <t>a0pVT00000CpmmsYAB</t>
  </si>
  <si>
    <t>Forks Community Hospital</t>
  </si>
  <si>
    <t>0014X00002U3zaKQAR</t>
  </si>
  <si>
    <t>{Name=Leon Medical Centers, attributes={type=Account, url=/services/data/v62.0/sobjects/Account/0014X00002U3zaKQAR}, PS_Region_New__c=US Healthcare, Industry=Acute Hospital / Health System}</t>
  </si>
  <si>
    <t>{PS_Region_New__c=US Large Enterprise DI &amp; Mexico, Name=New Balance Athletics, Inc., PS_Sub_Region__c=Diversified Industries LE CB RHT, Industry=Softlines, attributes={url=/services/data/v62.0/sobjects/Account/0018000000PIVBjAAP, type=Account}, SubRegion__c=US DI LE CB RHT Northeast}</t>
  </si>
  <si>
    <t>017VT0000GcCcJXYQ0</t>
  </si>
  <si>
    <t>a0rVT00001DXAyHYAX</t>
  </si>
  <si>
    <t>0014X00002XGycPQAT</t>
  </si>
  <si>
    <t>{Industry=Auto, PS_Region_New__c=US Large Enterprise DI &amp; Mexico, Name=Sun Auto Tire &amp; Service, attributes={type=Account, url=/services/data/v62.0/sobjects/Account/0014X00002XGycPQAT}}</t>
  </si>
  <si>
    <t>a0rVT00001DXBxaYAH</t>
  </si>
  <si>
    <t>Foundever Operating Corporation</t>
  </si>
  <si>
    <t>017VT0000GcCcJaYQK</t>
  </si>
  <si>
    <t>a0pVT00000Cq7T7YAJ</t>
  </si>
  <si>
    <t>a0rVT00001DXAyIYAX</t>
  </si>
  <si>
    <t>0018000000uhkjoAAA</t>
  </si>
  <si>
    <t>{attributes={url=/services/data/v62.0/sobjects/Account/0018000000uhkjoAAA, type=Account}, Name=Shared Technology Services Group LLC, PS_Region_New__c=US FSI, Industry=Insurance}</t>
  </si>
  <si>
    <t>{SubRegion__c=US DI LE NN MFG East, attributes={url=/services/data/v62.0/sobjects/Account/0018000000NyoYHAAZ, type=Account}, PS_Region_New__c=US Large Enterprise DI &amp; Mexico, Industry=Architecture, Engineering &amp; Construction, PS_Sub_Region__c=Diversified Industries LE NN, Name=Pike Enterprises, LLC}</t>
  </si>
  <si>
    <t>017VT0000GcCcMyYQK</t>
  </si>
  <si>
    <t>a0rVT00001DXAztYAH</t>
  </si>
  <si>
    <t>0014X00002XIhGtQAL</t>
  </si>
  <si>
    <t>{Name=O'Brien Glass, Industry=Auto, attributes={type=Account, url=/services/data/v62.0/sobjects/Account/0014X00002XIhGtQAL}, PS_Region_New__c=ANZ}</t>
  </si>
  <si>
    <t>017VT0000GcCcI5YQK</t>
  </si>
  <si>
    <t>Four Seasons Produce, Inc.</t>
  </si>
  <si>
    <t>a0pVT00000CpyJOYAZ</t>
  </si>
  <si>
    <t>0014X00002XKA3sQAH</t>
  </si>
  <si>
    <t>{Name=DELOITTE (AUSTRALIA) PTY LIMITED, attributes={type=Account, url=/services/data/v62.0/sobjects/Account/0014X00002XKA3sQAH}, PS_Region_New__c=ANZ, Industry=Professional Services}</t>
  </si>
  <si>
    <t>{Industry=Hardlines, Name=M S International, Inc., PS_Region_New__c=US Medium Enterprise DI, SubRegion__c=US DI ME NN RHT Pacific, attributes={url=/services/data/v62.0/sobjects/Account/0018000000zXjFJAA0, type=Account}, PS_Sub_Region__c=ME NN TM &amp; RHT West}</t>
  </si>
  <si>
    <t>017VT0000GcCcHzYQK</t>
  </si>
  <si>
    <t>a0rVT00001DXB1WYAX</t>
  </si>
  <si>
    <t>00180000010IQZBAA4</t>
  </si>
  <si>
    <t>{Industry=Professional Services, attributes={url=/services/data/v62.0/sobjects/Account/00180000010IQZBAA4, type=Account}, PS_Region_New__c=EMEA North, Name=Hexagon AB}</t>
  </si>
  <si>
    <t>017VT0000GcCdBZYQ0</t>
  </si>
  <si>
    <t>0018000001dFs21AAC</t>
  </si>
  <si>
    <t>{Name=Alzheimer's Association, attributes={type=Account, url=/services/data/v62.0/sobjects/Account/0018000001dFs21AAC}, Industry=Non-Profit, PS_Region_New__c=US SLED}</t>
  </si>
  <si>
    <t>a0pVT00000CpuioYAB</t>
  </si>
  <si>
    <t>017VT0000GuRGciYQG</t>
  </si>
  <si>
    <t>{PS_Region_New__c=US Medium Enterprise DI, SubRegion__c=US DI ME NN RHT Pacific, Name=M S International, Inc., Industry=Hardlines, attributes={url=/services/data/v62.0/sobjects/Account/0018000000zXjFJAA0, type=Account}, PS_Sub_Region__c=ME NN TM &amp; RHT West}</t>
  </si>
  <si>
    <t>001VT00000NjZ4QYAV</t>
  </si>
  <si>
    <t>{PS_Region_New__c=US Medium Enterprise DI, Industry=Hardlines, Name=Copenhagen Imports, Inc., attributes={type=Account, url=/services/data/v62.0/sobjects/Account/001VT00000NjZ4QYAV}}</t>
  </si>
  <si>
    <t>017VT0000GuQIvsYQG</t>
  </si>
  <si>
    <t>a0rVT00001DXB1ZYAX</t>
  </si>
  <si>
    <t>001VT00000b2tZOYAY</t>
  </si>
  <si>
    <t>{attributes={url=/services/data/v62.0/sobjects/Account/001VT00000b2tZOYAY, type=Account}, Name=Refresco North America, PS_Region_New__c=US Large Enterprise DI &amp; Mexico, Industry=Consumer Goods}</t>
  </si>
  <si>
    <t>a0pVT00000Cq3XaYAJ</t>
  </si>
  <si>
    <t>2026-09-30T13:26:08.000+0000</t>
  </si>
  <si>
    <t>017VT0000GuRS1mYQG</t>
  </si>
  <si>
    <t>a0rVT00001DXB37YAH</t>
  </si>
  <si>
    <t>0014X00002aRklwQAC</t>
  </si>
  <si>
    <t>{Name=Solventum Corporation, attributes={type=Account, url=/services/data/v62.0/sobjects/Account/0014X00002aRklwQAC}, Industry=Software &amp; Platforms, PS_Region_New__c=US Large Enterprise DI &amp; Mexico}</t>
  </si>
  <si>
    <t>a0rVT00001DXEk9YAH</t>
  </si>
  <si>
    <t>017VT0000GuRFxOYQW</t>
  </si>
  <si>
    <t>a0rVT00001DXB38YAH</t>
  </si>
  <si>
    <t>0014X00002aSDZDQA4</t>
  </si>
  <si>
    <t>{Name=Progress Residential, PS_Region_New__c=US Medium Enterprise DI, Industry=Business Services, attributes={url=/services/data/v62.0/sobjects/Account/0014X00002aSDZDQA4, type=Account}}</t>
  </si>
  <si>
    <t>2026-09-30T13:24:32.000+0000</t>
  </si>
  <si>
    <t>{PS_Region_New__c=US Medium Enterprise DI, Industry=Hardlines, PS_Sub_Region__c=ME NN TM &amp; RHT West, Name=M S International, Inc., SubRegion__c=US DI ME NN RHT Pacific, attributes={type=Account, url=/services/data/v62.0/sobjects/Account/0018000000zXjFJAA0}}</t>
  </si>
  <si>
    <t>017VT0000GuRFxIYQW</t>
  </si>
  <si>
    <t>0014X00002aSDfVQAW</t>
  </si>
  <si>
    <t>{PS_Region_New__c=US Healthcare, attributes={url=/services/data/v62.0/sobjects/Account/0014X00002aSDfVQAW, type=Account}, Name=Community Health Choice, Industry=Health Insurance}</t>
  </si>
  <si>
    <t>a0rVT00001DXDZaYAP</t>
  </si>
  <si>
    <t>Fresno Community Hospital and Medical Center, dba Community Health System</t>
  </si>
  <si>
    <t>017VT0000GuRFxLYQW</t>
  </si>
  <si>
    <t>a0rVT00001DXB6LYAX</t>
  </si>
  <si>
    <t>0014X00002aSDmWQAW</t>
  </si>
  <si>
    <t>{PS_Region_New__c=US Healthcare, Name=Sagora Senior, attributes={url=/services/data/v62.0/sobjects/Account/0014X00002aSDmWQAW, type=Account}, Industry=Post Acute}</t>
  </si>
  <si>
    <t>a0pVT00000Cq7D1YAJ</t>
  </si>
  <si>
    <t>017VT0000GuQt6GYQS</t>
  </si>
  <si>
    <t>{PS_Sub_Region__c=ME NN TM &amp; RHT West, Name=M S International, Inc., Industry=Hardlines, attributes={type=Account, url=/services/data/v62.0/sobjects/Account/0018000000zXjFJAA0}, SubRegion__c=US DI ME NN RHT Pacific, PS_Region_New__c=US Medium Enterprise DI}</t>
  </si>
  <si>
    <t>a0rVT00001DXB7xYAH</t>
  </si>
  <si>
    <t>0014X00002aSHObQAO</t>
  </si>
  <si>
    <t>{Industry=Professional Services, attributes={url=/services/data/v62.0/sobjects/Account/0014X00002aSHObQAO, type=Account}, Name=G&amp;A Partners, PS_Region_New__c=US Medium Enterprise DI}</t>
  </si>
  <si>
    <t>a0rVT00001DXFGPYA5</t>
  </si>
  <si>
    <t>Friendship Senior Options</t>
  </si>
  <si>
    <t>017VT0000GuQt6JYQS</t>
  </si>
  <si>
    <t>a0rVT00001DXB9ZYAX</t>
  </si>
  <si>
    <t>0014X00002aSIokQAG</t>
  </si>
  <si>
    <t>{PS_Region_New__c=US Healthcare, Industry=Post Acute, attributes={type=Account, url=/services/data/v62.0/sobjects/Account/0014X00002aSIokQAG}, Name=Lower Cape Fear Hospice}</t>
  </si>
  <si>
    <t>a0pVT00000Cpt5DYAR</t>
  </si>
  <si>
    <t>017VT0000GuQt6DYQS</t>
  </si>
  <si>
    <t>{attributes={url=/services/data/v62.0/sobjects/Account/0018000001JgewWAAR, type=Account}, Name=Sony Interactive Entertainment LLC, SubRegion__c=US DI LE CB RHT West, PS_Sub_Region__c=Diversified Industries LE CB RHT, Industry=Media &amp; Entertainment, PS_Region_New__c=US Large Enterprise DI &amp; Mexico}</t>
  </si>
  <si>
    <t>0014X00002aSR5EQAW</t>
  </si>
  <si>
    <t>{attributes={url=/services/data/v62.0/sobjects/Account/0014X00002aSR5EQAW, type=Account}, PS_Region_New__c=US Medium Enterprise DI, Name=Fontainebleau Las Vegas, Industry=Lodging &amp; Resorts}</t>
  </si>
  <si>
    <t>017VT0000GuRD2hYQG</t>
  </si>
  <si>
    <t>a0rVT00001DXBBCYA5</t>
  </si>
  <si>
    <t>0014X00002luO5sQAE</t>
  </si>
  <si>
    <t>{PS_Region_New__c=US Medium Enterprise DI, Industry=Consumer Goods, Name=WP Beverages, attributes={url=/services/data/v62.0/sobjects/Account/0014X00002luO5sQAE, type=Account}}</t>
  </si>
  <si>
    <t>a0pVT00000Cpl2qYAB</t>
  </si>
  <si>
    <t>FTI Consulting Inc.</t>
  </si>
  <si>
    <t>017VT0000GuRZinYQG</t>
  </si>
  <si>
    <t>a0rVT00001DXBBDYA5</t>
  </si>
  <si>
    <t>001VT00000b2us1YAA</t>
  </si>
  <si>
    <t>{PS_Sub_Region__c=Diversified Industries LE CB RHT, Name=Sony Interactive Entertainment LLC, PS_Region_New__c=US Large Enterprise DI &amp; Mexico, SubRegion__c=US DI LE CB RHT West, Industry=Media &amp; Entertainment, attributes={type=Account, url=/services/data/v62.0/sobjects/Account/0018000001JgewWAAR}}</t>
  </si>
  <si>
    <t>{Name=Zing Credit Union, PS_Region_New__c=US Medium Enterprise DI, Industry=Banking &amp; Capital Markets, attributes={url=/services/data/v62.0/sobjects/Account/001VT00000b2us1YAA, type=Account}}</t>
  </si>
  <si>
    <t>017VT0000GcCdADYQ0</t>
  </si>
  <si>
    <t>a0rVT00001DXBCnYAP</t>
  </si>
  <si>
    <t>0014X00002aSc5fQAC</t>
  </si>
  <si>
    <t>{Name=Hair Cuttery, Industry=Business Services, PS_Region_New__c=US Large Enterprise DI &amp; Mexico, attributes={type=Account, url=/services/data/v62.0/sobjects/Account/0014X00002aSc5fQAC}}</t>
  </si>
  <si>
    <t>Fuel America LLC</t>
  </si>
  <si>
    <t>017VT0000GcCcHJYQ0</t>
  </si>
  <si>
    <t>a0rVT00001DXBEPYA5</t>
  </si>
  <si>
    <t>0014X00002aT2JpQAK</t>
  </si>
  <si>
    <t>{PS_Region_New__c=US Medium Enterprise DI, Industry=Healthcare Manufacturing, attributes={url=/services/data/v62.0/sobjects/Account/0014X00002aT2JpQAK, type=Account}, Name=ImmunityBio, Inc.}</t>
  </si>
  <si>
    <t>017VT0000GuQmzXYQS</t>
  </si>
  <si>
    <t>a0pVT00000Cq3yzYAB</t>
  </si>
  <si>
    <t>0014X00002aV5OyQAK</t>
  </si>
  <si>
    <t>{Name=Desert De Oro Foods, PS_Region_New__c=US Medium Enterprise DI, Industry=Restaurant &amp; Food Service, attributes={url=/services/data/v62.0/sobjects/Account/0014X00002aV5OyQAK, type=Account}}</t>
  </si>
  <si>
    <t>{Industry=Insurance, attributes={url=/services/data/v62.0/sobjects/Account/0013000000JrVEFAA3, type=Account}, Name=Sedgwick Claims Management Services, Inc., PS_Sub_Region__c=FSI LE, SubRegion__c=US FSI Majors, PS_Region_New__c=US FSI}</t>
  </si>
  <si>
    <t>017VT0000GuRU3XYQW</t>
  </si>
  <si>
    <t>a0rVT00001DXBJGYA5</t>
  </si>
  <si>
    <t>0018000000qZ8szAAC</t>
  </si>
  <si>
    <t>G&amp;A Partners</t>
  </si>
  <si>
    <t>{Name=Saint Francis Healthcare System, PS_Region_New__c=US Healthcare, Industry=Acute Hospital / Health System, attributes={url=/services/data/v62.0/sobjects/Account/0018000000qZ8szAAC, type=Account}}</t>
  </si>
  <si>
    <t>017VT0000GuQmzOYQS</t>
  </si>
  <si>
    <t>a0rVT00001DXBKrYAP</t>
  </si>
  <si>
    <t>0014X00002aVKVZQA4</t>
  </si>
  <si>
    <t>{Name=Rayus Radiology, Industry=Ambulatory, attributes={type=Account, url=/services/data/v62.0/sobjects/Account/0014X00002aVKVZQA4}, PS_Region_New__c=US Healthcare}</t>
  </si>
  <si>
    <t>017VT0000GuRSOCYQ4</t>
  </si>
  <si>
    <t>a0pVT00000Cq3KiYAJ</t>
  </si>
  <si>
    <t>a0rVT00001DXBMTYA5</t>
  </si>
  <si>
    <t>0014X00002aVVm2QAG</t>
  </si>
  <si>
    <t>{Industry=Healthcare Manufacturing, Name=Pfizer, Inc., PS_Region_New__c=US Large Enterprise DI &amp; Mexico, attributes={url=/services/data/v62.0/sobjects/Account/0014X00002aVVm2QAG, type=Account}}</t>
  </si>
  <si>
    <t>{attributes={type=Account, url=/services/data/v62.0/sobjects/Account/001VT00000b2Se6YAE}, SubRegion__c=Corporate, Name=Metlen, Industry=Oil &amp; Gas, PS_Sub_Region__c=Corporate, PS_Region_New__c=Corporate}</t>
  </si>
  <si>
    <t>017VT0000GcCcFoYQK</t>
  </si>
  <si>
    <t>G3 Enterprises, Inc.</t>
  </si>
  <si>
    <t>0014X00002dLnhcQAC</t>
  </si>
  <si>
    <t>{Name=Brightstar Credit Union, PS_Region_New__c=US FSI, Industry=Banking &amp; Capital Markets, attributes={type=Account, url=/services/data/v62.0/sobjects/Account/0014X00002dLnhcQAC}}</t>
  </si>
  <si>
    <t>017VT0000GcCcEzYQK</t>
  </si>
  <si>
    <t>a0rVT00001DXBPhYAP</t>
  </si>
  <si>
    <t>0014X00002dSvHnQAK</t>
  </si>
  <si>
    <t>a0pVT00000CppBHYAZ</t>
  </si>
  <si>
    <t>{attributes={url=/services/data/v62.0/sobjects/Account/0014X00002dSvHnQAK, type=Account}, Name=MGA Homecare, LLC dba MGA Homecare, Industry=Post Acute, PS_Region_New__c=US Healthcare}</t>
  </si>
  <si>
    <t>{attributes={type=Account, url=/services/data/v62.0/sobjects/Account/001VT00000b2Se6YAE}, Industry=Oil &amp; Gas, PS_Region_New__c=Corporate, SubRegion__c=Corporate, Name=Metlen, PS_Sub_Region__c=Corporate}</t>
  </si>
  <si>
    <t>017VT0000GcCd7nYQC</t>
  </si>
  <si>
    <t>a0rVT00001DXBPiYAP</t>
  </si>
  <si>
    <t>001VT00000bDYD7YAO</t>
  </si>
  <si>
    <t>{PS_Region_New__c=US Large Enterprise DI &amp; Mexico, Name=KBP Bells (Taco Bell), attributes={type=Account, url=/services/data/v62.0/sobjects/Account/001VT00000bDYD7YAO}, Industry=Restaurant &amp; Food Service}</t>
  </si>
  <si>
    <t>017VT0000GcCcFNYQ0</t>
  </si>
  <si>
    <t>Gables Residential Services, Inc.</t>
  </si>
  <si>
    <t>0014X00002dTKsQQAW</t>
  </si>
  <si>
    <t>{attributes={type=Account, url=/services/data/v62.0/sobjects/Account/0014X00002dTKsQQAW}, Industry=Non-Profit, PS_Region_New__c=US SLED, Name=Cristo Rey Network}</t>
  </si>
  <si>
    <t>a0pVT00000CpvJzYAJ</t>
  </si>
  <si>
    <t>a0rVT00001DX0qtYAD</t>
  </si>
  <si>
    <t>Plan_Owner__r.Name</t>
  </si>
  <si>
    <t>017VT0000GcCcFQYQ0</t>
  </si>
  <si>
    <t>0013000000Edj39AAB</t>
  </si>
  <si>
    <t>a0rVT00001DXBRKYA5</t>
  </si>
  <si>
    <t>{attributes={url=/services/data/v62.0/sobjects/Account/0013000000Edj39AAB, type=Account}, SubRegion__c=US DI LE CB TM &amp; PS Southwest, PS_Sub_Region__c=Diversified Industries LE CB TM &amp; PS, Industry=Consumer Goods, Name=Light &amp; Wonder, PS_Region_New__c=US Large Enterprise DI &amp; Mexico}</t>
  </si>
  <si>
    <t>0018000000ku21kAAA</t>
  </si>
  <si>
    <t>{attributes={url=/services/data/v62.0/sobjects/Account/0018000000ku21kAAA, type=Account}, Industry=Restaurant &amp; Food Service, Name=Raising Cane's Restaurants, LLC, PS_Region_New__c=US Large Enterprise DI &amp; Mexico}</t>
  </si>
  <si>
    <t>017VT0000GuRSOIYQ4</t>
  </si>
  <si>
    <t>a0rVT00001DXBSvYAP</t>
  </si>
  <si>
    <t>0014X00002eivQYQAY</t>
  </si>
  <si>
    <t>{PS_Region_New__c=Canada, Name=Inland Technologies Canada Inc., attributes={type=Account, url=/services/data/v62.0/sobjects/Account/0014X00002eivQYQAY}, Industry=Business Services}</t>
  </si>
  <si>
    <t>017VT0000GcCcHVYQ0</t>
  </si>
  <si>
    <t>a0rVT00001DXBUYYA5</t>
  </si>
  <si>
    <t>GAF Materials LLC</t>
  </si>
  <si>
    <t>0018000000aiaL6AAI</t>
  </si>
  <si>
    <t>{Name=TechnipFMC, attributes={url=/services/data/v62.0/sobjects/Account/0018000000aiaL6AAI, type=Account}, Industry=Oil &amp; Gas, PS_Region_New__c=US Large Enterprise DI &amp; Mexico}</t>
  </si>
  <si>
    <t>a0pVT00000Cq0t3YAB</t>
  </si>
  <si>
    <t>017VT0000GuPFHnYQO</t>
  </si>
  <si>
    <t>{Name=Light &amp; Wonder, PS_Sub_Region__c=Diversified Industries LE CB TM &amp; PS, attributes={url=/services/data/v62.0/sobjects/Account/0013000000Edj39AAB, type=Account}, Industry=Consumer Goods, PS_Region_New__c=US Large Enterprise DI &amp; Mexico, SubRegion__c=US DI LE CB TM &amp; PS Southwest}</t>
  </si>
  <si>
    <t>0018000000QbKSXAA3</t>
  </si>
  <si>
    <t>{PS_Region_New__c=US Medium Enterprise DI, Industry=Land and Rail Transportation and Freight, Name=Biagi Bros, Inc., attributes={url=/services/data/v62.0/sobjects/Account/0018000000QbKSXAA3, type=Account}}</t>
  </si>
  <si>
    <t>017VT0000GuQCpWYQW</t>
  </si>
  <si>
    <t>a0rVT00001DXBXlYAP</t>
  </si>
  <si>
    <t>DHP_Last_Updated__c</t>
  </si>
  <si>
    <t>0014X00002fFfzOQAS</t>
  </si>
  <si>
    <t>{attributes={url=/services/data/v62.0/sobjects/Account/0014X00002fFfzOQAS, type=Account}, Name=Thrive Skilled Pediatric Care, Industry=Post Acute, PS_Region_New__c=US Healthcare}</t>
  </si>
  <si>
    <t>Deployment_Health_Plan_Update__c</t>
  </si>
  <si>
    <t>Deployment_Health_Action_Plan__c</t>
  </si>
  <si>
    <t>017VT0000GcCd8iYQC</t>
  </si>
  <si>
    <t>0014X00002fFmYfQAK</t>
  </si>
  <si>
    <t>a0pVT00000CpqvMYAR</t>
  </si>
  <si>
    <t>{PS_Region_New__c=US Medium Enterprise DI, Industry=Business Services, attributes={url=/services/data/v62.0/sobjects/Account/0014X00002fFmYfQAK, type=Account}, Name=Arrow Security}</t>
  </si>
  <si>
    <t>a3x4X000000lG7FQAU</t>
  </si>
  <si>
    <t>a0rVT00001DXGQzYAP</t>
  </si>
  <si>
    <t>Gainwell Technologies LLC</t>
  </si>
  <si>
    <t>Chris Little</t>
  </si>
  <si>
    <t>017VT0000GuPf5KYQS</t>
  </si>
  <si>
    <t>{PS_Region_New__c=Canada, SubRegion__c=Canada FSI, Industry=Insurance, attributes={type=Account, url=/services/data/v62.0/sobjects/Account/0013000000KDc5nAAD}, Name=Sun Life Assurance Company of Canada, PS_Sub_Region__c=Canada FSI}</t>
  </si>
  <si>
    <t>The program has updated it's go-live range to be between 4/2028 - 10/2028, while targeting 7/2028. Tech CRs continue with a large effort pending review. EDW contract awarded to Deloitte.  Awaiting schedule baseline.</t>
  </si>
  <si>
    <t>Collaborate with the state in the assessment and drive to an agreed upon path forward.</t>
  </si>
  <si>
    <t>0018000001WMFJgAAP</t>
  </si>
  <si>
    <t>Architect / Design;Customer Resources;Scope Management</t>
  </si>
  <si>
    <t>{PS_Region_New__c=US Medium Enterprise DI, Name=Essex Industries, Inc., attributes={type=Account, url=/services/data/v62.0/sobjects/Account/0018000001WMFJgAAP}, Industry=High Technology}</t>
  </si>
  <si>
    <t>a3x4X000000st9gQAA</t>
  </si>
  <si>
    <t>a0r4X00000E14pzQAB</t>
  </si>
  <si>
    <t>Michelle Temple</t>
  </si>
  <si>
    <t>As above</t>
  </si>
  <si>
    <t>017VT0000GuRRDgYQO</t>
  </si>
  <si>
    <t>a0rVT00001DXBZPYA5</t>
  </si>
  <si>
    <t>14 Sept SteerCo top 7 risks (updated 29 Sept):
1) Volume of CRs -&gt; CRW2 on track, 2 large CRs (Poland -&gt; reduction in number, China JV will be done PGL)
2) E2E tester readiness -&gt; Enablement approach
3) Market &amp; GFT capacity -&gt; Addressed at PLB
4) Works Council -&gt; MB
5) Doc Gen -&gt; Focus topic/daily stand ups, unit test continues w/c 28 Sept, due to enter E2E 5 Oct
6) INTs E2E progress -&gt; Tester capacity addressed at PLB
Additional challenges:
* Jiras being a prioritised + additional capacity being looked at
* Adaptive E2E; timeline being adjusted, resources being looked at</t>
  </si>
  <si>
    <t>Architect / Design;Integration</t>
  </si>
  <si>
    <t>001VT00000W1gVtYAJ</t>
  </si>
  <si>
    <t>a3x4X000000suQYQAY</t>
  </si>
  <si>
    <t>{attributes={type=Account, url=/services/data/v62.0/sobjects/Account/001VT00000W1gVtYAJ}, Name=St. Madeleine Sophie's Center (Inactive Account), PS_Region_New__c=US Medium Enterprise DI, Industry=Post Acute}</t>
  </si>
  <si>
    <t>Aaron Smith</t>
  </si>
  <si>
    <t>017VT0000GcCd8KYQS</t>
  </si>
  <si>
    <t>a0pVT00000CptDHYAZ</t>
  </si>
  <si>
    <t>04/15/26   Trending positive towards successful go live.   Finalizing Non GDOT cutover and Gold Build plans.  Grants team has made progress and should be on track for go live.   Silver Tenant build successful.  Sustainment discussions happening with Leadership and functional areas.
12/5:  Non GDOT go-live tracking towards July 2026.  Significant number of get to green items have been resolved / closed.  Most significant risk areas remain to be benefits testing and grants conversion / configuration.  Deloitte adding more staff to grants team to try to surge support high volume of files coming from agencies in early January.  New Deloitte executed amendment does include another tenant build (silver) which will begin in early Jan and complete in end of Feb.  This also includes 'final testing' which includes things that have come to a close after EUAT completion. 
10/23:  Schedule is being replanned for a July 2026 go-live to enable grants work to be completed and to mitigate risk of needing to close FY in WD three months after go-live.  In addition, GDOT will not be part of the July 2026 go-live.  Team is working with GDOT to align on their desired schedule - July 2027 deployment and specific 'must have' features and functionality primarily in the finance space. 
9/3: Schedule has been replanned with a target of go-live April 2026.  Get to Green items have been collected and steps to resolve / bring to closure have been put in place - reviewed weekly, some more frequent.  GDOT discussions continue - specific timeline of activities laid out for GDOT.  
8/18 Deloitte and State working to replan schedule as a result of go-live shift to April 2026. GDOT issues are of concern and continue discussion on how to address include Deloitte, Workday, State team are working on the identified solution.  Enterprise UAT continues through 8/22. FIN team working through FDM issues with Agencies. State team is working on data conversion issues and updates in prep for restarting Mock build.</t>
  </si>
  <si>
    <t>Garney</t>
  </si>
  <si>
    <t>Deloitte, Workday, GDOT, and SAO are meeting regularly to review requirements, solution design, and plan for product enhancements currently communicated to be available in Nov 2025.</t>
  </si>
  <si>
    <t>Integration</t>
  </si>
  <si>
    <t>001VT00000b2W6aYAE</t>
  </si>
  <si>
    <t>a3x4X000002XG02QAG</t>
  </si>
  <si>
    <t>{PS_Region_New__c=US Medium Enterprise DI, Name=CD Cedar Hill, attributes={url=/services/data/v62.0/sobjects/Account/001VT00000b2W6aYAE, type=Account}, Industry=Restaurant &amp; Food Service}</t>
  </si>
  <si>
    <t>a0r4X00000E1AouQAF</t>
  </si>
  <si>
    <t>Aaron Williams</t>
  </si>
  <si>
    <t>{PS_Sub_Region__c=ME NN MFG, PS_Region_New__c=US Medium Enterprise DI, SubRegion__c=US DI ME NN MFG Midwest, Name=Now Health Group, Inc., attributes={url=/services/data/v62.0/sobjects/Account/0011B00002CX2r9QAD, type=Account}, Industry=Consumer Goods}</t>
  </si>
  <si>
    <t>- Status remains yellow due to E2E3 test execution delays
- E2E cycle 1 in break-fix, will not hit completion metrics.  Working with STO on mitigation plan
- E2E4 build has begun, behind schedule due to data quality issues with mitigation plan in place to catch up</t>
  </si>
  <si>
    <t>017VT0000GcCdBlYQK</t>
  </si>
  <si>
    <t>All issues noted above have been escalated to Langara and Deloitte leadership, with the following action plan:
- We are actively working with STO to identify ways that they can catch up or better plan E2E3 testing
- We are also working with STO to plan for the new tenant build that will be required.</t>
  </si>
  <si>
    <t>Customer Resources;Deployment Resources;Integration;Scope Management</t>
  </si>
  <si>
    <t>0014X00002iHStVQAW</t>
  </si>
  <si>
    <t>a3x4X000002XG36QAG</t>
  </si>
  <si>
    <t>{PS_Region_New__c=US Medium Enterprise DI, Industry=Post Acute, attributes={type=Account, url=/services/data/v62.0/sobjects/Account/0014X00002iHStVQAW}, Name=abcor home health}</t>
  </si>
  <si>
    <t>a0r4X00000DdgtyQAB</t>
  </si>
  <si>
    <t>Nick Taousakis</t>
  </si>
  <si>
    <t>017VT0000GuPwswYQC</t>
  </si>
  <si>
    <t>a0rVT00001DXBeDYAX</t>
  </si>
  <si>
    <t>09/28/2026:  Moved to Yellow as of 9/8/2026.  MTP1 is live as of 9/21/2026!!! CHESS is considering delaying MTP2 back to March 22 from March 1. 
Post go-live support structure and readiness not well defined.
CHESS ESS not properly staffed to support post go-live.
MTP 1 E2E Testing: Yellow -  Workday consultants are confident in config but a few Colleges will struggle with operating due to College resource availability or attrition of project team members.
MTP 2 E2E Testing: Yellow - Slow progress.  Testing scenarios are generally not thorough and the level of depth is inconsistent based on College.
Integration Workstream: RED - Regular discussion with project champions regarding delays in progress are occurring.  RAIDQ is being fully leveraged.  Integration Functional Unit Testing is delayed. 
Reporting Workstream: RED - CHESS PMO to take active role in assisting developers with administrative tasks such as setting up meetings and following up with individuals.
Path to Green:
Workday formally responded to CNM's Ad Astra issue and is continuing to support CNM's concerns. We are also educating CHESS on mechanisms for striping outbound integrations data in MI environments. 
Working with College PMO and key project leaders on resolution for Colleges to resolve E2E testing and cutover planning challenges.  College leaders have also been asked to increase resource availability for project team members.</t>
  </si>
  <si>
    <t>0014X00002iHmSNQA0</t>
  </si>
  <si>
    <t>{Name=Samaritan Hospital, attributes={url=/services/data/v62.0/sobjects/Account/0014X00002iHmSNQA0, type=Account}, Industry=Acute Hospital / Health System, PS_Region_New__c=US Healthcare}</t>
  </si>
  <si>
    <t>Support CNM in resolving integration blocker. 
Integration Workstream – Red:  SJC - Slate - Wont be implemented until April 2027.   Integration Testing is improving but still moving slowly.  Enhanced Testing process to simulate Prod cut-over.
Reporting Workstream – Yellow: Over 200 reports are remaining to be built in WS-D.  Workstream is focusing on prioritizing the remaining reports.  Progress is slower than desired but quality of process for the workstream is good.
-Testing Workstream: Yellow Status. We are re-aligning on process and strategy with CHESS while also more fully shifting ownership to the customer.</t>
  </si>
  <si>
    <t>Architect / Design;Customer Resources;Integration</t>
  </si>
  <si>
    <t>a3xVT0000001kGvYAI</t>
  </si>
  <si>
    <t>a0r4X00000ETUqvQAH</t>
  </si>
  <si>
    <t>017VT0000GuPwt2YQC</t>
  </si>
  <si>
    <t>Gates Foundation</t>
  </si>
  <si>
    <t>a0rVT00001DXBfpYAH</t>
  </si>
  <si>
    <t>a0pVT00000Cq0Y5YAJ</t>
  </si>
  <si>
    <t>a0rVT00001DX0uPYAT</t>
  </si>
  <si>
    <t>0014X00002iHn1TQAS</t>
  </si>
  <si>
    <t>- Still working on FIN reports
- Complex PSA and customer financial making getting sign off difficult
- Continue meeting 2x per week until reports are finished
- Customer still escalated from initial deployment so working with them to improve experience 
- Customer will start Fin Planning deployment in Jan 2027; This has been WD DD approved
- EM to send customer $0 CO to update Fin Planning project dates p
- Overall yellow due to budget overage
- Will work to recoup some budget overage during FIN Planning deployment</t>
  </si>
  <si>
    <t>{Industry=Acute Hospital / Health System, attributes={url=/services/data/v62.0/sobjects/Account/0014X00002iHn1TQAS, type=Account}, Name=Prosser Memorial Health Hospital, PS_Region_New__c=US Medium Enterprise DI}</t>
  </si>
  <si>
    <t>- Daily PMO meetings 
- 2x per week sprint working sessions to complete remaining work 
- Escalation to partner management
- Partner agreed to provide investment (large number of non-billable hours) to finish work 
- Customer to sign CO to extend PPS
- Customer bringing AMS partner on board</t>
  </si>
  <si>
    <t>Architect / Design;Integration;Testing</t>
  </si>
  <si>
    <t>0011B00002H5zNeQAJ</t>
  </si>
  <si>
    <t>a3xVT000000270bYAA</t>
  </si>
  <si>
    <t>{PS_Region_New__c=ANZ, Name=RSL Lifecare Limited, Industry=Post Acute, PS_Sub_Region__c=ANZ AU ME, attributes={url=/services/data/v62.0/sobjects/Account/0011B00002H5zNeQAJ, type=Account}, SubRegion__c=ANZ AU ME CB}</t>
  </si>
  <si>
    <t>017VT0000GuQmC2YQK</t>
  </si>
  <si>
    <t>a0rVT00000KuPoOYAV</t>
  </si>
  <si>
    <t>a0rVT00001DXBfqYAH</t>
  </si>
  <si>
    <t>Grant Bishop</t>
  </si>
  <si>
    <t>Key risks in integration and retrofit delivery and E2E design
Test Planning for SIT3 UAT, Parallel, Pen, Perf, DR</t>
  </si>
  <si>
    <t>{Industry=Acute Hospital / Health System, PS_Region_New__c=US Healthcare, Name=SSM Health Care Corporation d/b/a SSM Health, attributes={url=/services/data/v62.0/sobjects/Account/0018000000NwzOxAAJ, type=Account}}</t>
  </si>
  <si>
    <t>PATH TO GREEN
Finalise UAT planning, schedule and book resources for UAT.</t>
  </si>
  <si>
    <t>Architect / Design</t>
  </si>
  <si>
    <t>a3xVT0000002J8DYAU</t>
  </si>
  <si>
    <t>a0r4X00000CrWNpQAN</t>
  </si>
  <si>
    <t>Neil Mehta</t>
  </si>
  <si>
    <t>017VT0000GuPwszYQC</t>
  </si>
  <si>
    <t>a0rVT00001DXBhRYAX</t>
  </si>
  <si>
    <t>0014X00002iHsSVQA0</t>
  </si>
  <si>
    <t>Overall Status: End-to-End (E2E) testing is delayed specifically related to Payroll test scenarios. PPR Tenant build delayed and is subject to rebaseline of dates​
​
​
Path to Amber:​
Rebaseline project plan based on E2E testing delay and overall impact to timeline. Initiall planning session conducted but finalization required.​
E2E testing and defect resolution and support (In-Progress)​
PPR Build entry and exit criteria met (No Payroll impacting defects outstanding)​
Review and assess E2E revised testing schedule and next tenant build dates to be finalized​</t>
  </si>
  <si>
    <t>{Name=Roadrunner Food Bank Inc, Industry=Non-Profit, attributes={url=/services/data/v62.0/sobjects/Account/0014X00002iHsSVQA0, type=Account}, PS_Region_New__c=US SLED}</t>
  </si>
  <si>
    <t>Change Management / User Adoption;Customer Exec Sponsorship;Customer Resources;Deployment Resources;Integration;Project Management/Methodology;Scope Management</t>
  </si>
  <si>
    <t>a3xVT0000002KvVYAU</t>
  </si>
  <si>
    <t>017VT0000GuR5VMYQ0</t>
  </si>
  <si>
    <t>a0pVT00000CpmbcYAB</t>
  </si>
  <si>
    <t>a0rVT00000V5OKsYAN</t>
  </si>
  <si>
    <t>a0rVT00001DXBhSYAX</t>
  </si>
  <si>
    <t>Fred Fabre</t>
  </si>
  <si>
    <t>0018000001GRHeHAAX</t>
  </si>
  <si>
    <t>{Industry=Business Services, PS_Region_New__c=ANZ, Name=realestate.com.au Pty Ltd, attributes={type=Account, url=/services/data/v62.0/sobjects/Account/0018000001GRHeHAAX}}</t>
  </si>
  <si>
    <t>Material change order discussion to come in June.</t>
  </si>
  <si>
    <t>FIN:  Design sign off confirmed at 95% for Core Workday (former phase 2). Change order to cover customisations to be agreed.</t>
  </si>
  <si>
    <t>{Name=RSL Lifecare Limited, PS_Sub_Region__c=ANZ AU ME, PS_Region_New__c=ANZ, attributes={type=Account, url=/services/data/v62.0/sobjects/Account/0011B00002H5zNeQAJ}, Industry=Post Acute, SubRegion__c=ANZ AU ME CB}</t>
  </si>
  <si>
    <t>Change Management / User Adoption;Customer Resources;Deployment Resources;Product  Related;Scope Management</t>
  </si>
  <si>
    <t>017VT0000GuRSj2YQG</t>
  </si>
  <si>
    <t>a0rVT00001DXBj3YAH</t>
  </si>
  <si>
    <t>a3xVT0000002LQ9YAM</t>
  </si>
  <si>
    <t>0014X00002kjjw4QAA</t>
  </si>
  <si>
    <t>a0r4X00000ETVmzQAH</t>
  </si>
  <si>
    <t>{attributes={url=/services/data/v62.0/sobjects/Account/0014X00002kjjw4QAA, type=Account}, Name=Nightwing Group, LLC, Industry=High Technology, PS_Region_New__c=US Medium Enterprise DI}</t>
  </si>
  <si>
    <t>Martin Brooks</t>
  </si>
  <si>
    <t>Replanning in progress to push out timelines for Capita CSPS testing and to accommodate ReOrg changes. Decision expected 12th October. Revised go-live expected to be May 2027.</t>
  </si>
  <si>
    <t>General Motors Holdings LLC</t>
  </si>
  <si>
    <t>017VT0000GuQVgeYQG</t>
  </si>
  <si>
    <t>Currently driving re-planning discussions with the client to agree a feasible revised go-live date in 2027.</t>
  </si>
  <si>
    <t>a0rVT00001DXBj4YAH</t>
  </si>
  <si>
    <t>Architect / Design;Customer Resources;Product  Related;Testing</t>
  </si>
  <si>
    <t>0018000000LUGPMAA5</t>
  </si>
  <si>
    <t>{Industry=Acute Hospital / Health System, PS_Region_New__c=US Healthcare, attributes={url=/services/data/v62.0/sobjects/Account/0018000000LUGPMAA5, type=Account}, Name=Yuma Regional Medical Center DBA Onvida Health Yuma Medical Center}</t>
  </si>
  <si>
    <t>a3xVT0000002TdpYAE</t>
  </si>
  <si>
    <t>Ann Zis</t>
  </si>
  <si>
    <t>017VT0000GuPrg4YQC</t>
  </si>
  <si>
    <t>a0rVT00001DXBj5YAH</t>
  </si>
  <si>
    <t>a0pVT00000Cq0WUYAZ</t>
  </si>
  <si>
    <t>Payroll Parallel Cycle 2 closed. Data extraction (HCM data cut occurred EOB 9/17  per schedule. Add'l E2E testing for City's continued exposure pre-go live.  Ongoing focus on stage gates, cutover, TCU planning (though FINs TCU plan is outstanding and gap)</t>
  </si>
  <si>
    <t>0018000000ku2j2AAA</t>
  </si>
  <si>
    <t>{attributes={type=Account, url=/services/data/v62.0/sobjects/Account/0018000000ku2j2AAA}, Industry=Food &amp; Drug, PS_Region_New__c=US Large Enterprise DI &amp; Mexico, Name=Maverik Group, LLC.}</t>
  </si>
  <si>
    <t>Customer resources
•	City conducting internal discussions to evaluate staffing options and additional approaches for workstream coverage
Testing
•	Weeks originally designated as wrap-up are being repurposed for E2E testing
•	E2E testing extended by 4 weeks
Scope management
•	Bring in 3 years of terminated workers into native Workday
•	Bring in 3 years of quarterly Payroll history for current employees (into native Workday)
•	Quarterly data to be reconciled and loaded (EIB)
•	Prism use case: HR and Payroll history
•	Ongoing updates for Supervisory Organization
Integrations
•	Research conducted on 23 integrations
•	Design, development, and unit testing changes in progress for ~10 integrations to return them to E2E testing</t>
  </si>
  <si>
    <t>Customer Resources;Integration;Scope Management;Testing</t>
  </si>
  <si>
    <t>a3xVT0000002UZtYAM</t>
  </si>
  <si>
    <t>a0rVT00000eIJpxYAG</t>
  </si>
  <si>
    <t>{SubRegion__c=US Federal Defense &amp; Intel, PS_Region_New__c=US Federal, Name=Lockheed Martin Corporation, Industry=High Technology, attributes={url=/services/data/v62.0/sobjects/Account/0013000000JNYmmAAH, type=Account}, PS_Sub_Region__c=US Federal}</t>
  </si>
  <si>
    <t>Vaani Polavarapu</t>
  </si>
  <si>
    <t>11/18: The project is on hold until Ramp1 LN project.
10/29: The project is on hold until Ramp1 LN project.
9/29: The project is on hold until shadowed on Ramp project.
The project is on hold until shadowed on Ramp project.
The project is on hold until being shadowed on Ramp project.</t>
  </si>
  <si>
    <t>017VT0000GuQtmiYQC</t>
  </si>
  <si>
    <t>The project is on hold until shadowed on Ramp project.
10/29: The project is on hold until Ramp1 LN project.
The project is on hold until Ramp1 LN project.
9/16: The project is on hold until shadowed on Ramp project.
Raised a Service case#2942450 is raised to seek help</t>
  </si>
  <si>
    <t>a0rVT00001DXBkfYAH</t>
  </si>
  <si>
    <t>Deployment Resources</t>
  </si>
  <si>
    <t>0014X00002ltU0YQAU</t>
  </si>
  <si>
    <t>a3xVT0000002a2bYAA</t>
  </si>
  <si>
    <t>Genuine Parts Company</t>
  </si>
  <si>
    <t>{Name=IPS Security Inc, Industry=Business Services, attributes={type=Account, url=/services/data/v62.0/sobjects/Account/0014X00002ltU0YQAU}, PS_Region_New__c=US Large Enterprise DI &amp; Mexico}</t>
  </si>
  <si>
    <t>a0rVT00000YCMHJYA5</t>
  </si>
  <si>
    <t>Iman Mousavian</t>
  </si>
  <si>
    <t>017VT0000GuRMioYQG</t>
  </si>
  <si>
    <t>02.05: no new updates
15.04: no new updates
07.04: no new updates
19.03: no new updates
12.03: no new updates
16.02: no new updates
06.02: no new updates
29.01: no new updates
15.01: no new updates. next week is delivery sales escalation meeting with the customer
07.01: no new updates
27.12: no new updates
16.12: no new updates
05.12: onsite management meeting was planned with DSV end of Jan to discuss the options
19.11: no new updates 
18.11: no new updates
03.11: no new updates
27.10: no new updates
14.10: no new updates 
06.10: no new updates
26.09: no new updates</t>
  </si>
  <si>
    <t>- Proof of concept to use boomerang and studio integration to see the feasibility 
- descoping both functions from the subscription</t>
  </si>
  <si>
    <t>0014X00002luIZlQAM</t>
  </si>
  <si>
    <t>Product  Related</t>
  </si>
  <si>
    <t>{PS_Region_New__c=US Medium Enterprise DI, Name=D &amp; H Company, attributes={url=/services/data/v62.0/sobjects/Account/0014X00002luIZlQAM, type=Account}, Industry=Consumer Goods}</t>
  </si>
  <si>
    <t>a3xVT0000002cafYAA</t>
  </si>
  <si>
    <t>a0rVT00000KtYFNYA3</t>
  </si>
  <si>
    <t>Nicholas Demet</t>
  </si>
  <si>
    <t>017VT0000GuQtmlYQC</t>
  </si>
  <si>
    <t>a0pVT00000Cq3qvYAB</t>
  </si>
  <si>
    <t>a0rVT00001DXBmHYAX</t>
  </si>
  <si>
    <t>Revise timeline discussions are in place</t>
  </si>
  <si>
    <t>0014X00002ltfdFQAQ</t>
  </si>
  <si>
    <t>a3xVT0000002dEzYAI</t>
  </si>
  <si>
    <t>{attributes={url=/services/data/v62.0/sobjects/Account/0014X00002ltfdFQAQ, type=Account}, PS_Region_New__c=US Medium Enterprise DI, Name=H&amp;H Automotive LLC, Industry=Auto}</t>
  </si>
  <si>
    <t>a0rVT00000gqymIYAQ</t>
  </si>
  <si>
    <t>{Industry=High Technology, attributes={type=Account, url=/services/data/v62.0/sobjects/Account/0013000000JNYmmAAH}, PS_Sub_Region__c=US Federal, SubRegion__c=US Federal Defense &amp; Intel, Name=Lockheed Martin Corporation, PS_Region_New__c=US Federal}</t>
  </si>
  <si>
    <t>Get Staffed Up, LLC</t>
  </si>
  <si>
    <t>017VT0000GuRMiiYQG</t>
  </si>
  <si>
    <t>a0rVT00001DXBntYAH</t>
  </si>
  <si>
    <t>0014X00002luFB7QAM</t>
  </si>
  <si>
    <t>{Industry=Land and Rail Transportation and Freight, PS_Region_New__c=US Medium Enterprise DI, Name=TFA Logistics, attributes={type=Account, url=/services/data/v62.0/sobjects/Account/0014X00002luFB7QAM}}</t>
  </si>
  <si>
    <t>017VT0000GcCcFrYQK</t>
  </si>
  <si>
    <t>a0rVT00001DXBnuYAH</t>
  </si>
  <si>
    <t>001VT00000WPKSXYA5</t>
  </si>
  <si>
    <t>{Name=Scissors &amp; Scotch, Industry=Restaurant &amp; Food Service, PS_Region_New__c=US Medium Enterprise DI, attributes={url=/services/data/v62.0/sobjects/Account/001VT00000WPKSXYA5, type=Account}}</t>
  </si>
  <si>
    <t>Sep 25 2025
1. Identify critical plan stage workstreams and the latest date these workstreams can begin without impacting the critical path. &gt; Complete
2. Discuss with program leadership &gt; Complete
3. Raise with Joint Executive Committee (program leadership) group on 9/24 meeting &gt; Complete
Oct 1 2025
Customer onboarding continuing and 21 folks onboarded so far. Still behind schedule. Workstream specific kick-off meetings continuing in areas where Director &amp; Manager level has been onboarded.
Oct 11 2025
No substantial progress in customer onboarding. Further details on critical tasks to be presented at Oct 15 Joint Executive Meeting (JEC) and each workstream to review their plan for progressing these critical paths with customer Chief Program Officer (CPO) beginning week of Oct 10.
Oct 15 2025
Director of Product has resigned; however, Manager level has been staffed. Latest recruiting update is that 31 folks identified / onboarded. Resource gaps continue to delay critical path workstream start (such as FDM start, Process start, and Data Conversion extracts).
Oct 23 2025
No major change in status and customer resourcing continues to be a hinderance. PMO workstream has been fully staffed either by full time folks or by temporary assignment; however, big driver of yellow/red status is the staffing around functional and technical leads which has not notable progressed since last week's update. The risk to the A&amp;C stage start date (Jan 5) continues to grow.
Nov 2 2025
Critical customer staffing gaps being addressed as one-offs by customer executive team (JEC) while overall recruiting efforts continue (pending stats from customer PMO director). For example, FDM critical path work has been unblocked and integrated planning work will proceed with identified points of contacts (may be Director, Manager, or SME level). Although this is not ideal, it will allow the work to continue. The risk to the A&amp;C stage start date (Jan 5) continues.
Nov 10 2025
No major updates. Issues continue to be addressed with one-off mitigations based on available team (e.g. utilize Manager/Director level instead of Lead level). This allows tasks to be unblocked but ultimately does not allow the onboarding/KT required to stand up the team required for A&amp;C start. The risk to the A&amp;C stage start date (Jan 5) continues.
Nov 18 2025
No major updates and customer staffing continues to be substantially behind scheduled. As of Nov 12, only 32 hires completed with 33 positions still open and 20 in offer stage (out of 85 resources, 32 are onboarded and ready to go). Managers have stepped in to do the work of Leads but they do not have the capacity and level of detail necessary to take the activities to completion. The risk to the A&amp;C stage start date (Jan 5) continues and we are most likely tracking a 1-2 month delay.
Nov 26 2025
Customer PMO director has changed and recruitment stats being reported differently as a result; however, continues to be substantially behind schedule. As of Nov 21, 55 roles hired out of 201 total roles. Project plan development draft has completed and critical path analysis in progress. Project plan tracking delays that are being confirmed and refined.
Dec 4 2025
No major update on customer staffing. Integrated Project Plan work is pointing to a several month delay in the go-live date due to pacing of last few months. Critical path analysis and discussions continuing till Dec 15.
Dec 10 2025
Customer staffing continues to be behind schedule but accelerating. Latest stats are 79 roles filled out of 192 total roles. Functional areas are the furthest behind with only 33 roles filled out of 82. Integrated Project Plan work is continuing to point to a several month delay in the go-live date due to pacing of last few months and continued slow progress around integrations and related work. Critical path analysis and discussions continuing till Dec 15.
Dec 24.
Baseline plan and critical path analaysis complete. updated plan being presented to exec on Dec 24. Will result in a rebaseline in the first week of Jan; status will be updated to reflect new plan
Dec 30 2025
Customer recruitment continues to be behind schedule but accelerating (stats pending due to holidays). Project plan created and pointing to risk of 3 month delay due to integration activities and work happening to rationalize integration scope by March, which may result in delay not be realized. Operating Model workstream postponed due to Shared Service Organization announcement on Dec 3rd.
Jan 7 2026
Customer recruitment continues to be behind schedule but accelerating. Currently 101 out of 186 roles have been filled. Project plan being baselined this week and to be rebaselined once integration and dependent project analysis completed in March/April. Project plan pointing to roughly the SOW go-live date but this may change once integration and dependent project analysis is complete in March/April. Operating Model workstream continues to be paused due to Shared Service Organization announcement on Dec 3rd (no resume date identified).
Jan 15 2026
No major updates. Customer CPO onboarding.
Jan 23 2026
Customer recruiting continuing with 107/186 roles onboarded. Design sessions have started.
Feb 1 2026
Customer recruiting continuing with 112/190 roles onboarded. Design sessions continuing as scheduled. Schedule risks continue around integrations.
Feb 9 2026
No major updates.
Feb 17 2026
Customer recruiting continuing with 124/190 roles onboarded. Customer PMO Director starting Mar 9. Design sessions continuing as scheduled. Schedule risks continue around integrations and deep dive project plan review to re-validate assumptions in progress.
Feb 25 2026
Customer recruiting continuing with 139/187 roles onboarded. Customer PMO Director starting Mar 9. Design sessions continuing as scheduled. Schedule risks continue around integrations with a 4+ week delay in the integration workset 1 start. Integration replanning in progress.
Mar 4 2026
Customer recruiting continuing with 141/188 roles onboarded. Customer PMO Director starting Mar 9. Customer Test Lead has onboarded. Design sessions continuing as scheduled. Schedule risks continue around integrations with a 5+ week delay in the integration workset 1 start. Integration replanning in progress and will be a key topic in next week's leadership onsite meeting.
Mar 12 2026
No major update. Customer recruiting continuing with 142/188 roles onboarded. Customer PMO Director started Mar 9. Schedule risks continue around integrations with a 6+ week delay in the integration workset 1 start. Integration replanning in progress and a key topic in this week's leadership onsite meeting. Further plan inputs from integrations not expected till end of March.
Mar 20 2026
No major update. Replanning in progress.
Mar 30 2026
Program-wide replanning has kicked off and working with BCH to facilitate alignment on suitable deployment approaches for further detailing.
Apr 7 2026
No major update. Program-wide replanning continuing till beginning of May.
Apr 15 2026
No major update. Program-wide replanning continuing till beginning of May. Customer recruiting continuing with 156/188 roles onboarded
Apr 23 2026
No major update. Program has alignment on revised CCS and UT dates. Program-wide planning continuing.
May 1 2026
No major update. Program-wide planning continuing and on track for presentation at May 6th JEC.
May 10 2026
Re-plan presented at May 6th JEC and directional approval received late last week. Detailed planning on preferred re-plan option in progress.
May 18 2026
No major updates. Team continues to mobilize more detailed planning coming out of JEC directional approval.
May 26 2026
No major updates. Team continues to mobilize more detailed planning coming out of JEC directional approval in preparation for early June broader communication.
Jun 3 2026
Revised plan formalization continuing and was presented at the CEO table and announced on 6/2 at to the entire program. Detailed planning and contract updates starting with AE &amp; SE.
Jun 16, 2026
Team Workday drafting a Change order to align the services contract with the new plan. Detailed planning to re-baseline the integrated project plan commencing.
Jun 24 2026
No major updates. Mobilization of endorsed replanning in progress with CO/Project Plan updates.
Jul 2 2026
Draft CO was presented to BCH. Awaiting scope clarity on HRT and Integrations before finalizing CO. Project Plan replanning in progress. ETA mid-August to complete all replanning.
Jul 8 2026
No major updates. Awaiting CO feedback from BCH on Jul 10.
Jul 16 2026
TWD addressing initial list of replanning CO questions from BCH.
Jul 25 2026
Next iteration of CO submitted to BCH on 7/24. Detailed planning continuing throughout August.
Aug 5 2026
BCH providing CO redlines week of Aug 10. Detailed planning continuing throughout August.
Aug 13 2026
BCH providing CO redlines week of Aug 10.  Detailed planning continuing throughout August.
Aug 21 2026
Finalizing estimates for CO to present next week .Detailed planning continuing throughout August.
Aug 31 2026
Will be presenting CO this week.
Sep 8 2026
Continuing negotiating CO, reviewing Integrations plan internally.
Sep 17 2026
Continuing negotiating CO, reviewing Integrations plan internally.
Sep 25 2026
Continuing negotiating CO..</t>
  </si>
  <si>
    <t>1. Identify critical plan stage workstreams and the latest date these workstreams can begin without impacting the critical path.
2. Discuss with program leadership
3. Raise with Joint Executive Committee (program leadership) group on 9/24 meeting
4. Ensure staffing of critical plan stage workstreams by expediting recruitment efforts</t>
  </si>
  <si>
    <t>a0rVT00001DXFY9YAP</t>
  </si>
  <si>
    <t>Customer Resources</t>
  </si>
  <si>
    <t>017VT0000GuRRtrYQG</t>
  </si>
  <si>
    <t>a0rVT00001DXBpWYAX</t>
  </si>
  <si>
    <t>GFL Environmental Inc.</t>
  </si>
  <si>
    <t>a3xVT0000002hVVYAY</t>
  </si>
  <si>
    <t>a0pVT00000Cq5O7YAJ</t>
  </si>
  <si>
    <t>a0rVT00000XjiQ6YAJ</t>
  </si>
  <si>
    <t>0018000000P0t3LAAR</t>
  </si>
  <si>
    <t>Badr-Eddine Ben Rahou</t>
  </si>
  <si>
    <t>{Industry=Architecture, Engineering &amp; Construction, PS_Region_New__c=US Large Enterprise DI &amp; Mexico, attributes={url=/services/data/v62.0/sobjects/Account/0018000000P0t3LAAR, type=Account}, Name=Walsh Construction Company II, LLC}</t>
  </si>
  <si>
    <t>S No Update...Project stopped on 19/01/2026 decision made by Volker Sinn: Workday Project sponsor: Badr (PM) released project consultant forecasts on PSA)
on 27/01/2026 still Waiting Workday sponsor and Customer Sponsor to formalize a project stop officially</t>
  </si>
  <si>
    <t>2026-09-30T13:25:15.000+0000</t>
  </si>
  <si>
    <t>Workday will estimate the CO without OCS answer, OCS Vendor to align within the current timeline
LDA have to decide for ADP Integation</t>
  </si>
  <si>
    <t>Integration;Scope Management;Testing</t>
  </si>
  <si>
    <t>017VT0000GcCcEhYQK</t>
  </si>
  <si>
    <t>{Industry=Architecture, Engineering &amp; Construction, PS_Sub_Region__c=ME Commercial East, SubRegion__c=US DI Commercial NN Southeast, Name=The Redland Company, PS_Region_New__c=US Medium Enterprise DI, attributes={url=/services/data/v62.0/sobjects/Account/0014X00002luL4DQAU, type=Account}}</t>
  </si>
  <si>
    <t>a3xVT0000002uPVYAY</t>
  </si>
  <si>
    <t>a0rVT00001DXBr7YAH</t>
  </si>
  <si>
    <t>a0rVT00000YFZRhYAP</t>
  </si>
  <si>
    <t>Emilie Nunez</t>
  </si>
  <si>
    <t>0014X00002luJNWQA2</t>
  </si>
  <si>
    <t>{PS_Region_New__c=US Large Enterprise DI &amp; Mexico, Industry=Architecture, Engineering &amp; Construction, Name=Turnpoint, attributes={url=/services/data/v62.0/sobjects/Account/0014X00002luJNWQA2, type=Account}}</t>
  </si>
  <si>
    <t>017VT0000GuQqcaYQC</t>
  </si>
  <si>
    <t>Overall Status. The project successfully achieved a unanimous go decision for Move to Production 1 and configuration is actively moving into the Production tenant. The overall status is yellow and trending red due to critical security resource constraints and downstream schedule pressure from the necessary MTP2 E2E tenant rebuild. We are proceeding with immediate MTP1 production security reviews using current resource capacity. Leadership must establish a firm deadline for the pending Security Support Change Order this week to prevent resource bottlenecks from blocking end user access post go live.
Scope Status. Scope is yellow and trending red due to schedule compression from the MTP2 E2E tenant rebuild, leaving zero tolerance for net new requirements. All deferred and canceled MTP1 pre-prod validations have been documented as post-prod catch up items in the cutover checklist. Following MTP1 go live, a formal assessment will triage and potentially defer non essential MTP2 scope items to buy back schedule buffer.
Schedule Status. The schedule is yellow and trending red because the MTP2 E2E tenant rebuild heavily compresses testing and cutover planning milestones. To mitigate this, the team is actively testing EIBs in SU2 and migrating configuration out of SU5 ahead of the October 11 refresh deadline. The MTP1 build continues through October 2, followed by Cohort 3 course loads from October 5 through 9. A formal review of MTP2 testing milestones is required to focus strictly on prioritized critical path execution.
To stabilize the project and return to green status, leadership must urgently approve the pending Security Support Change Order to prevent post-live access blockers and relieve bandwidth constraints. Additionally, the project team must rigorously enforce zero-tolerance for net new scope, execute a strict post-MTP1 assessment to defer non-critical items, and perfectly execute the upcoming SU2 EIB testing and October 11 SU5 refresh to protect the compressed MTP2 rebuild schedule.</t>
  </si>
  <si>
    <t>a0rVT00001DXBsjYAH</t>
  </si>
  <si>
    <t>0014X00002luOXXQA2</t>
  </si>
  <si>
    <t>{Name=Ritter Insurance Marketing, LLC, attributes={url=/services/data/v62.0/sobjects/Account/0014X00002luOXXQA2, type=Account}, Industry=Insurance, PS_Region_New__c=US FSI}</t>
  </si>
  <si>
    <t>a0pVT00000Cq5rBYAR</t>
  </si>
  <si>
    <t>017VT0000GuQqcgYQC</t>
  </si>
  <si>
    <t>a0rVT00001DXFMrYAP</t>
  </si>
  <si>
    <t>a0rVT00001DXBvxYAH</t>
  </si>
  <si>
    <t>•	Finalized integrations scope outlined in the change order, contact vendors, prioritize integrations by first run date and complete IDD documents over the next two months. The integration scope discussion continues with Seattle U determining their capacity to take on more integrations to reduce overall cost. Establish dedicated weekly IDD working sessions where the integration and functional workstreams meet to draft the design documents.  In addition, analyze capacity and add integration developer resources as soon as possible to build the integrations added to scope and recover lost development and testing time. An internal SU lead is responsible for 3rd party vendor outreach with a initial outreach completion date is now set for 2/20/26. SU formally deferred any non-critical integrations to a later phase to ensure critical integrations successfully launch on time. 
•	Increase unit testing completion rates by hosting internal-SU collaboration sessions in person weekly, remove conflicting priorities and ramp up resource with student workers. Remove testing bottle necks where testers are unequally over-assigned. If SU has not caught up to the burndown set by mid-January, ramp up daily testing stand-ups for increased focus on testing efforts and faster defect triage and issue resolution. Monitor the weekly testing burn down and escalate missed goals to project leadership.
•	Academic Foundation configuration decisions will be a focus of all future PMO meetings and will include a risk assessment until the decisions are made.
1. Integration &amp; Admissions recovery plan
•	Communicate changes to integration scope and ownership based on CO#2. 
•	Continue 3rd party vendor outreach and integration design documentation activities.
•	Confirm and, if necessary, augment technical and functional resources to execute on MTP1 integration design and build with the MTP1 timeline.
•	Use the new Integration tracker to enforce tighter governance and escalate slippage early.
2. Data Conversion resourcing decision (SeattleU)
•	Confirm additional client resources (or temporary support) for Data Conversion to avoid cascading delays into Workset C, functional testing, and downstream activities.
3. Student Records catch-up plan
•	Review SR workload and priorities, adjust staffing and/or meeting cadence, and set concrete expectations for starting and progressing the 6 un-started Workset B objectives.
•	Tie SR milestones explicitly to downstream testing and advising/records dependencies to reinforce urgency.
4. Testing execution and support
•	Reinforce expectations with SU workstream leads around executing the Workset B Ready-to-Test scenarios.
•	Consider temporary support (e.g., work-study or admin support) to offload non-testing tasks and free leads to focus on test execution.</t>
  </si>
  <si>
    <t>GIC Private Limited</t>
  </si>
  <si>
    <t>Architect / Design;Customer Resources;Deployment Resources;Integration;Scope Management;Testing</t>
  </si>
  <si>
    <t>0014X00002luPOaQAM</t>
  </si>
  <si>
    <t>{SubRegion__c=US DI ME NN RHT Southeast, Industry=Restaurant &amp; Food Service, attributes={type=Account, url=/services/data/v62.0/sobjects/Account/0018000001LcIpQAAV}, PS_Region_New__c=US Medium Enterprise DI, Name=SSP America, Inc., PS_Sub_Region__c=ME NN RHT East}</t>
  </si>
  <si>
    <t>{PS_Region_New__c=US Medium Enterprise DI, attributes={url=/services/data/v62.0/sobjects/Account/0014X00002luPOaQAM, type=Account}, Name=Premier Roofing, Industry=Architecture, Engineering &amp; Construction}</t>
  </si>
  <si>
    <t>017VT0000GcCcKhYQK</t>
  </si>
  <si>
    <t>0014X00002luPYuQAM</t>
  </si>
  <si>
    <t>{attributes={url=/services/data/v62.0/sobjects/Account/0014X00002luPYuQAM, type=Account}, PS_Region_New__c=US Medium Enterprise DI, Industry=Architecture, Engineering &amp; Construction, Name=Brewer Companies}</t>
  </si>
  <si>
    <t>017VT0000GuOj56YQC</t>
  </si>
  <si>
    <t>Gila River Gaming Enterprises, Inc</t>
  </si>
  <si>
    <t>0018000000NfBUNAA3</t>
  </si>
  <si>
    <t>{PS_Region_New__c=US Large Enterprise DI &amp; Mexico, attributes={url=/services/data/v62.0/sobjects/Account/0018000000NfBUNAA3, type=Account}, Industry=Professional Services, Name=Foundever Operating Corporation}</t>
  </si>
  <si>
    <t>a3xVT0000002vLZYAY</t>
  </si>
  <si>
    <t>a0pVT00000Cq5PiYAJ</t>
  </si>
  <si>
    <t>a0rVT00000R5PRQYA3</t>
  </si>
  <si>
    <t>017VT0000GuRTyTYQW</t>
  </si>
  <si>
    <t>Soraya Parak</t>
  </si>
  <si>
    <t>a0rVT00001DXBxnYAH</t>
  </si>
  <si>
    <t>{PS_Region_New__c=US Medium Enterprise DI, Industry=Restaurant &amp; Food Service, SubRegion__c=US DI ME NN RHT Southeast, attributes={type=Account, url=/services/data/v62.0/sobjects/Account/0018000001LcIpQAAV}, PS_Sub_Region__c=ME NN RHT East, Name=SSP America, Inc.}</t>
  </si>
  <si>
    <t>{Industry=Higher Education, attributes={type=Account, url=/services/data/v62.0/sobjects/Account/0018000000njX5EAAU}, Name=University of Maryland Global Campus, PS_Region_New__c=US SLED}</t>
  </si>
  <si>
    <t>On Sept 15, Exec sponsors decided to pause the start of end to end until a number of issues were complete. Replanning session are complete, and a new go live date has been determined. Oct 1, 2026.
End to End testing is to start on Jan 5th - started
Prism CCS scheduled for Jan 14 and 15
Prism CCS complete, end to end is in progress.
End to End testing is progressing, This include PRISm Unit testing. Will continue to monitor till the end of February.
Prism Unit testing will be complete on Friday 20th of Feb. En to End testing is in progress.
End to End testing to be completed at the of April with the start of Parallel build in May. 4 key risks are required to be completed and have been raised with SEH on those risks
5/13: Received sign off for End to End testing. We are starting the parallel build
SEH addressing 4 key risks. To be completed before end of April to start Parallel Activities.
End to End testing has been pushed out by 1 week to accomodate key items that are required for Parallel testing
End to End has been signed off by SEH. Parallel build is complete with the exception of FIN.
Data Validation has started
Parallel has started - June 8th
Parallel is delayed. Significant amount of new requirements have been submitted to PwC. Cycle 1 is not complete and will likely be on pause until all new requirements are complete.</t>
  </si>
  <si>
    <t>Two day replanning session - complete
Prims decision is complete - build has started
Decision on new go live date has been reached for Oct 1, 2026</t>
  </si>
  <si>
    <t>Project Management/Methodology;Scope Management;Testing</t>
  </si>
  <si>
    <t>017VT0000GuRYbcYQG</t>
  </si>
  <si>
    <t>a0rVT00001DXBxoYAH</t>
  </si>
  <si>
    <t>a3xVT0000002zx3YAA</t>
  </si>
  <si>
    <t>a0rVT00001DXBzCYAX</t>
  </si>
  <si>
    <t>0018000001WMGSbAAP</t>
  </si>
  <si>
    <t>Mark Powers</t>
  </si>
  <si>
    <t>{PS_Region_New__c=US Medium Enterprise DI, attributes={type=Account, url=/services/data/v62.0/sobjects/Account/0018000001WMGSbAAP}, Industry=Restaurant &amp; Food Service, Name=Newport Restaurant Group}</t>
  </si>
  <si>
    <t>Glanbia plc</t>
  </si>
  <si>
    <t>8/11: 1 last procurement workflow pending sign off. Client has indicated they want an additional workflow to be built by Workday PS. Change order estimate for this additional scope presented; awaiting feedback. Return to Green once CO is completed. Pushing out project close by 1.5 month.
4/7: Last remaining workflow requirements are being provided this week and next and build should follow soon after. Presented budget overage to Julie Lee and leadership on Wellness call and received OK to proceed overbudget as long as overbudget doesn't exceed current estimates. Plan to to continue through end of project and close out.
12/22: FIC is still in process/waiting for approval for additional hours.
Mark submitted FIC-00010143 for 76 hours of consulting services on 12/3. Project to go green upon completion of FIC.</t>
  </si>
  <si>
    <t>017VT0000GuQqcdYQC</t>
  </si>
  <si>
    <t>UKI RHT LE NN</t>
  </si>
  <si>
    <t>a0rVT00001DXBzBYAX</t>
  </si>
  <si>
    <t>8/11: 1 last procurement workflow pending sign off. Client has indicated they want an additional workflow to be built by Workday PS. Change order estimate for this additional scope presented; awaiting feedback. Return to Green once CO is completed. Pushing out project close by 1.5 month.
4/7: Last remaining workflow requirements are being provided this week and next and build should follow soon after. Presented budget overage to Julie Lee and leadership on Wellness call and received OK to proceed overbudget as long as overbudget doesn't exceed current estimates. Plan to to continue through end of project and close out.
12/22: Remaining 1 workflow with procurement team is pending discovery; plan to complete discovery by mid-January and push for expedited UAT and sign off. FIC in process for additional over-budget hours.
Stacy to complete UAT of 2 workflows and complete discovery for last workflow by Dec 5th. Mark submitted FIC-00010143 for 76 hours of consulting services on 12/3. Project to go green upon completion of FIC.</t>
  </si>
  <si>
    <t>a0pVT00000CpmDRYAZ</t>
  </si>
  <si>
    <t>0014X00002luRaNQAU</t>
  </si>
  <si>
    <t>Scope Management</t>
  </si>
  <si>
    <t>{Industry=Professional Services, attributes={type=Account, url=/services/data/v62.0/sobjects/Account/0014X00002luRaNQAU}, PS_Region_New__c=US Medium Enterprise DI, Name=ROIG Lawyers}</t>
  </si>
  <si>
    <t>a3xVT00000034IPYAY</t>
  </si>
  <si>
    <t>a0r4X00000CrTIwQAN</t>
  </si>
  <si>
    <t>{PS_Region_New__c=US Medium Enterprise DI, SubRegion__c=US DI ME NN RHT Southeast, attributes={url=/services/data/v62.0/sobjects/Account/001VT00000b2Ry6YAE, type=Account}, Name=Tasty King LLC, Industry=Restaurant &amp; Food Service, PS_Sub_Region__c=ME NN RHT East}</t>
  </si>
  <si>
    <t>Miguel Angel Martin</t>
  </si>
  <si>
    <t>017VT0000GcCd9jYQC</t>
  </si>
  <si>
    <t>a0rVT00001DXC0oYAH</t>
  </si>
  <si>
    <t>Block plan confirmed.
We need a final meeting to clarify some doubts about MTP dates.</t>
  </si>
  <si>
    <t>0018000001KdWWhAAN</t>
  </si>
  <si>
    <t>{PS_Region_New__c=US Large Enterprise DI &amp; Mexico, attributes={url=/services/data/v62.0/sobjects/Account/0018000001KdWWhAAN, type=Account}, Name=Harry's USA, Inc., Industry=Consumer Goods}</t>
  </si>
  <si>
    <t>- Clarify Block Plan
- Clarify parallel testing purpose and methodology
- Establish final Go Live Date</t>
  </si>
  <si>
    <t>a0rVT00001DXDL3YAP</t>
  </si>
  <si>
    <t>Project Management/Methodology</t>
  </si>
  <si>
    <t>Global Partners LP</t>
  </si>
  <si>
    <t>017VT0000GuQVgYYQW</t>
  </si>
  <si>
    <t>a3xVT00000035uPYAQ</t>
  </si>
  <si>
    <t>a0rVT00001DXC2PYAX</t>
  </si>
  <si>
    <t>a0r4X00000ETV8BQAX</t>
  </si>
  <si>
    <t>0018000000LUDqMAAX</t>
  </si>
  <si>
    <t>Girish Channegowda</t>
  </si>
  <si>
    <t>{Industry=Telecom, PS_Region_New__c=US Large Enterprise DI &amp; Mexico, Name=Vantor Holdings Inc., attributes={url=/services/data/v62.0/sobjects/Account/0018000000LUDqMAAX, type=Account}}</t>
  </si>
  <si>
    <t>a0pVT00000Cq51WYAR</t>
  </si>
  <si>
    <t>017VT0000GuPpC7YQK</t>
  </si>
  <si>
    <t>a0rVT00001DXC41YAH</t>
  </si>
  <si>
    <t>{Name=Tasty King LLC, attributes={url=/services/data/v62.0/sobjects/Account/001VT00000b2Ry6YAE, type=Account}, PS_Region_New__c=US Medium Enterprise DI, SubRegion__c=US DI ME NN RHT Southeast, Industry=Restaurant &amp; Food Service, PS_Sub_Region__c=ME NN RHT East}</t>
  </si>
  <si>
    <t>05/09/2026: Programme team is making progress with revised schedule. UC has made changes to the program governance. 
24/08/2026: UC Council approved interim budget. Full revised approval is pending UC Capital Investment Committee approvals in Sep 2026.
10/08/2026: Delayed go live in 2027 replan is scheduled for UC Council approval on 19th Aug 2026. Team is making progress with revised schedule as tentatively approved.
25/07/2026: Delayed go live in 2027 replanning is still in progress.
06/07/2026: UC confirmed decision to delay GoLive until 2027 and consider to replan for a full platform GoLive. Replanning in progress.
14/06/2026: UC communicated that 2nd Nov'26 Go Live is as at risk and revised schedule is being discussed
05/06/2026: Project continues to run behind schedule due to Data and Integrations dependencies on UC
22/05/2026: Project is running behind schedule with 2nd Nov go live too
01/05/2026: Received confirmation on revised schedule with 2nd Nov 2026 go live date for Phase 1. No confirmation on Phase 2 yet.
24/04/2026: Project continues to progress with tentative revised schedule with Oct end 2026 go live date
10/04/2026: Project is progressing with tentative revised schedule with Oct end 2026 go live date
27/03/2026: Revised schedule options are presented to PCB and awaiting formal communication to the team.
15/03/2026: UC New Programme lead is working on updating Revised schedule. 
06/03/2026: New Programme lead is reviewing revised schedule with UC Workstream leads before sharing it with ACN.
27/02/2026: New Programme Lead has joined the team and working on Revised Schedule. 
13/02/2026: New Programme Lead is announced to start from 18th Feb 2026.
11/02/2026: UC to have a closed door PCB on 11th Feb to discuss their internal issues related to UC Programme director resgination and decide on proposed revised schedule. Partners (ACN and Dayforce) are being asked not to attend this month PCB. UC will update the partners by 13th Feb about PCB discussions and decisions.
03/02/26: Revised schedule is being discussed and recommendations from Accenture is shared with UC. 3 options will be provided to PCB on 11th Feb 2026
20/01/26: Discussion on revised schedule in progress with UC
07/Jan/26: Go to Green discussions still in progress with UC.</t>
  </si>
  <si>
    <t>0018000000LUJTsAAP</t>
  </si>
  <si>
    <t>{PS_Region_New__c=US Healthcare, Name=Overlake Medical Center &amp; Clinics, Industry=Acute Hospital / Health System, attributes={type=Account, url=/services/data/v62.0/sobjects/Account/0018000000LUJTsAAP}}</t>
  </si>
  <si>
    <t>24/08/2026: UC Council approved interim budget. Full revised approval is pending UC Capital Investment Committee approvals in Sep 2026.
06/07/2026: UC confirmed decision to delay GoLive until 2027 and consider to replan for a full platform GoLive. Replanning in progress.
06/03/26: Support new programme lead to work on the revised schedule
13/02/26: Connect with new programme lead scheduled for 19th Feb 2026
11/02/26: Awaiting PCB decisions on 11 Feb 2026
03/02/26: UC is presenting 3 options on revised schedule to PCB on 11th Feb 2026.
20/01/26: Finalise revised schedule to go to green
(a) Freeze changes to HCM requirements to reduce further impacts to timelines
(b) obtain UoC integration revised dates to confirm schedule impact
(c) Review and agree revised timelines of data workstream
(d) Provide HCM functional support to data workstreams
(e) Mutually agree on revised overall project extension
(f) minimize complexity of Contingent Worker design
(g) Approve 4-Char code solution for integrations</t>
  </si>
  <si>
    <t>a3xVT00000036orYAA</t>
  </si>
  <si>
    <t>GO Car Wash</t>
  </si>
  <si>
    <t>017VT0000GuPpCDYQ0</t>
  </si>
  <si>
    <t>Debbie Kwon</t>
  </si>
  <si>
    <t>0018000000LUVJvAAP</t>
  </si>
  <si>
    <t>9/29:  HCM project work paused. Planning underway for unified timeline details.</t>
  </si>
  <si>
    <t>{Name=Blue Cross Blue Shield of Arizona, Industry=Health Insurance, attributes={type=Account, url=/services/data/v62.0/sobjects/Account/0018000000LUVJvAAP}, PS_Region_New__c=US Healthcare}</t>
  </si>
  <si>
    <t>Develop stage dates for big bang project
Kick off FINs with Base Camp</t>
  </si>
  <si>
    <t>Customer Exec Sponsorship;Testing</t>
  </si>
  <si>
    <t>a0pVT00000CpvWsYAJ</t>
  </si>
  <si>
    <t>a3xVT00000037UnYAI</t>
  </si>
  <si>
    <t>017VT0000GuRSGJYQ4</t>
  </si>
  <si>
    <t>a0rVT00001DXC5fYAH</t>
  </si>
  <si>
    <t>a0rVT00000KU3JiYAL</t>
  </si>
  <si>
    <t>Gergely Kardos</t>
  </si>
  <si>
    <t>0018000000ohBmfAAE</t>
  </si>
  <si>
    <t>{attributes={url=/services/data/v62.0/sobjects/Account/0018000000ohBmfAAE, type=Account}, Name=The BMS Enterprises, Inc., PS_Region_New__c=US Medium Enterprise DI, Industry=Business Services}</t>
  </si>
  <si>
    <t>Sep 22: Expected restart is not confirmed, CO  to be finalized and signed once resume date confirmed.</t>
  </si>
  <si>
    <t>{attributes={type=Account, url=/services/data/v62.0/sobjects/Account/001VT00000b2Ry6YAE}, Industry=Restaurant &amp; Food Service, PS_Region_New__c=US Medium Enterprise DI, SubRegion__c=US DI ME NN RHT Southeast, Name=Tasty King LLC, PS_Sub_Region__c=ME NN RHT East}</t>
  </si>
  <si>
    <t>Wait for customer to clarify resourcing and sponsorship.
Forecast has been moved forward with the assumption of resume in Nov 2026.</t>
  </si>
  <si>
    <t>017VT0000GuQVgbYQG</t>
  </si>
  <si>
    <t>GoDaddy.com, LLC</t>
  </si>
  <si>
    <t>a3xVT000000387VYAQ</t>
  </si>
  <si>
    <t>a0rVT00000JxmXEYAZ</t>
  </si>
  <si>
    <t>Dan Bork</t>
  </si>
  <si>
    <t>0018000000LUdXnAAL</t>
  </si>
  <si>
    <t>{PS_Region_New__c=US Large Enterprise DI &amp; Mexico, Industry=Food &amp; Drug, Name=CVS Pharmacy, Inc., attributes={url=/services/data/v62.0/sobjects/Account/0018000000LUdXnAAL, type=Account}}</t>
  </si>
  <si>
    <t>End to End Testing in progress thru 10/9. Currently 93% complete with End to End Test scenarios. Customer pushing hard to the 10/9 Stage Gate on critical tasks. Parallel Build and Parallel Test preparation is in progress.</t>
  </si>
  <si>
    <t>End to End Testing: Daily Standup Meetings focusing on functional testing and integrations testing. End to End Testing is currently 81% complete. The target percent complete for End to End Testing is 93% complete by 9/18. 
Integrations: There are 12 FIN Integrations that are still not build/unit test complete. Currently 59% Complete with Integrations End to End Testing.  
Stage Gate Status: Missed all of the 8/31 Stage Gate deliverables. Customer working to meet the Stage Gate deliverables that are due on 10/9.  
1) Data Defects are still open that must be resolved prior to pulling data for the Parallel Tenant Build. Need 100% of the critical, high, medium, low defects resolved by 10/9.  
2) Functional Testing Complete - Missed the percent complete for 8/31 Stage Gate. Need 100% of all End to End Test Scenarios completed by 10/9.  
3) Integrations Testing Complete - Missed the percent complete for 8/31 Stage Gate. Need 100% of all End to End Test Scenarios completed by 10/9.  
4) Data Validation Process: Customer working on a more automated process to validate data during Parallel Tenant Data Validation the week of 11/16-11/20. This process needs to be tested and ready to go no later than 10/9 due date.</t>
  </si>
  <si>
    <t>017VT0000GuOj53YQC</t>
  </si>
  <si>
    <t>a0pVT00000Cq98NYAR</t>
  </si>
  <si>
    <t>a3xVT00000039pxYAA</t>
  </si>
  <si>
    <t>0018000000NfBb4AAF</t>
  </si>
  <si>
    <t>a0rVT00000ipEFjYAM</t>
  </si>
  <si>
    <t>{PS_Region_New__c=US Large Enterprise DI &amp; Mexico, Industry=Land and Rail Transportation and Freight, Name=Crete Carrier Corporation, attributes={type=Account, url=/services/data/v62.0/sobjects/Account/0018000000NfBb4AAF}}</t>
  </si>
  <si>
    <t>{SubRegion__c=US DI ME NN RHT Southeast, PS_Sub_Region__c=ME NN RHT East, Name=Tasty King LLC, attributes={url=/services/data/v62.0/sobjects/Account/001VT00000b2Ry6YAE, type=Account}, Industry=Restaurant &amp; Food Service, PS_Region_New__c=US Medium Enterprise DI}</t>
  </si>
  <si>
    <t>Goettl Air Conditioning</t>
  </si>
  <si>
    <t>- Got sign off on Parallel 2
- Gold config Migration started this week
- HCM and BEN DCDDs look good and ready to load; Still updating PAY DCDDs based on DC validations 
- Customer requesting critical last minute config changes that they admit missing in testing; EM communicated significant risk added by WD accommodating these changes in Gold
- CO cost shared with Exec Sponsor; Expect CO to be signed next week
- On track for 10/31 go-live but w/ significant risk</t>
  </si>
  <si>
    <t>017VT0000GcCdBQYQ0</t>
  </si>
  <si>
    <t>a0rVT00001DXC7HYAX</t>
  </si>
  <si>
    <t>Unit testing is supposed to be signed off on tomorrow (April 3rd). Once we receive the tax election and payroll history files and those files have been validated and loaded, the End-to-End tenant build will be completed and Audacy can begin E2E testing. An updated timeline will also be reviewed.</t>
  </si>
  <si>
    <t>001VT00000NqCz8YAF</t>
  </si>
  <si>
    <t>{attributes={url=/services/data/v62.0/sobjects/Account/001VT00000NqCz8YAF, type=Account}, PS_Region_New__c=US Medium Enterprise DI, Industry=Professional Services, Name=Instant Teams}</t>
  </si>
  <si>
    <t>017VT0000GcCd9sYQC</t>
  </si>
  <si>
    <t>a0rVT00001DXC8sYAH</t>
  </si>
  <si>
    <t>a0pVT00000Cq2ZuYAJ</t>
  </si>
  <si>
    <t>0018000000kuvwQAAQ</t>
  </si>
  <si>
    <t>{Name=Lee Health, attributes={url=/services/data/v62.0/sobjects/Account/0018000000kuvwQAAQ, type=Account}, Industry=Acute Hospital / Health System, PS_Region_New__c=US Healthcare}</t>
  </si>
  <si>
    <t>a3xVT0000003BbdYAE</t>
  </si>
  <si>
    <t>a0r4X00000E18ZRQAZ</t>
  </si>
  <si>
    <t>{Industry=Food &amp; Drug, PS_Sub_Region__c=Diversified Industries LE NN, Name=Redner's Markets, Inc, PS_Region_New__c=US Large Enterprise DI &amp; Mexico, SubRegion__c=US DI LE NN RHT North, attributes={type=Account, url=/services/data/v62.0/sobjects/Account/0013000000JLvJwAAL}}</t>
  </si>
  <si>
    <t>Christian Jones</t>
  </si>
  <si>
    <t>017VT0000GcCcGaYQK</t>
  </si>
  <si>
    <t>9/28: Three weeks to complete Aug Go-Live post prod/Notifications Go-Live
9/10: reviewing the FIC; FIC~$395k
9/1:   reviewing the FIC; FIC~$395k
6/30:  reviewing the FIC; FIC~$395k
6/15: Build is in progress for August release items. LEK to begin testing on Monday 6/22.  LEK is still working on reviewing the Single Source of Truth document and needs to provide a realistic turnaround date ahead of the August 10th release. BIRT resource has been assigned and aiming to gather requirements next week so a timeline can be estimated for that. Notification defects have been resolved and are ready for LEK to test.</t>
  </si>
  <si>
    <t>0018000000LoDtUAAV</t>
  </si>
  <si>
    <t>{Name=7-Eleven, Inc., attributes={type=Account, url=/services/data/v62.0/sobjects/Account/0018000000LoDtUAAV}, PS_Region_New__c=US Large Enterprise DI &amp; Mexico, Industry=Food &amp; Drug}</t>
  </si>
  <si>
    <t>Invisors has provided the documentation for the long-term solution to remove visibility for comments for the reviewee this week, which L.E.K. is reviewing. We will meet next week to answer questions. Auto-initiation review is in progress; Invisors is focusing on notifications next week and L.E.K. will provide a list of open defects. From there, a timeline will be determined for auto-initiation to Go-Live. For the other remaining open scope items, LEK and Workday are reviewing the list to determine what is still pending, what is outside of scope (only listed in the bible), and what is no longer needed. We are building out a single source of truth (reviewing SOW, COs, and LEK's bible) as part of requirements reconciliation and will review and compare against LEK's internal review to determine next steps.
6/30: reviewing the FIC; FIC~$395k. Still pending.</t>
  </si>
  <si>
    <t>Scope Management;Testing</t>
  </si>
  <si>
    <t>a3xVT0000003Hp7YAE</t>
  </si>
  <si>
    <t>a0rVT00000OGRrGYAX</t>
  </si>
  <si>
    <t>017VT0000GcCcF5YQK</t>
  </si>
  <si>
    <t>a0pVT00000Cq90HYAR</t>
  </si>
  <si>
    <t>Sydney MacBain Carlson</t>
  </si>
  <si>
    <t>a0rVT00001DXCC5YAP</t>
  </si>
  <si>
    <t>a0rVT00001DX18cYAD</t>
  </si>
  <si>
    <t>0018000000M3e1WAAR</t>
  </si>
  <si>
    <t>0018000000sfc6BAAQ</t>
  </si>
  <si>
    <t>{Industry=Investment Management, PS_Region_New__c=US FSI, Name=Invesco Group Services, Inc., attributes={type=Account, url=/services/data/v62.0/sobjects/Account/0018000000M3e1WAAR}}</t>
  </si>
  <si>
    <t>{PS_Sub_Region__c=ANZ AU LE, attributes={type=Account, url=/services/data/v62.0/sobjects/Account/0018000000sfc6BAAQ}, SubRegion__c=ANZ AU LE NN, PS_Region_New__c=ANZ, Industry=Telecom, Name=SingTel Optus Pty Ltd.}</t>
  </si>
  <si>
    <t>GOODWILL IND. OF THE SOUTHERN RIVERS, INC.</t>
  </si>
  <si>
    <t>Integration: 85 ready for E2E. Build completed for 6+ Integrations and currently in Unit testing; Sprint 4-6 build In progress. E2E C1 Integration testing completed for 23 Integrations; E2E C1 defects triage in process; E2E C1 extended until 07/31. 
Conversion: Defect resolution for the E2E analysis is complete, resolution In-progress. TW is meeting regularly with CUNY to review progress of issue resolution. Data Loads for FY27 are in progress. (Position budgets in progress, Financial Budgets waiting for FDM mapping updates) Target completion 7/24. Journal reversal for investment statement reload is complete. UER tenant build timeline under final discussion 
Reports: E2E report testing In-progress. Defects raised and review / resolution In-progress. Build In-progress for IPEDS, SEFA reports.  Design sessions happening for remaining reports, awaiting business sign off for 1 HCM reports.
Prism: HCM Historical Use case testing In-progress, FIN &amp; Student Use case in final build stage.
Extend: Build completed for Sick Leave app; Migration completed to E2E and smoke and Internal testing In-progress.
Go live was pushed to Fall 2027. Project is rebaselining. Integration reviews are happening daily. designing in progress integrations.
Functional teams are signing off on integrations unit testing. no new changes</t>
  </si>
  <si>
    <t>- Conduct daily scrum meetings on conversions and integrations to identify and resolve roadblocks
- Engage additional (surge) conversion and integration development resources to facilitate conversion loads
- Add a Tech Project Manager to focus on getting conversions and integrations back on Green</t>
  </si>
  <si>
    <t>017VT0000GuPjaWYQS</t>
  </si>
  <si>
    <t>a3xVT0000003x0LYAQ</t>
  </si>
  <si>
    <t>a0rVT00000UbsZdYAJ</t>
  </si>
  <si>
    <t>0018000000M5o0tAAB</t>
  </si>
  <si>
    <t>Talha Hameed</t>
  </si>
  <si>
    <t>{Name=Eagle-Picher Technologies LLC, Industry=High Technology, PS_Region_New__c=US Medium Enterprise DI, attributes={url=/services/data/v62.0/sobjects/Account/0018000000M5o0tAAB, type=Account}}</t>
  </si>
  <si>
    <t>This has been trending red status red for week.
Testing to close 3/6 but only 18% of test scenerios were closed by 2.25 the go live date will be moved.</t>
  </si>
  <si>
    <t>2026-09-30T13:25:02.000+0000</t>
  </si>
  <si>
    <t>Testing still has not been completed as of 3/16. Orginal testing sign off date was 3/6. I have asked the client for 3 weeks straight to move the go live date to 5/6. They  have not been able to get executives on a call for 3 consecutive weeks.</t>
  </si>
  <si>
    <t>017VT0000GuPjaZYQS</t>
  </si>
  <si>
    <t>a0pVT00000Cq4YUYAZ</t>
  </si>
  <si>
    <t>a0rVT00001DXEx3YAH</t>
  </si>
  <si>
    <t>a3xVT0000003xhtYAA</t>
  </si>
  <si>
    <t>0018000000M5o1EAAR</t>
  </si>
  <si>
    <t>a0r4X00000CrSxAQAV</t>
  </si>
  <si>
    <t>Goodwill of Central and Northern Arizona</t>
  </si>
  <si>
    <t>{PS_Region_New__c=US Medium Enterprise DI, Industry=Software &amp; Platforms, attributes={type=Account, url=/services/data/v62.0/sobjects/Account/0018000000M5o1EAAR}, Name=DTN, LLC}</t>
  </si>
  <si>
    <t>{PS_Sub_Region__c=ANZ AU LE, Industry=Telecom, attributes={url=/services/data/v62.0/sobjects/Account/0018000000sfc6BAAQ, type=Account}, SubRegion__c=ANZ AU LE NN, PS_Region_New__c=ANZ, Name=SingTel Optus Pty Ltd.}</t>
  </si>
  <si>
    <t>Leticia Cognet Ruivo</t>
  </si>
  <si>
    <t>- No progress : meeting with the new CFO Group on Sep 7 2026 and exposed the current issues. Webedia requested the study of 2 options, a go live on July 1 2027 and a go live on Jan 1 2028, meeting on Oct 1 2027 to make a decision.</t>
  </si>
  <si>
    <t>017VT0000GuRPbjYQG</t>
  </si>
  <si>
    <t>- No progress, new CFP goupe starting in september.</t>
  </si>
  <si>
    <t>Customer Exec Sponsorship;Customer Resources;Project Management/Methodology;Testing</t>
  </si>
  <si>
    <t>0018000001WMFriAAH</t>
  </si>
  <si>
    <t>a3xVT0000004hKvYAI</t>
  </si>
  <si>
    <t>{Name=East West Resorts, LLC, PS_Region_New__c=US Medium Enterprise DI, Industry=Lodging &amp; Resorts, attributes={url=/services/data/v62.0/sobjects/Account/0018000001WMFriAAH, type=Account}}</t>
  </si>
  <si>
    <t>Stephanie Yulaev</t>
  </si>
  <si>
    <t>a0pVT00000CpfjpYAB</t>
  </si>
  <si>
    <t>017VT0000GuPjaQYQS</t>
  </si>
  <si>
    <t>Goodwill-Easter Seals Minnesota</t>
  </si>
  <si>
    <t>a0rVT00001DXCGvYAP</t>
  </si>
  <si>
    <t>{Industry=Telecom, attributes={type=Account, url=/services/data/v62.0/sobjects/Account/0018000000sfc6BAAQ}, Name=SingTel Optus Pty Ltd., PS_Region_New__c=ANZ, SubRegion__c=ANZ AU LE NN, PS_Sub_Region__c=ANZ AU LE}</t>
  </si>
  <si>
    <t>0018000000M5o1NAAR</t>
  </si>
  <si>
    <t>{attributes={type=Account, url=/services/data/v62.0/sobjects/Account/0018000000M5o1NAAR}, Name=Kenvue Brands LLC, Industry=Business Services, PS_Region_New__c=US Large Enterprise DI &amp; Mexico}</t>
  </si>
  <si>
    <t>017VT0000GuPjaNYQS</t>
  </si>
  <si>
    <t>0018000000M6D0aAAF</t>
  </si>
  <si>
    <t>9/25/26: CUT Milestone Approval and CO approvals still outstanding. DelCo refuses to come to the table to discuss July.
9/18/26: CUT Milestone Approval and CO approvals still outstanding. DelCo refuses to come to the table to discuss July. John Cashman has been involved during this ordeal.
9/11/26: CUT Milestone Approval and CO approvals still outstanding. DelCo refuses to come to the table to discuss July.
9/4/26: CUT Milestone Approval and CO approvals still outstanding. These have been escalated for months to Leadership. E2E Build continues to be delayed. County is completely unresponsive to requests to talk about moving forward.
8/28/26: CUT Milestone Approval and CO approvals still outstanding. These have been escalated for months to Leadership. E2E Build continues to be delayed with January and April go-lives not feasible. County considering July.
8/21/26: CUT Milestone Approval and CO approvals still outstanding. These have been escalated for months to Leadership. E2E Build continues to be delayed with January and April go-lives not feasible. County considering July.
8/14/26: CUT Milestone Approval and CO approvals still outstanding. These have been escalated for months to Leadership. E2E Build continues to be delayed with January go-live not feasible at this point. County considering April and July.
8/5/26: CUT Milestone Approval and CO approvals still outstanding. These have been escalated for months to Leadership. E2E Build continues to be delayed with January go-live not feasible at this point. County considering April and as of this week July.
7/31/26: CUT Milestone Approval and CO approvals still outstanding. These have been escalated for months to Leadership. E2E Build continues to be delayed with January go-live not feasible at this point. County considering April and as of this week July.
7/24/26: CUT Milestone Approval and CO approvals still outstanding. These have been escalated for months to Leadership. E2E Build continues to be delayed with January go-live not feasible at this point. County considering April.
7/17/26: CUT Milestone Approval and CO approvals still outstanding. These have been escalated for months to Leadership. E2E Build continues to be delayed with January go-live not feasible at this point. County considering April.
7/10/26: CUT Milestone Approval still outstanding. CO #2 for Scope &amp; Timeline still not approved. Both have been escalated for months to Leadership. E2E Build continues to be delayed with a January go-live at significant risk.
7/2/26: CUT Milestone Approval still outstanding. CO #2 for Scope &amp; Timeline still not approved. Both have been escalated for months to Leadership. E2E Build continues to be delayed with a January go-live at significant risk at this point, even if we get approvals today.
6/26/26: CUT Milestone Approval still outstanding. CO #2 for Scope &amp; Timeline still not approved. Both have been escalated for months to Leadership. E2E Build continues to be delayed with a January go-live at significant risk at this point, even if we get approvals today.
6/19/26: CUT Milestone Approval still outstanding. CO #2 for Scope &amp; Timeline not yet approved, and has been escalated for several weeks to Leadership levels. E2E Build continues to be delayed. Grants Allocations documentation &amp; solutioning continues for separate track.
6/12/26: CUT Milestone Approval still outstanding. CO #2 for Scope &amp; Timeline not yet approved, and has been escalated for several weeks to Leadership levels. E2E Build continues to be delayed.
6/5/26: CUT Milestone Approval at 95% requested on 5/21. CO #2 for Scope &amp; Timeline not yet approved, and has been escalated for several weeks to Leadership levels. E2E Build continues to be delayed, with Client E2E Testing duration decreasing each week. Leadership has been involved for weeks now trying to get Client of signoff on all functionality outside of Grants Extend use case.
5/22/26: CUT Milestone Approval at 95% requested on 5/21. CO #2 for Scope &amp; Timeline not yet approved, and has been escalated for several weeks to Leadership levels. E2E Build continues to be delayed, with Client E2E Testing duration decreasing each week.
5/15/26: CUT Signoffs coming in slowly. Still missing some. Scope Confirmation and Timeline Extension CO #2 needs signatures before E2E build begins for January 2027 go-live. That will not be signed soon. New dates are TBD. We are missing our Target Go To Green (5/15).
5/8/26: CUT Signoff is due today, but will not be received for all workstreams. Scope Confirmation and Timeline Extension CO #2 needs signatures before E2E build begins for January 2027 go-live. That will not be signed today either. New dates are TBD.
5/1/26: CUT is running behind. Scope Confirmation and Timeline Extension CO needs signatures before E2E build begins for January 2027 go-live.
4/20/26: CUT is running behind. Scope Confirmation and Timeline Extension CO needs signatures before E2E build begins for January 2027 go-live.
4/17/26: CUT continues to go well. Scope Confirmation and Timeline Extension CO needs signatures by end of April for January 2027 go-live.
4/10/26: CUT continues to go well. Scope Confirmation and Timeline Extension CO needs signatures by end of April for January 2027 go-live.
4/3/26: CUT continues. Scope Confirmation and Timeline Extension COs under discussion for a January 2027 go-live. 
3/23/26: A few scope and requirements decisions remain, but CUT has begun for areas that are ready. Scope Confirmation and Timeline Extension COs under discussion for a January 2027 go-live. CO #2 signatures will be delayed due to requiredcouncil reviews.
3/20/26: A few scope and requirements decisions remain, but CUT is beginning for areas that are ready. Scope Confirmation and Timeline Extension COs under discussion for a January 2027 go-live. Targeting CO #2 by EOM.
3/13/26: Final scope and requirements decisions remain outstanding. Scope Confirmation and Timeline Extension COs under discussion for a January 2027 go-live.
3/5/26: More scope and requirements decisions remain. Scope Confirmation and Timeline Extension COs under discussion.
2/27/26: Several key design decisions made this week by the Board. A few key decisions remain. Scope Confirmation and Timeline Extension COs under discussion.
2/20/26: XWS calls continued this week. Design Authority Board meets Monday 2/23. Change Control Board will be scheduled soon. Timeline will need to change. More to come.</t>
  </si>
  <si>
    <t>{Name=Elkay Manufacturing Co., PS_Region_New__c=US Medium Enterprise DI, attributes={type=Account, url=/services/data/v62.0/sobjects/Account/0018000000M6D0aAAF}, Industry=Hardlines}</t>
  </si>
  <si>
    <t>Critical Path:
XWS Follow-up Calls &amp; Decision Forms --&gt; SteerCo Design Review(s) &amp; Scope Approvals --&gt; Final RDG Signoffs &amp; Spend Categories --&gt; Test Scenarios &amp; Tenant Augmentation --&gt;  CUT."</t>
  </si>
  <si>
    <t>a0pVT00000CppG6YAJ</t>
  </si>
  <si>
    <t>Customer Exec Sponsorship;Scope Management;Testing</t>
  </si>
  <si>
    <t>a0rVT00001DX1BuYAL</t>
  </si>
  <si>
    <t>Gordon Food Service, Inc.</t>
  </si>
  <si>
    <t>a3xVT0000004kgzYAA</t>
  </si>
  <si>
    <t>017VT0000GcCd7eYQC</t>
  </si>
  <si>
    <t>0014X00002MBqsxQAD</t>
  </si>
  <si>
    <t>a0rVT00001DXCKAYA5</t>
  </si>
  <si>
    <t>a0r4X00000ETV0vQAH</t>
  </si>
  <si>
    <t>{PS_Region_New__c=US Medium Enterprise DI, SubRegion__c=US DI Commercial CB East, Industry=Professional Services, PS_Sub_Region__c=ME Commercial East, attributes={url=/services/data/v62.0/sobjects/Account/0014X00002MBqsxQAD, type=Account}, Name=Inari Agriculture, Inc.}</t>
  </si>
  <si>
    <t>Todd Graf</t>
  </si>
  <si>
    <t>{PS_Region_New__c=US Large Enterprise DI &amp; Mexico, Name=Peet's Coffee, attributes={url=/services/data/v62.0/sobjects/Account/0018000000OxR0QAAV, type=Account}, Industry=Restaurant &amp; Food Service}</t>
  </si>
  <si>
    <t>017VT0000GuOj59YQC</t>
  </si>
  <si>
    <t>0018000000MV9N3AAL</t>
  </si>
  <si>
    <t>{PS_Region_New__c=US Large Enterprise DI &amp; Mexico, Name=ALDI Inc., attributes={url=/services/data/v62.0/sobjects/Account/0018000000MV9N3AAL, type=Account}, Industry=Food &amp; Drug}</t>
  </si>
  <si>
    <t>a0pVT00000Cpq49YAB</t>
  </si>
  <si>
    <t>017VT0000GuQ0ZNYQ0</t>
  </si>
  <si>
    <t>{Industry=Professional Services, SubRegion__c=US DI Commercial NN Mid-Atlantic, Name=BELFOR Franchise Group, PS_Sub_Region__c=ME Commercial East, attributes={url=/services/data/v62.0/sobjects/Account/0014X00002luJLpQAM, type=Account}, PS_Region_New__c=US Medium Enterprise DI}</t>
  </si>
  <si>
    <t>a0rVT00001DXCNNYA5</t>
  </si>
  <si>
    <t>0018000000MsoxtAAB</t>
  </si>
  <si>
    <t>{PS_Region_New__c=US Healthcare, attributes={url=/services/data/v62.0/sobjects/Account/0018000000MsoxtAAB, type=Account}, Industry=Post Acute, Name=Lifepoint Rehabilitation Services, LLC}</t>
  </si>
  <si>
    <t>9/28
Points North Update:
•	Mapping Approach: Points North requires fixed column mapping and cannot dynamically re-map data, so the team aligned on an Excel macro as the interim, day-one solution to transform Workday payroll data into Points North's required flat-file format. Tammy is providing union-to-prevailing-wage and work-class mapping details for the initial build.
•	Detail Tables: Team is moving from summary to detail tables to align with the union reporting API. Detail tables were demoed to the payroll team this week and received positive feedback; next step is testing processing speed under volume in the parallel environment. Stretch goal is to have detail tables ready for go-live (summary remains the fallback).
•	Retro Pay: Points North cannot reliably split retro activity within a single paycheck. Team is identifying a worker with retro activity to test and validate how Workday's behavior flows into Points North.
•	End-to-End Demo: Team planned a demo for Monday using the payroll register, mapping file, macro output, and Points North upload process.
•	Quebec Expansion: Quebec/Points North cutover is being scoped as its own project targeting an April 1 go-live, including a dedicated payroll parallel round. Reagan will stay on as extended support SC post go-live.
PN Overall Status - Team has an interim path (Excel macro) locked in for go-live while building toward native detail tables; retro-pay testing and an end-to-end demo are underway, and Quebec is being tracked as a separate project targeting April 1.
Kyriba Update:
•	Wells Fargo EFT Files: Files came through empty from 9/16-9/19 with no root cause identified; Kyriba pushed a resend this week and we're confirming receipt.
•	Lockbox Image Files: Kyriba shows these as sent, but they aren't landing in Workday. Kyriba is checking with their internal connectivity resource to confirm the files are actually leaving their side.
•	UAE/Saudi Arabia Flows: Still untested in the end-to-end tenant; we're pushing internally to get this testing moving so we have confidence ahead of go-live.
•	Transparency &amp; Cadence: Continued frustration with Kyriba's responsiveness and willingness to dig into root cause - communication has been reactive and largely limited to right before our weekly call.
Next Steps:
•	Requesting daily standups/scrums with Kyriba in place of the current weekly cadence (escalating to Workday today).
•	Building an integration ownership matrix (Kyriba-managed vs. direct-connect by bank/file format) for reference.
•	Holding an internal Invisors huddle to define a mitigation/contingency plan for the outstanding Kyriba items.
Kyriba Overall Status - Escalating banking integration issues given ongoing transparency and responsiveness concerns; requesting daily standups and building an ownership matrix to speed resolution.</t>
  </si>
  <si>
    <t>017VT0000GuQ0ZQYQ0</t>
  </si>
  <si>
    <t>a0rVT00001DXCOzYAP</t>
  </si>
  <si>
    <t>{Name=Pilot Travel Centers LLC, Industry=Food &amp; Drug, PS_Region_New__c=US Large Enterprise DI &amp; Mexico, attributes={url=/services/data/v62.0/sobjects/Account/0018000000MtM3JAAV, type=Account}}</t>
  </si>
  <si>
    <t>a0rVT00001DXCP0YAP</t>
  </si>
  <si>
    <t>a0pVT00000CpmjeYAB</t>
  </si>
  <si>
    <t>Grand Canyon Education, Inc.</t>
  </si>
  <si>
    <t>1. Focus scope to Payroll and Projects
Pause or reduce effort on lower‑risk workstreams (absence, spend, inventory) while open payroll and project issues are resolved 
2. Complete targeted testing and validation
-Execute remaining payroll and project test scenarios
-Validate manual effort, efficiency, and accuracy of solutions
-Confirm which items require further optimization versus change management 
3. Engage Workday directly , include Workday resources on payroll and PSA calls to:
-Confirm that proposed solutions align with current product capabilities
-Share roadmap context where applicable
-Validate that similar construction customers use comparable designs 
4.User experience remediation
-Conduct targeted sessions for business process owners on:
a. Menu navigation, hubs, and reporting
b. Enabling and optimizing Workday-delivered user experience features
-Address frustration related to command-based navigation and discoverability</t>
  </si>
  <si>
    <t>{PS_Region_New__c=US Medium Enterprise DI, attributes={type=Account, url=/services/data/v62.0/sobjects/Account/0014X00002luJLpQAM}, Industry=Professional Services, PS_Sub_Region__c=ME Commercial East, SubRegion__c=US DI Commercial NN Mid-Atlantic, Name=BELFOR Franchise Group}</t>
  </si>
  <si>
    <t>017VT0000GuPuBQYQ0</t>
  </si>
  <si>
    <t>Change Management / User Adoption;Product  Related;Testing</t>
  </si>
  <si>
    <t>a3xVT0000004rP7YAI</t>
  </si>
  <si>
    <t>0018000000Ni3KaAAJ</t>
  </si>
  <si>
    <t>{PS_Region_New__c=US SLED, Industry=Higher Education, Name=Grand Canyon Education, Inc., attributes={type=Account, url=/services/data/v62.0/sobjects/Account/0018000000Ni3KaAAJ}}</t>
  </si>
  <si>
    <t>a0rVT00000hTju1YAC</t>
  </si>
  <si>
    <t>E2E testing currently on hold due customer working on data validations which had affected tenant readiness. Go-live date changed to 10/01. CO processed</t>
  </si>
  <si>
    <t>017VT0000GuQFTaYQO</t>
  </si>
  <si>
    <t>Risk discussed with the client and a new resource was hired by the customer for data conversion, additionally testers were also added to the group to complete testing on time.</t>
  </si>
  <si>
    <t>a0rVT00001DXCP1YAP</t>
  </si>
  <si>
    <t>Integration;Testing</t>
  </si>
  <si>
    <t>0018000000P0tbxAAB</t>
  </si>
  <si>
    <t>a3xVT0000004tkHYAQ</t>
  </si>
  <si>
    <t>{Name=Republic Airways Inc., attributes={url=/services/data/v62.0/sobjects/Account/0018000000P0tbxAAB, type=Account}, PS_Region_New__c=US Large Enterprise DI &amp; Mexico, Industry=Travel &amp; Hospitality}</t>
  </si>
  <si>
    <t>a0rVT00000p8BVZYA2</t>
  </si>
  <si>
    <t>Graybar Electric Company, Inc.</t>
  </si>
  <si>
    <t>Jeff Mowery</t>
  </si>
  <si>
    <t>a0pVT00000Cptd5YAB</t>
  </si>
  <si>
    <t>017VT0000GuQ0ZWYQ0</t>
  </si>
  <si>
    <t>a0rVT00001DXCQbYAP</t>
  </si>
  <si>
    <t>{PS_Sub_Region__c=ME Commercial East, Industry=Professional Services, attributes={type=Account, url=/services/data/v62.0/sobjects/Account/0014X00002luJLpQAM}, PS_Region_New__c=US Medium Enterprise DI, SubRegion__c=US DI Commercial NN Mid-Atlantic, Name=BELFOR Franchise Group}</t>
  </si>
  <si>
    <t>0018000000MtXdoAAF</t>
  </si>
  <si>
    <t>{PS_Region_New__c=US Large Enterprise DI &amp; Mexico, Industry=Renewable Energy, Name=Sunrun, attributes={url=/services/data/v62.0/sobjects/Account/0018000000MtXdoAAF, type=Account}}</t>
  </si>
  <si>
    <t>017VT0000GuOcelYQC</t>
  </si>
  <si>
    <t>a0rVT00001DXCQcYAP</t>
  </si>
  <si>
    <t>Great Wolf Resorts, Inc.</t>
  </si>
  <si>
    <t>0018000000ULAxpAAH</t>
  </si>
  <si>
    <t>{Name=Unilever U.K. Central Resources Limited, Industry=Consumer Goods, PS_Region_New__c=UKI, attributes={type=Account, url=/services/data/v62.0/sobjects/Account/0018000000ULAxpAAH}}</t>
  </si>
  <si>
    <t>a0pVT00000CpmjfYAB</t>
  </si>
  <si>
    <t>017VT0000Gkxl4sYQA</t>
  </si>
  <si>
    <t>a0rVT00001DXCSDYA5</t>
  </si>
  <si>
    <t>0018000000N4RQ8AAN</t>
  </si>
  <si>
    <t>{SubRegion__c=US DI Commercial NN Mid-Atlantic, attributes={type=Account, url=/services/data/v62.0/sobjects/Account/0014X00002luJLpQAM}, PS_Sub_Region__c=ME Commercial East, Name=BELFOR Franchise Group, PS_Region_New__c=US Medium Enterprise DI, Industry=Professional Services}</t>
  </si>
  <si>
    <t>{attributes={type=Account, url=/services/data/v62.0/sobjects/Account/0018000000N4RQ8AAN}, PS_Region_New__c=US Healthcare, Industry=Acute Hospital / Health System, Name=The Children's Mercy Hospital}</t>
  </si>
  <si>
    <t>2026-09-23T15:55:39.000+0000</t>
  </si>
  <si>
    <t>09/28- Learning 4 weeks of hypercare completed, Project GO Live on track for 11/7, Data Snapshot taken on 9/27, pre-cutover activities in progress.
09/15 - Learning Hyper care in progress, no critical issues, RTO is live , UAT started for both GPOP and Arcadia on 9/14. Cutover planning in progress .
09/8 – Learn go live 8/31 underway, UAT planning ongoing, cutover planning has started for 11/7 Go Live , Project Arcadia P2 Build underway aiming to complete 9/11.
08/28 –  RTO code fully deployed in PROD, go live 8/31 , Learn Go Live 8/31, UAT planning ongoing , cutover planning has started for 11/7 Go Live , Project Arcadia P2 Build starts 8/31.
08/21 -  RTO GO-live 8/25, Learning Cutover in progress  and on track to go live 8/31 , some data conversion was missed, issue identified and being remediated , UAT Prep for Bethesda starts this week, Arcadia P1 build in progress
08/17 – RTO code Migrated to Production on 8/14, GO-live 8/20, Learning Cutover in progress  and on track , UAT Prep for Bethesda starts this week, Arcadia P1 build in progress
08/10 – RTO Go live pushed to 8/13 as issues with a scenario for Holiday engine, Learning Cutover in Progress, Week 2 of build on track, UAT Prep for Bethesda starts this week, Arcadia P1 build in progress
07/31/2026 Learning Go-live 8/31, Move to Production for Learn Starts 08/03 , Build ends 8/14 and then two weeks of cutover
RTO Go live is 8/03 
Project GO live is moving to 11/7/2026 to align with another parallel Oracle Financials Project, build for that starts 08/03 in another tenant which is copy of the Signed off testing tenant
7/24/2026 – Third Party Payroll at 95% completion, prepping for WD Learn go-live, Timeline adjusted, UAT will start 9/14.
7/17/2026 – Third Party Payroll at 75% completion, prepping for WD Learn go-live, Timeline adjusted, UAT will start 9/14.
7/10/2026 - Customer working on new timeline , Bethesda go live will be pushed , new date being discussed. Workday Learning will go live 8/15 as per current timeline. Third Party Payroll Testing in Progress . 
7/7/2026 - Customer working on new timeline , Bethesda go live will be pushed , new date being discussed. Workday Learning will go live 8/15 as per current timeline. Third Party Payroll Testing in Progress . 
6/26/2026 – E2E Testing Sign off completed(pending scenarios to be completed by 7/10), Third  Party Payroll starts 7/6 , UAT Planning in progress, mitigating risks for Eightfold data integration with Workday
6/12/2026 - Keeping E2E Testing on track to completed by target date of 6/26 with the set Exit Criteria, UAT, Third Party Payroll and Cutover planning in progress, mitigating risks for Eightfold data integration with Workday.
5/28/2026 -  Downstream system dependencies still being worked through. Phenom, ServiceNow, MoveWorks. Eightfold issue has been resolved.
5/22/2026 -  Downstream system dependencies still being worked through. Phenom, ServiceNow, MoveWorks, Eightfold
5/12/2026 Downstream system dependencies not ready for E2E kick off. Maintaining yellow status. Client working through Phenom, ServiceNow, Eightfold dependencies.
5/6/2026 - Timeline adjusted. Client preparing for E2E kick off week of 5/11. 7 weeks of E2E testing in new timeline. 
4/27/26 Client moving forward with an 8 week extension for go-live. Move to PROD date looking mid-August. 
4/16 Client exploring options for extensions due to resourcing constraints and current compressed timeline not allowing sufficient time for testing.
4/6 Unit testing had targeted completion of 3/27 but was delayed until 4/3/2026 due to resource capacity issues. Moving towards P2 build on 4/6/2026. Examining possible extension options to alleviate resource constraints.
3/11 - Customer confirmation sessions for HCM, Comp, Time Tracking, Absence, Recruiting, and Learning done. Design for Talent behind. Aiming to be done by 3/20. Unit testing in progress. 
.moving forward with customer confirmation sessions and unit testing. Goal to get as much of outstanding decisions made prior to the P2 build.</t>
  </si>
  <si>
    <t>Meetings for Internal alignment for resourcing, timeline, and dependencies</t>
  </si>
  <si>
    <t>a3xVT00000056KvYAI</t>
  </si>
  <si>
    <t>a0pVT00000Cq6aHYAR</t>
  </si>
  <si>
    <t>Greater Atlanta McDonalds Operators Association</t>
  </si>
  <si>
    <t>017VT0000GuRTvBYQW</t>
  </si>
  <si>
    <t>Demo occurred on 07/16, led by Solution Consultants. Next steps are Adventist will re-group internally to decide on remaining questions to be addressed and a follow up call will be held. 
Workday will respond on future roadmap items to support decision.</t>
  </si>
  <si>
    <t>a0rVT00001DXCTpYAP</t>
  </si>
  <si>
    <t>{attributes={type=Account, url=/services/data/v62.0/sobjects/Account/0014X00002luJLpQAM}, PS_Region_New__c=US Medium Enterprise DI, Name=BELFOR Franchise Group, Industry=Professional Services, PS_Sub_Region__c=ME Commercial East, SubRegion__c=US DI Commercial NN Mid-Atlantic}</t>
  </si>
  <si>
    <t>End to end Source to Pay demo being scheduled for mid July. The purpose of the demo is to address open Product questions and processes.</t>
  </si>
  <si>
    <t>0018000000N4tbyAAB</t>
  </si>
  <si>
    <t>{Industry=Restaurant &amp; Food Service, PS_Region_New__c=US Large Enterprise DI &amp; Mexico, attributes={url=/services/data/v62.0/sobjects/Account/0018000000N4tbyAAB, type=Account}, Name=Taco Bell}</t>
  </si>
  <si>
    <t>a3xVT00000056pZYAQ</t>
  </si>
  <si>
    <t>Suzanne Watson</t>
  </si>
  <si>
    <t>017VT0000GuRTyQYQW</t>
  </si>
  <si>
    <t>a0pVT00000Cq8fKYAR</t>
  </si>
  <si>
    <t>9/24- Cross functional team daily meetings in progress.  Parallel strategy review completed on 9/23.  End to End planning to begin shortly.</t>
  </si>
  <si>
    <t>The GH and BSO PATT teams are collaborating closely to reduce the backlog.</t>
  </si>
  <si>
    <t>0018000000NLiuNAAT</t>
  </si>
  <si>
    <t>Architect / Design;Testing</t>
  </si>
  <si>
    <t>{PS_Region_New__c=US Large Enterprise DI &amp; Mexico, Name=Elanco US, Inc., attributes={url=/services/data/v62.0/sobjects/Account/0018000000NLiuNAAT, type=Account}, Industry=Healthcare Manufacturing}</t>
  </si>
  <si>
    <t>a3xVT0000005MEPYA2</t>
  </si>
  <si>
    <t>{PS_Region_New__c=Canada, SubRegion__c=Canada Commercial, attributes={type=Account, url=/services/data/v62.0/sobjects/Account/001VT00000HCushYAD}, PS_Sub_Region__c=Canada Commercial, Industry=Professional Services, Name=Pattison Outdoor}</t>
  </si>
  <si>
    <t>a0rVT00000tlQFZYA2</t>
  </si>
  <si>
    <t>Noah Zemke</t>
  </si>
  <si>
    <t>Green Dragon Cannabis</t>
  </si>
  <si>
    <t>017VT0000GuQmC8YQK</t>
  </si>
  <si>
    <t>a0rVT00001DXCaHYAX</t>
  </si>
  <si>
    <t>0018000000NylmVAAR</t>
  </si>
  <si>
    <t>{attributes={url=/services/data/v62.0/sobjects/Account/0018000000NylmVAAR, type=Account}, Industry=Chemicals, PS_Region_New__c=US Large Enterprise DI &amp; Mexico, Name=Westlake Corporation}</t>
  </si>
  <si>
    <t>017VT0000GcCcFcYQK</t>
  </si>
  <si>
    <t>a0pVT00000CprpqYAB</t>
  </si>
  <si>
    <t>a0rVT00001DXCdWYAX</t>
  </si>
  <si>
    <t>0018000001IBba2AAD</t>
  </si>
  <si>
    <t>{Industry=Auto Manufacturing, attributes={type=Account, url=/services/data/v62.0/sobjects/Account/0018000001IBba2AAD}, PS_Region_New__c=US Large Enterprise DI &amp; Mexico, Name=REV Group, Inc.}</t>
  </si>
  <si>
    <t>{PS_Sub_Region__c=Canada Commercial, SubRegion__c=Canada Commercial, Industry=Professional Services, Name=Pattison Outdoor, PS_Region_New__c=Canada, attributes={type=Account, url=/services/data/v62.0/sobjects/Account/001VT00000HCushYAD}}</t>
  </si>
  <si>
    <t>- Initial notes in Summary, will update weekly.
- WCS is still struggling with the pace of our deployment and how quickly they need to turn around decisions and configuration details from their global regions and even in the USA. We have been able to get Foundation build calls scheduled but the pace will likely be very slow. I will continue to track but assume this project will remain in yellow for quite some time given their slower pace and global complexities (poor documentation, lots of countries in scope, disjointed regionally, etc.)
- 3/22: WCS is not ready to start a global deployment. They don't have data ready nor the ability to move at the pace we require. Our foundation calls kicked off last week but no worker data was ready and the configuration was only minimal. We are progressing so I will keep it in Yellow but this customer should not have been set up for a Launch project for this many countries.
3/30: WCS is still a bit behind but they are making progress with providing worker data files and configuration details we need for build. Continuing to track closely and ensure progress weekly to get back to Green status.
4/6: WCS provided payroll worker data and config workbooks. HCM config is close and USA worker data is in validation. Global HCM worker data is due this Friday and if we get that we should be on track for our FAS schedule and back to Green status. 4/30 target to green on track.
- WCS does not want to move at the pace we require. I am holding them to the timeline but they continue to challenge that timeline. If WCS cannot get their global regions engaged and start to keep the timeline, we will likely have to keep the project in yellow and possibly redefine the timeline. We should know more this week or next once they commit or ask to push the FAS's out.
- Foundation build and Architect Sessions on track for 4/1/27 Go Live timeline. Main reason project is still in yellow is because WCS does not have the structure in place to do so. Resources are a constraint, global alignment is a constraint, they are not comfortable moving forward without knowing every single detail, etc. We are pushing forward but this is a long term risk.
- FAS's tentatively scheduled for 5/18. We lost our INT lead and are awaiting a new resource. DCDD's are still in progress for foundation build as well but path to resolution is being worked on today.
- Meeting this week to lock in the FAS schedule for USA and Global. On track for both which aligns with our 4/1 Go Live timeline. Keeping Yellow until we get through Unit Testing at minimum due to the high touch nature of this customer.
- WCS cannot commit to FAS schedule as they try to include their global resources. Meeting again on this topic tomorrow, 5/12, to try to resolve the schedule. They have global time zones to consider but they also have a lot of PTO that is conflicting. I will place in Red status if they cannot commit to something this week.
- Shared revised FAS schedule with WCS, waiting for them to confirm if this will work. If so, moving back to yellow status. If not, we will keep it in Red as we are burning too much time to be able to make up and keep 4/1/2027 Go Live.
- Moved from Red to Yellow as we scheduled all FAS's and kicked off today. We need to cover the entire timeline/project plan again soon to ensure WCS knows what they will need to manage throughout and avoid blockers we ran into for FAS scheduling.
- We reviewed the timeline today, started scheduling weekly workstream calls and CCS schedule now. Also reviewed Unit Testing scenarios at a high level and test planning. Risk is still there but reduced. Will track closely weekly.
- 6.8.26: WCS Foundation Alignment Sessions are moving forward as planned. We have scheduled most weekly workstream calls (time tracking &amp; Payroll are the only ones still pending but will have those completed this week). I have presented the customer confirmation schedule to WCS as well for them to review and confirm. If WCS can maintain our call schedule, plan well for Unit Testing, and execute Unit Testing as planned in August, the project will be stable enough to likely move it back to a Green status. Integrations are the only other element that could play a role in our health status but for now that workstream is not at risk and we are meeting weekly to ensure the integration progress is in line with our timeline.
-6.15.26: All weekly workstream calls are scheduled, CCS schedule presented was verbally confirmed as 90% solid but still need to finalize the schedule (targeting to have this completed this week or early next), Unit test planning needs to start in the next week or two and is the biggest risk right now. WCS moves slow and has to involve a lot of people in each step and Unit Testing will be no different and will only be 4 weeks to complete.
-6.22.26: CCS's are 70% scheduled, PATT pillar will be scheduled this week so minimal risk remains. Unit testing preparation has not yet started and is the biggest risk I will be focused on through end of July when Unit Testing is set to begin.
6/30/26: FAS's will complete this week and CCS's and weekly workstream calls are all scheduled and in flight. Unit Test planning has not begun, which is the next biggest risk keeping the project in yellow. Will work with the customer team to develop a plan and hold them accountable to execute or will flip the project to yellow trending Red by 7/10.
7/6: Will discuss today the plan for Unit Testing and E2E Build. If WCS doesn't have a good plan for these items we will have to push them to get it completed ASAP. Yellow trending yellow will be the new DHP if they don't.
- 7/10: On track for CCS and Unit Testing overall but unit test planning is still behind. WCS acknowledged though and will escalate this over the next 2 weeks. SAP Integration decisions are delayed but escalation effort has been put in place to get these completed.
- 7.19: project remains in yellow due to high touch support needs and slow movement on customer side. However we are on track for CCS and Unit Testing along with E2E build. RAIDQ delays may play a part in the ability to test thoroughly and be ready for E2E testing but will have to review that in the coming weeks.
- WCS continues to move slowly but they are moving forward. CCS's started today through 8/7 followed by Unit Testing. Integration work is behind a as well with some critical designs behind delaying build work. We will keep tracking things closely through end of August and determine if our E2E build schedule can be kept in September.
- WCS is not sure they can keep our timeline for E2E build. They have not started any Unit testing either nor do they have much of a plan in place. I will address today with them but status remains yellow trending yellow due to theses potential delays. Things continue to move forward but at a slow or inconsistent pace.
- 8/11: WCS will be unit testing through 9/4, as of now they still have not started testing though. E2E build data gathering and Unit Testing will be key tasks that WCS will have to accomplish timely to reduce the risk from Yellow to yellow trending Green. If they can execute over the next 4 weeks we will be closer to Green but if not, we will be closer to Red.
8/17 - WCS is not taking the timeline and methodology internally and managing the tasks/deadlines appropriately. They have not started Unit testing and we are 1 week into the 4 week window. It is likely that we will need to push our E2E build 2-3 weeks out and shorten E2E testing window. Progress is slow but we are hoping this week to get them testing.
8/26 NZ: E2E build pushed 2-3 weeks, giving more time to unit test and prepare e2e data, also provides more time to finalize some customized requirements and config for HCM &amp; Benefits. This also opens up some risk of time being added for these tasks with minimal impact. Will track closely and document risks accordingly with customer team. Still yellow trending yellow due to slow pace and high touch requirements and complex/customized mindset for a lot of requirements.
8/30 NZ: unit testing sits at 4% complete after 3 weeks, progress will have to improve this week to show 30% plus completed. E2E build data is in question and will push for an update on that this week as well.
- 9/7 NZ: Same update as above, we have 2 weeks to see if we can get Benefits on track and all unit testing, E2E build is in question at this point depending on those items.
-9/14 NZ: WCS continues to miss deadlines and struggle to keep the launch methodology pace. E2E build is at risk and Unit testing is only 23% complete with 5 days remaining. Meeting today to discuss timeline revisions and path to Green.
-9/21: With E2E build moved to start 2 weeks later, risk reduced for config integrity. Risk increased for E2E testing timeline though. We are devising a plan to have USA testing completed in 8 weeks to move to Parallel as critical path and then have secondary focus on global testing as they will have 6 additional weeks to test during parallel. More to come on that but it's our only path to 4/1 at this point.
-9/27 NZ: This project will remain yellow until we get through E2E testing and then will likely remain yellow through Parallel. We have had to push every major milestone due date at least once with E2E build pushing 3 times. WCS cannot commit and hit due dates nor can they keep the pace this project requires. We have a critical path defined to get to 4/1/2027 Go Live but it will require WCS to hit everything perfectly and they have not been able to do that one time thus far.</t>
  </si>
  <si>
    <t>017VT0000GuRTTyYQO</t>
  </si>
  <si>
    <t>Plan: 
- Meet with customer PM 2 times per week until we are stable, I also have them added to Workday Slack and talk multiple times daily there. 
- Call out timeline risks now if I feel the WCS team will not be able to make up the lost time given their slower approach and global scope.
- Ensure all weekly workstream calls, customer confirmation sessions, &amp; unit test planning activities are completed timely to reduce risk further.
- Track RAIDQ closely and hold WCS accountable to critical RAIDQ items.</t>
  </si>
  <si>
    <t>Architect / Design;Customer Resources;Integration;Project Management/Methodology;Testing</t>
  </si>
  <si>
    <t>{attributes={type=Account, url=/services/data/v62.0/sobjects/Account/0018000000ORDklAAH}, Industry=Auto Manufacturing, PS_Region_New__c=US Large Enterprise DI &amp; Mexico, Name=Bridgestone Americas, Inc.}</t>
  </si>
  <si>
    <t>a3xVT0000005MkfYAE</t>
  </si>
  <si>
    <t>a0rVT00000qlC6FYAU</t>
  </si>
  <si>
    <t>a0pVT00000CpuipYAB</t>
  </si>
  <si>
    <t>Sebastien Verstraet</t>
  </si>
  <si>
    <t>a0rVT00001DXFOTYA5</t>
  </si>
  <si>
    <t>9/18:  We are still working through July billing with approx 70% completed.</t>
  </si>
  <si>
    <t>017VT0000GcCcHSYQ0</t>
  </si>
  <si>
    <t>Greystar Global Enterprise, LLC</t>
  </si>
  <si>
    <t>7/2: Recommendation from Workday was to push the Go Live. We moved to Production because the configuration was stable, but the data for billing (Contracts) is still being tested.</t>
  </si>
  <si>
    <t>{Name=Pattison Outdoor, PS_Region_New__c=Canada, Industry=Professional Services, attributes={type=Account, url=/services/data/v62.0/sobjects/Account/001VT00000HCushYAD}, PS_Sub_Region__c=Canada Commercial, SubRegion__c=Canada Commercial}</t>
  </si>
  <si>
    <t>0018000000OTGF4AAP</t>
  </si>
  <si>
    <t>{PS_Region_New__c=US Medium Enterprise DI, attributes={type=Account, url=/services/data/v62.0/sobjects/Account/0018000000OTGF4AAP}, Name=Coke One North America (CONA), Industry=Business Services}</t>
  </si>
  <si>
    <t>a3xVT0000005NtdYAE</t>
  </si>
  <si>
    <t>a0rVT00000gnB5UYAU</t>
  </si>
  <si>
    <t>Kent Polzin</t>
  </si>
  <si>
    <t>017VT0000GuPX0GYQW</t>
  </si>
  <si>
    <t>- Customer PM (Critical Resource) resigned from project (last day is Fri, Oct-02)
- Executed CO for 3mo go-live push (1,769 hours)
+ Integration Reconciliation in-progress and will be handled on separate CO
- Continuing to wait for delivery/rework of Customer PP Build files
+ 3 past due Customer Payroll Parallel Build files (all were due Mon, Aug-03) &lt;-- over eight weeks late
+ 2 Customer Payroll Parallel Build files in rework
+ 51 Total Customer Payroll Parallel Build files to be received and validated by Fri, Aug-21 &lt;-- over five weeks late
- Customer in wk18 of E2E testing (21wks planned)
+ Testing 67% complete
+ 366 Scenarios behind schedule
+ Critical Integrations remain blocked (Time Punch inbound &amp; Avalara)
+ Last minute integrations coming into scope  (e.g., Check Print)
- DHP remains open</t>
  </si>
  <si>
    <t>0018000000kuwL1AAI</t>
  </si>
  <si>
    <t>{attributes={type=Account, url=/services/data/v62.0/sobjects/Account/0018000000kuwL1AAI}, Industry=State &amp; Local Government, PS_Region_New__c=US SLED, Name=City of Amarillo (Precision Task Group, Inc.)}</t>
  </si>
  <si>
    <t>Monitor &amp; benchmark customer DC file delivery to finish FIN portion of E2E Build.  FIN E2E testing currently on hold pending delivery of remaining FIN DC Files (HCM/PAY is okay to start E2E Testing).
Conduct E2E Lessons Learned call and get commitments from customer review changes they are making to their DC file delivery processes (e.g., more Customer DC Staff, more automation, etc.) so same delays are not experienced during future builds.
Finalize Payroll Parallel Build schedule and monitor/review customer’s ability to deliver DC files according to the build schedule.</t>
  </si>
  <si>
    <t>a0pVT00000CpkBcYAJ</t>
  </si>
  <si>
    <t>017VT0000GuR25zYQC</t>
  </si>
  <si>
    <t>a0rVT00001DXCiLYAX</t>
  </si>
  <si>
    <t>{PS_Sub_Region__c=Canada Commercial, Industry=Professional Services, attributes={url=/services/data/v62.0/sobjects/Account/001VT00000HCushYAD, type=Account}, Name=Pattison Outdoor, PS_Region_New__c=Canada, SubRegion__c=Canada Commercial}</t>
  </si>
  <si>
    <t>0018000000OTbbPAAT</t>
  </si>
  <si>
    <t>{Industry=Softlines, Name=Jo-Ann Stores, LLC (Inactive Account), attributes={type=Account, url=/services/data/v62.0/sobjects/Account/0018000000OTbbPAAT}, PS_Region_New__c=US Large Enterprise DI &amp; Mexico}</t>
  </si>
  <si>
    <t>a3xVT0000005ZErYAM</t>
  </si>
  <si>
    <t>a0rVT00000mMlmJYAS</t>
  </si>
  <si>
    <t>2026-09-30T13:25:13.000+0000</t>
  </si>
  <si>
    <t>017VT0000GcCd71YQC</t>
  </si>
  <si>
    <t>a0rVT00001DXCjxYAH</t>
  </si>
  <si>
    <t>0018000000OieAgAAJ</t>
  </si>
  <si>
    <t>{attributes={url=/services/data/v62.0/sobjects/Account/0018000000OieAgAAJ, type=Account}, PS_Region_New__c=US Large Enterprise DI &amp; Mexico, Industry=Land and Rail Transportation and Freight, Name=U.S. Xpress Enterprises, Inc.}</t>
  </si>
  <si>
    <t>a0pVT00000Cq6dXYAR</t>
  </si>
  <si>
    <t>SIT testing to begin 8/24/26.</t>
  </si>
  <si>
    <t>017VT0000GuR25wYQC</t>
  </si>
  <si>
    <t>{PS_Region_New__c=US Medium Enterprise DI, Industry=Professional Services, SubRegion__c=US DI Commercial NN Southeast, PS_Sub_Region__c=ME Commercial East, Name=Big Peach Car Wash, attributes={type=Account, url=/services/data/v62.0/sobjects/Account/001VT00000b2kO2YAI}}</t>
  </si>
  <si>
    <t>a0rVT00001DXClZYAX</t>
  </si>
  <si>
    <t>Groupe Poulet Rouge Inc.</t>
  </si>
  <si>
    <t>0018000000OzmPuAAJ</t>
  </si>
  <si>
    <t>{attributes={url=/services/data/v62.0/sobjects/Account/0018000000OzmPuAAJ, type=Account}, Name=Trimac Transportation, PS_Region_New__c=Canada, Industry=Land and Rail Transportation and Freight}</t>
  </si>
  <si>
    <t>- Summary and Action Plan completed, will add plan update weekly from here on out.
- 55% of testing is complete or deferred to E2E. Will keep yellow through Unit testing and then determine status from there. Last week about 20% completed or deferred so we are on track to hit close to 95% if CG can keep a 20% pace over the next 2 weeks.
- CG is now at 67% for unit testing completion. In a few weeks I believe we can flip the project back to Green until we head into E2E testing for functionality. Integrations, however, will  likely keep the project in yellow until we get them all completed for E2E as precautionary tactic. No major concerns but will continue to track closely through E2E testing.
- Testing is now 82% complete and integrations are trending in the right direction. Keeping Yellow until we get to Test stage to ensure integration progress is on track to have all in scope integrations ready for testing within the first 3-5 weeks of test stage.
- Integrations continue to lag behind with some designs still in flight and other integrations being added net new as of last week. Will continue to track closely but most should be done by E2E testing starts or within 3-6 weeks of the start (12-13 week total).
- Keeping yellow cautiously until we get integrations mostly transitioned to E2E testing. All other workstreams are in green.
- Same update, yellow status will remain until integrations are back to Green. All other workstreams are on track overall, Reporting may push to yellow depending on how conversations with the customer go this week/next week regarding the scope and their hard requirements.
- CG is concerned about configuration decisions that are pending, they may not start testing on time due to these decisions. I am working through this with them today to see if we can get a plan in place that won't impact testing timeline. I view the project as yellow trending green still due to integrations, will see how this week goes and circle back. Once INT's are handed off for E2E testing, we can flip to Green if nothing new comes up.
- Integration design/builds a bit behind and main cause for yellow status. Target to green is based on the estimate to have all integrations built/unit tested/KT'ed for CG to use in E2E.
- Integrations that are behind continue to be tracked. Evisort is the biggest risk, but we have provided additional advisory support via our Evisort product advisors. Testing is behind so that will keep this in yellow longer if they don't make up lost time. Tracking weekly and holding 2 calls per week with the PMO to ensure we can keep things moving towards 10/1 Go Live without concern.
- E2E testing started slow and integrations are still behind schedule. Both are lower risk but keeping in Yellow until both are in healthier position.
- E2E testing, 3 of 13 weeks complete, has only 8% passed/complete. Blocking time on testers calendars to push testing. 10%-15% progress weekly will be required to get to sign off by 8/7.
- Initially, Unit testing was the risk that pushed our deployment health to yellow. We are now in E2E testing and after 4 weeks of testing only 10% of the scenarios are completed with some custom scenarios still being developed and not included in our metrics. I have moved the projec to yellow trending red and will address the risks on today's Connor Group internal PMO (mini steer co). We have 9 weeks left and can get back on track but action needs to be taken this week with 15%-20% progress to reduce the risks and then have that same output next week, etc.
- Improved testing lats week, completed 9% more and up to 19% complete. I still want to see 15% completed weekly over the next few weeks to reduce the risk greatly. Integrations have reduced risk as well now that we know the true requirements for the Evisort outbound integration.
- 31% of all testing is completed with 7 weeks left. We are behind still but the gap is closing. Will continue to track this closely. Integrations have reduced risk as well with all designs complete and critical builds in progress for targeted completion of early July to hand off for e2e testing &amp; Go Live sign off.
6/30/26: CG is still only at 33% pass/completed on E2E testing with 5.5 weeks remaining. If 15% of testing is not completed this week, I believe we need to move to Red status. I have a Steer Co on Thursday, 7/2, this week to address further. Integrations are slight risk still but progress is being tracked closely and should be Green once we get through middle of July.
7/6: 37% of testing is complete with 5 weeks remaining. If 15% of testing is not completed this week pushing us over 50% we will talk about pushing the project to Red status. Steer Co covered this topic and executives are aware of the risks.
- CG only tested 3% this week, I asked for 15%. I told them if we didn't hit this target the project would be moved to Red status which I have done. I will be on PTO next 2 weeks but my back up is aware and I have included our sponsor Kirk. They have 4 more weeks to get the project back to Green status by catching the testing up, which can be done, but they have not proven it yet.
7.19: Keeping in red but the team has improved their testing dramatically with 57% passed/complete and only 17% not started with 3 weeks left to complete testing. If we can hit close to 70% pass/complete by week's end we will be in good shape to move back to yellow status.
- 7/27: CG hit 71% E2E testing passed/complete with 2 weeks remaining. They are positioned well to sign off on testing and start the Gold build/cutover execution. I will work with CG this week to determine if they want to keep the project health in Red/Yellow still or move to Green.
-8/3: CG has caught up on testing overall but they still feel concerned about the remaining testing they need to do leveraging historical PSA data that won't be loaded to E2E until next week. They are working to validate data and ensure a strong comfort level around the data. Go/No Go decision 1 will take place this week before we start the pre-prod build. CG will either proceed with 10/1 and have a tighter timeline to wrap up integration testing &amp; PSA data conversion or push to 11/1 and we will provide an estimated T&amp;M increase to hours.
-8/11: CG has made the decision to move their Go Live to 11/1, this reduces risk and they have done a great job testing, currently at 85% pass/complete. CG will focus on PSA data conversion, integrations, and reporting testing through mid September primarily. New build to start 9/21 roughly for Pre Production followed by Move to Prod end of October on 10/29.
8/17: CG is pushing their Go Live to 11/1 and a formal CO will be executed this week or next. We have a Steer Co on Thursday to finalize any outstanding questions. This push highly reduces the risk to the project but we will keep it in yellow until we get through their Pre-Production build. MTP is targeted for 10/29 now and testing is 86% completed with aggressive targets to get everything completed by 9/4 or 9/14 with a hard sign off of 9/19.
-8/24: 90% E2E testing passed/complete. Evisort escalation and some reporting escalations have added some risk to the project and justify keeping it in yellow. Meetings in place to reduce/resolve risks in question. Target path to Green is Pre-Prod build on 9/21.
8/30 NZ: Evisort escalation addressed, CG needs to make a decision on path forward between generating SOW out of CPQ vs. Evisort. Likley will be Evisort and product will work with CG on post Go Live enhancments with V2 coming out in November/December. Testing still sits at 90% with due date of 9/14.
- 9/7 NZ: Connor group is at 91% pass/complete of testing. They have this week to finalize anything needed. Evisort is the critical item that needs add'l support to get to Go Live, adding Nirmal as Product Advisory support for D2 Legal team (Evisort IMPL team).
9/14 NZ: Steer co on Thursday to sign off on E2E testing and to start Pre Prod build on 9/21. All major risks are de-escalated and supported to ensure 11/1 Go Live is sustainable. Will move project to Green if we get sign off on E2E testing, Evisort progress, Integrations, &amp; Pre-Prod build this week.
- CG signed off on Pre-Prod build and E2E testing completion. Keeping Yellow until Evisort project UAT is completed and we are MTP ready.
- Same update, on track for 11/1 Go Live but Evisort testing still in progress with D2 Legal and tracking closely.</t>
  </si>
  <si>
    <t>- Address bandwidth of resources for E2E testing effort. Discuss with Connor Group if resources can offload other responsibilities or priorities to ensure the Workday implementation is their top priority over the next 4 months through Go Live. 
- Continue to track integrations weekly, discuss progress of designs pending so we can begin/finalize the integration builds that are outstanding quickly for hand off to Connor Group for E2E testing.</t>
  </si>
  <si>
    <t>017VT0000GuRRtuYQG</t>
  </si>
  <si>
    <t>Customer Resources;Integration;Testing</t>
  </si>
  <si>
    <t>a0rVT00001DXCnBYAX</t>
  </si>
  <si>
    <t>a3xVT0000005cUTYAY</t>
  </si>
  <si>
    <t>0018000000OzmVBAAZ</t>
  </si>
  <si>
    <t>a0rVT00000rBckzYAC</t>
  </si>
  <si>
    <t>a0pVT00000CprcuYAB</t>
  </si>
  <si>
    <t>{Industry=Food &amp; Drug, Name=Sobeys Inc, PS_Region_New__c=Canada, attributes={url=/services/data/v62.0/sobjects/Account/0018000000OzmVBAAZ, type=Account}}</t>
  </si>
  <si>
    <t>Anthony Ciccone</t>
  </si>
  <si>
    <t>Grupo Aeroméxico, S.A.B. de C.V.</t>
  </si>
  <si>
    <t>{Industry=Professional Services, PS_Sub_Region__c=ME Commercial East, SubRegion__c=US DI Commercial NN Southeast, attributes={url=/services/data/v62.0/sobjects/Account/001VT00000b2kO2YAI, type=Account}, Name=Big Peach Car Wash, PS_Region_New__c=US Medium Enterprise DI}</t>
  </si>
  <si>
    <t>Mexico</t>
  </si>
  <si>
    <t>017VT0000GuRFOFYQ4</t>
  </si>
  <si>
    <t>a0rVT00001DXCnCYAX</t>
  </si>
  <si>
    <t>9/15 Integration / Invoicing call scheduled for tomorrow with other technical sesisons scheduled for next week - 
9/1 Project has re-started. Demo was delivered. Availability distributed for discovery sessions
8/24: demo scheduled for tomorrow
8/19: We've scheduled a demo of EWM to the shriners team next week who requested a refresher.
8/3 below update is accurate. Meeting on 8/3 to discuss VNDLY internally at shriners
7/26: EM has requested 2 SteerCo meetings. I have not heard back from the client sponsors, or two project manager consultants for Shriners.
7/14: EM has requested a SteerCo meeting now that the team has re-engaged.
7/6 below update remains accurate. EM to send another note to client RE: work that can be done while we're at Altitude.
6/26: Pause remains in place to focus on HCM go live. VNDLY go live date has shifted to 11/16. BRD has been composed with RAIDQ and discovery items. EM to send to client PMs to review during pause
6/9: Shriners has informed us that their priority has shifted to Workday HCM cutover, and thus VNDLY is going to be paused until 7/13
From a configuration perspective we are sitting around 90% complete. Technical items are outstanding, aiming to close ASAP.
functional and technical lead have provided the most urgent items that need wrapped up. Working with client on getting meetings scheduled.
While we're working on getting some design sessions scheduled, it seems like we're still having a challenging time gaining traction.
- 5/8 the above update remains accurate
4/22: Communication regarding the new launch plan was sent out by Shriners PMs yesterday. This outlined the big-bang launch on 11/2 with all 3 modules
4/14 Per a conversation with the client on 4/13 they asked for a new timeline for a big bang approach for November 2026. I presented that to the client on 4/14 and they are taking it to SteerCo on 4/17
4/6 WPM to be launch in early July for Committee and Board Members. EM to present re-worked timeline to Shriners for Phase 2 on 4/6
SteerCo has decided to pursue a WPM-only launch by 7/6 followed by EWM and SOW by 11/1. EM to present reworked timelines to client PM on 3/30</t>
  </si>
  <si>
    <t>{PS_Region_New__c=US FSI, attributes={type=Account, url=/services/data/v62.0/sobjects/Account/0018000000rOsTDAA0}, Industry=Banking &amp; Capital Markets, Name=Teachers Insurance and Annuity Association of America}</t>
  </si>
  <si>
    <t>017VT0000GuRRtfYQG</t>
  </si>
  <si>
    <t>0018000000OzorcAAB</t>
  </si>
  <si>
    <t>a0pVT00000CqBJpYAN</t>
  </si>
  <si>
    <t>{PS_Region_New__c=Canada, Industry=Consumer Goods, Name=Agropur Cooperative, attributes={type=Account, url=/services/data/v62.0/sobjects/Account/0018000000OzorcAAB}}</t>
  </si>
  <si>
    <t>Gulfstream Aerospace Corporation</t>
  </si>
  <si>
    <t>{PS_Region_New__c=US Medium Enterprise DI, Name=Big Peach Car Wash, attributes={type=Account, url=/services/data/v62.0/sobjects/Account/001VT00000b2kO2YAI}, PS_Sub_Region__c=ME Commercial East, Industry=Professional Services, SubRegion__c=US DI Commercial NN Southeast}</t>
  </si>
  <si>
    <t>017VT0000GcCcFxYQK</t>
  </si>
  <si>
    <t>{PS_Region_New__c=US Large Enterprise DI &amp; Mexico, Name=CoorsTek, Inc., attributes={url=/services/data/v62.0/sobjects/Account/0018000000P0iTHAAZ, type=Account}, Industry=Materials}</t>
  </si>
  <si>
    <t>There is a meeting on 8/3 internally to discuss VNDLY.
There is a SteerCo meeting on 3/20 to discuss a phased launch. The recommendation from VNDLY is to launch WPM in early July, followed by EWM and SOW in November.
4/13: on 4/10 we were informed that per Shriners CHRO, the originally agreed upon plan needs re-work as they don't want to include board members
4/22: SteerCo approved the new launch strategy
4/30 keeping project in yellow due to outstanding leadership items that need confirmed from Shriners.
5/8 Client has cancelled a few meetings since our last touch point. I have provided a list of critical inquiries that need answered before we can keep the momentum moving:
Critical Program Decisions
•	Invoicing: Will we configure the system for invoicing now, or wait for a future phase?
•	Vendor Management: Will Shriners utilize external vendors in the system, or will internal employees act as the "Vendor" for data entry?
•	Time Entry: Will contractors enter their own time, or will a designated Shriners worker manage this?
Integration Must-Haves
•	Charge Codes: We have confirmed Company, Cost Center, and Remote Worker Affiliate. We need confirmation on whether Grants, Project Tags, Projects, Spend Categories, or POs are required for EWM, SOW, or WPM modules.
•	Technical POCs: We require a technical POC for SFTP setup and a functional POC for Workday FINs to assist with data mapping and testing.
•	Invoice Grouping: If invoicing is in scope, should line items be grouped by individual contractor or another metric?
Functional Requirements
•	Workflows: Completion of the mapping document (Approvals and Locations).
•	Labor Rules: Finalization of Rate Types, Overtime, Multipliers, and Shifts.
•	Onboarding: Confirmation of the credentialing checklist (currently includes Licensure, Medical Staff Approval, and Credentialing Statuses).
•	Back-Dating: Confirmation of the threshold for rate back-dating.
5/18: Client is working with us to get meetings scheduled. We've expressed the urgency to wrap up discovery.
5/27: Requirements sessions continue, sitting around 87% complete of functional requirements. Technical requirements are still outstanding. Keeping the project in yellow until we can formally move from Architect to configure
5/29: Will provide a formal update on Monday once we get into config
6/1 there are 4 meetings with the client today. We should have a good idea of any outstanding discovery questions by EoD
Shriners has informed us that their priority has shifted to Workday HCM cutover, and thus VNDLY is going to be paused until 7/13</t>
  </si>
  <si>
    <t>017VT0000GuRCbbYQG</t>
  </si>
  <si>
    <t>a3xVT0000005iy5YAA</t>
  </si>
  <si>
    <t>a0rVT00000g5KZ7YAM</t>
  </si>
  <si>
    <t>Orly Trubik</t>
  </si>
  <si>
    <t>001VT00000b2j0cYAA</t>
  </si>
  <si>
    <t>{attributes={url=/services/data/v62.0/sobjects/Account/001VT00000b2j0cYAA, type=Account}, Industry=Non-Profit, PS_Region_New__c=US SLED, Name=First Credit Union, LLC}</t>
  </si>
  <si>
    <t>a0pVT00000Cq00FYAR</t>
  </si>
  <si>
    <t>Gulliver Preparatory School, Inc</t>
  </si>
  <si>
    <t>{Name=Big Peach Car Wash, Industry=Professional Services, PS_Region_New__c=US Medium Enterprise DI, attributes={url=/services/data/v62.0/sobjects/Account/001VT00000b2kO2YAI, type=Account}, SubRegion__c=US DI Commercial NN Southeast, PS_Sub_Region__c=ME Commercial East}</t>
  </si>
  <si>
    <t>2026-09-30T13:25:59.000+0000</t>
  </si>
  <si>
    <t>017VT0000GuRRtlYQG</t>
  </si>
  <si>
    <t>0018000000P0iTKAAZ</t>
  </si>
  <si>
    <t>{PS_Region_New__c=US Large Enterprise DI &amp; Mexico, Industry=Amusement &amp; Recreation, Name=Aspen Skiing Company, LLC, attributes={url=/services/data/v62.0/sobjects/Account/0018000000P0iTKAAZ, type=Account}}</t>
  </si>
  <si>
    <t>a0pVT00000Cq3XZYAZ</t>
  </si>
  <si>
    <t>017VT0000GcCd8ZYQS</t>
  </si>
  <si>
    <t>a0rVT00001DXCteYAH</t>
  </si>
  <si>
    <t>{attributes={type=Account, url=/services/data/v62.0/sobjects/Account/0013000000JMDr5AAH}, SubRegion__c=US DI LE CB RHT Northeast, PS_Region_New__c=US Large Enterprise DI &amp; Mexico, Name=QVC Group, Inc., PS_Sub_Region__c=Diversified Industries LE CB RHT, Industry=Softlines}</t>
  </si>
  <si>
    <t>0018000000P1QtRAAV</t>
  </si>
  <si>
    <t>{Name=Lennar Homes, LLC, Industry=Business Services, attributes={url=/services/data/v62.0/sobjects/Account/0018000000P1QtRAAV, type=Account}, PS_Region_New__c=US Large Enterprise DI &amp; Mexico}</t>
  </si>
  <si>
    <t>017VT0000GuRRtiYQG</t>
  </si>
  <si>
    <t>a0rVT00001DXCvFYAX</t>
  </si>
  <si>
    <t>0018000000P0ihnAAB</t>
  </si>
  <si>
    <t>{Industry=Restaurant &amp; Food Service, Name=Performance Food Group Company, PS_Region_New__c=US Large Enterprise DI &amp; Mexico, attributes={url=/services/data/v62.0/sobjects/Account/0018000000P0ihnAAB, type=Account}}</t>
  </si>
  <si>
    <t>a0rVT00001DXEfJYAX</t>
  </si>
  <si>
    <t>a0pVT00000Cpuu9YAB</t>
  </si>
  <si>
    <t>Géodis Interservices</t>
  </si>
  <si>
    <t>16/09: The Make-To-Production (MTP) sign-off has been formally approved by executive sponsors Freya Smith (HR), Jennifer Bryce (CFO), and Guy Vella (Customer PM). 
However, this milestone was reached despite three critical underlying risks:
-Incomplete Payroll &amp; E2E Testing: Critical business workflows and payroll integration pathways remain unexecuted and unsigned, creating high vulnerability to Day 1 operational failures and data errors.
-Pending Data Migration (Payroll History/GL Conversion): Final ETL cycles and reconciliation processes are unfinished, posing a severe risk of data corruption, missing historical records, and post-launch downtime.
-Finance Team Engagement &amp; Scope Creep: Reluctance from select Finance team members to adopt Workday has led to late-stage change requests during cutover, threatening month-end processing and baseline system adoption.
Next Steps &amp; Mitigation Strategy:
Guy Vella is currently developing a detailed roll-back plan. To maintain momentum while controlling risk, the project team are focusing on the following actions:
- Prioritise Mandatory Testing: Cuscal has aligned project resources to complete testing. End-to-End (E2E) testing is nearly complete, and Payroll Parallel testing for PayDay Super is actively underway.
- Implement Immediate Scope Freeze: Freeze all late configuration requests submitted during the Gold build, re-routing these items to a post-implementation release cycle.
- Refocus Resources: Cuscal has redirected team bandwidth toward change management, targeted end-user training, month-end and knowledge transfer ahead of cutover.
20/07:
&gt;&gt; Project has been delayed. Cuscal are considering three options: 
•	Option 1: All streams delayed by one month (Go-live shifts to October).
•	Option 2: HCM &amp; Payroll delayed by one month (Go-live shifts to October); Finance go-live shifts to January 1st.
•	Option 3: HCM &amp; Payroll delayed by two months (Go-live shifts to November); Finance go-live shifts to January 1st.
Next steer co scheduled 30/07.
17/06: 
&gt;&gt; Custom Payslip - Cuscal has requested Workday invest in a custom payslip - $12,216. OT to raise with AS &amp; WN. 
&gt;&gt; Payroll History - Cuscal requires YTD pay history to be loaded into Workday, this is estimated around $20,434. Cuscal have accepted this CO in the last steer co.
&gt;&gt; Testing - HIGH RISK: Testing Constraints &amp; Quality Trade-Offs email sent to project manager.
o  Velocity - Currently, the slow pace of testing is severely compressing the time available for our teams to remediate defects. When faced with the choice to either delay the timeline or proceed with an incompletely tested solution, Cuscal’s executive leadership has firmly elected to maintain the current go-live date and accept a partially tested solution. While we respect the commitment to the timeline, launching under these conditions introduces severe downstream operational, financial, and reputational risks to the business.
o To help Cuscal maximise their limited timeframe, our team has offered the following targeted support:
 •       Facilitated Testing Sessions: Offering dedicated windows where Cuscal testers execute scripts with a Workday consultant on hand to answer questions and unblock issues immediately.
 •       Ecosystem Sourcing: Connecting Cuscal with specialised testing resources across our partner network to rapidly scale up external capacity if they choose to leverage them.
18/05:
&gt;&gt;&gt; Product Gap Visibility, completed and shared Apr 29th.
&gt;&gt;&gt;Targeted Training, completed March 26th. Reviewing customer feedback.
&gt;&gt;&gt; Strategic Peer Networking: Session between Payroll Team and Collins completed April, 21st.
&gt;&gt;&gt; Roadmap &amp; Configuration:
o Configuration Review, in progress. Issue raised regarding overtime hourly rate calculation with pre-tax super salary sacrifice deducted in the calculation [3269832]. Will be discussed with Product Management team May 19th.
&gt;&gt; Custom Payslip - Cuscal has requested Workday invest in a custom payslip - $12,216. OT to raise with AS &amp; WN. 
&gt;&gt; Payroll History - Cuscal requires YTD pay history to be loaded into Workday, this is estimated around $20,434. They are pushing back saying this should have been included in the SOW. OT to raise with AS &amp; WN.
16/04:
&gt;&gt;&gt; Product Gap Visibility, in progress
&gt;&gt;&gt;Targeted Training, completed March 26th. Reviewing customer feedback.
&gt;&gt;&gt; Strategic Peer Networking: Session between Payroll Team and Collins planned for April, Tues 21st.
&gt;&gt;&gt; Roadmap &amp; Configuration:
o Configuration Review, in progress.
01/04:
&gt;&gt;&gt; Product Gap Visibility, in progress
&gt;&gt;&gt;Targeted Training, completed March 26th. Awaiting customer feedback.
&gt;&gt;&gt; Strategic Peer Networking: Introduced Cuscal to Netflix, Equity Trustees and Collins Foods.
&gt;&gt;&gt; Roadmap &amp; Configuration:
o Roadmap Alignment: completed March 30th.
o Configuration Review, in progress.
24/03
&gt;&gt;&gt; Product Gap Visibility, in progress
&gt;&gt;&gt;Targeted Training, In progress, scheduled fo (March 23rd and 26th)
&gt;&gt;&gt; Strategic Peer Networking: Introduced  Cuscal to Netflix, Equity Trustees and Collins (Mar 19th).
&gt;&gt;&gt; Roadmap &amp; Configuration:
o Roadmap Alignment: In progress, scheduled for March 30th.
o Configuration Review, in progress.</t>
  </si>
  <si>
    <t>017VT0000GcCcH4YQK</t>
  </si>
  <si>
    <t>{PS_Region_New__c=US Large Enterprise DI &amp; Mexico, Name=QVC Group, Inc., PS_Sub_Region__c=Diversified Industries LE CB RHT, Industry=Softlines, attributes={type=Account, url=/services/data/v62.0/sobjects/Account/0013000000JMDr5AAH}, SubRegion__c=US DI LE CB RHT Northeast}</t>
  </si>
  <si>
    <t>0018000000P0jubAAB</t>
  </si>
  <si>
    <t>{attributes={type=Account, url=/services/data/v62.0/sobjects/Account/0018000000P0jubAAB}, PS_Region_New__c=US FSI, Industry=Investment Management, Name=Extra Space Management, Inc.}</t>
  </si>
  <si>
    <t>017VT0000GcCcGvYQK</t>
  </si>
  <si>
    <t>0018000000nlvpNAAQ</t>
  </si>
  <si>
    <t>{attributes={url=/services/data/v62.0/sobjects/Account/0018000000nlvpNAAQ, type=Account}, Industry=Business Services, Name=ADT Security Services, PS_Region_New__c=US Large Enterprise DI &amp; Mexico}</t>
  </si>
  <si>
    <t>Key Initiatives &amp; Status:
&gt;&gt;&gt; Product Gap Visibility: EM reviewing the AU Payroll Jira report and will collaborate with the broader EM and Payroll Consulting teams to ensure all known issues are accurately captured, providing Cuscal with a clear, informed view of their future maintenance requirements.
&gt;&gt;&gt;Targeted Training: To address the gap in standard "Payroll Operator Training," WD have developed a bespoke two-day intensive course. To ensure high-impact learning, we’ve provisioned five deployment tenants for hands-on practice. Sessions are confirmed for March 23rd and 26th.
&gt;&gt;&gt; Strategic Peer Networking: In the absence of a formal AU Payroll User Group, WD are bridging the gap through targeted networking. Following introductions to Netflix and Equity Trustees, WD facilitated a high-value session with Collins, Mar 19th. Collins shared critical parallel testing insights and offered ongoing peer support to Cuscal’s Payroll Manager.
&gt;&gt;&gt; Roadmap &amp; Configuration:
o Roadmap Alignment: A Payroll Product Roadmap Walkthrough is confirmed with our Product Management team for March 30th.
o Configuration Review: WD are currently facilitating a Product Team review of the deployment configuration approach; this remains an active work-in-progress.
Operational Governance:
•	Internal Alignment: Chris Horsfield has established a fortnightly leadership connect (EM/WSP, MP, CSM, and AE) to track deployment health and broader customer initiatives, such as the upcoming Workday AI Session.
Next Steps: EM to provide a summary of the Product Gap review and any specific feedback from the Configuration Review once my analysis is complete.</t>
  </si>
  <si>
    <t>Architect / Design;Customer Exec Sponsorship;Customer Resources;Product  Related;Project Management/Methodology;Testing</t>
  </si>
  <si>
    <t>a0pVT00000CpvesYAB</t>
  </si>
  <si>
    <t>H&amp;E Equipment Services, Inc.</t>
  </si>
  <si>
    <t>017VT0000GuRRtoYQG</t>
  </si>
  <si>
    <t>a0rVT00001DXCyTYAX</t>
  </si>
  <si>
    <t>a3xVT0000005z2rYAA</t>
  </si>
  <si>
    <t>0018000000P0kPyAAJ</t>
  </si>
  <si>
    <t>a0rVT00000oN7aSYAS</t>
  </si>
  <si>
    <t>{Name=Smile Brands, PS_Sub_Region__c=Healthcare LE, attributes={url=/services/data/v62.0/sobjects/Account/0018000000NLisGAAT, type=Account}, SubRegion__c=US Healthcare LE NN West, PS_Region_New__c=US Healthcare, Industry=Ambulatory}</t>
  </si>
  <si>
    <t>{Name=Kootenai Health, Inc. dba Kootenai Health, Industry=Acute Hospital / Health System, PS_Region_New__c=US Healthcare, attributes={type=Account, url=/services/data/v62.0/sobjects/Account/0018000000P0kPyAAJ}}</t>
  </si>
  <si>
    <t>Susan Maxwell</t>
  </si>
  <si>
    <t>017VT0000GuRVdlYQG</t>
  </si>
  <si>
    <t>a0rVT00001DXCyUYAX</t>
  </si>
  <si>
    <t>0018000000shOfvAAE</t>
  </si>
  <si>
    <t>{Name=Leadec Holding BV &amp; Co. KG, attributes={url=/services/data/v62.0/sobjects/Account/0018000000shOfvAAE, type=Account}, PS_Region_New__c=DACH, Industry=Professional Services}</t>
  </si>
  <si>
    <t>H&amp;H Automotive LLC</t>
  </si>
  <si>
    <t>a0pVT00000Cq4S2YAJ</t>
  </si>
  <si>
    <t>017VT0000GuQFTRYQ4</t>
  </si>
  <si>
    <t>a0rVT00001DXD05YAH</t>
  </si>
  <si>
    <t>0018000000PKPjxAAH</t>
  </si>
  <si>
    <t>4/3/2026 All 7 files were provided but are not loadable. Student files had most of the required fields missing, so subsequent files can't be loaded.
New Go to Green Plan (determined 4/6/2026)
7 files by Friday 4/10/ no later than start of day Monday 4/13 
Post drafts to SFTP as they are ready for review by Goucher internal
Internal review - Elizabeth - week of 4/13
Final posting by Fri 17/Mon 20
6 additional files by Friday 4/17 Monday 4/20
Post drafts to SFTP
Internal review - Elizabeth - week of 4/20 (Elizabeth out 20th to 22nd)
Final posting by Tues 28th EOD
BUILD start 27th.  If all 7 files from the first batch are loadable then the project will return to green. 
M-Th build check in 15 min - begin 27th
Delay Ene out 2 weeks, cut 2 weeks
4/27 remains target Go to Green date.  3 of 7 files are now loadable. Goucher continuing to update files, validate internally, and review with Cognizant.
4/21 update - 6 of 7 files are loadable with some work, Will begin the ws C build Monday 4/27 but not expecting additional files, so project will remain yellow until those are provided.
4/30 update - the initial 7 files, which included the 4 files for MTP1, have been provided. They were initially missing grad students, however that data has now been added. The build has started and these files will be loaded. There are 5 files remaining and Goucher is working on these files. They will be loaded after the build as soon as they are ready. Once these files have been provided and deemed loadable the project will return to green.
5/7 update - 7 files loaded, still waiting on 5 additional files.  Integrations has moved to red and is also impacting the project status.  Goucher is focused on updating the first 7 files, of which 4 are the files for MTP1.  This is slowing down the creation of the 5 additional files for the wsC build.
5/15 updated -  7 files loaded and are being validated by Goucher.  Still waiting on 5 additional files with one due today (a simplified POS snapshot).  Integrations has moved to red and is also impacting the project status.
5/25 Remain yellow. Four more files required. Also integrations batch 2 and batch 3 are red and must go to yellow at least to remove project from yellow. Working with client to gather requirements and set up vendor meetings or else integrations can't be built.
5/29 Remain yellow. Two files received and only 2 more files required. Also integrations batch 2 and batch 3 are red and must go to yellow at least to remove project from yellow. Working with client to gather requirements and set up vendor meetings or else integrations can't be built. Need additional DC resources.
6/5 Remain Yellow. Two more files still needed out of the original batch of 12.  New files for MTP1 (4 files) will be needed on 6/15 for the E2E test tenant build and these most be loadable without manual manipulation from Cognizant.  Integrations batch 2 and 3 remain yellow with 13 vendor contacts needed so discovery sessions can be scheduled.
6/12 Remain yellow. Waiting on the final 2 files, which are waiting on an internal meeting to provide test mapping from legacy to Workday.  Integrations waiting on 13 vendor contacts.
6/19 Remain yellow. One of the two files was provided. Final file due 6/30 after some additional test score mapping at the college.  Additional resources to track down vendor contacts. Expected to have that information by 6/22. Can bring on an additional resource once we have contacts.
6/26 Remain yellow. One file still outstanding. 6 of 13 vendor contacts provided and meetings are being scheduled or reaching out for documentation.
6/30 Remain Yellow. Waiting for 7 final vendor contacts to be provided and contact made. Also need the CM08 test file.  These are being worked on.
7/8 Continue to wait for one more file for test scores. Only one remaining vendor contact needed and then scheduling meetings.
7/10Goucher determine last file is not needed - so DC portion of Go to Green plan has been completed. One more vendor contact is needed and then Discovery meetings scheduled.
7/17 Only remaining work on current Go to Green plan is getting vendor meeting completed so design can begin. If that moves batch 2 and 3 from red to yellow then Go to Green plan has been completed. PM is working on reaching out to schedule meetings.
7/20  Provided a list of 17 integrations to Goucher that need follow up with the vendor to schedule meetings and obtain requirements. They are bringing in additional resources to help schedule meetings. Once requirements have been obtained this will help to move the status out of red in integrations and return the project to green.
7/24 Continuing to follow up on scheduling meetings. DC lead has moved to integrations and is working on scheduling.
7/31 Stopped wsD build (was a copy of MTP1 E2E) and will be rebuilding from a copy of PROD with all new data files. New files have many changes from what was provided for build.  Data file process has become more stable, but is behind. Continue to push Goucher to set up vendor meetings. Will start to focus on workaround plans for integrations with no design.
8/7 Goucher cancelled both integration meetings to focus on making progress on their tasks of scheduling meetings with vendors. Reviewing first run dates to see if some integrations can move later.
8/14 Goucher has sent emails to all but one vendor to initiate contact. One discovery session was held this week. They plan to schedule more sessions next week. Reviewing moving some integrations from Goucher to Cognizant.
8/21  some reprioritization of integrations based on first run dates has been completed. Goucher. Need Discovery meetings for 14 integrations needed for MTP2.  Making progress on those integrations that have requirements. May move build responsibilities of some integrations to Cognizant, but will still need client to set up meetings.
8/28 Goucher plans to schedule discovery meetings for next week.  Waiting to determine if Cognizant will take on any additional integrations. MTP1 integrations. Only 1 batch out of 5 remains in a red status, due to lack of vendor contact.
9/4 Progress is continuing with integration vendor contacts and meetings. However, one group of integrations remains significantly behind with no meetings scheduled by client yet.
9/11 Brought integration concerns to Steering Committee. Some vendor meetings have taken place. Many of the integrations will move to Cognizant for development once Discover has been completed.
9/18 Integrations continue to have very slow movement from client. Waiting on SOWs, discovery meetings, and specifications. Cognizant will build most of the integrations remaining if we can get specs.
9/25 MTP1 integrations are ready to be moved with the build that begins next week, However, there is still a large set of MTP2 integrations in need of specs so design can begin.  Have provided PM a new list of integrations for which we need contact info.</t>
  </si>
  <si>
    <t>{Name=Smile Brands, PS_Sub_Region__c=Healthcare LE, attributes={type=Account, url=/services/data/v62.0/sobjects/Account/0018000000NLisGAAT}, PS_Region_New__c=US Healthcare, SubRegion__c=US Healthcare LE NN West, Industry=Ambulatory}</t>
  </si>
  <si>
    <t>{Industry=Food &amp; Drug, attributes={url=/services/data/v62.0/sobjects/Account/0018000000PKPjxAAH, type=Account}, PS_Region_New__c=null, Name=Reyes Holdings, L.L.C.}</t>
  </si>
  <si>
    <t>Goucher to provide 7 files (CM_01, CM_02, AF_01, AF_02, SR_01, SR_02, SR_03) by Friday end of day 3/27/2026. Goucher to provide 7 additional files (SR_04 to SR_09 - note SR_08 has 2 files) by Monday end of day 4/6/2026.​ If all 14 data files are provided, meet the loadability requirements, and the build can begin on 4/13/2026 then the project will return to green. 
Note: the additional files are now only 5 files
SR_04 Program of Study Assignment Snapshot  * highest priority
SR_07 Student External Transcript
SR_08 Student Transfer Credit (Courses)
SR_08 Student Transfer Credit (Education Tests)
SR_09 Education Test Results
For integrations all integrations need a vendor contact by 6/15/2026 or they will need to be move to a Post Go Live batch.</t>
  </si>
  <si>
    <t>017VT0000GuQFTUYQ4</t>
  </si>
  <si>
    <t>a3xVT0000006385YAA</t>
  </si>
  <si>
    <t>0018000000PieZbAAJ</t>
  </si>
  <si>
    <t>a0rVT00000qp1qYYAQ</t>
  </si>
  <si>
    <t>{attributes={url=/services/data/v62.0/sobjects/Account/0018000000PieZbAAJ, type=Account}, Name=CTCA Shared Services, Inc., Industry=Acute Hospital / Health System, PS_Region_New__c=US Healthcare}</t>
  </si>
  <si>
    <t>HAH Group Holdings LLC</t>
  </si>
  <si>
    <t>Working with SAGE to mitigate
Some DC issues with Payroll Parallel load
Still struggling with Payroll Parallel with data and new requirements
High Risk for on time go live
Reviewing CO for new go live date options and phasing.
DC team still missing deadlines.
Escalation for gold build timeline risk.
Still struggling with data loads
Working through data load issues, MTP Signed
Open Enrollment in process.
PATT go live push to 1/1/27</t>
  </si>
  <si>
    <t>017VT0000GcCd9yYQC</t>
  </si>
  <si>
    <t>Provide additional testing sessions to expedite getting through testing scenarios and cross functional sessions to assist with end to end scenarios. Working with customer to overcome data issues.</t>
  </si>
  <si>
    <t>a0rVT00001DXD3JYAX</t>
  </si>
  <si>
    <t>a0pVT00000Cpv5RYAR</t>
  </si>
  <si>
    <t>Change Management / User Adoption;Testing</t>
  </si>
  <si>
    <t>0018000000PlKzdAAF</t>
  </si>
  <si>
    <t>a3xVT00000063zJYAQ</t>
  </si>
  <si>
    <t>{attributes={type=Account, url=/services/data/v62.0/sobjects/Account/0018000000PlKzdAAF}, Industry=Acute Hospital / Health System, PS_Region_New__c=US Healthcare, Name=Steward Health Care System, LLC}</t>
  </si>
  <si>
    <t>{SubRegion__c=US DI LE CB RHT Southeast, PS_Region_New__c=US Large Enterprise DI &amp; Mexico, Industry=Land and Rail Transportation and Freight, attributes={url=/services/data/v62.0/sobjects/Account/0018000000qXhlfAAC, type=Account}, PS_Sub_Region__c=Diversified Industries LE CB RHT, Name=Southeastern Freight Lines, LLC}</t>
  </si>
  <si>
    <t>017VT0000GuRU3aYQG</t>
  </si>
  <si>
    <t>a0rVT00001DXD4vYAH</t>
  </si>
  <si>
    <t>9/25/2026 - City continues to pause the Wrokday project.  They are scheduling a meeting for all the solution vendors (Workday, Sprypoint, OpenGov and City Works) to discuss project architecture, project timeline and cost.  The City Manager is focused on ensuring all project cost are accounted for in their budget.  EM will update team when meeting(s) are scheduled.  EM is pushing project start date out to January 2027.  City has existing payroll operation project in progress leveraging the same city resources .</t>
  </si>
  <si>
    <t>0018000000Qxq3xAAB</t>
  </si>
  <si>
    <t>{PS_Region_New__c=US Medium Enterprise DI, attributes={url=/services/data/v62.0/sobjects/Account/0018000000Qxq3xAAB, type=Account}, Industry=Oil &amp; Gas, Name=Par Pacific Holdings}</t>
  </si>
  <si>
    <t>Workday will engage with the project leadership and executive sponsors from the city of Hagerstown to identify an appropriate realignment strategy.  This is the second time Hagerstown has had to shift their go-live date.  Primary, underlying causes are attributed to availability of Hagerstown staff to support core deployment activities.
Options to consider for a revised go-live date will be focused on January 2027.</t>
  </si>
  <si>
    <t>Hair Cuttery</t>
  </si>
  <si>
    <t>Customer Resources;Deployment Resources;Testing</t>
  </si>
  <si>
    <t>017VT0000GcCcI8YQK</t>
  </si>
  <si>
    <t>a3xVT0000006EmfYAE</t>
  </si>
  <si>
    <t>0018000000ukUPfAAM</t>
  </si>
  <si>
    <t>a0rVT00000tMwVVYA0</t>
  </si>
  <si>
    <t>{Industry=Restaurant &amp; Food Service, attributes={type=Account, url=/services/data/v62.0/sobjects/Account/0018000000ukUPfAAM}, Name=American Food &amp; Vending Corporation, PS_Region_New__c=US Medium Enterprise DI}</t>
  </si>
  <si>
    <t>Leon Giles</t>
  </si>
  <si>
    <t>017VT0000GcCdCLYQ0</t>
  </si>
  <si>
    <t>a0pVT00000Cq8sDYAR</t>
  </si>
  <si>
    <t>9/25/2026: Still working to get additional resources to help with E2E and Parallel testing.  Meeting scheduled next week including WD regarding options to Onboard with a Crashing the Testing Time Line and Risk Concerns.</t>
  </si>
  <si>
    <t>0018000000RgWyOAAV</t>
  </si>
  <si>
    <t>CCS's have been completed.  Unit Testing is behind schedule.  Resources have been added to help get back on track.  Working to complete Unit Testing and receive DC Loads for E2E Build</t>
  </si>
  <si>
    <t>{Name=Energy Transfer LP By: LE GP, LLC, its General Partner, Industry=Oil &amp; Gas, PS_Region_New__c=US Large Enterprise DI &amp; Mexico, attributes={type=Account, url=/services/data/v62.0/sobjects/Account/0018000000RgWyOAAV}}</t>
  </si>
  <si>
    <t>{SubRegion__c=US DI LE CB RHT Southeast, PS_Region_New__c=US Large Enterprise DI &amp; Mexico, Name=Southeastern Freight Lines, LLC, PS_Sub_Region__c=Diversified Industries LE CB RHT, Industry=Land and Rail Transportation and Freight, attributes={url=/services/data/v62.0/sobjects/Account/0018000000qXhlfAAC, type=Account}}</t>
  </si>
  <si>
    <t>a3xVT0000006HkXYAU</t>
  </si>
  <si>
    <t>017VT0000GuRFOOYQ4</t>
  </si>
  <si>
    <t>a0rVT00001DXD89YAH</t>
  </si>
  <si>
    <t>0018000000RiQJ3AAN</t>
  </si>
  <si>
    <t>{Name=T-Mobile USA, Inc., PS_Region_New__c=US Large Enterprise DI &amp; Mexico, Industry=Telecom, attributes={url=/services/data/v62.0/sobjects/Account/0018000000RiQJ3AAN, type=Account}}</t>
  </si>
  <si>
    <t>09.15.26 - TOC have again escalated their concerns with the Finance teams lack of confidence in the product.  Leadership met yesterday and they will continue to stay the course of the revised 01.01.27 go-live and re-assess in the upcoming month once a few onsites have occurred. 
09.08.26 - In an effort to help facilitate the TOC Finance team's non-project responsibilities, we are working internally to identify scenarios that impact Payroll Parallel. These will be completed by 10/07 so that Payroll Parallel activities can stay on track, with the remaining scenarios completed by 10/28/26. We are also coordinating strategic on-site visits to provide additional support.
08.24.26 -E2E testing is underway and behind schedule. 
New testing strategy implemented.  We are sending out testing metrics on Monday and Friday to highlight progress and identify target scenarios that need to be completed to stay on track.  
Change Order for the Go-Live extension 01.01.27 is being routed for approval by the Towns leadership</t>
  </si>
  <si>
    <t>017VT0000GuOPOCYQ4</t>
  </si>
  <si>
    <t>a0rVT00001DXD8AYAX</t>
  </si>
  <si>
    <t>0018000001WMGoxAAH</t>
  </si>
  <si>
    <t>{Name=One Touch Direct, LLC, PS_Region_New__c=US Medium Enterprise DI, attributes={type=Account, url=/services/data/v62.0/sobjects/Account/0018000001WMGoxAAH}, Industry=Professional Services}</t>
  </si>
  <si>
    <t>- Immediately launch a focused testing surge with protected daily blocks in high‑risk areas to show a clear uptick in executed and passed tests by Thursday EOD.  
- Run 60–90‑minute decision sprints on priority financial/FDM topics, with named owners accountable for closure and all key sessions scheduled with pre‑work by Thursday.  
- Hold a brief daily cross‑functional huddle to track progress, surface top risks and blockers, and drive resolution within 24–48 hours.  
- Expand change management with senior sponsorship and dedicated communications/web support.  Clarify stakeholder impacts, finalize the communications plan, and align change management deliverables to the accelerated testing and decision sprint schedule.</t>
  </si>
  <si>
    <t>Architect / Design;Change Management / User Adoption;Customer Resources;Testing</t>
  </si>
  <si>
    <t>017VT0000GuRTCOYQ4</t>
  </si>
  <si>
    <t>a3xVT0000006QSrYAM</t>
  </si>
  <si>
    <t>a0pVT00000CpsqiYAB</t>
  </si>
  <si>
    <t>a0rVT00000vxctVYAQ</t>
  </si>
  <si>
    <t>Imran Javed</t>
  </si>
  <si>
    <t>0018000000S1t6zAAB</t>
  </si>
  <si>
    <t>{attributes={type=Account, url=/services/data/v62.0/sobjects/Account/0018000000S1t6zAAB}, PS_Region_New__c=US FSI, Name=AAA Northeast, Industry=Insurance}</t>
  </si>
  <si>
    <t>30/09-The project continues to face delays with data collection and absence plan requirements, this is a result of toing and froing with the business which is holding things up considerably. We are now following the escalation path to have this resolved and will address at next steer co.  
Project has now been split into 2 phases this is to facilitate the customer resource constraints and reduce overall data collection, the customer continues to struggle with the data collection and WD is still waiting on the absence plans list to be finalised, this is now 3 weeks overdue. A detailed walk through of data was conducted with the customer and plan was agreed for the E2E build. Integration scope still needs to be agreed.</t>
  </si>
  <si>
    <t>{Industry=Business Services, PS_Region_New__c=US Large Enterprise DI &amp; Mexico, attributes={url=/services/data/v62.0/sobjects/Account/0018000000eucN7AAI, type=Account}, SubRegion__c=US DI LE CB RHT Southeast, Name=Brink's Company, The, PS_Sub_Region__c=Diversified Industries LE CB RHT}</t>
  </si>
  <si>
    <t>Continue to support Transmed with data transformation. Continue to look at delivery, additional option presented.  Impact assessment ongoing with SteerCO. Waiting for customer approval for proposed project plan and scope. Discussions/demo sessions in progress. Project replan in 2 phases in progress. integration work started for some of integrations. Data gathering process is at risk due to customer internal processes timeline.</t>
  </si>
  <si>
    <t>017VT0000GuOPO9YQO</t>
  </si>
  <si>
    <t>Hajoca Corporation</t>
  </si>
  <si>
    <t>a0rVT00001DXDBOYA5</t>
  </si>
  <si>
    <t>a3xVT0000006RC1YAM</t>
  </si>
  <si>
    <t>a0rVT00000bBLa5YAG</t>
  </si>
  <si>
    <t>0018000001WMH6FAAX</t>
  </si>
  <si>
    <t>Curtis Carter</t>
  </si>
  <si>
    <t>{Name=La Posada At Park Centre, Inc., Industry=Post Acute, attributes={url=/services/data/v62.0/sobjects/Account/0018000001WMH6FAAX, type=Account}, PS_Region_New__c=US Healthcare}</t>
  </si>
  <si>
    <t>9/27/2026 - FAMU has received the change order, and the team completed the review of all gaps. No blockers were identified and the customer has been present with the findings from all reviews. The COO has a recommendation in to the the President.</t>
  </si>
  <si>
    <t>Secure Contractual Alignment - Establish a deadline to identify and resolve blockers preventing FAMU from signing the Change Order.
Address "Perceived Gaps" - Conduct a rapid discovery session to document the specific "perceived gaps" raised in the FAMU meeting.
Strengthen Partnership - Schedule a leadership-to-leadership sync to formalize the Workday partnership and reinforce commitment.</t>
  </si>
  <si>
    <t>017VT0000GuRVdrYQG</t>
  </si>
  <si>
    <t>Customer Exec Sponsorship;Project Management/Methodology;Scope Management</t>
  </si>
  <si>
    <t>a3xVT0000006UoDYAU</t>
  </si>
  <si>
    <t>0018000000T9AJ7AAN</t>
  </si>
  <si>
    <t>a0rVT00000QEOumYAH</t>
  </si>
  <si>
    <t>{attributes={url=/services/data/v62.0/sobjects/Account/0018000000T9AJ7AAN, type=Account}, PS_Region_New__c=Canada, Industry=Materials, Name=Canfor Corporation}</t>
  </si>
  <si>
    <t>Kathy Paton</t>
  </si>
  <si>
    <t>09/14: Payroll Parallel underway - week 2</t>
  </si>
  <si>
    <t>a0pVT00000CpxOyYAJ</t>
  </si>
  <si>
    <t>Customer Resources;Deployment Resources;Integration;Testing</t>
  </si>
  <si>
    <t>a3xVT0000006UrRYAU</t>
  </si>
  <si>
    <t>a0rVT00000p2u0jYAA</t>
  </si>
  <si>
    <t>017VT0000GcCd9LYQS</t>
  </si>
  <si>
    <t>- MTP successfully completed on 9/10
- Launched for all EEs and Mgrs w/ condensed security on 9/24; Employees started data validations only
- No issues, blockers, or concerns surfaced since go-live
- Non-US ABS go-live confirmed for 10/1; Meeting to load balances and leaves to Prod next Wednesday 9/30
- Other Non-US Functional areas will go-live 11/1 
- US ABS, TT, and PAY will go-live 1/1
- Still working with customer to push CO to signature
- Project will go green when CO is signed</t>
  </si>
  <si>
    <t>001VT00000b2hd6YAA</t>
  </si>
  <si>
    <t>{Name=Saint Elizabeth Health Care, SubRegion__c=Canada Healthcare, PS_Sub_Region__c=Canada Healthcare, Industry=Post Acute, attributes={url=/services/data/v62.0/sobjects/Account/0018000001BNNGVAA5, type=Account}, PS_Region_New__c=Canada}</t>
  </si>
  <si>
    <t>- Customer pushed go-live from 7/1 to 8/3
- Additional support to get through E2E build &amp; corrections 
- Daily Payroll Parallel meeting
- Customer continuing to E2E test over Parallel cycle 
- Customer considering pushing Payroll and TT go-live to 10/1</t>
  </si>
  <si>
    <t>Hand &amp; Stone Franchise Corp.</t>
  </si>
  <si>
    <t>{attributes={type=Account, url=/services/data/v62.0/sobjects/Account/001VT00000b2hd6YAA}, Industry=Non-Profit, PS_Region_New__c=US SLED, Name=Broward House}</t>
  </si>
  <si>
    <t>Customer Resources;Testing</t>
  </si>
  <si>
    <t>a3xVT0000006dl3YAA</t>
  </si>
  <si>
    <t>a0rVT00000wDaPKYA0</t>
  </si>
  <si>
    <t>Ian Blaustein</t>
  </si>
  <si>
    <t>017VT0000GuRVdiYQG</t>
  </si>
  <si>
    <t>a0rVT00001DXDEbYAP</t>
  </si>
  <si>
    <t>0018000000TjrYvAAJ</t>
  </si>
  <si>
    <t>{Name=Members 1st Federal Credit Union, Industry=Banking &amp; Capital Markets, PS_Region_New__c=US FSI, attributes={url=/services/data/v62.0/sobjects/Account/0018000000TjrYvAAJ, type=Account}}</t>
  </si>
  <si>
    <t>017VT0000GcCcJjYQK</t>
  </si>
  <si>
    <t>9/30 - E2E testing underway. Initiated cutover planning. Managing scope creep/established change review process at PMO level. Provided in writing next steps/open items needed from customer to scope change requests/new requirements/scope creep.
9/23 - E2E testing underway. Starting preliminary cutover planning in advance given condensed project timeline. Managing scope creep/established change review process at PMO level, Change Order to be delivered to customer soon.
9/16 - Held SteerCo on 9/16 - discussed project timeline, risks, etc. Customer adding additional resources to support E2E + contracting with partners for training, testing support, etc. Managing scope creep, CO to be delivered to customer soon.
9/9 - Reviewed scope list with customer to (a) avoid further scope creep to help ensure project stays within timeline + (b) serve as input to Change Order. Managing additional scope creep to avoid impact to target go-live date. SteerCo slated for Sept 16 to review progress, discuss risks, etc. Ongoing support being provided to help customer prep for E2E testing.
9/2 - Continuing to leverage twice weekly DC sync with customer along with email recaps/action items/ RAIDQs to keep E2E build on track. Provided scope list to customer to (a) avoid further scope creep to help ensure project stays within timeline + (b) serve as input to Change Order. 
8/26 - Continuing to leverage twice weekly DC sync with customer along with email recaps/action items to keep E2E build on track. Provided customer with critical path activities/due dates to support their E2E testing prep, including delivered set of E2E scenarios for them to review and customize well in advance of testing kickoff on Sept 14.
8/19 - customer provided sign off on unit testing however several cases will be deferred to E2E (risk has been communicated and logged in RAIDQ). WD proceeding with E2E build as planned. Provided customer with list of lessons learned/suggested improvements to help make E2E testing more seamless, efficient, etc. Kicked off PRISM workstream 8/19.
8/12 - leveraging weekly workstream meetings to provide knowledge transfer to support customer unit testing. Holding twice weekly data conversion syncs to progress E2E build activities, including outstanding data needed from customer. Given lack of testing progress and targeted exit date of 8/14 (and no buffer for testing extension), discussed options with customer - e.g., extending unit test by one week (will be taken out of E2E, deferring certain test cases to E2E (adds additional risk), or shifting go-live date. Customer to provide update/decision by EOD 8/14.
8/5 - leveraging weekly workstream meetings to provide knowledge transfer to support customer unit testing. Holding twice weekly data conversion syncs to progress E2E build activities, including data needed from customer. SteerCo held on 8/5 with exec leadership to review project health/status, timeline, risks, etc.
7/29 - effectively managed scope creep on custom security/office managers via email - customer agreed to defer to future phase. CCS 100% complete. Testing off to slow start; reinforced expectations that customer needs to take ownership of testing and building knowledge via training to navigate the system and complete test scenarios.
7/21: Continuing to leverage RAIDQ to drive open items / decisions to closure. Managing scope creep verbally and in writing. Initializing Steerco cadence - tentatively scheduled for Aug 05. CCS ~50% complete.
7/14: Continuing to leverage RAIDQ to drive open items / decisions to closure. Managing scope creep verbally and in writing (e.g., recruiting for Canada, contingent workers, custom security etc.). Initializing Steerco cadence.
7/8: FAS 100% complete.  Continuing to leverage RAIDQ to drive open items / decisions to closure. Managing scope creep verbally and in writing (e.g., recruiting for Canada, contingent workers, etc.). Testing materials and Knowledge transfer provided several weeks before first test cycle (unit test). Customer resourcing, condensed timeline still ongoing risks.
6/30: FAS ~85% complete. Continuing to leverage RAIDQ to drive open items / decisions to closure. Managing scope creep verbally and in writing (e.g., recruiting for Canada, contingent workers, etc.).
6/23: FAS in progress. Leveraging RAIDQ to capture open items (including potential scope creep) with aggressive due dates given condensed timeline.
6/15: Foundation Alignment Sessions (FAS) in progress. Started to schedule weekly workstream meetings sooner than usual to proactively address any issues with data or specific requirements. If not addressed, will re-raise resourcing risk during first upcoming SteerCo - tentatively slated for early/mid July.
6/5: Foundation build near completion, on track for Foundation Alignment Sessions. Started to schedule weekly workstream meetings sooner than usual to proactively address any issues with data or specific requirements. Agendas for CCS + unit test scenarios provided well in advance to customer so they can prepare. Re-raised customer resourcing risk and recommended added additional resourcing or delegating where possible to take a workstream-specific approach to resourcing. 
5/29: Meetings with customer ongoing to progress data mapping and transformation activities, as part of foundation build activities. Proactively scheduling FAS and CCS sessions and proving unit test materials to try and maintain pace given the accelerated timeline.
5/21: Meetings with customer ongoing to progress data mapping and transformation activities, as part of foundation build activities.
5/13: Customer provided initial config workbooks and data. Leveraging daily recurring check-in to review data, align on mapping, etc. to maintain momentum as part of foundation build activities.
5/5: Working on scheduling config workbook meetings and data delivery by customer. Sending daily status summary to customer at end of each business day to help track progress, given accelerated timeline and associated risks documented in RAIDQ.</t>
  </si>
  <si>
    <t>a0rVT00001DXDJRYA5</t>
  </si>
  <si>
    <t>0018000000UgXWyAAN</t>
  </si>
  <si>
    <t>{Industry=Softlines, Name=The William Carter Company, PS_Region_New__c=US Large Enterprise DI &amp; Mexico, attributes={type=Account, url=/services/data/v62.0/sobjects/Account/0018000000UgXWyAAN}}</t>
  </si>
  <si>
    <t>Customer and Workday to monitor risks due to accelerated timeline (see below). Limited resources on customer project team could also impact ability to meet go-live date.
-Timeline: No slack in the project plan; all deliverables (workbooks, data, testing sign offs, etc.) must be completed / delivered on time, no additional scope can be considered.
-Testing: All testing cycles have been reduced to meet this timeline. Fresh may have to prioritize testing scenarios to achieve test completion.
--Consideration must be given to addressing non-critical test issues until after move to production.
--E2E testing must be completed prior to the start of parallel payroll testing.
--Parallel payroll testing results must meet Workday minimum criteria (i.e. 2 cycles of parallel testing).
-Integrations: Integration activities/vendor engagement must be started in the next couple weeks to mitigate vendor response risk.
-Meeting/Scheduling: Accelerated schedule will demand rigorous meeting schedules to accomplish workbook meetings, foundation alignment sessions and confirmation sessions.
--Expectation is that Fresh will structure their workstream teams and adjust their schedule and handle potentially overlapping sessions, all day sessions and multi-day sessions.
--There will need to be coverage over all holidays, include work over Christmas and New Years (as well as international holidays).
--Expectation is that Fresh will utilize the project calendar and time off calendar sheets in Smartsheets to communicate time off in advance and coordinate coverage where needed.</t>
  </si>
  <si>
    <t>Customer Resources;Scope Management</t>
  </si>
  <si>
    <t>a3xVT0000006gm9YAA</t>
  </si>
  <si>
    <t>a0rVT00001DXFJdYAP</t>
  </si>
  <si>
    <t>a0rVT00000vu7pPYAQ</t>
  </si>
  <si>
    <t>017VT0000GcCcKeYQK</t>
  </si>
  <si>
    <t>Jason Murdock</t>
  </si>
  <si>
    <t>a0pVT00000Cq8IjYAJ</t>
  </si>
  <si>
    <t>June 15:  The project remains Yellow and our path to green continues to trend in the right direction. This week the team maintained strong momentum across workstreams and we remain focused on closing key milestones to protect our downstream End-to-End build.</t>
  </si>
  <si>
    <t>Harris Health System</t>
  </si>
  <si>
    <t>0018000000WcGbsAAF</t>
  </si>
  <si>
    <t>Re-plan and tenant management plan complete.  Reviewed with customer.</t>
  </si>
  <si>
    <t>{Industry=Oil &amp; Gas, PS_Region_New__c=US Large Enterprise DI &amp; Mexico, Name=Global Partners LP, attributes={url=/services/data/v62.0/sobjects/Account/0018000000WcGbsAAF, type=Account}}</t>
  </si>
  <si>
    <t>Architect / Design;Project Management/Methodology;Scope Management</t>
  </si>
  <si>
    <t>a3xVT0000006jvJYAQ</t>
  </si>
  <si>
    <t>a0rVT00000qxPAwYAM</t>
  </si>
  <si>
    <t>Sarah Holman</t>
  </si>
  <si>
    <t>017VT0000GcCcKYYQ0</t>
  </si>
  <si>
    <t>{PS_Sub_Region__c=Local Government LE, SubRegion__c=US Local Gov LE NN &amp; States West, Industry=Education (K-12), PS_Region_New__c=US SLED, attributes={type=Account, url=/services/data/v62.0/sobjects/Account/0018000000kuQlCAAU}, Name=Washington Elementary District}</t>
  </si>
  <si>
    <t>a0rVT00001DXDL4YAP</t>
  </si>
  <si>
    <t>Obtained design sign-off 5/1, project plan in progress.</t>
  </si>
  <si>
    <t>001VT00000WggN0YAJ</t>
  </si>
  <si>
    <t>{attributes={type=Account, url=/services/data/v62.0/sobjects/Account/001VT00000WggN0YAJ}, Name=Platinum Supplemental Insurance, Industry=Health Insurance, PS_Region_New__c=US Healthcare}</t>
  </si>
  <si>
    <t>Step 1 – Finalize implementation guide (requirements)​
Onsite meeting with the JPW team before Julie’s time off​
Decision on Multi-currency which would impact overall budget​
Step 2 – Re-engage developers on foundation and model
creation​
Capitalize to develop models and prepare UAT scenarios for JPW
validation and Signoff​
Step 3 – Establish reoccurring working sessions (2x per week) to
ensure early and regular reviews of Models and training of users​
​</t>
  </si>
  <si>
    <t>Architect / Design;Customer Resources</t>
  </si>
  <si>
    <t>a3xVT0000006q7BYAQ</t>
  </si>
  <si>
    <t>017VT0000GuQbyvYQC</t>
  </si>
  <si>
    <t>Marc Madrid</t>
  </si>
  <si>
    <t>Update from the client is still pending. No communication is coming from NYITS leadership on next steps.</t>
  </si>
  <si>
    <t>0018000000Wsn5uAAB</t>
  </si>
  <si>
    <t>The client has suspended all integration meetings and discussions. Next steps include reengaging technical resources and then construct a new go-live once the technical approach is feasible and known.</t>
  </si>
  <si>
    <t>{Name=City of Littleton, PS_Region_New__c=US SLED, Industry=State &amp; Local Government, attributes={url=/services/data/v62.0/sobjects/Account/0018000000Wsn5uAAB, type=Account}}</t>
  </si>
  <si>
    <t>Architect / Design;Integration;Scope Management;Testing</t>
  </si>
  <si>
    <t>a3xVT00000073ArYAI</t>
  </si>
  <si>
    <t>a0rVT00000zKx0nYAC</t>
  </si>
  <si>
    <t>017VT0000GcCdBrYQK</t>
  </si>
  <si>
    <t>a0rVT00001DXDOHYA5</t>
  </si>
  <si>
    <t>Harry's USA, Inc.</t>
  </si>
  <si>
    <t>0018000000Wsp3pAAB</t>
  </si>
  <si>
    <t>{attributes={url=/services/data/v62.0/sobjects/Account/0018000000Wsp3pAAB, type=Account}, PS_Region_New__c=US SLED, Name=Rutgers University-New Brunswick, Industry=Higher Education}</t>
  </si>
  <si>
    <t>017VT0000GcCcLrYQK</t>
  </si>
  <si>
    <t>a0pVT00000Cq1tyYAB</t>
  </si>
  <si>
    <t>a0rVT00001DXDPtYAP</t>
  </si>
  <si>
    <t>Weekly Update
7th Sept - Project is largely back on track now with solution design and build, though still managing some internal knowledge gaps and solution ownership gaps to be solved as we hand the solution over to the customer. Some attempts to check the hand offs between products has been met with resistance.
We have a commercial topic to resolve with ~£200k over overrun to be accounted for. Numbers under analysis.
24th Aug - Project has been coming under control over the last few weeks. We are set to close all confirmed requirements from Booking in time for the configuration close. We are carrying additional risk however around the entry to testing and exit from design. Working on test strategy and approach and the cutover strategy and approach together with Booking.
5th Aug - Working closely with functional resources covering for Workday consultants on leave to close out open requirement's and build solutions in the test tenant. On track for all build items to be ready by start of E2E testing on 31st Aug though its a tight run up to that stage. Booking asking for additional help with for example Cutover clarity and change management for which we have different levels of information depending on the platform. Moving towards yellow as solution plan is coming together, requirements list has been closed for new entries and build continues. Customer focusing on test prep.
30th Jul - Weekly status concluded, we are overall red but trending amber. OPen items moving towards closure, still volume to be sorted through. Bo9oking nervous about testing readiness for test scenarios. A lot of build syncronisation to be had now. Expect to be moving back to amber end of next week assuming we can keep the project on track with assigned resources.
15th Jul - steerCo held - Alignment on the critical path and priority focus areas which include ruthless prioritization of open design requests that deviate far from our standard and best practise approach.
maintain as much of the timelien as possible - the E2E tenant build will go ahead
Resolve open resource constraints and gaps that have now occurred because the timeline is extending design further.
13 Jul - Missed a week due to too much happening on the project. Scope and requirements remain a huge open topic right now. Exit for A&amp;C now an issue due to multiple items flagged on prototype testing log that do not align with requirements. Customer lead is providing complex conditional requirements that need to be satisfied. There is not the time or budget to cover. Many topics though they relate to an area in scope, would reflect a redesign, others items are just simply out of scope. Customer remains frustrated and do not wholly agree that scope is as limited as we're explaining. 1 example SoW states that for security we assume customer adopts delivered security, they believe we should deliver the security they require. We need a reset on the project as we wont make our timeline for Workday. Paradox and Hiredscore deployments are also severely at risk due to Workday delays.
29th June -Missed 1 week of updates. went onsite on 22nd June to go through scope topics that are creating risk. Aligned on next steps. Agreed to setup a weekly change board to ensure we stay on top of what will be small medium and large changes so we can quickly inform the exec leadership.
Project remains on high focus but trending yellow with requirements closing off and decisions being made.
15th June - CCS delivered and went well, lots of questions from the Booking tea,=m. On scope topics, Booking are talking to boutique consultancy firms who say they can delivered within the timeframe of the project. Risk raised around configuration and tenant management impacts working with a firm under the customer control and not under Workday control. Suggested an onsite scope audit with functional team. Booking agree but don't want to cover travel expenses. Need to get alignment on what to do because we have already FIC'd 42670 for integration work, we also need another 30-40k to cover the Solution Architect role on Booking.
Steering Committee dates provided for July. Workday to confirm which date works best.
8th June - Call held with sponsor (supported by MP Gareth Evans) to discuss large items of scope with high cost and time impacts. Customer has confirmed they wont be going ahead with Workday for those additional scope items and are looking at bringing in a separate boutique consulting firm for the work. This raises a large risk around tenant and config management. Risk raised and discussion to continue with customer around their scope.
1st Jun - Replan has been in review for 2 weeks with costs associated shared with Booking. Costs are approved for the rework required on configuration of the Talent Acquisition module. Customer is also reviewing scope for Paradox. Overall program is at risk and the customer has multiple decisions to make and needs to be more swift and focused on decision making. Customer also met with Adam Stoermer and feedback was that tighter governance is needed, SteerCo must be implemented to address their feedback. 
It has been shared that the program of work feels disjointed, that the customer is looking for greater guidance and steering them towards best practise as an overall solution. 
14th May - Weekly status report has moved from Yellow to Red on the basis of the latest information. Path to green requires impact assessment of the critical path. CCS for 19th May will be cancelled again (3rd time now we moved CCS). Need customer to commit to a final date for workshops. We cannot continue to offer partial requirements completion. Exec call planned for tomorrow to communicate latest status
Critical path impacts to be looked into</t>
  </si>
  <si>
    <t>0018000000Wsp7KAAR</t>
  </si>
  <si>
    <t>{PS_Region_New__c=US SLED, Name=University of California, San Diego, attributes={type=Account, url=/services/data/v62.0/sobjects/Account/0018000000Wsp7KAAR}, Industry=Higher Education}</t>
  </si>
  <si>
    <t>1st Jun - Replan has been in review for 2 weeks with costs associated shared with Booking. Costs are approved for the rework required on configuration of the Talent Acquisition module. Customer is also reviewing scope for Paradox. Overall program is at risk and the customer has multiple decisions to make and needs to be more swift and focused on decision making. Customer also met with Adam Stoermer and feedback was that tighter governance is needed, SteerCo must be implemented to address their feedback. 
It has been shared that the program of work feels disjointed, that the customer is looking for greater guidance and steering them towards best practise as an overall solution. 
14th May - Weekly status report has moved from Yellow to Red on the basis of the latest information. Path to green requires impact assessment of the critical path. CCS for 19th May will be cancelled again (3rd time now we moved CCS). Need customer to commit to a final date for workshops. We cannot continue to offer partial requirements completion. Exec call planned for tomorrow to communciate latest status
Move ahead with CCS with 70%/80% requirements to enable sign off of Job application BP.
Get introduced to integration vendors and get an established understanding of the integration builds to confirm we can hit the E2E test cycle in July.
Confirm Paradox and Hiredscore can manage with the progress made in Workday to date.
BP sign off due 16th June - this is when we should be able to turn green as long as new topics do not arise.</t>
  </si>
  <si>
    <t>Architect / Design;Customer Resources;Deployment Resources;Project Management/Methodology;Scope Management</t>
  </si>
  <si>
    <t>a3xVT00000079eTYAQ</t>
  </si>
  <si>
    <t>a0rVT00000souZOYAY</t>
  </si>
  <si>
    <t>{PS_Region_New__c=US Healthcare, attributes={url=/services/data/v62.0/sobjects/Account/0018000001WMH5uAAH, type=Account}, SubRegion__c=US Healthcare ME NN West, Industry=Ambulatory, PS_Sub_Region__c=Healthcare ME, Name=Vista Community Clinic}</t>
  </si>
  <si>
    <t>Susan Connor</t>
  </si>
  <si>
    <t>Steerco agreement on Jan 27 = detailed planning and CO underway
New timeline agreed Vdesk external delivery expected by 4th Sept - remain on amber and monitor until this deliverable is achieved
03Sept - Continuing to monitor Vdesk delivery
10/09 - Vdesk delivered and E2E build - resolving some DC issues
21/09- E2E testing start delayed but now underway, monitor progress over coming weeks.</t>
  </si>
  <si>
    <t>Detailed planning and commercial conversations underway
New timeline has been agreed. Vdesk delivery expected by 1st of sept. Plan remains on Amber due to dependency</t>
  </si>
  <si>
    <t>a3xVT0000007E33YAE</t>
  </si>
  <si>
    <t>a0rVT00000XwtIvYAJ</t>
  </si>
  <si>
    <t>Margaret Franckeiss</t>
  </si>
  <si>
    <t>9/22 waiting for Greystone feedback on last payroll run.</t>
  </si>
  <si>
    <t>017VT0000GuOG9ZYQW</t>
  </si>
  <si>
    <t>a0rVT00001DXDRVYA5</t>
  </si>
  <si>
    <t>Fidelity: We have additional Workday INT engaged to help our Workday Lead; Alain Quiros and Product Manager, Sam Urrutia, to assist. 
Wex: Investigating whether a studio integration is required for this fix</t>
  </si>
  <si>
    <t>0018000000Wsp8JAAR</t>
  </si>
  <si>
    <t>a3xVT0000007JnVYAU</t>
  </si>
  <si>
    <t>{Name=University of New Mexico, Industry=Higher Education, PS_Region_New__c=US SLED, attributes={url=/services/data/v62.0/sobjects/Account/0018000000Wsp8JAAR, type=Account}}</t>
  </si>
  <si>
    <t>a0pVT00000CpkGRYAZ</t>
  </si>
  <si>
    <t>{SubRegion__c=US DI LE CB RHT Central, attributes={url=/services/data/v62.0/sobjects/Account/0013000000KLhKrAAL, type=Account}, PS_Sub_Region__c=Diversified Industries LE CB RHT, Industry=Lodging &amp; Resorts, Name=The Vail Corporation, PS_Region_New__c=US Large Enterprise DI &amp; Mexico}</t>
  </si>
  <si>
    <t>017VT0000GuRWjVYQW</t>
  </si>
  <si>
    <t>8/11: Demo'ed CLM S2P solution to client (multiple times). Pending decision and alignment with client on WSS component and plan. CLM workstream is on pause.
5/20: Working with Workday deployment team and Account team to arrange for integration demo and roadmap overview. Had a call on 5/19 that reviewed the integration at a high level, but pursuing additional conversations to allay concerns around how integrated/not the system is with Workday.</t>
  </si>
  <si>
    <t>a0rVT00001DXDRWYA5</t>
  </si>
  <si>
    <t>a3xVT0000007LPVYA2</t>
  </si>
  <si>
    <t>00180000016nXTXAA2</t>
  </si>
  <si>
    <t>a0rVT00000MOfN8YAL</t>
  </si>
  <si>
    <t>Bruce Reeves</t>
  </si>
  <si>
    <t>{PS_Region_New__c=US SLED, Name=Lake Tahoe Community College, attributes={type=Account, url=/services/data/v62.0/sobjects/Account/00180000016nXTXAA2}, Industry=Higher Education}</t>
  </si>
  <si>
    <t>Moved go live to 12/01/2026. Crafted updated detailed project plan to account for SIT3 test cycle and revised dates. SIT2 at exit criteria threshold. Continued SIT3 Planning
- SIT3 Execution Sessions in progress</t>
  </si>
  <si>
    <t>Path to Green:
Codify closed decisions into SIT by 5/15/26 (due to delayed decision making)
Close open decisions by 5/1/26
Deloitte and UM are partnering on the "path-to-green" and collectively
solutioning for outstanding CRAID items.
Clean-up conversion data by 6/26/26
SIT3 in progress</t>
  </si>
  <si>
    <t>Testing</t>
  </si>
  <si>
    <t>a3xVT0000007NmHYAU</t>
  </si>
  <si>
    <t>a0rVT00000tqK4jYAE</t>
  </si>
  <si>
    <t>Josh Swift</t>
  </si>
  <si>
    <t>07/27/26 - No change from 07/23/26 update. Customer working to align resources in preparation to restart the project.</t>
  </si>
  <si>
    <t>a0pVT00000Cpx5cYAB</t>
  </si>
  <si>
    <t>Customer is sourcing transformation services to assist in aligning processes across global entities to best leverage Workday. TopBloc will align strategic resources to continue advisement on best practices in Workday.</t>
  </si>
  <si>
    <t>a3xVT0000007X45YAE</t>
  </si>
  <si>
    <t>a0rVT00000dz7HWYAY</t>
  </si>
  <si>
    <t>Kevin Kosowski</t>
  </si>
  <si>
    <t>The scorecard will remain as yellow, as E2E testing is only at 79% pass complete, with Payroll-Impacting testing at 64% pass complete.  We added a second week for E2E testing.  Parallel testing now scheduled to start on 10/5/26.</t>
  </si>
  <si>
    <t>{PS_Sub_Region__c=ME Commercial West, Industry=Restaurant &amp; Food Service, Name=SoCal Pizza Holdings (AWRG PH), attributes={type=Account, url=/services/data/v62.0/sobjects/Account/001VT00000b2nwzYAA}, PS_Region_New__c=US Medium Enterprise DI, SubRegion__c=US DI Commercial NN Southwest}</t>
  </si>
  <si>
    <t>We have discussed with the YMCA PMO team the urgency of getting E2E testing completed on schedule.  We are tracking testing statistics to help YMCA keep at a pace to complete testing on schedule.  I have an extra 'cushion' week to provide for testing.  After that, if YMCA doesn't get their testing completed on schedule, we will have to address the feasibility of a 10/1/26 go-live.  Update: YMCA remains behind schedule on E2E testing, with an overall pass completion rate of 20% and one week remaining for the initial scheduled testing period.</t>
  </si>
  <si>
    <t>a3xVT0000007YcrYAE</t>
  </si>
  <si>
    <t>017VT0000GuRWL9YQO</t>
  </si>
  <si>
    <t>9/30 KJY: Still waiting on client to agree to testing windows, and primarily Simit's E2E testing.</t>
  </si>
  <si>
    <t>a0rVT00001DXDUjYAP</t>
  </si>
  <si>
    <t>Need to realign on new CI timeline and testing window. in re: workflow, need FM to make some decisions re: # of workflows in light of WSS limitation, then replan and rebaseline.</t>
  </si>
  <si>
    <t>a3xVT0000007Yo9YAE</t>
  </si>
  <si>
    <t>0018000000Wtz26AAB</t>
  </si>
  <si>
    <t>{attributes={url=/services/data/v62.0/sobjects/Account/0018000000Wtz26AAB, type=Account}, Name=Pima County, PS_Region_New__c=US SLED, Industry=State &amp; Local Government}</t>
  </si>
  <si>
    <t>9/30: still working our way through testing, need confirmation client will complete testing by 10/2. if so, GL is 10/12</t>
  </si>
  <si>
    <t>Staffed with partner and additional WD FC resources. Closely monitoring testing and sign off of WF and custom AI models.</t>
  </si>
  <si>
    <t>a3xVT0000007iVlYAI</t>
  </si>
  <si>
    <t>a0pVT00000Cq0zYYAR</t>
  </si>
  <si>
    <t>Heartland Dental, LLC</t>
  </si>
  <si>
    <t>9/15: Product enhancement features and dates blocked as HR-004 options does not meet Hilton requirements. Ongoing design sessions to confirm requirements and development plan with Product team. Hilton added to CLM R2 EA and visibility into next steps. Resuming impact assessment to recast timeline, dependencies for Release 3 (workflows) and Release 4. WD resource constraint identified for workflow build and we are working on additional resourcing to support this.
8/24: Product enhancement features and dates blocked as HR-004 options does not meet Hilton requirements. Further discussion required to confirm requirements and next steps. Hilton added to CLM R2 EA and visibility into next steps. Impact assessment led by PWC - paused on hold for product dates and confirmation of next steps
8/6: Trending yellow, product enhancement features and dates confirmed. Hilton added to CLM R2 EA and visibility into next steps. ONgoing impact assessment led by PWC to identify gaps and path forward
7/23: Ongoing impact assessment discussions and confirming product feature release dates
7/13: Working with product to update the release date of the required feature enhancements.
6/5: Customer escalation on delay with product related deliverables. Meeting scheduled on Monday with Hilton Stakeholders</t>
  </si>
  <si>
    <t>017VT0000GuQZ5cYQG</t>
  </si>
  <si>
    <t>Confirmation from Product on the delivery date of requested features. Hilton acceptance of the mitigation plan</t>
  </si>
  <si>
    <t>a0rVT00001DXDUkYAP</t>
  </si>
  <si>
    <t>a3xVT0000007mMTYAY</t>
  </si>
  <si>
    <t>a0rVT00000w9o5yYAA</t>
  </si>
  <si>
    <t>001VT00000Nmv0MYAR</t>
  </si>
  <si>
    <t>{PS_Region_New__c=US Medium Enterprise DI, attributes={url=/services/data/v62.0/sobjects/Account/001VT00000Nmv0MYAR, type=Account}, Industry=Lodging &amp; Resorts, Name=Mountain Shadows}</t>
  </si>
  <si>
    <t>Project restarted, e2e tests in progress. More visibility will be available after E2E tests will end</t>
  </si>
  <si>
    <t>Customer requested  project freeze between 22 June and 24 August due to limited customer resources availability. Currently discussing new project plan with customer. Customer also shared that some items were not catched during sales cycle in SOW. Workday team is trying to revise those missing pieces and accomodate within projetc scope where possible. Customer also shared they are unhappy with Benefits consultant quality of work. Workday is addressing this issue internally with consultant manager. Change order signed by customer</t>
  </si>
  <si>
    <t>{Name=SoCal Pizza Holdings (AWRG PH), attributes={url=/services/data/v62.0/sobjects/Account/001VT00000b2nwzYAA, type=Account}, PS_Region_New__c=US Medium Enterprise DI, Industry=Restaurant &amp; Food Service, SubRegion__c=US DI Commercial NN Southwest, PS_Sub_Region__c=ME Commercial West}</t>
  </si>
  <si>
    <t>Customer Resources;Deployment Resources</t>
  </si>
  <si>
    <t>a3xVT0000007oXxYAI</t>
  </si>
  <si>
    <t>2026-09-30T13:26:18.000+0000</t>
  </si>
  <si>
    <t>a0rVT00000g46jXYAQ</t>
  </si>
  <si>
    <t>Béla Thomann</t>
  </si>
  <si>
    <t>017VT0000GuOG9cYQG</t>
  </si>
  <si>
    <t>a0rVT00001DXEVdYAP</t>
  </si>
  <si>
    <t>a0rVT00001DXDWLYA5</t>
  </si>
  <si>
    <t>Henley Enterprises Valvoline</t>
  </si>
  <si>
    <t>0018000000Wtz7mAAB</t>
  </si>
  <si>
    <t>{attributes={type=Account, url=/services/data/v62.0/sobjects/Account/0018000000Wtz7mAAB}, Industry=Education (K-12), PS_Region_New__c=US SLED, Name=Osceola County School District}</t>
  </si>
  <si>
    <t>a0pVT00000Cq3R9YAJ</t>
  </si>
  <si>
    <t>017VT0000GuRVcMYQW</t>
  </si>
  <si>
    <t>{SubRegion__c=US DI Commercial NN Southwest, attributes={url=/services/data/v62.0/sobjects/Account/001VT00000b2nwzYAA, type=Account}, PS_Sub_Region__c=ME Commercial West, Industry=Restaurant &amp; Food Service, Name=SoCal Pizza Holdings (AWRG PH), PS_Region_New__c=US Medium Enterprise DI}</t>
  </si>
  <si>
    <t>0018000000ZJUugAAH</t>
  </si>
  <si>
    <t>28.09.
1) E2E testing (topic closed - see comment from 14.09.)
2) Lift and shift approach
- Proposal for Phases 2-4 in progress. Will be discussed WD internally this week
3) No changes on resources. Due to the extended timeline I asked fenaco to verify, if they can attend more trainings till go-live. Marc is validating. Cutover discussions will pick-up again from mid-October. The goal is to have this completed by X-MAS (with some minor open topics to clarify)
4) DHP will stay open till at least until re-planning has been completed
21.09.
1) E2E testing
- E2E testing in progress. With the new project extension (go-live around Mar. 1, 2027) testing will be continued till end of 2026. Therefore, this topic can be closed for now
2) Lift and shift approach
- Ana had a discussion with fenaco and we will work on an updated proposal for Phases 2-4
3) No changes on resources. Customer starts to feel more the high workload. We informed them that with E2E testing and moving closer to go-live, workload will continue to increase (cutover, regression testing, support model). Slow progress on Cutover - 1st meeting took place last Friday and regular weekly Cutover calls have been set-up
4) DHP will stay open till at least until re-planning has been completed
14.09.
1) E2E testing
- E2E testing in progress. Behind planned test execution. Likely that exit criteria won´t be met. Customer confirmed project extension. Reasons: 1) behind testing 2) change resistance from HR Ops. New go-live Feb./Mar. 2027 (tbd)
2) Lift and shift approach
- Ana had a discussion with fenaco and we will work on an updated proposal for Phases 2-4
3) No changes on resources. Customer starts to feel more the high workload. We informed them that with E2E testing and moving closer to go-live, workload will continue to increase (cutover, regression testing, support model). Slow progress on Cutover - 1st meeting took place last Friday and regular weekly Cutover calls have been set-up
4) DHP will stay open till at least until re-planning has been completed
07.09.
1) E2E testing
- E2E testing in progress. No major issues but customer is still behind planned test execution rate. Likely that exit criteria won´t be met. Customer mentioned that potential project extension will be needed due to feedback from operational teams. Not official yet and not shared with the team
2) Lift and shift approach
- Ana had a discussion with fenaco and we will work on an updated proposal for Phases 2-4
3) No changes on resources. Customer starts to feel more the high workload. We informed them that with E2E testing and moving closer to go-live, workload will continue to increase (cutover, regression testing, support model). Slow progress on Cutover - 1st meeting took place last Friday and regular weekly Cutover calls have been set-up
4) DHP will stay open till after MTP since the risks &amp; issues won´t be solved
31.08.
1) E2E testing
- E2E testing in progress. No major issues but customer is still behind planned test execution rate. Likely that exit criteria won´t be met. Customer mentioned that potential project extension will be needed due to feedback from operational teams. Not official yet and not shared with the team
2) Lift and shift approach
- Ana had a discussion with fenaco and we will work on an updated proposal for Phases 2-4
3) No changes on resources. Customer starts to feel more the high workload. We informed them that with E2E testing and moving closer to go-live, workload will continue to increase (cutover, regression testing, support model). Slow progress on Cutover - 1st meeting took place last Friday and regular weekly Cutover calls have been set-up
4) DHP will stay open till after MTP since the risks &amp; issues won´t be solved
25.08.
1) E2E testing
- E2E testing in progress. No major issues but customer is still behind planned test execution rate. Likely that exit criteria won´t be met. TBD if customer would accept the risk to go-live or if extension of test cycle would be needed
2) Lift and shift approach
- Ana had a discussion with fenaco and we will work on an updated proposal for Phases 2-4
3) No changes on resources. Customer starts to feel more the high workload. We informed them that with E2E testing and moving closer to go-live, workload will continue to increase (cutover, regression testing, support model). Slow progress on Cutover - 1st meeting took place last Friday and regular weekly Cutover calls have been set-up
4) DHP will stay open till after MTP since the risks &amp; issues won´t be solved
18.08.
1) E2E testing
- E2E testing in progress. No major issues but customer is still behind planned test execution rate. Customer test lead is pushing/reminding testers but with limited success. TBD with the customer if it´s realistic to complete E2E testing within the planned timeline.
2) Lift and shift approach
- Presentation created with WD PD and Architect to highlight our main concerns and what impact specific design decisions have. Martin Junker will organize a call after people are back from vacation (likely the w/c Aug. 17). Ana reached out to Martin to ask again for the call
3) No changes on resources. Customer starts to feel more the high workload. We informed them that with E2E testing and moving closer to go-live, workload will continue to increase (cutover, regression testing, support model). Slow progress on Cutover - meeting scheduled for this Friday
11.08.
1) E2E testing
- E2E testing in progress. So far normal amount of defects and CRs but to be monitored. No major issues but customer is still behind planned test execution rate. Customer test lead is pushing/reminding testers. For the "read only" testers the mitigation is to have for every company the test scenarios executed once - currently multiple testers are assigned per company with the same test scenarios
2) Lift and shift approach
- Presentation created with WD PD and Architect to highlight our main concerns and what impact specific design decisions have. Martin Junker will organize a call after people are back from vacation (likely the w/c Aug. 17). Pasquale will talk to Martin regarding the call organization
3) No changes on resources. Customer starts to feel more the high workload. We informed them that with E2E testing and moving closer to go-live, workload will continue to increase (cutover, regression testing, support model)
04.08.
1) E2E testing
- E2E testing in progress. So far normal amount of defects and CRs but to be monitored. No major issues but customer is behind planned test execution rate. Customer test lead is back now and will discuss status and mitigations today
2) Lift and shift approach
- Presentation created with WD PD and Architect to highlight our main concerns and what impact specific design decisions have. Martin Junker will organize a call after people are back from vacation (likely the w/c Aug. 17)
3) No changes on resources. Customer starts to feel more the high workload. We informed them that with E2E testing and moving closer to go-live, workload will continue to increase (cutover, regression testing, support model)
28.07.
1) E2E testing
- E2E testing in progress. So far normal amount of defects and CRs but to be monitored. No major issues but customer is behind planned test execution rate
2) Lift and shift approach
- Presentation created with WD PD and Architect to highlight our main concerns and what impact specific design decisions have. Martin Junker will organize a call after people are back from vacation (likely the w/c Aug. 17)
3) No changes on resources. Customer starts to feel more the high workload. We informed them that with E2E testing and moving closer to go-live, workload will continue to increase (cutover, regression testing, support model)
4) Scope clarified and confirmed by the customer (closing this topic)
21.07.
1) E2E testing
- E2E testing in progress. So far normal amount of defects and CRs but to be monitored. No major issues
2) Lift and shift approach
- Presentation created with WD PD and Architect to highlight our main concerns and what impact specific design decisions have. Martin Junker will organize a call after people are back from vacation (likely the w/c Aug. 17)
3) No changes on resources. Customer starts to feel more the high workload. We informed them that with E2E testing and moving closer to go-live, workload will continue to increase (cutover, regression testing, support model)
4) Scope clarified and confirmed by the customer
14.07.
1) E2E testing
- E2E testing in progress. So far normal amount of defects and CRs but to be monitored
2) Lift and shift approach
- Presentation created with WD PD and Architect to highlight our main concerns and what impact specific design decisions have. Martin Junker will organize a call after people are back from vacation (likely the w/c Aug. 17)
3) No changes on resources. Customer starts to feel more the high workload. We informed them that with E2E testing and moving closer to go-live, workload will continue to increase (cutover, regression testing, support model)
4) Scope clarified and waiting for final confirmation from customer. Reminder sent on July 13
07.07.
1) E2E testing
- E2E testing started this week. Leaving this topic open for a bit to see how testing progresses
2) Lift and shift approach
- Presentation created with WD PD and Architect to highlight our main concerns and what impact specific design decisions have. Escalation call on Friday, July 3 was cancelled by fenaco. Pasquale is looking for a new slot next week where we will also bring up our concerns
3) No changes on resources. Customer starts to feel more the high workload. We informed them that with E2E testing and moving closer to go-live, workload will continue to increase (cutover, regression testing, support model)
4) Call for Change Mgmt. held on July 2. Scope clarified and waiting for final confirmation from customer. Unit Testing officially signed-off. Call to address topics such as resources, lift &amp; shift, etc. to be scheduled by Pasquale for next week
30.06.
1) E2E testing
- WD Team reviewed planned test scenarios from fenaco and provided feedback. Quite some BPs, and customer specific configuration test scenarios were missing
2) Lift and shift approach
- Presentation created with WD PD and Architect to highlight our main concerns and what impact specific design decisions have. Likely that we will flag this topic in the escalation call on Friday, July 3
3) No changes on resources. Customer starts to feel more the high workload. We informed them that with E2E testing and moving closer to go-live, workload will continue to increase (cutover, regression testing, support model)
4) Replied via email with facts and data. Call for Change Mgmt. scheduled for July 2. Call for Unit Testing (general topics) scheduled for July 3
23.06.
1) E2E testing
- Customer understood that testing only their "real life scenarios" won´t be sufficient. They plan to do a proper E2E test now. WD Test Lead and EM in close alignment with customer on E2E test scenario prep.
2) Lift and shift approach
- Preparation started with WD PD and Architect to highlight our main concerns and what impact specific design decisions have
3) No changes on resources
4) We will reply via email with facts and data as well as ask for a clarification call to align on a collaborative way forward. AE is also in the loop. When we will have the call with the customer, we will also cover points 1 and 2 to a certain extend.
16.06.
1) E2E testing
- Customer understood that testing only their "real life scenarios" won´t be sufficient. They plan to do a proper E2E test now. WD Test Lead and EM in close alignment with customer on E2E test scenario prep.
2) Lift and shift approach
- Preparation started with WD PD and Architect to highlight our main concerns and what impact specific design decisions have
3) No changes on resources</t>
  </si>
  <si>
    <t>{Industry=Oil &amp; Gas, attributes={type=Account, url=/services/data/v62.0/sobjects/Account/0018000000ZJUugAAH}, Name=Aggreko UK Limited, PS_Region_New__c=UKI}</t>
  </si>
  <si>
    <t>1) E2E testing:
- Close alignment with customer to make sure they do not only test their "real life scenarios", as the customer PM mentioned but include proper full tenant data validation and E2E testing
- Making sure they understand capacity needed to be able to test properly within the time available
2) Lift and shift approach: we will prepare an overview about
- What opportunities are they closing the door on (especially looking at subsequent phases but also for phase 1 already)
- What are they blocking themselves from achieving through this, e.g., process efficiency
- What are the top risks/concerns from a configuration point of view
3) This won´t change since they don´t get more resources. But we might need to support more than usual. So not expecting to get this solved on customer side
4) We will reply via email with facts and data as well as ask for a clarification call to align on a collaborative way forward. AE is also in the loop (topic closed).</t>
  </si>
  <si>
    <t>Architect / Design;Deployment Resources;Testing</t>
  </si>
  <si>
    <t>a3xVT0000007w7JYAQ</t>
  </si>
  <si>
    <t>Hewlett Packard Enterprise Company</t>
  </si>
  <si>
    <t>a0rVT00000xsZQDYA2</t>
  </si>
  <si>
    <t>Paul Niekel</t>
  </si>
  <si>
    <t>017VT0000GuRDRBYQ4</t>
  </si>
  <si>
    <t>a0rVT00001DXDZZYA5</t>
  </si>
  <si>
    <t>1. Scheduling added to scope : point closed
2. Customer understaffed remains main focus: one resource added to the project on customer side who will be responsible for Data Conversion. The other main resource is responsible for reporting, testing, cutover. No improvement a the workload increases as well towards the end of the project. Continue to be addressed in One2One's with sponsor
3. Testing timeline: with the delay on the start of E2E there will be only 4 weeks out of 5 left to perform all E2E testing scenario's. No visibility on the test scenarii + Test plan despite request.
E2E closure next week. Exit criteria or E2E sent and to be completed by Customer. 
4. Data quality: no real improvement compared to Foundation tenant. Lessons Learnt session organized. One dedicated person on the job. Still incorrect ABS data sent. Corrections continue whil preparing for Gold data set
5. one extra resources added with skills and right competencies to speed up. Very heavy in workload from reporting, ABS and integration consultant. New timeline for delivery communicated to customer
6. No dedicated report Lead however sponsor validated the analysis and build of part of mgmt exec dashboard report in exchange for the contractual 5 customer reports. To build and delivered by Oct 5.</t>
  </si>
  <si>
    <t>a0pVT00000Cq0EkYAJ</t>
  </si>
  <si>
    <t>0018000000aNE0KAAW</t>
  </si>
  <si>
    <t>Point 1: Organize a demo. Work out potential scenarii for roll out. 
Point 2: Require testplan for feasibility check. Discuss optimized resource plan. Push them to take ownership of the solution
Point 3: Start the discussion on their test strategy to test all integrations on time
Point 4: Lessons learnt + dedicated Data Lead required for improvement
Point 5: Requires dedicated Reporting Lead to help providing the details in order for WD reporting consultant to perform analysis on feasibility</t>
  </si>
  <si>
    <t>{Name=The Royal London Mutual Insurance Society Limited, Industry=Insurance, PS_Region_New__c=UKI, attributes={type=Account, url=/services/data/v62.0/sobjects/Account/0018000000aNE0KAAW}}</t>
  </si>
  <si>
    <t>Customer Resources;Scope Management;Testing</t>
  </si>
  <si>
    <t>a3xVT00000082FxYAI</t>
  </si>
  <si>
    <t>{PS_Region_New__c=US Medium Enterprise DI, attributes={url=/services/data/v62.0/sobjects/Account/001VT00000b2nwzYAA, type=Account}, Name=SoCal Pizza Holdings (AWRG PH), PS_Sub_Region__c=ME Commercial West, Industry=Restaurant &amp; Food Service, SubRegion__c=US DI Commercial NN Southwest}</t>
  </si>
  <si>
    <t>017VT0000GuRFOIYQ4</t>
  </si>
  <si>
    <t>a0rVT00000u7IPoYAM</t>
  </si>
  <si>
    <t>Hexagon AB</t>
  </si>
  <si>
    <t>0018000000rNo6xAAC</t>
  </si>
  <si>
    <t>1. End To End Testing behind schedule and at 43% complete.
2. Payroll Parallel Testing behind schedule.  Will start after all payroll related scenarios for E2E has passed testing.</t>
  </si>
  <si>
    <t>1. Complete unofficial Configuration Unit Testing.
2. Turn over all worker data needed to End To End tenant build.</t>
  </si>
  <si>
    <t>Deployment Resources;Testing</t>
  </si>
  <si>
    <t>EMEA North Commercial</t>
  </si>
  <si>
    <t>{Industry=Acute Hospital / Health System, PS_Region_New__c=US Healthcare, attributes={type=Account, url=/services/data/v62.0/sobjects/Account/0018000000rNo6xAAC}, Name=Fresno Community Hospital and Medical Center, dba Community Health System}</t>
  </si>
  <si>
    <t>Sweden NN</t>
  </si>
  <si>
    <t>a3xVT00000083VNYAY</t>
  </si>
  <si>
    <t>a0rVT00000erUb1YAE</t>
  </si>
  <si>
    <t>Dan Lema</t>
  </si>
  <si>
    <t>9/25: CB has decided to move their go-live to 7/1/27. CO is pending. Awaiting feedback on CO.</t>
  </si>
  <si>
    <t>a0pVT00000Cq5G1YAJ</t>
  </si>
  <si>
    <t>Additional decision focused meetings to provide direction by 7/17.</t>
  </si>
  <si>
    <t>017VT0000GuOoKvYQK</t>
  </si>
  <si>
    <t>Architect / Design;Customer Exec Sponsorship;Integration</t>
  </si>
  <si>
    <t>a3xVT000000879BYAQ</t>
  </si>
  <si>
    <t>00180000013goA7AAI</t>
  </si>
  <si>
    <t>{Industry=Healthcare Manufacturing, PS_Region_New__c=US Large Enterprise DI &amp; Mexico, attributes={type=Account, url=/services/data/v62.0/sobjects/Account/00180000013goA7AAI}, Name=Arthrex, Inc.}</t>
  </si>
  <si>
    <t>25/9 Keeping project yellow on our side due to Accenture build and GS config changes. Job App BP is still in review by Mondelez and there is some rework required. HS TPP is progressing but still waiting to validate HMTA, configure ECG and Career Hub. Data Field Mapping is in progress - waiting on Mondelez to confirm some outstanding fields. Will be adding a default fallback mapped to the generic Workday connectors when the primary location is empty. This will be actioned once data field mapping has been completed.</t>
  </si>
  <si>
    <t>a0rVT00001DXFujYAH</t>
  </si>
  <si>
    <t>Engaging with product and working with Accenture and Mondelez on a re-plan of the project timeline. We've made an assumption that we could start TPP in Aug but that is to be confirmed.
Updated path to green - Accenture to finalise their build on time and clarity on GS and it's impact on HS/WD build.</t>
  </si>
  <si>
    <t>High Sierra Pools, Inc.</t>
  </si>
  <si>
    <t>a3xVT00000089NtYAI</t>
  </si>
  <si>
    <t>a0rVT000013QtMnYAK</t>
  </si>
  <si>
    <t>Amber Thacker</t>
  </si>
  <si>
    <t>{PS_Region_New__c=US Medium Enterprise DI, Industry=Business Services, Name=Goettl Air Conditioning, PS_Sub_Region__c=ME Commercial West, attributes={type=Account, url=/services/data/v62.0/sobjects/Account/0014X00002MBzcGQAT}, SubRegion__c=US DI Commercial NN Southwest}</t>
  </si>
  <si>
    <t>US DI ME NN PBS Mid-Atlantic</t>
  </si>
  <si>
    <t>09/28/26: Still pending leadership realignment on reengagement date for project.</t>
  </si>
  <si>
    <t>Fortra/Strada Pay leadership to align on reengagement timeline.</t>
  </si>
  <si>
    <t>a3xVT0000008DMfYAM</t>
  </si>
  <si>
    <t>a0rVT00000oKykoYAC</t>
  </si>
  <si>
    <t>Nickey Sampson</t>
  </si>
  <si>
    <t>9/28:  Finalizing POA configuration and Parallel build in progress to make the 12/20 go-live for corporate and POA. Shipside 30-day proration configuration continues to need updates for ship transfers. Expecting this to take 3 weeks to resolve.</t>
  </si>
  <si>
    <t>017VT0000GcCcJpYQK</t>
  </si>
  <si>
    <t>NCL and Invisors are continuing to test scenarios and update configuration as needed while leadership reviews the deltas to confirm if they can continue with the implementation.</t>
  </si>
  <si>
    <t>a0rVT00001DXDZcYAP</t>
  </si>
  <si>
    <t>a3xVT0000008EIjYAM</t>
  </si>
  <si>
    <t>0018000001BMuvWAAT</t>
  </si>
  <si>
    <t>Todd Brennan</t>
  </si>
  <si>
    <t>{Name=Opportunity Enterprises, attributes={url=/services/data/v62.0/sobjects/Account/0018000001BMuvWAAT, type=Account}, Industry=Non-Profit, PS_Region_New__c=US SLED}</t>
  </si>
  <si>
    <t>a0pVT00000Cpzx1YAB</t>
  </si>
  <si>
    <t>1) Cottonwood is expected to sign off on E2E testing acknowledging  the associated risks identified in the risk register.
2) Proposed revised change order on 9/25. Waiting for response with Cottonwood
3) FDM Cottonwood will continue to test the FDM in parallel with payroll parallel testing.</t>
  </si>
  <si>
    <t>Architect / Design;Deployment Resources;Scope Management;Testing</t>
  </si>
  <si>
    <t>a3xVT0000008I2zYAE</t>
  </si>
  <si>
    <t>{PS_Sub_Region__c=ANZ New Zealand, Name=McDonald's - NZ, SubRegion__c=null, Industry=Business Services, PS_Region_New__c=ANZ, attributes={type=Account, url=/services/data/v62.0/sobjects/Account/00180000010yxg8AAA}}</t>
  </si>
  <si>
    <t>a0rVT00000hOF78YAG</t>
  </si>
  <si>
    <t>Carolyn Bandle</t>
  </si>
  <si>
    <t>017VT0000GuQ8rrYQC</t>
  </si>
  <si>
    <t>Weekly Update 9/17/26
Project status remains in yellow due to risk of Benefits data conversion during Parallel build. Loading of LTD and STD proved to be difficult, due to long wait periods within ET configuration. 
Plan to Green: 
Intecrowd has engaged some additional benefits FC support to help Lisa (primary lead). Issue stems from complex wait periods on the configure side, and how that effects the data being loaded (and effective dates). Ongoing planning with WD &amp; ET functional leads. 
Goal is to have workaround in place before Silver build start (9/28) so benefits load timing can be finalized during silver build.</t>
  </si>
  <si>
    <t>0018000001KdRowAAF</t>
  </si>
  <si>
    <t>DTS team is bringing in two additional resources: one who will architect remaining transformation and one who will own complex benefits transformation/loads. 
Get to Green: 
If Parallel build is deemed successful, project will return to green. A successful build means config is migrated cleanly and all data is loaded on time and with passing-percentage correctness for quick tenant validation. 
If parallel build is unsuccessful, Workday team will perform a "Silver Build" in October - which will require refinement of data transformation and re-loading into a clean tenant (copy of config-only Parallel).</t>
  </si>
  <si>
    <t>{Industry=Software &amp; Platforms, attributes={url=/services/data/v62.0/sobjects/Account/0018000001KdRowAAF, type=Account}, PS_Region_New__c=US Large Enterprise DI &amp; Mexico, Name=Dynatrace LLC}</t>
  </si>
  <si>
    <t>a3xVT0000008ISnYAM</t>
  </si>
  <si>
    <t>a0rVT00000wHNoPYAW</t>
  </si>
  <si>
    <t>Benny Effendi</t>
  </si>
  <si>
    <t>Additional data migration resources have been onboarded and are actively addressing open conversion and validation activities. Daily operational governance and progress monitoring are in place, providing clear visibility of workload, priorities, risks, and issue resolution. E2E build planning, data validation, and sign-off activities are continuing with focus on critical data objects required to support downstream testing and deployment milestones. Schedule recovery planning remains ongoing with regular stakeholder reporting and governance reviews.</t>
  </si>
  <si>
    <t>a0pVT00000Cq9ebYAB</t>
  </si>
  <si>
    <t>017VT0000GuRGcfYQG</t>
  </si>
  <si>
    <t>A recovery plan has been implemented to improve delivery performance and achieve deployment readiness. Additional data migration resources have been assigned, critical conversion activities prioritized, and enhanced governance established. The team is executing daily monitoring of progress, defect resolution, and validation activities while replanning the E2E build and assessing impacts to Phase 2A and Phase 2B timelines.</t>
  </si>
  <si>
    <t>a3xVT0000008JyLYAU</t>
  </si>
  <si>
    <t>001VT00000NEBrGYAX</t>
  </si>
  <si>
    <t>a0rVT0000167EvGYAU</t>
  </si>
  <si>
    <t>{Industry=Business Services, PS_Sub_Region__c=ANZ New Zealand, attributes={url=/services/data/v62.0/sobjects/Account/00180000010yxg8AAA, type=Account}, PS_Region_New__c=ANZ, Name=McDonald's - NZ, SubRegion__c=null}</t>
  </si>
  <si>
    <t>{Industry=Business Services, PS_Region_New__c=US Medium Enterprise DI, attributes={type=Account, url=/services/data/v62.0/sobjects/Account/001VT00000NEBrGYAX}, Name=Express Wash Concepts}</t>
  </si>
  <si>
    <t>- Increase meeting frequency with customer
- Additional multi-hour working sessions/ "sprints" as needed 
- Investigating adding additional FIN Planning Consultant with more experience who can work faster</t>
  </si>
  <si>
    <t>Architect / Design;Customer Resources;Deployment Resources</t>
  </si>
  <si>
    <t>a3xVT0000008L45YAE</t>
  </si>
  <si>
    <t>a0rVT00000nwCO8YAM</t>
  </si>
  <si>
    <t>017VT0000GcCdB5YQK</t>
  </si>
  <si>
    <t>a0rVT00001DXDbBYAX</t>
  </si>
  <si>
    <t>0018000000agGiuAAE</t>
  </si>
  <si>
    <t>a0pVT00000Cq9gDYAR</t>
  </si>
  <si>
    <t>{PS_Region_New__c=US Large Enterprise DI &amp; Mexico, attributes={type=Account, url=/services/data/v62.0/sobjects/Account/0018000000agGiuAAE}, Industry=Auto, Name=The Friedkin Group, Inc. (Inactive Account)}</t>
  </si>
  <si>
    <t>Hirschbach Motor Lines, Inc.</t>
  </si>
  <si>
    <t>{PS_Sub_Region__c=ANZ New Zealand, attributes={type=Account, url=/services/data/v62.0/sobjects/Account/00180000010yxg8AAA}, Name=McDonald's - NZ, Industry=Business Services, PS_Region_New__c=ANZ, SubRegion__c=null}</t>
  </si>
  <si>
    <t>TMH extended the payroll-impacting testing timeline by one week, to July 24. However, TMH resource availability and time dedicated to testing continue to be insufficient. Workday has recommended onsite support and daily bridge lines; to date, TMH has only moderately increased engagement. The teams are reviewing contingency options should the Friday deadline not be met, as the program status will move to red.
As of July 28, TMH has made progress but has completed only 50% of payroll-impacting testing after five weeks—one week beyond the original deadline. TMH has asked Workday not to begin Payroll Parallel Cycle 1 until it provides approval, although the required preparation work has already been completed.
A risk has been logged in RAIDQ regarding incomplete testing and the delayed start of Payroll Parallel. Delaying Payroll Parallel introduces material risk; however, beginning the cycle before entry criteria are met presents a comparable risk. Given the delayed Payroll Parallel start, the current go-live date is now highly at risk. There is currently no executive leadership alignment on an alternative go-live date. 
Additionally, Workday is seeing an increase in change requests resulting from incomplete or insufficiently thorough unit testing. TMH has characterized these items as defects or missed configuration; however, when Workday requests clarification of the underlying requirements, TMH directs Workday to policy documentation rather than providing clear, actionable requirements.
As of August 17th, TMH understands timeline must change but has not confirmed a new go live date as they would like to get further with testing before determining.</t>
  </si>
  <si>
    <t>017VT0000GuQIvyYQG</t>
  </si>
  <si>
    <t>Workday will complete the Tenant Compare walkthroughs as quickly as possible. However, a broader discussion is needed regarding the overall timeline, as TMH is unlikely to meet the critical-path deadlines of July 17 for Payroll Parallel Readiness and August 14 for Cycle 1 completion.
Workday has recommended onsite support and daily bridge lines to increase momentum. To date, TMH has only agreed to moderately increase engagement. The teams are reviewing contingency options should the Friday deadline not be met, as the program status will move to red.</t>
  </si>
  <si>
    <t>a0rVT00001DXDbCYAX</t>
  </si>
  <si>
    <t>a3xVT0000008Ls5YAE</t>
  </si>
  <si>
    <t>001VT00000b2u0rYAA</t>
  </si>
  <si>
    <t>a0rVT00000r0e0YYAQ</t>
  </si>
  <si>
    <t>{Industry=Professional Services, Name=KPMG Services Pte. Ltd., attributes={url=/services/data/v62.0/sobjects/Account/001VT00000b2u0rYAA, type=Account}, PS_Region_New__c=ASEAN}</t>
  </si>
  <si>
    <t>LaLa Edwards</t>
  </si>
  <si>
    <t>9/22: History load discrepancies being addressed and near completion, closing with Q3 history. All TT/ABS issues wrapped up. Final piece are INTs that are still being tested and will close ASAP. Pushing to have this completed by end of month.
Report created to support Challenge's payroll audits.</t>
  </si>
  <si>
    <t>Hitachi America, Ltd.</t>
  </si>
  <si>
    <t>Additional consultant support from Workday so the Challenge team can validate all of history (Q1-Q3) by July 12. Payroll processing will begin on July 13.</t>
  </si>
  <si>
    <t>Customer Exec Sponsorship</t>
  </si>
  <si>
    <t>a0pVT00000CpxtcYAB</t>
  </si>
  <si>
    <t>a3xVT0000008OA1YAM</t>
  </si>
  <si>
    <t>017VT0000GuRDR5YQO</t>
  </si>
  <si>
    <t>a0rVT00001453P3YAI</t>
  </si>
  <si>
    <t>Holly Hall-Perry</t>
  </si>
  <si>
    <t>0018000000cZ57iAAC</t>
  </si>
  <si>
    <t>{Name=McDonald's - NZ, Industry=Business Services, SubRegion__c=null, PS_Sub_Region__c=ANZ New Zealand, attributes={url=/services/data/v62.0/sobjects/Account/00180000010yxg8AAA, type=Account}, PS_Region_New__c=ANZ}</t>
  </si>
  <si>
    <t>08.18.26 - following up on the in-progress CO. 
08.07.26 - the customer has asked to pause the project until Feb/March 2027.  CO in progress.  Once signed, the scorecard and tenant will be updated to "inactive".
7/28/26 - approval received to pause project and pick up by 8/7
7/17/26 requested approval to pause project 3 weeks to give OF more time to decide on 3 areas to deploy (&amp; associated metrics for each). Met w/ OF on Thursday 7/16, and this was preferred option, to extend timeline, with assumptions of lead consultant availability (confirmed yes), and new deploy date mapped out.</t>
  </si>
  <si>
    <t>{Industry=Diversified Metals and Mining, Name=BHP Billiton Ltd., attributes={url=/services/data/v62.0/sobjects/Account/0018000000cZ57iAAC, type=Account}, PS_Region_New__c=ANZ}</t>
  </si>
  <si>
    <t>The customer must provide the scope decision and then we will need to evaluate the impact to the project timeline.  We have flagged there is a potential cost impact with the delay.</t>
  </si>
  <si>
    <t>Architect / Design;Scope Management</t>
  </si>
  <si>
    <t>a3xVT0000008OwPYAU</t>
  </si>
  <si>
    <t>017VT0000GcCcEYYQ0</t>
  </si>
  <si>
    <t>Michael Coffman</t>
  </si>
  <si>
    <t>a0rVT00001DXDePYAX</t>
  </si>
  <si>
    <t>0018000000dNtBkAAK</t>
  </si>
  <si>
    <t>9/29/26 E2E still at 92% complete with remaining tests awaiting integration and custom report completion. Parallel Cycle 2 nearly complete - awaiting validation of 3 employees. HCM/FIN continues to retest fine-tune their processes as well (also will be counted toward KT sessions). CPB integrations are in a daily iterative test/correction with MGA IT team. MGA team struggles with time to test between CPB meetings, slowing down progress. This was discussed in 9/16/26 SteerCo.  Cutover planning underway. Concerns with critical items discussed with MGA SteerCo on 9/28/26. First Go/No-Go decision is scheduled for 10/5/26. Workday shared concerns over MGA's Change Mgmt Plan and execution strategy.</t>
  </si>
  <si>
    <t>{PS_Region_New__c=US Large Enterprise DI &amp; Mexico, Industry=Food &amp; Drug, attributes={url=/services/data/v62.0/sobjects/Account/0018000000dNtBkAAK, type=Account}, Name=Love's Travel Stops &amp; Country Stores, Inc.}</t>
  </si>
  <si>
    <t>Activities planned to return to green include:
Workday and MGA identifying specific criteria and open defects, reports, integrations that prohibit moving to Parallel.
MGA identifying E2E exit criteria and working to prioritize that testing in these areas.
Workday to continue encouraging MGA to contract with 3rd party to aide with testing resources and provide post go-live support.
MGA and Workday to provide weekly project updates on the progress of the remaining work.</t>
  </si>
  <si>
    <t>Customer Resources;Project Management/Methodology;Scope Management;Testing</t>
  </si>
  <si>
    <t>a3xVT0000008PFlYAM</t>
  </si>
  <si>
    <t>a0pVT00000Cpq4BYAR</t>
  </si>
  <si>
    <t>017VT0000GuRDR2YQO</t>
  </si>
  <si>
    <t>9/28/2026 - Timeline risks reviewed w/ Warren PM &amp; Sponsor ongoing. Change order in progress to extend project go-live out to April 1, 2027.</t>
  </si>
  <si>
    <t>Regular data extract check-ins.  Communicate importance of customer team's participation in workstream meetings. Measure progress customer contributions to workbooks.  Communicate to customer project delays and extensions will result in significant cost to customer.  Timeline risks escalated to customer sponsor.</t>
  </si>
  <si>
    <t>0018000000dRBo2AAG</t>
  </si>
  <si>
    <t>{attributes={type=Account, url=/services/data/v62.0/sobjects/Account/00180000010yxg8AAA}, Name=McDonald's - NZ, PS_Sub_Region__c=ANZ New Zealand, Industry=Business Services, SubRegion__c=null, PS_Region_New__c=ANZ}</t>
  </si>
  <si>
    <t>a3xVT0000008SK5YAM</t>
  </si>
  <si>
    <t>{attributes={url=/services/data/v62.0/sobjects/Account/0018000000dRBo2AAG, type=Account}, Name=CMH Services, Inc., Industry=Architecture, Engineering &amp; Construction, PS_Region_New__c=US Large Enterprise DI &amp; Mexico}</t>
  </si>
  <si>
    <t>a0rVT00000XvrivYAB</t>
  </si>
  <si>
    <t>09/25/2026 - Continuing to test alternative configuration.
09/14/2026 - Continuing to test alternative configuration.
09/04/2026 - Continuing to test alternative configuration.
08/28/2026 - Continuing to test alternative configuration.
08/20/2026 - Continuing to test alternative configuration.</t>
  </si>
  <si>
    <t>Monitor integration files during the next payroll processing.</t>
  </si>
  <si>
    <t>a3xVT0000008T85YAE</t>
  </si>
  <si>
    <t>a0rVT000013PizrYAC</t>
  </si>
  <si>
    <t>017VT0000GcCdCOYQ0</t>
  </si>
  <si>
    <t>HCM/PAY:  Architect Sessions have been completed and CCS scheduled for next week. Customer has complex HCM and Benefit requirements that are still being solved for and may require additional scope. Workday Architects are struggling with engagement/responsiveness with Partner Leads. Certain Partner Leads are missing certifications and have been unavailable for meetings. Benefit Integration builds are underway. Job Diva integration scope is still unclear - meeting with vendor next week to determine next steps.
FIN:  Architect Sessions in progress this week. Schedule A amendment approved for Partner FIN resource assignments, however, Workday Architects are leading majority of the sessions with the customer. FIN Integrations have kicked off and vendor kick off meetings are being scheduled. Prism and FIN Reporting have not yet kicked off.</t>
  </si>
  <si>
    <t>a0rVT00001DXDhdYAH</t>
  </si>
  <si>
    <t>a0pVT00000CpeRAYAZ</t>
  </si>
  <si>
    <t>To mitigate these schedule risks and establish a realistic path back to Green health, we are executing the following remediation plan:
1. Schedule Rebaselining: Rebaseline the master project plan to formally shift the Architect Sessions, testing phases, and E2E Tenant Build by approximately 2+ weeks. We will finalize and publish this updated plan in Smartsheet by the end of this week (Jul 17, 2026).
2. Executive and SteerCo Alignment: Schedule an urgent Steering Committee and leadership alignment meeting with the INSPYR PM (Valentin Berne), Melissa Beam, Daniel Hartman, and key executives. This session will focus on leveling expectations regarding the feasibility of the Jan 01, 2027 go-live date, aligning on necessary risk acknowledgments, and discussing potential scope adjustments.
3. Unblocking Workbook Sessions: Directly coordinate with INSPYR project management to immediately schedule and complete all outstanding foundation build workbook calls (Payroll, Absence, and Time Tracking).
4. Operational Cadence and Governance: Enforce the mandatory 30-minute pre-alignment sessions before all business-facing workshops to ensure the team is unified and can make prompt configuration decisions. Leverage the external Slack channels for rapid, cross-functional escalation and resolution of urgent roadblocks.</t>
  </si>
  <si>
    <t>0018000000dRKdcAAG</t>
  </si>
  <si>
    <t>a3xVT0000008THlYAM</t>
  </si>
  <si>
    <t>{Name=KLLM Transport Services, Inc., attributes={type=Account, url=/services/data/v62.0/sobjects/Account/0018000000dRKdcAAG}, Industry=Land and Rail Transportation and Freight, PS_Region_New__c=US Large Enterprise DI &amp; Mexico}</t>
  </si>
  <si>
    <t>{Name=County of Kern, SubRegion__c=US Local Gov LE CB, PS_Region_New__c=US SLED, Industry=State &amp; Local Government, attributes={url=/services/data/v62.0/sobjects/Account/0018000000Wtz1iAAB, type=Account}, PS_Sub_Region__c=Local Government LE}</t>
  </si>
  <si>
    <t>Hot Topic, Inc.</t>
  </si>
  <si>
    <t>CO signature pending.  CO is currently under review and being discussed between Flowserve and WD Services Exec.   As soon as CO has been signed I shall update DHP with new status &amp; closing details.  
Next Steps:
- CO to be reviewed &amp; signed by Flowserve.  In discussions with Flowserve &amp; Acc Exec.
- HMTA TIC &amp; IM Config. In progress - To be completed w/c 28/09/26 with Self Service availability
- IAT/UAT.  Postponed to w/c 05/10/2026 due to HMTA config delay and self service availability</t>
  </si>
  <si>
    <t>Flowserve have providied Security/AI questions to workday/Hiredscore that have/are being answered by the technical &amp; Product &amp; Legal teams.  Flowserve had their next Internal Approval board meeting on Tues 21st July but we are still awaiting a response after reaching out to the client. A scheduled meeting was also cancelled by the client due to resources being unavailable.</t>
  </si>
  <si>
    <t>Legal</t>
  </si>
  <si>
    <t>a3xVT0000008V6fYAE</t>
  </si>
  <si>
    <t>017VT0000GcCcGsYQK</t>
  </si>
  <si>
    <t>0018000000eMPv4AAG</t>
  </si>
  <si>
    <t>{Name=Compass Group USA, Inc., Industry=Restaurant &amp; Food Service, PS_Region_New__c=US Large Enterprise DI &amp; Mexico, attributes={url=/services/data/v62.0/sobjects/Account/0018000000eMPv4AAG, type=Account}}</t>
  </si>
  <si>
    <t>a0rVT000012PM0TYAW</t>
  </si>
  <si>
    <t>Both the Kainos and IonQ teams are working together to complete Q1 and Q2 history loads as soon as possible this week.  We are hoping for a parallel comparison report early this week to work through cycle 1.   We only have about 2 more weeks to complete this activity to stay on track for our Oct Go Live date. 
We will need to keep assessing this week on our progress to determine if go live date is at risk.</t>
  </si>
  <si>
    <t>We have started testing and the plan is to bring the additional time off plans in waves during the testing window.  These plans are being build directly in the E2E tenant to allow for quick and early access to test.  This work is for non-US EE and we are process payroll in WD for only US EEs.  The aim is to stay focused on the US population while working through these non- US EE in parallel aside our current SOW.</t>
  </si>
  <si>
    <t>a0pVT00000Cpi3OYAR</t>
  </si>
  <si>
    <t>a3xVT0000008WynYAE</t>
  </si>
  <si>
    <t>a0rVT00000iv7t3YAA</t>
  </si>
  <si>
    <t>Javan Robinson</t>
  </si>
  <si>
    <t>9/25: Go-live officially pushed to split go-live. Final CO draft sent for client approval.</t>
  </si>
  <si>
    <t>1. SAX team to confirm requirements for PSA and Integrations.
2. Workday to update configuration in the tenant.
3. Confirm if the go-live can stay intact based on current state in the timeline.</t>
  </si>
  <si>
    <t>a3xVT0000008X8TYAU</t>
  </si>
  <si>
    <t>Hubbell Incorporated</t>
  </si>
  <si>
    <t>25/9 Still waiting for Howden to make a formal decision to pause. We expect this to be communicated next week. In the interim a resource has been assigned on the Howden side to review collateral and prepare for the ARB approval which is a requirement/pre req to continue with the project and get their technical resourcing assigned.</t>
  </si>
  <si>
    <t>Escalate internally to Managing Partner so she can work with Howden Leadership on this item. Highlight to Customer PM that further delays will cause project timeline to be extended and will require a CO. Hoping this additional pressure will help to escalate the request internally at Howden to expediate the request approval and resource assignment.</t>
  </si>
  <si>
    <t>a3xVT0000008ZtRYAU</t>
  </si>
  <si>
    <t>{PS_Sub_Region__c=ME CB MFG, Name=pSemi Corporation (Inactive Account), SubRegion__c=US DI ME CB MFG West, attributes={type=Account, url=/services/data/v62.0/sobjects/Account/0011B00002CXUOSQA5}, Industry=High Technology, PS_Region_New__c=US Medium Enterprise DI}</t>
  </si>
  <si>
    <t>a0rVT00000vptzRYAQ</t>
  </si>
  <si>
    <t>Kenji Kobayashi</t>
  </si>
  <si>
    <t>September 8, 2026 Updated
Current Status &amp; Customer Feedback 
Account Executive and Consulting Manager continuously had discussion with BayCurrent. 
They had meeting with Chief Talent Officer and delivered a tailored demo leveraging Workday Extend.
The demo and Workday's mobile interface wad evaluated.
Plan to meet customer Chief Information Officer again and provide CTO's feedback to resume the Workday project.
---
August 24, 2026 Updated
Current Status &amp; Customer Feedback 
Account Executive and Consulting Manager continuously had discussion with BayCurrent's IT Head. 
We'd like to have appointment today but no responses from customer so far.
Parallel Action (secure resource for Extend Support) 
Once the decision is made to continue the project, it is anticipated that an additional proposal for Workday Extend will be required to meet the customer's requirements.
Since there are currently no available skilled resources in Japan, Consulting Manager plans to discuss future actions and resource allocation with the Tech Manager of the GSS team.
----
August 10, 2026 Updated
Current Status &amp; Customer Feedback 
Account Executive and Consulting Manager met with BayCurrent's IT Head. We emphasized the value of building a globally standard HR database from the outset to avoid future overhead costs associated with rebuilding HR databases down the line. While BayCurrent does not have an immediate timeline for global expansion, the IT Head is currently weighing whether to prioritize local-first optimization or a long-term global foundation.
Next Actions (Top-Down Approach) 
Our Country Manager and Regional Sales Director plan to engage with executive leaders superior to the IT Head to drive awareness around the importance of a global-first mindset and strategy.
Parallel Action (Benchmarking Support) 
In parallel, the Account Executive and Consulting Manager are gathering industry insights on Workday’s usage among other major consulting firms, with support from Alina (VIPER team). Once finalized, we will present anonymized and high-level benchmarks showing which Workday modules other consulting firms are leveraging.
-----
Executive Engagement (July 30): The sales team hada discussion with client executives.
Current Status: The client is re-evaluating Workday's role within their system strategy and blueprint.
Next Steps &amp; Support: Sales is closely supporting customer by providing required information and insights to make them decision.
Project Decision: The choice to cancel or resume the project is pending, with a target decision date set for the end of August.</t>
  </si>
  <si>
    <t>Currently under consideration</t>
  </si>
  <si>
    <t>a3xVT0000008bX3YAI</t>
  </si>
  <si>
    <t>017VT0000GuQddmYQC</t>
  </si>
  <si>
    <t>Patrick Savage</t>
  </si>
  <si>
    <t>Payroll Parallel Cycle 1 successfully completed and started Payroll Cycle 2.   Change order with new timeline and additional cost approved by City Council on 9/21.   Change Order to be signed.</t>
  </si>
  <si>
    <t>The following has to be completed to move the project to green:  
1) Complete E2E Testing by 8/14
2) Sign-off on Change Order  by 9/14.  The Change Order will require City Council approval at the 9/14 meeting.</t>
  </si>
  <si>
    <t>a3xVT0000008cOHYAY</t>
  </si>
  <si>
    <t>a0rVT00000oRiwFYAS</t>
  </si>
  <si>
    <t>{PS_Region_New__c=US Healthcare, Industry=Acute Hospital / Health System, Name=AHS Management Company, Inc., attributes={type=Account, url=/services/data/v62.0/sobjects/Account/0018000000esTY1AAM}}</t>
  </si>
  <si>
    <t>Worker Data migration to PROD is in progress. 75% completion.
PATT config&amp;data migration is in progress by US based consultants.
Add partner resource to fulfill report creation needs.
No significant issues so far.
HCM/TLO/REC configuration migration is under consideration.
Secure consultant resources to perform this area from partner and in progress of scheduleA contract.
Plans to have exec committee around the end of Sep or early Oct.
will discuss customer PM about the schedule of exec committee next week.</t>
  </si>
  <si>
    <t>Re-schedule feasible plan to meet customer's schedule requirement and describe that plan to CHRO to get approval.</t>
  </si>
  <si>
    <t>Deployment Resources;Project Management/Methodology</t>
  </si>
  <si>
    <t>017VT0000GuPR68YQG</t>
  </si>
  <si>
    <t>a3xVT0000008cUjYAI</t>
  </si>
  <si>
    <t>0018000000euZRxAAM</t>
  </si>
  <si>
    <t>{PS_Region_New__c=US Large Enterprise DI &amp; Mexico, Industry=Other Retail, attributes={type=Account, url=/services/data/v62.0/sobjects/Account/0018000000euZRxAAM}, Name=Aristocrat Technologies, Inc.}</t>
  </si>
  <si>
    <t>Telstra AIROC meeting on September 2nd - more questions were raised--&gt; additional AIROC meeting on October - Bryan is gathering answers</t>
  </si>
  <si>
    <t>HS-001 and HS-002 - would a meeting with product legal team from workday with AIROC / Data &amp; AI any other Telstra team help ? If so, please share availability so I can coordinate this. 
HS-003 - This item is on Telstra's end I believe, the data center is in Germany, also as listed in the SOW. 
HS-004 - Support model in Israel - Waiting for Telstra's approvals.
HS-005 - Control plane - Action items are on Telstra's end. 
HS-006 - A demand for middleware with new APIs requires a new SOW, effects the project timeline, cost, testing, performance etc. Telstra needs to decide how to proceed and whether this is a project blocker. 
HS-007- Splunk integration discussion was done and HiredScre team shared what is possible from our end. Telstra's decision is hanging. 
HS-008 - Purging data as it arrives to HiredScore - Telstra's decision in hanging.</t>
  </si>
  <si>
    <t>Hukl Investments</t>
  </si>
  <si>
    <t>Architect / Design;Product  Related;Legal</t>
  </si>
  <si>
    <t>a3xVT0000008dLxYAI</t>
  </si>
  <si>
    <t>017VT0000GuPX07YQG</t>
  </si>
  <si>
    <t>a0rVT000017d7NbYAI</t>
  </si>
  <si>
    <t>a0pVT00000Cq7UjYAJ</t>
  </si>
  <si>
    <t>9/28 - All worker data uploaded in IMPL2 by 9/24. Started Data Validation on 09/25 and planned to end by 10/02. E2E starts on 10/05 and sign-off is planned by 10/30. GL accounts will not be provided by 09/18 and Workday informed the risks of this to Alamar. Raised again the concern of Alamar's lean team and the lift that DV and E2E represents, if they don't add more people, they will not be able to sign-off on time and the MTP will need to be pushed.</t>
  </si>
  <si>
    <t>0018000000kuQgpAAE</t>
  </si>
  <si>
    <t>We did not received company and worker data on time so the timeline is already delayed. Moving back to green at this point does not look feasible, specially with the difficulties from the customer to complete the creation of GL accounts and the LEAN team they have to accomplish things on time.</t>
  </si>
  <si>
    <t>{Name=Dade County School District, attributes={url=/services/data/v62.0/sobjects/Account/0018000000kuQgpAAE, type=Account}, Industry=Education (K-12), PS_Region_New__c=US SLED}</t>
  </si>
  <si>
    <t>a3xVT0000008fqnYAA</t>
  </si>
  <si>
    <t>a0rVT00000eAqD0YAK</t>
  </si>
  <si>
    <t>{PS_Sub_Region__c=Higher Education LE, Name=Board of Regents of the University System of Georgia by and on behalf of Augusta University, attributes={type=Account, url=/services/data/v62.0/sobjects/Account/0018000000O9AIxAAN}, SubRegion__c=US Higher Ed LE East, Industry=Higher Education, PS_Region_New__c=US SLED}</t>
  </si>
  <si>
    <t>Lisa Winer</t>
  </si>
  <si>
    <t>1. Michels has begun yet another effort to reduce the number of deductions they have - while this is a good decision, and was one we suggested 6 months ago,  Unfortunately we will need to do some rework if this happens, at least 3 to 4 weeks of rework- this will put our go live date at jeopardy.  
a communication has been sent to Julie and Leslee about this impacts and we need to meet with them to talk through the impacts 
2. we have also discovered that much of the configuration did not migrate over to the end to end tenant,  we are currently reviewing with team to get a root cause</t>
  </si>
  <si>
    <t>1. Immediately address performance issues by assessing if more resources need to be added to tenant
2. Further engage payroll product team to advise us on additional design and configuration changes needed to optimize payroll
3. update/create configuration in End to end tenant with a target of being ready for the start of End to End testing on 9/7/26</t>
  </si>
  <si>
    <t>017VT0000GuPR5zYQG</t>
  </si>
  <si>
    <t>Architect / Design;Product  Related</t>
  </si>
  <si>
    <t>a0rVT00001DXDrJYAX</t>
  </si>
  <si>
    <t>a3xVT0000008fxFYAQ</t>
  </si>
  <si>
    <t>0018000000hEV60AAG</t>
  </si>
  <si>
    <t>Beatriz Fernandez</t>
  </si>
  <si>
    <t>{PS_Region_New__c=US FSI, attributes={type=Account, url=/services/data/v62.0/sobjects/Account/0018000000hEV60AAG}, Industry=Investment Management, Name=ORIX Corporation USA}</t>
  </si>
  <si>
    <t>a0rVT00001Co3CzYAJ</t>
  </si>
  <si>
    <t>Path to Green: Prioritize E2E payroll-impacting scenarios by 7/28 to ensure resolutions before Payroll Parallel starts on 7/29. Remaining non-payroll scenarios run concurrently with Payroll Parallel. Sign-offs due 8/14, 8/21.
9/25/26: Signed on MTP for Sunday, 9/27 at 9am PT. On track as green.
9/17/26: Issues have been resolved. We are on track and green.
9/8: On track per revised schedule. Gold build 8/24 thru 10/2. Pending MTP Sign-Off due 9/8. 
8/24: On track: Test Stage Sign-Off &amp; Payroll Sign-Off received. Gold build started 8/24. 
8/17: On track: E2E Sign-Off received on schedule 8/14. Upcoming milestones: 8/21 Payroll &amp; MTP signoff. E2E testing 90% executed, 90% passed. Payroll Cycle1 Signed Off. Cycle 2 In Progress, due for sign-off 8/21.
8/10: On track: due to Steering Committee leadership support for CP team to adhere to revised test schedule which re-aligns to timeline.  Upcoming milestones: 8/14 E2E signoff, 8/21 Payroll &amp; MTP signoff. E2E testing 83% executed, 79% passed. Payroll Cycle1 99% variance. Cycle 2 starts 8/12.
8/3: On Track: Completed payroll-impacting scenarios. Payroll parallel started on schedule 7/29.  80% e2e tests complete. Custom scenarios provided. During 8/3 Steering Committee presented progress with CP adherance to revised test schedule. 
7/24: On Track: adherence to revised test schedule is helping us regain momentum to align to our project timeline. Payroll-Impacting Scenarios 87% Executed. On track to start parallel testing 7/29.
7/17: Leadership agreed to the following revised milestones; Complete Payroll-impacting scenarios by 7/28, Complete/Sign-Off E2E by 8/14, Complete/Sign-Off Payroll by 8/21, with MTP Signoff on 8/21.</t>
  </si>
  <si>
    <t>Mitigation Plan alongside each Risk:
1) E2E Testing:  behind schedule (extended to 8/14). Prioritzing payroll-impacting scenarios  by 7/27 to recover..
2) Custom Scenarios: need unique CP business process  validations; prioritizing  E2E custom scenarios to recover (by 7/31 need commitment of due date)
3) Scope Control: mitigate new/changing requirements by deferring non-critical features to Post Go-Live.</t>
  </si>
  <si>
    <t>iHerb, LLC</t>
  </si>
  <si>
    <t>a3xVT0000008iiDYAQ</t>
  </si>
  <si>
    <t>017VT0000GuRFOCYQ4</t>
  </si>
  <si>
    <t>a0rVT000012TrdcYAC</t>
  </si>
  <si>
    <t>a0rVT00001DXDrKYAX</t>
  </si>
  <si>
    <t>Ryan Davis</t>
  </si>
  <si>
    <t>a0pVT00000Cq2MzYAJ</t>
  </si>
  <si>
    <t>0018000000rNnrYAAS</t>
  </si>
  <si>
    <t>{PS_Region_New__c=US Healthcare, Industry=Acute Hospital / Health System, Name=Valley Children's Healthcare, attributes={url=/services/data/v62.0/sobjects/Account/0018000000rNnrYAAS, type=Account}}</t>
  </si>
  <si>
    <t>9/28/26- Team continues to work through open test cases - nearing completion of the End to End testing with Ampirical.  We will then start the Parallel Testing.
9/22/26 - Change Order is being prepared for the extension detailing the additional actions required to complete the current scope.
9/14/26 - Team continues to test solution while we work through the recruiting  scope.  Testing and error resolution continue to move forward toward 9/28 e2e signoff.
9/8/26 - Working with or CBAE to confirm Change Order.  Scoping confirmation and next steps to be confirmed for change order to be signed.
8/31/26 - We have met with the recruiting team to determine what can be pulled out and what can be accommodated in the project.  We are also looking at the items that were to start in Phase 2 to see what can be included (advanced comp and LMS)
8/25/26 Change order for extension has been requested and is being developed for signature.  
8/18/26 - Working with the team to rework the timeline for a 1/1/27 go live.  Testing is progressing; but too many open items to complete by 10/1 - definitely moving timeline.
8/12/26 -  Updating timeline with move to 1/1  to give additional time to test and complete some additional scope deemed critical to the success of the project.
8/3/26 - 3Link consultant continue to monitor and assist with testing where ever makes sense to keep the project moving forward.
We have brought key delivery players to assist with scoping questions and met internally to establish next steps to keep the project moving forward.  Concerns that we are not completing testing within timeline guidelines will impact Go Live dates.</t>
  </si>
  <si>
    <t>8/25/26  Decision to move to 1/1/27 is confirmed.  PM will be updating scorecard to reflect the new dates.  
8/12/26  currently looking at options for a 1/1 go live.  Testing is uncovering additional scope items that need be included before Go Live.
8/3/26 continue internal review to determine what can be expedited in testing to keep the overall project  on track.  May have to do some End to End and Parallel testing at the same time to keep the deadline.  Recruiting seems to still be the source of delay.
7/30/26 - Functional consultants working with Ampirical team to make and document minimal changes that can be made prior to Go Live and helping clarify recommended actions for post go live modifications to the processes to meet Ampirical needs.</t>
  </si>
  <si>
    <t>{PS_Sub_Region__c=Diversified Industries LE NN, SubRegion__c=US DI LE NN MFG West, attributes={type=Account, url=/services/data/v62.0/sobjects/Account/0013000000InzdUAAR}, PS_Region_New__c=US Large Enterprise DI &amp; Mexico, Industry=Consumer Goods, Name=Shamrock Foods Company}</t>
  </si>
  <si>
    <t>017VT0000GcCd9dYQC</t>
  </si>
  <si>
    <t>a3xVT0000008j4nYAA</t>
  </si>
  <si>
    <t>a0rVT00000hp8UlYAI</t>
  </si>
  <si>
    <t>0018000000iTJ0AAAW</t>
  </si>
  <si>
    <t>Shane Verheyen</t>
  </si>
  <si>
    <t>{Name=CHRISTUS Health, PS_Region_New__c=US Healthcare, attributes={type=Account, url=/services/data/v62.0/sobjects/Account/0018000000iTJ0AAAW}, Industry=Acute Hospital / Health System}</t>
  </si>
  <si>
    <t>9/14 Plan &amp; Prepare phase week 2 in progress</t>
  </si>
  <si>
    <t>9/25- Integrations went RED. FIN workstream continues to try to introduce scope in advance of 10/9 PRE-PROD configuration freeeze. RCH Sponsors need to contain the scope and manage their go-live risk.
NEED WORKDAY READINESS TEAM TO ENGAGE</t>
  </si>
  <si>
    <t>2x weekly Sponsor check-ins in addition to  existing governance channels.</t>
  </si>
  <si>
    <t>017VT0000GuPjaTYQS</t>
  </si>
  <si>
    <t>a0rVT00001DXDw9YAH</t>
  </si>
  <si>
    <t>ILLAWARRA RETIREMENT TRUST (ABN: 52 000 726 536)</t>
  </si>
  <si>
    <t>a3xVT0000008jJJYAY</t>
  </si>
  <si>
    <t>a0r4X00000ETWjXQAX</t>
  </si>
  <si>
    <t>{attributes={type=Account, url=/services/data/v62.0/sobjects/Account/0018000000mKwxKAAS}, Name=Towne Park, LLC, Industry=Business Services, PS_Region_New__c=US Large Enterprise DI &amp; Mexico}</t>
  </si>
  <si>
    <t>ANZ Education / Healthcare</t>
  </si>
  <si>
    <t>a0pVT00000CpsHCYAZ</t>
  </si>
  <si>
    <t>ANZ Healthcare</t>
  </si>
  <si>
    <t>Awaiting response from the customer by end of October 2026; it is not yet October 2026;
Referred to SE for visibility;
No changes.</t>
  </si>
  <si>
    <t>Agree with WIP a new start date and plan for finalising implementation of Expenses functionality, 2 Credit Card integrations and the integration between WD Expenses and MS Dynamics Financial system.</t>
  </si>
  <si>
    <t>Change Management / User Adoption;Customer Exec Sponsorship</t>
  </si>
  <si>
    <t>017VT0000GcCcIlYQK</t>
  </si>
  <si>
    <t>a3xVT0000008m7VYAQ</t>
  </si>
  <si>
    <t>a0rVT00001DXDxlYAH</t>
  </si>
  <si>
    <t>a0rVT00000gHLfuYAG</t>
  </si>
  <si>
    <t>{PS_Sub_Region__c=FSI ME CB, SubRegion__c=US FSI ME CB South, Name=Gables Residential Services, Inc., PS_Region_New__c=US FSI, attributes={url=/services/data/v62.0/sobjects/Account/0018000000ogrXtAAI, type=Account}, Industry=Investment Management}</t>
  </si>
  <si>
    <t>{Industry=Acute Hospital / Health System, attributes={type=Account, url=/services/data/v62.0/sobjects/Account/0018000000mManiAAC}, PS_Region_New__c=US Healthcare, Name=Rochester Regional Health}</t>
  </si>
  <si>
    <t>Discussions with Cohen regarding the Change Order scope are ongoing, with requirements now expanded to include Ireland and India. No ETA on when we can expect sign off on the CO.</t>
  </si>
  <si>
    <t>1. Re-baseline DCDD delivery dates and secure firm commitments.
2. Confirmation from client on realistic go live date so the timeline can be re-baselined.</t>
  </si>
  <si>
    <t>Customer Resources;Integration;Scope Management</t>
  </si>
  <si>
    <t>017VT0000GcCcH7YQK</t>
  </si>
  <si>
    <t>a3xVT0000008pWnYAI</t>
  </si>
  <si>
    <t>{PS_Region_New__c=US Healthcare, attributes={type=Account, url=/services/data/v62.0/sobjects/Account/0018000000mMiSoAAK}, Industry=Acute Hospital / Health System, Name=Essentia Health}</t>
  </si>
  <si>
    <t>As of 23rd Sept: Nav Canada has signed off testing and we are proceeding to move to production. There has been a further 1 week delay due to client resources being unavailable last week. They have also yet to agree to a CR so I've escalated internally and we are looking to schedule a session with their sponsor to get a CR to account for the additional time signed and confirmed.</t>
  </si>
  <si>
    <t>Client informed us this week they wont be making a decision until their project sponsor returns from vacation and they engage with the workday account manager /sales on go-live options and concessions. In addition, there is a delay in signing off UAT testing due to summer vacation, general resource limitations and an internal process they follow when signing off testing. As a result of these factors we will be pushing towards a re plan and change order to account for the delays caused by these factors as they are predominantly on the client side.</t>
  </si>
  <si>
    <t>Customer Resources;Product  Related;Testing</t>
  </si>
  <si>
    <t>017VT0000GcCdBTYQ0</t>
  </si>
  <si>
    <t>a3xVT0000008pYPYAY</t>
  </si>
  <si>
    <t>0018000000nlnwEAAQ</t>
  </si>
  <si>
    <t>{Name=Coöperatieve Rabobank U.A, Industry=Banking &amp; Capital Markets, PS_Region_New__c=EMEA North, attributes={url=/services/data/v62.0/sobjects/Account/0018000000nlnwEAAQ, type=Account}}</t>
  </si>
  <si>
    <t>9/24- project on hold</t>
  </si>
  <si>
    <t>ImmunityBio, Inc.</t>
  </si>
  <si>
    <t>a0pVT00000CpoOxYAJ</t>
  </si>
  <si>
    <t>Alberto is following up with the client until they sign the CO.
Gwen Kuhns will folllow up with them.</t>
  </si>
  <si>
    <t>a3xVT0000008qhNYAQ</t>
  </si>
  <si>
    <t>Sara Davies</t>
  </si>
  <si>
    <t>017VT0000GcCcG9YQK</t>
  </si>
  <si>
    <t>US DI ME NN TM West</t>
  </si>
  <si>
    <t>a0rVT00001DXE4DYAX</t>
  </si>
  <si>
    <t>New FC has been assigned and onboarding completed. KION has been advised. 
There were issues on a client call Sep 16 which led to their concern about lack of alignment - Kainos EM working with IA and FC.
Moved G2G date from Sep 18 to Oct 2 until ways of working are clear .</t>
  </si>
  <si>
    <t>Workday to assign Functional and Technical consultants to the project - WD Architect has confirmed that he is able to cover the design sessions until end of Aug (this is determining the target GtG date) including the first 2 technical sessions but after that would need the. rest of the team.</t>
  </si>
  <si>
    <t>{Industry=Acute Hospital / Health System, attributes={type=Account, url=/services/data/v62.0/sobjects/Account/0018000000nlyeSAAQ}, Name=Westchester County Health Care Corporation d/b/a Westchester Medical Center Health Network, PS_Region_New__c=US Healthcare}</t>
  </si>
  <si>
    <t>a3xVT0000008r0jYAA</t>
  </si>
  <si>
    <t>a0rVT00000ojgD3YAI</t>
  </si>
  <si>
    <t>017VT0000GuRSGAYQ4</t>
  </si>
  <si>
    <t>No Meeting with client, no response to requests to meet.  Prepping a change order to explain delta in budget and time to client for impact to wave 1 which is supposed to go live back on 4/10/2026</t>
  </si>
  <si>
    <t>a0rVT00001DXE5pYAH</t>
  </si>
  <si>
    <t>Flex Team to evaluate how much more time is needed to perform E2E Testing and Sandbox Validation as input into replan.
Workday Team to evaluate effort to include newly acquired EP2 into Wave 1 go live as input into replan.
Flex and Workday team to agree on revised timeline and sign change order to formalize.</t>
  </si>
  <si>
    <t>{PS_Sub_Region__c=Healthcare ME, Industry=Post Acute, attributes={type=Account, url=/services/data/v62.0/sobjects/Account/001VT00000b2dOCYAY}, PS_Region_New__c=US Healthcare, SubRegion__c=US Healthcare ME NN West, Name=MBK Senior Living}</t>
  </si>
  <si>
    <t>0018000000ohFmDAAU</t>
  </si>
  <si>
    <t>a3xVT0000008sHlYAI</t>
  </si>
  <si>
    <t>{PS_Region_New__c=US FSI, Name=The Golden 1 Credit Union, Industry=Banking &amp; Capital Markets, attributes={url=/services/data/v62.0/sobjects/Account/0018000000ohFmDAAU, type=Account}}</t>
  </si>
  <si>
    <t>a0rVT000013PlrIYAS</t>
  </si>
  <si>
    <t>Deepthi Venkatesh</t>
  </si>
  <si>
    <t>28th September: Data load continues in the week of 28 Sep. Data reconciliation for all data loaded prior to 25th Sep to be completed by 2nd October. Replanning in progress for catch up transactions.</t>
  </si>
  <si>
    <t>Deployment continues to trend due to lack of progress in Data conversion. Workday now have 3 resources supporting DC to expedite process. Progress will be reviewed by end of September to determine if MTP should be changed.</t>
  </si>
  <si>
    <t>017VT0000GuQ8roYQC</t>
  </si>
  <si>
    <t>a3xVT0000008sknYAA</t>
  </si>
  <si>
    <t>a0rVT00001DwATiYAN</t>
  </si>
  <si>
    <t>0018000001KdJKpAAN</t>
  </si>
  <si>
    <t>Natalie Foster</t>
  </si>
  <si>
    <t>{PS_Region_New__c=US Medium Enterprise DI, Industry=Business Services, Name=Covenant Aviation Security, LLC, attributes={url=/services/data/v62.0/sobjects/Account/0018000001KdJKpAAN, type=Account}}</t>
  </si>
  <si>
    <t>Impact Tech, Inc.</t>
  </si>
  <si>
    <t>PCT cycle 1 and E2E cycle 2 started last week. PCT had steady progress, however E2E execution is lower than expected and at risk for completing by the deadline. State continues to be challenged with limited resources. Help discovery/design meetings for LCD to better understand the requirements and start refining the solution.</t>
  </si>
  <si>
    <t>We are working with the State on action plan to address testing progress as well as options for the necessary integrations for go-live.</t>
  </si>
  <si>
    <t>017VT0000GcCcEnYQK</t>
  </si>
  <si>
    <t>a3xVT0000008taPYAQ</t>
  </si>
  <si>
    <t>a0rVT00001DXE5rYAH</t>
  </si>
  <si>
    <t>a0rVT00000tbyn7YAA</t>
  </si>
  <si>
    <t>Harry Hirsch</t>
  </si>
  <si>
    <t>0018000001NWKuYAAX</t>
  </si>
  <si>
    <t>{Industry=Lodging &amp; Resorts, attributes={url=/services/data/v62.0/sobjects/Account/0018000001NWKuYAAX, type=Account}, PS_Region_New__c=US Medium Enterprise DI, Name=Virgin Cruises Intermediate Limited}</t>
  </si>
  <si>
    <t>To mitigate and reduce current risk levels, the following actions are recommended:
Increase client-side resources to support Linette and Carlos in accelerating critical work.
Significantly expand E2E test scenario execution and defect resolution ownership on the client team.
Initiate Talent E2E testing scenarios on the client side without further delay.
Finalize and obtain formal sign-off on Recruiting requirements as a prerequisite to beginning Recruiting E2E testing (which has not yet started). Note: No legacy ATS integration is in scope as a contingency for Workday Recruiting readiness.
These actions should be prioritized immediately to stabilize the 10/1 go-live trajectory and address the elevated defect and readiness risks.</t>
  </si>
  <si>
    <t>a0pVT00000Cq4i9YAB</t>
  </si>
  <si>
    <t>a3xVT0000008tnJYAQ</t>
  </si>
  <si>
    <t>a0rVT000011mhKzYAI</t>
  </si>
  <si>
    <t>Katja Buckley</t>
  </si>
  <si>
    <t>017VT0000GuRSGDYQ4</t>
  </si>
  <si>
    <t>Keeping this project red. Customer still has no AMS support. We have agreed to pause the project until 9/30 to provide hypercare from 10/1 - 10/13</t>
  </si>
  <si>
    <t>Need executive decision from Robert (Circet) on how we proceed. Go live of 31 August is at risk as we have not been able to start Gold Build.
Call on Monday 14 September 2026 for Volker and Circet Sponsor to align on post go live support.</t>
  </si>
  <si>
    <t>a0rVT00001DXE7RYAX</t>
  </si>
  <si>
    <t>Change Management / User Adoption;Customer Exec Sponsorship;Customer Resources</t>
  </si>
  <si>
    <t>{Industry=Auto Manufacturing, Name=Lear Corporation, PS_Sub_Region__c=Diversified Industries LE NN, attributes={url=/services/data/v62.0/sobjects/Account/0013000000KydPXAAZ, type=Account}, SubRegion__c=US DI LE NN MFG Central, PS_Region_New__c=US Large Enterprise DI &amp; Mexico}</t>
  </si>
  <si>
    <t>a3xVT0000008uzVYAQ</t>
  </si>
  <si>
    <t>0018000000ohFn5AAE</t>
  </si>
  <si>
    <t>a0rVT00000w79BhYAI</t>
  </si>
  <si>
    <t>Joanne Hazlerig</t>
  </si>
  <si>
    <t>9/28 - Project began on 9/21. Currently in the p&amp;P stage</t>
  </si>
  <si>
    <t>{PS_Region_New__c=US Healthcare, Industry=Acute Hospital / Health System, attributes={type=Account, url=/services/data/v62.0/sobjects/Account/0018000000ohFn5AAE}, Name=TMC Healthcare}</t>
  </si>
  <si>
    <t>9/28 - Client decision on MVP for 1/1/2027 Go Live made and replanning is in progress.   FINS workstreams are ramping back up after extended pause.
9/22 - Decision pending on revised FINS phased go live approach - next review 9/23 and decision pending 9/25.
9/16 - FINS still paused at client request - leadership meeting scheduled for 9/18 to discuss path forward.
9/9 - FINS still paused at client request and pending timeline alignment for 2027 deployment.
8/31 - HCM/PATT on track for December deployment - Customer and Cognizant teams working on replanning for FINS go live
8/24 - Re-estimation in process
8/17 - Decision made to move FINS go live to 7/2027 - replanning in process
8/11 - Started review of the Financial Punchlist items, meetings scheduled for today and Thursday.</t>
  </si>
  <si>
    <t>Mitigation being considered includes - 
1.  Extend E2E Timeline by overlapping the E2E testing for Financials with Payroll Parallel Cycle This will extend E2E testing for Financials by 4 weeks, from 9/11 to 10/9.
2.  Confirm Client Resource availability for executing E2E testing.  Assign specific test cases to each resource.      Monitor test execution by resource to verify resources are committed.
 3. Confirm Financial Data Conversion tracker resources for extracting legacy data, their availability, and due dates. 
4. Resolve the Financial Punchlist open decisions and issues. documented in Financial Punchlist.</t>
  </si>
  <si>
    <t>a3xVT0000008x69YAA</t>
  </si>
  <si>
    <t>Inari Agriculture, Inc.</t>
  </si>
  <si>
    <t>017VT0000GcCdBuYQK</t>
  </si>
  <si>
    <t>a0rVT000016SjhPYAS</t>
  </si>
  <si>
    <t>a0rVT00001DXE93YAH</t>
  </si>
  <si>
    <t>Kris Simshauser</t>
  </si>
  <si>
    <t>0018000000ohFndAAE</t>
  </si>
  <si>
    <t>Consent is now at 94%. Project to come off AMBER when data is received on 7th September 2026</t>
  </si>
  <si>
    <t>{Name=United Refining Company, PS_Region_New__c=US Large Enterprise DI &amp; Mexico, attributes={type=Account, url=/services/data/v62.0/sobjects/Account/0018000000ohFndAAE}, Industry=Food &amp; Drug}</t>
  </si>
  <si>
    <t>Actions:
* Expedite confirmation and execution of the individual consent process
* Confirm the impacted population and expected completion date
* Assess whether alternative approved approaches can enable earlier access to required data
* Revalidate the project critical path once data availability is confirmed
* Assess whether additional resources, sequencing changes or schedule adjustments are required to mitigate the increased risk
* Maintain YELLOW status until there is sufficient confidence that the data, testing and deployment activities can be completed within the agreed go-live timeline</t>
  </si>
  <si>
    <t>Change Management / User Adoption;Customer Resources;Deployment Resources;Testing;Legal</t>
  </si>
  <si>
    <t>a3xVT0000008ydJYAQ</t>
  </si>
  <si>
    <t>9/22/2026 - Plymouth is live on Workday.  Team is still working through a few issues with INT and mobile access and payroll accounting.  Workday team on site next week for the first payroll in Workday.</t>
  </si>
  <si>
    <t>017VT0000GcCcLEYQ0</t>
  </si>
  <si>
    <t>a0pVT00000Cq1HGYAZ</t>
  </si>
  <si>
    <t>Adding additional consulting resources to help build Customers' confidence in Workday through targeted KT and support. Leveraging the RAIDQ to manage Risks and Issues.  Establishing mitigation strategies where needed.  Team is focused on only Day One Critical items for Go Live.  All Post Go Live items are being documented on the Cutover Checklist.  Project will likely Go Live and still be red.  The mitigation strategy is to continue testing, address as much as possible when Gold is available.  Strong Post Production support will continue for 6 week after Go Live.</t>
  </si>
  <si>
    <t>0018000000oj6HlAAI</t>
  </si>
  <si>
    <t>a3xVT0000008zHdYAI</t>
  </si>
  <si>
    <t>{Industry=Consumer Goods, PS_Region_New__c=UKI, attributes={url=/services/data/v62.0/sobjects/Account/0018000000oj6HlAAI, type=Account}, Name=Bakkavor Fresh Foods Limited}</t>
  </si>
  <si>
    <t>a0rVT00000QEOTNYA5</t>
  </si>
  <si>
    <t>Dj Petrovic</t>
  </si>
  <si>
    <t>SteerCo aligned with extending SIT until 11/30. Time Tracking issues within Workday, Smart Square and Kaba are causing showstoppers for the program, team is now working through alternatives that will be presented to SteerCo on 10/2.</t>
  </si>
  <si>
    <t>{PS_Sub_Region__c=Diversified Industries LE NN, Industry=Auto Manufacturing, SubRegion__c=US DI LE NN MFG Central, Name=Lear Corporation, PS_Region_New__c=US Large Enterprise DI &amp; Mexico, attributes={url=/services/data/v62.0/sobjects/Account/0013000000KydPXAAZ, type=Account}}</t>
  </si>
  <si>
    <t>Develop a plan to complete remaining open items, and provide a workaround through Extend to solve the TT issue, Entire outstanding scope will be analyzed with an action plan to review with all stakeholders and present the new approach to the SteerCo. Action plan is in progress ETA 9/30</t>
  </si>
  <si>
    <t>017VT0000GcCdAzYQK</t>
  </si>
  <si>
    <t>Integration;Product  Related;Testing</t>
  </si>
  <si>
    <t>a0rVT00001DXECHYA5</t>
  </si>
  <si>
    <t>a3xVT0000008zUXYAY</t>
  </si>
  <si>
    <t>a0rVT00000WqXbvYAF</t>
  </si>
  <si>
    <t>0018000000oj6QnAAI</t>
  </si>
  <si>
    <t>{Name=NATS Holdings Ltd., attributes={type=Account, url=/services/data/v62.0/sobjects/Account/0018000000oj6QnAAI}, Industry=Air Transportation, PS_Region_New__c=UKI}</t>
  </si>
  <si>
    <t>Independence Pet Group, Inc.</t>
  </si>
  <si>
    <t>8/14 Reprioritization of integrations and removal from scope for some integrations where work can be done manually has been completed. Working on tracker updates and Change Order. Daily status will begin next week.
8/21 some integration updated approved by client. Progress on some of the client roadblocks has been made.  Daily check in to review progress on client work. Cognizant will help with testing of integrations next week.
8/28 Cognizant integration testing began this week after initial planning and meetings.  Tracker has been reprioritized for the integrations needed to Payroll Parallel at the end of September. Some blockers have been resolved.
9/4 Only one batch of integrations remain red and progress has been made. Blockers have been escalated to leadership to help resolve. Integrations testing has begun.
9/11 Progress has been made on integration blockers, however testing has moved to one person and needs to make progress.  Determines there are a few more weeks before integrations for pay parallel are needed.
9/18 All but 4 integrations are in Smoke testing or test ready. Bringing a second resource to help with integration testing to return to green.
9/25 41% of integration tests (for those needed at go live) have been completed with 10 of the 24 integrations having completed E2E testing. All integrations needed to run during Payroll Parallel will have testing completed by that time.</t>
  </si>
  <si>
    <t>Gannon to determine a list of non-priority integrations that will not be part of Go Live on 12/18/2026 -COMPLETED
Batches need to be reordered in the Integration Tracker -IN PROGRESS
Prioritized Batch list moves back to green in Integration Tracker
Cognizant to document removal/transfer/extension of integrations Change Order - IN PROGRESS
Gannon to execute Change Order
Gannon to provide daily updates demonstrating progress on outstanding items - To begin next week</t>
  </si>
  <si>
    <t>017VT0000GuRTU1YQO</t>
  </si>
  <si>
    <t>a0rVT00001DXEDuYAP</t>
  </si>
  <si>
    <t>a3xVT000000908rYAA</t>
  </si>
  <si>
    <t>0018000000ok2SiAAI</t>
  </si>
  <si>
    <t>Debby Morrissey</t>
  </si>
  <si>
    <t>{attributes={type=Account, url=/services/data/v62.0/sobjects/Account/0018000000ok2SiAAI}, Industry=Consumer Goods, PS_Region_New__c=US Medium Enterprise DI, Name=Johnsonville Sausage, LLC}</t>
  </si>
  <si>
    <t>25SETP: $0 change order in process for extension.  Customer is feeling a new integration is not required.  Sustaining yellow until CO is complete and forward progress on the Kyriba testing
18SEPT: Will provide a $0 CO for the extension; project to cover.  Awaiting requirements and if need a new integration, which would need to be charged as new to scope (80 hours estimated.)  Team is still working out if a new remittance integration would be required.   Keeping yellow due to continued uncertainties around Kyriba settlements, testing, and resourcing.  Escalations are occurring. If we do not have commitment and banks lined up by end of Sept the timeline of Dec 7 is at risk.   Existing workday integrations and configuration in good place except for the outstanding bank details, and not receiving "all files" from citibank on expense transactions. 
10SEPT: CO draft ready, awaiting confirmation if additional integration will be required.  Andy (Sponsor) wants to discuss the extension CO with Teresa and Matt - they are informed and an internal connect was held for background.  Once CO is signed will turn back to Green, as the extra timeline provides time to resolve issues.
* Citi - only outstanding now is access to the India files - being actively worked
* BCD inbound in testing
* Treasury config updates by GEN team in progress
* Kyriba is the main concern (out of Workday scope.) 
* E2E going well. 75%passed; outstanding are new ones added for custom report validations and integration runs
04SEPT : extension for a Dec 7 golive requested by Genesys.  Draft CO in progress, waiting to see if also need to add in a new integration to scope before we have final numbers.  
The extension will relieve the pressure on the other integrations and testing.  Will move to Green once CO is signed and forecasts updated.
28AUG: discussions underway for delay until December.   Also discussions on alignment on Workday scope (Treasury/Settlement items under contention.)  More files have been coming from Citi, still awaiting Japan or Korea files.   More concern is on the Treasury/Settlement updates and the integration with Kyriba and testing.  Banks are slow to respond for need of a testing environment and resources.    There is also a potential to add in a new integration</t>
  </si>
  <si>
    <t>017VT0000GuPFHqYQO</t>
  </si>
  <si>
    <t>* Continue to escalate with Citibank on timeline turnaround, files, and explanations
* Extend E2e for 2 weeks - this will currently not impact go-live as we had a 3 week 'down' window between deploy and go live.  
* If not confirmed and resolved By Sept 21 we may need to look at other options for golive</t>
  </si>
  <si>
    <t>a0rVT00001DXEDvYAP</t>
  </si>
  <si>
    <t>a3xVT00000091jFYAQ</t>
  </si>
  <si>
    <t>0018000000pPEF8AAO</t>
  </si>
  <si>
    <t>a0rVT000016WNdUYAW</t>
  </si>
  <si>
    <t>a0pVT00000Cq60nYAB</t>
  </si>
  <si>
    <t>{Industry=Amusement &amp; Recreation, PS_Region_New__c=HK &amp; TW, Name=The Hong Kong Jockey Club, attributes={url=/services/data/v62.0/sobjects/Account/0018000000pPEF8AAO, type=Account}}</t>
  </si>
  <si>
    <t>Ben Manko</t>
  </si>
  <si>
    <t>For SSA, teams are targeting an August 28 go-live for prioritized read-only tools while write-tool issues are triaged. For Sana Enterprise, the team must first map key use cases against the upcoming Agent roadmap to prevent duplicate effort; completing this strategic alignment will allow GEV to confidently proceed with connector enablement and agent development.</t>
  </si>
  <si>
    <t>017VT0000GuRUd1YQG</t>
  </si>
  <si>
    <t>a3xVT00000092H7YAI</t>
  </si>
  <si>
    <t>a0rVT00000uqP71YAE</t>
  </si>
  <si>
    <t>Idil Said</t>
  </si>
  <si>
    <t>0018000001bIX3HAAW</t>
  </si>
  <si>
    <t>{attributes={url=/services/data/v62.0/sobjects/Account/0014X00002aVNYNQA4, type=Account}, PS_Sub_Region__c=Diversified Industries LE NN, SubRegion__c=US DI LE NN TM &amp; PS East, Name=Arbor E&amp;T LLC dba Equus Workforce Solutions, Industry=Professional Services, PS_Region_New__c=US Large Enterprise DI &amp; Mexico}</t>
  </si>
  <si>
    <t>Data - P0-P8 have been loaded to E2E, 407 is working on P9.
E2E - 407 has started testing/ we are still one week behind schedule but they are working to catchup. WD test lead is working along side their QA test Lead
VKT - is red we are meeting weekly with the Geoffrey, Ali and Nadine.we have unit test our solution since 407 team after 3 failed scenarios decided to pause the testing.</t>
  </si>
  <si>
    <t>{Name=Border Foods, Inc., attributes={type=Account, url=/services/data/v62.0/sobjects/Account/0018000001bIX3HAAW}, PS_Region_New__c=US Large Enterprise DI &amp; Mexico, Industry=Restaurant &amp; Food Service}</t>
  </si>
  <si>
    <t>provided to 407 solution
Data - 407 is working on a data mock process to streamline data
E2E - WD is investing a test lead to support the activities and working along side 407 test lead
VKT - risk is raised with 407 and they are looking in bringing onboard kainos</t>
  </si>
  <si>
    <t>a3xVT00000092VdYAI</t>
  </si>
  <si>
    <t>9/25/2026 - First payroll in Workday runs next week.  There will be onsite support.  The team continues to work through and test a few outstanding INT issues.  There are work arounds for each of those.  Additional Payroll Accounting cointues.  That was a lagging workstream through out the project.</t>
  </si>
  <si>
    <t>017VT0000GcCcF8YQK</t>
  </si>
  <si>
    <t>a0rVT00001DXEFVYA5</t>
  </si>
  <si>
    <t>Team is working to close parallel cycle 2 today or tomorrow.  Once close, FDM and FIN Accounting changes can be reviewed by customer.  Team continues to test INT and work through issues.  Once team wraps us paralallel the will continue to wrap up any E2E testing.  All changes identified are tracked and will be made in Gold before the tenant is released to the customer.  Workday team is working extended hours and weekend to keep progress moving.   Additional resources have been added to the project to support the customer and build their confidence in Workday.</t>
  </si>
  <si>
    <t>0018000000pLq1nAAC</t>
  </si>
  <si>
    <t>a3xVT00000092nNYAQ</t>
  </si>
  <si>
    <t>a0rVT000017gbQ1YAI</t>
  </si>
  <si>
    <t>{Industry=Restaurant &amp; Food Service, Name=Vistar Corporate, PS_Region_New__c=US Large Enterprise DI &amp; Mexico, attributes={type=Account, url=/services/data/v62.0/sobjects/Account/0018000000pLq1nAAC}}</t>
  </si>
  <si>
    <t>09/25/2026
CCS is complete. Customer is ready for validation to begin 9/28. All activity tracking to schedule. Customer has added additional resources to handle project requirements. TopBloc is continuing to support the customer with additional meetings and guidance. Closing this DHP considering all activity is on track. 
09/14/2026
Foundation build complete, beginning CCS 9/15 - 9/25. Customer sentiment has improved as we have progressed out of workbook data gathering requirements. 
09/04/2026
Continuing to support customer team data gathering while reviewing workbooks. Foundation build in progress as planned. 
08/27/2026
TopBloc is actively supporting the customer team with data collection to keep the foundation tenant build on schedule. Relationship dynamics have stabilized following previous escalations, and the customer is more aligned with project requirements and expectations. The foundation build remains on track to begin the week of 8/31 as planned.
08/18/2026 - DHP opened.</t>
  </si>
  <si>
    <t>TopBloc is adding two internal resources to assist the customer in populating the workbooks pending data extracted by the customer from Paylocity to better understand the state of the data. We will also be compressing the workbook review cycle from 5 days to 3 days and prioritizing the HCM workbooks first to maintain momentum.</t>
  </si>
  <si>
    <t>a3xVT00000094E5YAI</t>
  </si>
  <si>
    <t>017VT0000GcCcFTYQ0</t>
  </si>
  <si>
    <t>a0rVT000012FL8vYAG</t>
  </si>
  <si>
    <t>Kelly Kelly</t>
  </si>
  <si>
    <t>a0pVT00000CpppaYAB</t>
  </si>
  <si>
    <t>0018000000pLt5lAAC</t>
  </si>
  <si>
    <t>9/24/26: The MUSC leadership team would like to get the ACC project restarted. We have a demo scheduled on 9/28 and need to confirm scope and then create a change order. WD resources will need to be reassigned based on level of effort &amp; scope.</t>
  </si>
  <si>
    <t>{attributes={type=Account, url=/services/data/v62.0/sobjects/Account/0018000000pLt5lAAC}, Name=Anheuser-Busch InBev SA/NV, PS_Region_New__c=US Large Enterprise DI &amp; Mexico, Industry=Consumer Goods}</t>
  </si>
  <si>
    <t>Inland Technologies Canada Inc.</t>
  </si>
  <si>
    <t>017VT0000GcCdAJYQ0</t>
  </si>
  <si>
    <t>{SubRegion__c=US DI ME NN PBS Mid-Atlantic, Industry=Business Services, PS_Region_New__c=US Medium Enterprise DI, Name=MPW Industrial Services Group, Inc., PS_Sub_Region__c=ME NN PBS, attributes={type=Account, url=/services/data/v62.0/sobjects/Account/0018000000oh8HZAAY}}</t>
  </si>
  <si>
    <t>0018000000pNKHGAA4</t>
  </si>
  <si>
    <t>The customer needs to make a decision about which use cases we are focusing on and if detailed or summarized data will be provided from Epic. Once we have data files, our project work can begin.</t>
  </si>
  <si>
    <t>Customer Exec Sponsorship;Customer Resources</t>
  </si>
  <si>
    <t>{Industry=Post Acute, Name=AccentCare, Inc., attributes={type=Account, url=/services/data/v62.0/sobjects/Account/0018000000pNKHGAA4}, PS_Region_New__c=US Healthcare}</t>
  </si>
  <si>
    <t>a3xVT00000096e5YAA</t>
  </si>
  <si>
    <t>a0rVT0000175YqyYAE</t>
  </si>
  <si>
    <t>James Vivyan</t>
  </si>
  <si>
    <t>Realignment/rebalancing session first parts complete. Next steps are playback scheduled for 9/10.</t>
  </si>
  <si>
    <t>017VT0000GcCdBBYQ0</t>
  </si>
  <si>
    <t>Aligning with product on next steps.
Once confirmed define roadmap and launch plan. 
Align with customer.</t>
  </si>
  <si>
    <t>a0rVT00001DXEKLYA5</t>
  </si>
  <si>
    <t>a3xVT00000096sbYAA</t>
  </si>
  <si>
    <t>a0rVT000013M4CPYA0</t>
  </si>
  <si>
    <t>0018000000pPECBAA4</t>
  </si>
  <si>
    <t>{attributes={type=Account, url=/services/data/v62.0/sobjects/Account/0018000000pPECBAA4}, Name=United Overseas Bank Ltd., Industry=Banking &amp; Capital Markets, PS_Region_New__c=ASEAN}</t>
  </si>
  <si>
    <t>We continue to make slow progress on testing. The Gold tenant is getting data loaded for re-validation. Focus is on key integrations for GO LIVE.</t>
  </si>
  <si>
    <t>We are extending the Test stage of the project 1 week to allow for more time to finish Data Validation and Functional Testing. Most of the data issues were fixed but validation will have to occur in Gold. We will focus on critical integrations, and address any outstanding ones post-deployment.
Workday's recommendation was to change the current MTP and GL dates, but the customer did not accept this proposal due to contractual constraints with their current service provider.</t>
  </si>
  <si>
    <t>a3xVT00000096uDYAQ</t>
  </si>
  <si>
    <t>017VT0000GuQZ5lYQG</t>
  </si>
  <si>
    <t>a0rVT00000rR7GeYAK</t>
  </si>
  <si>
    <t>a0rVT00001DXEKMYA5</t>
  </si>
  <si>
    <t>a0pVT00000Cq74wYAB</t>
  </si>
  <si>
    <t>001VT00000Ocf7ZYAR</t>
  </si>
  <si>
    <t>A Change Order is getting submitted to the customer for execution.</t>
  </si>
  <si>
    <t>Insight Direct USA, Inc.</t>
  </si>
  <si>
    <t>{Name=Orbis Education, PS_Region_New__c=US SLED, attributes={url=/services/data/v62.0/sobjects/Account/001VT00000Ocf7ZYAR, type=Account}, Industry=Higher Education}</t>
  </si>
  <si>
    <t>Assess outstanding effort and prepare Change Order to extend project timeline and account for additional effort (if any).</t>
  </si>
  <si>
    <t>Change Management / User Adoption;Customer Resources;Integration;Project Management/Methodology;Scope Management;Testing</t>
  </si>
  <si>
    <t>a3xVT00000097blYAA</t>
  </si>
  <si>
    <t>a0rVT000015dkPNYAY</t>
  </si>
  <si>
    <t>Lucy Finkelstein</t>
  </si>
  <si>
    <t>{SubRegion__c=US DI ME NN PBS Mid-Atlantic, Name=MPW Industrial Services Group, Inc., PS_Region_New__c=US Medium Enterprise DI, Industry=Business Services, attributes={type=Account, url=/services/data/v62.0/sobjects/Account/0018000000oh8HZAAY}, PS_Sub_Region__c=ME NN PBS}</t>
  </si>
  <si>
    <t>017VT0000GuQcBOYQ0</t>
  </si>
  <si>
    <t>a0rVT00001DXELxYAP</t>
  </si>
  <si>
    <t>09.28.26 Work continues on policies with target date of 10.30.  There is some risk of meeting that deadline.  Options are being evaluated.
08.31.  Teams formed to address payroll policy decisions; 17 vendors remain to be finalized; reports inventory making good progress - ETA to complete by mid November. UKG detail plan due this week; Paradox SOW and Schedule A in progress.
09.14 Progress made for resolving Policies that impact finalizing configurations for Go Live; nearing completion of reports and integrations inventory; sent out vendor letters.  Cont resolving past due RAID log items that impact configurations.</t>
  </si>
  <si>
    <t>0018000000pPECCAA4</t>
  </si>
  <si>
    <t>Plan remains as resolving payroll policy decisions by 09/30; finalize remaining scoep for integrations and determine which vendors we will move forward with; confirming finale scope for fin reports; resolve outstanding decisions on LMS, Paradox; confirm UKG impl timeline</t>
  </si>
  <si>
    <t>a3xVT00000098eHYAQ</t>
  </si>
  <si>
    <t>a0rVT00000r9j9AYAQ</t>
  </si>
  <si>
    <t>Melanie Titley</t>
  </si>
  <si>
    <t>The project remains red due to outstanding design decisions and related configuration impacts. Design decision sessions are underway and due to be completed by ACHA by 28/9, which will include ACHA sign-off. ACHA to provide updated workbooks to align with the approved design by 30/9.
Workday will apply the related configuration changes, including smoke testing, to the foundation tenant, with some updates estimated to require up to 20 business days, pending final decisions and workbook receipt.
ACHA are replanning to consider Unit Testing, E2E tenant build and testing timelines, reflecting these delays, with go-live fixed by 31/3/27. Reviewing the current activities to be completed, the timeline will be very tight and some activities will either need to be shortened, increase in resources, or some activities run in parallel requiring heavier management.
Additional approved design scope will be captured in a Change Order request.</t>
  </si>
  <si>
    <t>{PS_Region_New__c=ASEAN, Name=Singapore Telecommunications Limited, Industry=Telecom, attributes={url=/services/data/v62.0/sobjects/Account/0018000000pPECCAA4, type=Account}}</t>
  </si>
  <si>
    <t>Unit Testing Issue
An Action Plan is still being worked through by ACHA.
WD EM's are supported ACHA in developing their remediation plan for Unit Testing, once it recommences after design decisions are made.
SteerCo is now monitoring this issue.
No real data
ACHA have provided synthetic data.
ACHA are building a database (MS Fabric) to extract ACHA's data from reports, store and then export into WD templates for imports.
WD (FC's and DC's) are providing support via weekly calls to help determine data requirements and formats for the data to be provided in, to enable ACHA to build their MS Fabric. 
ACHA have been advised their production data is required by 21 September 2026 to ensure a go-live by 31 March 2027. A new target date will be established once ACHA determine their design and go to green plan.
Limited Knowledge of Workday
Workday has recommended ACHA attend more training.
Workday has provide a list of free training courses to attend.
The Remediation Plan for Testing will identify where WD is required (will result in a CO)
WD EM's will continue to monitor the impacts of this.
Operating Models/BP's not finalised
Workday (FC's) will implement Workday standard where practical and support ACHA in determining the best outcome using Workday, where standard isn't workable for the customers requirements.
ACHA have delayed making some key decisions on their design and a go to green plan is being developed by them to complete this activity.
Additional Budget Required
EM's are raising and driving ACHA to provide requirements to enable Change Orders to be raised. 
Risk: Work can not pause whilst the requirements are gathered as this will also impact the go-live date. Therefore, work is proceeding by supporting ACHA and therefore we are working at risk.</t>
  </si>
  <si>
    <t>Architect / Design;Customer Exec Sponsorship;Customer Resources;Integration;Project Management/Methodology;Scope Management;Testing</t>
  </si>
  <si>
    <t>a3xVT00000098nxYAA</t>
  </si>
  <si>
    <t>017VT0000GcCcJ0YQK</t>
  </si>
  <si>
    <t>a0rVT00001DXENZYA5</t>
  </si>
  <si>
    <t>0018000000pPEFmAAO</t>
  </si>
  <si>
    <t>{PS_Region_New__c=ANZ, Industry=Restaurant &amp; Food Service, attributes={type=Account, url=/services/data/v62.0/sobjects/Account/0018000000pPEFmAAO}, Name=KENTUCKY FRIED CHICKEN PTY LIMITED}</t>
  </si>
  <si>
    <t>a0pVT00000CpoQWYAZ</t>
  </si>
  <si>
    <t>11th Sept - Google Calendar issues continue to be slow in resolution. Cannot find a resource that should be accountable to support the customer who has questions that are not documented anywhere and are encountering issues still with the Service Centre Account. The Integration Lead on the project is doing all he can but the customer is increasingly frustrated with the speed and reaction times to questions, our inability to find someone to join a call and support the conversation when it starts to get to the heart of the Google API, Architecture and permissions. This is just outside of our knowledge in the project team and experience and doesn't appear to be well documented. Have tried asking for support from a services tech lead to join a call with the customer after we had a quite successful call with product who managed to unblock our initial stuck position. Now are are stuck again with the customers Core IT team sharing back API links that are erroring, asking us for advice on how to unblock which take days to track down an answer to in a very painful process. We have lost hours of time chasing up through very ineffective mechanisms and delayed the project testing. Customer will for sure escalate about this process which has been painful to try to chaperone. We are essentially just communication conduits now when the whole thi8ng could be resolved if the customer could work through the issue directly with product or someone accountable on the services side. For sure in the team we are not equipped with the knowledge or understanding enough to help the customer. 
w/c 7th Sept. Call held on Friday 28th Aug with product to unblock the Google Calendar issue. Since then Booking have made progress getting one of their testers accounts authenticated for scheduling integration. Though have since then raised another question related to service accounts. There doesnt seem to be sufficient knowledge to help get this unblocked in the services area. Reaching out for support from anyone else that has deployed with a customer using Google calendars.</t>
  </si>
  <si>
    <t>We need engagement from senior technical services team members or Product to be able to take this forwards to conclusion.</t>
  </si>
  <si>
    <t>017VT0000GuRG2QYQW</t>
  </si>
  <si>
    <t>a3xVT0000009A9pYAE</t>
  </si>
  <si>
    <t>a0rVT00000qxGNlYAM</t>
  </si>
  <si>
    <t>a0rVT00001DXEPCYA5</t>
  </si>
  <si>
    <t>Mirva Renlund</t>
  </si>
  <si>
    <t>{attributes={type=Account, url=/services/data/v62.0/sobjects/Account/0018000000oh8HZAAY}, Name=MPW Industrial Services Group, Inc., PS_Sub_Region__c=ME NN PBS, Industry=Business Services, SubRegion__c=US DI ME NN PBS Mid-Atlantic, PS_Region_New__c=US Medium Enterprise DI}</t>
  </si>
  <si>
    <t>0018000000zZLw5AAG</t>
  </si>
  <si>
    <t>{attributes={type=Account, url=/services/data/v62.0/sobjects/Account/0018000000zZLw5AAG}, Name=Mountain America Credit Union Inc, Industry=Banking &amp; Capital Markets, PS_Region_New__c=US FSI}</t>
  </si>
  <si>
    <t>18/09 Update:
• Escalation meeting held with the client, Workday, and Kainos. Alignment reached on key next steps.
• Extend / Retroactive Calculations: Feasibility and long term maintainability review underway with the Kainos Extend Product team. Workday engaged to provide guidance and lessons learned. Client informed of potential technical limitations and significant timeline impact, and is open to assessing manual workarounds and roadmap alternatives.
• Payroll Integration: On track towards the agreed target of being ready for client Unit Testing by 30 November.
• Compensation: No change from the previous update. Solution design is expected to resume in October. Current view remains an approximately 8 week delay driven by resource availability, language dependencies, and several unresolved Finnish specific design topics. Target ready for client UT by Nov 30th. A contractor is due to join at the end of September, although availability for the remainder of the year is limited. Knowledge transfer preparation is ongoing to help in onboarding the contractor.</t>
  </si>
  <si>
    <t>1. Appoint a new Payroll integration architect/lead - DONE
2. Arrange holiday cover for the newly appointed Payroll INT lead to secure some progress during August - DONE
3. Ensure full allocation for the new Payroll INT Architect/lead in September to ensure build progress - DONE
4. Agree with the client that Kainos may bring English speaking COMP consultant to the COMP workshops and we can change the meeting language into English - PARTLY
5. Ensure COMP introduction from the current lead to supporting COMP co-lead - TO BE STARTED ONCE CONTRACTPR ONBOARD
6. Ensure sufficient allocations for October - November to ensure COMP build progress</t>
  </si>
  <si>
    <t>Deployment Resources;Product  Related</t>
  </si>
  <si>
    <t>a3xVT0000009Bp3YAE</t>
  </si>
  <si>
    <t>a0rVT00000vvoqWYAQ</t>
  </si>
  <si>
    <t>017VT0000GuQ41zYQC</t>
  </si>
  <si>
    <t>Jennifer Mitchell</t>
  </si>
  <si>
    <t>Continue to work on E2E and starting detailed cutover planning. Revising payroll parallel plan.</t>
  </si>
  <si>
    <t>0018000000qWjp9AAC</t>
  </si>
  <si>
    <t>Align WD and Titan team on Time Tracking Phase 1 plan for the various regions going live Phase 1 vs beyond. Determine business requirement for Proximity readers; is this a need for Phase 1 or not? The Titan team needs to complete E2E and payroll parallel without delay as Gold build is scheduled for Dec to support 1/1/27 go-live. Risks with the resource bandwidth. Continue to make progress on Wave 1 and Wave 2 INT; obtain official sign off for the change order.</t>
  </si>
  <si>
    <t>{Industry=High Technology, attributes={url=/services/data/v62.0/sobjects/Account/0018000000qWjp9AAC, type=Account}, Name=ASML Netherlands B.V., PS_Region_New__c=EMEA North}</t>
  </si>
  <si>
    <t>Customer Resources;Integration</t>
  </si>
  <si>
    <t>a3xVT0000009F6HYAU</t>
  </si>
  <si>
    <t>a0rVT00000bff3xYAA</t>
  </si>
  <si>
    <t>017VT0000GuRVxFYQW</t>
  </si>
  <si>
    <t>-Submitting the final Change Order (CO) to ACH for signature.
-Continuing to make progress with SCM; 22 key RAIDs are currently open on the leadership executive tracker.
-E2E testing for SCM, previously delayed by Joe, has now been approved to begin as of Tuesday, 9/22.</t>
  </si>
  <si>
    <t>a0rVT00001DXEQpYAP</t>
  </si>
  <si>
    <t>Escalation to Harun to secure CO signature for the scope increase. Clear SCM review bottlenecks with Joseph to complete validation; secure formal A&amp;C sign-off from Carole. Conduct immediate change management for FIN handover and secure delegated sign-off authority for E2E execution.</t>
  </si>
  <si>
    <t>001VT00000b2vjHYAQ</t>
  </si>
  <si>
    <t>a3xVT0000009FcXYAU</t>
  </si>
  <si>
    <t>{PS_Region_New__c=US Medium Enterprise DI, attributes={url=/services/data/v62.0/sobjects/Account/001VT00000b2vjHYAQ, type=Account}, Name=School Operations Services Group Inc., Industry=Professional Services}</t>
  </si>
  <si>
    <t>a0pVT00000Cq3KgYAJ</t>
  </si>
  <si>
    <t>a0r4X00000CrTqZQAV</t>
  </si>
  <si>
    <t>Brett Burns</t>
  </si>
  <si>
    <t>Planning sessions underway identifying key milestones that must be met to ensure successful go-live.   Full DHP expected to be developed by 10/9.</t>
  </si>
  <si>
    <t>017VT0000GuQ422YQC</t>
  </si>
  <si>
    <t>a0rVT00001DXESPYA5</t>
  </si>
  <si>
    <t>Assess all that needs to be true for production readiness.  Identify what is outstanding and when it will be complete.  Create a plan to test all that most be true to go-live before we go live.</t>
  </si>
  <si>
    <t>Customer Resources;Project Management/Methodology;Testing</t>
  </si>
  <si>
    <t>0018000000qWqJcAAK</t>
  </si>
  <si>
    <t>{SubRegion__c=US DI ME NN PBS Mid-Atlantic, PS_Sub_Region__c=ME NN PBS, attributes={url=/services/data/v62.0/sobjects/Account/0018000000oh8HZAAY, type=Account}, Name=MPW Industrial Services Group, Inc., Industry=Business Services, PS_Region_New__c=US Medium Enterprise DI}</t>
  </si>
  <si>
    <t>{Name=PANDORA A/S, PS_Region_New__c=EMEA North, attributes={type=Account, url=/services/data/v62.0/sobjects/Account/0018000000qWqJcAAK}, Industry=Softlines}</t>
  </si>
  <si>
    <t>a3xVT0000009GFFYA2</t>
  </si>
  <si>
    <t>9/14: Design sessions in progress. Added HCM integrations to build Lever integrations.</t>
  </si>
  <si>
    <t>017VT0000GuRU3OYQW</t>
  </si>
  <si>
    <t>9/30 Moved target to green out to 10/9, but things are trending well. Finished prod S2P Integration setup. Docusign issue resolved. Should have signoff on workflows this week and then MTP can start next week. Leaving yellow one more week but planning for moving to green next week.</t>
  </si>
  <si>
    <t>Engaged with Engineering to address USI issues and those have been resolved. 
UNI is staying focused on the review of the workflows and finalizing those
Have scheduled working sessions between now and 10/1 to support the customer.
Doing S2P integration KT with them on 9/9.</t>
  </si>
  <si>
    <t>Product  Related;Testing</t>
  </si>
  <si>
    <t>0018000000qYoYpAAK</t>
  </si>
  <si>
    <t>a3xVT0000009GqLYAU</t>
  </si>
  <si>
    <t>{attributes={url=/services/data/v62.0/sobjects/Account/0018000000qYoYpAAK, type=Account}, PS_Region_New__c=US Healthcare, Industry=Acute Hospital / Health System, Name=Baptist Health - Arkansas}</t>
  </si>
  <si>
    <t>Instant Teams</t>
  </si>
  <si>
    <t>a0rVT00000tY32DYAS</t>
  </si>
  <si>
    <t>Steve Sledge</t>
  </si>
  <si>
    <t>(9/24) E2E testing incomplete.  Payroll parallel 1 mostly complete with errors. Payroll parallel 2 started.  Payroll history for Q1 complete with errors.  Payroll history for Q2 started.
(9/15) Sparus remains behind on E2E testing and has major issues in providing accurate data relative to its employees and data needs.  As of 9/15 Payroll History Q1 and Parallel Payroll 1 are not complete. Executive steering committees are every Wednesday.</t>
  </si>
  <si>
    <t>017VT0000GcCcESYQ0</t>
  </si>
  <si>
    <t>(9/23) SAG/Sparus have developed a day-by-day plan with weekly leader reviews to return to green.  Project remains at high risk due to client-side data issues.  Team  is not planning to move to production 10/1, and SAG/Sparus are in the change order process.</t>
  </si>
  <si>
    <t>a3xVT0000009GyPYAU</t>
  </si>
  <si>
    <t>0018000000qZDlcAAG</t>
  </si>
  <si>
    <t>Ken Clark</t>
  </si>
  <si>
    <t>{Name=Henley Enterprises Valvoline, Industry=Auto, attributes={url=/services/data/v62.0/sobjects/Account/0018000000qZDlcAAG, type=Account}, PS_Region_New__c=US Medium Enterprise DI}</t>
  </si>
  <si>
    <t>9/29 - Revised GTG date. New date is 10/30. Go-Live is still as risk and would like to get through Payroll Parallel. On 9/24 the County made a decision to move forward with Parallel, but addtional testing was still needed. All testing need to be completed by 10/16.</t>
  </si>
  <si>
    <t>a0pVT00000Cpqs7YAB</t>
  </si>
  <si>
    <t>Clear the data validation blocker first: Complete priority data uploads and data validation cases, stack-rank critical items with Cognizant, and keep validation owned by the right HR/data domain experts before opening broader ETE testing. Update: Sufficient review was completed by the County and we have given approval to the Testing Team to start BP testing as of 08/25/26
Increase testing throughput with targeted support: Add limited Cognizant support, shift EIB/data validation work to Michael/Sebastian/Colin where possible, and delegate appropriate BP test scripts to AFSOs/HR reps through Test Central with clear escalation paths. Ensure test cases have an owner. by 9/18
Protect testing time and manage risk visibly: Pause low-value status meetings, move to async updates/exception-based working sessions, track Test Central progress closely, and reassess in two weeks before making any go-live delay decision - which will be approx. 09/18 for a soft Go- No Go by County Execs
County Exec leadership to provide test management oversite - Completed
Cognizant leads to meet more often with the County leads to help support their testing efforts and resolve issues quicker - completed</t>
  </si>
  <si>
    <t>017VT0000GuRYLSYQ4</t>
  </si>
  <si>
    <t>a3xVT0000009HcjYAE</t>
  </si>
  <si>
    <t>a0rVT000013mKGjYAM</t>
  </si>
  <si>
    <t>Mihir Dandwekar</t>
  </si>
  <si>
    <t>0018000001Nf6hBAAR</t>
  </si>
  <si>
    <t>{Name=Atrium Hospitality LP, attributes={url=/services/data/v62.0/sobjects/Account/0018000001Nf6hBAAR, type=Account}, PS_Region_New__c=US Large Enterprise DI &amp; Mexico, Industry=Lodging &amp; Resorts}</t>
  </si>
  <si>
    <t>Semtech provided all due items. Provided Plan Stage sign-off. Pending some RAIDQ items. Timeline has been reviewed/confirmed with Semtech leadership &amp; internally. Forecast updated. At this point, there is no additional budgetary need because we have Adv Comp bucket. Informed Semtech accordingly. Will track this until Job catalog item is reviewed internally &amp; updated, closed.</t>
  </si>
  <si>
    <t>Worked with Semtech leadership and confirmed due dates for Semtech deliverables. Working on the confirming go-live timeline and forecast updates this week. Post that we need to identify additional budgetary needs.</t>
  </si>
  <si>
    <t>{PS_Sub_Region__c=ME NN PBS, Industry=Business Services, SubRegion__c=US DI ME NN PBS Mid-Atlantic, attributes={url=/services/data/v62.0/sobjects/Account/0018000000oh8HZAAY, type=Account}, PS_Region_New__c=US Medium Enterprise DI, Name=MPW Industrial Services Group, Inc.}</t>
  </si>
  <si>
    <t>a3xVT0000009IP7YAM</t>
  </si>
  <si>
    <t>a0rVT0000177cK9YAI</t>
  </si>
  <si>
    <t>Paige Gibson</t>
  </si>
  <si>
    <t>Intact Financial Corporation</t>
  </si>
  <si>
    <t>017VT0000GuRTCCYQ4</t>
  </si>
  <si>
    <t>a0rVT00001DXEXFYA5</t>
  </si>
  <si>
    <t>We successfully completed testing. We continue working towards our MTP next week. However, Pike is delivering new requirements regarding Onboarding. We are in discovery but this effort will not make go live. We are evaluating payment-oriented fields to gather in WD and transmit to downstream system that are payroll - although Payroll is not in scope. We expect our integration with CMiC to be late. Pike continues to struggle with requirements. We have been meeting daily for the last two weeks. We continue to receive new requirements in most of the calls and then they retract the new requirement in the next call. We do not have payroll in scope nor do we have Unions. We are working to get finalization on the design of the integration so we can follow a 2-3 day build cycle. Once we can achieve sign off, we can move to testing and get into production.</t>
  </si>
  <si>
    <t>0018000000rPe7SAAS</t>
  </si>
  <si>
    <t>We are together with their Executive to ensure testing completion and solidify the design of the integration to CMiC.</t>
  </si>
  <si>
    <t>Change Management / User Adoption</t>
  </si>
  <si>
    <t>{Industry=Business Services, attributes={url=/services/data/v62.0/sobjects/Account/0018000000rPe7SAAS, type=Account}, Name=ISS United States, PS_Region_New__c=US Large Enterprise DI &amp; Mexico}</t>
  </si>
  <si>
    <t>a3xVT0000009InJYAU</t>
  </si>
  <si>
    <t>a0rVT00000xOP3ZYAW</t>
  </si>
  <si>
    <t>Lea Curry</t>
  </si>
  <si>
    <t>017VT0000GuRZVxYQO</t>
  </si>
  <si>
    <t>WD confirmed resources will not be assigned until late November, which is bear the SOW go live date. Team met w/WD and CV is meeting internally and will follow up w/WD regarding next steps.</t>
  </si>
  <si>
    <t>a0rVT00001DXEYsYAP</t>
  </si>
  <si>
    <t>WD to assign Paradox resource to work with CV to support Paradox implementation as this is CV's first Paradox implementation.</t>
  </si>
  <si>
    <t>001VT00000b2ohlYAA</t>
  </si>
  <si>
    <t>{Industry=Professional Services, attributes={url=/services/data/v62.0/sobjects/Account/001VT00000b2ohlYAA, type=Account}, PS_Region_New__c=US Medium Enterprise DI, Name=SkillPointe}</t>
  </si>
  <si>
    <t>a3xVT0000009JLBYA2</t>
  </si>
  <si>
    <t>a0rVT00001AfLNBYA3</t>
  </si>
  <si>
    <t>Jalaluddin Al-Khalili</t>
  </si>
  <si>
    <t>a0pVT00000Cq1PJYAZ</t>
  </si>
  <si>
    <t>9/28 -  Continuing PSA Structure &amp; Analyze and workstream working sessions.  Still awaiting decisions on 3rd party tools.</t>
  </si>
  <si>
    <t>Deadlines have been set by which open decisions need to be made by GH; Gathering all architecture and project plans for simultaneous projects/implementations, and working with the business team to outline staff resources and mitigate</t>
  </si>
  <si>
    <t>017VT0000GuRTCLYQ4</t>
  </si>
  <si>
    <t>Customer Resources;Project Management/Methodology</t>
  </si>
  <si>
    <t>{PS_Sub_Region__c=Diversified Industries LE CB RHT, attributes={url=/services/data/v62.0/sobjects/Account/0013000000HpCTVAA3, type=Account}, Industry=Auto, PS_Region_New__c=US Large Enterprise DI &amp; Mexico, Name=Genuine Parts Company, SubRegion__c=US DI LE CB RHT Southeast}</t>
  </si>
  <si>
    <t>a3xVT0000009LEvYAM</t>
  </si>
  <si>
    <t>a0rVT00000qaUw5YAE</t>
  </si>
  <si>
    <t>0018000000sfc26AAA</t>
  </si>
  <si>
    <t>Tony Zhou</t>
  </si>
  <si>
    <t>{PS_Region_New__c=ANZ, Industry=Restaurant &amp; Food Service, attributes={url=/services/data/v62.0/sobjects/Account/0018000000sfc26AAA, type=Account}, Name=Collins Restaurants Management Pty Ltd (ABN 24 093 912 979)}</t>
  </si>
  <si>
    <t>2026-09-25 LD has been presented with some extension options and costs. They acknowledge and accept the potential cost increase, but are still looking to minimize the length of delay.</t>
  </si>
  <si>
    <t>London Drugs is committing to add additional resources to support their operations, especially on the payroll function. This will free up Kelly to be able to focus on his domains.
Additionally, as the operational impacts stabilize, they are looking to evaluate an extension in timeline to make sure E2E testing is complete.</t>
  </si>
  <si>
    <t>Integrated Power Services, LLC</t>
  </si>
  <si>
    <t>a3xVT0000009MKfYAM</t>
  </si>
  <si>
    <t>017VT0000GuRTCFYQ4</t>
  </si>
  <si>
    <t>a0r4X00000Ef2QaQAJ</t>
  </si>
  <si>
    <t>a0rVT00001DXEdhYAH</t>
  </si>
  <si>
    <t>Laura Marshall</t>
  </si>
  <si>
    <t>18/9 Laura Marshall and Allison Watts met with Mike Kovacevic.  From this discussion, we have a better idea of how Cognizant can lean in to provide some relief for CEWA as they evaluated their next steps for the project.  
Cognizant next steps are to connect with Jen O'Brien (new People and Culture leader) to understand her perspective and where she thinks Cognizant can provide value during this reset period and ahead of any decision on payroll.</t>
  </si>
  <si>
    <t>0018000000sfc7tAAA</t>
  </si>
  <si>
    <t>Meeting with CIO on 18/9
Establish connection with new Dir, P&amp;C to listen to their updated perspective and demonstrate how we can move forward in away that de-risks delivery.</t>
  </si>
  <si>
    <t>{Industry=Restaurant &amp; Food Service, PS_Region_New__c=ANZ, Name=Restaurant Brands New Zealand Limited, attributes={type=Account, url=/services/data/v62.0/sobjects/Account/0018000000sfc7tAAA}}</t>
  </si>
  <si>
    <t>Customer Exec Sponsorship;Integration;Project Management/Methodology</t>
  </si>
  <si>
    <t>a3xVT0000009NAHYA2</t>
  </si>
  <si>
    <t>a0pVT00000Cq1QvYAJ</t>
  </si>
  <si>
    <t>a0rVT000017RHZhYAO</t>
  </si>
  <si>
    <t>Paul Wunderlich</t>
  </si>
  <si>
    <t>PW 9/28: We met with the client on 9/24 to review options. At this time, we have one follow up internally regarding how we may be able to utilize Prism to meet the client's needs.</t>
  </si>
  <si>
    <t>017VT0000GuQdOXYQ0</t>
  </si>
  <si>
    <t>a0rVT00001DXEdiYAH</t>
  </si>
  <si>
    <t>We have provided them several options to move forward with the project that will help them navigate these perceived product gaps. Client is meeting internally to review these options.
EM to follow up with the client to gauge current status of plan review, and will provide an update.</t>
  </si>
  <si>
    <t>{PS_Sub_Region__c=Diversified Industries LE CB RHT, Industry=Auto, Name=Genuine Parts Company, PS_Region_New__c=US Large Enterprise DI &amp; Mexico, SubRegion__c=US DI LE CB RHT Southeast, attributes={type=Account, url=/services/data/v62.0/sobjects/Account/0013000000HpCTVAA3}}</t>
  </si>
  <si>
    <t>a3xVT0000009NS1YAM</t>
  </si>
  <si>
    <t>00180000011T8erAAC</t>
  </si>
  <si>
    <t>a0rVT00000vvkIQYAY</t>
  </si>
  <si>
    <t>Fritz Sullivan</t>
  </si>
  <si>
    <t>{Industry=Acute Hospital / Health System, attributes={type=Account, url=/services/data/v62.0/sobjects/Account/00180000011T8erAAC}, Name=St. Bernards Healthcare, PS_Region_New__c=US Healthcare}</t>
  </si>
  <si>
    <t>Working with Bill on clawing back hours.</t>
  </si>
  <si>
    <t>a3xVT0000009OPhYAM</t>
  </si>
  <si>
    <t>017VT0000GcCcGLYQ0</t>
  </si>
  <si>
    <t>a0rVT00000uEIOQYA4</t>
  </si>
  <si>
    <t>Brandi Cahill</t>
  </si>
  <si>
    <t>9/29/26, BMC - Overall project health remains yellow following the September 15 state session, and we are starting to trend red because of slow progress with the State of RI on payroll integrations. HE services and State &amp; Local government partnering closely to resolve. Health to be formally reassessed after payroll design and integrations decision is back from URI -- due 9/30. To return the project to green, see deployment health action plan.</t>
  </si>
  <si>
    <t>0018000000tVf14AAC</t>
  </si>
  <si>
    <t>{PS_Region_New__c=EMEA South, Name=Géodis Interservices, Industry=Other Transportation, attributes={type=Account, url=/services/data/v62.0/sobjects/Account/0018000000tVf14AAC}}</t>
  </si>
  <si>
    <t>Integrity Electrical Solutions</t>
  </si>
  <si>
    <t>To return the project to green, the primary focus is to support URI towards making a decision regarding the payroll design and payroll integrations with the State of Rhode Island Workday environment. Concurrently, delayed secondary workstreams—specifically grants, time tracking, and fund balance—will schedule outstanding meetings as needed. Project governance will be strengthened by correcting deliverable statuses on the project portal and formally defining shared testing exit criteria before cutover. Overall project health will be formally reassessed following the September 30th URI decision about payroll.</t>
  </si>
  <si>
    <t>a0pVT00000Cq6SFYAZ</t>
  </si>
  <si>
    <t>a3xVT0000009OxZYAU</t>
  </si>
  <si>
    <t>a0rVT00000z9cW7YAI</t>
  </si>
  <si>
    <t>017VT0000GcCd8WYQS</t>
  </si>
  <si>
    <t>Brian Potter</t>
  </si>
  <si>
    <t>a0rVT00001DXEgvYAH</t>
  </si>
  <si>
    <t>{Industry=Healthcare Manufacturing, SubRegion__c=US DI Key Accounts MFG, PS_Sub_Region__c=Diversified Industries Key Accounts, attributes={url=/services/data/v62.0/sobjects/Account/00180000018KCAEAA4, type=Account}, Name=Exact Sciences Corporation, PS_Region_New__c=US Large Enterprise DI &amp; Mexico}</t>
  </si>
  <si>
    <t>0018000000tVfDnAAK</t>
  </si>
  <si>
    <t>9/22: HeadFirst has asked to pause the project. HF is holding internal senior leadership team meetings this week to align on databricks build / delivery dates which will drive a restart date for the WD FIN project.</t>
  </si>
  <si>
    <t>Ongoing discussion on commit dates for DC and integration so the WD team can replan/work in both areas. Discussed risk to End to End and Go Live timing with customer. Working with HF leadership to align on date commitments and any changes to project timeline.</t>
  </si>
  <si>
    <t>{attributes={type=Account, url=/services/data/v62.0/sobjects/Account/0018000000tVfDnAAK}, PS_Region_New__c=EMEA South, Name=Ipsen Pharma SAS, Industry=Healthcare Manufacturing}</t>
  </si>
  <si>
    <t>Architect / Design;Integration;Scope Management</t>
  </si>
  <si>
    <t>a3xVT0000009Ps1YAE</t>
  </si>
  <si>
    <t>a0rVT00000ymkQzYAI</t>
  </si>
  <si>
    <t>017VT0000GuQjLSYQ0</t>
  </si>
  <si>
    <t>Cloudfit tells us that they are moving toward an inhouse solution for time tracking. That is not a confirmed solution at this time. We are in production now and the customer is working on go live activities. Leaving this DHP open until go live is accomplished and follow up on the issue is resolved to the customer's satisfaction.</t>
  </si>
  <si>
    <t>We are moving quickly to data gather to review for a possible solution. This will likely not make go live. We expect escalation to Workday. PEAR opened for visibility.</t>
  </si>
  <si>
    <t>001VT00000WEFKzYAP</t>
  </si>
  <si>
    <t>a0pVT00000Cq9rVYAR</t>
  </si>
  <si>
    <t>a3xVT0000009PvFYAU</t>
  </si>
  <si>
    <t>{Industry=Amusement &amp; Recreation, PS_Region_New__c=Canada, attributes={url=/services/data/v62.0/sobjects/Account/001VT00000WEFKzYAP, type=Account}, Name=Clifton Hill}</t>
  </si>
  <si>
    <t>a0rVT00000r6z5jYAA</t>
  </si>
  <si>
    <t>2026-09-30T13:26:21.000+0000</t>
  </si>
  <si>
    <t>Executed DHP tasks:
- PAY FC has supported TD and will be overseeing Commit led PPS
- TT FC has supported TD and is ready to provide extra  PPS..
- Integration Consultants have been made available to support TD.</t>
  </si>
  <si>
    <t>{PS_Region_New__c=US Large Enterprise DI &amp; Mexico, Industry=Healthcare Manufacturing, Name=Exact Sciences Corporation, SubRegion__c=US DI Key Accounts MFG, attributes={url=/services/data/v62.0/sobjects/Account/00180000018KCAEAA4, type=Account}, PS_Sub_Region__c=Diversified Industries Key Accounts}</t>
  </si>
  <si>
    <t>017VT0000GuRDTXYQ4</t>
  </si>
  <si>
    <t>- Ongoing TT and PAY support calls have been suggested and FCs will continue to be engaged in the remaining weeks of deployment (and TD informal testing). TT FC availability will be planned for PPS. PAY FC will be planned to support TD PPS.
- TD communicated that Commit will provide PAY PPS. In that case, we will consider the risk “Declined PAY PPS” as managed.
- Regarding the integration risk, Knowledge Transfer sessions as well as support sessions have been offered to TD to ensure success in their independent integration builds. WD has communicated that the WD integration consultants will remain engaged to support the TD builds.</t>
  </si>
  <si>
    <t>a0rVT00001DXEiYYAX</t>
  </si>
  <si>
    <t>IntelliChoice Home Care</t>
  </si>
  <si>
    <t>a3xVT0000009QxlYAE</t>
  </si>
  <si>
    <t>a0rVT00001446nBYAQ</t>
  </si>
  <si>
    <t>Michel Lee</t>
  </si>
  <si>
    <t>0018000001DwnLOAAZ</t>
  </si>
  <si>
    <t>{PS_Region_New__c=US Medium Enterprise DI, attributes={url=/services/data/v62.0/sobjects/Account/0018000001DwnLOAAZ, type=Account}, Name=Zeiders Enterprises Inc., Industry=Professional Services}</t>
  </si>
  <si>
    <t>1) Concerted effort may bring back on track - review burn rate w/c 7 Sept against expectation. Integration testing expected to run into Parallel Test window starting 28 Sept.
2) Being escalated
3) Risk managed on the provision the AZ contact can resolve issues as communicated on 04 Sept</t>
  </si>
  <si>
    <t>a3xVT0000009R2bYAE</t>
  </si>
  <si>
    <t>a0pVT00000Cq7PvYAJ</t>
  </si>
  <si>
    <t>017VT0000GcCcIQYQ0</t>
  </si>
  <si>
    <t>Status Update — Week of Sept 28
Go-live postponed; new date TBC. The translation fix for the pt-PT/pt-BR has been completed last weekend. Customer considering Pilot launch with scheduling and Q&amp;A for selected areas while Job search and Chat to Apply functionality is improved. . More details to be confirmed
Status Update — Week of Sept 21
Go-live postponed; new date TBC. Pending: ECI's review of issues by functionality, and Paradox's product roadmap (early testing and GA dates, plus closure of all Critical/High issues — dependent on pending engineering tickets).
Resourcing: Escalation resource for support tickets still requested.
Status Update — Week of Sept 14
Translations (pt-PT/pt-BR): Fix targeted for 2nd week of Oct (next release); assessing acceleration
Job Search: LLM keyword extraction + location matching improvements pushed to staging
Chat to Apply/Integration: 2 new issues this week (WhatsApp sync failures, language preference reverting post-merge) — under investigation, ETA pending
Issue Log: 200/271 complete (74%); 19 ready for test/pending info, 20 on hold (no ETA), 32 in progress
Resourcing: +1 Functional Consultant (4+ hrs/day) added; Support Escalation Resource still requested
Next Milestone: ECI review Wed — go-live timeline assessment</t>
  </si>
  <si>
    <t>Product is progressing fixes for both blockers — early access to LLM keyword extraction for Job Search and a pt-PT/pt-BR fix for Translations — with ENG timeline confirmation due next week (Week of the 7th). Q&amp;A go-live is secured via non-contextual responses as interim, with contextual mode revisited post go-live.</t>
  </si>
  <si>
    <t>0018000000tih46AAA</t>
  </si>
  <si>
    <t>Integration;Product  Related</t>
  </si>
  <si>
    <t>{PS_Sub_Region__c=Healthcare LE, SubRegion__c=US Healthcare LE CB Central, Industry=Post Acute, Name=HAH Group Holdings LLC, PS_Region_New__c=US Healthcare, attributes={type=Account, url=/services/data/v62.0/sobjects/Account/0018000001KdJKnAAN}}</t>
  </si>
  <si>
    <t>a3xVT0000009RAfYAM</t>
  </si>
  <si>
    <t>{PS_Region_New__c=DACH, Name=Fresenius Medical Care North America, attributes={url=/services/data/v62.0/sobjects/Account/0018000000tih46AAA, type=Account}, Industry=Ambulatory}</t>
  </si>
  <si>
    <t>- Will officially be going on hold. WIll need 6 weeks notice before restarting project. CO requested and needs to be signed.</t>
  </si>
  <si>
    <t>After discussions with Filipe Afonso, we have provided the client with 2 choices: 1: Continue with the project this week and a change order will be presented to extend the project to account for the weeks we are already delayed 2: Put the project formally on hold. If this option is chosen they will need to give us 6 weeks notice to restart the project. 
We are waiting for their team to confirm their choice.</t>
  </si>
  <si>
    <t>a3xVT0000009S57YAE</t>
  </si>
  <si>
    <t>017VT0000GcCcKkYQK</t>
  </si>
  <si>
    <t>a0rVT000013joG9YAI</t>
  </si>
  <si>
    <t>a0rVT00001DXEnNYAX</t>
  </si>
  <si>
    <t>Jennifer Tupper</t>
  </si>
  <si>
    <t>Inter-Con Security Systems, Inc.</t>
  </si>
  <si>
    <t>a0pVT00000Cq4v6YAB</t>
  </si>
  <si>
    <t>{PS_Region_New__c=US SLED, attributes={type=Account, url=/services/data/v62.0/sobjects/Account/0018000000ukUuSAAU}, Name=Ivy Tech Community College of Indiana, Industry=Higher Education}</t>
  </si>
  <si>
    <t>{SubRegion__c=US Healthcare LE CB Central, PS_Region_New__c=US Healthcare, Name=HAH Group Holdings LLC, Industry=Post Acute, PS_Sub_Region__c=Healthcare LE, attributes={type=Account, url=/services/data/v62.0/sobjects/Account/0018000001KdJKnAAN}}</t>
  </si>
  <si>
    <t>9/29 - Some testing done over the weekend by Phillip (store manager) but we learned today he and others were flying out today for a Citi Trends corporate meeting tomorrow - Friday, so little to no testing progress.
Kathryn reviewed a new feature (enabled Friday, not yet generally available) that prioritizes minimum coverage per window before adding coverage for demand spikes. No configuration needed; automatically active. Expected to improve open/close coverage patterns; 
 Kelli Groneck's (lead SME for scheduling) last day is the end of this week and seems to be checked out; Amanda Edge is her replacement and will act as the main point of contact with Philip starting next week.
Tomorrow's call was canceled per their request, next scheduling session Tue Oct 6.
Susan Humphrey is coordinating a meeting - David has requested a meeting to discuss status of the project stating while our teams continue working to identify a path forward, it has become apparent that the solution lacks basic scheduling capabilities. This impacts our ability to effectively utilize the solution and materially reduces the value we expect to realize from the investment.
9/25 - David has asked for a meeting Susan &amp; Ken (not sure he realizes Ken is no longer with WD) stating "While our teams continue working to identify a path forward, it has become apparent that the solution lacks basic scheduling capabilities. This impacts our ability to effectively utilize the solution and materially reduces the value we expect to realize from the investment." Collaborating internally (Susan, Jaime, Eileen) to set up a meeting with David.
 - 9/16 - Working session - Kathryn walked through the new labor demand mapping methodology (management vs. sales associate buckets, budget caps, task-based metrics) and generated test schedules for District 8 pilot stores. Store 126 produced a clean schedule meeting demand within budget, but store 215 exposed problems: an unavailable/resigned store manager and default open-availability overrides caused the solver to leave key-holder and two-person coverage gaps despite available assistant managers. The group agreed to fix availability data, retest with a terminated-manager scenario, and compile a fuller issues summary before reconvening with Workday.
9/15 - Working session - Citi Trends and Workday tested schedule-solver adjustments after finding that role-based min/max hour templates don't match real store patterns, and that labor demand is inflated because manager/key-holder minimum coverage stacks on top of task-based metrics (returns, sales, freight) instead of combining — a gap that won't be fixed until Workday's "additive tags" feature ships around September 2027. As an interim step, they agreed to retune min/max templates and cap labor demand generation to the existing budget, piloting both on District 8 stores.</t>
  </si>
  <si>
    <t>Internally, Kathryn (WD Architect) confirmed with Liz Cooney (Executive Product Advisor - Global Workforce Management)  -  minimums can't be enforced — this is a known, not new, gap. Working with Citi team on fine tuning schedule rule adjustments</t>
  </si>
  <si>
    <t>017VT0000GuOcecYQC</t>
  </si>
  <si>
    <t>a3xVT0000009SRhYAM</t>
  </si>
  <si>
    <t>a0rVT00001DXEozYAH</t>
  </si>
  <si>
    <t>a0rVT00000LUAcSYAX</t>
  </si>
  <si>
    <t>Aleta Boyd</t>
  </si>
  <si>
    <t>0018000000vSRdMAAW</t>
  </si>
  <si>
    <t>{Name=McGraw Hill LLC, attributes={url=/services/data/v62.0/sobjects/Account/0018000000vSRdMAAW, type=Account}, PS_Region_New__c=US Large Enterprise DI &amp; Mexico, Industry=Media &amp; Entertainment}</t>
  </si>
  <si>
    <t>9/29 -  The project remains in Red status, with continuing concerns for the lack of clear executive leadership/ownership at the Senior/VC level; minimal progress in implementing agreed to Governance reset activities coming out of the Mini-Greenhouse in May 2026, and minimal progress filling key open MinnState positions. These concerns were documented in the Memo of Concern to Chancellor Olson and Senior/VCs from Bonnie Benson and Cathy Milazzo sent in August, 2026. Chancellor Olson responded via e-mail on September 8, 2026 agreeing with the issues as well as the need to resolve the confusion around roles, escalation paths, and decision authority, and the Workday concerns that these issues present a direct risk to the schedule. This week adds a new near-term risk of an October 5th decision on the Academic Calendar modules framework, given significant downstream dependencies on calendars, scheduling, student experience, and Financial Aid, and its direct effect on Workset B configuration and Workset C planning.
To move to yellow status, MinnState must:
Finalize and approve the Student Steering Committee Structure &amp; RACI. (No update reported this week.)
Finalize their leadership alignment and identify a primary VC driver for the program. (Unchanged — the Decision Request Form to EOT on OCM stabilization is still pending a leadership decision targeted for early October.)
Address the Permanent OCM Director vacancy and develop a plan to enhance communications with the institutions. (Unchanged — the OCM Director role remains an unfilled "expansion needed" position; in the interim, 2 Change Readiness Liaison agreements were renewed by 9/21 and 1 CRL retirement/backfill is planned by 9/30.
In resolution of Workstreams:
Admissions &amp; Recruiting (Red) — Path to green is unchanged: catching up during Workset B with a goal of turning green at the start of Workset C, now confirmed as targeting 3/1/2027. Design sessions on recruiting and institutional reporting continue, though the workstream remains delayed while institution-level recruiting decisions, prospect-foundation design, and application/CRM dependencies stay unresolved.
Change Management (Red) — Unchanged: still awaiting the early-October leadership decision on the OCM stabilization plan (staffing, CRL retirement, companion-project scope). This week's activity was limited to communications/training groundwork (newsletter finalized, town hall rescheduling, training strategy refinement) rather than progress on the governance decision itself.
Data Conversion (Yellow, trending up) — Progress this week: the M10/M11 tenant exports were completed and the POS Snapshot and Period Overrides were successfully loaded to M10 (previously only "beginning"), and the open question of SAP's inclusion in Workset B is now resolved — SAP will be excluded. Focus shifts next to finalizing Transfer Credit extracts, generating Period Override extracts, and remediation for EI, Courses, and Matriculations ahead of the next build. The new Senior Business Analyst is now confirmed to start October 7th (previously "within two weeks"), though the team remains down one additional BA who is still on leave.
Student Worker — moved from Red to Yellow this week. The Recruitment Coordinator offer has been accepted with an October 7th start date, resolving the staffing gap that was the primary driver of Red status. Remaining follow-up items are the pending prism tenant approval (needed for earlier regression testing) and outstanding decisions on temporary integrations.</t>
  </si>
  <si>
    <t>017VT0000GuQbz4YQC</t>
  </si>
  <si>
    <t>Governance &amp; Leadership Alignment: Shift the Steering Committee from a transactional checkpoint to a strategic decision-making body. Appoint a single S/VC to lead the executive sponsors and be accountable for the project outcomes. 
Change Management Strategy Realignment: Fill the vacant MinnState OCM Director &amp; team roles. OCM Director serves as a system-wide partner and reports to the lead of the executive sponsor team. Expand change management to include operational process execution so that strategy turns into completed work. 
Student Worker: MinnState to hire a certified Payroll practitioner ASAP to engage &amp; drive the design work for Student Worker. Implement strict governance follow-through to enable adherence to project milestones.  
Recruiting &amp; Admissions: Resolve institution-level recruiting decisions, prospect-foundation design, and remaining application/CRM dependencies resulting from the delayed decision which deferred CRM to post student deployment. Sign Change Order confirming revised scope &amp; alignment with Student timeline.   
Records &amp; Curriculum: Resolve Data Conversion delays for Registrations, POS Snapshots before the start of Workset B (October 2026).
Data Conversion: Address MinnState Business Analyst staffing/skill shortage; resolve issues with loading Program of Study Snapshots before the start of Workset B (October 2026).</t>
  </si>
  <si>
    <t>InterContinental Hotels Group PLC</t>
  </si>
  <si>
    <t>a0pVT00000Cpty7YAB</t>
  </si>
  <si>
    <t>0018000000wEQ6RAAW</t>
  </si>
  <si>
    <t>a3xVT0000009TFhYAM</t>
  </si>
  <si>
    <t>a0rVT0000179kv7YAA</t>
  </si>
  <si>
    <t>{Name=Dealer Tire LLC, PS_Region_New__c=US Medium Enterprise DI, Industry=Professional Services, attributes={type=Account, url=/services/data/v62.0/sobjects/Account/0018000000wEQ6RAAW}}</t>
  </si>
  <si>
    <t>Joao Silva</t>
  </si>
  <si>
    <t>Review the impact and present it to the Steering Committee for a decision next week.</t>
  </si>
  <si>
    <t>{PS_Region_New__c=US Healthcare, attributes={type=Account, url=/services/data/v62.0/sobjects/Account/0018000001KdJKnAAN}, Industry=Post Acute, PS_Sub_Region__c=Healthcare LE, SubRegion__c=US Healthcare LE CB Central, Name=HAH Group Holdings LLC}</t>
  </si>
  <si>
    <t>a3xVT0000009TZ3YAM</t>
  </si>
  <si>
    <t>a0rVT00000xrq3UYAQ</t>
  </si>
  <si>
    <t>017VT0000GuRWLCYQ4</t>
  </si>
  <si>
    <t>Created a detailed Migration Plan for the Dry Run that will be also used for the PROD Cut Over;
Dry run is postponed to wc Sep-28;
Changes date Target to Green to Oct-6;
No further updates for this week.</t>
  </si>
  <si>
    <t>0018000000x3S2xAAE</t>
  </si>
  <si>
    <t>Have a Dry Run to show IMF Migration and Data loading can be done within 5 days.</t>
  </si>
  <si>
    <t>{Name=CBE Group, Inc., PS_Region_New__c=US Medium Enterprise DI, Industry=Professional Services, attributes={type=Account, url=/services/data/v62.0/sobjects/Account/0018000000x3S2xAAE}}</t>
  </si>
  <si>
    <t>Architect / Design;Product  Related;Scope Management</t>
  </si>
  <si>
    <t>a3xVT0000009VvpYAE</t>
  </si>
  <si>
    <t>017VT0000GcCd96YQC</t>
  </si>
  <si>
    <t>Product is working with OSU to deliver the R2 environment and time is scheduled to discuss product gaps. Services is processing a $0 change order to extend the services timeline as a result of the product issues.</t>
  </si>
  <si>
    <t>a0pVT00000CpwXkYAJ</t>
  </si>
  <si>
    <t>a0rVT00001DXEvRYAX</t>
  </si>
  <si>
    <t>The Services and Product teams are working together to include OSU in the EA program for CLMR2 to allow continued progress in uptaking CLM functionality. This will slow down the configuration due to the feature release schedule for CLMR2. Project schedule is being revisited and a change order drafted to change the go-live plan.</t>
  </si>
  <si>
    <t>a3xVT0000009WYXYA2</t>
  </si>
  <si>
    <t>0018000000zVHWfAAO</t>
  </si>
  <si>
    <t>a0rVT0000155ZRaYAM</t>
  </si>
  <si>
    <t>Christopher Grant</t>
  </si>
  <si>
    <t>{Name=SBA Network Services, LLC, PS_Region_New__c=US Medium Enterprise DI, attributes={url=/services/data/v62.0/sobjects/Account/0018000000zVHWfAAO, type=Account}, Industry=Telecom}</t>
  </si>
  <si>
    <t>Foundation tenant complete.  Working through data conversion issues and have started Unit Testing.  Targeting Unit Testing completion by 10/16.</t>
  </si>
  <si>
    <t>{Industry=Post Acute, PS_Region_New__c=US Healthcare, attributes={type=Account, url=/services/data/v62.0/sobjects/Account/0018000001KdJKnAAN}, Name=HAH Group Holdings LLC, SubRegion__c=US Healthcare LE CB Central, PS_Sub_Region__c=Healthcare LE}</t>
  </si>
  <si>
    <t>DC senior leadership has been involved and have escalated to WD Development to assist with troubleshooting.  Due to delays, we are approximately 3 weeks behind schedule.  We have enlisted assistance from partner resources to attempt to get us on track.  Currently, we do not have a timeline as to when we are expecting to be complete with our tenant build due to continued issues.</t>
  </si>
  <si>
    <t>a3xVT0000009X4nYAE</t>
  </si>
  <si>
    <t>a0rVT000017qkILYAY</t>
  </si>
  <si>
    <t>017VT0000GcCd9gYQC</t>
  </si>
  <si>
    <t>The project was escalated to the ME East Delivery Director the week of 9/14. The DD met with the customer's Chief People Officer. She is now meeting the the CPO weekly. A very aggresive plan for the HCM &amp; Benefits go-live was developed and currently being executed.</t>
  </si>
  <si>
    <t>Current plan is revise the timeline to reflect compression of the Config stage tasks for Workday and Testing for the customer.
Review compressed timeline with the project to achieve alignment and then with customer focusing on critical path areas.
With MTP in only 6 weeks; path to green will be receiving a signed go-live authorization from the customer for the inital go-live.</t>
  </si>
  <si>
    <t>0018000000zYw3YAAS</t>
  </si>
  <si>
    <t>a3xVT0000009XuPYAU</t>
  </si>
  <si>
    <t>a0rVT00000r2YdOYAU</t>
  </si>
  <si>
    <t>{attributes={type=Account, url=/services/data/v62.0/sobjects/Account/0018000000zYw3YAAS}, PS_Region_New__c=US SLED, Name=Goodwill of Central and Northern Arizona, Industry=Non-Profit}</t>
  </si>
  <si>
    <t>Angie Morgan</t>
  </si>
  <si>
    <t>9/29 The build is be completed this week and the FAS will begin on 10/5.</t>
  </si>
  <si>
    <t>a0pVT00000CqAE6YAN</t>
  </si>
  <si>
    <t>The new PM has been hired and will drive the team to meet deadlines and due dates. They are also contracting HR resources to help with workload distribution.</t>
  </si>
  <si>
    <t>a3xVT0000009YQfYAM</t>
  </si>
  <si>
    <t>017VT0000GuRG2TYQW</t>
  </si>
  <si>
    <t>a0rVT00001DXEyfYAH</t>
  </si>
  <si>
    <t>{Name=Tacala, LLC, SubRegion__c=US DI LE CB RHT South, PS_Region_New__c=US Large Enterprise DI &amp; Mexico, Industry=Restaurant &amp; Food Service, attributes={url=/services/data/v62.0/sobjects/Account/0018000001JjV3NAAV, type=Account}, PS_Sub_Region__c=Diversified Industries LE CB RHT}</t>
  </si>
  <si>
    <t>00180000010x9i5AAA</t>
  </si>
  <si>
    <t>9/27/26-Customer PM has been pushing back on FDM Design - pushing for cross walk vs. recommended Workday configuration.  Will be presenting recommended FDM changes via Decision Document.  Once decided, drafting change order-MTP 10/26/26 for 11/1 GoLive with FDM changes. Few FIN E2E tests remain.  FIN gold validations in process. HCM unit test past due (9/25).  Proposing new HCM schedule/Change Order.  Evisort delayed to after FIN. Request to move Adaptive to now start out 3 wks from SOW start date... now 10/19 start.  Gail - Customer PM, now not sure she wants Scheduling however would like a demo. Mindy requesting a resource.
9/18/26 MS:  Gail Mootz of BB approved a change of the FIN MTP from 9/28/26 to 10/26/26.  Keeping this DHP open until I receive her email approval and she reviews the new schedule I drafted and I draft and BB approves the change order to memorialize this change. 
9/15/26  MS:  Still don't have files for gold build. At risk.  Submitting Exec status.
9/14/26 MS: Gail Mootz has estimated to provide the 4 past due files by today 9/14/26.  I have asked for an update on the customer HCM-Pay Validation and Unit testing as they are also behind schedule.</t>
  </si>
  <si>
    <t>{attributes={url=/services/data/v62.0/sobjects/Account/00180000010x9i5AAA, type=Account}, Name=The World Economic Forum, PS_Region_New__c=DACH, Industry=Non-Profit}</t>
  </si>
  <si>
    <t>City has not provided 4 files critical for the FIN Gold Build.  Also the HCM Validation and Unit testing are behind schedule.</t>
  </si>
  <si>
    <t>a3xVT0000009ZHtYAM</t>
  </si>
  <si>
    <t>a0rVT00000ta39NYAQ</t>
  </si>
  <si>
    <t>Juan Pablo Salgado</t>
  </si>
  <si>
    <t>017VT0000GuRWg7YQG</t>
  </si>
  <si>
    <t>Customer met with Workday to review the proposed demo, three scenarios, and the implications of dropping the two SKUs, as well as to discuss insights from other municipalities.
At this stage, it is anticipated that the BC team will drop the Assets SKU and potentially the Projects SKU.
Next step: BC will make a decision on the SKUs during the week of October 5, or by October 12 at the latest.
The team will likely meet next week for further review of the options and scenarios related to dropping the SKUs.</t>
  </si>
  <si>
    <t>1- Workday reviewed and re-proposed the solution during a discussion held on September 10 with BC team.
2- The BC met with CoNF on September 3 to review the current challenges and the proposed solution.
3-After step 1 and step 2 The BC is not committed to completing testing and is considering dropping the SKUs.  As a last resort Workday will complete a demo on September 18.
4- Workday will provide the implications and scenarios of dropping the SKUs during the week of September 21.
5- Step 4 completed. Customer met with Workday to review the proposed demo, three scenarios, and the implications of dropping the two SKUs, as well as to discuss insights from other municipalities.
At this stage, it is anticipated that the BC team will drop the Assets SKU and potentially the Projects SKU.
Next step: BC will make a decision on the SKUs during the week of October 5, or by October 12 at the latest.
The team will likely meet next week for further review of the options and scenarios related to dropping the SKUs.</t>
  </si>
  <si>
    <t>00180000011WEQKAA4</t>
  </si>
  <si>
    <t>Change Management / User Adoption;Customer Exec Sponsorship;Testing</t>
  </si>
  <si>
    <t>a0pVT00000Cq6DiYAJ</t>
  </si>
  <si>
    <t>{Industry=Software &amp; Platforms, PS_Region_New__c=EMEA South, attributes={type=Account, url=/services/data/v62.0/sobjects/Account/00180000011WEQKAA4}, Name=Criteo Technology}</t>
  </si>
  <si>
    <t>a3xVT0000009ZUnYAM</t>
  </si>
  <si>
    <t>a0rVT000017VZRZYA4</t>
  </si>
  <si>
    <t>Rebecca Corbitt-Daugharty</t>
  </si>
  <si>
    <t>{SubRegion__c=US DI LE CB RHT South, PS_Region_New__c=US Large Enterprise DI &amp; Mexico, attributes={url=/services/data/v62.0/sobjects/Account/0018000001JjV3NAAV, type=Account}, Industry=Restaurant &amp; Food Service, Name=Tacala, LLC, PS_Sub_Region__c=Diversified Industries LE CB RHT}</t>
  </si>
  <si>
    <t>017VT0000GcCcMdYQK</t>
  </si>
  <si>
    <t>Invesco Group Services, Inc.</t>
  </si>
  <si>
    <t>Escalate to Pexco project sponsor, Request executive level pressure on UKG to supply data, adjust project schedule accordingly.</t>
  </si>
  <si>
    <t>001VT00000bQ9n7YAC</t>
  </si>
  <si>
    <t>a3xVT0000009b0LYAQ</t>
  </si>
  <si>
    <t>{attributes={url=/services/data/v62.0/sobjects/Account/001VT00000bQ9n7YAC, type=Account}, PS_Region_New__c=ASEAN, Name=DKSH Management Pte Ltd, Industry=Professional Services}</t>
  </si>
  <si>
    <t>a0rVT00000vnxEMYAY</t>
  </si>
  <si>
    <t>Eboni Sosias</t>
  </si>
  <si>
    <t>Steer Co completed 9/25.  The e2e testing timeline will extend for at least another 2 weeks. 
For next week: 9/28 - 10/2
The Moffatt team will pause testing except for Payroll. Moffatt team will review and update scenarios as they shared they have completed more testing than is reflected. 
The TopBloc Team will review and address all open issues currently assigned to us. Archs to review and smoke test all "ready for retest" items.
For 10/5 - 10/9 - Moffatt team will reengage to retest issues and finish testing.</t>
  </si>
  <si>
    <t>a0pVT00000Cq91uYAB</t>
  </si>
  <si>
    <t>Initial Plan:
Sent an email to urge the client team to reconsider extending the testing timeline again, at least by another week.
Request to hold an emergency Steering Committee meeting to discuss and finalize their actual plan forward.</t>
  </si>
  <si>
    <t>017VT0000GuOoKyYQK</t>
  </si>
  <si>
    <t>a3xVT0000009bJhYAI</t>
  </si>
  <si>
    <t>a0rVT00000sBHWIYA4</t>
  </si>
  <si>
    <t>001800000143VJJAA2</t>
  </si>
  <si>
    <t>{attributes={url=/services/data/v62.0/sobjects/Account/0018000001JjV3NAAV, type=Account}, Name=Tacala, LLC, PS_Sub_Region__c=Diversified Industries LE CB RHT, Industry=Restaurant &amp; Food Service, PS_Region_New__c=US Large Enterprise DI &amp; Mexico, SubRegion__c=US DI LE CB RHT South}</t>
  </si>
  <si>
    <t>Brendan Mostek</t>
  </si>
  <si>
    <t>{attributes={url=/services/data/v62.0/sobjects/Account/001800000143VJJAA2, type=Account}, Name=Encore Global, PS_Region_New__c=US Large Enterprise DI &amp; Mexico, Industry=Business Services}</t>
  </si>
  <si>
    <t>9/28 - TopBloc team has met with Workday SME to discuss requirements and go through examples of what the client needs. Workday is working through a functional solution that will be reviewed on 9/29 with both teams.</t>
  </si>
  <si>
    <t>Our team is working on a solution involving the creation of a new boomerang integration to address this concern, but we would like guidance from Workday on any other possible alternatives. An AI summary from community was provided on our community post, which our team had already tried prior to creating the post.</t>
  </si>
  <si>
    <t>017VT0000GcCcLuYQK</t>
  </si>
  <si>
    <t>a0rVT00001DXF57YAH</t>
  </si>
  <si>
    <t>a3xVT0000009bd3YAA</t>
  </si>
  <si>
    <t>00180000016o0NBAAY</t>
  </si>
  <si>
    <t>a0rVT00000z9PU1YAM</t>
  </si>
  <si>
    <t>{attributes={type=Account, url=/services/data/v62.0/sobjects/Account/00180000016o0NBAAY}, Name=McKibbon Hospitality, PS_Region_New__c=US FSI, Industry=Lodging &amp; Resorts}</t>
  </si>
  <si>
    <t>IPEX Management Inc.</t>
  </si>
  <si>
    <t>017VT0000GcCd7kYQC</t>
  </si>
  <si>
    <t>9/27:  FDM: 1) Completed implementation-tenant configuration by 9/23.  2) Conducted live walkthrough with AAA-MWG on 9/25 (1–2pm PT) using two customer-requested reports. 3) Available to support AAA-MWG's 9/29 executive offsite for the go-forward decision. 4) Awaiting decision and then sign-off on Ledger Account Summaries, Cost Centers, Spend Categories, and APRs. 5) Kick off FDM Downstream Impact assessment (Adaptive Planning, Integrations, Reporting),  pending decision after 9/29 offsite.
Scheduling: 1) Confirmed all testers have tenant access. 2) Maintain weekly meeting cadence per pilot group to close Workbook requirement gaps. 3) No single decision maker to be identified.  They have identified 3 resources from each pilot group as decision makers on requirements.  4) Additional testing checkpoint meetings have been established.</t>
  </si>
  <si>
    <t>a0rVT00001DXF8LYAX</t>
  </si>
  <si>
    <t>0018000001AG7zIAAT</t>
  </si>
  <si>
    <t>{Name=Yellowstone Landscape Group, Inc., PS_Region_New__c=US Large Enterprise DI &amp; Mexico, Industry=Business Services, attributes={url=/services/data/v62.0/sobjects/Account/0018000001AG7zIAAT, type=Account}}</t>
  </si>
  <si>
    <t>Canada ME West</t>
  </si>
  <si>
    <t>9/27:  FDM: 1) Complete implementation-tenant configuration by 9/23. This is complete.  2) Conduct live walkthrough with AAA-MWG on 9/25 (1–2pm PT) using two customer-requested reports. 3) Support AAA-MWG's 9/29 executive offsite for the go-forward decision. 4) Upon decision, obtain sign-off on Ledger Account Summaries, Cost Centers, Spend Categories, and APRs. 5) Kick off FDM Downstream Impact assessment (Adaptive Planning, Integrations, Reporting), targeting 10/25.
Scheduling: 1) Confirm all testers have tenant access immediately.  This is now complete. . 2) Maintain weekly meeting cadence per pilot group to close Workbook requirement gaps. 3) No single decision maker to be identified.  They have identified 3 resources from each pilot group as decision makers on requirements.  4) Reassess status once Unit Testing is substantially underway, protecting the early-November 2026 pilot go-live target.</t>
  </si>
  <si>
    <t>017VT0000GuRYLMYQ4</t>
  </si>
  <si>
    <t>a3xVT0000009cpFYAQ</t>
  </si>
  <si>
    <t>a0rVT00001DXF8MYAX</t>
  </si>
  <si>
    <t>a0rVT00000h87tBYAQ</t>
  </si>
  <si>
    <t>0018000001QSeM2AAL</t>
  </si>
  <si>
    <t>Tim Stares</t>
  </si>
  <si>
    <t>{attributes={url=/services/data/v62.0/sobjects/Account/0018000001QSeM2AAL, type=Account}, PS_Region_New__c=EMEA North, Industry=Hardlines, Name=Signify Netherlands B.V.}</t>
  </si>
  <si>
    <t>Bank payment changes have been made to the integration and tested against all 4 banks and show as working.  Bulk testing over next 2 days will provide confidence this is working
Financials data is being updated in teh IMPL tenant today to be able to continue testing of the consolidations
Banks statements Miller are escalating the issue with Kyriba as the most efficient solution it to resolve the problem with the statements coming from Kyriba.  Not critical for go live there is a work around</t>
  </si>
  <si>
    <t>We have identified the changes that need to be made to the integrations and have a plan in place to make these and include in the gold build
Data has been given an extended deadline of the 22nd September to finalise and this will not impact the start of the gold build</t>
  </si>
  <si>
    <t>017VT0000GuRUd7YQG</t>
  </si>
  <si>
    <t>a0pVT00000Cq0Q3YAJ</t>
  </si>
  <si>
    <t>a3xVT0000009eB7YAI</t>
  </si>
  <si>
    <t>0018000001AxiEtAAJ</t>
  </si>
  <si>
    <t>{Name=Ascensus, LLC, attributes={type=Account, url=/services/data/v62.0/sobjects/Account/0018000001AxiEtAAJ}, Industry=Insurance, PS_Region_New__c=US FSI}</t>
  </si>
  <si>
    <t>a0rVT00000gt1PtYAI</t>
  </si>
  <si>
    <t>Mari Maasen</t>
  </si>
  <si>
    <t>017VT0000GuRSspYQG</t>
  </si>
  <si>
    <t>{attributes={url=/services/data/v62.0/sobjects/Account/0018000001JjV3NAAV, type=Account}, SubRegion__c=US DI LE CB RHT South, PS_Sub_Region__c=Diversified Industries LE CB RHT, Industry=Restaurant &amp; Food Service, Name=Tacala, LLC, PS_Region_New__c=US Large Enterprise DI &amp; Mexico}</t>
  </si>
  <si>
    <t>a0rVT00001DXFBZYA5</t>
  </si>
  <si>
    <t>0018000001BM1CUAA1</t>
  </si>
  <si>
    <t>IPS Security Inc</t>
  </si>
  <si>
    <t>Testing will not complete as planned during the E2E Testing Stage	"- Categorize tests based on critical path and provide finalize date.
- Daily check in on testing progress of critical path/other testing
- Schedule ad hoc meetings to remove blockers from testing"	HMC	"Critical path testing milestones
-Parallel Impacting - 2 Oct
- Assess on 2 Oct ability to move forward
- Delay start of Parallel by 1 week starting 5-Oct
- Functionality Prod day 1 - 2-Oct
- Early functionality required - 9-Oct
"	In Progress
HMC team unable to confirm configuration	"- Address any configuration anomalies via the testing process by opening defects to be reviewed by Strada.
- HMC to prioritize workstream calls and inquire about process clarification or address defects."	Joint	2-Oct	Not Started
HMC team does not have strong production readiness	"- Strada will conduct knowledge transfer for all areas
- Explore Production Payroll staff augmentation
- Explore options for extended Strada services to support early in Production"	Joint	6-Nov	Not Started
Parallel Support	- HMC to ensure the parallel exercise is staffed and attended to daily to ensure timely completion	HMC	Oct 2-Nov 13	Not Started</t>
  </si>
  <si>
    <t>{PS_Region_New__c=Canada, Industry=Software &amp; Platforms, Name=Tecsys, Inc., attributes={url=/services/data/v62.0/sobjects/Account/0018000001BM1CUAA1, type=Account}}</t>
  </si>
  <si>
    <t>a3xVT0000009eFxYAI</t>
  </si>
  <si>
    <t>Workday/HiredScore to provide Verizon with an estimated timeline for implementing Gold Standard so Verizon can make a decision on how to proceed.</t>
  </si>
  <si>
    <t>Workday/HiredScore to provide Verizon with an estimated timeline for implementing Gold Standard so Verizon can make a decision.</t>
  </si>
  <si>
    <t>a3xVT0000009eJBYAY</t>
  </si>
  <si>
    <t>017VT0000GuRSsvYQG</t>
  </si>
  <si>
    <t>a0rVT00000kALggYAG</t>
  </si>
  <si>
    <t>Xavier de la Tousche</t>
  </si>
  <si>
    <t>a0pVT00000CpupIYAR</t>
  </si>
  <si>
    <t>0018000001BN1syAAD</t>
  </si>
  <si>
    <t>22/9/26 : 
#3422871 Product enhancement will be prioritized
#3422821 Product bug under review
30/9/26
#3422871  1st call with client postponed due to P&amp;T reorg</t>
  </si>
  <si>
    <t>{Name=Blackline Systems, Inc., Industry=Software &amp; Platforms, PS_Region_New__c=US Medium Enterprise DI, attributes={url=/services/data/v62.0/sobjects/Account/0018000001BN1syAAD, type=Account}}</t>
  </si>
  <si>
    <t>1-2 products case opened 
2- Escalation to top management 
3 - Temporary workarounds proposed internally by customer while waiting for product resolution</t>
  </si>
  <si>
    <t>{PS_Sub_Region__c=Higher Education LE, SubRegion__c=US Higher Ed LE East, attributes={type=Account, url=/services/data/v62.0/sobjects/Account/0018000000WsoqcAAB}, Name=City University of New York (Precision Task Group, Inc.), PS_Region_New__c=US SLED, Industry=Higher Education}</t>
  </si>
  <si>
    <t>a3xVT0000009ez7YAA</t>
  </si>
  <si>
    <t>017VT0000GcCcGFYQ0</t>
  </si>
  <si>
    <t>a0rVT000017ohGXYAY</t>
  </si>
  <si>
    <t>Priya Prabhu</t>
  </si>
  <si>
    <t>Ipsen Pharma SAS</t>
  </si>
  <si>
    <t>0018000001BxkG4AAJ</t>
  </si>
  <si>
    <t>9/28 - Data loads still in progress. HCM nearly complete. Pay complete. Benefits in progress. Targeting 9/30 completion now. Hence trending RED.</t>
  </si>
  <si>
    <t>{PS_Region_New__c=US SLED, Industry=Post Acute, attributes={url=/services/data/v62.0/sobjects/Account/0018000001BxkG4AAJ, type=Account}, Name=Friendship Senior Options}</t>
  </si>
  <si>
    <t>1. Rocket SOW executed and DC /EM engaged. Worker data extraction in progress with Rocket sign off and Bedrock review. 
2. Data loads to Bedrock targeted to complete 9/25. 
3. Unit Testing timeline and payroll parallel cycle 1 testing timeline is impacted and we will overlap with E2E timeline for Customer. Customer is aware of this overlap.</t>
  </si>
  <si>
    <t>France MFG HC &amp; Energy ME</t>
  </si>
  <si>
    <t>a3xVT0000009fbpYAA</t>
  </si>
  <si>
    <t>017VT0000GcCcEVYQ0</t>
  </si>
  <si>
    <t>a0rVT000014w7mHYAQ</t>
  </si>
  <si>
    <t>a0rVT00001DXFI1YAP</t>
  </si>
  <si>
    <t>a0pVT00000CporuYAB</t>
  </si>
  <si>
    <t>0018000001C1AOsAAN</t>
  </si>
  <si>
    <t>{Industry=Banking &amp; Capital Markets, Name=Tower Federal Credit Union, PS_Region_New__c=US FSI, attributes={url=/services/data/v62.0/sobjects/Account/0018000001C1AOsAAN, type=Account}}</t>
  </si>
  <si>
    <t>Work with client to determine necessity of adding time to timeline for testing. 
-If required: Prepare and Send CO for additional hours and timeline change. 
-If not required: Close DHP</t>
  </si>
  <si>
    <t>{attributes={url=/services/data/v62.0/sobjects/Account/0011B00002HkFcRQAV, type=Account}, PS_Sub_Region__c=Diversified Industries LE CB RHT, Name=Bloomin' Brands International, Industry=Restaurant &amp; Food Service, SubRegion__c=US DI LE CB RHT Southeast, PS_Region_New__c=US Large Enterprise DI &amp; Mexico}</t>
  </si>
  <si>
    <t>a3xVT0000009fiHYAQ</t>
  </si>
  <si>
    <t>017VT0000GcCdBiYQK</t>
  </si>
  <si>
    <t>a0rVT000018LR05YAG</t>
  </si>
  <si>
    <t>0018000001Ei18xAAB</t>
  </si>
  <si>
    <t>{Name=DK Crown Holdings Inc., PS_Region_New__c=US Large Enterprise DI &amp; Mexico, Industry=Media &amp; Entertainment, attributes={type=Account, url=/services/data/v62.0/sobjects/Account/0018000001Ei18xAAB}}</t>
  </si>
  <si>
    <t>Met with customer 9/15 to talk realities of timeline. Met again on 9/18 to follow up on missing info. Still missing information (job catalog) as well as employee data for their second company. Hays promised to have missing data on sFTP before Monday morning, 9/21. Internal team will meet after review the data and work on a timeline. We are 6 weeks away from their requested 11/1 go live date, Hays team is researching with benefits etc. about pushing to 1/1 go live (which still may be unrealistic).</t>
  </si>
  <si>
    <t>a3xVT0000009gBJYAY</t>
  </si>
  <si>
    <t>017VT0000GuRXyvYQG</t>
  </si>
  <si>
    <t>a0pVT00000Cq0hlYAB</t>
  </si>
  <si>
    <t>IRB Holding Corp.</t>
  </si>
  <si>
    <t>a0rVT00001DXFLFYA5</t>
  </si>
  <si>
    <t>a0rVT00000JezjZYAR</t>
  </si>
  <si>
    <t>0018000001EfgHRAAZ</t>
  </si>
  <si>
    <t>Timothy Phillis</t>
  </si>
  <si>
    <t>{Industry=Restaurant &amp; Food Service, Name=Meritage Hospitality Group Inc., PS_Region_New__c=US Large Enterprise DI &amp; Mexico, attributes={url=/services/data/v62.0/sobjects/Account/0018000001EfgHRAAZ, type=Account}}</t>
  </si>
  <si>
    <t>{PS_Region_New__c=US Large Enterprise DI &amp; Mexico, Industry=Restaurant &amp; Food Service, Name=Bloomin' Brands International, PS_Sub_Region__c=Diversified Industries LE CB RHT, SubRegion__c=US DI LE CB RHT Southeast, attributes={type=Account, url=/services/data/v62.0/sobjects/Account/0011B00002HkFcRQAV}}</t>
  </si>
  <si>
    <t>Open milestones for Change Network Initiated and Initial Draft Cutover Plan have been approved.  All invoices have been sent.  Advantage is reviewing current invoices.</t>
  </si>
  <si>
    <t>Strada and Client to come to terms on cancellation of contract.</t>
  </si>
  <si>
    <t>017VT0000GuQPjrYQG</t>
  </si>
  <si>
    <t>a3xVT0000009gb7YAA</t>
  </si>
  <si>
    <t>a0rVT00000rAxmfYAC</t>
  </si>
  <si>
    <t>Rasmus Traumer</t>
  </si>
  <si>
    <t>001VT00000Jlrp8YAB</t>
  </si>
  <si>
    <t>{PS_Region_New__c=US SLED, Industry=State &amp; Local Government, Name=City of Delaware, OH, attributes={url=/services/data/v62.0/sobjects/Account/001VT00000Jlrp8YAB, type=Account}}</t>
  </si>
  <si>
    <t>We are working with the client to agree a new go-live date.</t>
  </si>
  <si>
    <t>Customer Resources;Integration;Product  Related;Project Management/Methodology;Scope Management;Testing</t>
  </si>
  <si>
    <t>017VT0000GuRXz4YQG</t>
  </si>
  <si>
    <t>a0pVT00000CptraYAB</t>
  </si>
  <si>
    <t>a3xVT0000009h8zYAA</t>
  </si>
  <si>
    <t>0018000001F933NAAR</t>
  </si>
  <si>
    <t>a0rVT00001BcJR2YAN</t>
  </si>
  <si>
    <t>{attributes={type=Account, url=/services/data/v62.0/sobjects/Account/0018000001F933NAAR}, Industry=Investment Management, Name=GIC Private Limited, PS_Region_New__c=ASEAN}</t>
  </si>
  <si>
    <t>Lindsay Woollam</t>
  </si>
  <si>
    <t>{SubRegion__c=US DI LE CB RHT Southeast, Industry=Restaurant &amp; Food Service, PS_Region_New__c=US Large Enterprise DI &amp; Mexico, Name=Bloomin' Brands International, PS_Sub_Region__c=Diversified Industries LE CB RHT, attributes={url=/services/data/v62.0/sobjects/Account/0011B00002HkFcRQAV, type=Account}}</t>
  </si>
  <si>
    <t>a0rVT00001DXGdtYAH</t>
  </si>
  <si>
    <t>Found some issues and need to fix and test before moving into cutover. Go live pushing to week of 10/5. Working this week to be Green by Friday and getting the cutover case updated.</t>
  </si>
  <si>
    <t>017VT0000GcCcJmYQK</t>
  </si>
  <si>
    <t>Meeting with Leadership on Thursday to review the changes.</t>
  </si>
  <si>
    <t>a0rVT00001DXFMsYAP</t>
  </si>
  <si>
    <t>Irdeto</t>
  </si>
  <si>
    <t>0018000001JhzTAAAZ</t>
  </si>
  <si>
    <t>Corporate</t>
  </si>
  <si>
    <t>a3xVT0000009hYnYAI</t>
  </si>
  <si>
    <t>{attributes={url=/services/data/v62.0/sobjects/Account/0018000001JhzTAAAZ, type=Account}, Name=KBP Brands, LLC, Industry=Restaurant &amp; Food Service, PS_Region_New__c=US Large Enterprise DI &amp; Mexico}</t>
  </si>
  <si>
    <t>a0rVT00000xs5IVYAY</t>
  </si>
  <si>
    <t>Jennifer Binder</t>
  </si>
  <si>
    <t>017VT0000GuR5VSYQ0</t>
  </si>
  <si>
    <t>Save Mart is still behind on parallel impacting testing scenarios. There are still 74 scenarios that must be passed before we start parallel. Our go live is at risk.</t>
  </si>
  <si>
    <t>a0pVT00000Cq0jNYAR</t>
  </si>
  <si>
    <t>0018000001FsiQGAAZ</t>
  </si>
  <si>
    <t>All payroll-impacting end-to-end testing scenarios must be signed off by 9/29 in order to start parallel testing. Based on their testing history, signing off by EOW is unlikely. 
We do have 1 additional buffer week that can be used; however, that week will be needed during parallel testing.</t>
  </si>
  <si>
    <t>{Name=Greystar Global Enterprise, LLC, PS_Region_New__c=US Large Enterprise DI &amp; Mexico, attributes={type=Account, url=/services/data/v62.0/sobjects/Account/0018000001FsiQGAAZ}, Industry=Business Services}</t>
  </si>
  <si>
    <t>a3xVT0000009iMnYAI</t>
  </si>
  <si>
    <t>{PS_Sub_Region__c=Diversified Industries LE CB RHT, Name=Bloomin' Brands International, attributes={type=Account, url=/services/data/v62.0/sobjects/Account/0011B00002HkFcRQAV}, Industry=Restaurant &amp; Food Service, PS_Region_New__c=US Large Enterprise DI &amp; Mexico, SubRegion__c=US DI LE CB RHT Southeast}</t>
  </si>
  <si>
    <t>017VT0000GuR5VPYQ0</t>
  </si>
  <si>
    <t>a0rVT00001DXFQ5YAP</t>
  </si>
  <si>
    <t>0018000001ICBUOAA5</t>
  </si>
  <si>
    <t>As of 09/28, the project sponsor (Sunil W.) is investigating if an additional amount will be charged to the customer or not (after confirming back in early September that this would have been a $0 CO, new information is affecting this change of action).</t>
  </si>
  <si>
    <t>{PS_Region_New__c=US Medium Enterprise DI, Industry=Land and Rail Transportation and Freight, Name=Transervice Logistics Inc., attributes={url=/services/data/v62.0/sobjects/Account/0018000001ICBUOAA5, type=Account}}</t>
  </si>
  <si>
    <t>a3xVT0000009kTRYAY</t>
  </si>
  <si>
    <t>a0rVT000017gAPpYAM</t>
  </si>
  <si>
    <t>017VT0000GuRNkAYQW</t>
  </si>
  <si>
    <t>a0rVT00001DXFQ6YAP</t>
  </si>
  <si>
    <t>a0pVT00000Cq34ZYAR</t>
  </si>
  <si>
    <t>0018000001Rl1pRAAR</t>
  </si>
  <si>
    <t>{Industry=Healthcare Manufacturing, attributes={url=/services/data/v62.0/sobjects/Account/0018000001Rl1pRAAR, type=Account}, PS_Region_New__c=US Medium Enterprise DI, Name=Jazz Pharmaceuticals, Inc.}</t>
  </si>
  <si>
    <t>Workday has advised the customer to engage a partner firm for additional implementation support. We are currently awaiting confirmation from the customer.</t>
  </si>
  <si>
    <t>{SubRegion__c=US NFP NN West, PS_Region_New__c=US SLED, Name=Rise Services Inc, attributes={url=/services/data/v62.0/sobjects/Account/0014X00002aTXNhQAO, type=Account}, PS_Sub_Region__c=Higher Education LE, Industry=Non-Profit}</t>
  </si>
  <si>
    <t>017VT0000GcCd7DYQS</t>
  </si>
  <si>
    <t>a3xVT0000009kWfYAI</t>
  </si>
  <si>
    <t>a0rVT00001DXFQ7YAP</t>
  </si>
  <si>
    <t>a0rVT00000tBo6fYAC</t>
  </si>
  <si>
    <t>Luke Marty</t>
  </si>
  <si>
    <t>0018000001WKDOPAA5</t>
  </si>
  <si>
    <t>{Name=Qualcomm Incorporated, attributes={url=/services/data/v62.0/sobjects/Account/0018000001WKDOPAA5, type=Account}, PS_Region_New__c=US Large Enterprise DI &amp; Mexico, Industry=High Technology}</t>
  </si>
  <si>
    <t>Sept 23: EAC = 3,284. BAC = 3,225.5. Overage = 58.5(1.81%)</t>
  </si>
  <si>
    <t>The scope of this additional support is being identified and discussed with he customer. Currently extended Financial Accounting, Cash Management, and Reporting support has been requested. The target date to have all extended support scope items identified with the $0 change order processed is no later than 10/16/26.</t>
  </si>
  <si>
    <t>017VT0000GuR5VlYQK</t>
  </si>
  <si>
    <t>a0pVT00000Cq2wTYAR</t>
  </si>
  <si>
    <t>a0rVT00001DXFRiYAP</t>
  </si>
  <si>
    <t>Project Management/Methodology;Scope Management</t>
  </si>
  <si>
    <t>0018000001WMHNEAA5</t>
  </si>
  <si>
    <t>{PS_Region_New__c=US Medium Enterprise DI, attributes={type=Account, url=/services/data/v62.0/sobjects/Account/0018000001WMHNEAA5}, Industry=Restaurant &amp; Food Service, Name=Taco John's International, Inc.}</t>
  </si>
  <si>
    <t>a3xVT0000009lVxYAI</t>
  </si>
  <si>
    <t>a0rVT00000vnqRRYAY</t>
  </si>
  <si>
    <t>{Name=Edwards Lifesciences LLC, PS_Region_New__c=US Large Enterprise DI &amp; Mexico, Industry=Healthcare Manufacturing, SubRegion__c=US DI LE CB MFG West, PS_Sub_Region__c=Diversified Industries LE CB MFG, attributes={url=/services/data/v62.0/sobjects/Account/0013000000J1WDdAAN, type=Account}}</t>
  </si>
  <si>
    <t>a0rVT00001EHtE6YAL</t>
  </si>
  <si>
    <t>Arman Khan</t>
  </si>
  <si>
    <t>017VT0000GuRY5OYQW</t>
  </si>
  <si>
    <t>a0rVT00001DXFTJYA5</t>
  </si>
  <si>
    <t>We are trying to meet with Paradox's technical resources to have a working session to resolve the issue.</t>
  </si>
  <si>
    <t>0018000001KdJBLAA3</t>
  </si>
  <si>
    <t>{PS_Region_New__c=US Healthcare, Name=Vinfen Corporation, attributes={url=/services/data/v62.0/sobjects/Account/0018000001KdJBLAA3, type=Account}, Industry=Other Healthcare}</t>
  </si>
  <si>
    <t>a3xVT0000009nxZYAQ</t>
  </si>
  <si>
    <t>a0rVT0000175KftYAE</t>
  </si>
  <si>
    <t>Debojyoti Dutta</t>
  </si>
  <si>
    <t>a0pVT00000CpoOsYAJ</t>
  </si>
  <si>
    <t>1] User Story Tracker to monitor progress and add a 3rd call for the week
2] DC will be unblocked by next week, INT Wave 2 and Wave 3 will take time to unblock 
3] Expecting a closure by 10/15/2026 on schema
Overall progress readiness for 01/01/2027 testing is as Risk</t>
  </si>
  <si>
    <t>1] User Story Tracker to monitor progress and add a 3rd call for the week
2] DC will be unblocked by next week, INT Wave 2 and Wave 3 will take time to unblock 
3] Expecting a closure by 10/15/2026 on schema</t>
  </si>
  <si>
    <t>Architect / Design;Deployment Resources;Scope Management</t>
  </si>
  <si>
    <t>{attributes={url=/services/data/v62.0/sobjects/Account/0013000000J1WDdAAN, type=Account}, PS_Region_New__c=US Large Enterprise DI &amp; Mexico, SubRegion__c=US DI LE CB MFG West, Industry=Healthcare Manufacturing, Name=Edwards Lifesciences LLC, PS_Sub_Region__c=Diversified Industries LE CB MFG}</t>
  </si>
  <si>
    <t>a3xVT0000009pJRYAY</t>
  </si>
  <si>
    <t>a0rVT00000O1bHXYAZ</t>
  </si>
  <si>
    <t>Jen Fippinger</t>
  </si>
  <si>
    <t>Cases have been logged, and are being carefully managed.  The Financial Aid team will test solutions as they are delivered by Workday.</t>
  </si>
  <si>
    <t>017VT0000GcCcFlYQK</t>
  </si>
  <si>
    <t>a0rVT00001DXGCUYA5</t>
  </si>
  <si>
    <t>a3xVT0000009pL3YAI</t>
  </si>
  <si>
    <t>a0rVT00001DXFUwYAP</t>
  </si>
  <si>
    <t>a0rVT00000qxn0MYAQ</t>
  </si>
  <si>
    <t>Iron Horse Companies</t>
  </si>
  <si>
    <t>0018000001KdJK7AAN</t>
  </si>
  <si>
    <t>a0pVT00000Cq1M6YAJ</t>
  </si>
  <si>
    <t>{Industry=Hardlines, attributes={url=/services/data/v62.0/sobjects/Account/0018000001KdJK7AAN, type=Account}, PS_Region_New__c=US Large Enterprise DI &amp; Mexico, Name=US LBM Holdings, LLC}</t>
  </si>
  <si>
    <t>Plan is to provide customer with options and related costs to help them make an informed decision on proceeding. Working with Drew and Norm at the current moment.</t>
  </si>
  <si>
    <t>{PS_Region_New__c=US Medium Enterprise DI, SubRegion__c=US DI ME CB TM Southeast, attributes={type=Account, url=/services/data/v62.0/sobjects/Account/0014X00002FC1wtQAD}, PS_Sub_Region__c=ME CB TM &amp; RHT, Name=Catalyte, Inc., Industry=Software &amp; Platforms}</t>
  </si>
  <si>
    <t>017VT0000Gl03uMYQQ</t>
  </si>
  <si>
    <t>a3xVT0000009pT7YAI</t>
  </si>
  <si>
    <t>a0rVT00001DXFWXYA5</t>
  </si>
  <si>
    <t>0018000001KdYurAAF</t>
  </si>
  <si>
    <t>Jessica Pompe</t>
  </si>
  <si>
    <t>{PS_Region_New__c=US Healthcare, Name=Touchmark Living Centers, Inc., Industry=Post Acute, attributes={type=Account, url=/services/data/v62.0/sobjects/Account/0018000001KdYurAAF}}</t>
  </si>
  <si>
    <t>2026-09-23T16:11:43.000+0000</t>
  </si>
  <si>
    <t>Need WD support
We posted here: https://collaborate.workday.com/t5/Professional-Services-Paradox/Locations-Data-Feed-Error-Status/m-p/2285989/thread-id/29?lang=en-us</t>
  </si>
  <si>
    <t>017VT0000GuRYGbYQO</t>
  </si>
  <si>
    <t>a0pVT00000CpqqUYAR</t>
  </si>
  <si>
    <t>a3xVT0000009pZZYAY</t>
  </si>
  <si>
    <t>0018000001MuPmYAAV</t>
  </si>
  <si>
    <t>a0rVT00000l5BG1YAM</t>
  </si>
  <si>
    <t>{Industry=Utilities, PS_Region_New__c=Canada, attributes={url=/services/data/v62.0/sobjects/Account/0018000001MuPmYAAV, type=Account}, Name=GFL Environmental Inc.}</t>
  </si>
  <si>
    <t>Sue Wood</t>
  </si>
  <si>
    <t>0018000000RCdoTAAT</t>
  </si>
  <si>
    <t>{Name=Advocate Health, Inc., PS_Region_New__c=US Healthcare, attributes={url=/services/data/v62.0/sobjects/Account/0018000000RCdoTAAT, type=Account}, SubRegion__c=US Healthcare Majors CB, Industry=Acute Hospital / Health System, PS_Sub_Region__c=Healthcare Majors NN}</t>
  </si>
  <si>
    <t>IDEA executive review scheduled for Wed, 9/30/2026 and accepting Cognizant's recovery plan to address performance concerns, including a revised timeline and CO approval.</t>
  </si>
  <si>
    <t>Irvine Eastgate Office II LLC</t>
  </si>
  <si>
    <t>017VT0000GuRNk7YQG</t>
  </si>
  <si>
    <t>a0rVT00001DXFYAYA5</t>
  </si>
  <si>
    <t>0018000001Rl1pfAAB</t>
  </si>
  <si>
    <t>{attributes={url=/services/data/v62.0/sobjects/Account/0018000001Rl1pfAAB, type=Account}, PS_Region_New__c=US FSI, Industry=Investment Management, Name=Natixis North America LLC}</t>
  </si>
  <si>
    <t>017VT0000GcCd7zYQC</t>
  </si>
  <si>
    <t>a3xVT0000009q93YAA</t>
  </si>
  <si>
    <t>0018000001OT0mVAAT</t>
  </si>
  <si>
    <t>a0rVT00000azHVXYA2</t>
  </si>
  <si>
    <t>{PS_Region_New__c=US Healthcare, attributes={type=Account, url=/services/data/v62.0/sobjects/Account/0018000001OT0mVAAT}, Industry=Post Acute, Name=Alivia Care, Inc. (Inactive Account)}</t>
  </si>
  <si>
    <t>017VT0000GcCcLTYQ0</t>
  </si>
  <si>
    <t>a0pVT00000Cq9TKYAZ</t>
  </si>
  <si>
    <t>a0rVT00001DXFebYAH</t>
  </si>
  <si>
    <t>Need decision from customer to postpone go live or go live with an MVP</t>
  </si>
  <si>
    <t>0018000001P4IqpAAF</t>
  </si>
  <si>
    <t>ISS United States</t>
  </si>
  <si>
    <t>Change Management / User Adoption;Customer Exec Sponsorship;Customer Resources;Deployment Resources;Integration;Testing</t>
  </si>
  <si>
    <t>{PS_Region_New__c=US Large Enterprise DI &amp; Mexico, Industry=Software &amp; Platforms, Name=Procore Technologies Inc., attributes={url=/services/data/v62.0/sobjects/Account/0018000001P4IqpAAF, type=Account}}</t>
  </si>
  <si>
    <t>a3xVT0000009qKLYAY</t>
  </si>
  <si>
    <t>017VT0000GcCdBHYQ0</t>
  </si>
  <si>
    <t>09/28: Created a risk in RAIDQ of the project and tagged Andréz and Mridhula so they can have a discussion with Ascension PM on the new go-live and end date. Ascension mentioned via email that as of today, there's no progress on the APIs build.</t>
  </si>
  <si>
    <t>a0rVT00001DXFgDYAX</t>
  </si>
  <si>
    <t>{PS_Sub_Region__c=FSI ME CB, attributes={url=/services/data/v62.0/sobjects/Account/0018000001eXtuYAAS, type=Account}, Industry=Banking &amp; Capital Markets, Name=Stout Risius Ross, LLC, SubRegion__c=US FSI ME CB Northeast 2, PS_Region_New__c=US FSI}</t>
  </si>
  <si>
    <t>Create a change order for the new go-live date and end date once the API completion date is provided by Ascension. The Change Order may include additional cost, this is something that the new EM of the project (Andres Martinez) and the project sponsor (Mridhula Raghupathy) will need to review and discuss with the customer</t>
  </si>
  <si>
    <t>{PS_Region_New__c=ANZ, attributes={url=/services/data/v62.0/sobjects/Account/0018000001QRkIDAA1, type=Account}, Industry=Post Acute, Name=UnitingCare Qld Limited (ABN 84 675 001 493)}</t>
  </si>
  <si>
    <t>a3xVT0000009rRhYAI</t>
  </si>
  <si>
    <t>017VT0000GcCd7GYQS</t>
  </si>
  <si>
    <t>Change order being drafted and then will be discussed between the internal WD CLM (Sunil) and WSS (Lakshmi) Leadership to determine the next steps in support of the project.</t>
  </si>
  <si>
    <t>0018000001TC168AAD</t>
  </si>
  <si>
    <t>{attributes={url=/services/data/v62.0/sobjects/Account/0018000001TC168AAD, type=Account}, PS_Region_New__c=US FSI, Name=AssuredPartners, Inc., Industry=Insurance}</t>
  </si>
  <si>
    <t>In response to the customer-requested timeline shift resulting from their internal CLM changes. The WSS team is currently drafting a Change Order to formalize the addition of seven weeks to our overall engagement timeline. This extension directly accounts for the extra functional and management support required for ongoing alignment, as well as an additional dedicated cycle of end-to-end testing, final deployment, and post-go-live production support. We are finalizing these scope adjustments to ensure our resources remain fully aligned with the customer's revised target date while maintaining project governance.</t>
  </si>
  <si>
    <t>a3xVT0000009rl3YAA</t>
  </si>
  <si>
    <t>a0r4X00000ETWqdQAH</t>
  </si>
  <si>
    <t>Oliver Reilly</t>
  </si>
  <si>
    <t>017VT0000GcCcFBYQ0</t>
  </si>
  <si>
    <t>Collaborating with Workday consultant to assess E2C solution.</t>
  </si>
  <si>
    <t>Ivy Tech Community College of Indiana</t>
  </si>
  <si>
    <t>a0pVT00000CpoS7YAJ</t>
  </si>
  <si>
    <t>0018000001V50FBAAZ</t>
  </si>
  <si>
    <t>{attributes={url=/services/data/v62.0/sobjects/Account/0018000001V50FBAAZ, type=Account}, PS_Region_New__c=Canada, Name=FMI, Industry=Restaurant &amp; Food Service}</t>
  </si>
  <si>
    <t>a3xVT0000009rmfYAA</t>
  </si>
  <si>
    <t>{Name=Stout Risius Ross, LLC, SubRegion__c=US FSI ME CB Northeast 2, PS_Sub_Region__c=FSI ME CB, Industry=Banking &amp; Capital Markets, PS_Region_New__c=US FSI, attributes={type=Account, url=/services/data/v62.0/sobjects/Account/0018000001eXtuYAAS}}</t>
  </si>
  <si>
    <t>a0rVT00000yxOmyYAE</t>
  </si>
  <si>
    <t>Sherin Hanna</t>
  </si>
  <si>
    <t>CBS is evaluating extending End to End additional 2 weeks or potentially shifting go-live to 4/1/2027.</t>
  </si>
  <si>
    <t>a3xVT0000009sVpYAI</t>
  </si>
  <si>
    <t>a0rVT00000tiLtvYAE</t>
  </si>
  <si>
    <t>1. Jacob to provide final pay history/pay input file asap.
2. Jacob/Kara to work through payroll processing checklist by EOD Wed.
3. Jacob to process payroll Thursday.
4. Tricia to start alerting internal stakeholders about potential payroll delays.</t>
  </si>
  <si>
    <t>017VT0000GuPf4zYQC</t>
  </si>
  <si>
    <t>a0rVT00001DXFl3YAH</t>
  </si>
  <si>
    <t>0018000001W8BHyAAN</t>
  </si>
  <si>
    <t>a0pVT00000Cq0TIYAZ</t>
  </si>
  <si>
    <t>{PS_Region_New__c=US Medium Enterprise DI, Industry=Industrial Manufacturing, attributes={type=Account, url=/services/data/v62.0/sobjects/Account/0018000001W8BHyAAN}, Name=Packsize LLC}</t>
  </si>
  <si>
    <t>a0rVT00001DXGcHYAX</t>
  </si>
  <si>
    <t>017VT0000GuPf58YQC</t>
  </si>
  <si>
    <t>{Name=Sport Clips Canada, PS_Region_New__c=Canada, Industry=Amusement &amp; Recreation, SubRegion__c=Canada Commercial, attributes={type=Account, url=/services/data/v62.0/sobjects/Account/001VT00000b2vBNYAY}, PS_Sub_Region__c=Canada Commercial}</t>
  </si>
  <si>
    <t>a0rVT00001DXFmfYAH</t>
  </si>
  <si>
    <t>JAKS-LOU LLC</t>
  </si>
  <si>
    <t>0018000001WLa9bAAD</t>
  </si>
  <si>
    <t>{Industry=Software &amp; Platforms, PS_Region_New__c=US Medium Enterprise DI, Name=Savista, LLC, attributes={type=Account, url=/services/data/v62.0/sobjects/Account/0018000001WLa9bAAD}}</t>
  </si>
  <si>
    <t>017VT0000GuPf55YQC</t>
  </si>
  <si>
    <t>a0rVT00001DXFoHYAX</t>
  </si>
  <si>
    <t>0018000001WMFM5AAP</t>
  </si>
  <si>
    <t>a0pVT00000CpzyeYAB</t>
  </si>
  <si>
    <t>{Name=Sidney Health Center, Industry=Acute Hospital / Health System, PS_Region_New__c=US Medium Enterprise DI, attributes={type=Account, url=/services/data/v62.0/sobjects/Account/0018000001WMFM5AAP}}</t>
  </si>
  <si>
    <t>017VT0000GcCd7JYQS</t>
  </si>
  <si>
    <t>{PS_Region_New__c=US Large Enterprise DI &amp; Mexico, attributes={url=/services/data/v62.0/sobjects/Account/0013000000Jp0uvAAB, type=Account}, PS_Sub_Region__c=Diversified Industries LE NN, SubRegion__c=US DI LE NN TM &amp; PS East, Industry=Professional Services, Name=Allegis Group Inc.}</t>
  </si>
  <si>
    <t>a0rVT00001DXFptYAH</t>
  </si>
  <si>
    <t>0018000001WMFPYAA5</t>
  </si>
  <si>
    <t>{attributes={url=/services/data/v62.0/sobjects/Account/0018000001WMFPYAA5, type=Account}, Industry=Investment Management, PS_Region_New__c=US FSI, Name=THR Property Management L.P.}</t>
  </si>
  <si>
    <t>017VT0000GuPf5BYQS</t>
  </si>
  <si>
    <t>Japan Tobacco Inc.</t>
  </si>
  <si>
    <t>a0rVT00001DXFrVYAX</t>
  </si>
  <si>
    <t>0018000001WMFfZAAX</t>
  </si>
  <si>
    <t>{Industry=Materials, Name=Southern Champion Tray, L.P., attributes={url=/services/data/v62.0/sobjects/Account/0018000001WMFfZAAX, type=Account}, PS_Region_New__c=US Medium Enterprise DI}</t>
  </si>
  <si>
    <t>Alps LE NN</t>
  </si>
  <si>
    <t>a0pVT00000Cq4gYYAR</t>
  </si>
  <si>
    <t>017VT0000GuRPbmYQG</t>
  </si>
  <si>
    <t>a0rVT00001DXFt7YAH</t>
  </si>
  <si>
    <t>{Industry=Special Districts, PS_Region_New__c=US SLED, Name=Desert Diamond Casinos, SubRegion__c=US Special Districts NN, PS_Sub_Region__c=Local Government ME, attributes={url=/services/data/v62.0/sobjects/Account/0014X00002fGJWbQAO, type=Account}}</t>
  </si>
  <si>
    <t>0018000001WMG6fAAH</t>
  </si>
  <si>
    <t>{Name=The Winebow Group LLC, attributes={type=Account, url=/services/data/v62.0/sobjects/Account/0018000001WMG6fAAH}, PS_Region_New__c=US Medium Enterprise DI, Industry=Consumer Goods}</t>
  </si>
  <si>
    <t>017VT0000GcCcLZYQ0</t>
  </si>
  <si>
    <t>0018000001WMGKlAAP</t>
  </si>
  <si>
    <t>{Industry=Business Services, PS_Region_New__c=US Medium Enterprise DI, attributes={type=Account, url=/services/data/v62.0/sobjects/Account/0018000001WMGKlAAP}, Name=High Sierra Pools, Inc.}</t>
  </si>
  <si>
    <t>a0pVT00000CpLunYAF</t>
  </si>
  <si>
    <t>017VT0000GuRPbpYQG</t>
  </si>
  <si>
    <t>Jazz Pharmaceuticals, Inc.</t>
  </si>
  <si>
    <t>a0rVT00001DXFwLYAX</t>
  </si>
  <si>
    <t>{PS_Region_New__c=US Large Enterprise DI &amp; Mexico, Industry=Amusement &amp; Recreation, SubRegion__c=US DI LE CB RHT South, attributes={url=/services/data/v62.0/sobjects/Account/0018000000bHL4bAAG, type=Account}, PS_Sub_Region__c=Diversified Industries LE CB RHT, Name=Cinemark USA, Inc.}</t>
  </si>
  <si>
    <t>0018000001WMGfxAAH</t>
  </si>
  <si>
    <t>{attributes={type=Account, url=/services/data/v62.0/sobjects/Account/0018000001WMGfxAAH}, Industry=Land and Rail Transportation and Freight, PS_Region_New__c=US Medium Enterprise DI, Name=Melton Truck Lines, Inc.}</t>
  </si>
  <si>
    <t>{attributes={type=Contact, url=/services/data/v62.0/sobjects/Contact/003VT00000fc4shYAA}, Full_Name__c=Michelle Holland}</t>
  </si>
  <si>
    <t>017VT0000GuR5VuYQK</t>
  </si>
  <si>
    <t>a0rVT00001DXFxxYAH</t>
  </si>
  <si>
    <t>0018000001WMHJlAAP</t>
  </si>
  <si>
    <t>{attributes={url=/services/data/v62.0/sobjects/Account/0018000001WMHJlAAP, type=Account}, PS_Region_New__c=US Medium Enterprise DI, Name=Ulteig Engineers, Inc., Industry=Architecture, Engineering &amp; Construction}</t>
  </si>
  <si>
    <t>a0pVT00000CptDIYAZ</t>
  </si>
  <si>
    <t>017VT0000GuR5VrYQK</t>
  </si>
  <si>
    <t>001VT00000b2fZmYAI</t>
  </si>
  <si>
    <t>0018000001XkRioAAF</t>
  </si>
  <si>
    <t>{PS_Region_New__c=US Healthcare, attributes={url=/services/data/v62.0/sobjects/Account/001VT00000b2fZmYAI, type=Account}, Industry=Other Healthcare, Name=Brightli, PS_Sub_Region__c=Healthcare LE, SubRegion__c=US Healthcare LE CB Central}</t>
  </si>
  <si>
    <t>{PS_Region_New__c=US Healthcare, Industry=Post Acute, Name=Centers Health Care, attributes={type=Account, url=/services/data/v62.0/sobjects/Account/0018000001XkRioAAF}}</t>
  </si>
  <si>
    <t>017VT0000GcCcKwYQK</t>
  </si>
  <si>
    <t>{attributes={url=/services/data/v62.0/sobjects/Account/0018000001YoBMJAA3, type=Account}, PS_Region_New__c=US Medium Enterprise DI, Industry=Professional Services, Name=Do It, LLC.}</t>
  </si>
  <si>
    <t>a0pVT00000Cq74yYAB</t>
  </si>
  <si>
    <t>{Name=Brightli, Industry=Other Healthcare, SubRegion__c=US Healthcare LE CB Central, PS_Region_New__c=US Healthcare, attributes={type=Account, url=/services/data/v62.0/sobjects/Account/001VT00000b2fZmYAI}, PS_Sub_Region__c=Healthcare LE}</t>
  </si>
  <si>
    <t>017VT0000GcCd8BYQS</t>
  </si>
  <si>
    <t>a0rVT00001DXG2nYAH</t>
  </si>
  <si>
    <t>0018000001eWAocAAG</t>
  </si>
  <si>
    <t>{attributes={url=/services/data/v62.0/sobjects/Account/0018000001eWAocAAG, type=Account}, PS_Region_New__c=US SLED, Name=KIPP Texas, Industry=Non-Profit}</t>
  </si>
  <si>
    <t>a0pVT00000Cq71hYAB</t>
  </si>
  <si>
    <t>017VT0000GuRXz1YQG</t>
  </si>
  <si>
    <t>{Name=Moog Inc., Industry=High Technology, PS_Sub_Region__c=Diversified Industries LE CB MFG, attributes={url=/services/data/v62.0/sobjects/Account/0018000000M4yWCAAZ, type=Account}, PS_Region_New__c=US Large Enterprise DI &amp; Mexico, SubRegion__c=US DI LE CB MFG Northeast}</t>
  </si>
  <si>
    <t>0018000001f5dU5AAI</t>
  </si>
  <si>
    <t>{Industry=Post Acute, attributes={url=/services/data/v62.0/sobjects/Account/0018000001f5dU5AAI, type=Account}, PS_Region_New__c=US Healthcare, Name=BW NHHC Holdco, Inc. DBA Elara Caring}</t>
  </si>
  <si>
    <t>017VT0000GcCcMmYQK</t>
  </si>
  <si>
    <t>a0rVT00001DXG4QYAX</t>
  </si>
  <si>
    <t>a0pVT00000CpoDcYAJ</t>
  </si>
  <si>
    <t>001VT00000b2kpUYAQ</t>
  </si>
  <si>
    <t>{PS_Region_New__c=US Medium Enterprise DI, attributes={url=/services/data/v62.0/sobjects/Account/001VT00000b2kpUYAQ, type=Account}, Name=The Cleaning Authority, LLC, Industry=Business Services}</t>
  </si>
  <si>
    <t>{Industry=Softlines, PS_Region_New__c=US Large Enterprise DI &amp; Mexico, SubRegion__c=US DI LE NN RHT South, PS_Sub_Region__c=Diversified Industries LE NN, Name=Dollar General - Retail, attributes={type=Account, url=/services/data/v62.0/sobjects/Account/001VT00000bDwiPYAS}}</t>
  </si>
  <si>
    <t>017VT0000GcCcMpYQK</t>
  </si>
  <si>
    <t>a0rVT00001DXG61YAH</t>
  </si>
  <si>
    <t>001VT00000FYY6hYAH</t>
  </si>
  <si>
    <t>{attributes={type=Account, url=/services/data/v62.0/sobjects/Account/001VT00000FYY6hYAH}, PS_Region_New__c=US Medium Enterprise DI, Industry=Auto, Name=Mike Maroone Automotive}</t>
  </si>
  <si>
    <t>Jo-Ann Stores, LLC (Inactive Account)</t>
  </si>
  <si>
    <t>a0pVT00000Cq28UYAR</t>
  </si>
  <si>
    <t>{Industry=Softlines, PS_Region_New__c=US Large Enterprise DI &amp; Mexico, attributes={type=Account, url=/services/data/v62.0/sobjects/Account/001VT00000bDwiPYAS}, SubRegion__c=US DI LE NN RHT South, PS_Sub_Region__c=Diversified Industries LE NN, Name=Dollar General - Retail}</t>
  </si>
  <si>
    <t>017VT0000GuQZ5fYQG</t>
  </si>
  <si>
    <t>a0rVT00001DXG7dYAH</t>
  </si>
  <si>
    <t>001VT00000NlfDnYAJ</t>
  </si>
  <si>
    <t>{PS_Region_New__c=US Medium Enterprise DI, Industry=Business Services, attributes={type=Account, url=/services/data/v62.0/sobjects/Account/001VT00000NlfDnYAJ}, Name=The Maids of Southern New Hampshire}</t>
  </si>
  <si>
    <t>a0pVT00000CpzaQYAR</t>
  </si>
  <si>
    <t>017VT0000GuQZ5iYQG</t>
  </si>
  <si>
    <t>a0rVT00001DXG9FYAX</t>
  </si>
  <si>
    <t>{PS_Sub_Region__c=ME CB TM &amp; RHT, SubRegion__c=US DI ME CB TM Northwest, PS_Region_New__c=US Medium Enterprise DI, Industry=Software &amp; Platforms, attributes={type=Account, url=/services/data/v62.0/sobjects/Account/00180000012zqhXAAQ}, Name=New Relic, Inc.}</t>
  </si>
  <si>
    <t>001VT00000NmsnKYAR</t>
  </si>
  <si>
    <t>{PS_Region_New__c=US Medium Enterprise DI, attributes={url=/services/data/v62.0/sobjects/Account/001VT00000NmsnKYAR, type=Account}, Name=P. B. Bell Asset Management, Inc., Industry=Business Services}</t>
  </si>
  <si>
    <t>017VT0000GcCdA1YQK</t>
  </si>
  <si>
    <t>a0rVT00001DXG9GYAX</t>
  </si>
  <si>
    <t>001VT00000W06MRYAZ</t>
  </si>
  <si>
    <t>{Name=Total Care Connections Inc., Industry=Post Acute, PS_Region_New__c=US Healthcare, attributes={url=/services/data/v62.0/sobjects/Account/001VT00000W06MRYAZ, type=Account}}</t>
  </si>
  <si>
    <t>a0pVT00000CqBzlYAF</t>
  </si>
  <si>
    <t>017VT0000GuQZ5ZYQW</t>
  </si>
  <si>
    <t>{PS_Sub_Region__c=Diversified Industries LE NN, SubRegion__c=US DI LE NN RHT South, Industry=Restaurant &amp; Food Service, Name=Tasty Hut, LLC, PS_Region_New__c=US Large Enterprise DI &amp; Mexico, attributes={type=Account, url=/services/data/v62.0/sobjects/Account/001VT00000bDtEIYA0}}</t>
  </si>
  <si>
    <t>001VT00000OY40AYAT</t>
  </si>
  <si>
    <t>{PS_Region_New__c=US SLED, Industry=Non-Profit, Name=Elim Christian Services, attributes={url=/services/data/v62.0/sobjects/Account/001VT00000OY40AYAT, type=Account}}</t>
  </si>
  <si>
    <t>017VT0000GcCcJOYQ0</t>
  </si>
  <si>
    <t>001VT00000b2lYcYAI</t>
  </si>
  <si>
    <t>{PS_Region_New__c=US SLED, attributes={type=Account, url=/services/data/v62.0/sobjects/Account/001VT00000b2lYcYAI}, Name=Agua Fria Union High School District, Industry=Education (K-12)}</t>
  </si>
  <si>
    <t>a0pVT00000Cq8p0YAB</t>
  </si>
  <si>
    <t>017VT0000GuRRDjYQO</t>
  </si>
  <si>
    <t>a0rVT00001DXGCTYA5</t>
  </si>
  <si>
    <t>{Name=Tasty Hut, LLC, PS_Sub_Region__c=Diversified Industries LE NN, SubRegion__c=US DI LE NN RHT South, Industry=Restaurant &amp; Food Service, attributes={url=/services/data/v62.0/sobjects/Account/001VT00000bDtEIYA0, type=Account}, PS_Region_New__c=US Large Enterprise DI &amp; Mexico}</t>
  </si>
  <si>
    <t>001VT00000W5n45YAB</t>
  </si>
  <si>
    <t>{attributes={url=/services/data/v62.0/sobjects/Account/001VT00000W5n45YAB, type=Account}, Name=Legacy Behavioral Health Center, PS_Region_New__c=US Medium Enterprise DI, Industry=Other Healthcare}</t>
  </si>
  <si>
    <t>Johnsonville Sausage, LLC</t>
  </si>
  <si>
    <t>017VT0000GuRRDmYQO</t>
  </si>
  <si>
    <t>001VT00000W7QbGYAV</t>
  </si>
  <si>
    <t>{Name=Iron Horse Companies, PS_Region_New__c=US Medium Enterprise DI, Industry=Architecture, Engineering &amp; Construction, attributes={type=Account, url=/services/data/v62.0/sobjects/Account/001VT00000W7QbGYAV}}</t>
  </si>
  <si>
    <t>a0pVT00000CqC1NYAV</t>
  </si>
  <si>
    <t>017VT0000GuPHMJYQ4</t>
  </si>
  <si>
    <t>001VT00000b1zsAYAQ</t>
  </si>
  <si>
    <t>{SubRegion__c=US DI LE NN RHT South, Name=Tasty Hut, LLC, Industry=Restaurant &amp; Food Service, PS_Sub_Region__c=Diversified Industries LE NN, attributes={url=/services/data/v62.0/sobjects/Account/001VT00000bDtEIYA0, type=Account}, PS_Region_New__c=US Large Enterprise DI &amp; Mexico}</t>
  </si>
  <si>
    <t>{attributes={type=Account, url=/services/data/v62.0/sobjects/Account/001VT00000b1zsAYAQ}, Industry=Architecture, Engineering &amp; Construction, PS_Region_New__c=US Medium Enterprise DI, Name=Continental Siding}</t>
  </si>
  <si>
    <t>017VT0000GuRZKgYQO</t>
  </si>
  <si>
    <t>a0rVT00001DXGFhYAP</t>
  </si>
  <si>
    <t>001VT00000b2LzAYAU</t>
  </si>
  <si>
    <t>{Name=Multilingual Psychotherapy Centers, Inc, Industry=Other Healthcare, PS_Region_New__c=US Medium Enterprise DI, attributes={url=/services/data/v62.0/sobjects/Account/001VT00000b2LzAYAU, type=Account}}</t>
  </si>
  <si>
    <t>a0pVT00000Cq0bLYAR</t>
  </si>
  <si>
    <t>017VT0000GuRCbYYQW</t>
  </si>
  <si>
    <t>{PS_Sub_Region__c=Diversified Industries LE NN, Name=Tasty Hut, LLC, PS_Region_New__c=US Large Enterprise DI &amp; Mexico, attributes={url=/services/data/v62.0/sobjects/Account/001VT00000bDtEIYA0, type=Account}, SubRegion__c=US DI LE NN RHT South, Industry=Restaurant &amp; Food Service}</t>
  </si>
  <si>
    <t>a0rVT00001DXGFiYAP</t>
  </si>
  <si>
    <t>001VT00000b2jJvYAI</t>
  </si>
  <si>
    <t>{attributes={url=/services/data/v62.0/sobjects/Account/001VT00000b2jJvYAI, type=Account}, Industry=Restaurant &amp; Food Service, PS_Region_New__c=US Large Enterprise DI &amp; Mexico, Name=Saucy! by KFC}</t>
  </si>
  <si>
    <t>017VT0000GcCd93YQC</t>
  </si>
  <si>
    <t>a0rVT00001DXGHJYA5</t>
  </si>
  <si>
    <t>001VT00000b2PZiYAM</t>
  </si>
  <si>
    <t>{attributes={type=Account, url=/services/data/v62.0/sobjects/Account/001VT00000b2PZiYAM}, Industry=Restaurant &amp; Food Service, Name=Wend Australia Pty Ltd, PS_Region_New__c=ANZ}</t>
  </si>
  <si>
    <t>a0pVT00000Cq1E3YAJ</t>
  </si>
  <si>
    <t>017VT0000GcCd7qYQC</t>
  </si>
  <si>
    <t>{SubRegion__c=US DI LE NN RHT South, Name=Under Armour, Inc., PS_Region_New__c=US Large Enterprise DI &amp; Mexico, attributes={url=/services/data/v62.0/sobjects/Account/0013000000KydP7AAJ, type=Account}, PS_Sub_Region__c=Diversified Industries LE NN, Industry=Softlines}</t>
  </si>
  <si>
    <t>Jones Lang LaSalle for GM</t>
  </si>
  <si>
    <t>001VT00000b2TTeYAM</t>
  </si>
  <si>
    <t>{Name=Education At Work, Industry=Non-Profit, PS_Region_New__c=US SLED, attributes={url=/services/data/v62.0/sobjects/Account/001VT00000b2TTeYAM, type=Account}}</t>
  </si>
  <si>
    <t>017VT0000GuQIvvYQG</t>
  </si>
  <si>
    <t>a0pVT00000Cpn7qYAB</t>
  </si>
  <si>
    <t>a0rVT00001DXGM9YAP</t>
  </si>
  <si>
    <t>001VT00000b2UrAYAU</t>
  </si>
  <si>
    <t>{PS_Region_New__c=US SLED, Name=Sos Children'S Village Florida, Industry=Non-Profit, attributes={url=/services/data/v62.0/sobjects/Account/001VT00000b2UrAYAU, type=Account}}</t>
  </si>
  <si>
    <t>{Industry=Softlines, Name=Under Armour, Inc., PS_Region_New__c=US Large Enterprise DI &amp; Mexico, PS_Sub_Region__c=Diversified Industries LE NN, SubRegion__c=US DI LE NN RHT South, attributes={type=Account, url=/services/data/v62.0/sobjects/Account/0013000000KydP7AAJ}}</t>
  </si>
  <si>
    <t>017VT0000GcCcHPYQ0</t>
  </si>
  <si>
    <t>001VT00000b2VnDYAU</t>
  </si>
  <si>
    <t>{Industry=Auto, Name=Express Care Valvoline, PS_Region_New__c=US Medium Enterprise DI, attributes={url=/services/data/v62.0/sobjects/Account/001VT00000b2VnDYAU, type=Account}}</t>
  </si>
  <si>
    <t>017VT0000GcCcHYYQ0</t>
  </si>
  <si>
    <t>a0pVT00000Cq4TeYAJ</t>
  </si>
  <si>
    <t>a0rVT00001DXGNmYAP</t>
  </si>
  <si>
    <t>a0rVT00001DX3aFYAT</t>
  </si>
  <si>
    <t>001VT00000b2kcZYAQ</t>
  </si>
  <si>
    <t>0018000001C1LLQAA3</t>
  </si>
  <si>
    <t>{PS_Region_New__c=US Medium Enterprise DI, attributes={type=Account, url=/services/data/v62.0/sobjects/Account/001VT00000b2kcZYAQ}, Industry=Utilities, Name=South Adams County Water and Sanitation District}</t>
  </si>
  <si>
    <t>{SubRegion__c=US DI ME NN PBS Midwest, Name=TPS Parking Management, LLC, PS_Sub_Region__c=ME NN PBS, attributes={type=Account, url=/services/data/v62.0/sobjects/Account/0018000001C1LLQAA3}, Industry=Business Services, PS_Region_New__c=US Medium Enterprise DI}</t>
  </si>
  <si>
    <t>JX Enterprises</t>
  </si>
  <si>
    <t>017VT0000GcCcJyYQK</t>
  </si>
  <si>
    <t>001VT00000b2XaVYAU</t>
  </si>
  <si>
    <t>{Name=Florida Georgia Line Operator Business Unit Association, attributes={type=Account, url=/services/data/v62.0/sobjects/Account/001VT00000b2XaVYAU}, Industry=Restaurant &amp; Food Service, PS_Region_New__c=US Medium Enterprise DI}</t>
  </si>
  <si>
    <t>a0pVT00000CpsPHYAZ</t>
  </si>
  <si>
    <t>017VT0000GuREZlYQO</t>
  </si>
  <si>
    <t>{attributes={url=/services/data/v62.0/sobjects/Account/0018000001C1LLQAA3, type=Account}, PS_Sub_Region__c=ME NN PBS, Name=TPS Parking Management, LLC, Industry=Business Services, SubRegion__c=US DI ME NN PBS Midwest, PS_Region_New__c=US Medium Enterprise DI}</t>
  </si>
  <si>
    <t>001VT00000b2YLMYA2</t>
  </si>
  <si>
    <t>{Industry=Professional Services, Name=Gainwell Technologies LLC, attributes={url=/services/data/v62.0/sobjects/Account/001VT00000b2YLMYA2, type=Account}, PS_Region_New__c=US Large Enterprise DI &amp; Mexico}</t>
  </si>
  <si>
    <t>017VT0000GcCd8cYQC</t>
  </si>
  <si>
    <t>a0rVT00001DXGSbYAP</t>
  </si>
  <si>
    <t>001VT00000b2bcXYAQ</t>
  </si>
  <si>
    <t>{Name=KYMBB LLC, attributes={url=/services/data/v62.0/sobjects/Account/001VT00000b2bcXYAQ, type=Account}, Industry=Restaurant &amp; Food Service, PS_Region_New__c=US Medium Enterprise DI}</t>
  </si>
  <si>
    <t>KBP Bells (Taco Bell)</t>
  </si>
  <si>
    <t>a0pVT00000CppspYAB</t>
  </si>
  <si>
    <t>017VT0000GuQzqIYQS</t>
  </si>
  <si>
    <t>a0rVT00001DXGUDYA5</t>
  </si>
  <si>
    <t>001VT00000b2f9qYAA</t>
  </si>
  <si>
    <t>{attributes={type=Account, url=/services/data/v62.0/sobjects/Account/0018000001C1LLQAA3}, Name=TPS Parking Management, LLC, PS_Region_New__c=US Medium Enterprise DI, SubRegion__c=US DI ME NN PBS Midwest, Industry=Business Services, PS_Sub_Region__c=ME NN PBS}</t>
  </si>
  <si>
    <t>{PS_Region_New__c=US Medium Enterprise DI, attributes={type=Account, url=/services/data/v62.0/sobjects/Account/001VT00000b2f9qYAA}, Industry=Software &amp; Platforms, Name=Room Choice, Inc}</t>
  </si>
  <si>
    <t>017VT0000GuQzq9YQC</t>
  </si>
  <si>
    <t>a0rVT00001DXGVpYAP</t>
  </si>
  <si>
    <t>001VT00000b2ikQYAQ</t>
  </si>
  <si>
    <t>{attributes={type=Account, url=/services/data/v62.0/sobjects/Account/001VT00000b2ikQYAQ}, Industry=Restaurant &amp; Food Service, Name=Southern California Pizza Company, LLC dba American West Restaurant Group, PS_Region_New__c=US Large Enterprise DI &amp; Mexico}</t>
  </si>
  <si>
    <t>a0pVT00000CptLLYAZ</t>
  </si>
  <si>
    <t>017VT0000GuRZFxYQO</t>
  </si>
  <si>
    <t>a0rVT00001DXGXRYA5</t>
  </si>
  <si>
    <t>{Name=TPS Parking Management, LLC, Industry=Business Services, PS_Sub_Region__c=ME NN PBS, SubRegion__c=US DI ME NN PBS Midwest, PS_Region_New__c=US Medium Enterprise DI, attributes={type=Account, url=/services/data/v62.0/sobjects/Account/0018000001C1LLQAA3}}</t>
  </si>
  <si>
    <t>001VT00000b2lC4YAI</t>
  </si>
  <si>
    <t>{attributes={url=/services/data/v62.0/sobjects/Account/001VT00000b2lC4YAI, type=Account}, Industry=Architecture, Engineering &amp; Construction, Name=Taylor Design, PS_Region_New__c=US Medium Enterprise DI}</t>
  </si>
  <si>
    <t>017VT0000GcCcFuYQK</t>
  </si>
  <si>
    <t>a0rVT00001DXGZ3YAP</t>
  </si>
  <si>
    <t>001VT00000b2lyRYAQ</t>
  </si>
  <si>
    <t>{Name=Murata Electronics Singapore (Pte.) Ltd., Industry=High Technology, attributes={type=Account, url=/services/data/v62.0/sobjects/Account/001VT00000b2lyRYAQ}, PS_Region_New__c=ASEAN}</t>
  </si>
  <si>
    <t>Contact__c</t>
  </si>
  <si>
    <t>a0pVT00000Cq06kYAB</t>
  </si>
  <si>
    <t>Contact__r.Name</t>
  </si>
  <si>
    <t>{Name=District Medical Group, Inc., Industry=Ambulatory, PS_Region_New__c=US Healthcare, SubRegion__c=US Healthcare ME NN West, PS_Sub_Region__c=Healthcare ME, attributes={url=/services/data/v62.0/sobjects/Account/0018000001RRPMgAAP, type=Account}}</t>
  </si>
  <si>
    <t>017VT0000GcCcKVYQ0</t>
  </si>
  <si>
    <t>a0rVT00001DXGafYAH</t>
  </si>
  <si>
    <t>001VT00000b2mMgYAI</t>
  </si>
  <si>
    <t>{Name=West Kern Youth Work, PS_Region_New__c=US SLED, attributes={url=/services/data/v62.0/sobjects/Account/001VT00000b2mMgYAI, type=Account}, Industry=Higher Education}</t>
  </si>
  <si>
    <t>017VT0000GcCd7AYQS</t>
  </si>
  <si>
    <t>001VT00000b2mxlYAA</t>
  </si>
  <si>
    <t>KBP Drive In, LLC (Sonic Drive-In)</t>
  </si>
  <si>
    <t>{attributes={url=/services/data/v62.0/sobjects/Account/001VT00000b2mxlYAA, type=Account}, Name=JAKS-LOU LLC, PS_Region_New__c=US Medium Enterprise DI, Industry=Restaurant &amp; Food Service}</t>
  </si>
  <si>
    <t>a0pVT00000CpvlLYAR</t>
  </si>
  <si>
    <t>017VT0000GcCdC0YQK</t>
  </si>
  <si>
    <t>{Name=Boys Town National Research Hospital, PS_Region_New__c=US SLED, SubRegion__c=US NFP CB West, PS_Sub_Region__c=Higher Education LE, Industry=Acute Hospital / Health System, attributes={url=/services/data/v62.0/sobjects/Account/0014X00002iHmdfQAC, type=Account}}</t>
  </si>
  <si>
    <t>001VT00000b2nSMYAY</t>
  </si>
  <si>
    <t>{PS_Region_New__c=Corporate, Industry=Software &amp; Platforms, attributes={url=/services/data/v62.0/sobjects/Account/001VT00000b2nSMYAY, type=Account}, Name=Irdeto}</t>
  </si>
  <si>
    <t>Contact__r.Email</t>
  </si>
  <si>
    <t>Contact_Role__c</t>
  </si>
  <si>
    <t>017VT0000GcCcN7YQK</t>
  </si>
  <si>
    <t>a0rVT00001DXGfVYAX</t>
  </si>
  <si>
    <t>a0lVT000005JQn7YAG</t>
  </si>
  <si>
    <t>001VT00000b2nXBYAY</t>
  </si>
  <si>
    <t>{Name=SAP SE, attributes={type=Account, url=/services/data/v62.0/sobjects/Account/001VT00000b2nXBYAY}, PS_Region_New__c=Corporate, Industry=Software &amp; Platforms}</t>
  </si>
  <si>
    <t>0038000001goW9YAAU</t>
  </si>
  <si>
    <t>a0pVT00000Cq59aYAB</t>
  </si>
  <si>
    <t>shane.cline@workday.com</t>
  </si>
  <si>
    <t>Engagement Manager [Primary]</t>
  </si>
  <si>
    <t>a0lVT000005UokTYAS</t>
  </si>
  <si>
    <t>017VT0000GcCdAbYQK</t>
  </si>
  <si>
    <t>{Name=Boys Town National Research Hospital, attributes={url=/services/data/v62.0/sobjects/Account/0014X00002iHmdfQAC, type=Account}, Industry=Acute Hospital / Health System, SubRegion__c=US NFP CB West, PS_Region_New__c=US SLED, PS_Sub_Region__c=Higher Education LE}</t>
  </si>
  <si>
    <t>0034X00003EtGr8QAF</t>
  </si>
  <si>
    <t>Kehe Distributors, LLC</t>
  </si>
  <si>
    <t>Aaron Barnes</t>
  </si>
  <si>
    <t>aaron.barnes@workday.com</t>
  </si>
  <si>
    <t>001VT00000b2nc1YAA</t>
  </si>
  <si>
    <t>Deployment Sponsor</t>
  </si>
  <si>
    <t>{PS_Region_New__c=null, Industry=Consumer Goods, Name=Arcos Dorados (McDonald's Costa Rica), attributes={url=/services/data/v62.0/sobjects/Account/001VT00000b2nc1YAA, type=Account}}</t>
  </si>
  <si>
    <t>a0lVT0000061M6HYAU</t>
  </si>
  <si>
    <t>003VT00000i5jl9YAA</t>
  </si>
  <si>
    <t>helen.wright@workday.com</t>
  </si>
  <si>
    <t>a0lVT000006Bc1hYAC</t>
  </si>
  <si>
    <t>017VT0000GuPOM2YQO</t>
  </si>
  <si>
    <t>a0pVT00000Cq0cxYAB</t>
  </si>
  <si>
    <t>003VT00000fbuMWYAY</t>
  </si>
  <si>
    <t>a0rVT00001DXGijYAH</t>
  </si>
  <si>
    <t>Erin Henning</t>
  </si>
  <si>
    <t>erin.henning@siemens.com</t>
  </si>
  <si>
    <t>001VT00000b2nlhYAA</t>
  </si>
  <si>
    <t>a0lVT000006HwtlYAC</t>
  </si>
  <si>
    <t>{PS_Region_New__c=US Medium Enterprise DI, attributes={url=/services/data/v62.0/sobjects/Account/001VT00000b2nlhYAA, type=Account}, Name=Vitenas Cosmetic Center, Industry=Ambulatory}</t>
  </si>
  <si>
    <t>003VT00000FsFXhYAN</t>
  </si>
  <si>
    <t>Christian Wedel</t>
  </si>
  <si>
    <t>{PS_Region_New__c=US Healthcare, Name=Montage Health, Industry=Acute Hospital / Health System, PS_Sub_Region__c=Healthcare ME, attributes={url=/services/data/v62.0/sobjects/Account/0018000001KdYwJAAV, type=Account}, SubRegion__c=US Healthcare ME CB West}</t>
  </si>
  <si>
    <t>christian.wedel@workday.com</t>
  </si>
  <si>
    <t>Engagement Manager [Secondary]</t>
  </si>
  <si>
    <t>2026-09-30T13:26:04.000+0000</t>
  </si>
  <si>
    <t>a0lVT000006KQ2vYAG</t>
  </si>
  <si>
    <t>017VT0000GcCcEbYQK</t>
  </si>
  <si>
    <t>0038000001i7N4rAAE</t>
  </si>
  <si>
    <t>Val Tsvetkov</t>
  </si>
  <si>
    <t>Kellermeyer Bergensons Services LLC</t>
  </si>
  <si>
    <t>val.tsvetkov@workday.com</t>
  </si>
  <si>
    <t>001VT00000b2oD8YAI</t>
  </si>
  <si>
    <t>a0lVT000006Bc1iYAC</t>
  </si>
  <si>
    <t>{PS_Region_New__c=US SLED, Industry=Education (K-12), attributes={url=/services/data/v62.0/sobjects/Account/001VT00000b2oD8YAI, type=Account}, Name=Coast to Coast Coaching, Inc. dba Elevo Learning}</t>
  </si>
  <si>
    <t>003VT00000IEyJjYAL</t>
  </si>
  <si>
    <t>Sophie Bieber</t>
  </si>
  <si>
    <t>a0pVT00000Cpqk2YAB</t>
  </si>
  <si>
    <t>sophie.bieber@siemens.com</t>
  </si>
  <si>
    <t>a0lVT000005YLQXYA4</t>
  </si>
  <si>
    <t>017VT0000GuRZVuYQO</t>
  </si>
  <si>
    <t>00380000024qaNvAAI</t>
  </si>
  <si>
    <t>{PS_Region_New__c=Corporate, Industry=Software &amp; Platforms, SubRegion__c=Corporate, PS_Sub_Region__c=Corporate, Name=Log-On, attributes={type=Account, url=/services/data/v62.0/sobjects/Account/001VT00000bSbsBYAS}}</t>
  </si>
  <si>
    <t>a0rVT00001DXGlxYAH</t>
  </si>
  <si>
    <t>doris.pulsifer@workday.com</t>
  </si>
  <si>
    <t>001VT00000b2ombYAA</t>
  </si>
  <si>
    <t>a0lVT000005mYMHYA2</t>
  </si>
  <si>
    <t>{PS_Region_New__c=Corporate, attributes={type=Account, url=/services/data/v62.0/sobjects/Account/001VT00000b2ombYAA}, Name=Schindler Elevator - Germany, Industry=Industrial Manufacturing}</t>
  </si>
  <si>
    <t>003VT00000fcEf6YAE</t>
  </si>
  <si>
    <t>nichole.maher@workday.com</t>
  </si>
  <si>
    <t>a0lVT000005lqt8YAA</t>
  </si>
  <si>
    <t>0034X00002tsN2LQAU</t>
  </si>
  <si>
    <t>a0pVT00000CppmOYAR</t>
  </si>
  <si>
    <t>Susan Kearney</t>
  </si>
  <si>
    <t>017VT0000GcCdC3YQK</t>
  </si>
  <si>
    <t>susan.kearney@regeneron.com</t>
  </si>
  <si>
    <t>a0rVT00001DXGnZYAX</t>
  </si>
  <si>
    <t>KENTUCKY FRIED CHICKEN PTY LIMITED</t>
  </si>
  <si>
    <t>a0lVT000005Yv4EYAS</t>
  </si>
  <si>
    <t>{PS_Sub_Region__c=ME Commercial West, Name=Summit Eateries, LLC, attributes={url=/services/data/v62.0/sobjects/Account/001VT00000b34JVYAY, type=Account}, SubRegion__c=US DI Commercial NN Central, PS_Region_New__c=US Medium Enterprise DI, Industry=Restaurant &amp; Food Service}</t>
  </si>
  <si>
    <t>0038000001jImyNAAS</t>
  </si>
  <si>
    <t>001VT00000b2ooDYAQ</t>
  </si>
  <si>
    <t>Patricia Lockett</t>
  </si>
  <si>
    <t>patricia.lockett@timeinc.com</t>
  </si>
  <si>
    <t>{PS_Region_New__c=US Medium Enterprise DI, attributes={type=Account, url=/services/data/v62.0/sobjects/Account/001VT00000b2ooDYAQ}, Industry=Business Services, Name=Personal Touch Landscaping}</t>
  </si>
  <si>
    <t>a0lVT000005YejJYAS</t>
  </si>
  <si>
    <t>003VT00000c69PMYAY</t>
  </si>
  <si>
    <t>brad.whitford@workday.com</t>
  </si>
  <si>
    <t>a0lVT000005wXtZYAU</t>
  </si>
  <si>
    <t>017VT0000GcCdAVYQ0</t>
  </si>
  <si>
    <t>0034X00002yXBHxQAO</t>
  </si>
  <si>
    <t>a0pVT00000CqBuvYAF</t>
  </si>
  <si>
    <t>jennifer.mitchell@workday.com</t>
  </si>
  <si>
    <t>001VT00000b2owHYAQ</t>
  </si>
  <si>
    <t>{PS_Region_New__c=US Medium Enterprise DI, attributes={type=Account, url=/services/data/v62.0/sobjects/Account/001VT00000b2owHYAQ}, Industry=Business Services, Name=Alline Salon Group}</t>
  </si>
  <si>
    <t>{Industry=Restaurant &amp; Food Service, PS_Region_New__c=US Medium Enterprise DI, PS_Sub_Region__c=ME Commercial West, attributes={url=/services/data/v62.0/sobjects/Account/001VT00000b34JVYAY, type=Account}, Name=Summit Eateries, LLC, SubRegion__c=US DI Commercial NN Central}</t>
  </si>
  <si>
    <t>a0lVT000005wR4zYAE</t>
  </si>
  <si>
    <t>0038000001HTmLFAA1</t>
  </si>
  <si>
    <t>Angela Chu-Matsuno</t>
  </si>
  <si>
    <t>angela.chu-matsuno@workday.com</t>
  </si>
  <si>
    <t>017VT0000GuRLd5YQG</t>
  </si>
  <si>
    <t>a0lVT000005lqtFYAQ</t>
  </si>
  <si>
    <t>001VT00000b2thTYAQ</t>
  </si>
  <si>
    <t>0031B00002lMPUNQA4</t>
  </si>
  <si>
    <t>{PS_Region_New__c=US Medium Enterprise DI, Industry=Professional Services, attributes={url=/services/data/v62.0/sobjects/Account/001VT00000b2thTYAQ, type=Account}, Name=Carlton Staffing}</t>
  </si>
  <si>
    <t>Jhonelle Prince</t>
  </si>
  <si>
    <t>jhonelle.prince@regeneron.com</t>
  </si>
  <si>
    <t>a0pVT00000CqBwXYAV</t>
  </si>
  <si>
    <t>a0lVT000005lqtAYAQ</t>
  </si>
  <si>
    <t>0034X00002wQULtQAO</t>
  </si>
  <si>
    <t>017VT0000GcCcJ3YQK</t>
  </si>
  <si>
    <t>Elisabeth Ramey</t>
  </si>
  <si>
    <t>a0rVT00001DXGsPYAX</t>
  </si>
  <si>
    <t>elisabeth.ramey@regeneron.com</t>
  </si>
  <si>
    <t>{Name=Summit Eateries, LLC, PS_Sub_Region__c=ME Commercial West, Industry=Restaurant &amp; Food Service, SubRegion__c=US DI Commercial NN Central, attributes={url=/services/data/v62.0/sobjects/Account/001VT00000b34JVYAY, type=Account}, PS_Region_New__c=US Medium Enterprise DI}</t>
  </si>
  <si>
    <t>001VT00000b2uVSYAY</t>
  </si>
  <si>
    <t>a0lVT000005lqt9YAA</t>
  </si>
  <si>
    <t>{PS_Region_New__c=US Large Enterprise DI &amp; Mexico, Name=Sizzling Platter LLC, Industry=Restaurant &amp; Food Service, attributes={url=/services/data/v62.0/sobjects/Account/001VT00000b2uVSYAY, type=Account}}</t>
  </si>
  <si>
    <t>0034X00002vnvZDQAY</t>
  </si>
  <si>
    <t>Jai Gulati</t>
  </si>
  <si>
    <t>jai.gulati@regeneron.com</t>
  </si>
  <si>
    <t>a0lVT000005lqt7YAA</t>
  </si>
  <si>
    <t>017VT0000GcCd7SYQS</t>
  </si>
  <si>
    <t>a0rVT00001DXGu1YAH</t>
  </si>
  <si>
    <t>003VT00000fbzhgYAA</t>
  </si>
  <si>
    <t>Regina Thomas</t>
  </si>
  <si>
    <t>001VT00000b2ulZYAQ</t>
  </si>
  <si>
    <t>regina.thomas@regeneron.com</t>
  </si>
  <si>
    <t>{PS_Region_New__c=US Medium Enterprise DI, attributes={type=Account, url=/services/data/v62.0/sobjects/Account/001VT00000b2ulZYAQ}, Industry=Lodging &amp; Resorts, Name=Peppertree Hospitality Group}</t>
  </si>
  <si>
    <t>a0lVT000006NKaTYAW</t>
  </si>
  <si>
    <t>KEPPEL MANAGEMENT LTD.</t>
  </si>
  <si>
    <t>0034X00003GLFCrQAP</t>
  </si>
  <si>
    <t>Mere Ramsey</t>
  </si>
  <si>
    <t>a0pVT00000Cq0uhYAB</t>
  </si>
  <si>
    <t>017VT0000GuRZiqYQG</t>
  </si>
  <si>
    <t>mere.ramsey@woodward.com</t>
  </si>
  <si>
    <t>a0rVT00001DXGxFYAX</t>
  </si>
  <si>
    <t>a0lVT000006NKaUYAW</t>
  </si>
  <si>
    <t>001VT00000b2v1hYAA</t>
  </si>
  <si>
    <t>{Industry=Business Services, attributes={type=Account, url=/services/data/v62.0/sobjects/Account/001VT00000b2v1hYAA}, PS_Region_New__c=US Medium Enterprise DI, Name=Yam Management}</t>
  </si>
  <si>
    <t>{Industry=Restaurant &amp; Food Service, PS_Region_New__c=US Medium Enterprise DI, attributes={url=/services/data/v62.0/sobjects/Account/001VT00000b34JVYAY, type=Account}, SubRegion__c=US DI Commercial NN Central, Name=Summit Eateries, LLC, PS_Sub_Region__c=ME Commercial West}</t>
  </si>
  <si>
    <t>a0lVT000005YeszYAC</t>
  </si>
  <si>
    <t>0034X00003T11MqQAJ</t>
  </si>
  <si>
    <t>andres.baudrit@workday.com</t>
  </si>
  <si>
    <t>Mukul Chandra</t>
  </si>
  <si>
    <t>a0lVT000006NKIjYAO</t>
  </si>
  <si>
    <t>017VT0000GuPYaaYQG</t>
  </si>
  <si>
    <t>a0lVT000005qvnJYAQ</t>
  </si>
  <si>
    <t>003VT00000Oo7msYAB</t>
  </si>
  <si>
    <t>Diego Hernandez</t>
  </si>
  <si>
    <t>dhernandez1@csd.me</t>
  </si>
  <si>
    <t>a0pVT00000Cq5SvYAJ</t>
  </si>
  <si>
    <t>a0lVT000005xqNtYAI</t>
  </si>
  <si>
    <t>0034X000037BufGQAS</t>
  </si>
  <si>
    <t>Omar Gonzalez</t>
  </si>
  <si>
    <t>omar.gonzalez@workday.com</t>
  </si>
  <si>
    <t>001VT00000b2v4vYAA</t>
  </si>
  <si>
    <t>a0lVT000005mUovYAE</t>
  </si>
  <si>
    <t>{PS_Region_New__c=US Medium Enterprise DI, Name=Forks Community Hospital, Industry=Acute Hospital / Health System, attributes={url=/services/data/v62.0/sobjects/Account/001VT00000b2v4vYAA, type=Account}}</t>
  </si>
  <si>
    <t>{PS_Region_New__c=US Large Enterprise DI &amp; Mexico, SubRegion__c=US DI LE CB RHT Midwest, attributes={url=/services/data/v62.0/sobjects/Account/0014X00002U1FkSQAV, type=Account}, Industry=Hardlines, Name=GAF Materials LLC, PS_Sub_Region__c=Diversified Industries LE CB RHT}</t>
  </si>
  <si>
    <t>0034X00003BnYOqQAN</t>
  </si>
  <si>
    <t>alfonso.delvalle@workday.com</t>
  </si>
  <si>
    <t>a0lVT000005qvSLYAY</t>
  </si>
  <si>
    <t>003VT00000KJEIHYA5</t>
  </si>
  <si>
    <t>Cedar Francis-Scofield</t>
  </si>
  <si>
    <t>017VT0000GcCcJvYQK</t>
  </si>
  <si>
    <t>cfrancis-scofield@csd.me</t>
  </si>
  <si>
    <t>a0rVT00001DXH25YAH</t>
  </si>
  <si>
    <t>a0lVT000005vTs2YAE</t>
  </si>
  <si>
    <t>0034X00002vrSCZQA2</t>
  </si>
  <si>
    <t>001VT00000b30QVYAY</t>
  </si>
  <si>
    <t>Nichole Dunn</t>
  </si>
  <si>
    <t>nichole_dunn@comcast.com</t>
  </si>
  <si>
    <t>{attributes={url=/services/data/v62.0/sobjects/Account/001VT00000b30QVYAY, type=Account}, Industry=Post Acute, PS_Region_New__c=US Medium Enterprise DI, Name=Safe Homecare}</t>
  </si>
  <si>
    <t>a0lVT000005vU05YAE</t>
  </si>
  <si>
    <t>a0pVT00000CppuRYAR</t>
  </si>
  <si>
    <t>KFC Corporation</t>
  </si>
  <si>
    <t>a0lVT000005a1h3YAA</t>
  </si>
  <si>
    <t>017VT0000GuREZrYQO</t>
  </si>
  <si>
    <t>a0rVT00001DXH5JYAX</t>
  </si>
  <si>
    <t>0034X00002vn9k1QAA</t>
  </si>
  <si>
    <t>{attributes={type=Account, url=/services/data/v62.0/sobjects/Account/0014X00002U1FkSQAV}, PS_Region_New__c=US Large Enterprise DI &amp; Mexico, Industry=Hardlines, Name=GAF Materials LLC, SubRegion__c=US DI LE CB RHT Midwest, PS_Sub_Region__c=Diversified Industries LE CB RHT}</t>
  </si>
  <si>
    <t>001VT00000b318lYAA</t>
  </si>
  <si>
    <t>brianna.robak@workday.com</t>
  </si>
  <si>
    <t>{Name=MentorX Corporation, attributes={type=Account, url=/services/data/v62.0/sobjects/Account/001VT00000b318lYAA}, PS_Region_New__c=US Medium Enterprise DI, Industry=Professional Services}</t>
  </si>
  <si>
    <t>a0lVT000005vTs1YAE</t>
  </si>
  <si>
    <t>0031B00002s2STkQAM</t>
  </si>
  <si>
    <t>Shelly Gross</t>
  </si>
  <si>
    <t>shelly_gross@cable.comcast.com</t>
  </si>
  <si>
    <t>a0lVT000005s4a1YAA</t>
  </si>
  <si>
    <t>017VT0000GcCdAGYQ0</t>
  </si>
  <si>
    <t>a0rVT00001DXH6vYAH</t>
  </si>
  <si>
    <t>0038000001H72ioAAB</t>
  </si>
  <si>
    <t>Alexandra Dolores</t>
  </si>
  <si>
    <t>alexandra.dolores@workday.com</t>
  </si>
  <si>
    <t>001VT00000b31dRYAQ</t>
  </si>
  <si>
    <t>{Industry=Lodging &amp; Resorts, PS_Region_New__c=US Medium Enterprise DI, Name=Sanctuary Camelback Mountain Resort &amp; Spa, attributes={url=/services/data/v62.0/sobjects/Account/001VT00000b31dRYAQ, type=Account}}</t>
  </si>
  <si>
    <t>a0lVT000005yGlNYAU</t>
  </si>
  <si>
    <t>a0pVT00000CphiNYAR</t>
  </si>
  <si>
    <t>003VT00000NOFs0YAH</t>
  </si>
  <si>
    <t>catherine.dietrich@workday.com</t>
  </si>
  <si>
    <t>017VT0000GcCcGyYQK</t>
  </si>
  <si>
    <t>a0rVT00001DXHA9YAP</t>
  </si>
  <si>
    <t>a0lVT000005aVwrYAE</t>
  </si>
  <si>
    <t>{PS_Region_New__c=US Large Enterprise DI &amp; Mexico, attributes={url=/services/data/v62.0/sobjects/Account/0018000001WMGBFAA5, type=Account}, PS_Sub_Region__c=Diversified Industries LE CB RHT, SubRegion__c=US DI LE CB RHT West, Name=Flynn Group LP, Industry=Restaurant &amp; Food Service}</t>
  </si>
  <si>
    <t>Kiewit Corporation</t>
  </si>
  <si>
    <t>001VT00000bDgaSYAS</t>
  </si>
  <si>
    <t>{Name=Yum Tasty Chicken, LLC, Industry=Restaurant &amp; Food Service, PS_Region_New__c=US Large Enterprise DI &amp; Mexico, attributes={type=Account, url=/services/data/v62.0/sobjects/Account/001VT00000bDgaSYAS}}</t>
  </si>
  <si>
    <t>a0lVT0000066dT3YAI</t>
  </si>
  <si>
    <t>0034X000038dYiPQAU</t>
  </si>
  <si>
    <t>Mandy Moore</t>
  </si>
  <si>
    <t>amanda.moore@rackspace.com</t>
  </si>
  <si>
    <t>017VT0000GtPC11YQG</t>
  </si>
  <si>
    <t>a0rVT00001DXHDNYA5</t>
  </si>
  <si>
    <t>a0lVT0000066dhZYAQ</t>
  </si>
  <si>
    <t>0038000001sCnOiAAK</t>
  </si>
  <si>
    <t>001VT00000bz8GJYAY</t>
  </si>
  <si>
    <t>Nate Allen</t>
  </si>
  <si>
    <t>nate.allen2@workday.com</t>
  </si>
  <si>
    <t>{attributes={url=/services/data/v62.0/sobjects/Account/001VT00000bz8GJYAY, type=Account}, Industry=Professional Services, PS_Region_New__c=US Medium Enterprise DI, Name=Procare HR - MSP}</t>
  </si>
  <si>
    <t>a0pVT00000CqAcHYAV</t>
  </si>
  <si>
    <t>a0lVT0000066dcjYAA</t>
  </si>
  <si>
    <t>2026-09-29T20:24:53.000+0000</t>
  </si>
  <si>
    <t>a0lVT000005iDptYAE</t>
  </si>
  <si>
    <t>{Industry=Restaurant &amp; Food Service, attributes={url=/services/data/v62.0/sobjects/Account/0018000001WMGBFAA5, type=Account}, PS_Region_New__c=US Large Enterprise DI &amp; Mexico, SubRegion__c=US DI LE CB RHT West, Name=Flynn Group LP, PS_Sub_Region__c=Diversified Industries LE CB RHT}</t>
  </si>
  <si>
    <t>0031B00002p1PsFQAU</t>
  </si>
  <si>
    <t>017VT0000GuRZqsYQG</t>
  </si>
  <si>
    <t>bhavika.patel@workday.com</t>
  </si>
  <si>
    <t>a0rVT00001DXHEzYAP</t>
  </si>
  <si>
    <t>a0lVT000006QPwzYAG</t>
  </si>
  <si>
    <t>001VT00000fPMqYYAW</t>
  </si>
  <si>
    <t>0031B00002rm6CCQAY</t>
  </si>
  <si>
    <t>Lisa Lewis</t>
  </si>
  <si>
    <t>lisa.lewis@brookfield.com</t>
  </si>
  <si>
    <t>{attributes={url=/services/data/v62.0/sobjects/Account/001VT00000fPMqYYAW, type=Account}, Industry=Amusement &amp; Recreation, PS_Region_New__c=Canada, Name=Ripley’s Niagara Water Park Ltd. (Great Wolf Lodge - Niagara)}</t>
  </si>
  <si>
    <t>a0lVT000006QPx0YAG</t>
  </si>
  <si>
    <t>0038000002DLGG8AAP</t>
  </si>
  <si>
    <t>a0pVT00000Cq0rSYAR</t>
  </si>
  <si>
    <t>Cecilia Chan</t>
  </si>
  <si>
    <t>cecilia.chan@brookfield.com</t>
  </si>
  <si>
    <t>a0lVT000006NZb9YAG</t>
  </si>
  <si>
    <t>003VT00000fc4shYAA</t>
  </si>
  <si>
    <t>{PS_Sub_Region__c=Diversified Industries LE CB RHT, PS_Region_New__c=US Large Enterprise DI &amp; Mexico, Industry=Restaurant &amp; Food Service, SubRegion__c=US DI LE CB RHT West, Name=Flynn Group LP, attributes={url=/services/data/v62.0/sobjects/Account/0018000001WMGBFAA5, type=Account}}</t>
  </si>
  <si>
    <t>michelle.holland@workday.com</t>
  </si>
  <si>
    <t>a0lVT000005irybYAA</t>
  </si>
  <si>
    <t>0031B00002rnFcYQAU</t>
  </si>
  <si>
    <t>jennifer.tidwell@workday.com</t>
  </si>
  <si>
    <t>a0lVT000006AAaXYAW</t>
  </si>
  <si>
    <t>0038000002FRHEOAA5</t>
  </si>
  <si>
    <t>Subash Sitaraman</t>
  </si>
  <si>
    <t>subash.sitaraman@workday.com</t>
  </si>
  <si>
    <t>a0pVT00000Cq1ypYAB</t>
  </si>
  <si>
    <t>a0lVT000006AAXJYA4</t>
  </si>
  <si>
    <t>003VT00000fBAULYA4</t>
  </si>
  <si>
    <t>Jenny Morris</t>
  </si>
  <si>
    <t>KIPP Texas</t>
  </si>
  <si>
    <t>jennifer.clack@jll.com</t>
  </si>
  <si>
    <t>{SubRegion__c=US DI LE CB RHT West, Name=Flynn Group LP, PS_Region_New__c=US Large Enterprise DI &amp; Mexico, attributes={url=/services/data/v62.0/sobjects/Account/0018000001WMGBFAA5, type=Account}, PS_Sub_Region__c=Diversified Industries LE CB RHT, Industry=Restaurant &amp; Food Service}</t>
  </si>
  <si>
    <t>a0lVT000006AAibYAG</t>
  </si>
  <si>
    <t>0038000001FxtiCAAR</t>
  </si>
  <si>
    <t>Jane Curran</t>
  </si>
  <si>
    <t>jane.curran@jll.com</t>
  </si>
  <si>
    <t>a0lVT000005wRpmYAE</t>
  </si>
  <si>
    <t>0034X00003IUcilQAD</t>
  </si>
  <si>
    <t>Mimi Chen</t>
  </si>
  <si>
    <t>mimi.chen@us.sumitomo-pharma.com</t>
  </si>
  <si>
    <t>a0lVT000005wRplYAE</t>
  </si>
  <si>
    <t>a0pVT00000Cq7GFYAZ</t>
  </si>
  <si>
    <t>0034X00003S9zNmQAJ</t>
  </si>
  <si>
    <t>Chakradhar Thopuri</t>
  </si>
  <si>
    <t>chakradhar.thopuri@us.sumitomo-pharma.com</t>
  </si>
  <si>
    <t>a0lVT0000066eFRYAY</t>
  </si>
  <si>
    <t>{attributes={url=/services/data/v62.0/sobjects/Account/0018000001WMGBFAA5, type=Account}, PS_Region_New__c=US Large Enterprise DI &amp; Mexico, Industry=Restaurant &amp; Food Service, SubRegion__c=US DI LE CB RHT West, Name=Flynn Group LP, PS_Sub_Region__c=Diversified Industries LE CB RHT}</t>
  </si>
  <si>
    <t>003VT00000XYwEgYAL</t>
  </si>
  <si>
    <t>cristhofer.mena@workday.com</t>
  </si>
  <si>
    <t>a0lVT0000060EM5YAM</t>
  </si>
  <si>
    <t>a0rVT00001DX79BYAT</t>
  </si>
  <si>
    <t>003VT00000jlD9ZYAU</t>
  </si>
  <si>
    <t>Tina Enberg</t>
  </si>
  <si>
    <t>tina.enberg@thomsonreuters.com</t>
  </si>
  <si>
    <t>a0lVT0000060E60YAE</t>
  </si>
  <si>
    <t>0038000001xowKtAAI</t>
  </si>
  <si>
    <t>a0pVT00000CprUpYAJ</t>
  </si>
  <si>
    <t>stayce thomas</t>
  </si>
  <si>
    <t>stayce.thomas@workday.com</t>
  </si>
  <si>
    <t>0014X00002luSJQQA2</t>
  </si>
  <si>
    <t>a0lVT000005jZBdYAM</t>
  </si>
  <si>
    <t>{PS_Sub_Region__c=ME Commercial East, attributes={url=/services/data/v62.0/sobjects/Account/0014X00002luSJQQA2, type=Account}, SubRegion__c=US DI Commercial NN Mid-Atlantic, Industry=Land and Rail Transportation and Freight, Name=Baylor Trucking, Inc., PS_Region_New__c=US Medium Enterprise DI}</t>
  </si>
  <si>
    <t>0034X000032N0hhQAC</t>
  </si>
  <si>
    <t>JoJo Burstein</t>
  </si>
  <si>
    <t>jojo.burstein@workday.com</t>
  </si>
  <si>
    <t>a0lVT0000060EM6YAM</t>
  </si>
  <si>
    <t>003VT00000aQR34YAG</t>
  </si>
  <si>
    <t>Melissa Aune</t>
  </si>
  <si>
    <t>melissa.aune@thomsonreuters.com</t>
  </si>
  <si>
    <t>a0lVT0000065PTlYAM</t>
  </si>
  <si>
    <t>a0pVT00000CptEtYAJ</t>
  </si>
  <si>
    <t>0031B00002iqMZ3QAM</t>
  </si>
  <si>
    <t>Erin Smith</t>
  </si>
  <si>
    <t>erin.smith@workday.com</t>
  </si>
  <si>
    <t>a0lVT000006KLknYAG</t>
  </si>
  <si>
    <t>{Industry=Land and Rail Transportation and Freight, PS_Sub_Region__c=ME Commercial East, SubRegion__c=US DI Commercial NN Mid-Atlantic, Name=Baylor Trucking, Inc., PS_Region_New__c=US Medium Enterprise DI, attributes={type=Account, url=/services/data/v62.0/sobjects/Account/0014X00002luSJQQA2}}</t>
  </si>
  <si>
    <t>KLLM Transport Services, Inc.</t>
  </si>
  <si>
    <t>a0lVT000006Fc6LYAS</t>
  </si>
  <si>
    <t>a0lVT000005zDYYYA2</t>
  </si>
  <si>
    <t>003VT00000py1YZYAY</t>
  </si>
  <si>
    <t>Leonar Bowen</t>
  </si>
  <si>
    <t>leonar.bowen@omc.com</t>
  </si>
  <si>
    <t>a0pVT00000Cq6lZYAR</t>
  </si>
  <si>
    <t>a0lVT000005zDYXYA2</t>
  </si>
  <si>
    <t>{Industry=Land and Rail Transportation and Freight, PS_Region_New__c=US Medium Enterprise DI, SubRegion__c=US DI Commercial NN Mid-Atlantic, attributes={url=/services/data/v62.0/sobjects/Account/0014X00002luSJQQA2, type=Account}, Name=Baylor Trucking, Inc., PS_Sub_Region__c=ME Commercial East}</t>
  </si>
  <si>
    <t>a0lVT000005k4wzYAA</t>
  </si>
  <si>
    <t>0038000002Bsyh3AAB</t>
  </si>
  <si>
    <t>carla.posey@workday.com</t>
  </si>
  <si>
    <t>a0lVT000005w6qAYAQ</t>
  </si>
  <si>
    <t>0031B00002mOvxdQAC</t>
  </si>
  <si>
    <t>Aaron Faris</t>
  </si>
  <si>
    <t>aaron.faris@dinebrands.com</t>
  </si>
  <si>
    <t>Knight-Swift Transportation Holdings Inc.</t>
  </si>
  <si>
    <t>a0lVT000006BhhJYAS</t>
  </si>
  <si>
    <t>a0pVT00000Cq08JYAR</t>
  </si>
  <si>
    <t>a0lVT000005w6q9YAA</t>
  </si>
  <si>
    <t>{Industry=Land and Rail Transportation and Freight, PS_Sub_Region__c=ME Commercial East, Name=Baylor Trucking, Inc., attributes={type=Account, url=/services/data/v62.0/sobjects/Account/0014X00002luSJQQA2}, PS_Region_New__c=US Medium Enterprise DI, SubRegion__c=US DI Commercial NN Mid-Atlantic}</t>
  </si>
  <si>
    <t>003VT00000fc4sfYAA</t>
  </si>
  <si>
    <t>katie.nehrenz@workday.com</t>
  </si>
  <si>
    <t>a0lVT000005ws5BYAQ</t>
  </si>
  <si>
    <t>0034X00003T2sCmQAJ</t>
  </si>
  <si>
    <t>felix.cordero@workday.com</t>
  </si>
  <si>
    <t>a0lVT000006FKXdYAO</t>
  </si>
  <si>
    <t>a0pVT00000Cq3nkYAB</t>
  </si>
  <si>
    <t>a0lVT0000065Aw9YAE</t>
  </si>
  <si>
    <t>0031B00002mO8bwQAC</t>
  </si>
  <si>
    <t>samantha.kowalski@workday.com</t>
  </si>
  <si>
    <t>{Industry=Hardlines, Name=City Furniture, Inc., PS_Region_New__c=US Medium Enterprise DI, attributes={type=Account, url=/services/data/v62.0/sobjects/Account/00180000015ghkXAAQ}, PS_Sub_Region__c=ME NN RHT East, SubRegion__c=US DI ME NN RHT Southeast}</t>
  </si>
  <si>
    <t>Koch Services, Inc.</t>
  </si>
  <si>
    <t>a0lVT000005mtYnYAI</t>
  </si>
  <si>
    <t>a0lVT000005oJz3YAE</t>
  </si>
  <si>
    <t>0034X00003P97DpQAJ</t>
  </si>
  <si>
    <t>Suman Bysani</t>
  </si>
  <si>
    <t>suman.bysani@campingworld.com</t>
  </si>
  <si>
    <t>a0lVT000005oJz4YAE</t>
  </si>
  <si>
    <t>a0pVT00000CpxX2YAJ</t>
  </si>
  <si>
    <t>003VT00000FEhXWYA1</t>
  </si>
  <si>
    <t>Rob Yerushalmi</t>
  </si>
  <si>
    <t>ryerushalmi@campingworld.com</t>
  </si>
  <si>
    <t>{Industry=Hardlines, PS_Sub_Region__c=ME NN RHT East, Name=City Furniture, Inc., SubRegion__c=US DI ME NN RHT Southeast, PS_Region_New__c=US Medium Enterprise DI, attributes={type=Account, url=/services/data/v62.0/sobjects/Account/00180000015ghkXAAQ}}</t>
  </si>
  <si>
    <t>a0lVT0000066dG9YAI</t>
  </si>
  <si>
    <t>0038000001W7wiIAAR</t>
  </si>
  <si>
    <t>William Kohnke</t>
  </si>
  <si>
    <t>william.kohnke@workday.com</t>
  </si>
  <si>
    <t>a0lVT000005mxPVYAY</t>
  </si>
  <si>
    <t>0034X00002tSDtJQAW</t>
  </si>
  <si>
    <t>Susan Walker</t>
  </si>
  <si>
    <t>susan.walker@mvtransit.com</t>
  </si>
  <si>
    <t>Kohl's, Inc.</t>
  </si>
  <si>
    <t>a0lVT000005mxPWYAY</t>
  </si>
  <si>
    <t>a0pVT00000CpUTQYA3</t>
  </si>
  <si>
    <t>0031B00002q2xEOQAY</t>
  </si>
  <si>
    <t>David Lee</t>
  </si>
  <si>
    <t>david.lee@mvtransit.com</t>
  </si>
  <si>
    <t>{PS_Sub_Region__c=ME Commercial East, Industry=Professional Services, SubRegion__c=US DI Commercial NN Southeast, PS_Region_New__c=US Medium Enterprise DI, Name=Eastern Carolina Workforce Development Board, attributes={type=Account, url=/services/data/v62.0/sobjects/Account/001VT00000b2GxrYAE}}</t>
  </si>
  <si>
    <t>a0lVT000005lQCHYA2</t>
  </si>
  <si>
    <t>0034X000039nd1IQAQ</t>
  </si>
  <si>
    <t>teresa.jenkins@workday.com</t>
  </si>
  <si>
    <t>a0lVT000005lR57YAE</t>
  </si>
  <si>
    <t>a0lVT000005vqgZYAQ</t>
  </si>
  <si>
    <t>0034X000032M6WDQA0</t>
  </si>
  <si>
    <t>a0pVT00000Cq6iNYAR</t>
  </si>
  <si>
    <t>Laura Kromer</t>
  </si>
  <si>
    <t>laura.kromer@ally.com</t>
  </si>
  <si>
    <t>a0lVT000005vqgaYAA</t>
  </si>
  <si>
    <t>0034X00003PAM0xQAH</t>
  </si>
  <si>
    <t>{Industry=Restaurant &amp; Food Service, PS_Sub_Region__c=ME Commercial West, SubRegion__c=US DI Commercial NN Southwest, attributes={url=/services/data/v62.0/sobjects/Account/001VT00000b2LSsYAM, type=Account}, PS_Region_New__c=US Medium Enterprise DI, Name=BBQNC3 Corporation}</t>
  </si>
  <si>
    <t>Erin Sippola</t>
  </si>
  <si>
    <t>erin.murphy@ally.com</t>
  </si>
  <si>
    <t>Komatsu America Corp.</t>
  </si>
  <si>
    <t>a0lVT000005lLsYYAU</t>
  </si>
  <si>
    <t>0034X00003T32EBQAZ</t>
  </si>
  <si>
    <t>sean.hohan@workday.com</t>
  </si>
  <si>
    <t>a0lVT000005qWFRYA2</t>
  </si>
  <si>
    <t>0034X00003RCR3wQAH</t>
  </si>
  <si>
    <t>yuriy.yushchenko@workday.com</t>
  </si>
  <si>
    <t>a0pVT00000CqB3hYAF</t>
  </si>
  <si>
    <t>a0lVT000005wstBYAQ</t>
  </si>
  <si>
    <t>003VT00000RW7DMYA1</t>
  </si>
  <si>
    <t>Carlos Chian</t>
  </si>
  <si>
    <t>carlos.chian@workday.com</t>
  </si>
  <si>
    <t>{attributes={url=/services/data/v62.0/sobjects/Account/001VT00000b2LSsYAM, type=Account}, PS_Region_New__c=US Medium Enterprise DI, SubRegion__c=US DI Commercial NN Southwest, Industry=Restaurant &amp; Food Service, PS_Sub_Region__c=ME Commercial West, Name=BBQNC3 Corporation}</t>
  </si>
  <si>
    <t>a0lVT000005wsy1YAA</t>
  </si>
  <si>
    <t>0034X00003GOuXOQA1</t>
  </si>
  <si>
    <t>Cecilia Vorobioff</t>
  </si>
  <si>
    <t>cecilia.vorobioff@iff.com</t>
  </si>
  <si>
    <t>a0lVT000005wsy2YAA</t>
  </si>
  <si>
    <t>003VT00000JGXMrYAP</t>
  </si>
  <si>
    <t>Matyas Varkonyi</t>
  </si>
  <si>
    <t>varkonyi.matyas@iff.com</t>
  </si>
  <si>
    <t>a0lVT000005lSHJYA2</t>
  </si>
  <si>
    <t>Kootenai Health, Inc. dba Kootenai Health</t>
  </si>
  <si>
    <t>a0pVT00000CpzYpYAJ</t>
  </si>
  <si>
    <t>a0lVT000005luVJYAY</t>
  </si>
  <si>
    <t>{Name=BBQNC3 Corporation, PS_Sub_Region__c=ME Commercial West, Industry=Restaurant &amp; Food Service, attributes={type=Account, url=/services/data/v62.0/sobjects/Account/001VT00000b2LSsYAM}, PS_Region_New__c=US Medium Enterprise DI, SubRegion__c=US DI Commercial NN Southwest}</t>
  </si>
  <si>
    <t>003VT00000XOr8DYAT</t>
  </si>
  <si>
    <t>manuel.vega@workday.com</t>
  </si>
  <si>
    <t>a0lVT000005pGz7YAE</t>
  </si>
  <si>
    <t>0038000002Gjwz4AAB</t>
  </si>
  <si>
    <t>Sadie Frame</t>
  </si>
  <si>
    <t>sframe@columbia.com</t>
  </si>
  <si>
    <t>a0lVT000005lvftYAA</t>
  </si>
  <si>
    <t>a0pVT00000CpkbRYAR</t>
  </si>
  <si>
    <t>a0lVT000005pGmDYAU</t>
  </si>
  <si>
    <t>00380000026qL1WAAU</t>
  </si>
  <si>
    <t>Sumi Sankaran</t>
  </si>
  <si>
    <t>sumi.sankaran@workday.com</t>
  </si>
  <si>
    <t>a0lVT000005pGuHYAU</t>
  </si>
  <si>
    <t>Korn Ferry - MSP</t>
  </si>
  <si>
    <t>0034X00003Erbf8QAB</t>
  </si>
  <si>
    <t>Jig Zhao</t>
  </si>
  <si>
    <t>jzhao@columbia.com</t>
  </si>
  <si>
    <t>a0lVT000005pGz8YAE</t>
  </si>
  <si>
    <t>0034X00003DgORuQAN</t>
  </si>
  <si>
    <t>{Industry=Restaurant &amp; Food Service, Name=BBQNC3 Corporation, PS_Region_New__c=US Medium Enterprise DI, SubRegion__c=US DI Commercial NN Southwest, attributes={url=/services/data/v62.0/sobjects/Account/001VT00000b2LSsYAM, type=Account}, PS_Sub_Region__c=ME Commercial West}</t>
  </si>
  <si>
    <t>Dominique Short</t>
  </si>
  <si>
    <t>dshort@columbia.com</t>
  </si>
  <si>
    <t>a0lVT000005mB37YAE</t>
  </si>
  <si>
    <t>003VT00000YemLmYAJ</t>
  </si>
  <si>
    <t>uday.vora@workday.com</t>
  </si>
  <si>
    <t>a0lVT000005wRcrYAE</t>
  </si>
  <si>
    <t>003VT00000m35IsYAI</t>
  </si>
  <si>
    <t>Friedrich Woerlein</t>
  </si>
  <si>
    <t>friedrich.woerlein@anglicare.org.au</t>
  </si>
  <si>
    <t>a0lVT000005mAobYAE</t>
  </si>
  <si>
    <t>a0pVT00000Cq84DYAR</t>
  </si>
  <si>
    <t>0038000002Dt2uuAAB</t>
  </si>
  <si>
    <t>pendra.benjafield@workday.com</t>
  </si>
  <si>
    <t>a0lVT000005rfyFYAQ</t>
  </si>
  <si>
    <t>0034X00003Bly2NQAR</t>
  </si>
  <si>
    <t>{Industry=Banking &amp; Capital Markets, PS_Region_New__c=US Large Enterprise DI &amp; Mexico, SubRegion__c=US DI LE NN RHT North, Name=Penske Truck Leasing Co LP, PS_Sub_Region__c=Diversified Industries LE NN, attributes={type=Account, url=/services/data/v62.0/sobjects/Account/0018000000dRBy2AAG}}</t>
  </si>
  <si>
    <t>Shilpika Basu</t>
  </si>
  <si>
    <t>shilpika.basu@booking.com</t>
  </si>
  <si>
    <t>a0lVT000005rfyEYAQ</t>
  </si>
  <si>
    <t>0034X00003J2daYQAR</t>
  </si>
  <si>
    <t>Adam Stoermer</t>
  </si>
  <si>
    <t>adam.stoermer@workday.com</t>
  </si>
  <si>
    <t>a0lVT000005rfyDYAQ</t>
  </si>
  <si>
    <t>0034X00003NxabEQAR</t>
  </si>
  <si>
    <t>Beatriz Jean Caparros</t>
  </si>
  <si>
    <t>beatriz.jaencaparros@booking.com</t>
  </si>
  <si>
    <t>a0pVT00000CpwxXYAR</t>
  </si>
  <si>
    <t>a0lVT0000060CP7YAM</t>
  </si>
  <si>
    <t>0031B00002rmM1qQAE</t>
  </si>
  <si>
    <t>Jamie Wright</t>
  </si>
  <si>
    <t>jamie.wright@ultra-gbs.com</t>
  </si>
  <si>
    <t>{PS_Region_New__c=US Large Enterprise DI &amp; Mexico, Industry=Banking &amp; Capital Markets, attributes={type=Account, url=/services/data/v62.0/sobjects/Account/0018000000dRBy2AAG}, SubRegion__c=US DI LE NN RHT North, PS_Sub_Region__c=Diversified Industries LE NN, Name=Penske Truck Leasing Co LP}</t>
  </si>
  <si>
    <t>a0lVT000005mEXFYA2</t>
  </si>
  <si>
    <t>KPMG Services Pte. Ltd.</t>
  </si>
  <si>
    <t>a0lVT0000065KsIYAU</t>
  </si>
  <si>
    <t>003VT00000H0DGRYA3</t>
  </si>
  <si>
    <t>brooke.knight@workday.com</t>
  </si>
  <si>
    <t>a0lVT0000065KsHYAU</t>
  </si>
  <si>
    <t>0034X00003T1QBAQA3</t>
  </si>
  <si>
    <t>Kerstin Purvis</t>
  </si>
  <si>
    <t>kerstin.purvis@umaritime.com</t>
  </si>
  <si>
    <t>a0pVT00000CqBOfYAN</t>
  </si>
  <si>
    <t>a0lVT0000061322YAA</t>
  </si>
  <si>
    <t>0038000001ocoNlAAI</t>
  </si>
  <si>
    <t>jeffery.brown@workday.com</t>
  </si>
  <si>
    <t>{attributes={url=/services/data/v62.0/sobjects/Account/001VT00000b2mckYAA, type=Account}, PS_Sub_Region__c=ME Commercial East, Industry=Professional Services, SubRegion__c=US DI Commercial NN Mid-Atlantic, PS_Region_New__c=US Medium Enterprise DI, Name=Christian Help}</t>
  </si>
  <si>
    <t>a0lVT0000061321YAA</t>
  </si>
  <si>
    <t>0034X00003R3kfNQAR</t>
  </si>
  <si>
    <t>David To</t>
  </si>
  <si>
    <t>david.to@workday.com</t>
  </si>
  <si>
    <t>a0lVT0000060E17YAE</t>
  </si>
  <si>
    <t>Kraft Heinz Foods Company</t>
  </si>
  <si>
    <t>a0lVT0000060CP8YAM</t>
  </si>
  <si>
    <t>0034X00003ErgPnQAJ</t>
  </si>
  <si>
    <t>Greg Kelble</t>
  </si>
  <si>
    <t>greg.kelble@ultra-us-gbs.com</t>
  </si>
  <si>
    <t>a0lVT000006GNZuYAO</t>
  </si>
  <si>
    <t>0034X000037BBvqQAG</t>
  </si>
  <si>
    <t>Agathe Laigneau</t>
  </si>
  <si>
    <t>a0pVT00000CpvmxYAB</t>
  </si>
  <si>
    <t>agathe.laigneau@havas.com</t>
  </si>
  <si>
    <t>a0rVT00001DX4MhYAL</t>
  </si>
  <si>
    <t>a0lVT0000063YcnYAE</t>
  </si>
  <si>
    <t>0014X00002Osgg9QAB</t>
  </si>
  <si>
    <t>{attributes={url=/services/data/v62.0/sobjects/Account/0014X00002Osgg9QAB, type=Account}, Name=ProPharma Group, LLC, PS_Sub_Region__c=ME CB PBS, Industry=Professional Services, SubRegion__c=US DI ME CB PBS Southeast, PS_Region_New__c=US Medium Enterprise DI}</t>
  </si>
  <si>
    <t>a0lVT000005y5Q9YAI</t>
  </si>
  <si>
    <t>003VT00000kOt2UYAS</t>
  </si>
  <si>
    <t>tim.lemaire@workday.com</t>
  </si>
  <si>
    <t>Kriska Transportation Group Ltd (Inactive Account)</t>
  </si>
  <si>
    <t>a0lVT000006GNurYAG</t>
  </si>
  <si>
    <t>0031B00002mNiDHQA0</t>
  </si>
  <si>
    <t>Mohamed Salmi</t>
  </si>
  <si>
    <t>mohamed.salmi@havas.com</t>
  </si>
  <si>
    <t>a0pVT00000Cq1sOYAR</t>
  </si>
  <si>
    <t>a0lVT000005mMmXYAU</t>
  </si>
  <si>
    <t>{PS_Sub_Region__c=ME CB PBS, Industry=Professional Services, SubRegion__c=US DI ME CB PBS Southeast, Name=ProPharma Group, LLC, PS_Region_New__c=US Medium Enterprise DI, attributes={url=/services/data/v62.0/sobjects/Account/0014X00002Osgg9QAB, type=Account}}</t>
  </si>
  <si>
    <t>a0lVT0000062SETYA2</t>
  </si>
  <si>
    <t>a0lVT000006E4czYAC</t>
  </si>
  <si>
    <t>003VT00000eMCwMYAW</t>
  </si>
  <si>
    <t>abi.rose@workday.com</t>
  </si>
  <si>
    <t>a0lVT000005nmF7YAI</t>
  </si>
  <si>
    <t>a0pVT00000Cq1AnYAJ</t>
  </si>
  <si>
    <t>KYMBB LLC</t>
  </si>
  <si>
    <t>a0lVT000005mQYPYA2</t>
  </si>
  <si>
    <t>{Industry=Restaurant &amp; Food Service, attributes={type=Account, url=/services/data/v62.0/sobjects/Account/0013000000HVm08AAD}, PS_Sub_Region__c=Diversified Industries LE NN, Name=KFC Corporation, SubRegion__c=US DI LE NN RHT North, PS_Region_New__c=US Large Enterprise DI &amp; Mexico}</t>
  </si>
  <si>
    <t>0034X00003Et6ABQAZ</t>
  </si>
  <si>
    <t>Salvador Ruiz</t>
  </si>
  <si>
    <t>salvador.ruiz@workday.com</t>
  </si>
  <si>
    <t>a0lVT000005mQlJYAU</t>
  </si>
  <si>
    <t>a0lVT000005mZevYAE</t>
  </si>
  <si>
    <t>a0pVT00000Cq1CPYAZ</t>
  </si>
  <si>
    <t>a0lVT000006GIyPYAW</t>
  </si>
  <si>
    <t>{SubRegion__c=US DI LE NN RHT North, PS_Region_New__c=US Large Enterprise DI &amp; Mexico, attributes={url=/services/data/v62.0/sobjects/Account/0013000000HVm08AAD, type=Account}, Industry=Restaurant &amp; Food Service, Name=KFC Corporation, PS_Sub_Region__c=Diversified Industries LE NN}</t>
  </si>
  <si>
    <t>a0lVT000006GIwoYAG</t>
  </si>
  <si>
    <t>0031B00002sjbcwQAA</t>
  </si>
  <si>
    <t>Jose Ruvalcaba</t>
  </si>
  <si>
    <t>L'Oréal S.A.</t>
  </si>
  <si>
    <t>jruvalcaba@bfusa.com</t>
  </si>
  <si>
    <t>a0lVT000006GIwnYAG</t>
  </si>
  <si>
    <t>a0pVT00000Cpo79YAB</t>
  </si>
  <si>
    <t>{PS_Region_New__c=US Large Enterprise DI &amp; Mexico, attributes={type=Account, url=/services/data/v62.0/sobjects/Account/0013000000HVm08AAD}, PS_Sub_Region__c=Diversified Industries LE NN, SubRegion__c=US DI LE NN RHT North, Industry=Restaurant &amp; Food Service, Name=KFC Corporation}</t>
  </si>
  <si>
    <t>a0lVT000005wD6rYAE</t>
  </si>
  <si>
    <t>a0lVT000005mRKnYAM</t>
  </si>
  <si>
    <t>a0lVT000006DTvBYAW</t>
  </si>
  <si>
    <t>0031B00002qT43zQAC</t>
  </si>
  <si>
    <t>La Posada At Park Centre, Inc.</t>
  </si>
  <si>
    <t>a0pVT00000Cq1E1YAJ</t>
  </si>
  <si>
    <t>justin.darrow@workday.com</t>
  </si>
  <si>
    <t>a0lVT000006JBYzYAO</t>
  </si>
  <si>
    <t>0038000001jUWSoAAO</t>
  </si>
  <si>
    <t>{PS_Region_New__c=US Large Enterprise DI &amp; Mexico, attributes={type=Account, url=/services/data/v62.0/sobjects/Account/0013000000HVm08AAD}, Industry=Restaurant &amp; Food Service, SubRegion__c=US DI LE NN RHT North, Name=KFC Corporation, PS_Sub_Region__c=Diversified Industries LE NN}</t>
  </si>
  <si>
    <t>Matt Lisle</t>
  </si>
  <si>
    <t>matt.lisle@workday.com</t>
  </si>
  <si>
    <t>a0lVT000005mRcXYAU</t>
  </si>
  <si>
    <t>a0lVT0000067BL3YAM</t>
  </si>
  <si>
    <t>0034X00003R3zcTQAR</t>
  </si>
  <si>
    <t>piotr.ksiadz@workday.com</t>
  </si>
  <si>
    <t>a0lVT000006IborYAC</t>
  </si>
  <si>
    <t>0034X00003PASTLQA5</t>
  </si>
  <si>
    <t>a0pVT00000CpyrHYAR</t>
  </si>
  <si>
    <t>Matt Lewis</t>
  </si>
  <si>
    <t>mlewis6@anglianwater.co.uk</t>
  </si>
  <si>
    <t>a0lVT000006IbosYAC</t>
  </si>
  <si>
    <t>0031B00002q2qM2QAI</t>
  </si>
  <si>
    <t>{attributes={url=/services/data/v62.0/sobjects/Account/0013000000J1WRZAA3, type=Account}, PS_Region_New__c=US Large Enterprise DI &amp; Mexico, SubRegion__c=US DI LE NN MFG Central, Name=Cargill, Incorporated, Industry=Chemicals, PS_Sub_Region__c=Diversified Industries LE NN}</t>
  </si>
  <si>
    <t>Alison Bradley-Cooper</t>
  </si>
  <si>
    <t>abradleyco@anglianwater.co.uk</t>
  </si>
  <si>
    <t>a0lVT000005mQyDYAU</t>
  </si>
  <si>
    <t>a0lVT000005pGRFYA2</t>
  </si>
  <si>
    <t>0034X000038fn4vQAA</t>
  </si>
  <si>
    <t>mireysa.angelica@workday.com</t>
  </si>
  <si>
    <t>a0pVT00000Cpx2MYAR</t>
  </si>
  <si>
    <t>a0lVT000005mRnpYAE</t>
  </si>
  <si>
    <t>a0lVT0000060M6jYAE</t>
  </si>
  <si>
    <t>{attributes={type=Account, url=/services/data/v62.0/sobjects/Account/0013000000J1WRZAA3}, Name=Cargill, Incorporated, PS_Region_New__c=US Large Enterprise DI &amp; Mexico, Industry=Chemicals, PS_Sub_Region__c=Diversified Industries LE NN, SubRegion__c=US DI LE NN MFG Central}</t>
  </si>
  <si>
    <t>Lake Tahoe Community College</t>
  </si>
  <si>
    <t>a0lVT000005mRxVYAU</t>
  </si>
  <si>
    <t>a0lVT000005mRZJYA2</t>
  </si>
  <si>
    <t>a0lVT000005maj3YAA</t>
  </si>
  <si>
    <t>a0pVT00000Cq4jlYAB</t>
  </si>
  <si>
    <t>{attributes={url=/services/data/v62.0/sobjects/Account/0013000000KzleTAAR, type=Account}, PS_Region_New__c=US Large Enterprise DI &amp; Mexico, Name=Chick-fil-A, Inc., SubRegion__c=US DI LE CB RHT Southeast, Industry=Restaurant &amp; Food Service, PS_Sub_Region__c=Diversified Industries LE CB RHT}</t>
  </si>
  <si>
    <t>Lasership, Inc. dba OnTrac Final Mile</t>
  </si>
  <si>
    <t>a0lVT000005mRr3YAE</t>
  </si>
  <si>
    <t>a0lVT000005ws6oYAA</t>
  </si>
  <si>
    <t>a0lVT000005ws6qYAA</t>
  </si>
  <si>
    <t>a0pVT00000CpyxjYAB</t>
  </si>
  <si>
    <t>0034X00003RCi5RQAT</t>
  </si>
  <si>
    <t>Michelle Norman</t>
  </si>
  <si>
    <t>michelle.norman@jsx.com</t>
  </si>
  <si>
    <t>a0lVT000005wyk5YAA</t>
  </si>
  <si>
    <t>{PS_Region_New__c=EMEA South, Name=Veolia Environnement SA, SubRegion__c=France MFG HC &amp; Energy LE, Industry=Utilities, PS_Sub_Region__c=France, attributes={url=/services/data/v62.0/sobjects/Account/0018000000NLEG5AAP, type=Account}}</t>
  </si>
  <si>
    <t>a0lVT000006HyynYAC</t>
  </si>
  <si>
    <t>003VT00000keelqYAA</t>
  </si>
  <si>
    <t>Laurens Institute For Education</t>
  </si>
  <si>
    <t>James Welch</t>
  </si>
  <si>
    <t>james.welch@jsx.com</t>
  </si>
  <si>
    <t>a0lVT000006MOzVYAW</t>
  </si>
  <si>
    <t>a0lVT0000062S9dYAE</t>
  </si>
  <si>
    <t>a0lVT000006NGQPYA4</t>
  </si>
  <si>
    <t>0034X00002t6lrrQAA</t>
  </si>
  <si>
    <t>Tegan Gambuzza</t>
  </si>
  <si>
    <t>tegan.gambuzza@bega.com.au</t>
  </si>
  <si>
    <t>a0pVT00000CpzKJYAZ</t>
  </si>
  <si>
    <t>a0lVT000006NGQQYA4</t>
  </si>
  <si>
    <t>0034X00002t6rn6QAA</t>
  </si>
  <si>
    <t>Michael Lidiker</t>
  </si>
  <si>
    <t>michael.lidiker@bega.com.au</t>
  </si>
  <si>
    <t>{PS_Region_New__c=ASEAN, Name=StarHub Ltd., Industry=Telecom, SubRegion__c=Singapore NN, PS_Sub_Region__c=Singapore NN, attributes={url=/services/data/v62.0/sobjects/Account/0018000000rQmo7AAC, type=Account}}</t>
  </si>
  <si>
    <t>Le Creuset Group</t>
  </si>
  <si>
    <t>a0lVT000006NQXpYAO</t>
  </si>
  <si>
    <t>a0lVT000006NQZRYA4</t>
  </si>
  <si>
    <t>a0lVT000006PLqbYAG</t>
  </si>
  <si>
    <t>a0pVT00000Cq9TJYAZ</t>
  </si>
  <si>
    <t>003VT00000fc4sgYAA</t>
  </si>
  <si>
    <t>kat.matasova@workday.com</t>
  </si>
  <si>
    <t>a0lVT000006PM0HYAW</t>
  </si>
  <si>
    <t>{Name=Kellermeyer Bergensons Services LLC, SubRegion__c=US DI LE CB TM &amp; PS Southwest, PS_Sub_Region__c=Diversified Industries LE CB TM &amp; PS, Industry=Business Services, attributes={url=/services/data/v62.0/sobjects/Account/00180000010Frd7AAC, type=Account}, PS_Region_New__c=US Large Enterprise DI &amp; Mexico}</t>
  </si>
  <si>
    <t>a0lVT000005snIbYAI</t>
  </si>
  <si>
    <t>Leadec Holding BV &amp; Co. KG</t>
  </si>
  <si>
    <t>a0lVT0000064lGrYAI</t>
  </si>
  <si>
    <t>Germany LE</t>
  </si>
  <si>
    <t>0034X00003BmlnPQAR</t>
  </si>
  <si>
    <t>Natalie Attoh</t>
  </si>
  <si>
    <t>Germany LE NN 3</t>
  </si>
  <si>
    <t>natalie.attoh@chanel.com</t>
  </si>
  <si>
    <t>a0lVT0000064lw9YAA</t>
  </si>
  <si>
    <t>a0pVT00000Cq9UvYAJ</t>
  </si>
  <si>
    <t>a0lVT0000064vx7YAA</t>
  </si>
  <si>
    <t>{PS_Sub_Region__c=Diversified Industries LE CB TM &amp; PS, Industry=Business Services, Name=Kellermeyer Bergensons Services LLC, PS_Region_New__c=US Large Enterprise DI &amp; Mexico, attributes={type=Account, url=/services/data/v62.0/sobjects/Account/00180000010Frd7AAC}, SubRegion__c=US DI LE CB TM &amp; PS Southwest}</t>
  </si>
  <si>
    <t>a0lVT000005mYAzYAM</t>
  </si>
  <si>
    <t>003VT00000fcE3zYAE</t>
  </si>
  <si>
    <t>taylor.mitchell@workday.com</t>
  </si>
  <si>
    <t>LeadPoint</t>
  </si>
  <si>
    <t>a0lVT000005wswPYAQ</t>
  </si>
  <si>
    <t>0038000002K1a8QAAR</t>
  </si>
  <si>
    <t>George Mathew</t>
  </si>
  <si>
    <t>gmathew@levi.com</t>
  </si>
  <si>
    <t>a0pVT00000CpuamYAB</t>
  </si>
  <si>
    <t>a0lVT000005wswQYAQ</t>
  </si>
  <si>
    <t>00380000024KOf8AAG</t>
  </si>
  <si>
    <t>Scott White</t>
  </si>
  <si>
    <t>swhite@levi.com</t>
  </si>
  <si>
    <t>a0lVT000005znH3YAI</t>
  </si>
  <si>
    <t>{Name=Kellermeyer Bergensons Services LLC, attributes={type=Account, url=/services/data/v62.0/sobjects/Account/00180000010Frd7AAC}, SubRegion__c=US DI LE CB TM &amp; PS Southwest, Industry=Business Services, PS_Region_New__c=US Large Enterprise DI &amp; Mexico, PS_Sub_Region__c=Diversified Industries LE CB TM &amp; PS}</t>
  </si>
  <si>
    <t>a0lVT000005o56TYAQ</t>
  </si>
  <si>
    <t>0038000001NX00ZAAT</t>
  </si>
  <si>
    <t>wendi.gibbs@workday.com</t>
  </si>
  <si>
    <t>Lear Corporation</t>
  </si>
  <si>
    <t>a0lVT000005pB09YAE</t>
  </si>
  <si>
    <t>0034X000030R9WaQAK</t>
  </si>
  <si>
    <t>alexander.schell@workday.com</t>
  </si>
  <si>
    <t>a0lVT000006JC6rYAG</t>
  </si>
  <si>
    <t>a0pVT00000Cq9WXYAZ</t>
  </si>
  <si>
    <t>{PS_Region_New__c=US Large Enterprise DI &amp; Mexico, attributes={type=Account, url=/services/data/v62.0/sobjects/Account/00180000010Frd7AAC}, Name=Kellermeyer Bergensons Services LLC, Industry=Business Services, SubRegion__c=US DI LE CB TM &amp; PS Southwest, PS_Sub_Region__c=Diversified Industries LE CB TM &amp; PS}</t>
  </si>
  <si>
    <t>a0lVT000006JC8TYAW</t>
  </si>
  <si>
    <t>003VT00000ZJozRYAT</t>
  </si>
  <si>
    <t>Evan Romero</t>
  </si>
  <si>
    <t>evan_romero@rbwlogistics.com</t>
  </si>
  <si>
    <t>a0lVT000006JCMzYAO</t>
  </si>
  <si>
    <t>Lee Health</t>
  </si>
  <si>
    <t>003VT00000qBoZpYAK</t>
  </si>
  <si>
    <t>eromero@rbwlogistics.com</t>
  </si>
  <si>
    <t>a0lVT0000061igHYAQ</t>
  </si>
  <si>
    <t>a0pVT00000Cq1sMYAR</t>
  </si>
  <si>
    <t>a0lVT0000061igIYAQ</t>
  </si>
  <si>
    <t>{Name=Kraft Heinz Foods Company, PS_Sub_Region__c=Diversified Industries LE CB RHT, Industry=Consumer Goods, attributes={url=/services/data/v62.0/sobjects/Account/0013000000J2sKyAAJ, type=Account}, SubRegion__c=US DI LE CB RHT Midwest, PS_Region_New__c=US Large Enterprise DI &amp; Mexico}</t>
  </si>
  <si>
    <t>a0lVT000006CftZYAS</t>
  </si>
  <si>
    <t>a0lVT000006J5q9YAC</t>
  </si>
  <si>
    <t>0034X000038g1KxQAI</t>
  </si>
  <si>
    <t>Nicole Baker</t>
  </si>
  <si>
    <t>nbaker@diligent.com</t>
  </si>
  <si>
    <t>Legacy Behavioral Health Center</t>
  </si>
  <si>
    <t>a0lVT000006J5zpYAC</t>
  </si>
  <si>
    <t>a0pVT00000Cq3FtYAJ</t>
  </si>
  <si>
    <t>{Name=Moody's Corporation, Industry=Investment Management, PS_Sub_Region__c=FSI LE, PS_Region_New__c=US FSI, attributes={type=Account, url=/services/data/v62.0/sobjects/Account/0014X00002aUYO5QAO}, SubRegion__c=US FSI Majors}</t>
  </si>
  <si>
    <t>a0lVT000006OD77YAG</t>
  </si>
  <si>
    <t>a0lVT000005mVbJYAU</t>
  </si>
  <si>
    <t>a0pVT00000Cq5ntYAB</t>
  </si>
  <si>
    <t>a0lVT000005mVeXYAU</t>
  </si>
  <si>
    <t>{PS_Sub_Region__c=FSI LE, Name=Moody's Corporation, attributes={type=Account, url=/services/data/v62.0/sobjects/Account/0014X00002aUYO5QAO}, PS_Region_New__c=US FSI, SubRegion__c=US FSI Majors, Industry=Investment Management}</t>
  </si>
  <si>
    <t>0031B00002gf42xQAA</t>
  </si>
  <si>
    <t>john.jaent@workday.com</t>
  </si>
  <si>
    <t>a0lVT000005mVhlYAE</t>
  </si>
  <si>
    <t>0038000001k8tj4AAA</t>
  </si>
  <si>
    <t>zohaib.sheikh@workday.com</t>
  </si>
  <si>
    <t>a0lVT000005mXy5YAE</t>
  </si>
  <si>
    <t>a0pVT00000Cq5pVYAR</t>
  </si>
  <si>
    <t>003VT00000VGvjdYAD</t>
  </si>
  <si>
    <t>william.porras@workday.com</t>
  </si>
  <si>
    <t>a0lVT000006Oc8jYAC</t>
  </si>
  <si>
    <t>{SubRegion__c=US FSI Majors, attributes={type=Account, url=/services/data/v62.0/sobjects/Account/0014X00002aUYO5QAO}, PS_Sub_Region__c=FSI LE, Industry=Investment Management, PS_Region_New__c=US FSI, Name=Moody's Corporation}</t>
  </si>
  <si>
    <t>a0lVT000006Oc8kYAC</t>
  </si>
  <si>
    <t>0034X00003S9aXGQAZ</t>
  </si>
  <si>
    <t>Melissa Castaneda</t>
  </si>
  <si>
    <t>melissa.castaneda@patagonia.com</t>
  </si>
  <si>
    <t>a0lVT000006Oc8lYAC</t>
  </si>
  <si>
    <t>003VT00000bFG5ZYAW</t>
  </si>
  <si>
    <t>Corrina Stasik</t>
  </si>
  <si>
    <t>a0pVT00000CppWFYAZ</t>
  </si>
  <si>
    <t>corrina.stasik@patagonia.com</t>
  </si>
  <si>
    <t>Leon Health Plan</t>
  </si>
  <si>
    <t>a0lVT000005mXtFYAU</t>
  </si>
  <si>
    <t>{attributes={url=/services/data/v62.0/sobjects/Account/0014X00002aUYO5QAO, type=Account}, SubRegion__c=US FSI Majors, PS_Sub_Region__c=FSI LE, PS_Region_New__c=US FSI, Name=Moody's Corporation, Industry=Investment Management}</t>
  </si>
  <si>
    <t>a0lVT000005zEw4YAE</t>
  </si>
  <si>
    <t>0034X00003T0xxhQAB</t>
  </si>
  <si>
    <t>William Headrick</t>
  </si>
  <si>
    <t>william.headrick@clearesult.com</t>
  </si>
  <si>
    <t>a0lVT0000065PjtYAE</t>
  </si>
  <si>
    <t>a0pVT00000Cq2IEYAZ</t>
  </si>
  <si>
    <t>a0lVT0000065PjuYAE</t>
  </si>
  <si>
    <t>{Name=Hirschbach Motor Lines, Inc., PS_Region_New__c=US Medium Enterprise DI, attributes={type=Account, url=/services/data/v62.0/sobjects/Account/001VT00000b2v3JYAQ}, PS_Sub_Region__c=ME NN TM &amp; RHT West, SubRegion__c=US DI ME NN RHT Mountain, Industry=Land and Rail Transportation and Freight}</t>
  </si>
  <si>
    <t>a0lVT000005mUFRYA2</t>
  </si>
  <si>
    <t>Leon Medical Centers</t>
  </si>
  <si>
    <t>a0lVT000006GEZrYAO</t>
  </si>
  <si>
    <t>003VT00000iCDL7YAO</t>
  </si>
  <si>
    <t>d.espinal@workday.com</t>
  </si>
  <si>
    <t>a0lVT000005qZV3YAM</t>
  </si>
  <si>
    <t>0038000001cCYY3AAO</t>
  </si>
  <si>
    <t>a0pVT00000Cq5XnYAJ</t>
  </si>
  <si>
    <t>josh.fairbanks@workday.com</t>
  </si>
  <si>
    <t>a0lVT0000062SG5YAM</t>
  </si>
  <si>
    <t>{attributes={url=/services/data/v62.0/sobjects/Account/0014X00002l5Nh6QAE, type=Account}, SubRegion__c=US NFP NN West, PS_Region_New__c=US SLED, Industry=Non-Profit, Name=Young Men's Christian Association of Greater Long Beach, PS_Sub_Region__c=Higher Education LE}</t>
  </si>
  <si>
    <t>a0lVT000005mXBhYAM</t>
  </si>
  <si>
    <t>a0lVT000006GBgnYAG</t>
  </si>
  <si>
    <t>003VT00000gbmNGYAY</t>
  </si>
  <si>
    <t>Marcus Foden</t>
  </si>
  <si>
    <t>marcus.foden@groundworks.com</t>
  </si>
  <si>
    <t>a0lVT000006GBgoYAG</t>
  </si>
  <si>
    <t>a0pVT00000Cq0JZYAZ</t>
  </si>
  <si>
    <t>a0lVT000005mVJZYA2</t>
  </si>
  <si>
    <t>a0lVT000005uAJZYA2</t>
  </si>
  <si>
    <t>0034X00003T34n6QAB</t>
  </si>
  <si>
    <t>weston.anderson@workday.com</t>
  </si>
  <si>
    <t>a0lVT000005mUiTYAU</t>
  </si>
  <si>
    <t>Lifepoint Rehabilitation Services, LLC</t>
  </si>
  <si>
    <t>a0lVT000005trnBYAQ</t>
  </si>
  <si>
    <t>{Industry=Business Services, PS_Region_New__c=US Medium Enterprise DI, SubRegion__c=US DI ME CB PBS Central, PS_Sub_Region__c=ME CB PBS, Name=Dwyer Franchising LLC d/b/a Neighborly, attributes={type=Account, url=/services/data/v62.0/sobjects/Account/0011B00002FbkiGQAR}}</t>
  </si>
  <si>
    <t>0031B00002oKPyoQAG</t>
  </si>
  <si>
    <t>clint.maddy@workday.com</t>
  </si>
  <si>
    <t>a0lVT000006Mxu1YAC</t>
  </si>
  <si>
    <t>00380000021wifiAAA</t>
  </si>
  <si>
    <t>Keith Lawless</t>
  </si>
  <si>
    <t>keith.lawless@workday.com</t>
  </si>
  <si>
    <t>a0lVT000005mUvNYAU</t>
  </si>
  <si>
    <t>a0lVT000006I405YAC</t>
  </si>
  <si>
    <t>a0pVT00000Cpsp4YAB</t>
  </si>
  <si>
    <t>0034X00003NxKzqQAF</t>
  </si>
  <si>
    <t>jadwiga.walczyk@workday.com</t>
  </si>
  <si>
    <t>a0lVT000005xmovYAA</t>
  </si>
  <si>
    <t>{attributes={url=/services/data/v62.0/sobjects/Account/0011B00002FbkiGQAR, type=Account}, PS_Sub_Region__c=ME CB PBS, Name=Dwyer Franchising LLC d/b/a Neighborly, PS_Region_New__c=US Medium Enterprise DI, Industry=Business Services, SubRegion__c=US DI ME CB PBS Central}</t>
  </si>
  <si>
    <t>a0lVT00000604hhYAA</t>
  </si>
  <si>
    <t>a0lVT00000638X3YAI</t>
  </si>
  <si>
    <t>0034X00002vq8LQQAY</t>
  </si>
  <si>
    <t>Fanny TROUDE</t>
  </si>
  <si>
    <t>ftroude@deloitte.fr</t>
  </si>
  <si>
    <t>a0pVT00000Cq0LBYAZ</t>
  </si>
  <si>
    <t>a0lVT00000638YfYAI</t>
  </si>
  <si>
    <t>0034X00003GO1FkQAL</t>
  </si>
  <si>
    <t>Véronique Violin-Revenu</t>
  </si>
  <si>
    <t>v.violinrevenu@deloitte.fr</t>
  </si>
  <si>
    <t>{PS_Region_New__c=US Medium Enterprise DI, Name=Dwyer Franchising LLC d/b/a Neighborly, SubRegion__c=US DI ME CB PBS Central, PS_Sub_Region__c=ME CB PBS, Industry=Business Services, attributes={url=/services/data/v62.0/sobjects/Account/0011B00002FbkiGQAR, type=Account}}</t>
  </si>
  <si>
    <t>a0lVT000005xUlZYAU</t>
  </si>
  <si>
    <t>003VT00000JfnhlYAB</t>
  </si>
  <si>
    <t>Ben Gledhill</t>
  </si>
  <si>
    <t>benjamin.gledhill@stagecoach.com</t>
  </si>
  <si>
    <t>a0lVT000005sn45YAA</t>
  </si>
  <si>
    <t>a0lVT000005xV6XYAU</t>
  </si>
  <si>
    <t>a0pVT00000CpxtaYAB</t>
  </si>
  <si>
    <t>a0lVT000005xUqPYAU</t>
  </si>
  <si>
    <t>Linde Gas North America</t>
  </si>
  <si>
    <t>{Name=Dwyer Franchising LLC d/b/a Neighborly, PS_Sub_Region__c=ME CB PBS, attributes={type=Account, url=/services/data/v62.0/sobjects/Account/0011B00002FbkiGQAR}, SubRegion__c=US DI ME CB PBS Central, PS_Region_New__c=US Medium Enterprise DI, Industry=Business Services}</t>
  </si>
  <si>
    <t>a0lVT000005mXWfYAM</t>
  </si>
  <si>
    <t>0034X00003EsqyPQAR</t>
  </si>
  <si>
    <t>Oshima Bajaj</t>
  </si>
  <si>
    <t>oshima.bajaj@workday.com</t>
  </si>
  <si>
    <t>a0lVT000006M2feYAC</t>
  </si>
  <si>
    <t>a0pVT00000CpprDYAR</t>
  </si>
  <si>
    <t>a0lVT000006OD0gYAG</t>
  </si>
  <si>
    <t>003VT00000fc0ukYAA</t>
  </si>
  <si>
    <t>Sarah Schildts</t>
  </si>
  <si>
    <t>sarah.schildts@sfellc.org</t>
  </si>
  <si>
    <t>{Name=Dwyer Franchising LLC d/b/a Neighborly, PS_Sub_Region__c=ME CB PBS, Industry=Business Services, SubRegion__c=US DI ME CB PBS Central, attributes={type=Account, url=/services/data/v62.0/sobjects/Account/0011B00002FbkiGQAR}, PS_Region_New__c=US Medium Enterprise DI}</t>
  </si>
  <si>
    <t>a0lVT000006M2fdYAC</t>
  </si>
  <si>
    <t>Loblaws, Inc.</t>
  </si>
  <si>
    <t>a0lVT000006OD0fYAG</t>
  </si>
  <si>
    <t>003VT00000oRzemYAC</t>
  </si>
  <si>
    <t>Jamie Hilt</t>
  </si>
  <si>
    <t>jamie.hilt@sfellc.org</t>
  </si>
  <si>
    <t>a0lVT0000068dqLYAQ</t>
  </si>
  <si>
    <t>a0pVT00000CpzYoYAJ</t>
  </si>
  <si>
    <t>00380000028DCCuAAO</t>
  </si>
  <si>
    <t>Sarah Burghardt</t>
  </si>
  <si>
    <t>sburghardt@fenwick.com</t>
  </si>
  <si>
    <t>a0lVT0000068dvBYAQ</t>
  </si>
  <si>
    <t>{Industry=Professional Services, SubRegion__c=US DI LE NN TM &amp; PS West, PS_Sub_Region__c=Diversified Industries LE NN, Name=Korn Ferry - MSP, attributes={url=/services/data/v62.0/sobjects/Account/0018000000MUvzWAAT, type=Account}, PS_Region_New__c=US Large Enterprise DI &amp; Mexico}</t>
  </si>
  <si>
    <t>a0lVT000005ywkbYAA</t>
  </si>
  <si>
    <t>Lockheed Martin Corporation</t>
  </si>
  <si>
    <t>a0lVT0000068dojYAA</t>
  </si>
  <si>
    <t>a0pVT00000Cq3apYAB</t>
  </si>
  <si>
    <t>a0lVT000005mVzVYAU</t>
  </si>
  <si>
    <t>a0lVT000005mWQvYAM</t>
  </si>
  <si>
    <t>{PS_Sub_Region__c=Diversified Industries LE NN, SubRegion__c=US DI LE NN TM &amp; PS West, attributes={url=/services/data/v62.0/sobjects/Account/0018000000MUvzWAAT, type=Account}, Name=Korn Ferry - MSP, PS_Region_New__c=US Large Enterprise DI &amp; Mexico, Industry=Professional Services}</t>
  </si>
  <si>
    <t>a0lVT000006NSeVYAW</t>
  </si>
  <si>
    <t>Loews Hotels, LLC.</t>
  </si>
  <si>
    <t>0034X00003GMx9JQAT</t>
  </si>
  <si>
    <t>Michael Drozdek</t>
  </si>
  <si>
    <t>michael.drozdek@symrise.com</t>
  </si>
  <si>
    <t>a0lVT000005mW9BYAU</t>
  </si>
  <si>
    <t>a0pVT00000CpwCkYAJ</t>
  </si>
  <si>
    <t>{SubRegion__c=US DI LE NN RHT South, attributes={type=Account, url=/services/data/v62.0/sobjects/Account/001VT00000b1MHMYA2}, PS_Sub_Region__c=Diversified Industries LE NN, Name=First Watch Restaurants, Inc, PS_Region_New__c=US Large Enterprise DI &amp; Mexico, Industry=Restaurant &amp; Food Service}</t>
  </si>
  <si>
    <t>a0lVT000006NSeUYAW</t>
  </si>
  <si>
    <t>a0lVT000006QzFhYAK</t>
  </si>
  <si>
    <t>0038000000UvhUpAAJ</t>
  </si>
  <si>
    <t>Joe Carpenter</t>
  </si>
  <si>
    <t>Log-On</t>
  </si>
  <si>
    <t>joe.carpenter@scripps.com</t>
  </si>
  <si>
    <t>a0lVT000006QzFiYAK</t>
  </si>
  <si>
    <t>a0pVT00000CpzowYAB</t>
  </si>
  <si>
    <t>{PS_Sub_Region__c=UKI RHT, Name=McDonald’s Restaurants Limited, PS_Region_New__c=UKI, attributes={url=/services/data/v62.0/sobjects/Account/0018000000YOdeDAAT, type=Account}, Industry=Restaurant &amp; Food Service, SubRegion__c=null}</t>
  </si>
  <si>
    <t>a0lVT000005qUn7YAE</t>
  </si>
  <si>
    <t>0034X000032MzsKQAS</t>
  </si>
  <si>
    <t>cole.miltenberger@workday.com</t>
  </si>
  <si>
    <t>a0lVT000006IqMTYA0</t>
  </si>
  <si>
    <t>Logitech Inc.</t>
  </si>
  <si>
    <t>a0lVT000005mWqjYAE</t>
  </si>
  <si>
    <t>a0pVT00000Cpx8qYAB</t>
  </si>
  <si>
    <t>0031B00002nAbFvQAK</t>
  </si>
  <si>
    <t>al.menendez@workday.com</t>
  </si>
  <si>
    <t>a0lVT000005sYBVYA2</t>
  </si>
  <si>
    <t>{Name=McDonald’s Restaurants Limited, attributes={type=Account, url=/services/data/v62.0/sobjects/Account/0018000000YOdeDAAT}, PS_Sub_Region__c=UKI RHT, Industry=Restaurant &amp; Food Service, SubRegion__c=null, PS_Region_New__c=UKI}</t>
  </si>
  <si>
    <t>a0lVT000005mZlNYAU</t>
  </si>
  <si>
    <t>0034X00002yTi8uQAC</t>
  </si>
  <si>
    <t>arapey.olivera@workday.com</t>
  </si>
  <si>
    <t>a0lVT000006KaIPYA0</t>
  </si>
  <si>
    <t>a0rVT00001DXCYfYAP</t>
  </si>
  <si>
    <t>0034X00003JsNpYQAV</t>
  </si>
  <si>
    <t>Louisiana Health Service &amp; Indemnity Company d/b/a Blue Cross and Blue Shield of Louisiana</t>
  </si>
  <si>
    <t>dhaval.rana@workday.com</t>
  </si>
  <si>
    <t>a0lVT000005mWkHYAU</t>
  </si>
  <si>
    <t>a0pVT00000Cq6tfYAB</t>
  </si>
  <si>
    <t>a0lVT000005mZbhYAE</t>
  </si>
  <si>
    <t>{Industry=Restaurant &amp; Food Service, SubRegion__c=null, PS_Region_New__c=UKI, Name=McDonald’s Restaurants Limited, PS_Sub_Region__c=UKI RHT, attributes={url=/services/data/v62.0/sobjects/Account/0018000000YOdeDAAT, type=Account}}</t>
  </si>
  <si>
    <t>a0lVT000005mYR7YAM</t>
  </si>
  <si>
    <t>a0lVT000005mZBtYAM</t>
  </si>
  <si>
    <t>003VT00000fc4siYAA</t>
  </si>
  <si>
    <t>a0pVT00000CppZSYAZ</t>
  </si>
  <si>
    <t>Love's Travel Stops &amp; Country Stores, Inc.</t>
  </si>
  <si>
    <t>meredith.lines@workday.com</t>
  </si>
  <si>
    <t>a0lVT000005pxUbYAI</t>
  </si>
  <si>
    <t>{SubRegion__c=null, PS_Sub_Region__c=UKI RHT, Industry=Restaurant &amp; Food Service, attributes={type=Account, url=/services/data/v62.0/sobjects/Account/0018000000YOdeDAAT}, PS_Region_New__c=UKI, Name=McDonald’s Restaurants Limited}</t>
  </si>
  <si>
    <t>0034X00003JtpIUQAZ</t>
  </si>
  <si>
    <t>Iris Lam</t>
  </si>
  <si>
    <t>ilam@vha.ca</t>
  </si>
  <si>
    <t>a0lVT000005pxUdYAI</t>
  </si>
  <si>
    <t>0034X00003GO3DdQAL</t>
  </si>
  <si>
    <t>Iris Lee</t>
  </si>
  <si>
    <t>ilee@vha.ca</t>
  </si>
  <si>
    <t>a0lVT000005pxUhYAI</t>
  </si>
  <si>
    <t>a0pVT00000CpyOFYAZ</t>
  </si>
  <si>
    <t>a0lVT000005mWqkYAE</t>
  </si>
  <si>
    <t>{PS_Sub_Region__c=UKI RHT, attributes={type=Account, url=/services/data/v62.0/sobjects/Account/0018000000YOdeDAAT}, Name=McDonald’s Restaurants Limited, SubRegion__c=null, PS_Region_New__c=UKI, Industry=Restaurant &amp; Food Service}</t>
  </si>
  <si>
    <t>a0lVT0000064Im5YAE</t>
  </si>
  <si>
    <t>003VT00000RrAZZYA3</t>
  </si>
  <si>
    <t>Christian Davies</t>
  </si>
  <si>
    <t>cdavies5@valleyhealthlink.com</t>
  </si>
  <si>
    <t>a0lVT000006PQzxYAG</t>
  </si>
  <si>
    <t>a0lVT0000064Im6YAE</t>
  </si>
  <si>
    <t>a0pVT00000CpztmYAB</t>
  </si>
  <si>
    <t>0034X00002yUcPQQA0</t>
  </si>
  <si>
    <t>Edward Cleary</t>
  </si>
  <si>
    <t>ecleary@valleyhealthlink.com</t>
  </si>
  <si>
    <t>{Industry=Lodging &amp; Resorts, Name=Great Wolf Resorts, Inc., SubRegion__c=US DI LE NN RHT South, PS_Sub_Region__c=Diversified Industries LE NN, attributes={type=Account, url=/services/data/v62.0/sobjects/Account/0018000000fhqYtAAI}, PS_Region_New__c=US Large Enterprise DI &amp; Mexico}</t>
  </si>
  <si>
    <t>a0lVT000005mYm5YAE</t>
  </si>
  <si>
    <t>Lower Cape Fear Hospice</t>
  </si>
  <si>
    <t>003VT00000i7TjtYAE</t>
  </si>
  <si>
    <t>taylor.lindsey@workday.com</t>
  </si>
  <si>
    <t>a0lVT000005mZILYA2</t>
  </si>
  <si>
    <t>a0lVT000006QqKTYA0</t>
  </si>
  <si>
    <t>003VT00000Isro9YAB</t>
  </si>
  <si>
    <t>a0pVT00000CprOMYAZ</t>
  </si>
  <si>
    <t>pia.hilfert@workday.com</t>
  </si>
  <si>
    <t>a0lVT000005mZVFYA2</t>
  </si>
  <si>
    <t>{PS_Region_New__c=US Large Enterprise DI &amp; Mexico, Industry=Lodging &amp; Resorts, Name=Great Wolf Resorts, Inc., PS_Sub_Region__c=Diversified Industries LE NN, attributes={url=/services/data/v62.0/sobjects/Account/0018000000fhqYtAAI, type=Account}, SubRegion__c=US DI LE NN RHT South}</t>
  </si>
  <si>
    <t>M S International, Inc.</t>
  </si>
  <si>
    <t>a0lVT000005meY9YAI</t>
  </si>
  <si>
    <t>a0lVT000005xVEcYAM</t>
  </si>
  <si>
    <t>003VT00000LGKJdYAP</t>
  </si>
  <si>
    <t>NURIA NAVARRO ATIENZA</t>
  </si>
  <si>
    <t>rebeca.navarroatienza@elcorteingles.es</t>
  </si>
  <si>
    <t>a0pVT00000Cq6X4YAJ</t>
  </si>
  <si>
    <t>a0lVT000005xVEbYAM</t>
  </si>
  <si>
    <t>{PS_Sub_Region__c=Diversified Industries LE NN, Industry=Lodging &amp; Resorts, attributes={url=/services/data/v62.0/sobjects/Account/0018000000fhqYtAAI, type=Account}, Name=Great Wolf Resorts, Inc., PS_Region_New__c=US Large Enterprise DI &amp; Mexico, SubRegion__c=US DI LE NN RHT South}</t>
  </si>
  <si>
    <t>Madison Reed</t>
  </si>
  <si>
    <t>a0lVT000005neuHYAQ</t>
  </si>
  <si>
    <t>003VT00000fcE40YAE</t>
  </si>
  <si>
    <t>sadia.hashi@workday.com</t>
  </si>
  <si>
    <t>a0lVT000005xVEdYAM</t>
  </si>
  <si>
    <t>003VT00000hJrcZYAS</t>
  </si>
  <si>
    <t>Jose Luis Solans Adrada</t>
  </si>
  <si>
    <t>joseluis.solansadrada@elcorteingles.es</t>
  </si>
  <si>
    <t>a0lVT0000062KwsYAE</t>
  </si>
  <si>
    <t>0034X000037BWLlQAO</t>
  </si>
  <si>
    <t>a0pVT00000CpyxlYAB</t>
  </si>
  <si>
    <t>Harri Nevanlinna</t>
  </si>
  <si>
    <t>harri.nevanlinna@walwil.com</t>
  </si>
  <si>
    <t>a0lVT0000062KwrYAE</t>
  </si>
  <si>
    <t>{Industry=Lodging &amp; Resorts, Name=Great Wolf Resorts, Inc., PS_Sub_Region__c=Diversified Industries LE NN, PS_Region_New__c=US Large Enterprise DI &amp; Mexico, attributes={type=Account, url=/services/data/v62.0/sobjects/Account/0018000000fhqYtAAI}, SubRegion__c=US DI LE NN RHT South}</t>
  </si>
  <si>
    <t>Magna International Inc.</t>
  </si>
  <si>
    <t>003VT00000qOMW8YAO</t>
  </si>
  <si>
    <t>Alisdair Beattie</t>
  </si>
  <si>
    <t>alisdair.beattie@walwil.com</t>
  </si>
  <si>
    <t>a0lVT000005pUfVYAU</t>
  </si>
  <si>
    <t>a0lVT000005uDkTYAU</t>
  </si>
  <si>
    <t>0034X00003BjfQaQAJ</t>
  </si>
  <si>
    <t>Sara Teigen</t>
  </si>
  <si>
    <t>sara.teigen@faithtechinc.com</t>
  </si>
  <si>
    <t>a0pVT00000CpvmyYAB</t>
  </si>
  <si>
    <t>a0lVT000005uBE2YAM</t>
  </si>
  <si>
    <t>0031B00002pjtctQAA</t>
  </si>
  <si>
    <t>{attributes={type=Account, url=/services/data/v62.0/sobjects/Account/0018000000fhqYtAAI}, PS_Region_New__c=US Large Enterprise DI &amp; Mexico, Name=Great Wolf Resorts, Inc., SubRegion__c=US DI LE NN RHT South, PS_Sub_Region__c=Diversified Industries LE NN, Industry=Lodging &amp; Resorts}</t>
  </si>
  <si>
    <t>Chelsea Breitzman</t>
  </si>
  <si>
    <t>a0rVT00001DXFEpYAP</t>
  </si>
  <si>
    <t>chelsea.breitzman@faithtechnologies.com</t>
  </si>
  <si>
    <t>Mainscape, Inc. (Inactive Account)</t>
  </si>
  <si>
    <t>a0lVT000005qTZJYA2</t>
  </si>
  <si>
    <t>a0lVT000005w2plYAA</t>
  </si>
  <si>
    <t>003VT00000TMFsqYAH</t>
  </si>
  <si>
    <t>Dianna Sanchez</t>
  </si>
  <si>
    <t>dianna_sanchez@homedepot.com</t>
  </si>
  <si>
    <t>a0pVT00000Cpt0OYAR</t>
  </si>
  <si>
    <t>a0lVT000005twN3YAI</t>
  </si>
  <si>
    <t>{Name=Great Wolf Resorts, Inc., SubRegion__c=US DI LE NN RHT South, PS_Region_New__c=US Large Enterprise DI &amp; Mexico, attributes={type=Account, url=/services/data/v62.0/sobjects/Account/0018000000fhqYtAAI}, Industry=Lodging &amp; Resorts, PS_Sub_Region__c=Diversified Industries LE NN}</t>
  </si>
  <si>
    <t>a0lVT000005qje5YAA</t>
  </si>
  <si>
    <t>Manufacture Française des Pneumatiques Michelin</t>
  </si>
  <si>
    <t>a0lVT000005wXn7YAE</t>
  </si>
  <si>
    <t>a0lVT000005w2poYAA</t>
  </si>
  <si>
    <t>0031B00002gdaHFQAY</t>
  </si>
  <si>
    <t>Lisa Gross</t>
  </si>
  <si>
    <t>lisa.gross@skadden.com</t>
  </si>
  <si>
    <t>Aleksandra Toulemonde</t>
  </si>
  <si>
    <t>a0pVT00000CpwUVYAZ</t>
  </si>
  <si>
    <t>a0lVT000005w2pnYAA</t>
  </si>
  <si>
    <t>0034X00003Jutc5QAB</t>
  </si>
  <si>
    <t>Cox Val</t>
  </si>
  <si>
    <t>{Name=Stanley Steemer International, Inc., Industry=Business Services, PS_Region_New__c=US Medium Enterprise DI, attributes={url=/services/data/v62.0/sobjects/Account/0018000000qVUTcAAO, type=Account}, SubRegion__c=US DI ME NN PBS Mid-Atlantic, PS_Sub_Region__c=ME NN PBS}</t>
  </si>
  <si>
    <t>val_cox@homedepot.com</t>
  </si>
  <si>
    <t>a0lVT000005w2pmYAA</t>
  </si>
  <si>
    <t>0034X00003GOHUHQA5</t>
  </si>
  <si>
    <t>Timothy Lawlor</t>
  </si>
  <si>
    <t>tim_lawlor@homedepot.com</t>
  </si>
  <si>
    <t>a0lVT000006GqvFYAS</t>
  </si>
  <si>
    <t>0038000002KQ5fIAAT</t>
  </si>
  <si>
    <t>Todd Fouts</t>
  </si>
  <si>
    <t>todd.fouts@workday.com</t>
  </si>
  <si>
    <t>a0pVT00000Cq79oYAB</t>
  </si>
  <si>
    <t>a0lVT000005rHpRYAU</t>
  </si>
  <si>
    <t>0038000002K1SXXAA3</t>
  </si>
  <si>
    <t>eric.j.evans@workday.com</t>
  </si>
  <si>
    <t>{PS_Sub_Region__c=ME NN PBS, SubRegion__c=US DI ME NN PBS Mid-Atlantic, PS_Region_New__c=US Medium Enterprise DI, Name=Stanley Steemer International, Inc., attributes={url=/services/data/v62.0/sobjects/Account/0018000000qVUTcAAO, type=Account}, Industry=Business Services}</t>
  </si>
  <si>
    <t>a0lVT000006H68qYAC</t>
  </si>
  <si>
    <t>Marriott International, Inc.</t>
  </si>
  <si>
    <t>a0lVT000006H68pYAC</t>
  </si>
  <si>
    <t>003VT00000Lml0aYAB</t>
  </si>
  <si>
    <t>Robyn Greenlee</t>
  </si>
  <si>
    <t>robyn.greenlee@motorolasolutions.com</t>
  </si>
  <si>
    <t>a0pVT00000Cq5EQYAZ</t>
  </si>
  <si>
    <t>a0lVT000006H68oYAC</t>
  </si>
  <si>
    <t>0038000002Gj9tBAAR</t>
  </si>
  <si>
    <t>{PS_Sub_Region__c=ME NN PBS, attributes={type=Account, url=/services/data/v62.0/sobjects/Account/0018000000qVUTcAAO}, SubRegion__c=US DI ME NN PBS Mid-Atlantic, Industry=Business Services, PS_Region_New__c=US Medium Enterprise DI, Name=Stanley Steemer International, Inc.}</t>
  </si>
  <si>
    <t>Shea Lierman</t>
  </si>
  <si>
    <t>shea.lierman@motorolasolutions.com</t>
  </si>
  <si>
    <t>a0lVT000006OcDZYA0</t>
  </si>
  <si>
    <t>a0rVT00001E4mnCYAR</t>
  </si>
  <si>
    <t>0034X00003T1DKVQA3</t>
  </si>
  <si>
    <t>Kalin Watson</t>
  </si>
  <si>
    <t>MARS Information Services</t>
  </si>
  <si>
    <t>kalin.watson@wellsky.com</t>
  </si>
  <si>
    <t>a0lVT000006OcDaYAK</t>
  </si>
  <si>
    <t>0034X000039mXTUQA2</t>
  </si>
  <si>
    <t>Maria Gibbs</t>
  </si>
  <si>
    <t>a0pVT00000Cq8llYAB</t>
  </si>
  <si>
    <t>maria.gibbs@wellsky.com</t>
  </si>
  <si>
    <t>a0lVT000005reinYAA</t>
  </si>
  <si>
    <t>{PS_Sub_Region__c=ME NN PBS, SubRegion__c=US DI ME NN PBS Mid-Atlantic, attributes={url=/services/data/v62.0/sobjects/Account/0018000000qVUTcAAO, type=Account}, PS_Region_New__c=US Medium Enterprise DI, Industry=Business Services, Name=Stanley Steemer International, Inc.}</t>
  </si>
  <si>
    <t>a0lVT000006JAHxYAO</t>
  </si>
  <si>
    <t>Marvell Semiconductor, Inc.</t>
  </si>
  <si>
    <t>a0lVT000006KMs9YAG</t>
  </si>
  <si>
    <t>0034X00003BkV9IQAV</t>
  </si>
  <si>
    <t>Demi Usamanont</t>
  </si>
  <si>
    <t>dusamanont@equinix.com</t>
  </si>
  <si>
    <t>a0lVT000006992DYAQ</t>
  </si>
  <si>
    <t>a0pVT00000CpyT5YAJ</t>
  </si>
  <si>
    <t>0034X00003GMOLBQA5</t>
  </si>
  <si>
    <t>jamie.jackson@workday.com</t>
  </si>
  <si>
    <t>a0lVT000006KPrdYAG</t>
  </si>
  <si>
    <t>{PS_Region_New__c=US Healthcare, Industry=Acute Hospital / Health System, attributes={type=Account, url=/services/data/v62.0/sobjects/Account/0018000001LZEqhAAH}, Name=Adelante Healthcare, PS_Sub_Region__c=Healthcare ME, SubRegion__c=US Healthcare ME NN West}</t>
  </si>
  <si>
    <t>a0lVT000006KMsAYAW</t>
  </si>
  <si>
    <t>003VT00000OUESmYAP</t>
  </si>
  <si>
    <t>Liz Mackay</t>
  </si>
  <si>
    <t>lmackay@equinix.co</t>
  </si>
  <si>
    <t>Massachusetts Mutual Life Insurance Company</t>
  </si>
  <si>
    <t>a0lVT000006GNtFYAW</t>
  </si>
  <si>
    <t>0038000001loJg6AAE</t>
  </si>
  <si>
    <t>Lloyd Mayers</t>
  </si>
  <si>
    <t>lloyd.mayers@db.com</t>
  </si>
  <si>
    <t>a0pVT00000Cq1kIYAR</t>
  </si>
  <si>
    <t>a0lVT000005xRSjYAM</t>
  </si>
  <si>
    <t>{Industry=Non-Profit, attributes={type=Account, url=/services/data/v62.0/sobjects/Account/0018000001WLsCRAA1}, PS_Sub_Region__c=Higher Education LE, Name=Young Men's Christian Association of Greater Indianapolis, SubRegion__c=US NFP NN West, PS_Region_New__c=US SLED}</t>
  </si>
  <si>
    <t>a0lVT000006GAkjYAG</t>
  </si>
  <si>
    <t>a0lVT000006GNq1YAG</t>
  </si>
  <si>
    <t>0034X000030SP96QAG</t>
  </si>
  <si>
    <t>Helen Jakob-Rees</t>
  </si>
  <si>
    <t>dnu_helen.jakob-rees@db.com</t>
  </si>
  <si>
    <t>Mattress Firm, Inc.</t>
  </si>
  <si>
    <t>a0lVT000006GNrdYAG</t>
  </si>
  <si>
    <t>a0pVT00000Cq9zbYAB</t>
  </si>
  <si>
    <t>0038000001x0NzKAAU</t>
  </si>
  <si>
    <t>helen.jakob-rees@db.com</t>
  </si>
  <si>
    <t>a0lVT0000066ZHNYA2</t>
  </si>
  <si>
    <t>{PS_Sub_Region__c=Local Government ME, Industry=State &amp; Local Government, Name=City of Derby, Kansas, PS_Region_New__c=US SLED, SubRegion__c=US Local Gov SMG NN, attributes={url=/services/data/v62.0/sobjects/Account/001VT00000b2hd4YAA, type=Account}}</t>
  </si>
  <si>
    <t>0031B00002nAbmDQAS</t>
  </si>
  <si>
    <t>Nick Saitta</t>
  </si>
  <si>
    <t>nicholas.saitta@workday.com</t>
  </si>
  <si>
    <t>a0lVT000005xewDYAQ</t>
  </si>
  <si>
    <t>0034X000033tzyTQAQ</t>
  </si>
  <si>
    <t>raj.menon@workday.com</t>
  </si>
  <si>
    <t>a0lVT0000061tyHYAQ</t>
  </si>
  <si>
    <t>a0pVT00000Cpq2VYAR</t>
  </si>
  <si>
    <t>0034X00003RDgBCQA1</t>
  </si>
  <si>
    <t>Paul Rakes</t>
  </si>
  <si>
    <t>paulrakes@geico.com</t>
  </si>
  <si>
    <t>Maverik Group, LLC.</t>
  </si>
  <si>
    <t>a0lVT0000061tyIYAQ</t>
  </si>
  <si>
    <t>{attributes={url=/services/data/v62.0/sobjects/Account/0013000000L1vlnAAB, type=Account}, PS_Region_New__c=US Large Enterprise DI &amp; Mexico, SubRegion__c=US DI LE NN MFG Central, Industry=Industrial Manufacturing, Name=Tennant Company, PS_Sub_Region__c=Diversified Industries LE NN}</t>
  </si>
  <si>
    <t>0034X00003S8pqyQAB</t>
  </si>
  <si>
    <t>Dina Stewart</t>
  </si>
  <si>
    <t>dinastewart@geico.com</t>
  </si>
  <si>
    <t>a0lVT000005xizpYAA</t>
  </si>
  <si>
    <t>a0lVT000006BLs5YAG</t>
  </si>
  <si>
    <t>0034X00003Erf62QAB</t>
  </si>
  <si>
    <t>Robert Bridges</t>
  </si>
  <si>
    <t>a0pVT00000CqANmYAN</t>
  </si>
  <si>
    <t>robert.bridges@flutter.com</t>
  </si>
  <si>
    <t>a0lVT000006BPXVYA4</t>
  </si>
  <si>
    <t>MBK Senior Living</t>
  </si>
  <si>
    <t>003VT00000tLhWvYAK</t>
  </si>
  <si>
    <t>Katy Carter</t>
  </si>
  <si>
    <t>{PS_Region_New__c=US Healthcare, PS_Sub_Region__c=Healthcare LE, Industry=Ambulatory, SubRegion__c=US Healthcare LE CB Central, Name=Heartland Dental, LLC, attributes={type=Account, url=/services/data/v62.0/sobjects/Account/0018000001MICJWAA5}}</t>
  </si>
  <si>
    <t>katy.carter@flutter.com</t>
  </si>
  <si>
    <t>a0lVT000006C0DhYAK</t>
  </si>
  <si>
    <t>003VT00000ZTlr1YAD</t>
  </si>
  <si>
    <t>Kieran Holland</t>
  </si>
  <si>
    <t>kieran.holland@flutter.com</t>
  </si>
  <si>
    <t>a0lVT00000609XhYAI</t>
  </si>
  <si>
    <t>a0pVT00000Cq6opYAB</t>
  </si>
  <si>
    <t>a0lVT000006Bx1KYAS</t>
  </si>
  <si>
    <t>McDonald's - NZ</t>
  </si>
  <si>
    <t>003VT00000ZQ1HFYA1</t>
  </si>
  <si>
    <t>Christina Bibby</t>
  </si>
  <si>
    <t>christina.bibbyweitzman@capgroup.com</t>
  </si>
  <si>
    <t>ANZ New Zealand</t>
  </si>
  <si>
    <t>a0lVT000005yXr3YAE</t>
  </si>
  <si>
    <t>{SubRegion__c=US Healthcare LE CB Central, PS_Sub_Region__c=Healthcare LE, Industry=Ambulatory, attributes={url=/services/data/v62.0/sobjects/Account/0018000001MICJWAA5, type=Account}, PS_Region_New__c=US Healthcare, Name=Heartland Dental, LLC}</t>
  </si>
  <si>
    <t>a0lVT000006Bx1JYAS</t>
  </si>
  <si>
    <t>003VT00000fc0S1YAI</t>
  </si>
  <si>
    <t>Wayne Pacholl</t>
  </si>
  <si>
    <t>wayne.pacholl@capgroup.com</t>
  </si>
  <si>
    <t>McDonald's Australia Holdings Limited</t>
  </si>
  <si>
    <t>a0lVT000006DS6HYAW</t>
  </si>
  <si>
    <t>a0lVT0000066ja5YAA</t>
  </si>
  <si>
    <t>a0pVT00000CpuxLYAR</t>
  </si>
  <si>
    <t>003VT00000s7JDLYA2</t>
  </si>
  <si>
    <t>Jennifer Alfaro</t>
  </si>
  <si>
    <t>jennifer.alfaro@epikafleet.com</t>
  </si>
  <si>
    <t>{attributes={url=/services/data/v62.0/sobjects/Account/0014X00002iHm0QQAS, type=Account}, PS_Sub_Region__c=Diversified Industries LE NN, Industry=Business Services, PS_Region_New__c=US Large Enterprise DI &amp; Mexico, Name=Asset Living, SubRegion__c=US DI LE NN TM &amp; PS West}</t>
  </si>
  <si>
    <t>a0lVT000005z06fYAA</t>
  </si>
  <si>
    <t>0034X00002yTifpQAC</t>
  </si>
  <si>
    <t>tyler.mandry@workday.com</t>
  </si>
  <si>
    <t>a0lVT0000066h8TYAQ</t>
  </si>
  <si>
    <t>McDonald's Corporation</t>
  </si>
  <si>
    <t>a0lVT0000066h8UYAQ</t>
  </si>
  <si>
    <t>003VT00000fbziIYAQ</t>
  </si>
  <si>
    <t>a0pVT00000Cq2BjYAJ</t>
  </si>
  <si>
    <t>Renee Doering</t>
  </si>
  <si>
    <t>renee.doering@epikafleet.com</t>
  </si>
  <si>
    <t>a0lVT0000066ja6YAA</t>
  </si>
  <si>
    <t>{attributes={type=Account, url=/services/data/v62.0/sobjects/Account/0014X00002iHm0QQAS}, PS_Region_New__c=US Large Enterprise DI &amp; Mexico, SubRegion__c=US DI LE NN TM &amp; PS West, Name=Asset Living, PS_Sub_Region__c=Diversified Industries LE NN, Industry=Business Services}</t>
  </si>
  <si>
    <t>a0lVT000005zVs1YAE</t>
  </si>
  <si>
    <t>0034X000032KSPgQAO</t>
  </si>
  <si>
    <t>Roshni V. Patel</t>
  </si>
  <si>
    <t>rpatel@pmpediatrics.com</t>
  </si>
  <si>
    <t>a0lVT000006CGf3YAG</t>
  </si>
  <si>
    <t>McDonald's Restaurants of Canada, Ltd.</t>
  </si>
  <si>
    <t>0038000002BsydtAAB</t>
  </si>
  <si>
    <t>a0pVT00000Cq0UtYAJ</t>
  </si>
  <si>
    <t>david.zucker@workday.com</t>
  </si>
  <si>
    <t>a0lVT0000068R1CYAU</t>
  </si>
  <si>
    <t>{Name=Asset Living, Industry=Business Services, PS_Sub_Region__c=Diversified Industries LE NN, attributes={url=/services/data/v62.0/sobjects/Account/0014X00002iHm0QQAS, type=Account}, SubRegion__c=US DI LE NN TM &amp; PS West, PS_Region_New__c=US Large Enterprise DI &amp; Mexico}</t>
  </si>
  <si>
    <t>003VT00000cEhdaYAC</t>
  </si>
  <si>
    <t>Jennifer Ingram</t>
  </si>
  <si>
    <t>jennifer.ingram@centene.com</t>
  </si>
  <si>
    <t>a0lVT000005zNHlYAM</t>
  </si>
  <si>
    <t>0031B00002iqvuWQAQ</t>
  </si>
  <si>
    <t>angelique.moore@workday.com</t>
  </si>
  <si>
    <t>a0lVT0000060BZVYA2</t>
  </si>
  <si>
    <t>003VT00000pj26lYAA</t>
  </si>
  <si>
    <t>Aimee Keser</t>
  </si>
  <si>
    <t>a0pVT00000CpsQuYAJ</t>
  </si>
  <si>
    <t>aimee.keser@centene.com</t>
  </si>
  <si>
    <t>McDonald’s Restaurants Limited</t>
  </si>
  <si>
    <t>a0lVT0000060BZWYA2</t>
  </si>
  <si>
    <t>0034X00002yU9KIQA0</t>
  </si>
  <si>
    <t>{SubRegion__c=US DI LE NN TM &amp; PS West, attributes={url=/services/data/v62.0/sobjects/Account/0014X00002iHm0QQAS, type=Account}, PS_Sub_Region__c=Diversified Industries LE NN, Industry=Business Services, PS_Region_New__c=US Large Enterprise DI &amp; Mexico, Name=Asset Living}</t>
  </si>
  <si>
    <t>CARLY PORTELL</t>
  </si>
  <si>
    <t>carly.portell@centene.com</t>
  </si>
  <si>
    <t>a0lVT0000068R1BYAU</t>
  </si>
  <si>
    <t>0038000001fLiIPAA0</t>
  </si>
  <si>
    <t>Hannah Butler</t>
  </si>
  <si>
    <t>hannah.johnston@workday.com</t>
  </si>
  <si>
    <t>a0lVT0000062ncHYAQ</t>
  </si>
  <si>
    <t>a0pVT00000CpzqYYAR</t>
  </si>
  <si>
    <t>a0lVT000006Ge1GYAS</t>
  </si>
  <si>
    <t>003VT00000mwC6nYAE</t>
  </si>
  <si>
    <t>Taylor Watkins</t>
  </si>
  <si>
    <t>{Name=Asset Living, PS_Region_New__c=US Large Enterprise DI &amp; Mexico, Industry=Business Services, SubRegion__c=US DI LE NN TM &amp; PS West, PS_Sub_Region__c=Diversified Industries LE NN, attributes={url=/services/data/v62.0/sobjects/Account/0014X00002iHm0QQAS, type=Account}}</t>
  </si>
  <si>
    <t>McGraw Hill LLC</t>
  </si>
  <si>
    <t>taylorwatkins@greenixpc.com</t>
  </si>
  <si>
    <t>a0lVT000006Ge1FYAS</t>
  </si>
  <si>
    <t>0034X00002yWof1QAC</t>
  </si>
  <si>
    <t>Aaron Ormsby</t>
  </si>
  <si>
    <t>aormsby@greenixpc.com</t>
  </si>
  <si>
    <t>a0lVT000006QD6EYAW</t>
  </si>
  <si>
    <t>00380000028CBSBAA4</t>
  </si>
  <si>
    <t>Brittany Elliott</t>
  </si>
  <si>
    <t>a0pVT00000CpxQYYAZ</t>
  </si>
  <si>
    <t>bnolle@mtm-inc.net</t>
  </si>
  <si>
    <t>a0lVT000006QD6DYAW</t>
  </si>
  <si>
    <t>{Industry=null, PS_Region_New__c=null, Name=Zoom Communications, Inc., PS_Sub_Region__c=null, attributes={url=/services/data/v62.0/sobjects/Account/0011B000024TbRzQAK, type=Account}, SubRegion__c=null}</t>
  </si>
  <si>
    <t>0031B00002kRL6VQAW</t>
  </si>
  <si>
    <t>Lindsey Hoffman</t>
  </si>
  <si>
    <t>lhoffman@mtm-inc.net</t>
  </si>
  <si>
    <t>McKesson Corporation</t>
  </si>
  <si>
    <t>a0lVT0000066arlYAA</t>
  </si>
  <si>
    <t>0034X00003S8PHRQA3</t>
  </si>
  <si>
    <t>Michelle Lee</t>
  </si>
  <si>
    <t>mlee02@arcusbio.com</t>
  </si>
  <si>
    <t>a0lVT0000066armYAA</t>
  </si>
  <si>
    <t>a0pVT00000CplagYAB</t>
  </si>
  <si>
    <t>0034X00003EuS5QQAV</t>
  </si>
  <si>
    <t>Leslie Mesones</t>
  </si>
  <si>
    <t>lmesones@arcusbio.com</t>
  </si>
  <si>
    <t>{Name=Zoom Communications, Inc., attributes={url=/services/data/v62.0/sobjects/Account/0011B000024TbRzQAK, type=Account}, PS_Region_New__c=null, SubRegion__c=null, Industry=null, PS_Sub_Region__c=null}</t>
  </si>
  <si>
    <t>a0lVT000006BVzWYAW</t>
  </si>
  <si>
    <t>0034X00002yU4WTQA0</t>
  </si>
  <si>
    <t>McKibbon Hospitality</t>
  </si>
  <si>
    <t>Edi Fumero</t>
  </si>
  <si>
    <t>edilberto.fumero@blackrock.com</t>
  </si>
  <si>
    <t>a0lVT000006BVzVYAW</t>
  </si>
  <si>
    <t>0034X00003BmhKeQAJ</t>
  </si>
  <si>
    <t>Manfred Ramirez</t>
  </si>
  <si>
    <t>manfred.ramirez@blackrock.com</t>
  </si>
  <si>
    <t>a0pVT00000Cq71iYAB</t>
  </si>
  <si>
    <t>a0lVT0000064M9lYAE</t>
  </si>
  <si>
    <t>a0rVT00001E1QuLYAV</t>
  </si>
  <si>
    <t>McLane Company, Inc.</t>
  </si>
  <si>
    <t>{SubRegion__c=US DI LE CB RHT Southeast, Name=ABC Phones of North Carolina, Inc., attributes={url=/services/data/v62.0/sobjects/Account/0018000001MGC78AAH, type=Account}, Industry=Hardlines, PS_Sub_Region__c=Diversified Industries LE CB RHT, PS_Region_New__c=US Large Enterprise DI &amp; Mexico}</t>
  </si>
  <si>
    <t>a0lVT000006J5IHYA0</t>
  </si>
  <si>
    <t>a0lVT000006AgP9YAK</t>
  </si>
  <si>
    <t>a0pVT00000Cq99yYAB</t>
  </si>
  <si>
    <t>a0lVT000006ACcLYAW</t>
  </si>
  <si>
    <t>{attributes={type=Account, url=/services/data/v62.0/sobjects/Account/0018000001MGC78AAH}, PS_Region_New__c=US Large Enterprise DI &amp; Mexico, SubRegion__c=US DI LE CB RHT Southeast, PS_Sub_Region__c=Diversified Industries LE CB RHT, Industry=Hardlines, Name=ABC Phones of North Carolina, Inc.}</t>
  </si>
  <si>
    <t>a0lVT000006DoTOYA0</t>
  </si>
  <si>
    <t>0034X00003GO2uIQAT</t>
  </si>
  <si>
    <t>a0pVT00000CpqvNYAR</t>
  </si>
  <si>
    <t>Bizhan Said</t>
  </si>
  <si>
    <t>bizhan.said@pilottravelcenters.com</t>
  </si>
  <si>
    <t>{SubRegion__c=US DI LE CB RHT Southeast, Name=ABC Phones of North Carolina, Inc., attributes={type=Account, url=/services/data/v62.0/sobjects/Account/0018000001MGC78AAH}, Industry=Hardlines, PS_Region_New__c=US Large Enterprise DI &amp; Mexico, PS_Sub_Region__c=Diversified Industries LE CB RHT}</t>
  </si>
  <si>
    <t>a0lVT000006CEBpYAO</t>
  </si>
  <si>
    <t>Meijer Great Lakes Limited Partnership</t>
  </si>
  <si>
    <t>a0lVT000006DoTNYA0</t>
  </si>
  <si>
    <t>003VT00000tyyw6YAA</t>
  </si>
  <si>
    <t>a0pVT00000CpzVaYAJ</t>
  </si>
  <si>
    <t>Deidra Gay</t>
  </si>
  <si>
    <t>deidra.gay@pilottravelcenters.com</t>
  </si>
  <si>
    <t>{Name=ABC Phones of North Carolina, Inc., PS_Sub_Region__c=Diversified Industries LE CB RHT, attributes={type=Account, url=/services/data/v62.0/sobjects/Account/0018000001MGC78AAH}, PS_Region_New__c=US Large Enterprise DI &amp; Mexico, SubRegion__c=US DI LE CB RHT Southeast, Industry=Hardlines}</t>
  </si>
  <si>
    <t>a0lVT000006IR37YAG</t>
  </si>
  <si>
    <t>Melton Truck Lines, Inc.</t>
  </si>
  <si>
    <t>a0lVT000006DrcXYAS</t>
  </si>
  <si>
    <t>003VT00000duomrYAA</t>
  </si>
  <si>
    <t>a0pVT00000CpvjmYAB</t>
  </si>
  <si>
    <t>Savannah Leavell</t>
  </si>
  <si>
    <t>sleavell@oaklawn.com</t>
  </si>
  <si>
    <t>{attributes={type=Account, url=/services/data/v62.0/sobjects/Account/0018000001MGC78AAH}, PS_Sub_Region__c=Diversified Industries LE CB RHT, SubRegion__c=US DI LE CB RHT Southeast, PS_Region_New__c=US Large Enterprise DI &amp; Mexico, Industry=Hardlines, Name=ABC Phones of North Carolina, Inc.}</t>
  </si>
  <si>
    <t>a0lVT000006OuFJYA0</t>
  </si>
  <si>
    <t>Members 1st Federal Credit Union</t>
  </si>
  <si>
    <t>a0lVT000006DrcYYAS</t>
  </si>
  <si>
    <t>a0pVT00000Cq9jSYAR</t>
  </si>
  <si>
    <t>0034X00003JswFkQAJ</t>
  </si>
  <si>
    <t>Brad Hall</t>
  </si>
  <si>
    <t>bhall@oaklawn.com</t>
  </si>
  <si>
    <t>{PS_Sub_Region__c=Canada Commercial, attributes={url=/services/data/v62.0/sobjects/Account/001VT00000b2v6XYAQ, type=Account}, Name=Groupe Poulet Rouge Inc., Industry=Restaurant &amp; Food Service, PS_Region_New__c=Canada, SubRegion__c=Canada Commercial}</t>
  </si>
  <si>
    <t>a0lVT000006CRfJYAW</t>
  </si>
  <si>
    <t>003VT00000WusXyYAJ</t>
  </si>
  <si>
    <t>monica.morandi@workday.com</t>
  </si>
  <si>
    <t>a0lVT000006CRSPYA4</t>
  </si>
  <si>
    <t>a0pVT00000Cq4tTYAR</t>
  </si>
  <si>
    <t>{PS_Sub_Region__c=Canada Commercial, Name=Groupe Poulet Rouge Inc., SubRegion__c=Canada Commercial, attributes={type=Account, url=/services/data/v62.0/sobjects/Account/001VT00000b2v6XYAQ}, Industry=Restaurant &amp; Food Service, PS_Region_New__c=Canada}</t>
  </si>
  <si>
    <t>a0lVT000006DtXtYAK</t>
  </si>
  <si>
    <t>0031B00002kQl9HQAS</t>
  </si>
  <si>
    <t>Lindsey Carlson</t>
  </si>
  <si>
    <t>lindsey.carlson@sharecare.com</t>
  </si>
  <si>
    <t>a0pVT00000CqBq5YAF</t>
  </si>
  <si>
    <t>a0lVT000006DtXuYAK</t>
  </si>
  <si>
    <t>003VT00000fBAUJYA4</t>
  </si>
  <si>
    <t>{Name=Groupe Poulet Rouge Inc., SubRegion__c=Canada Commercial, PS_Sub_Region__c=Canada Commercial, Industry=Restaurant &amp; Food Service, PS_Region_New__c=Canada, attributes={url=/services/data/v62.0/sobjects/Account/001VT00000b2v6XYAQ, type=Account}}</t>
  </si>
  <si>
    <t>MentorX Corporation</t>
  </si>
  <si>
    <t>a0lVT000006K8ArYAK</t>
  </si>
  <si>
    <t>a0pVT00000CpkGTYAZ</t>
  </si>
  <si>
    <t>a0lVT000006CRaTYAW</t>
  </si>
  <si>
    <t>{Industry=Restaurant &amp; Food Service, attributes={type=Account, url=/services/data/v62.0/sobjects/Account/001VT00000b2v6XYAQ}, PS_Sub_Region__c=Canada Commercial, SubRegion__c=Canada Commercial, PS_Region_New__c=Canada, Name=Groupe Poulet Rouge Inc.}</t>
  </si>
  <si>
    <t>Merchant e-Solutions</t>
  </si>
  <si>
    <t>a0lVT000006QrlCYAS</t>
  </si>
  <si>
    <t>a0pVT00000Cpx3yYAB</t>
  </si>
  <si>
    <t>0034X00003Nwk7AQAR</t>
  </si>
  <si>
    <t>Ben McClellan</t>
  </si>
  <si>
    <t>bmcclellan@honorhealth.com</t>
  </si>
  <si>
    <t>{PS_Region_New__c=US Large Enterprise DI &amp; Mexico, SubRegion__c=US DI LE CB RHT West, attributes={url=/services/data/v62.0/sobjects/Account/0013000000IIsztAAD, type=Account}, Name=Rent A Center, Texas L.P., PS_Sub_Region__c=Diversified Industries LE CB RHT, Industry=Hardlines}</t>
  </si>
  <si>
    <t>a0lVT000006QrlBYAS</t>
  </si>
  <si>
    <t>0031B00002qTX0IQAW</t>
  </si>
  <si>
    <t>Wayne Frangesch</t>
  </si>
  <si>
    <t>wfrangesch@honorhealth.com</t>
  </si>
  <si>
    <t>a0pVT00000CpvWoYAJ</t>
  </si>
  <si>
    <t>a0lVT000006E457YAC</t>
  </si>
  <si>
    <t>003VT00000nNiKHYA0</t>
  </si>
  <si>
    <t>{PS_Region_New__c=US Large Enterprise DI &amp; Mexico, Industry=Hardlines, Name=Rent A Center, Texas L.P., attributes={type=Account, url=/services/data/v62.0/sobjects/Account/0013000000IIsztAAD}, SubRegion__c=US DI LE CB RHT West, PS_Sub_Region__c=Diversified Industries LE CB RHT}</t>
  </si>
  <si>
    <t>manuel.roldan@workday.com</t>
  </si>
  <si>
    <t>a0lVT000006MEKDYA4</t>
  </si>
  <si>
    <t>a0pVT00000CpwEOYAZ</t>
  </si>
  <si>
    <t>a0lVT000006HLNxYAO</t>
  </si>
  <si>
    <t>003VT00000YF2KVYA1</t>
  </si>
  <si>
    <t>{SubRegion__c=US DI LE CB RHT West, PS_Sub_Region__c=Diversified Industries LE CB RHT, attributes={type=Account, url=/services/data/v62.0/sobjects/Account/0013000000IIsztAAD}, Industry=Hardlines, PS_Region_New__c=US Large Enterprise DI &amp; Mexico, Name=Rent A Center, Texas L.P.}</t>
  </si>
  <si>
    <t>karishma.prajapati@workday.com</t>
  </si>
  <si>
    <t>Meritage Hospitality Group Inc.</t>
  </si>
  <si>
    <t>a0lVT000006HLMLYA4</t>
  </si>
  <si>
    <t>003VT00000qJHYfYAO</t>
  </si>
  <si>
    <t>Sharvari Naik</t>
  </si>
  <si>
    <t>sharvari.naik@workday.com</t>
  </si>
  <si>
    <t>a0lVT000006ERjFYAW</t>
  </si>
  <si>
    <t>0038000001pAvOjAAK</t>
  </si>
  <si>
    <t>john.hawkins@workday.com</t>
  </si>
  <si>
    <t>a0lVT000006MEP3YAO</t>
  </si>
  <si>
    <t>Metlen</t>
  </si>
  <si>
    <t>a0lVT000006KNY6YAO</t>
  </si>
  <si>
    <t>0031B00002r8QhhQAE</t>
  </si>
  <si>
    <t>a0pVT00000Cpgb0YAB</t>
  </si>
  <si>
    <t>curtis.carter@workday.com</t>
  </si>
  <si>
    <t>{attributes={url=/services/data/v62.0/sobjects/Account/0013000000IIsztAAD, type=Account}, PS_Region_New__c=US Large Enterprise DI &amp; Mexico, Industry=Hardlines, SubRegion__c=US DI LE CB RHT West, Name=Rent A Center, Texas L.P., PS_Sub_Region__c=Diversified Industries LE CB RHT}</t>
  </si>
  <si>
    <t>a0lVT000006KNY5YAO</t>
  </si>
  <si>
    <t>a0rVT00001DXFUvYAP</t>
  </si>
  <si>
    <t>a0lVT000006HLFtYAO</t>
  </si>
  <si>
    <t>Metropolitan Jewish Health System, Inc.</t>
  </si>
  <si>
    <t>a0pVT00000Cq2BhYAJ</t>
  </si>
  <si>
    <t>{PS_Region_New__c=US Large Enterprise DI &amp; Mexico, SubRegion__c=US DI LE CB RHT West, PS_Sub_Region__c=Diversified Industries LE CB RHT, attributes={type=Account, url=/services/data/v62.0/sobjects/Account/0013000000IIsztAAD}, Industry=Hardlines, Name=Rent A Center, Texas L.P.}</t>
  </si>
  <si>
    <t>a0lVT000006GuSbYAK</t>
  </si>
  <si>
    <t>MGA Homecare, LLC dba MGA Homecare</t>
  </si>
  <si>
    <t>a0lVT000006GkTFYA0</t>
  </si>
  <si>
    <t>a0pVT00000Cq3AzYAJ</t>
  </si>
  <si>
    <t>0034X000030Su6fQAC</t>
  </si>
  <si>
    <t>mukul.chandra@workday.com</t>
  </si>
  <si>
    <t>a0lVT000006HL31YAG</t>
  </si>
  <si>
    <t>{Name=The Vanguard Group, Inc., PS_Sub_Region__c=FSI LE, SubRegion__c=US FSI LE East, Industry=Investment Management, attributes={type=Account, url=/services/data/v62.0/sobjects/Account/0013000000J2rtzAAB}, PS_Region_New__c=US FSI}</t>
  </si>
  <si>
    <t>0031B00002pjBbQQAU</t>
  </si>
  <si>
    <t>Martin Alejandro</t>
  </si>
  <si>
    <t>martin.alejandro@keppel.com</t>
  </si>
  <si>
    <t>a0lVT000006HL32YAG</t>
  </si>
  <si>
    <t>0034X00003BnZ19QAF</t>
  </si>
  <si>
    <t>Irene Wee</t>
  </si>
  <si>
    <t>MI Windows and Doors, LLC</t>
  </si>
  <si>
    <t>irene.wee@keppel.com</t>
  </si>
  <si>
    <t>a0pVT00000Cq12kYAB</t>
  </si>
  <si>
    <t>a0lVT000006GDNdYAO</t>
  </si>
  <si>
    <t>{attributes={type=Account, url=/services/data/v62.0/sobjects/Account/0013000000J2rtzAAB}, PS_Region_New__c=US FSI, Industry=Investment Management, SubRegion__c=US FSI LE East, Name=The Vanguard Group, Inc., PS_Sub_Region__c=FSI LE}</t>
  </si>
  <si>
    <t>a0lVT000006MLtZYAW</t>
  </si>
  <si>
    <t>a0pVT00000CplXVYAZ</t>
  </si>
  <si>
    <t>a0lVT000006GtxxYAC</t>
  </si>
  <si>
    <t>{PS_Sub_Region__c=UKI CB Majors, attributes={type=Account, url=/services/data/v62.0/sobjects/Account/0018000000Scjx6AAB}, SubRegion__c=UKI Majors CB, PS_Region_New__c=UKI, Name=Dermalogica, Industry=Consumer Goods}</t>
  </si>
  <si>
    <t>Michigan Department of Transportation</t>
  </si>
  <si>
    <t>a0lVT000006HLKjYAO</t>
  </si>
  <si>
    <t>US State Gov East</t>
  </si>
  <si>
    <t>a0pVT00000Cpr9qYAB</t>
  </si>
  <si>
    <t>a0lVT000006GtY9YAK</t>
  </si>
  <si>
    <t>a0rVT00001ByFGfYAN</t>
  </si>
  <si>
    <t>{attributes={url=/services/data/v62.0/sobjects/Account/0013000000Hnb0EAAR, type=Account}, PS_Sub_Region__c=FSI LE, SubRegion__c=US FSI LE East, PS_Region_New__c=US FSI, Industry=Banking &amp; Capital Markets, Name=Advance America, Cash Advance Centers}</t>
  </si>
  <si>
    <t>a0lVT000006HLHVYA4</t>
  </si>
  <si>
    <t>Micron Technology, Inc.</t>
  </si>
  <si>
    <t>a0pVT00000CpuMEYAZ</t>
  </si>
  <si>
    <t>a0lVT000006HLPZYA4</t>
  </si>
  <si>
    <t>a0rVT00001ByRCzYAN</t>
  </si>
  <si>
    <t>{SubRegion__c=US DI LE CB MFG Midwest, attributes={type=Account, url=/services/data/v62.0/sobjects/Account/0018000000jSKgLAAW}, PS_Region_New__c=US Large Enterprise DI &amp; Mexico, Name=United States Infrastructure Corporation, Industry=Utilities, PS_Sub_Region__c=Diversified Industries LE CB MFG}</t>
  </si>
  <si>
    <t>a0lVT000006GuHJYA0</t>
  </si>
  <si>
    <t>a0pVT00000CpLuoYAF</t>
  </si>
  <si>
    <t>Middle Tennessee YMCA</t>
  </si>
  <si>
    <t>a0lVT000006METtYAO</t>
  </si>
  <si>
    <t>{Industry=Utilities, PS_Sub_Region__c=Diversified Industries LE CB MFG, Name=United States Infrastructure Corporation, SubRegion__c=US DI LE CB MFG Midwest, attributes={type=Account, url=/services/data/v62.0/sobjects/Account/0018000000jSKgLAAW}, PS_Region_New__c=US Large Enterprise DI &amp; Mexico}</t>
  </si>
  <si>
    <t>a0lVT000006InBhYAK</t>
  </si>
  <si>
    <t>a0pVT00000Cq7CzYAJ</t>
  </si>
  <si>
    <t>a0lVT000006Nas9YAC</t>
  </si>
  <si>
    <t>{attributes={url=/services/data/v62.0/sobjects/Account/0018000000MSYWfAAP, type=Account}, PS_Region_New__c=US SLED, Name=Shakopee Mdewakanton Sioux Community, SubRegion__c=US Special Districts NN, Industry=Special Districts, PS_Sub_Region__c=Local Government ME}</t>
  </si>
  <si>
    <t>Mike Maroone Automotive</t>
  </si>
  <si>
    <t>a0lVT000006K3pVYAS</t>
  </si>
  <si>
    <t>a0pVT00000Cq4rsYAB</t>
  </si>
  <si>
    <t>a0lVT000006KEeTYAW</t>
  </si>
  <si>
    <t>{SubRegion__c=US Special Districts NN, Name=Shakopee Mdewakanton Sioux Community, attributes={url=/services/data/v62.0/sobjects/Account/0018000000MSYWfAAP, type=Account}, PS_Region_New__c=US SLED, Industry=Special Districts, PS_Sub_Region__c=Local Government ME}</t>
  </si>
  <si>
    <t>Milwaukee Electric Tool Corporation</t>
  </si>
  <si>
    <t>a0lVT000006KEkvYAG</t>
  </si>
  <si>
    <t>a0pVT00000Cq642YAB</t>
  </si>
  <si>
    <t>a0lVT000006KFc9YAG</t>
  </si>
  <si>
    <t>{Name=Shakopee Mdewakanton Sioux Community, PS_Region_New__c=US SLED, attributes={type=Account, url=/services/data/v62.0/sobjects/Account/0018000000MSYWfAAP}, SubRegion__c=US Special Districts NN, PS_Sub_Region__c=Local Government ME, Industry=Special Districts}</t>
  </si>
  <si>
    <t>a0lVT000006KFkDYAW</t>
  </si>
  <si>
    <t>Miniat Holdings LLC</t>
  </si>
  <si>
    <t>a0pVT00000CptMyYAJ</t>
  </si>
  <si>
    <t>a0lVT000006MvozYAC</t>
  </si>
  <si>
    <t>{Industry=Non-Profit, SubRegion__c=US NFP NN West, PS_Region_New__c=US SLED, attributes={url=/services/data/v62.0/sobjects/Account/0018000001QV6f6AAD, type=Account}, Name=Goodwill-Easter Seals Minnesota, PS_Sub_Region__c=Higher Education LE}</t>
  </si>
  <si>
    <t>0034X00003GLjtLQAT</t>
  </si>
  <si>
    <t>Misfits Market, Inc.</t>
  </si>
  <si>
    <t>a0pVT00000CpqTxYAJ</t>
  </si>
  <si>
    <t>{Name=Rakuten Asia Pte Ltd, SubRegion__c=Singapore NN, PS_Sub_Region__c=Singapore NN, attributes={type=Account, url=/services/data/v62.0/sobjects/Account/0018000001U6MuKAAV}, PS_Region_New__c=ASEAN, Industry=Software &amp; Platforms}</t>
  </si>
  <si>
    <t>a0pVT00000Cpy3GYAR</t>
  </si>
  <si>
    <t>Missouri Advertising Association</t>
  </si>
  <si>
    <t>{Name=Rakuten Asia Pte Ltd, attributes={url=/services/data/v62.0/sobjects/Account/0018000001U6MuKAAV, type=Account}, PS_Sub_Region__c=Singapore NN, Industry=Software &amp; Platforms, PS_Region_New__c=ASEAN, SubRegion__c=Singapore NN}</t>
  </si>
  <si>
    <t>a0pVT00000CpupGYAR</t>
  </si>
  <si>
    <t>{PS_Sub_Region__c=null, Name=Radisson Hospitality, Inc. (Inactive Account), attributes={url=/services/data/v62.0/sobjects/Account/0013000000J2kWKAAZ, type=Account}, PS_Region_New__c=null, SubRegion__c=null, Industry=Lodging &amp; Resorts}</t>
  </si>
  <si>
    <t>Mobileye Global Inc.</t>
  </si>
  <si>
    <t>a0pVT00000Cpv3nYAB</t>
  </si>
  <si>
    <t>aleksandra.toulemond@workday.com</t>
  </si>
  <si>
    <t>a0lVT000006MvtpYAC</t>
  </si>
  <si>
    <t>{Name=Shelby County Schools Alabama, SubRegion__c=US Local Gov ME NN East, Industry=Education (K-12), PS_Region_New__c=US SLED, attributes={url=/services/data/v62.0/sobjects/Account/0018000000kuQmYAAU, type=Account}, PS_Sub_Region__c=Local Government ME}</t>
  </si>
  <si>
    <t>Monarch Casino &amp; Resort, Inc.</t>
  </si>
  <si>
    <t>a0lVT000006N9dRYAS</t>
  </si>
  <si>
    <t>003VT00000twDGXYA2</t>
  </si>
  <si>
    <t>Alexandra Reischl</t>
  </si>
  <si>
    <t>alex.reischl@workday.com</t>
  </si>
  <si>
    <t>a0lVT000006NA86YAG</t>
  </si>
  <si>
    <t>a0pVT00000Cpa0wYAB</t>
  </si>
  <si>
    <t>0034X00003T12iNQAR</t>
  </si>
  <si>
    <t>Niraj Pradhan</t>
  </si>
  <si>
    <t>niraj.pradhan@workday.com</t>
  </si>
  <si>
    <t>{PS_Sub_Region__c=Higher Education ME, attributes={type=Account, url=/services/data/v62.0/sobjects/Account/0018000000nkYcnAAE}, PS_Region_New__c=US SLED, Industry=Higher Education, SubRegion__c=US Higher Ed ME CB, Name=New York Institute of Technology}</t>
  </si>
  <si>
    <t>a0lVT000006NAMbYAO</t>
  </si>
  <si>
    <t>0034X00003ErzzBQAR</t>
  </si>
  <si>
    <t>Ashvini Khade</t>
  </si>
  <si>
    <t>Monarch Healthcare Management LLC</t>
  </si>
  <si>
    <t>ashvini.khade@workday.com</t>
  </si>
  <si>
    <t>a0lVT000006PafxYAC</t>
  </si>
  <si>
    <t>0031B00002gdtgOQAQ</t>
  </si>
  <si>
    <t>Aaron Stetts</t>
  </si>
  <si>
    <t>aaron.stetts@meijer.com</t>
  </si>
  <si>
    <t>a0lVT000006Pao1YAC</t>
  </si>
  <si>
    <t>a0pVT00000Cq8PBYAZ</t>
  </si>
  <si>
    <t>0034X00003RELJeQAP</t>
  </si>
  <si>
    <t>John Schneider</t>
  </si>
  <si>
    <t>john.schneider@meijer.com</t>
  </si>
  <si>
    <t>a0lVT000006NyxmYAC</t>
  </si>
  <si>
    <t>{PS_Region_New__c=US Large Enterprise DI &amp; Mexico, SubRegion__c=US DI LE CB TM &amp; PS Central, Industry=Business Services, PS_Sub_Region__c=Diversified Industries LE CB TM &amp; PS, Name=TruGreen Limited Partnership, attributes={url=/services/data/v62.0/sobjects/Account/0018000000ohFnMAAU, type=Account}}</t>
  </si>
  <si>
    <t>a0lVT000006O3XaYAK</t>
  </si>
  <si>
    <t>a0lVT000006O6TrYAK</t>
  </si>
  <si>
    <t>a0pVT00000Cq2QIYAZ</t>
  </si>
  <si>
    <t>{PS_Sub_Region__c=Diversified Industries LE CB TM &amp; PS, attributes={type=Account, url=/services/data/v62.0/sobjects/Account/0018000000ohFnMAAU}, SubRegion__c=US DI LE CB TM &amp; PS Central, Name=TruGreen Limited Partnership, Industry=Business Services, PS_Region_New__c=US Large Enterprise DI &amp; Mexico}</t>
  </si>
  <si>
    <t>a0lVT000006O5G2YAK</t>
  </si>
  <si>
    <t>a0lVT000006O7xlYAC</t>
  </si>
  <si>
    <t>Montage Health</t>
  </si>
  <si>
    <t>a0lVT000006NvrtYAC</t>
  </si>
  <si>
    <t>a0pVT00000Cq6X5YAJ</t>
  </si>
  <si>
    <t>a0lVT000006O2LQYA0</t>
  </si>
  <si>
    <t>{PS_Sub_Region__c=Diversified Industries LE CB TM &amp; PS, Industry=Business Services, Name=TruGreen Limited Partnership, attributes={url=/services/data/v62.0/sobjects/Account/0018000000ohFnMAAU, type=Account}, PS_Region_New__c=US Large Enterprise DI &amp; Mexico, SubRegion__c=US DI LE CB TM &amp; PS Central}</t>
  </si>
  <si>
    <t>a0lVT000006O8U1YAK</t>
  </si>
  <si>
    <t>Moody's Corporation</t>
  </si>
  <si>
    <t>a0lVT000006NvOoYAK</t>
  </si>
  <si>
    <t>a0pVT00000Cq2q2YAB</t>
  </si>
  <si>
    <t>a0lVT000006O1h8YAC</t>
  </si>
  <si>
    <t>{PS_Sub_Region__c=Diversified Industries LE CB MFG, SubRegion__c=US DI LE CB MFG West, attributes={url=/services/data/v62.0/sobjects/Account/0013000000KzsMFAAZ, type=Account}, PS_Region_New__c=US Large Enterprise DI &amp; Mexico, Industry=High Technology, Name=Marvell Semiconductor, Inc.}</t>
  </si>
  <si>
    <t>a0lVT000006NtJpYAK</t>
  </si>
  <si>
    <t>a0lVT000006O1E5YAK</t>
  </si>
  <si>
    <t>Moog Inc.</t>
  </si>
  <si>
    <t>a0pVT00000Cq01qYAB</t>
  </si>
  <si>
    <t>a0lVT000006O2wVYAS</t>
  </si>
  <si>
    <t>{PS_Region_New__c=US Large Enterprise DI &amp; Mexico, SubRegion__c=US DI LE CB MFG West, Name=Marvell Semiconductor, Inc., attributes={url=/services/data/v62.0/sobjects/Account/0013000000KzsMFAAZ, type=Account}, PS_Sub_Region__c=Diversified Industries LE CB MFG, Industry=High Technology}</t>
  </si>
  <si>
    <t>a0lVT000006O5zDYAS</t>
  </si>
  <si>
    <t>a0lVT000006O7w9YAC</t>
  </si>
  <si>
    <t>a0pVT00000Cq0xtYAB</t>
  </si>
  <si>
    <t>a0rVT00001DzeVBYAZ</t>
  </si>
  <si>
    <t>Morgan Stanley Services Group Inc.</t>
  </si>
  <si>
    <t>a0lVT000006Nq49YAC</t>
  </si>
  <si>
    <t>{Name=Arrow Electronics, Inc., PS_Sub_Region__c=Diversified Industries LE CB MFG, attributes={url=/services/data/v62.0/sobjects/Account/0013000000H1mJdAAJ, type=Account}, Industry=High Technology, SubRegion__c=US DI LE CB MFG South, PS_Region_New__c=US Large Enterprise DI &amp; Mexico}</t>
  </si>
  <si>
    <t>a0lVT000006NpjFYAS</t>
  </si>
  <si>
    <t>a0lVT000006O2QDYA0</t>
  </si>
  <si>
    <t>a0pVT00000Cq9MsYAJ</t>
  </si>
  <si>
    <t>a0lVT000006NqP7YAK</t>
  </si>
  <si>
    <t>{Industry=Consumer Goods, PS_Sub_Region__c=UKI CB Majors, attributes={type=Account, url=/services/data/v62.0/sobjects/Account/0018000000zY5DhAAK}, Name=Mondelez Global LLC, SubRegion__c=US DI LE CB RHT Southeast, PS_Region_New__c=UKI}</t>
  </si>
  <si>
    <t>Morningstar, Inc.</t>
  </si>
  <si>
    <t>a0lVT000006Ns17YAC</t>
  </si>
  <si>
    <t>a0lVT000006O4lNYAS</t>
  </si>
  <si>
    <t>a0lVT000006O6X3YAK</t>
  </si>
  <si>
    <t>a0pVT00000Cq8SQYAZ</t>
  </si>
  <si>
    <t>Scorecard request: 3392049</t>
  </si>
  <si>
    <t>{PS_Region_New__c=US Medium Enterprise DI, attributes={type=Account, url=/services/data/v62.0/sobjects/Account/001VT00000XN81tYAD}, PS_Sub_Region__c=ME Commercial West, Name=Integrity Electrical Solutions, SubRegion__c=US DI Commercial NN Central, Industry=Architecture, Engineering &amp; Construction}</t>
  </si>
  <si>
    <t>a0lVT000006QN8nYAG</t>
  </si>
  <si>
    <t>Mortgage Research Center LLC dba Veterans United Home Loans</t>
  </si>
  <si>
    <t>a0lVT000006QNGrYAO</t>
  </si>
  <si>
    <t>0031B00002r8nYiQAI</t>
  </si>
  <si>
    <t>Sharla Jones</t>
  </si>
  <si>
    <t>sharlajones@cinemark.com</t>
  </si>
  <si>
    <t>a0lVT000006QNGsYAO</t>
  </si>
  <si>
    <t>a0pVT00000Cq2bYYAR</t>
  </si>
  <si>
    <t>0034X00003S9a6xQAB</t>
  </si>
  <si>
    <t>Laura Smith</t>
  </si>
  <si>
    <t>lsmith@cinemark.com</t>
  </si>
  <si>
    <t>{PS_Region_New__c=UKI, attributes={url=/services/data/v62.0/sobjects/Account/001VT00000b30mAYAQ, type=Account}, Industry=Post Acute, PS_Sub_Region__c=UKI Public Services, SubRegion__c=UKI PS LE NN 2, Name=Oxford Aunts Care Ltd.}</t>
  </si>
  <si>
    <t>a0lVT000006O03XYAS</t>
  </si>
  <si>
    <t>Mothers Against Drunk Driving</t>
  </si>
  <si>
    <t>a0lVT000006NyzRYAS</t>
  </si>
  <si>
    <t>a0lVT000006O5ntYAC</t>
  </si>
  <si>
    <t>a0pVT00000Cq1cJYAR</t>
  </si>
  <si>
    <t>a0lVT000006O4wfYAC</t>
  </si>
  <si>
    <t>{SubRegion__c=US Healthcare LE CB South, attributes={url=/services/data/v62.0/sobjects/Account/0018000000NLityAAD, type=Account}, Name=Aveanna Healthcare LLC, PS_Region_New__c=US Healthcare, Industry=Post Acute, PS_Sub_Region__c=Healthcare LE}</t>
  </si>
  <si>
    <t>a0lVT000006O5JFYA0</t>
  </si>
  <si>
    <t>a0lVT000006Ns61YAC</t>
  </si>
  <si>
    <t>a0pVT00000Cq7L3YAJ</t>
  </si>
  <si>
    <t>a0lVT000006NoDhYAK</t>
  </si>
  <si>
    <t>{Name=Aveanna Healthcare LLC, PS_Region_New__c=US Healthcare, attributes={type=Account, url=/services/data/v62.0/sobjects/Account/0018000000NLityAAD}, PS_Sub_Region__c=Healthcare LE, Industry=Post Acute, SubRegion__c=US Healthcare LE CB South}</t>
  </si>
  <si>
    <t>a0lVT000006O2MzYAK</t>
  </si>
  <si>
    <t>Mountain America Credit Union Inc</t>
  </si>
  <si>
    <t>a0lVT000006NzKLYA0</t>
  </si>
  <si>
    <t>a0rVT00001DX7kHYAT</t>
  </si>
  <si>
    <t>a0lVT000006Ns4QYAS</t>
  </si>
  <si>
    <t>a0pVT00000Cq99xYAB</t>
  </si>
  <si>
    <t>a0lVT000006O2V4YAK</t>
  </si>
  <si>
    <t>a0rVT00001DX7nVYAT</t>
  </si>
  <si>
    <t>{PS_Sub_Region__c=Local Government ME, Name=Gila River Gaming Enterprises, Inc, PS_Region_New__c=US SLED, attributes={url=/services/data/v62.0/sobjects/Account/0018000000ulOgQAAU, type=Account}, SubRegion__c=US Special Districts NN, Industry=Special Districts}</t>
  </si>
  <si>
    <t>Mountain Shadows</t>
  </si>
  <si>
    <t>a0lVT000006O3kTYAS</t>
  </si>
  <si>
    <t>a0lVT000006Num5YAC</t>
  </si>
  <si>
    <t>a0pVT00000Cq7o5YAB</t>
  </si>
  <si>
    <t>a0lVT000006O7ePYAS</t>
  </si>
  <si>
    <t>a0rVT00001DX8ZuYAL</t>
  </si>
  <si>
    <t>{PS_Sub_Region__c=FSI LE, Name=Assurant, Inc., SubRegion__c=US FSI LE East, Industry=Insurance, attributes={type=Account, url=/services/data/v62.0/sobjects/Account/0018000000QaGlbAAF}, PS_Region_New__c=US FSI}</t>
  </si>
  <si>
    <t>MPW Industrial Services Group, Inc.</t>
  </si>
  <si>
    <t>a0lVT000006NvS2YAK</t>
  </si>
  <si>
    <t>a0rVT00001DX8ejYAD</t>
  </si>
  <si>
    <t>a0lVT000006QMJBYA4</t>
  </si>
  <si>
    <t>a0pVT00000Cq2QHYAZ</t>
  </si>
  <si>
    <t>a0lVT000006QQWTYA4</t>
  </si>
  <si>
    <t>{attributes={url=/services/data/v62.0/sobjects/Account/0018000000QaGlbAAF, type=Account}, PS_Sub_Region__c=FSI LE, SubRegion__c=US FSI LE East, Industry=Insurance, PS_Region_New__c=US FSI, Name=Assurant, Inc.}</t>
  </si>
  <si>
    <t>003VT00000YfogTYAR</t>
  </si>
  <si>
    <t>Lindsay Cole</t>
  </si>
  <si>
    <t>lindsay.cole@newellco.com</t>
  </si>
  <si>
    <t>a0lVT000006QQRdYAO</t>
  </si>
  <si>
    <t>0034X00003S8u0BQAR</t>
  </si>
  <si>
    <t>John E. Gotham</t>
  </si>
  <si>
    <t>john.gotham@newellco.com</t>
  </si>
  <si>
    <t>a0lVT000006O3e1YAC</t>
  </si>
  <si>
    <t>a0pVT00000CptOaYAJ</t>
  </si>
  <si>
    <t>{SubRegion__c=US FSI LE East, PS_Sub_Region__c=FSI LE, Industry=Insurance, attributes={url=/services/data/v62.0/sobjects/Account/0018000000QaGlbAAF, type=Account}, Name=Assurant, Inc., PS_Region_New__c=US FSI}</t>
  </si>
  <si>
    <t>MSR Properties, LLC</t>
  </si>
  <si>
    <t>a0lVT000006O3MHYA0</t>
  </si>
  <si>
    <t>a0lVT000006NymXYAS</t>
  </si>
  <si>
    <t>a0rVT00001DX9KfYAL</t>
  </si>
  <si>
    <t>a0pVT00000Cpr8EYAR</t>
  </si>
  <si>
    <t>a0lVT000006O3sXYAS</t>
  </si>
  <si>
    <t>{Name=Assurant, Inc., Industry=Insurance, PS_Region_New__c=US FSI, attributes={type=Account, url=/services/data/v62.0/sobjects/Account/0018000000QaGlbAAF}, SubRegion__c=US FSI LE East, PS_Sub_Region__c=FSI LE}</t>
  </si>
  <si>
    <t>a0lVT000006QlflYAC</t>
  </si>
  <si>
    <t>003VT00000fcCgUYAU</t>
  </si>
  <si>
    <t>jordan.depaolis@workday.com</t>
  </si>
  <si>
    <t>a0lVT000006Ns7dYAC</t>
  </si>
  <si>
    <t>a0pVT00000CpN0VYAV</t>
  </si>
  <si>
    <t>a0lVT000006R0GbYAK</t>
  </si>
  <si>
    <t>{attributes={type=Account, url=/services/data/v62.0/sobjects/Account/0018000000pOeBHAA0}, Name=City of Kent, PS_Sub_Region__c=Local Government ME, Industry=State &amp; Local Government, SubRegion__c=US Local Gov ME CB, PS_Region_New__c=US SLED}</t>
  </si>
  <si>
    <t>0034X00003DfWWmQAN</t>
  </si>
  <si>
    <t>Lili Shippe</t>
  </si>
  <si>
    <t>lshippe@altamed.org</t>
  </si>
  <si>
    <t>a0lVT000006R0BlYAK</t>
  </si>
  <si>
    <t>003VT00000i6ikzYAA</t>
  </si>
  <si>
    <t>mathangi.jambunathan@workday.com</t>
  </si>
  <si>
    <t>a0lVT000006O1dvYAC</t>
  </si>
  <si>
    <t>a0pVT00000CpypeYAB</t>
  </si>
  <si>
    <t>a0lVT000006R0GcYAK</t>
  </si>
  <si>
    <t>{Industry=Utilities, attributes={type=Account, url=/services/data/v62.0/sobjects/Account/0013000000J2EYrAAN}, Name=Spire Energy, PS_Region_New__c=US Medium Enterprise DI, SubRegion__c=US DI ME NN MFG West, PS_Sub_Region__c=ME NN MFG}</t>
  </si>
  <si>
    <t>0034X000033wpBKQAY</t>
  </si>
  <si>
    <t>Debbie Oune</t>
  </si>
  <si>
    <t>deoune@altamed.org</t>
  </si>
  <si>
    <t>a0lVT000006PJdWYAW</t>
  </si>
  <si>
    <t>0034X000032NB4WQAW</t>
  </si>
  <si>
    <t>Brian Gibbons</t>
  </si>
  <si>
    <t>brian.gibbons@verizon.com</t>
  </si>
  <si>
    <t>a0pVT00000Cq31JYAR</t>
  </si>
  <si>
    <t>a0lVT000006PIEQYA4</t>
  </si>
  <si>
    <t>{SubRegion__c=US DI ME NN MFG West, attributes={type=Account, url=/services/data/v62.0/sobjects/Account/0013000000J2EYrAAN}, PS_Region_New__c=US Medium Enterprise DI, Name=Spire Energy, PS_Sub_Region__c=ME NN MFG, Industry=Utilities}</t>
  </si>
  <si>
    <t>Multilingual Psychotherapy Centers, Inc</t>
  </si>
  <si>
    <t>a0lVT000006Nz10YAC</t>
  </si>
  <si>
    <t>a0lVT000006PJdVYAW</t>
  </si>
  <si>
    <t>0034X00002xZ9kOQAS</t>
  </si>
  <si>
    <t>a0pVT00000Cq3vlYAB</t>
  </si>
  <si>
    <t>Vincent Abbruzzese</t>
  </si>
  <si>
    <t>vincent.abbruzzese@verizon.com</t>
  </si>
  <si>
    <t>a0lVT000006O56LYAS</t>
  </si>
  <si>
    <t>{SubRegion__c=US DI LE CB RHT Southeast, PS_Sub_Region__c=Diversified Industries LE CB RHT, Name=Laboratory Corporation of America Holdings, Industry=Other Healthcare, attributes={url=/services/data/v62.0/sobjects/Account/0013000000Jp6OhAAJ, type=Account}, PS_Region_New__c=US Large Enterprise DI &amp; Mexico}</t>
  </si>
  <si>
    <t>a0lVT000006NsUDYA0</t>
  </si>
  <si>
    <t>a0rVT00001DXBG1YAP</t>
  </si>
  <si>
    <t>Murata Electronics Singapore (Pte.) Ltd.</t>
  </si>
  <si>
    <t>a0lVT000006NzAjYAK</t>
  </si>
  <si>
    <t>a0pVT00000CpxDeYAJ</t>
  </si>
  <si>
    <t>a0lVT000006O9UvYAK</t>
  </si>
  <si>
    <t>{attributes={url=/services/data/v62.0/sobjects/Account/0013000000Jp6OhAAJ, type=Account}, PS_Region_New__c=US Large Enterprise DI &amp; Mexico, Name=Laboratory Corporation of America Holdings, Industry=Other Healthcare, SubRegion__c=US DI LE CB RHT Southeast, PS_Sub_Region__c=Diversified Industries LE CB RHT}</t>
  </si>
  <si>
    <t>a0lVT000006O6gjYAC</t>
  </si>
  <si>
    <t>a0lVT000006O5mHYAS</t>
  </si>
  <si>
    <t>a0pVT00000Cq43qYAB</t>
  </si>
  <si>
    <t>a0lVT000006Nz93YAC</t>
  </si>
  <si>
    <t>0014X00002aSHUCQA4</t>
  </si>
  <si>
    <t>{attributes={url=/services/data/v62.0/sobjects/Account/0014X00002aSHUCQA4, type=Account}, Name=Eastern New Mexico Medical Center, SubRegion__c=US Healthcare Majors NN, PS_Region_New__c=US Healthcare, PS_Sub_Region__c=Healthcare Majors NN, Industry=Acute Hospital / Health System}</t>
  </si>
  <si>
    <t>a0lVT000006NyEfYAK</t>
  </si>
  <si>
    <t>a0rVT00001DXC8rYAH</t>
  </si>
  <si>
    <t>a0lVT000006Nw6XYAS</t>
  </si>
  <si>
    <t>a0rVT00001DXCGwYAP</t>
  </si>
  <si>
    <t>a0pVT00000Cq91tYAB</t>
  </si>
  <si>
    <t>a0lVT000006PK05YAG</t>
  </si>
  <si>
    <t>{SubRegion__c=US DI LE CB RHT Midwest, PS_Region_New__c=US Large Enterprise DI &amp; Mexico, attributes={url=/services/data/v62.0/sobjects/Account/0018000000uDHmbAAG, type=Account}, Name=Wayfair LLC, Industry=Hardlines, PS_Sub_Region__c=Diversified Industries LE CB RHT}</t>
  </si>
  <si>
    <t>National Church Residences</t>
  </si>
  <si>
    <t>a0lVT000006NxdVYAS</t>
  </si>
  <si>
    <t>a0lVT000006PK1hYAG</t>
  </si>
  <si>
    <t>0034X00003RDauwQAD</t>
  </si>
  <si>
    <t>Michael Jones</t>
  </si>
  <si>
    <t>mwjones@cmh.edu</t>
  </si>
  <si>
    <t>a0lVT000006NpsrYAC</t>
  </si>
  <si>
    <t>a0pVT00000Cq48hYAB</t>
  </si>
  <si>
    <t>a0lVT000006NnxdYAC</t>
  </si>
  <si>
    <t>{PS_Sub_Region__c=Diversified Industries LE CB RHT, SubRegion__c=US DI LE CB RHT Midwest, PS_Region_New__c=US Large Enterprise DI &amp; Mexico, attributes={url=/services/data/v62.0/sobjects/Account/0018000000uDHmbAAG, type=Account}, Industry=Hardlines, Name=Wayfair LLC}</t>
  </si>
  <si>
    <t>Natixis North America LLC</t>
  </si>
  <si>
    <t>a0lVT000006NsKbYAK</t>
  </si>
  <si>
    <t>a0lVT000006O6GvYAK</t>
  </si>
  <si>
    <t>a0rVT00001DXCdVYAX</t>
  </si>
  <si>
    <t>a0pVT00000Cq00GYAR</t>
  </si>
  <si>
    <t>{PS_Region_New__c=US Large Enterprise DI &amp; Mexico, Name=Tasty Delites, LLC, SubRegion__c=US DI LE NN RHT South, attributes={url=/services/data/v62.0/sobjects/Account/001VT00000bDlbjYAC, type=Account}, PS_Sub_Region__c=Diversified Industries LE NN, Industry=Restaurant &amp; Food Service}</t>
  </si>
  <si>
    <t>a0lVT000006O6NNYA0</t>
  </si>
  <si>
    <t>NATS Holdings Ltd.</t>
  </si>
  <si>
    <t>Air Transportation</t>
  </si>
  <si>
    <t>a0lVT000006O71hYAC</t>
  </si>
  <si>
    <t>a0pVT00000CqBQIYA3</t>
  </si>
  <si>
    <t>a0lVT000006O6aHYAS</t>
  </si>
  <si>
    <t>{PS_Region_New__c=US Large Enterprise DI &amp; Mexico, Name=Tasty Delites, LLC, SubRegion__c=US DI LE NN RHT South, Industry=Restaurant &amp; Food Service, PS_Sub_Region__c=Diversified Industries LE NN, attributes={url=/services/data/v62.0/sobjects/Account/001VT00000bDlbjYAC, type=Account}}</t>
  </si>
  <si>
    <t>a0lVT000006O8VeYAK</t>
  </si>
  <si>
    <t>Navasota Independent School District</t>
  </si>
  <si>
    <t>a0lVT000006O6dVYAS</t>
  </si>
  <si>
    <t>a0lVT000006O6f7YAC</t>
  </si>
  <si>
    <t>a0pVT00000Cpz2ZYAR</t>
  </si>
  <si>
    <t>a0lVT000006Nue5YAC</t>
  </si>
  <si>
    <t>{Industry=Restaurant &amp; Food Service, PS_Sub_Region__c=Diversified Industries LE NN, Name=Tasty Delites, LLC, attributes={url=/services/data/v62.0/sobjects/Account/001VT00000bDlbjYAC, type=Account}, PS_Region_New__c=US Large Enterprise DI &amp; Mexico, SubRegion__c=US DI LE NN RHT South}</t>
  </si>
  <si>
    <t>NC African Services Coalition</t>
  </si>
  <si>
    <t>a0lVT000006O8iXYAS</t>
  </si>
  <si>
    <t>a0rVT00001DXDzOYAX</t>
  </si>
  <si>
    <t>a0lVT000006NuvtYAC</t>
  </si>
  <si>
    <t>a0rVT00001DXE4EYAX</t>
  </si>
  <si>
    <t>a0pVT00000CpwSuYAJ</t>
  </si>
  <si>
    <t>a0lVT000006O57zYAC</t>
  </si>
  <si>
    <t>{SubRegion__c=US DI LE NN RHT South, PS_Sub_Region__c=Diversified Industries LE NN, Name=Tasty Delites, LLC, Industry=Restaurant &amp; Food Service, attributes={type=Account, url=/services/data/v62.0/sobjects/Account/001VT00000bDlbjYAC}, PS_Region_New__c=US Large Enterprise DI &amp; Mexico}</t>
  </si>
  <si>
    <t>a0rVT00001DXEDtYAP</t>
  </si>
  <si>
    <t>Nestlé USA, Inc.</t>
  </si>
  <si>
    <t>a0lVT000006NoSDYA0</t>
  </si>
  <si>
    <t>a0rVT00001DXEFWYA5</t>
  </si>
  <si>
    <t>a0lVT000006O7JRYA0</t>
  </si>
  <si>
    <t>a0pVT00000CpxwoYAB</t>
  </si>
  <si>
    <t>a0lVT000006O4lOYAS</t>
  </si>
  <si>
    <t>{attributes={url=/services/data/v62.0/sobjects/Account/0011B000024T1K4QAK, type=Account}, SubRegion__c=US DI LE CB RHT Midwest, PS_Sub_Region__c=Diversified Industries LE CB RHT, Name=Gordon Food Service, Inc., Industry=Restaurant &amp; Food Service, PS_Region_New__c=US Large Enterprise DI &amp; Mexico}</t>
  </si>
  <si>
    <t>a0lVT000006O0ZmYAK</t>
  </si>
  <si>
    <t>a0rVT00001DXEYrYAP</t>
  </si>
  <si>
    <t>a0lVT000006NqKIYA0</t>
  </si>
  <si>
    <t>a0rVT00001DXEaTYAX</t>
  </si>
  <si>
    <t>a0lVT000006NwnxYAC</t>
  </si>
  <si>
    <t>a0pVT00000Cptd4YAB</t>
  </si>
  <si>
    <t>a0lVT000006O7ZZYA0</t>
  </si>
  <si>
    <t>{Name=Gordon Food Service, Inc., attributes={url=/services/data/v62.0/sobjects/Account/0011B000024T1K4QAK, type=Account}, Industry=Restaurant &amp; Food Service, PS_Sub_Region__c=Diversified Industries LE CB RHT, SubRegion__c=US DI LE CB RHT Midwest, PS_Region_New__c=US Large Enterprise DI &amp; Mexico}</t>
  </si>
  <si>
    <t>a0rVT00001DXEtpYAH</t>
  </si>
  <si>
    <t>a0lVT000006NuxRYAS</t>
  </si>
  <si>
    <t>Nevada Workforce Connections</t>
  </si>
  <si>
    <t>a0lVT000006O7phYAC</t>
  </si>
  <si>
    <t>a0pVT00000CpzTxYAJ</t>
  </si>
  <si>
    <t>a0lVT000006O1dwYAC</t>
  </si>
  <si>
    <t>{Name=Zühlke Engineering AG, SubRegion__c=null, PS_Region_New__c=DACH, attributes={type=Account, url=/services/data/v62.0/sobjects/Account/0011B000028HkpdQAC}, Industry=Professional Services, PS_Sub_Region__c=Alps}</t>
  </si>
  <si>
    <t>a0lVT000006O6f9YAC</t>
  </si>
  <si>
    <t>a0lVT000006NtTWYA0</t>
  </si>
  <si>
    <t>a0rVT00001DXFRhYAP</t>
  </si>
  <si>
    <t>a0pVT00000CpzXBYAZ</t>
  </si>
  <si>
    <t>a0lVT000006O1cLYAS</t>
  </si>
  <si>
    <t>New Balance Athletics, Inc.</t>
  </si>
  <si>
    <t>{Industry=Professional Services, attributes={type=Account, url=/services/data/v62.0/sobjects/Account/0011B000028HkpdQAC}, PS_Sub_Region__c=Alps, SubRegion__c=null, PS_Region_New__c=DACH, Name=Zühlke Engineering AG}</t>
  </si>
  <si>
    <t>a0lVT000006O7g2YAC</t>
  </si>
  <si>
    <t>a0lVT000006PKJRYA4</t>
  </si>
  <si>
    <t>a0pVT00000Cpr1nYAB</t>
  </si>
  <si>
    <t>New Relic, Inc.</t>
  </si>
  <si>
    <t>a0lVT000006PKOHYA4</t>
  </si>
  <si>
    <t>{attributes={url=/services/data/v62.0/sobjects/Account/0018000000M4NkrAAF, type=Account}, PS_Sub_Region__c=Channels, Name=Cornerstone OnDemand, Inc., Industry=Commercial Services, SubRegion__c=null, PS_Region_New__c=Channels}</t>
  </si>
  <si>
    <t>003VT00000dP8n7YAC</t>
  </si>
  <si>
    <t>Cameron Pickett</t>
  </si>
  <si>
    <t>cameron.pickett@touchmark.com</t>
  </si>
  <si>
    <t>a0lVT000006PKRVYA4</t>
  </si>
  <si>
    <t>0034X00003RCgtZQAT</t>
  </si>
  <si>
    <t>Elaine Buchele</t>
  </si>
  <si>
    <t>elaine.buchele@touchmark.com</t>
  </si>
  <si>
    <t>a0lVT000006NmXQYA0</t>
  </si>
  <si>
    <t>a0rVT00001DXFZlYAP</t>
  </si>
  <si>
    <t>a0pVT00000CpyrGYAR</t>
  </si>
  <si>
    <t>New York Institute of Technology</t>
  </si>
  <si>
    <t>a0lVT000006O56MYAS</t>
  </si>
  <si>
    <t>{Name=Mobileye Global Inc., SubRegion__c=US DI Key Accounts TM &amp; PS, PS_Sub_Region__c=Diversified Industries Key Accounts, attributes={type=Account, url=/services/data/v62.0/sobjects/Account/0011B000028HlrEQAS}, Industry=High Technology, PS_Region_New__c=US Large Enterprise DI &amp; Mexico}</t>
  </si>
  <si>
    <t>a0lVT000006NyjJYAS</t>
  </si>
  <si>
    <t>a0lVT000006O9ZlYAK</t>
  </si>
  <si>
    <t>a0pVT00000CpzYnYAJ</t>
  </si>
  <si>
    <t>New York Life Insurance Company</t>
  </si>
  <si>
    <t>{attributes={type=Account, url=/services/data/v62.0/sobjects/Account/0011B000028HtC5QAK}, SubRegion__c=null, Name=AstraZeneca UK Limited, PS_Sub_Region__c=null, PS_Region_New__c=null, Industry=null}</t>
  </si>
  <si>
    <t>a0lVT000006QlO1YAK</t>
  </si>
  <si>
    <t>003VT00000wxA0QYAU</t>
  </si>
  <si>
    <t>Emily Timm</t>
  </si>
  <si>
    <t>etimm@procarehr.com</t>
  </si>
  <si>
    <t>a0lVT000006QlB7YAK</t>
  </si>
  <si>
    <t>a0pVT00000CpzaPYAR</t>
  </si>
  <si>
    <t>{Name=AstraZeneca UK Limited, PS_Sub_Region__c=null, PS_Region_New__c=null, SubRegion__c=null, attributes={url=/services/data/v62.0/sobjects/Account/0011B000028HtC5QAK, type=Account}, Industry=null}</t>
  </si>
  <si>
    <t>a0lVT000006QlO2YAK</t>
  </si>
  <si>
    <t>Newell Brands Inc.</t>
  </si>
  <si>
    <t>a0lVT000006O78BYAS</t>
  </si>
  <si>
    <t>a0lVT000006QWdXYAW</t>
  </si>
  <si>
    <t>a0pVT00000Cpzc1YAB</t>
  </si>
  <si>
    <t>0038000001O7ofOAAR</t>
  </si>
  <si>
    <t>Lawrence Liang</t>
  </si>
  <si>
    <t>lawrence.liang@workday.com</t>
  </si>
  <si>
    <t>a0lVT000006QWdWYAW</t>
  </si>
  <si>
    <t>{Industry=Chemicals, attributes={type=Account, url=/services/data/v62.0/sobjects/Account/0011B000029TsbPQAS}, Name=Corteva Agriscience LLC, PS_Region_New__c=US Large Enterprise DI &amp; Mexico, SubRegion__c=US DI LE CB MFG Midwest, PS_Sub_Region__c=Diversified Industries LE CB MFG}</t>
  </si>
  <si>
    <t>0034X00003PBZRwQAP</t>
  </si>
  <si>
    <t>Kunal Mulchandani</t>
  </si>
  <si>
    <t>kunal.mulchandani@esfcentre.edu.hk</t>
  </si>
  <si>
    <t>a0lVT000006QWdVYAW</t>
  </si>
  <si>
    <t>0038000002KQrrlAAD</t>
  </si>
  <si>
    <t>Anna Ho</t>
  </si>
  <si>
    <t>anna.ho@esfcentre.edu.hk</t>
  </si>
  <si>
    <t>a0lVT000006PWFlYAO</t>
  </si>
  <si>
    <t>Newport Restaurant Group</t>
  </si>
  <si>
    <t>a0pVT00000Cq3fdYAB</t>
  </si>
  <si>
    <t>0034X00003BlszbQAB</t>
  </si>
  <si>
    <t>bobo.ching@workday.com</t>
  </si>
  <si>
    <t>{attributes={url=/services/data/v62.0/sobjects/Account/0013000000JMofsAAD, type=Account}, PS_Region_New__c=US Large Enterprise DI &amp; Mexico, Name=Takeda Pharmaceuticals USA, Inc., Industry=Healthcare Manufacturing, SubRegion__c=US DI LE CB MFG Northeast, PS_Sub_Region__c=Diversified Industries LE CB MFG}</t>
  </si>
  <si>
    <t>a0pVT00000CpzddYAB</t>
  </si>
  <si>
    <t>{Industry=null, SubRegion__c=null, PS_Sub_Region__c=null, Name=Sanford, attributes={type=Account, url=/services/data/v62.0/sobjects/Account/0011B00002AjW68QAF}, PS_Region_New__c=null}</t>
  </si>
  <si>
    <t>NextEra Energy, Inc</t>
  </si>
  <si>
    <t>a0lVT000006OojNYAS</t>
  </si>
  <si>
    <t>003VT00000NY7BXYA1</t>
  </si>
  <si>
    <t>Geeta Kumari</t>
  </si>
  <si>
    <t>geeta.kumari@workday.com</t>
  </si>
  <si>
    <t>a0lVT000006QrbVYAS</t>
  </si>
  <si>
    <t>003VT00000Zqqo7YAB</t>
  </si>
  <si>
    <t>Aleksandra Pacura</t>
  </si>
  <si>
    <t>aleksandra.pacura@electrolux.com</t>
  </si>
  <si>
    <t>a0pVT00000Cq57xYAB</t>
  </si>
  <si>
    <t>a0lVT000006PjJRYA0</t>
  </si>
  <si>
    <t>0038000002BsyXLAAZ</t>
  </si>
  <si>
    <t>{Industry=Consumer Goods, PS_Region_New__c=US Medium Enterprise DI, Name=Four Seasons Produce, Inc., attributes={url=/services/data/v62.0/sobjects/Account/0014X00002KjnVPQAZ, type=Account}, SubRegion__c=US DI ME NN MFG Northeast, PS_Sub_Region__c=ME NN MFG}</t>
  </si>
  <si>
    <t>ian.staal@workday.com</t>
  </si>
  <si>
    <t>a0lVT000006Pq1ZYAS</t>
  </si>
  <si>
    <t>a0rVT00001Dxnr8YAB</t>
  </si>
  <si>
    <t>Nightwing Group, LLC</t>
  </si>
  <si>
    <t>a0lVT000006Pq1aYAC</t>
  </si>
  <si>
    <t>003VT00000VVgxEYAT</t>
  </si>
  <si>
    <t>a0pVT00000Cpum4YAB</t>
  </si>
  <si>
    <t>Bilal Surve</t>
  </si>
  <si>
    <t>bilal.surve@workday.com</t>
  </si>
  <si>
    <t>a0lVT000006PqWDYA0</t>
  </si>
  <si>
    <t>{Industry=Consumer Goods, Name=Four Seasons Produce, Inc., attributes={type=Account, url=/services/data/v62.0/sobjects/Account/0014X00002KjnVPQAZ}, PS_Region_New__c=US Medium Enterprise DI, SubRegion__c=US DI ME NN MFG Northeast, PS_Sub_Region__c=ME NN MFG}</t>
  </si>
  <si>
    <t>003VT00000wPPHxYAO</t>
  </si>
  <si>
    <t>heather.aherne@workday.com</t>
  </si>
  <si>
    <t>a0lVT000006PxB7YAK</t>
  </si>
  <si>
    <t>NIKE, Inc.</t>
  </si>
  <si>
    <t>a0lVT000006Qr21YAC</t>
  </si>
  <si>
    <t>a0pVT00000CqA4PYAV</t>
  </si>
  <si>
    <t>a0rVT00001EGXlpYAH</t>
  </si>
  <si>
    <t>00380000022ed4pAAA</t>
  </si>
  <si>
    <t>Derek Jensen</t>
  </si>
  <si>
    <t>derek.jensen@workday.com</t>
  </si>
  <si>
    <t>{PS_Sub_Region__c=ANZ Education / Healthcare, Name=ILLAWARRA RETIREMENT TRUST (ABN: 52 000 726 536), Industry=Post Acute, attributes={type=Account, url=/services/data/v62.0/sobjects/Account/0018000001DwG8kAAF}, PS_Region_New__c=ANZ, SubRegion__c=ANZ Healthcare}</t>
  </si>
  <si>
    <t>a0lVT000006QxH7YAK</t>
  </si>
  <si>
    <t>00380000027waauAAA</t>
  </si>
  <si>
    <t>sebastien.verstraet@workday.com</t>
  </si>
  <si>
    <t>NJR Service Corporation</t>
  </si>
  <si>
    <t>a0pVT00000CqA61YAF</t>
  </si>
  <si>
    <t>{Industry=Post Acute, PS_Sub_Region__c=ANZ Education / Healthcare, attributes={url=/services/data/v62.0/sobjects/Account/0018000001DwG8kAAF, type=Account}, Name=ILLAWARRA RETIREMENT TRUST (ABN: 52 000 726 536), SubRegion__c=ANZ Healthcare, PS_Region_New__c=ANZ}</t>
  </si>
  <si>
    <t>a0pVT00000CpnmBYAR</t>
  </si>
  <si>
    <t>{attributes={url=/services/data/v62.0/sobjects/Account/0011B00002BBe71QAD, type=Account}, SubRegion__c=Iberia ME, PS_Sub_Region__c=Iberia, Name=Cabify Matriz S.L.U., Industry=Software &amp; Platforms, PS_Region_New__c=EMEA South}</t>
  </si>
  <si>
    <t>a0pVT00000Cq6tdYAB</t>
  </si>
  <si>
    <t>{PS_Sub_Region__c=Healthcare LE, Name=MultiCare Health System, attributes={url=/services/data/v62.0/sobjects/Account/0018000000LUJguAAH, type=Account}, PS_Region_New__c=US Healthcare, Industry=Acute Hospital / Health System, SubRegion__c=US Healthcare LE CB West}</t>
  </si>
  <si>
    <t>Nordstrom, Inc.</t>
  </si>
  <si>
    <t>a0pVT00000CpuhDYAR</t>
  </si>
  <si>
    <t>{attributes={url=/services/data/v62.0/sobjects/Account/0018000000LUJguAAH, type=Account}, Industry=Acute Hospital / Health System, PS_Sub_Region__c=Healthcare LE, SubRegion__c=US Healthcare LE CB West, Name=MultiCare Health System, PS_Region_New__c=US Healthcare}</t>
  </si>
  <si>
    <t>a0pVT00000CpzgrYAB</t>
  </si>
  <si>
    <t>{SubRegion__c=US DI ME CB RHT East, attributes={type=Account, url=/services/data/v62.0/sobjects/Account/0011B00002BBkhOQAT}, PS_Region_New__c=US Medium Enterprise DI, Name=Wonder Group, Inc, Industry=Restaurant &amp; Food Service, PS_Sub_Region__c=ME CB TM &amp; RHT}</t>
  </si>
  <si>
    <t>Nouria Energy Corporation</t>
  </si>
  <si>
    <t>a0pVT00000CpziTYAR</t>
  </si>
  <si>
    <t>{PS_Region_New__c=US Medium Enterprise DI, Name=Wonder Group, Inc, Industry=Restaurant &amp; Food Service, PS_Sub_Region__c=ME CB TM &amp; RHT, SubRegion__c=US DI ME CB RHT East, attributes={url=/services/data/v62.0/sobjects/Account/0011B00002BBkhOQAT, type=Account}}</t>
  </si>
  <si>
    <t>a0pVT00000Cpzk5YAB</t>
  </si>
  <si>
    <t>{Industry=Restaurant &amp; Food Service, PS_Region_New__c=US Medium Enterprise DI, Name=Wonder Group, Inc, attributes={url=/services/data/v62.0/sobjects/Account/0011B00002BBkhOQAT, type=Account}, SubRegion__c=US DI ME CB RHT East, PS_Sub_Region__c=ME CB TM &amp; RHT}</t>
  </si>
  <si>
    <t>Novo Nordisk A/S</t>
  </si>
  <si>
    <t>Denmark NN</t>
  </si>
  <si>
    <t>a0pVT00000CpolSYAR</t>
  </si>
  <si>
    <t>{PS_Sub_Region__c=ME CB TM &amp; RHT, SubRegion__c=US DI ME CB RHT East, Industry=Restaurant &amp; Food Service, Name=Wonder Group, Inc, PS_Region_New__c=US Medium Enterprise DI, attributes={type=Account, url=/services/data/v62.0/sobjects/Account/0011B00002BBkhOQAT}}</t>
  </si>
  <si>
    <t>Now Health Group, Inc.</t>
  </si>
  <si>
    <t>a0pVT00000CpzlhYAB</t>
  </si>
  <si>
    <t>{PS_Sub_Region__c=ME CB TM &amp; RHT, SubRegion__c=US DI ME CB RHT East, Industry=Restaurant &amp; Food Service, PS_Region_New__c=US Medium Enterprise DI, attributes={type=Account, url=/services/data/v62.0/sobjects/Account/0011B00002BBkhOQAT}, Name=Wonder Group, Inc}</t>
  </si>
  <si>
    <t>NRG Energy, Inc.</t>
  </si>
  <si>
    <t>a0pVT00000CpznJYAR</t>
  </si>
  <si>
    <t>{PS_Region_New__c=US Medium Enterprise DI, Industry=Restaurant &amp; Food Service, attributes={type=Account, url=/services/data/v62.0/sobjects/Account/0011B00002BBkhOQAT}, Name=Wonder Group, Inc, PS_Sub_Region__c=ME CB TM &amp; RHT, SubRegion__c=US DI ME CB RHT East}</t>
  </si>
  <si>
    <t>NTT Global Sourcing, Inc.</t>
  </si>
  <si>
    <t>a0pVT00000CpzovYAB</t>
  </si>
  <si>
    <t>0011B00002BCEqSQAX</t>
  </si>
  <si>
    <t>{SubRegion__c=US DI LE CB RHT Southeast, PS_Sub_Region__c=Diversified Industries LE CB RHT, Name=Carrier Corporation, attributes={type=Account, url=/services/data/v62.0/sobjects/Account/0011B00002BCEqSQAX}, Industry=Hardlines, PS_Region_New__c=US Large Enterprise DI &amp; Mexico}</t>
  </si>
  <si>
    <t>O'Brien Glass</t>
  </si>
  <si>
    <t>a0pVT00000Cq0mcYAB</t>
  </si>
  <si>
    <t>{PS_Region_New__c=US FSI, Industry=Banking &amp; Capital Markets, Name=Eagle Bancorp, Inc, SubRegion__c=US FSI ME NN Northeast, attributes={type=Account, url=/services/data/v62.0/sobjects/Account/0014X00002FC1vRQAT}, PS_Sub_Region__c=FSI ME NN}</t>
  </si>
  <si>
    <t>a0pVT00000Cq4rqYAB</t>
  </si>
  <si>
    <t>{Industry=Softlines, Name=Madison Reed, PS_Region_New__c=US Medium Enterprise DI, SubRegion__c=US DI ME NN RHT Pacific, PS_Sub_Region__c=ME NN TM &amp; RHT West, attributes={url=/services/data/v62.0/sobjects/Account/0014X00002OsV1fQAF, type=Account}}</t>
  </si>
  <si>
    <t>a0pVT00000CpzqXYAR</t>
  </si>
  <si>
    <t>Ocean Network Express Pte. Ltd</t>
  </si>
  <si>
    <t>{attributes={url=/services/data/v62.0/sobjects/Account/0011B00002CXTdHQAX, type=Account}, PS_Region_New__c=US FSI, SubRegion__c=US FSI Key Accounts, Name=Jones Lang LaSalle for GM, Industry=Investment Management, PS_Sub_Region__c=FSI Key Accounts}</t>
  </si>
  <si>
    <t>a0pVT00000Cpzk6YAB</t>
  </si>
  <si>
    <t>{Name=Decker Truck Line, Inc., Industry=Land and Rail Transportation and Freight, PS_Sub_Region__c=ME NN TM &amp; RHT West, SubRegion__c=US DI ME NN RHT Mountain, attributes={url=/services/data/v62.0/sobjects/Account/0011B00002CXTqQQAX, type=Account}, PS_Region_New__c=US Medium Enterprise DI}</t>
  </si>
  <si>
    <t>Ochsner Clinic Foundation</t>
  </si>
  <si>
    <t>a0pVT00000CpztlYAB</t>
  </si>
  <si>
    <t>{Industry=Restaurant &amp; Food Service, Name=True Food Kitchen, attributes={type=Account, url=/services/data/v62.0/sobjects/Account/0011B00002CXUOhQAP}, PS_Region_New__c=US Medium Enterprise DI, SubRegion__c=US DI ME NN RHT Mountain, PS_Sub_Region__c=ME NN TM &amp; RHT West}</t>
  </si>
  <si>
    <t>OCI NV</t>
  </si>
  <si>
    <t>a0pVT00000CpzvNYAR</t>
  </si>
  <si>
    <t>{PS_Region_New__c=US SLED, Name=American Geophysical Union, attributes={type=Account, url=/services/data/v62.0/sobjects/Account/0011B00002CXUcPQAX}, PS_Sub_Region__c=Higher Education LE, SubRegion__c=US NFP NN East, Industry=Non-Profit}</t>
  </si>
  <si>
    <t>a0pVT00000CpzwzYAB</t>
  </si>
  <si>
    <t>{PS_Sub_Region__c=ME NN PBS, Industry=Professional Services, attributes={type=Account, url=/services/data/v62.0/sobjects/Account/0011B00002CXWo4QAH}, Name=Quantum Health, Inc., SubRegion__c=US DI ME NN PBS Mid-Atlantic, PS_Region_New__c=US Medium Enterprise DI}</t>
  </si>
  <si>
    <t>a0pVT00000Cq0eXYAR</t>
  </si>
  <si>
    <t>Oldcastle BuildingEnvelope</t>
  </si>
  <si>
    <t>{Industry=Non-Profit, PS_Region_New__c=US SLED, SubRegion__c=US NFP NN East, attributes={type=Account, url=/services/data/v62.0/sobjects/Account/0011B00002HijbzQAB}, Name=GOODWILL IND. OF THE SOUTHERN RIVERS, INC., PS_Sub_Region__c=Higher Education LE}</t>
  </si>
  <si>
    <t>a0pVT00000CprbHYAR</t>
  </si>
  <si>
    <t>{Industry=Investment Management, SubRegion__c=ANZ AU ME CB, PS_Region_New__c=ANZ, attributes={url=/services/data/v62.0/sobjects/Account/0018000001KD7IIAA1, type=Account}, PS_Sub_Region__c=ANZ AU ME, Name=Vicinity Centres PM Pty Ltd}</t>
  </si>
  <si>
    <t>Oncor Electric Delivery Company LLC</t>
  </si>
  <si>
    <t>a0pVT00000CqAIvYAN</t>
  </si>
  <si>
    <t>{Industry=Investment Management, attributes={type=Account, url=/services/data/v62.0/sobjects/Account/0018000001KD7IIAA1}, PS_Sub_Region__c=ANZ AU ME, SubRegion__c=ANZ AU ME CB, Name=Vicinity Centres PM Pty Ltd, PS_Region_New__c=ANZ}</t>
  </si>
  <si>
    <t>a0pVT00000Cq053YAB</t>
  </si>
  <si>
    <t>One Touch Direct, LLC</t>
  </si>
  <si>
    <t>{PS_Region_New__c=UKI, Industry=Healthcare Manufacturing, SubRegion__c=null, attributes={url=/services/data/v62.0/sobjects/Account/0011B00002CZcUZQA1, type=Account}, Name=Bristol-Myers Squibb Company, PS_Sub_Region__c=UKI TME}</t>
  </si>
  <si>
    <t>a0pVT00000Cq06fYAB</t>
  </si>
  <si>
    <t>0011B00002CZdD3QAL</t>
  </si>
  <si>
    <t>{PS_Sub_Region__c=UKI TME, Name=Eli Lilly and Company, attributes={url=/services/data/v62.0/sobjects/Account/0011B00002CZdD3QAL, type=Account}, PS_Region_New__c=UKI, SubRegion__c=null, Industry=Healthcare Manufacturing}</t>
  </si>
  <si>
    <t>OneMain Financial Group, LLC</t>
  </si>
  <si>
    <t>a0pVT00000Cq08HYAR</t>
  </si>
  <si>
    <t>Opportunity Enterprises</t>
  </si>
  <si>
    <t>{attributes={type=Account, url=/services/data/v62.0/sobjects/Account/0011B00002CZdD3QAL}, PS_Region_New__c=UKI, SubRegion__c=null, Industry=Healthcare Manufacturing, Name=Eli Lilly and Company, PS_Sub_Region__c=UKI TME}</t>
  </si>
  <si>
    <t>Orbis Education</t>
  </si>
  <si>
    <t>ORIX Corporation USA</t>
  </si>
  <si>
    <t>a0pVT00000Cq3KfYAJ</t>
  </si>
  <si>
    <t>OrthoArizona</t>
  </si>
  <si>
    <t>{Industry=Food &amp; Drug, PS_Region_New__c=Canada, attributes={url=/services/data/v62.0/sobjects/Account/0013000000J3yuAAAR, type=Account}, PS_Sub_Region__c=Canada DI LE East, Name=Loblaws, Inc., SubRegion__c=Canada DI LE East}</t>
  </si>
  <si>
    <t>Osceola County School District</t>
  </si>
  <si>
    <t>a0pVT00000Cq3MHYAZ</t>
  </si>
  <si>
    <t>{Name=Loblaws, Inc., Industry=Food &amp; Drug, SubRegion__c=Canada DI LE East, PS_Region_New__c=Canada, PS_Sub_Region__c=Canada DI LE East, attributes={url=/services/data/v62.0/sobjects/Account/0013000000J3yuAAAR, type=Account}}</t>
  </si>
  <si>
    <t>OSF Digital</t>
  </si>
  <si>
    <t>a0pVT00000CpsfQYAR</t>
  </si>
  <si>
    <t>{PS_Sub_Region__c=Canada DI LE East, attributes={url=/services/data/v62.0/sobjects/Account/0013000000J3yuAAAR, type=Account}, Industry=Food &amp; Drug, PS_Region_New__c=Canada, SubRegion__c=Canada DI LE East, Name=Loblaws, Inc.}</t>
  </si>
  <si>
    <t>Otis Elevator Company</t>
  </si>
  <si>
    <t>a0pVT00000Cq3NtYAJ</t>
  </si>
  <si>
    <t>{SubRegion__c=Canada DI LE East, Industry=Food &amp; Drug, PS_Region_New__c=Canada, attributes={type=Account, url=/services/data/v62.0/sobjects/Account/0013000000J3yuAAAR}, Name=Loblaws, Inc., PS_Sub_Region__c=Canada DI LE East}</t>
  </si>
  <si>
    <t>Otterbein Homes</t>
  </si>
  <si>
    <t>a0pVT00000Cq0BVYAZ</t>
  </si>
  <si>
    <t>{Industry=Auto, PS_Region_New__c=US Large Enterprise DI &amp; Mexico, Name=Valvoline LLC, PS_Sub_Region__c=Diversified Industries LE CB RHT, SubRegion__c=US DI LE CB RHT Southeast, attributes={type=Account, url=/services/data/v62.0/sobjects/Account/0011B00002CZqbrQAD}}</t>
  </si>
  <si>
    <t>Overlake Medical Center &amp; Clinics</t>
  </si>
  <si>
    <t>a0pVT00000Cq0D7YAJ</t>
  </si>
  <si>
    <t>Subsequent- Adhoc- Paradox</t>
  </si>
  <si>
    <t>Oversea-Chinese Banking Corporation Limited</t>
  </si>
  <si>
    <t>{PS_Region_New__c=US Large Enterprise DI &amp; Mexico, attributes={url=/services/data/v62.0/sobjects/Account/0011B00002CZqbrQAD, type=Account}, Industry=Auto, Name=Valvoline LLC, PS_Sub_Region__c=Diversified Industries LE CB RHT, SubRegion__c=US DI LE CB RHT Southeast}</t>
  </si>
  <si>
    <t>a0pVT00000Cq0EjYAJ</t>
  </si>
  <si>
    <t>{Name=Valvoline LLC, PS_Region_New__c=US Large Enterprise DI &amp; Mexico, SubRegion__c=US DI LE CB RHT Southeast, Industry=Auto, PS_Sub_Region__c=Diversified Industries LE CB RHT, attributes={url=/services/data/v62.0/sobjects/Account/0011B00002CZqbrQAD, type=Account}}</t>
  </si>
  <si>
    <t>Owens Corning</t>
  </si>
  <si>
    <t>a0pVT00000Cq0GLYAZ</t>
  </si>
  <si>
    <t>{PS_Sub_Region__c=Diversified Industries LE CB RHT, Name=Valvoline LLC, attributes={url=/services/data/v62.0/sobjects/Account/0011B00002CZqbrQAD, type=Account}, PS_Region_New__c=US Large Enterprise DI &amp; Mexico, Industry=Auto, SubRegion__c=US DI LE CB RHT Southeast}</t>
  </si>
  <si>
    <t>Oxford Aunts Care Ltd.</t>
  </si>
  <si>
    <t>UKI PS LE NN 2</t>
  </si>
  <si>
    <t>a0pVT00000CpzycYAB</t>
  </si>
  <si>
    <t>P. B. Bell Asset Management, Inc.</t>
  </si>
  <si>
    <t>{PS_Region_New__c=US Large Enterprise DI &amp; Mexico, Name=Valvoline LLC, attributes={url=/services/data/v62.0/sobjects/Account/0011B00002CZqbrQAD, type=Account}, Industry=Auto, PS_Sub_Region__c=Diversified Industries LE CB RHT, SubRegion__c=US DI LE CB RHT Southeast}</t>
  </si>
  <si>
    <t>Packsize LLC</t>
  </si>
  <si>
    <t>a0pVT00000Cq3itYAB</t>
  </si>
  <si>
    <t>{attributes={type=Account, url=/services/data/v62.0/sobjects/Account/0018000000x2CepAAE}, SubRegion__c=US DI ME NN MFG Northeast, PS_Sub_Region__c=ME NN MFG, Name=Chobani, LLC (Inactive Account), Industry=Consumer Goods, PS_Region_New__c=US Medium Enterprise DI}</t>
  </si>
  <si>
    <t>a0pVT00000CptwQYAR</t>
  </si>
  <si>
    <t>Panda Restaurant Group, Inc.</t>
  </si>
  <si>
    <t>{Industry=Software &amp; Platforms, PS_Region_New__c=Canada, attributes={type=Account, url=/services/data/v62.0/sobjects/Account/0011B00002Dyv39QAB}, Name=OSF Digital, PS_Sub_Region__c=Canada ME East, SubRegion__c=Canada ME East}</t>
  </si>
  <si>
    <t>a0pVT00000CpvTaYAJ</t>
  </si>
  <si>
    <t>PANDORA A/S</t>
  </si>
  <si>
    <t>{PS_Sub_Region__c=Diversified Industries LE CB TM &amp; PS, attributes={url=/services/data/v62.0/sobjects/Account/0011B00002DzqH3QAJ, type=Account}, Name=Aptive Environmental, LLC, SubRegion__c=US DI LE CB TM &amp; PS Southwest, PS_Region_New__c=US Large Enterprise DI &amp; Mexico, Industry=Business Services}</t>
  </si>
  <si>
    <t>Papa John's International, Inc.</t>
  </si>
  <si>
    <t>a0pVT00000Cq0MnYAJ</t>
  </si>
  <si>
    <t>{PS_Sub_Region__c=null, Industry=null, attributes={url=/services/data/v62.0/sobjects/Account/0011B00002FeLBQQA3, type=Account}, PS_Region_New__c=null, SubRegion__c=null, Name=Ochsner Clinic Foundation}</t>
  </si>
  <si>
    <t>Pappas Restaurants, Inc.</t>
  </si>
  <si>
    <t>a0pVT00000Cq57yYAB</t>
  </si>
  <si>
    <t>{Industry=Restaurant &amp; Food Service, PS_Sub_Region__c=ME Commercial East, SubRegion__c=US DI Commercial NN Mid-Atlantic, attributes={type=Account, url=/services/data/v62.0/sobjects/Account/001VT00000b2v89YAA}, Name=Budha Inc, PS_Region_New__c=US Medium Enterprise DI}</t>
  </si>
  <si>
    <t>a0pVT00000CppMZYAZ</t>
  </si>
  <si>
    <t>{PS_Sub_Region__c=ME Commercial East, Industry=Restaurant &amp; Food Service, PS_Region_New__c=US Medium Enterprise DI, Name=Budha Inc, SubRegion__c=US DI Commercial NN Mid-Atlantic, attributes={url=/services/data/v62.0/sobjects/Account/001VT00000b2v89YAA, type=Account}}</t>
  </si>
  <si>
    <t>Par Pacific Holdings</t>
  </si>
  <si>
    <t>a0pVT00000Cq6jyYAB</t>
  </si>
  <si>
    <t>{PS_Region_New__c=US Medium Enterprise DI, attributes={url=/services/data/v62.0/sobjects/Account/001VT00000b2v89YAA, type=Account}, Industry=Restaurant &amp; Food Service, PS_Sub_Region__c=ME Commercial East, Name=Budha Inc, SubRegion__c=US DI Commercial NN Mid-Atlantic}</t>
  </si>
  <si>
    <t>Paradise Valley Unified District</t>
  </si>
  <si>
    <t>Pats Select Pizza</t>
  </si>
  <si>
    <t>a0pVT00000CqBOgYAN</t>
  </si>
  <si>
    <t>Pattison Outdoor</t>
  </si>
  <si>
    <t>{PS_Region_New__c=US Medium Enterprise DI, attributes={url=/services/data/v62.0/sobjects/Account/001VT00000b2v89YAA, type=Account}, Industry=Restaurant &amp; Food Service, Name=Budha Inc, PS_Sub_Region__c=ME Commercial East, SubRegion__c=US DI Commercial NN Mid-Atlantic}</t>
  </si>
  <si>
    <t>Peet's Coffee</t>
  </si>
  <si>
    <t>Pegasystems Inc.</t>
  </si>
  <si>
    <t>a0pVT00000Cq0OPYAZ</t>
  </si>
  <si>
    <t>{SubRegion__c=null, attributes={url=/services/data/v62.0/sobjects/Account/0011B00002FeUyGQAV, type=Account}, PS_Sub_Region__c=null, Industry=null, Name=Insight Direct USA, Inc., PS_Region_New__c=null}</t>
  </si>
  <si>
    <t>Penske Truck Leasing Co LP</t>
  </si>
  <si>
    <t>Peppertree Hospitality Group</t>
  </si>
  <si>
    <t>a0pVT00000CpykpYAB</t>
  </si>
  <si>
    <t>{PS_Sub_Region__c=Healthcare LE, SubRegion__c=US Healthcare LE CB South, Industry=Acute Hospital / Health System, PS_Region_New__c=US Healthcare, Name=Arkansas Children's Hospital, attributes={type=Account, url=/services/data/v62.0/sobjects/Account/0018000000ggIigAAE}}</t>
  </si>
  <si>
    <t>Performance Food Group Company</t>
  </si>
  <si>
    <t>a0pVT00000CptwRYAR</t>
  </si>
  <si>
    <t>Personal Touch Landscaping</t>
  </si>
  <si>
    <t>{attributes={url=/services/data/v62.0/sobjects/Account/0011B00002GLi8EQAT, type=Account}, SubRegion__c=US DI LE NN TM &amp; PS East, PS_Region_New__c=US Large Enterprise DI &amp; Mexico, Name=U.S. Cellular Corporation, Industry=Telecom, PS_Sub_Region__c=Diversified Industries LE NN}</t>
  </si>
  <si>
    <t>a0pVT00000Cq0Q1YAJ</t>
  </si>
  <si>
    <t>{Name=U.S. Cellular Corporation, attributes={url=/services/data/v62.0/sobjects/Account/0011B00002GLi8EQAT, type=Account}, PS_Region_New__c=US Large Enterprise DI &amp; Mexico, PS_Sub_Region__c=Diversified Industries LE NN, Industry=Telecom, SubRegion__c=US DI LE NN TM &amp; PS East}</t>
  </si>
  <si>
    <t>Phillips 66</t>
  </si>
  <si>
    <t>a0pVT00000Cpr9rYAB</t>
  </si>
  <si>
    <t>{Name=C&amp;S Wholesale Grocers, LLC, SubRegion__c=US DI LE CB RHT Midwest, PS_Sub_Region__c=Diversified Industries LE CB RHT, Industry=Food &amp; Drug, attributes={url=/services/data/v62.0/sobjects/Account/0013000000KLvSYAA1, type=Account}, PS_Region_New__c=US Large Enterprise DI &amp; Mexico}</t>
  </si>
  <si>
    <t>Pike Enterprises, LLC</t>
  </si>
  <si>
    <t>a0pVT00000Cq6QbYAJ</t>
  </si>
  <si>
    <t>{PS_Region_New__c=US Medium Enterprise DI, SubRegion__c=US DI ME NN PBS Central, Industry=Professional Services, Name=LeadPoint, attributes={type=Account, url=/services/data/v62.0/sobjects/Account/0014X00002ltVjIQAU}, PS_Sub_Region__c=ME NN PBS}</t>
  </si>
  <si>
    <t>a0pVT00000Cq3pLYAR</t>
  </si>
  <si>
    <t>{Industry=Professional Services, Name=LeadPoint, PS_Region_New__c=US Medium Enterprise DI, SubRegion__c=US DI ME NN PBS Central, PS_Sub_Region__c=ME NN PBS, attributes={type=Account, url=/services/data/v62.0/sobjects/Account/0014X00002ltVjIQAU}}</t>
  </si>
  <si>
    <t>a0pVT00000Cq6ooYAB</t>
  </si>
  <si>
    <t>{PS_Sub_Region__c=Singapore CB, SubRegion__c=Singapore CB, Name=Scoot Pte. Ltd., Industry=Travel &amp; Hospitality, PS_Region_New__c=ASEAN, attributes={type=Account, url=/services/data/v62.0/sobjects/Account/001800000171hbjAAA}}</t>
  </si>
  <si>
    <t>Pivot Workforce</t>
  </si>
  <si>
    <t>a0pVT00000Cq0UrYAJ</t>
  </si>
  <si>
    <t>Pizza Hut, Inc.</t>
  </si>
  <si>
    <t>{SubRegion__c=null, attributes={url=/services/data/v62.0/sobjects/Account/0011B00002GNSBKQA5, type=Account}, Name=Hewlett Packard Enterprise Company, PS_Region_New__c=null, Industry=null, PS_Sub_Region__c=null}</t>
  </si>
  <si>
    <t>PKY Corporation</t>
  </si>
  <si>
    <t>a0pVT00000Cq0WTYAZ</t>
  </si>
  <si>
    <t>{Industry=Non-Profit, attributes={type=Account, url=/services/data/v62.0/sobjects/Account/0011B00002GNaLoQAL}, PS_Region_New__c=US SLED, Name=Cadence Education, LLC, SubRegion__c=US NFP NN West, PS_Sub_Region__c=Higher Education LE}</t>
  </si>
  <si>
    <t>Plante &amp; Moran PLLC</t>
  </si>
  <si>
    <t>Plastipak Packaging, Inc.</t>
  </si>
  <si>
    <t>a0pVT00000Cq5zBYAR</t>
  </si>
  <si>
    <t>{Industry=Automotive Rental and Leasing, SubRegion__c=US DI ME NN RHT Central, PS_Region_New__c=US Medium Enterprise DI, Name=JX Enterprises, PS_Sub_Region__c=ME NN RHT East, attributes={type=Account, url=/services/data/v62.0/sobjects/Account/0014X00002aVB9IQAW}}</t>
  </si>
  <si>
    <t>Platinum Supplemental Insurance</t>
  </si>
  <si>
    <t>a0pVT00000CppWEYAZ</t>
  </si>
  <si>
    <t>{SubRegion__c=US DI LE NN TM &amp; PS West, PS_Region_New__c=US Large Enterprise DI &amp; Mexico, attributes={url=/services/data/v62.0/sobjects/Account/0011B00002H5dExQAJ, type=Account}, Name=Sport Clips, PS_Sub_Region__c=Diversified Industries LE NN, Industry=Business Services}</t>
  </si>
  <si>
    <t>Polycom, Inc. (Inactive Account)</t>
  </si>
  <si>
    <t>a0pVT00000CpsfOYAR</t>
  </si>
  <si>
    <t>Portillo's Hot Dogs, LLC</t>
  </si>
  <si>
    <t>{PS_Region_New__c=US Large Enterprise DI &amp; Mexico, attributes={url=/services/data/v62.0/sobjects/Account/0011B00002H5dExQAJ, type=Account}, Industry=Business Services, PS_Sub_Region__c=Diversified Industries LE NN, SubRegion__c=US DI LE NN TM &amp; PS West, Name=Sport Clips}</t>
  </si>
  <si>
    <t>a0pVT00000Cq0ZhYAJ</t>
  </si>
  <si>
    <t>{attributes={type=Account, url=/services/data/v62.0/sobjects/Account/0011B00002H9ECYQA3}, PS_Sub_Region__c=ME NN TM &amp; RHT West, SubRegion__c=US DI ME NN TM East, Name=Misfits Market, Inc., Industry=Software &amp; Platforms, PS_Region_New__c=US Medium Enterprise DI}</t>
  </si>
  <si>
    <t>a0pVT00000Cpu9KYAR</t>
  </si>
  <si>
    <t>PPG Industries, Inc.</t>
  </si>
  <si>
    <t>{SubRegion__c=US DI ME NN TM East, PS_Sub_Region__c=ME NN TM &amp; RHT West, Name=Misfits Market, Inc., Industry=Software &amp; Platforms, attributes={url=/services/data/v62.0/sobjects/Account/0011B00002H9ECYQA3, type=Account}, PS_Region_New__c=US Medium Enterprise DI}</t>
  </si>
  <si>
    <t>Premier Healthcare Solutions, Inc.</t>
  </si>
  <si>
    <t>a0pVT00000CpqaMYAR</t>
  </si>
  <si>
    <t>Premier Roofing</t>
  </si>
  <si>
    <t>{PS_Region_New__c=US Medium Enterprise DI, Name=Regis Corporation, Industry=Other Retail, attributes={type=Account, url=/services/data/v62.0/sobjects/Account/0013000000L1v4NAAR}, SubRegion__c=US DI Commercial NN Central, PS_Sub_Region__c=ME Commercial West}</t>
  </si>
  <si>
    <t>Prime Communications, L.P.</t>
  </si>
  <si>
    <t>a0pVT00000Cq3njYAB</t>
  </si>
  <si>
    <t>{PS_Sub_Region__c=ME Commercial West, Industry=Other Retail, Name=Regis Corporation, PS_Region_New__c=US Medium Enterprise DI, SubRegion__c=US DI Commercial NN Central, attributes={url=/services/data/v62.0/sobjects/Account/0013000000L1v4NAAR, type=Account}}</t>
  </si>
  <si>
    <t>Pro Em Party and Event Rentals, LLC</t>
  </si>
  <si>
    <t>Procare HR - MSP</t>
  </si>
  <si>
    <t>a0pVT00000Cq1p8YAB</t>
  </si>
  <si>
    <t>Trending favorably in Architect Stage</t>
  </si>
  <si>
    <t>Procore Technologies Inc.</t>
  </si>
  <si>
    <t>{Name=Regis Corporation, PS_Sub_Region__c=ME Commercial West, attributes={url=/services/data/v62.0/sobjects/Account/0013000000L1v4NAAR, type=Account}, SubRegion__c=US DI Commercial NN Central, PS_Region_New__c=US Medium Enterprise DI, Industry=Other Retail}</t>
  </si>
  <si>
    <t>Progress Residential</t>
  </si>
  <si>
    <t>a0pVT00000CpkjUYAR</t>
  </si>
  <si>
    <t>{PS_Sub_Region__c=ME Commercial West, SubRegion__c=US DI Commercial NN Central, Name=Regis Corporation, PS_Region_New__c=US Medium Enterprise DI, attributes={url=/services/data/v62.0/sobjects/Account/0013000000L1v4NAAR, type=Account}, Industry=Other Retail}</t>
  </si>
  <si>
    <t>ProHealth Care, Inc.</t>
  </si>
  <si>
    <t>a0pVT00000Cq4obYAB</t>
  </si>
  <si>
    <t>Project Lead The Way, Inc.</t>
  </si>
  <si>
    <t>{PS_Region_New__c=US Medium Enterprise DI, Industry=Other Retail, SubRegion__c=US DI Commercial NN Central, PS_Sub_Region__c=ME Commercial West, Name=Regis Corporation, attributes={type=Account, url=/services/data/v62.0/sobjects/Account/0013000000L1v4NAAR}}</t>
  </si>
  <si>
    <t>ProPharma Group, LLC</t>
  </si>
  <si>
    <t>a0pVT00000CpvNAYAZ</t>
  </si>
  <si>
    <t>{PS_Sub_Region__c=Diversified Industries LE NN, Name=Verano Holdings LLC, Industry=Softlines, attributes={type=Account, url=/services/data/v62.0/sobjects/Account/0014X00002XIxZdQAL}, PS_Region_New__c=US Large Enterprise DI &amp; Mexico, SubRegion__c=US DI LE NN RHT South}</t>
  </si>
  <si>
    <t>a0pVT00000Cq4S3YAJ</t>
  </si>
  <si>
    <t>Prosser Memorial Health Hospital</t>
  </si>
  <si>
    <t>{SubRegion__c=US DI LE NN RHT North, PS_Sub_Region__c=Diversified Industries LE NN, Name=Festival Foods, Industry=Food &amp; Drug, attributes={url=/services/data/v62.0/sobjects/Account/0018000000qYo8PAAS, type=Account}, PS_Region_New__c=US Large Enterprise DI &amp; Mexico}</t>
  </si>
  <si>
    <t>pSemi Corporation (Inactive Account)</t>
  </si>
  <si>
    <t>Public Storage</t>
  </si>
  <si>
    <t>a0pVT00000Cq0bJYAR</t>
  </si>
  <si>
    <t>{PS_Region_New__c=ASEAN, SubRegion__c=Singapore NN, attributes={url=/services/data/v62.0/sobjects/Account/0011B00002H9WSFQA3, type=Account}, PS_Sub_Region__c=Singapore NN, Name=Shiseido Asia Pacific Pte Ltd, Industry=Softlines}</t>
  </si>
  <si>
    <t>CM 8/21, Design phase in process, Technical Resource staffing still in process.</t>
  </si>
  <si>
    <t>QSR Pty Limited</t>
  </si>
  <si>
    <t>Qualcomm Incorporated</t>
  </si>
  <si>
    <t>a0pVT00000Cq0cvYAB</t>
  </si>
  <si>
    <t>Quality Restaurant Group, LLC</t>
  </si>
  <si>
    <t>{SubRegion__c=Singapore NN, PS_Region_New__c=ASEAN, attributes={url=/services/data/v62.0/sobjects/Account/0011B00002H9WSFQA3, type=Account}, Industry=Softlines, Name=Shiseido Asia Pacific Pte Ltd, PS_Sub_Region__c=Singapore NN}</t>
  </si>
  <si>
    <t>Quantum Health, Inc.</t>
  </si>
  <si>
    <t>QVC Group, Inc.</t>
  </si>
  <si>
    <t>a0pVT00000CpQ1aYAF</t>
  </si>
  <si>
    <t>{SubRegion__c=Singapore NN, attributes={url=/services/data/v62.0/sobjects/Account/0011B00002Hjn8YQAR, type=Account}, PS_Sub_Region__c=Singapore NN, Industry=Sea and Water Transportation, Name=Ocean Network Express Pte. Ltd, PS_Region_New__c=ASEAN}</t>
  </si>
  <si>
    <t>Radisson Hospitality, Inc. (Inactive Account)</t>
  </si>
  <si>
    <t>Rady Children's Health</t>
  </si>
  <si>
    <t>Raising Cane's Restaurants, LLC</t>
  </si>
  <si>
    <t>a0pVT00000Cq0g9YAB</t>
  </si>
  <si>
    <t>Rakuten Asia Pte Ltd</t>
  </si>
  <si>
    <t>{PS_Sub_Region__c=Singapore NN, PS_Region_New__c=ASEAN, Industry=Sea and Water Transportation, attributes={type=Account, url=/services/data/v62.0/sobjects/Account/0011B00002Hjn8YQAR}, SubRegion__c=Singapore NN, Name=Ocean Network Express Pte. Ltd}</t>
  </si>
  <si>
    <t>Rayus Radiology</t>
  </si>
  <si>
    <t>a0pVT00000Cq25FYAR</t>
  </si>
  <si>
    <t>{PS_Sub_Region__c=Diversified Industries LE CB RHT, Industry=Softlines, Name=Kohl's, Inc., attributes={type=Account, url=/services/data/v62.0/sobjects/Account/0013000000IHbqFAAT}, SubRegion__c=US DI LE CB RHT Central, PS_Region_New__c=US Large Enterprise DI &amp; Mexico}</t>
  </si>
  <si>
    <t>Real Artisan Brands, LLC</t>
  </si>
  <si>
    <t>a0pVT00000CpvJyYAJ</t>
  </si>
  <si>
    <t>{PS_Sub_Region__c=Local Government LE, Industry=State &amp; Local Government, SubRegion__c=US State Gov East, PS_Region_New__c=US SLED, Name=Michigan Department of Transportation, attributes={url=/services/data/v62.0/sobjects/Account/0011B00002HkCQWQA3, type=Account}}</t>
  </si>
  <si>
    <t>realestate.com.au Pty Ltd</t>
  </si>
  <si>
    <t>a0pVT00000Cpxf4YAB</t>
  </si>
  <si>
    <t>{PS_Region_New__c=US SLED, attributes={url=/services/data/v62.0/sobjects/Account/0011B00002HkCQWQA3, type=Account}, SubRegion__c=US State Gov East, Industry=State &amp; Local Government, PS_Sub_Region__c=Local Government LE, Name=Michigan Department of Transportation}</t>
  </si>
  <si>
    <t>Redner's Markets, Inc</t>
  </si>
  <si>
    <t>Refresco North America</t>
  </si>
  <si>
    <t>a0pVT00000Cq0GMYAZ</t>
  </si>
  <si>
    <t>00130000008MSE5AAO</t>
  </si>
  <si>
    <t>{PS_Sub_Region__c=Diversified Industries LE CB MFG, attributes={url=/services/data/v62.0/sobjects/Account/00130000008MSE5AAO, type=Account}, PS_Region_New__c=US Large Enterprise DI &amp; Mexico, Name=KLA Corporation, Industry=High Technology, SubRegion__c=US DI LE CB MFG West}</t>
  </si>
  <si>
    <t>a0pVT00000CpkjSYAR</t>
  </si>
  <si>
    <t>Regis Corporation</t>
  </si>
  <si>
    <t>{PS_Sub_Region__c=Diversified Industries LE CB MFG, Name=KLA Corporation, SubRegion__c=US DI LE CB MFG West, Industry=High Technology, PS_Region_New__c=US Large Enterprise DI &amp; Mexico, attributes={type=Account, url=/services/data/v62.0/sobjects/Account/00130000008MSE5AAO}}</t>
  </si>
  <si>
    <t>Rent A Center, Texas L.P.</t>
  </si>
  <si>
    <t>a0pVT00000CprMkYAJ</t>
  </si>
  <si>
    <t>{PS_Sub_Region__c=Diversified Industries LE CB MFG, SubRegion__c=US DI LE CB MFG West, Name=KLA Corporation, Industry=High Technology, PS_Region_New__c=US Large Enterprise DI &amp; Mexico, attributes={url=/services/data/v62.0/sobjects/Account/00130000008MSE5AAO, type=Account}}</t>
  </si>
  <si>
    <t>Republic Airways Inc.</t>
  </si>
  <si>
    <t>a0pVT00000Cpq47YAB</t>
  </si>
  <si>
    <t>{PS_Region_New__c=US Large Enterprise DI &amp; Mexico, SubRegion__c=US DI Key Accounts TM &amp; PS, Name=Cox Corporate Services, Inc., Industry=Telecom, attributes={type=Account, url=/services/data/v62.0/sobjects/Account/00130000008NNFcAAO}, PS_Sub_Region__c=Diversified Industries Key Accounts}</t>
  </si>
  <si>
    <t>Reserve Bank of Australia (RBA)</t>
  </si>
  <si>
    <t>Restaurant Brands New Zealand Limited</t>
  </si>
  <si>
    <t>a0pVT00000Cq5r9YAB</t>
  </si>
  <si>
    <t>{PS_Sub_Region__c=Healthcare LE, attributes={url=/services/data/v62.0/sobjects/Account/0018000000fj4T4AAI, type=Account}, Name=Ballad Health, SubRegion__c=US Healthcare LE NN Central, Industry=Acute Hospital / Health System, PS_Region_New__c=US Healthcare}</t>
  </si>
  <si>
    <t>Resultscx</t>
  </si>
  <si>
    <t>REV Group, Inc.</t>
  </si>
  <si>
    <t>a0pVT00000Cq8CHYAZ</t>
  </si>
  <si>
    <t>{PS_Region_New__c=US Healthcare, Industry=Acute Hospital / Health System, attributes={url=/services/data/v62.0/sobjects/Account/0018000000fj4T4AAI, type=Account}, SubRegion__c=US Healthcare LE NN Central, Name=Ballad Health, PS_Sub_Region__c=Healthcare LE}</t>
  </si>
  <si>
    <t>Rexall</t>
  </si>
  <si>
    <t>a0pVT00000Cps99YAB</t>
  </si>
  <si>
    <t>Reyes Holdings, L.L.C.</t>
  </si>
  <si>
    <t>{PS_Sub_Region__c=Healthcare LE, PS_Region_New__c=US Healthcare, Name=Ballad Health, attributes={url=/services/data/v62.0/sobjects/Account/0018000000fj4T4AAI, type=Account}, Industry=Acute Hospital / Health System, SubRegion__c=US Healthcare LE NN Central}</t>
  </si>
  <si>
    <t>RFPIO Inc. d/b/a Responsive</t>
  </si>
  <si>
    <t>a0pVT00000Cq8XGYAZ</t>
  </si>
  <si>
    <t>{attributes={type=Account, url=/services/data/v62.0/sobjects/Account/0018000000tiRFiAAM}, PS_Sub_Region__c=ANZ AU LE, Industry=Telecom, SubRegion__c=ANZ AU LE CB, Name=Telstra Limited, PS_Region_New__c=ANZ}</t>
  </si>
  <si>
    <t>Richemont North America, Inc</t>
  </si>
  <si>
    <t>a0pVT00000Cpxf5YAB</t>
  </si>
  <si>
    <t>Ripley’s Niagara Water Park Ltd. (Great Wolf Lodge - Niagara)</t>
  </si>
  <si>
    <t>{Industry=Restaurant &amp; Food Service, PS_Sub_Region__c=Diversified Industries LE NN, attributes={url=/services/data/v62.0/sobjects/Account/00130000008NNFfAAO, type=Account}, PS_Region_New__c=US Large Enterprise DI &amp; Mexico, SubRegion__c=US DI LE NN RHT South, Name=Darden Restaurants, Inc.}</t>
  </si>
  <si>
    <t>a0pVT00000CprcsYAB</t>
  </si>
  <si>
    <t>Rise Services Inc</t>
  </si>
  <si>
    <t>Risepoint, LLC</t>
  </si>
  <si>
    <t>{SubRegion__c=US DI LE NN RHT South, PS_Sub_Region__c=Diversified Industries LE NN, Name=Darden Restaurants, Inc., Industry=Restaurant &amp; Food Service, attributes={url=/services/data/v62.0/sobjects/Account/00130000008NNFfAAO, type=Account}, PS_Region_New__c=US Large Enterprise DI &amp; Mexico}</t>
  </si>
  <si>
    <t>Ritter Insurance Marketing, LLC</t>
  </si>
  <si>
    <t>Roadrunner Food Bank Inc</t>
  </si>
  <si>
    <t>a0pVT00000CpsPGYAZ</t>
  </si>
  <si>
    <t>{PS_Sub_Region__c=Diversified Industries LE NN, attributes={url=/services/data/v62.0/sobjects/Account/00130000008NNFfAAO, type=Account}, SubRegion__c=US DI LE NN RHT South, Name=Darden Restaurants, Inc., PS_Region_New__c=US Large Enterprise DI &amp; Mexico, Industry=Restaurant &amp; Food Service}</t>
  </si>
  <si>
    <t>Rochester Regional Health</t>
  </si>
  <si>
    <t>Rockwell Automation, Inc.</t>
  </si>
  <si>
    <t>a0pVT00000CpvjjYAB</t>
  </si>
  <si>
    <t>{PS_Region_New__c=US Large Enterprise DI &amp; Mexico, Industry=Restaurant &amp; Food Service, Name=Darden Restaurants, Inc., PS_Sub_Region__c=Diversified Industries LE NN, SubRegion__c=US DI LE NN RHT South, attributes={type=Account, url=/services/data/v62.0/sobjects/Account/00130000008NNFfAAO}}</t>
  </si>
  <si>
    <t>Rocky Mountain Assisted Living</t>
  </si>
  <si>
    <t>ROIG Lawyers</t>
  </si>
  <si>
    <t>a0pVT00000Cq0oDYAR</t>
  </si>
  <si>
    <t>{Name=Federal Express Corporation, PS_Region_New__c=US Large Enterprise DI &amp; Mexico, attributes={type=Account, url=/services/data/v62.0/sobjects/Account/00130000008NNFpAAO}, Industry=Couriers &amp; Express Delivery Services, SubRegion__c=US DI Key Accounts TM &amp; PS, PS_Sub_Region__c=Diversified Industries Key Accounts}</t>
  </si>
  <si>
    <t>a0pVT00000CpxAQYAZ</t>
  </si>
  <si>
    <t>Room Choice, Inc</t>
  </si>
  <si>
    <t>{PS_Sub_Region__c=Diversified Industries Key Accounts, attributes={type=Account, url=/services/data/v62.0/sobjects/Account/00130000008NNFpAAO}, PS_Region_New__c=US Large Enterprise DI &amp; Mexico, Industry=Couriers &amp; Express Delivery Services, Name=Federal Express Corporation, SubRegion__c=US DI Key Accounts TM &amp; PS}</t>
  </si>
  <si>
    <t>RSL Lifecare Limited</t>
  </si>
  <si>
    <t>a0pVT00000Cq0ppYAB</t>
  </si>
  <si>
    <t>Rutgers University-New Brunswick</t>
  </si>
  <si>
    <t>{attributes={url=/services/data/v62.0/sobjects/Account/00130000008NNFpAAO, type=Account}, PS_Sub_Region__c=Diversified Industries Key Accounts, Name=Federal Express Corporation, Industry=Couriers &amp; Express Delivery Services, PS_Region_New__c=US Large Enterprise DI &amp; Mexico, SubRegion__c=US DI Key Accounts TM &amp; PS}</t>
  </si>
  <si>
    <t>Safe Homecare</t>
  </si>
  <si>
    <t>a0pVT00000CpnUQYAZ</t>
  </si>
  <si>
    <t>Safelite Group</t>
  </si>
  <si>
    <t>{PS_Region_New__c=US Large Enterprise DI &amp; Mexico, Name=Federal Express Corporation, SubRegion__c=US DI Key Accounts TM &amp; PS, PS_Sub_Region__c=Diversified Industries Key Accounts, attributes={type=Account, url=/services/data/v62.0/sobjects/Account/00130000008NNFpAAO}, Industry=Couriers &amp; Express Delivery Services}</t>
  </si>
  <si>
    <t>Sagora Senior</t>
  </si>
  <si>
    <t>a0pVT00000CpnEJYAZ</t>
  </si>
  <si>
    <t>{PS_Sub_Region__c=Diversified Industries Key Accounts, SubRegion__c=US DI Key Accounts TM &amp; PS, Name=Federal Express Corporation, Industry=Couriers &amp; Express Delivery Services, PS_Region_New__c=US Large Enterprise DI &amp; Mexico, attributes={url=/services/data/v62.0/sobjects/Account/00130000008NNFpAAO, type=Account}}</t>
  </si>
  <si>
    <t>Saia Inc.</t>
  </si>
  <si>
    <t>a0pVT00000CpvN9YAJ</t>
  </si>
  <si>
    <t>{Industry=Hardlines, Name=Lowe's Companies, Inc., PS_Sub_Region__c=Diversified Industries Key Accounts, SubRegion__c=US DI Key Accounts RHT, PS_Region_New__c=US Large Enterprise DI &amp; Mexico, attributes={url=/services/data/v62.0/sobjects/Account/00130000008NNGhAAO, type=Account}}</t>
  </si>
  <si>
    <t>a0pVT00000CpuEBYAZ</t>
  </si>
  <si>
    <t>{SubRegion__c=US DI Key Accounts RHT, Name=Lowe's Companies, Inc., PS_Region_New__c=US Large Enterprise DI &amp; Mexico, attributes={type=Account, url=/services/data/v62.0/sobjects/Account/00130000008NNGhAAO}, Industry=Hardlines, PS_Sub_Region__c=Diversified Industries Key Accounts}</t>
  </si>
  <si>
    <t>Saint Elizabeth Health Care</t>
  </si>
  <si>
    <t>a0pVT00000CpoVOYAZ</t>
  </si>
  <si>
    <t>{Industry=Investment Management, Name=Osaic, Inc., PS_Sub_Region__c=FSI ME CB, SubRegion__c=US FSI ME CB West, attributes={url=/services/data/v62.0/sobjects/Account/0018000001OT0YQAA1, type=Account}, PS_Region_New__c=US FSI}</t>
  </si>
  <si>
    <t>Saint Francis Healthcare System</t>
  </si>
  <si>
    <t>a0pVT00000Cq2TTYAZ</t>
  </si>
  <si>
    <t>{PS_Sub_Region__c=FSI ME CB, Industry=Investment Management, Name=Osaic, Inc., SubRegion__c=US FSI ME CB West, PS_Region_New__c=US FSI, attributes={type=Account, url=/services/data/v62.0/sobjects/Account/0018000001OT0YQAA1}}</t>
  </si>
  <si>
    <t>Saint Luke’s Health System, Inc.</t>
  </si>
  <si>
    <t>a0pVT00000Cq0rRYAR</t>
  </si>
  <si>
    <t>Salesforce, Inc.</t>
  </si>
  <si>
    <t>{PS_Sub_Region__c=Diversified Industries Key Accounts, SubRegion__c=US DI Key Accounts RHT, Industry=Softlines, PS_Region_New__c=US Large Enterprise DI &amp; Mexico, Name=NIKE, Inc., attributes={type=Account, url=/services/data/v62.0/sobjects/Account/00130000008NNH1AAO}}</t>
  </si>
  <si>
    <t>Samaritan Hospital</t>
  </si>
  <si>
    <t>a0pVT00000Cpv2AYAR</t>
  </si>
  <si>
    <t>{PS_Sub_Region__c=Alps, Industry=Healthcare Manufacturing, Name=Novartis Pharma AG, PS_Region_New__c=DACH, attributes={url=/services/data/v62.0/sobjects/Account/0018000000rNxYOAA0, type=Account}, SubRegion__c=Alps LE CB}</t>
  </si>
  <si>
    <t>Sanctuary Camelback Mountain Resort &amp; Spa</t>
  </si>
  <si>
    <t>a0pVT00000Cq8vRYAR</t>
  </si>
  <si>
    <t>{SubRegion__c=Alps LE CB, PS_Sub_Region__c=Alps, attributes={url=/services/data/v62.0/sobjects/Account/0018000000rNxYOAA0, type=Account}, Industry=Healthcare Manufacturing, PS_Region_New__c=DACH, Name=Novartis Pharma AG}</t>
  </si>
  <si>
    <t>SAP SE</t>
  </si>
  <si>
    <t>a0pVT00000Cpfa7YAB</t>
  </si>
  <si>
    <t>{PS_Region_New__c=US Large Enterprise DI &amp; Mexico, Name=USR Parent Inc (Inactive Account), SubRegion__c=US DI LE NN RHT North, PS_Sub_Region__c=Diversified Industries LE NN, attributes={type=Account, url=/services/data/v62.0/sobjects/Account/00130000008NNHZAA4}, Industry=Hardlines}</t>
  </si>
  <si>
    <t>Saucy! by KFC</t>
  </si>
  <si>
    <t>a0pVT00000Cq0MoYAJ</t>
  </si>
  <si>
    <t>{attributes={type=Account, url=/services/data/v62.0/sobjects/Account/00130000008NNHZAA4}, SubRegion__c=US DI LE NN RHT North, PS_Sub_Region__c=Diversified Industries LE NN, Name=USR Parent Inc (Inactive Account), Industry=Hardlines, PS_Region_New__c=US Large Enterprise DI &amp; Mexico}</t>
  </si>
  <si>
    <t>Savista, LLC</t>
  </si>
  <si>
    <t>SBA Network Services, LLC</t>
  </si>
  <si>
    <t>a0pVT00000CpmIFYAZ</t>
  </si>
  <si>
    <t>{PS_Region_New__c=Corporate, Name=Workday, PS_Sub_Region__c=Corporate, Industry=Software &amp; Platforms, attributes={type=Account, url=/services/data/v62.0/sobjects/Account/0013000000DRfRTAA1}, SubRegion__c=Corporate}</t>
  </si>
  <si>
    <t>Schindler Elevator - Germany</t>
  </si>
  <si>
    <t>a0pVT00000CpnfiYAB</t>
  </si>
  <si>
    <t>Schindler Elevator Corporation</t>
  </si>
  <si>
    <t>{Industry=Insurance, PS_Region_New__c=US FSI, attributes={url=/services/data/v62.0/sobjects/Account/0013000000GbKjaAAF, type=Account}, SubRegion__c=US FSI LE West, Name=American Family Mutual Insurance Company, S.I., PS_Sub_Region__c=FSI LE}</t>
  </si>
  <si>
    <t>School Operations Services Group Inc.</t>
  </si>
  <si>
    <t>a0pVT00000Cq537YAB</t>
  </si>
  <si>
    <t>{PS_Sub_Region__c=Diversified Industries LE NN, SubRegion__c=US DI LE NN RHT North, Industry=Hardlines, PS_Region_New__c=US Large Enterprise DI &amp; Mexico, attributes={url=/services/data/v62.0/sobjects/Account/0014X00002K6TmYQAV, type=Account}, Name=W.W. Grainger, Inc.}</t>
  </si>
  <si>
    <t>Schurz Communications, Inc.</t>
  </si>
  <si>
    <t>a0lVT000005UQa5YAG</t>
  </si>
  <si>
    <t>0031B00002kQ3djQAC</t>
  </si>
  <si>
    <t>a0pVT00000Cpty6YAB</t>
  </si>
  <si>
    <t>Marlou Zeijdel</t>
  </si>
  <si>
    <t>marlou.n.zeijdel@workday.com</t>
  </si>
  <si>
    <t>Scientific Games, LLC</t>
  </si>
  <si>
    <t>{attributes={url=/services/data/v62.0/sobjects/Account/0018000000kuQjgAAE, type=Account}, PS_Region_New__c=US SLED, Industry=Education (K-12), SubRegion__c=US Local Gov ME NN West, Name=Paradise Valley Unified District, PS_Sub_Region__c=Local Government ME}</t>
  </si>
  <si>
    <t>a0lVT0000060baRYAQ</t>
  </si>
  <si>
    <t>003VT00000f2gZqYAI</t>
  </si>
  <si>
    <t>Adrian Pietrowski</t>
  </si>
  <si>
    <t>adrian.pietrowski@bayer.com</t>
  </si>
  <si>
    <t>a0lVT0000060baSYAQ</t>
  </si>
  <si>
    <t>003VT00000LPyOHYA1</t>
  </si>
  <si>
    <t>Christine Woetzel</t>
  </si>
  <si>
    <t>christine.woetzel@bayer.com</t>
  </si>
  <si>
    <t>a0pVT00000Cq8LyYAJ</t>
  </si>
  <si>
    <t>a0lVT0000060baQYAQ</t>
  </si>
  <si>
    <t>Scissors &amp; Scotch</t>
  </si>
  <si>
    <t>003VT00000Ftd1kYAB</t>
  </si>
  <si>
    <t>Alice Hauke</t>
  </si>
  <si>
    <t>alice.hauke@bayer.com</t>
  </si>
  <si>
    <t>{PS_Sub_Region__c=ME CB PBS, Name=Risepoint, LLC, SubRegion__c=US DI ME CB PBS Southeast, PS_Region_New__c=US Medium Enterprise DI, attributes={type=Account, url=/services/data/v62.0/sobjects/Account/0018000001BNUoMAAX}, Industry=Professional Services}</t>
  </si>
  <si>
    <t>a0lVT0000060baPYAQ</t>
  </si>
  <si>
    <t>0034X00003RDcUKQA1</t>
  </si>
  <si>
    <t>Julia Lamb</t>
  </si>
  <si>
    <t>julia.lamb@bayer.com</t>
  </si>
  <si>
    <t>a0lVT000005m7vlYAA</t>
  </si>
  <si>
    <t>a0pVT00000CpnCjYAJ</t>
  </si>
  <si>
    <t>0031B00002q3LgIQAU</t>
  </si>
  <si>
    <t>Cezary Dmowski</t>
  </si>
  <si>
    <t>cezary.dmowski@workday.com</t>
  </si>
  <si>
    <t>{PS_Region_New__c=US Medium Enterprise DI, SubRegion__c=US DI ME CB PBS Southeast, Industry=Professional Services, attributes={type=Account, url=/services/data/v62.0/sobjects/Account/0018000001BNUoMAAX}, PS_Sub_Region__c=ME CB PBS, Name=Risepoint, LLC}</t>
  </si>
  <si>
    <t>a0lVT000005sSajYAE</t>
  </si>
  <si>
    <t>0034X00002vpqX5QAI</t>
  </si>
  <si>
    <t>William Warren</t>
  </si>
  <si>
    <t>Sedgwick Claims Management Services, Inc.</t>
  </si>
  <si>
    <t>william.warren@bayer.com</t>
  </si>
  <si>
    <t>a0lVT000005tlxtYAA</t>
  </si>
  <si>
    <t>0038000002EwGWnAAN</t>
  </si>
  <si>
    <t>Stephen Birchmore</t>
  </si>
  <si>
    <t>a0pVT00000Cq0ufYAB</t>
  </si>
  <si>
    <t>stephen.birchmore@workday.com</t>
  </si>
  <si>
    <t>a0lVT0000069g4bYAA</t>
  </si>
  <si>
    <t>003VT00000fV4MIYA0</t>
  </si>
  <si>
    <t>{PS_Region_New__c=US Large Enterprise DI &amp; Mexico, Industry=Auto Manufacturing, Name=General Motors Holdings LLC, SubRegion__c=US DI Key Accounts MFG, PS_Sub_Region__c=Diversified Industries Key Accounts, attributes={url=/services/data/v62.0/sobjects/Account/0013000000GbilDAAR, type=Account}}</t>
  </si>
  <si>
    <t>William Morandière Bellino</t>
  </si>
  <si>
    <t>william.morandiere@workday.com</t>
  </si>
  <si>
    <t>Sgt Clean's Car Wash</t>
  </si>
  <si>
    <t>a0pVT00000CpyBMYAZ</t>
  </si>
  <si>
    <t>Shake Shack Enterprises, LLC</t>
  </si>
  <si>
    <t>{attributes={url=/services/data/v62.0/sobjects/Account/0013000000GbilDAAR, type=Account}, SubRegion__c=US DI Key Accounts MFG, PS_Sub_Region__c=Diversified Industries Key Accounts, Name=General Motors Holdings LLC, Industry=Auto Manufacturing, PS_Region_New__c=US Large Enterprise DI &amp; Mexico}</t>
  </si>
  <si>
    <t>Shakopee Mdewakanton Sioux Community</t>
  </si>
  <si>
    <t>a0pVT00000Cq0eYYAR</t>
  </si>
  <si>
    <t>{SubRegion__c=US DI Key Accounts MFG, PS_Region_New__c=US Large Enterprise DI &amp; Mexico, Name=General Motors Holdings LLC, attributes={url=/services/data/v62.0/sobjects/Account/0013000000GbilDAAR, type=Account}, PS_Sub_Region__c=Diversified Industries Key Accounts, Industry=Auto Manufacturing}</t>
  </si>
  <si>
    <t>Shamrock Foods Company</t>
  </si>
  <si>
    <t>a0pVT00000Cq0wHYAR</t>
  </si>
  <si>
    <t>{Name=General Motors Holdings LLC, PS_Region_New__c=US Large Enterprise DI &amp; Mexico, SubRegion__c=US DI Key Accounts MFG, Industry=Auto Manufacturing, attributes={type=Account, url=/services/data/v62.0/sobjects/Account/0013000000GbilDAAR}, PS_Sub_Region__c=Diversified Industries Key Accounts}</t>
  </si>
  <si>
    <t>a0pVT00000CpsfPYAR</t>
  </si>
  <si>
    <t>{Name=General Motors Holdings LLC, Industry=Auto Manufacturing, PS_Region_New__c=US Large Enterprise DI &amp; Mexico, SubRegion__c=US DI Key Accounts MFG, PS_Sub_Region__c=Diversified Industries Key Accounts, attributes={type=Account, url=/services/data/v62.0/sobjects/Account/0013000000GbilDAAR}}</t>
  </si>
  <si>
    <t>Shared Technology Services Group LLC</t>
  </si>
  <si>
    <t>Sharp HealthCare</t>
  </si>
  <si>
    <t>a0pVT00000Cq3m6YAB</t>
  </si>
  <si>
    <t>{Industry=Software &amp; Platforms, PS_Region_New__c=US Large Enterprise DI &amp; Mexico, Name=CDK Global, LLC, SubRegion__c=US DI LE CB TM &amp; PS Midwest, PS_Sub_Region__c=Diversified Industries LE CB TM &amp; PS, attributes={type=Account, url=/services/data/v62.0/sobjects/Account/0018000001Jh1F9AAJ}}</t>
  </si>
  <si>
    <t>Shelby County Schools Alabama</t>
  </si>
  <si>
    <t>US Local Gov ME NN East</t>
  </si>
  <si>
    <t>a0pVT00000Cq5eEYAR</t>
  </si>
  <si>
    <t>Shiseido Asia Pacific Pte Ltd</t>
  </si>
  <si>
    <t>{Name=CDK Global, LLC, SubRegion__c=US DI LE CB TM &amp; PS Midwest, PS_Sub_Region__c=Diversified Industries LE CB TM &amp; PS, PS_Region_New__c=US Large Enterprise DI &amp; Mexico, Industry=Software &amp; Platforms, attributes={type=Account, url=/services/data/v62.0/sobjects/Account/0018000001Jh1F9AAJ}}</t>
  </si>
  <si>
    <t>Sidney Health Center</t>
  </si>
  <si>
    <t>a0pVT00000CpsdmYAB</t>
  </si>
  <si>
    <t>{PS_Sub_Region__c=Healthcare LE, Name=The Children's Hospital Corporation, d/b/a Boston Children's Hospital, SubRegion__c=US Healthcare LE CB East, PS_Region_New__c=US Healthcare, Industry=Acute Hospital / Health System, attributes={type=Account, url=/services/data/v62.0/sobjects/Account/0013000000HSQCrAAP}}</t>
  </si>
  <si>
    <t>a0pVT00000CprjKYAR</t>
  </si>
  <si>
    <t>Sierra Nevada Corporation</t>
  </si>
  <si>
    <t>{attributes={url=/services/data/v62.0/sobjects/Account/0013000000HSR2fAAH, type=Account}, PS_Sub_Region__c=Diversified Industries LE NN, Name=Marriott International, Inc., Industry=Lodging &amp; Resorts, PS_Region_New__c=US Large Enterprise DI &amp; Mexico, SubRegion__c=US DI LE NN RHT North}</t>
  </si>
  <si>
    <t>a0lVT000005qS3mYAE</t>
  </si>
  <si>
    <t>0034X000037ASHkQAO</t>
  </si>
  <si>
    <t>Ryan Inder</t>
  </si>
  <si>
    <t>rinder@lindt.com</t>
  </si>
  <si>
    <t>a0lVT000005qS3lYAE</t>
  </si>
  <si>
    <t>0034X00003NvOclQAF</t>
  </si>
  <si>
    <t>Nicole Uhrmeister</t>
  </si>
  <si>
    <t>nuhrmeister@lindt.com</t>
  </si>
  <si>
    <t>a0pVT00000Cpu1HYAR</t>
  </si>
  <si>
    <t>{Industry=Lodging &amp; Resorts, SubRegion__c=US DI LE NN RHT North, attributes={url=/services/data/v62.0/sobjects/Account/0013000000HSR2fAAH, type=Account}, PS_Region_New__c=US Large Enterprise DI &amp; Mexico, Name=Marriott International, Inc., PS_Sub_Region__c=Diversified Industries LE NN}</t>
  </si>
  <si>
    <t>a0pVT00000Cq0zVYAR</t>
  </si>
  <si>
    <t>Singapore Technologies Engineering Ltd.</t>
  </si>
  <si>
    <t>{Name=Marriott International, Inc., PS_Sub_Region__c=Diversified Industries LE NN, SubRegion__c=US DI LE NN RHT North, PS_Region_New__c=US Large Enterprise DI &amp; Mexico, attributes={type=Account, url=/services/data/v62.0/sobjects/Account/0013000000HSR2fAAH}, Industry=Lodging &amp; Resorts}</t>
  </si>
  <si>
    <t>Singapore Telecommunications Limited</t>
  </si>
  <si>
    <t>a0pVT00000CpwcYYAR</t>
  </si>
  <si>
    <t>SingTel Optus Pty Ltd.</t>
  </si>
  <si>
    <t>{SubRegion__c=US DI LE CB RHT Northeast, attributes={type=Account, url=/services/data/v62.0/sobjects/Account/0013000000HUz1FAAT}, PS_Region_New__c=US Large Enterprise DI &amp; Mexico, PS_Sub_Region__c=Diversified Industries LE CB RHT, Name=United Rentals, Inc., Industry=Other Retail}</t>
  </si>
  <si>
    <t>Sioux Center Health</t>
  </si>
  <si>
    <t>a0pVT00000Cpvi9YAB</t>
  </si>
  <si>
    <t>Sizzling Platter LLC</t>
  </si>
  <si>
    <t>{PS_Sub_Region__c=Higher Education LE, Industry=Non-Profit, attributes={type=Account, url=/services/data/v62.0/sobjects/Account/001VT00000b2iB0YAI}, PS_Region_New__c=US SLED, Name=Laurens Institute For Education, SubRegion__c=US NFP NN West}</t>
  </si>
  <si>
    <t>SkillPointe</t>
  </si>
  <si>
    <t>a0pVT00000CpnEKYAZ</t>
  </si>
  <si>
    <t>{Name=Captain D's, LLC, PS_Region_New__c=US Medium Enterprise DI, SubRegion__c=US DI ME NN RHT Mountain, PS_Sub_Region__c=ME NN TM &amp; RHT West, attributes={type=Account, url=/services/data/v62.0/sobjects/Account/0013000000HVlzhAAD}, Industry=Restaurant &amp; Food Service}</t>
  </si>
  <si>
    <t>Smile Brands</t>
  </si>
  <si>
    <t>a0pVT00000Cq15xYAB</t>
  </si>
  <si>
    <t>{PS_Sub_Region__c=ME NN TM &amp; RHT West, Industry=Restaurant &amp; Food Service, SubRegion__c=US DI ME NN RHT Mountain, attributes={url=/services/data/v62.0/sobjects/Account/0013000000HVlzhAAD, type=Account}, Name=Captain D's, LLC, PS_Region_New__c=US Medium Enterprise DI}</t>
  </si>
  <si>
    <t>Sobeys Inc</t>
  </si>
  <si>
    <t>a0pVT00000Cq17ZYAR</t>
  </si>
  <si>
    <t>SoCal Pizza Holdings (AWRG PH)</t>
  </si>
  <si>
    <t>{Name=Captain D's, LLC, SubRegion__c=US DI ME NN RHT Mountain, Industry=Restaurant &amp; Food Service, PS_Sub_Region__c=ME NN TM &amp; RHT West, attributes={type=Account, url=/services/data/v62.0/sobjects/Account/0013000000HVlzhAAD}, PS_Region_New__c=US Medium Enterprise DI}</t>
  </si>
  <si>
    <t>Sodexo SA</t>
  </si>
  <si>
    <t>a0pVT00000Cq19BYAR</t>
  </si>
  <si>
    <t>{Industry=Restaurant &amp; Food Service, attributes={url=/services/data/v62.0/sobjects/Account/0013000000HVlzhAAD, type=Account}, PS_Sub_Region__c=ME NN TM &amp; RHT West, SubRegion__c=US DI ME NN RHT Mountain, PS_Region_New__c=US Medium Enterprise DI, Name=Captain D's, LLC}</t>
  </si>
  <si>
    <t>Solventum Corporation</t>
  </si>
  <si>
    <t>Sonifi</t>
  </si>
  <si>
    <t>a0pVT00000Cq1FdYAJ</t>
  </si>
  <si>
    <t>{PS_Sub_Region__c=Diversified Industries LE CB MFG, Name=Rockwell Automation, Inc., PS_Region_New__c=US Large Enterprise DI &amp; Mexico, attributes={url=/services/data/v62.0/sobjects/Account/0013000000HVm0WAAT, type=Account}, SubRegion__c=US DI LE CB MFG Central, Industry=Industrial Manufacturing}</t>
  </si>
  <si>
    <t>Sony Interactive Entertainment LLC</t>
  </si>
  <si>
    <t>a0pVT00000CpnmCYAR</t>
  </si>
  <si>
    <t>Sos Children'S Village Florida</t>
  </si>
  <si>
    <t>{Name=Rockwell Automation, Inc., PS_Region_New__c=US Large Enterprise DI &amp; Mexico, attributes={url=/services/data/v62.0/sobjects/Account/0013000000HVm0WAAT, type=Account}, SubRegion__c=US DI LE CB MFG Central, PS_Sub_Region__c=Diversified Industries LE CB MFG, Industry=Industrial Manufacturing}</t>
  </si>
  <si>
    <t>Source Refrigeration &amp; Hvac, Inc.</t>
  </si>
  <si>
    <t>a0pVT00000CqAZ3YAN</t>
  </si>
  <si>
    <t>South Adams County Water and Sanitation District</t>
  </si>
  <si>
    <t>{attributes={url=/services/data/v62.0/sobjects/Account/0018000001WMFBMAA5, type=Account}, SubRegion__c=US DI ME CB RHT East, PS_Sub_Region__c=ME CB TM &amp; RHT, Industry=Land and Rail Transportation and Freight, Name=Koch Services, Inc., PS_Region_New__c=US Medium Enterprise DI}</t>
  </si>
  <si>
    <t>a0pVT00000Cq1KTYAZ</t>
  </si>
  <si>
    <t>{attributes={url=/services/data/v62.0/sobjects/Account/0013000000HnBOgAAN, type=Account}, Name=Knight-Swift Transportation Holdings Inc., PS_Sub_Region__c=Diversified Industries LE NN, Industry=Land and Rail Transportation and Freight, SubRegion__c=US DI LE NN RHT West, PS_Region_New__c=US Large Enterprise DI &amp; Mexico}</t>
  </si>
  <si>
    <t>09/16/2026 | BRD sign off still delayed.  Build begins, may push go live with the BRD delay.</t>
  </si>
  <si>
    <t>Southeastern Freight Lines, LLC</t>
  </si>
  <si>
    <t>a0pVT00000CpvgUYAR</t>
  </si>
  <si>
    <t>{SubRegion__c=US DI ME CB MFG West, Name=Alliant Energy Corporate Services, Inc., PS_Sub_Region__c=ME CB MFG, Industry=Utilities, attributes={url=/services/data/v62.0/sobjects/Account/0013000000HngMVAAZ, type=Account}, PS_Region_New__c=US Medium Enterprise DI}</t>
  </si>
  <si>
    <t>Southern California Pizza Company, LLC dba American West Restaurant Group</t>
  </si>
  <si>
    <t>Southern Champion Tray, L.P.</t>
  </si>
  <si>
    <t>Southern Crown Partners</t>
  </si>
  <si>
    <t>a0pVT00000CpxGsYAJ</t>
  </si>
  <si>
    <t>{SubRegion__c=US DI ME CB MFG West, PS_Sub_Region__c=ME CB MFG, Industry=Utilities, attributes={type=Account, url=/services/data/v62.0/sobjects/Account/0013000000HngMVAAZ}, Name=Alliant Energy Corporate Services, Inc., PS_Region_New__c=US Medium Enterprise DI}</t>
  </si>
  <si>
    <t>Southwest Behavioral Health Services, Inc.</t>
  </si>
  <si>
    <t>a0pVT00000CpsqgYAB</t>
  </si>
  <si>
    <t>{attributes={url=/services/data/v62.0/sobjects/Account/0013000000LRvnyAAD, type=Account}, PS_Region_New__c=US Healthcare, SubRegion__c=US Healthcare LE CB West, Industry=Acute Hospital / Health System, PS_Sub_Region__c=Healthcare LE, Name=Saint Luke’s Health System, Inc.}</t>
  </si>
  <si>
    <t>Southwire Company, LLC</t>
  </si>
  <si>
    <t>a0pVT00000Cq0UsYAJ</t>
  </si>
  <si>
    <t>{PS_Sub_Region__c=UKI RHT, SubRegion__c=UKI RHT LE CB, attributes={type=Account, url=/services/data/v62.0/sobjects/Account/0013000000HoE7wAAF}, Name=Safelite Group, Industry=Auto, PS_Region_New__c=UKI}</t>
  </si>
  <si>
    <t>Speedway LLC (Inactive Account)</t>
  </si>
  <si>
    <t>Spire Energy</t>
  </si>
  <si>
    <t>a0pVT00000CplcIYAR</t>
  </si>
  <si>
    <t>{PS_Sub_Region__c=UKI RHT, Industry=Auto, attributes={type=Account, url=/services/data/v62.0/sobjects/Account/0013000000HoE7wAAF}, Name=Safelite Group, SubRegion__c=UKI RHT LE CB, PS_Region_New__c=UKI}</t>
  </si>
  <si>
    <t>Sport Clips</t>
  </si>
  <si>
    <t>a0pVT00000Cpw9WYAR</t>
  </si>
  <si>
    <t>Sport Clips Canada</t>
  </si>
  <si>
    <t>{attributes={type=Account, url=/services/data/v62.0/sobjects/Account/0013000000HoE7wAAF}, Industry=Auto, PS_Region_New__c=UKI, Name=Safelite Group, SubRegion__c=UKI RHT LE CB, PS_Sub_Region__c=UKI RHT}</t>
  </si>
  <si>
    <t>Spotify AB</t>
  </si>
  <si>
    <t>a0pVT00000CptA2YAJ</t>
  </si>
  <si>
    <t>{attributes={url=/services/data/v62.0/sobjects/Account/0013000000HoE7wAAF, type=Account}, Industry=Auto, PS_Region_New__c=UKI, SubRegion__c=UKI RHT LE CB, Name=Safelite Group, PS_Sub_Region__c=UKI RHT}</t>
  </si>
  <si>
    <t>SPX Corporation</t>
  </si>
  <si>
    <t>a0pVT00000Cq7EbYAJ</t>
  </si>
  <si>
    <t>{attributes={url=/services/data/v62.0/sobjects/Account/0018000000MULK4AAP, type=Account}, SubRegion__c=US DI LE CB TM &amp; PS Northwest, Name=UMG Recordings, Inc., PS_Region_New__c=US Large Enterprise DI &amp; Mexico, Industry=Media &amp; Entertainment, PS_Sub_Region__c=Diversified Industries LE CB TM &amp; PS}</t>
  </si>
  <si>
    <t>SRS Distribution Inc.</t>
  </si>
  <si>
    <t>a0pVT00000CpvmwYAB</t>
  </si>
  <si>
    <t>SSM Health Care Corporation d/b/a SSM Health</t>
  </si>
  <si>
    <t>{PS_Region_New__c=US FSI, Name=The Prudential Insurance Company of America, PS_Sub_Region__c=FSI LE, attributes={type=Account, url=/services/data/v62.0/sobjects/Account/0013000000HpNciAAF}, SubRegion__c=US FSI Majors, Industry=Investment Management}</t>
  </si>
  <si>
    <t>SSP America, Inc.</t>
  </si>
  <si>
    <t>a0pVT00000CpuKdYAJ</t>
  </si>
  <si>
    <t>St. Bernards Healthcare</t>
  </si>
  <si>
    <t>{attributes={url=/services/data/v62.0/sobjects/Account/0018000000OTQCPAA5, type=Account}, Name=Middle Tennessee YMCA, PS_Region_New__c=US SLED, Industry=Non-Profit, SubRegion__c=US NFP NN West, PS_Sub_Region__c=Higher Education LE}</t>
  </si>
  <si>
    <t>St. Madeleine Sophie's Center (Inactive Account)</t>
  </si>
  <si>
    <t>a0pVT00000Cq26tYAB</t>
  </si>
  <si>
    <t>{Name=Middle Tennessee YMCA, PS_Sub_Region__c=Higher Education LE, SubRegion__c=US NFP NN West, Industry=Non-Profit, attributes={url=/services/data/v62.0/sobjects/Account/0018000000OTQCPAA5, type=Account}, PS_Region_New__c=US SLED}</t>
  </si>
  <si>
    <t>Stack Exchange, Inc.</t>
  </si>
  <si>
    <t>a0pVT00000CptZqYAJ</t>
  </si>
  <si>
    <t>{SubRegion__c=US NFP NN West, Name=Middle Tennessee YMCA, attributes={type=Account, url=/services/data/v62.0/sobjects/Account/0018000000OTQCPAA5}, PS_Sub_Region__c=Higher Education LE, Industry=Non-Profit, PS_Region_New__c=US SLED}</t>
  </si>
  <si>
    <t>Stanford Health Care</t>
  </si>
  <si>
    <t>a0pVT00000CprBUYAZ</t>
  </si>
  <si>
    <t>Stanley Steemer International, Inc.</t>
  </si>
  <si>
    <t>{PS_Sub_Region__c=Higher Education LE, SubRegion__c=US NFP NN West, attributes={type=Account, url=/services/data/v62.0/sobjects/Account/0018000000OTQCPAA5}, Industry=Non-Profit, PS_Region_New__c=US SLED, Name=Middle Tennessee YMCA}</t>
  </si>
  <si>
    <t>StarHub Ltd.</t>
  </si>
  <si>
    <t>a0pVT00000CqBbZYAV</t>
  </si>
  <si>
    <t>{PS_Sub_Region__c=Corporate, Industry=Professional Services, SubRegion__c=Corporate, attributes={url=/services/data/v62.0/sobjects/Account/001VT00000b2novYAA, type=Account}, PS_Region_New__c=Corporate, Name=TUI InfoTec GmbH}</t>
  </si>
  <si>
    <t>Stellar Senior Living</t>
  </si>
  <si>
    <t>a0pVT00000CpmBoYAJ</t>
  </si>
  <si>
    <t>{PS_Region_New__c=Corporate, Industry=Professional Services, Name=TUI InfoTec GmbH, SubRegion__c=Corporate, PS_Sub_Region__c=Corporate, attributes={type=Account, url=/services/data/v62.0/sobjects/Account/001VT00000b2novYAA}}</t>
  </si>
  <si>
    <t>Sterling Mets, L.P.</t>
  </si>
  <si>
    <t>a0pVT00000Cq1SXYAZ</t>
  </si>
  <si>
    <t>{SubRegion__c=US DI LE NN MFG East, PS_Sub_Region__c=Diversified Industries LE NN, Name=Southwire Company, LLC, Industry=Diversified Metals and Mining, PS_Region_New__c=US Large Enterprise DI &amp; Mexico, attributes={type=Account, url=/services/data/v62.0/sobjects/Account/0013000000HpQqSAAV}}</t>
  </si>
  <si>
    <t>Stetson University</t>
  </si>
  <si>
    <t>US Higher Ed ME NN Southeast</t>
  </si>
  <si>
    <t>a0pVT00000CptupYAB</t>
  </si>
  <si>
    <t>Steward Health Care System, LLC</t>
  </si>
  <si>
    <t>{SubRegion__c=US DI ME NN PBS TOLA, Industry=Architecture, Engineering &amp; Construction, PS_Region_New__c=US Medium Enterprise DI, Name=Garney, attributes={type=Account, url=/services/data/v62.0/sobjects/Account/0018000001PROyQAAX}, PS_Sub_Region__c=ME NN PBS}</t>
  </si>
  <si>
    <t>Stout Risius Ross, LLC</t>
  </si>
  <si>
    <t>a0pVT00000CpuhEYAR</t>
  </si>
  <si>
    <t>{PS_Sub_Region__c=ME NN PBS, Name=Garney, Industry=Architecture, Engineering &amp; Construction, attributes={type=Account, url=/services/data/v62.0/sobjects/Account/0018000001PROyQAAX}, PS_Region_New__c=US Medium Enterprise DI, SubRegion__c=US DI ME NN PBS TOLA}</t>
  </si>
  <si>
    <t>Stryker Corporation</t>
  </si>
  <si>
    <t>a0pVT00000Cq1U9YAJ</t>
  </si>
  <si>
    <t>{PS_Region_New__c=UKI, attributes={url=/services/data/v62.0/sobjects/Account/0013000000HpR2qAAF, type=Account}, SubRegion__c=null, Name=InterContinental Hotels Group PLC, Industry=Lodging &amp; Resorts, PS_Sub_Region__c=UKI RHT}</t>
  </si>
  <si>
    <t>a0pVT00000Cq1XNYAZ</t>
  </si>
  <si>
    <t>Summit Eateries, LLC</t>
  </si>
  <si>
    <t>{Industry=Lodging &amp; Resorts, SubRegion__c=null, attributes={url=/services/data/v62.0/sobjects/Account/0013000000HpR2qAAF, type=Account}, Name=InterContinental Hotels Group PLC, PS_Region_New__c=UKI, PS_Sub_Region__c=UKI RHT}</t>
  </si>
  <si>
    <t>Sun Auto Tire &amp; Service</t>
  </si>
  <si>
    <t>a0pVT00000Cq1VlYAJ</t>
  </si>
  <si>
    <t>Sun Life Assurance Company of Canada</t>
  </si>
  <si>
    <t>{PS_Sub_Region__c=UKI RHT, SubRegion__c=null, attributes={url=/services/data/v62.0/sobjects/Account/0013000000HpR2qAAF, type=Account}, Industry=Lodging &amp; Resorts, Name=InterContinental Hotels Group PLC, PS_Region_New__c=UKI}</t>
  </si>
  <si>
    <t>Sunbelt Rentals, Inc.</t>
  </si>
  <si>
    <t>a0pVT00000CpvjkYAB</t>
  </si>
  <si>
    <t>{PS_Sub_Region__c=UKI RHT, Name=InterContinental Hotels Group PLC, Industry=Lodging &amp; Resorts, attributes={url=/services/data/v62.0/sobjects/Account/0013000000HpR2qAAF, type=Account}, PS_Region_New__c=UKI, SubRegion__c=null}</t>
  </si>
  <si>
    <t>Sunrun</t>
  </si>
  <si>
    <t>a0pVT00000CpqvKYAR</t>
  </si>
  <si>
    <t>Susquehanna Workforce Network</t>
  </si>
  <si>
    <t>{Name=InterContinental Hotels Group PLC, PS_Sub_Region__c=UKI RHT, attributes={url=/services/data/v62.0/sobjects/Account/0013000000HpR2qAAF, type=Account}, PS_Region_New__c=UKI, SubRegion__c=null, Industry=Lodging &amp; Resorts}</t>
  </si>
  <si>
    <t>a0pVT00000Cq1YzYAJ</t>
  </si>
  <si>
    <t>Syberg's Family Restaurants</t>
  </si>
  <si>
    <t>{attributes={url=/services/data/v62.0/sobjects/Account/0013000000HpR2qAAF, type=Account}, PS_Sub_Region__c=UKI RHT, Name=InterContinental Hotels Group PLC, PS_Region_New__c=UKI, SubRegion__c=null, Industry=Lodging &amp; Resorts}</t>
  </si>
  <si>
    <t>a0pVT00000Cq1kHYAR</t>
  </si>
  <si>
    <t>{attributes={url=/services/data/v62.0/sobjects/Account/0013000000IBtnWAAT, type=Account}, PS_Region_New__c=US Large Enterprise DI &amp; Mexico, SubRegion__c=US DI Key Accounts RHT, Industry=Food &amp; Drug, PS_Sub_Region__c=Diversified Industries Key Accounts, Name=Whole Foods Market Services LLC}</t>
  </si>
  <si>
    <t>a0pVT00000Cq1ltYAB</t>
  </si>
  <si>
    <t>{PS_Sub_Region__c=Diversified Industries Key Accounts, Industry=Food &amp; Drug, SubRegion__c=US DI Key Accounts RHT, attributes={type=Account, url=/services/data/v62.0/sobjects/Account/0013000000IBtnWAAT}, Name=Whole Foods Market Services LLC, PS_Region_New__c=US Large Enterprise DI &amp; Mexico}</t>
  </si>
  <si>
    <t>Tacala, LLC</t>
  </si>
  <si>
    <t>a0pVT00000CpwPeYAJ</t>
  </si>
  <si>
    <t>{Name=Whole Foods Market Services LLC, PS_Region_New__c=US Large Enterprise DI &amp; Mexico, attributes={type=Account, url=/services/data/v62.0/sobjects/Account/0013000000IBtnWAAT}, SubRegion__c=US DI Key Accounts RHT, Industry=Food &amp; Drug, PS_Sub_Region__c=Diversified Industries Key Accounts}</t>
  </si>
  <si>
    <t>Taco Bell</t>
  </si>
  <si>
    <t>a0pVT00000CpnhKYAR</t>
  </si>
  <si>
    <t>Taco Bell UK and Europe</t>
  </si>
  <si>
    <t>{SubRegion__c=US FSI LE West, PS_Region_New__c=US FSI, Industry=Banking &amp; Capital Markets, Name=OneMain Financial Group, LLC, attributes={url=/services/data/v62.0/sobjects/Account/0013000000KLbTSAA1, type=Account}, PS_Sub_Region__c=FSI LE}</t>
  </si>
  <si>
    <t>UKI RHT ME NN</t>
  </si>
  <si>
    <t>Taco John's International, Inc.</t>
  </si>
  <si>
    <t>a0pVT00000Cq4OnYAJ</t>
  </si>
  <si>
    <t>{Industry=Banking &amp; Capital Markets, PS_Sub_Region__c=FSI LE, Name=OneMain Financial Group, LLC, attributes={url=/services/data/v62.0/sobjects/Account/0013000000KLbTSAA1, type=Account}, PS_Region_New__c=US FSI, SubRegion__c=US FSI LE West}</t>
  </si>
  <si>
    <t>a0pVT00000Cq1abYAB</t>
  </si>
  <si>
    <t>{SubRegion__c=US DI LE CB RHT Midwest, PS_Sub_Region__c=Diversified Industries LE CB RHT, PS_Region_New__c=US Large Enterprise DI &amp; Mexico, attributes={type=Account, url=/services/data/v62.0/sobjects/Account/0013000000HpZnxAAF}, Industry=Lodging &amp; Resorts, Name=Loews Hotels, LLC.}</t>
  </si>
  <si>
    <t>Tasty Delites, LLC</t>
  </si>
  <si>
    <t>Tasty Hut, LLC</t>
  </si>
  <si>
    <t>a0pVT00000Cq0D8YAJ</t>
  </si>
  <si>
    <t>{attributes={type=Account, url=/services/data/v62.0/sobjects/Account/0013000000HpZnxAAF}, PS_Region_New__c=US Large Enterprise DI &amp; Mexico, Industry=Lodging &amp; Resorts, SubRegion__c=US DI LE CB RHT Midwest, PS_Sub_Region__c=Diversified Industries LE CB RHT, Name=Loews Hotels, LLC.}</t>
  </si>
  <si>
    <t>Tasty King LLC</t>
  </si>
  <si>
    <t>a0pVT00000CpzNWYAZ</t>
  </si>
  <si>
    <t>Tasty Restaurant Group</t>
  </si>
  <si>
    <t>0013000000HpdIWAAZ</t>
  </si>
  <si>
    <t>{Industry=Insurance, PS_Region_New__c=US FSI, SubRegion__c=US FSI Majors, PS_Sub_Region__c=FSI LE, Name=New York Life Insurance Company, attributes={url=/services/data/v62.0/sobjects/Account/0013000000HpdIWAAZ, type=Account}}</t>
  </si>
  <si>
    <t>Taylor Corporation</t>
  </si>
  <si>
    <t>a0pVT00000CplaiYAB</t>
  </si>
  <si>
    <t>{PS_Region_New__c=US FSI, Name=New York Life Insurance Company, SubRegion__c=US FSI Majors, Industry=Insurance, PS_Sub_Region__c=FSI LE, attributes={type=Account, url=/services/data/v62.0/sobjects/Account/0013000000HpdIWAAZ}}</t>
  </si>
  <si>
    <t>Taylor Design</t>
  </si>
  <si>
    <t>a0pVT00000CpqvLYAR</t>
  </si>
  <si>
    <t>{Name=New York Life Insurance Company, PS_Sub_Region__c=FSI LE, Industry=Insurance, attributes={type=Account, url=/services/data/v62.0/sobjects/Account/0013000000HpdIWAAZ}, PS_Region_New__c=US FSI, SubRegion__c=US FSI Majors}</t>
  </si>
  <si>
    <t>Taylor Morrison, Inc.</t>
  </si>
  <si>
    <t>a0pVT00000Cq1cDYAR</t>
  </si>
  <si>
    <t>{SubRegion__c=US FSI Majors, Name=New York Life Insurance Company, attributes={url=/services/data/v62.0/sobjects/Account/0013000000HpdIWAAZ, type=Account}, PS_Region_New__c=US FSI, Industry=Insurance, PS_Sub_Region__c=FSI LE}</t>
  </si>
  <si>
    <t>TechnipFMC</t>
  </si>
  <si>
    <t>a0pVT00000Cq1dpYAB</t>
  </si>
  <si>
    <t>{PS_Region_New__c=US FSI, Name=New York Life Insurance Company, SubRegion__c=US FSI Majors, PS_Sub_Region__c=FSI LE, attributes={url=/services/data/v62.0/sobjects/Account/0013000000HpdIWAAZ, type=Account}, Industry=Insurance}</t>
  </si>
  <si>
    <t>a0pVT00000Cq1fRYAR</t>
  </si>
  <si>
    <t>{SubRegion__c=US FSI Majors, PS_Sub_Region__c=FSI LE, Name=New York Life Insurance Company, PS_Region_New__c=US FSI, Industry=Insurance, attributes={url=/services/data/v62.0/sobjects/Account/0013000000HpdIWAAZ, type=Account}}</t>
  </si>
  <si>
    <t>Techtronic Industries North America, Inc.</t>
  </si>
  <si>
    <t>a0pVT00000Cq7ksYAB</t>
  </si>
  <si>
    <t>Tecsys, Inc.</t>
  </si>
  <si>
    <t>{PS_Region_New__c=US Large Enterprise DI &amp; Mexico, Name=Pappas Restaurants, Inc., Industry=Restaurant &amp; Food Service, attributes={url=/services/data/v62.0/sobjects/Account/0018000000oh8IkAAI, type=Account}, PS_Sub_Region__c=Diversified Industries LE NN, SubRegion__c=US DI LE NN RHT South}</t>
  </si>
  <si>
    <t>a0pVT00000Cq34aYAB</t>
  </si>
  <si>
    <t>{PS_Region_New__c=US Large Enterprise DI &amp; Mexico, SubRegion__c=US DI LE NN RHT South, Name=Pappas Restaurants, Inc., attributes={url=/services/data/v62.0/sobjects/Account/0018000000oh8IkAAI, type=Account}, Industry=Restaurant &amp; Food Service, PS_Sub_Region__c=Diversified Industries LE NN}</t>
  </si>
  <si>
    <t>Tennant Company</t>
  </si>
  <si>
    <t>a0pVT00000Cq474YAB</t>
  </si>
  <si>
    <t>{PS_Sub_Region__c=Diversified Industries LE NN, Name=Pappas Restaurants, Inc., attributes={url=/services/data/v62.0/sobjects/Account/0018000000oh8IkAAI, type=Account}, PS_Region_New__c=US Large Enterprise DI &amp; Mexico, SubRegion__c=US DI LE NN RHT South, Industry=Restaurant &amp; Food Service}</t>
  </si>
  <si>
    <t>Teradata Operations, Inc.</t>
  </si>
  <si>
    <t>Terumo BCT</t>
  </si>
  <si>
    <t>a0pVT00000CprxtYAB</t>
  </si>
  <si>
    <t>{Name=Pappas Restaurants, Inc., PS_Region_New__c=US Large Enterprise DI &amp; Mexico, Industry=Restaurant &amp; Food Service, SubRegion__c=US DI LE NN RHT South, attributes={url=/services/data/v62.0/sobjects/Account/0018000000oh8IkAAI, type=Account}, PS_Sub_Region__c=Diversified Industries LE NN}</t>
  </si>
  <si>
    <t>Terzetto Creative</t>
  </si>
  <si>
    <t>Textron Aviation</t>
  </si>
  <si>
    <t>a0pVT00000CpnCiYAJ</t>
  </si>
  <si>
    <t>{PS_Sub_Region__c=Netherlands, Industry=Chemicals, Name=OCI NV, PS_Region_New__c=EMEA North, SubRegion__c=Netherlands ME NN, attributes={url=/services/data/v62.0/sobjects/Account/0018000000zZ70oAAC, type=Account}}</t>
  </si>
  <si>
    <t>TFA Logistics</t>
  </si>
  <si>
    <t>a0pVT00000CptI7YAJ</t>
  </si>
  <si>
    <t>{PS_Sub_Region__c=Netherlands, Industry=Chemicals, Name=OCI NV, PS_Region_New__c=EMEA North, attributes={url=/services/data/v62.0/sobjects/Account/0018000000zZ70oAAC, type=Account}, SubRegion__c=Netherlands ME NN}</t>
  </si>
  <si>
    <t>The BMS Enterprises, Inc.</t>
  </si>
  <si>
    <t>a0pVT00000Cq0D9YAJ</t>
  </si>
  <si>
    <t>The Campbell's Company</t>
  </si>
  <si>
    <t>{attributes={url=/services/data/v62.0/sobjects/Account/0013000000HphbWAAR, type=Account}, SubRegion__c=null, PS_Region_New__c=null, Name=Eby-Brown Company (Inactive Account), PS_Sub_Region__c=null, Industry=Professional Services}</t>
  </si>
  <si>
    <t>a0pVT00000CpvlKYAR</t>
  </si>
  <si>
    <t>0013000000J2UnZAAV</t>
  </si>
  <si>
    <t>{PS_Sub_Region__c=Diversified Industries LE NN, Industry=Professional Services, Name=Acosta Inc., PS_Region_New__c=US Large Enterprise DI &amp; Mexico, attributes={type=Account, url=/services/data/v62.0/sobjects/Account/0013000000J2UnZAAV}, SubRegion__c=US DI LE NN TM &amp; PS East}</t>
  </si>
  <si>
    <t>The Carle Foundation</t>
  </si>
  <si>
    <t>a0pVT00000Cq3irYAB</t>
  </si>
  <si>
    <t>{attributes={url=/services/data/v62.0/sobjects/Account/0013000000JN4PrAAL, type=Account}, Industry=Restaurant &amp; Food Service, PS_Sub_Region__c=Diversified Industries LE CB RHT, Name=Panda Restaurant Group, Inc., SubRegion__c=US DI LE CB RHT West, PS_Region_New__c=US Large Enterprise DI &amp; Mexico}</t>
  </si>
  <si>
    <t>The Children's Hospital Corporation, d/b/a Boston Children's Hospital</t>
  </si>
  <si>
    <t>a0pVT00000Cq2ZvYAJ</t>
  </si>
  <si>
    <t>{PS_Sub_Region__c=Diversified Industries LE CB RHT, SubRegion__c=US DI LE CB RHT West, Industry=Restaurant &amp; Food Service, PS_Region_New__c=US Large Enterprise DI &amp; Mexico, Name=Panda Restaurant Group, Inc., attributes={type=Account, url=/services/data/v62.0/sobjects/Account/0013000000JN4PrAAL}}</t>
  </si>
  <si>
    <t>The Children's Mercy Hospital</t>
  </si>
  <si>
    <t>9/23/2026: Going well. Customer is currently in Build. SIT starts 10/5/2026</t>
  </si>
  <si>
    <t>a0pVT00000Cq3PWYAZ</t>
  </si>
  <si>
    <t>The Cleaning Authority, LLC</t>
  </si>
  <si>
    <t>{Industry=Restaurant &amp; Food Service, PS_Sub_Region__c=Diversified Industries LE CB RHT, SubRegion__c=US DI LE CB RHT West, attributes={url=/services/data/v62.0/sobjects/Account/0013000000JN4PrAAL, type=Account}, PS_Region_New__c=US Large Enterprise DI &amp; Mexico, Name=Panda Restaurant Group, Inc.}</t>
  </si>
  <si>
    <t>The Dow Chemical Company</t>
  </si>
  <si>
    <t>a0pVT00000Cq3kTYAR</t>
  </si>
  <si>
    <t>{Industry=Restaurant &amp; Food Service, PS_Sub_Region__c=Diversified Industries LE CB RHT, Name=Panda Restaurant Group, Inc., SubRegion__c=US DI LE CB RHT West, attributes={type=Account, url=/services/data/v62.0/sobjects/Account/0013000000JN4PrAAL}, PS_Region_New__c=US Large Enterprise DI &amp; Mexico}</t>
  </si>
  <si>
    <t>a0pVT00000Cq1h3YAB</t>
  </si>
  <si>
    <t>0013000000Hpi5wAAB</t>
  </si>
  <si>
    <t>{PS_Sub_Region__c=Diversified Industries LE NN, SubRegion__c=US DI LE NN MFG East, attributes={type=Account, url=/services/data/v62.0/sobjects/Account/0013000000Hpi5wAAB}, Industry=High Technology, Name=SPX Corporation, PS_Region_New__c=US Large Enterprise DI &amp; Mexico}</t>
  </si>
  <si>
    <t>The Friedkin Group, Inc. (Inactive Account)</t>
  </si>
  <si>
    <t>a0pVT00000CpzLuYAJ</t>
  </si>
  <si>
    <t>The Golden 1 Credit Union</t>
  </si>
  <si>
    <t>{PS_Sub_Region__c=Diversified Industries LE NN, Name=SPX Corporation, attributes={type=Account, url=/services/data/v62.0/sobjects/Account/0013000000Hpi5wAAB}, PS_Region_New__c=US Large Enterprise DI &amp; Mexico, SubRegion__c=US DI LE NN MFG East, Industry=High Technology}</t>
  </si>
  <si>
    <t>The Good Care Group</t>
  </si>
  <si>
    <t>a0pVT00000CpoDbYAJ</t>
  </si>
  <si>
    <t>UKI PS ME NN 2</t>
  </si>
  <si>
    <t>{SubRegion__c=US DI ME NN RHT Southeast, attributes={url=/services/data/v62.0/sobjects/Account/0014X00002luFWKQA2, type=Account}, PS_Sub_Region__c=ME NN RHT East, Industry=Food &amp; Drug, Name=Southern Crown Partners, PS_Region_New__c=US Medium Enterprise DI}</t>
  </si>
  <si>
    <t>The Hong Kong Jockey Club</t>
  </si>
  <si>
    <t>Hong Kong LE</t>
  </si>
  <si>
    <t>a0pVT00000Cpv5OYAR</t>
  </si>
  <si>
    <t>{PS_Region_New__c=US Medium Enterprise DI, SubRegion__c=US DI ME NN RHT Southeast, Industry=Food &amp; Drug, Name=Southern Crown Partners, PS_Sub_Region__c=ME NN RHT East, attributes={url=/services/data/v62.0/sobjects/Account/0014X00002luFWKQA2, type=Account}}</t>
  </si>
  <si>
    <t>The Maids of Southern New Hampshire</t>
  </si>
  <si>
    <t>a0pVT00000CpnhLYAR</t>
  </si>
  <si>
    <t>{PS_Region_New__c=US Medium Enterprise DI, SubRegion__c=US DI ME NN RHT Southeast, Name=Southern Crown Partners, Industry=Food &amp; Drug, attributes={type=Account, url=/services/data/v62.0/sobjects/Account/0014X00002luFWKQA2}, PS_Sub_Region__c=ME NN RHT East}</t>
  </si>
  <si>
    <t>The Northwestern Mutual Life Insurance Company</t>
  </si>
  <si>
    <t>a0pVT00000Cq6TpYAJ</t>
  </si>
  <si>
    <t>{PS_Sub_Region__c=ME NN RHT East, Industry=Food &amp; Drug, Name=Southern Crown Partners, SubRegion__c=US DI ME NN RHT Southeast, PS_Region_New__c=US Medium Enterprise DI, attributes={url=/services/data/v62.0/sobjects/Account/0014X00002luFWKQA2, type=Account}}</t>
  </si>
  <si>
    <t>a0lVT0000068eJNYAY</t>
  </si>
  <si>
    <t>The Nutrition Group</t>
  </si>
  <si>
    <t>003VT00000fbbH0YAI</t>
  </si>
  <si>
    <t>Stephanie Wolfe</t>
  </si>
  <si>
    <t>swolfe@argenx.com</t>
  </si>
  <si>
    <t>a0lVT0000062LswYAE</t>
  </si>
  <si>
    <t>a0pVT00000CppT1YAJ</t>
  </si>
  <si>
    <t>a0lVT0000062O4PYAU</t>
  </si>
  <si>
    <t>The Pep Boys - Manny, Moe &amp; Jack LLC</t>
  </si>
  <si>
    <t>{Industry=Insurance, Name=American Automobile Association of Northern California, Nevada &amp; Utah, SubRegion__c=US FSI LE West, PS_Sub_Region__c=FSI LE, attributes={url=/services/data/v62.0/sobjects/Account/0013000000HqZ87AAF, type=Account}, PS_Region_New__c=US FSI}</t>
  </si>
  <si>
    <t>a0lVT0000068eKzYAI</t>
  </si>
  <si>
    <t>003VT00000rhtvZYAQ</t>
  </si>
  <si>
    <t>Paula Rogers</t>
  </si>
  <si>
    <t>progers@argenx.com</t>
  </si>
  <si>
    <t>The Procter &amp; Gamble U.S. Business Services Company</t>
  </si>
  <si>
    <t>a0pVT00000Cq1ifYAB</t>
  </si>
  <si>
    <t>{Industry=Insurance, PS_Sub_Region__c=FSI LE, attributes={type=Account, url=/services/data/v62.0/sobjects/Account/0013000000HqZ87AAF}, Name=American Automobile Association of Northern California, Nevada &amp; Utah, PS_Region_New__c=US FSI, SubRegion__c=US FSI LE West}</t>
  </si>
  <si>
    <t>The Prudential Insurance Company of America</t>
  </si>
  <si>
    <t>a0pVT00000CpxARYAZ</t>
  </si>
  <si>
    <t>{PS_Sub_Region__c=FSI LE, Industry=Insurance, Name=American Automobile Association of Northern California, Nevada &amp; Utah, PS_Region_New__c=US FSI, attributes={type=Account, url=/services/data/v62.0/sobjects/Account/0013000000HqZ87AAF}, SubRegion__c=US FSI LE West}</t>
  </si>
  <si>
    <t>The Redland Company</t>
  </si>
  <si>
    <t>a0pVT00000Cpt0MYAR</t>
  </si>
  <si>
    <t>The Reinalt-Thomas Corporation</t>
  </si>
  <si>
    <t>{attributes={url=/services/data/v62.0/sobjects/Account/0013000000HqnLrAAJ, type=Account}, SubRegion__c=US DI LE CB MFG South, PS_Region_New__c=US Large Enterprise DI &amp; Mexico, Industry=Utilities, PS_Sub_Region__c=Diversified Industries LE CB MFG, Name=Waste Connections US, Inc.}</t>
  </si>
  <si>
    <t>a0lVT0000064pwXYAQ</t>
  </si>
  <si>
    <t>0034X000033v2eXQAQ</t>
  </si>
  <si>
    <t>Philip Amato</t>
  </si>
  <si>
    <t>philip@easymilefitness.com</t>
  </si>
  <si>
    <t>The Royal London Mutual Insurance Society Limited</t>
  </si>
  <si>
    <t>a0lVT000006POzlYAG</t>
  </si>
  <si>
    <t>a0pVT00000Cq1cEYAR</t>
  </si>
  <si>
    <t>{Name=Tractor Supply Company, SubRegion__c=US DI LE NN RHT South, attributes={url=/services/data/v62.0/sobjects/Account/0013000000IBp1wAAD, type=Account}, Industry=Consumer Goods, PS_Region_New__c=US Large Enterprise DI &amp; Mexico, PS_Sub_Region__c=Diversified Industries LE NN}</t>
  </si>
  <si>
    <t>a0lVT0000068YXJYA2</t>
  </si>
  <si>
    <t>The Scotts Company LLC</t>
  </si>
  <si>
    <t>003VT00000NXx5mYAD</t>
  </si>
  <si>
    <t>frances.lambe@workday.com</t>
  </si>
  <si>
    <t>The Timken Company</t>
  </si>
  <si>
    <t>a0pVT00000CpsFbYAJ</t>
  </si>
  <si>
    <t>{SubRegion__c=US DI LE NN RHT South, Industry=Consumer Goods, Name=Tractor Supply Company, PS_Region_New__c=US Large Enterprise DI &amp; Mexico, attributes={url=/services/data/v62.0/sobjects/Account/0013000000IBp1wAAD, type=Account}, PS_Sub_Region__c=Diversified Industries LE NN}</t>
  </si>
  <si>
    <t>a0pVT00000CpotXYAR</t>
  </si>
  <si>
    <t>{Industry=Consumer Goods, Name=Tractor Supply Company, PS_Region_New__c=US Large Enterprise DI &amp; Mexico, attributes={type=Account, url=/services/data/v62.0/sobjects/Account/0013000000IBp1wAAD}, SubRegion__c=US DI LE NN RHT South, PS_Sub_Region__c=Diversified Industries LE NN}</t>
  </si>
  <si>
    <t>The University of Chicago Medical Center</t>
  </si>
  <si>
    <t>The Vail Corporation</t>
  </si>
  <si>
    <t>a0pVT00000Cq1p7YAB</t>
  </si>
  <si>
    <t>{attributes={type=Account, url=/services/data/v62.0/sobjects/Account/0013000000IGXnpAAH}, Industry=Softlines, PS_Sub_Region__c=Diversified Industries Key Accounts, Name=Nordstrom, Inc., SubRegion__c=US DI Key Accounts RHT, PS_Region_New__c=US Large Enterprise DI &amp; Mexico}</t>
  </si>
  <si>
    <t>a0pVT00000Cq1qjYAB</t>
  </si>
  <si>
    <t>The William Carter Company</t>
  </si>
  <si>
    <t>{SubRegion__c=US DI Key Accounts RHT, Industry=Softlines, PS_Region_New__c=US Large Enterprise DI &amp; Mexico, Name=Nordstrom, Inc., attributes={type=Account, url=/services/data/v62.0/sobjects/Account/0013000000IGXnpAAH}, PS_Sub_Region__c=Diversified Industries Key Accounts}</t>
  </si>
  <si>
    <t>a0pVT00000CptEsYAJ</t>
  </si>
  <si>
    <t>{attributes={type=Account, url=/services/data/v62.0/sobjects/Account/0013000000IGXnpAAH}, Industry=Softlines, PS_Sub_Region__c=Diversified Industries Key Accounts, SubRegion__c=US DI Key Accounts RHT, Name=Nordstrom, Inc., PS_Region_New__c=US Large Enterprise DI &amp; Mexico}</t>
  </si>
  <si>
    <t>The Winebow Group LLC</t>
  </si>
  <si>
    <t>a0pVT00000Cq1sLYAR</t>
  </si>
  <si>
    <t>{SubRegion__c=US DI Key Accounts RHT, Industry=Softlines, Name=Nordstrom, Inc., PS_Sub_Region__c=Diversified Industries Key Accounts, attributes={url=/services/data/v62.0/sobjects/Account/0013000000IGXnpAAH, type=Account}, PS_Region_New__c=US Large Enterprise DI &amp; Mexico}</t>
  </si>
  <si>
    <t>The World Economic Forum</t>
  </si>
  <si>
    <t>Alps ME CB</t>
  </si>
  <si>
    <t>a0pVT00000CprpmYAB</t>
  </si>
  <si>
    <t>The Y in Central Maryland</t>
  </si>
  <si>
    <t>0013000000JM35nAAD</t>
  </si>
  <si>
    <t>{PS_Sub_Region__c=Diversified Industries LE CB RHT, Industry=Auto, attributes={url=/services/data/v62.0/sobjects/Account/0013000000JM35nAAD, type=Account}, Name=CarMax Enterprise Services, LLC, SubRegion__c=US DI LE CB RHT Southeast, PS_Region_New__c=US Large Enterprise DI &amp; Mexico}</t>
  </si>
  <si>
    <t>a0pVT00000CpxgjYAB</t>
  </si>
  <si>
    <t>{attributes={url=/services/data/v62.0/sobjects/Account/0018000001Hob3HAAR, type=Account}, Name=AlphaSights Ltd, Industry=Professional Services, PS_Sub_Region__c=UKI PBS, SubRegion__c=UKI PBS CB, PS_Region_New__c=UKI}</t>
  </si>
  <si>
    <t>09/12: 
phase 1 completed
Conversation for the phase 2 on-going</t>
  </si>
  <si>
    <t>THR Property Management L.P.</t>
  </si>
  <si>
    <t>Thrive Skilled Pediatric Care</t>
  </si>
  <si>
    <t>a0pVT00000CpkGQYAZ</t>
  </si>
  <si>
    <t>{PS_Sub_Region__c=Diversified Industries LE CB RHT, Industry=Softlines, attributes={type=Account, url=/services/data/v62.0/sobjects/Account/0013000000IGoGrAAL}, SubRegion__c=US DI LE CB RHT Northeast, PS_Region_New__c=US Large Enterprise DI &amp; Mexico, Name=BJ's Wholesale Club, Inc.}</t>
  </si>
  <si>
    <t>TKO Worldwide, LLC</t>
  </si>
  <si>
    <t>a0pVT00000Cq1txYAB</t>
  </si>
  <si>
    <t>TMC Healthcare</t>
  </si>
  <si>
    <t>{PS_Region_New__c=US Large Enterprise DI &amp; Mexico, attributes={url=/services/data/v62.0/sobjects/Account/0013000000IGoGrAAL, type=Account}, Industry=Softlines, SubRegion__c=US DI LE CB RHT Northeast, PS_Sub_Region__c=Diversified Industries LE CB RHT, Name=BJ's Wholesale Club, Inc.}</t>
  </si>
  <si>
    <t>Total Care Connections Inc.</t>
  </si>
  <si>
    <t>a0pVT00000Cq84FYAR</t>
  </si>
  <si>
    <t>{PS_Sub_Region__c=ME Commercial West, SubRegion__c=US DI Commercial NN TOLA, attributes={type=Account, url=/services/data/v62.0/sobjects/Account/001VT00000Ndl6iYAB}, PS_Region_New__c=US Medium Enterprise DI, Name=MSR Properties, LLC, Industry=Lodging &amp; Resorts}</t>
  </si>
  <si>
    <t>Touchmark Living Centers, Inc.</t>
  </si>
  <si>
    <t>9/23/2026: going well. Customer is currently in Build phase. SIT starts on 10/5/2026</t>
  </si>
  <si>
    <t>Tower Federal Credit Union</t>
  </si>
  <si>
    <t>a0pVT00000Cq1xBYAR</t>
  </si>
  <si>
    <t>{PS_Sub_Region__c=Diversified Industries LE CB MFG, Name=Stryker Corporation, attributes={type=Account, url=/services/data/v62.0/sobjects/Account/0013000000IGqMCAA1}, Industry=Healthcare Manufacturing, SubRegion__c=US DI LE CB MFG Midwest, PS_Region_New__c=US Large Enterprise DI &amp; Mexico}</t>
  </si>
  <si>
    <t>Towne Park, LLC</t>
  </si>
  <si>
    <t>a0pVT00000Cq20PYAR</t>
  </si>
  <si>
    <t>TPS Parking Management, LLC</t>
  </si>
  <si>
    <t>{Industry=Healthcare Manufacturing, PS_Sub_Region__c=Diversified Industries LE CB MFG, Name=Stryker Corporation, attributes={type=Account, url=/services/data/v62.0/sobjects/Account/0013000000IGqMCAA1}, PS_Region_New__c=US Large Enterprise DI &amp; Mexico, SubRegion__c=US DI LE CB MFG Midwest}</t>
  </si>
  <si>
    <t>Tractor Supply Company</t>
  </si>
  <si>
    <t>a0pVT00000Cq1ynYAB</t>
  </si>
  <si>
    <t>{PS_Region_New__c=US Large Enterprise DI &amp; Mexico, PS_Sub_Region__c=Diversified Industries LE CB MFG, Industry=Healthcare Manufacturing, attributes={url=/services/data/v62.0/sobjects/Account/0013000000IGqMCAA1, type=Account}, SubRegion__c=US DI LE CB MFG Midwest, Name=Stryker Corporation}</t>
  </si>
  <si>
    <t>Tradeweb Markets LLC</t>
  </si>
  <si>
    <t>Transervice Logistics Inc.</t>
  </si>
  <si>
    <t>a0pVT00000Cq221YAB</t>
  </si>
  <si>
    <t>Tricorbraun Inc.</t>
  </si>
  <si>
    <t>{Name=Stryker Corporation, SubRegion__c=US DI LE CB MFG Midwest, PS_Sub_Region__c=Diversified Industries LE CB MFG, Industry=Healthcare Manufacturing, attributes={type=Account, url=/services/data/v62.0/sobjects/Account/0013000000IGqMCAA1}, PS_Region_New__c=US Large Enterprise DI &amp; Mexico}</t>
  </si>
  <si>
    <t>Trimac Transportation</t>
  </si>
  <si>
    <t>a0pVT00000CpualYAB</t>
  </si>
  <si>
    <t>{SubRegion__c=US DI LE CB MFG Midwest, Name=Stryker Corporation, PS_Sub_Region__c=Diversified Industries LE CB MFG, attributes={url=/services/data/v62.0/sobjects/Account/0013000000IGqMCAA1, type=Account}, Industry=Healthcare Manufacturing, PS_Region_New__c=US Large Enterprise DI &amp; Mexico}</t>
  </si>
  <si>
    <t>True Food Kitchen</t>
  </si>
  <si>
    <t>a0pVT00000CpwUUYAZ</t>
  </si>
  <si>
    <t>{attributes={url=/services/data/v62.0/sobjects/Account/0013000000IH8NGAA1, type=Account}, SubRegion__c=US DI LE CB MFG Northeast, PS_Region_New__c=US Large Enterprise DI &amp; Mexico, PS_Sub_Region__c=Diversified Industries LE CB MFG, Name=Eversource Energy Service Company, Industry=Utilities}</t>
  </si>
  <si>
    <t>TruGreen Limited Partnership</t>
  </si>
  <si>
    <t>Trustmark Insurance Company</t>
  </si>
  <si>
    <t>a0pVT00000CpvTbYAJ</t>
  </si>
  <si>
    <t>{attributes={type=Account, url=/services/data/v62.0/sobjects/Account/0013000000IH8NGAA1}, PS_Sub_Region__c=Diversified Industries LE CB MFG, PS_Region_New__c=US Large Enterprise DI &amp; Mexico, Name=Eversource Energy Service Company, SubRegion__c=US DI LE CB MFG Northeast, Industry=Utilities}</t>
  </si>
  <si>
    <t>TUI InfoTec GmbH</t>
  </si>
  <si>
    <t>Turnpoint</t>
  </si>
  <si>
    <t>a0pVT00000Cq4QRYAZ</t>
  </si>
  <si>
    <t>{Industry=Architecture, Engineering &amp; Construction, PS_Sub_Region__c=ME Commercial West, attributes={url=/services/data/v62.0/sobjects/Account/001VT00000b2nTyYAI, type=Account}, SubRegion__c=US DI Commercial NN Southwest, Name=PKY Corporation, PS_Region_New__c=US Medium Enterprise DI}</t>
  </si>
  <si>
    <t>U.S. Cellular Corporation</t>
  </si>
  <si>
    <t>a0pVT00000CpwSsYAJ</t>
  </si>
  <si>
    <t>U.S. Xpress Enterprises, Inc.</t>
  </si>
  <si>
    <t>{attributes={type=Account, url=/services/data/v62.0/sobjects/Account/001VT00000b2nTyYAI}, Name=PKY Corporation, PS_Sub_Region__c=ME Commercial West, SubRegion__c=US DI Commercial NN Southwest, Industry=Architecture, Engineering &amp; Construction, PS_Region_New__c=US Medium Enterprise DI}</t>
  </si>
  <si>
    <t>Ulteig Engineers, Inc.</t>
  </si>
  <si>
    <t>a0pVT00000CqA2pYAF</t>
  </si>
  <si>
    <t>{Name=PKY Corporation, SubRegion__c=US DI Commercial NN Southwest, PS_Region_New__c=US Medium Enterprise DI, attributes={type=Account, url=/services/data/v62.0/sobjects/Account/001VT00000b2nTyYAI}, PS_Sub_Region__c=ME Commercial West, Industry=Architecture, Engineering &amp; Construction}</t>
  </si>
  <si>
    <t>a0pVT00000CqBTVYA3</t>
  </si>
  <si>
    <t>{PS_Region_New__c=US Medium Enterprise DI, Name=PKY Corporation, Industry=Architecture, Engineering &amp; Construction, attributes={type=Account, url=/services/data/v62.0/sobjects/Account/001VT00000b2nTyYAI}, PS_Sub_Region__c=ME Commercial West, SubRegion__c=US DI Commercial NN Southwest}</t>
  </si>
  <si>
    <t>UMG Recordings, Inc.</t>
  </si>
  <si>
    <t>a0pVT00000Cq23dYAB</t>
  </si>
  <si>
    <t>{PS_Sub_Region__c=ME CB TM &amp; RHT, Name=Monarch Casino &amp; Resort, Inc., attributes={url=/services/data/v62.0/sobjects/Account/0013000000IHbJ6AAL, type=Account}, Industry=Lodging &amp; Resorts, PS_Region_New__c=US Medium Enterprise DI, SubRegion__c=US DI ME CB RHT West}</t>
  </si>
  <si>
    <t>Under Armour, Inc.</t>
  </si>
  <si>
    <t>a0pVT00000Cq26rYAB</t>
  </si>
  <si>
    <t>{Industry=Banking &amp; Capital Markets, PS_Region_New__c=US FSI, attributes={url=/services/data/v62.0/sobjects/Account/0013000000IHfj9AAD, type=Account}, Name=Webster Financial Corporation, SubRegion__c=US FSI LE East, PS_Sub_Region__c=FSI LE}</t>
  </si>
  <si>
    <t>a0pVT00000Cq28TYAR</t>
  </si>
  <si>
    <t>United Healthcare Services, Inc.</t>
  </si>
  <si>
    <t>{PS_Region_New__c=US FSI, attributes={type=Account, url=/services/data/v62.0/sobjects/Account/0013000000IHfj9AAD}, Industry=Banking &amp; Capital Markets, PS_Sub_Region__c=FSI LE, SubRegion__c=US FSI LE East, Name=Webster Financial Corporation}</t>
  </si>
  <si>
    <t>a0pVT00000Cq2A5YAJ</t>
  </si>
  <si>
    <t>United Overseas Bank Ltd.</t>
  </si>
  <si>
    <t>{PS_Sub_Region__c=FSI LE, Industry=Banking &amp; Capital Markets, Name=BOKF, NA, SubRegion__c=US FSI LE West, PS_Region_New__c=US FSI, attributes={url=/services/data/v62.0/sobjects/Account/0013000000IHnorAAD, type=Account}}</t>
  </si>
  <si>
    <t>United Refining Company</t>
  </si>
  <si>
    <t>a0pVT00000Cpuu8YAB</t>
  </si>
  <si>
    <t>{Industry=Chemicals, Name=PPG Industries, Inc., PS_Region_New__c=US Large Enterprise DI &amp; Mexico, SubRegion__c=US DI LE CB MFG Midwest, attributes={type=Account, url=/services/data/v62.0/sobjects/Account/0013000000J2sPcAAJ}, PS_Sub_Region__c=Diversified Industries LE CB MFG}</t>
  </si>
  <si>
    <t>United Services Automobile Association</t>
  </si>
  <si>
    <t>a0pVT00000Cq3EDYAZ</t>
  </si>
  <si>
    <t>United States Infrastructure Corporation</t>
  </si>
  <si>
    <t>{PS_Region_New__c=US Large Enterprise DI &amp; Mexico, Industry=Chemicals, SubRegion__c=US DI LE CB MFG Midwest, PS_Sub_Region__c=Diversified Industries LE CB MFG, Name=PPG Industries, Inc., attributes={url=/services/data/v62.0/sobjects/Account/0013000000J2sPcAAJ, type=Account}}</t>
  </si>
  <si>
    <t>UnitingCare Qld Limited (ABN 84 675 001 493)</t>
  </si>
  <si>
    <t>a0pVT00000CpznKYAR</t>
  </si>
  <si>
    <t>{SubRegion__c=US DI Commercial CB East, Industry=Professional Services, PS_Sub_Region__c=ME Commercial East, Name=Get Staffed Up, LLC, attributes={url=/services/data/v62.0/sobjects/Account/0014X00002aRe9QQAS, type=Account}, PS_Region_New__c=US Medium Enterprise DI}</t>
  </si>
  <si>
    <t>a0pVT00000Cq9I3YAJ</t>
  </si>
  <si>
    <t>{Name=Beat The Streets Inc, PS_Region_New__c=US SLED, Industry=Education (K-12), attributes={type=Account, url=/services/data/v62.0/sobjects/Account/001VT00000b2lDeYAI}, PS_Sub_Region__c=Higher Education LE, SubRegion__c=US NFP NN West}</t>
  </si>
  <si>
    <t>University of California, San Diego</t>
  </si>
  <si>
    <t>a0pVT00000CppmMYAR</t>
  </si>
  <si>
    <t>{Name=Dell USA L.P., PS_Sub_Region__c=Diversified Industries LE CB TM &amp; PS, SubRegion__c=US DI LE CB TM &amp; PS Northwest, Industry=Technology Solutions, PS_Region_New__c=US Large Enterprise DI &amp; Mexico, attributes={url=/services/data/v62.0/sobjects/Account/0013000000IIV7MAAX, type=Account}}</t>
  </si>
  <si>
    <t>a0pVT00000CpyssYAB</t>
  </si>
  <si>
    <t>0018000000M3VrvAAF</t>
  </si>
  <si>
    <t>{PS_Sub_Region__c=Local Government LE, Industry=Education (K-12), SubRegion__c=US Local Gov LE CB, Name=Academy School District 20, PS_Region_New__c=US SLED, attributes={type=Account, url=/services/data/v62.0/sobjects/Account/0018000000M3VrvAAF}}</t>
  </si>
  <si>
    <t>University of New Mexico</t>
  </si>
  <si>
    <t>a0pVT00000CplxGYAR</t>
  </si>
  <si>
    <t>{Industry=Banking &amp; Capital Markets, Name=United Services Automobile Association, attributes={url=/services/data/v62.0/sobjects/Account/0013000000IIszOAAT, type=Account}, PS_Region_New__c=US FSI, SubRegion__c=US FSI Key Accounts, PS_Sub_Region__c=FSI Key Accounts}</t>
  </si>
  <si>
    <t>a0pVT00000Cpzx0YAB</t>
  </si>
  <si>
    <t>{Industry=Healthcare Manufacturing, PS_Sub_Region__c=Diversified Industries LE NN, SubRegion__c=US DI LE NN MFG East, attributes={type=Account, url=/services/data/v62.0/sobjects/Account/0013000000IJ076AAD}, Name=Boston Scientific Corporation, PS_Region_New__c=US Large Enterprise DI &amp; Mexico}</t>
  </si>
  <si>
    <t>Uplift Education Foundation (Inactive Account)</t>
  </si>
  <si>
    <t>Upstate Niagara Cooperative, Inc.</t>
  </si>
  <si>
    <t>a0pVT00000Cpy02YAB</t>
  </si>
  <si>
    <t>{Industry=Healthcare Manufacturing, PS_Sub_Region__c=ME NN MFG, Name=CareLinc Medical Equipment, SubRegion__c=US DI ME NN MFG Midwest, PS_Region_New__c=US Medium Enterprise DI, attributes={type=Account, url=/services/data/v62.0/sobjects/Account/0014X00002U4qwcQAB}}</t>
  </si>
  <si>
    <t>US LBM Holdings, LLC</t>
  </si>
  <si>
    <t>a0pVT00000CpwJCYAZ</t>
  </si>
  <si>
    <t>USR Parent Inc (Inactive Account)</t>
  </si>
  <si>
    <t>{PS_Region_New__c=US Large Enterprise DI &amp; Mexico, SubRegion__c=US DI LE CB RHT West, Industry=Softlines, Name=Columbia Sportswear Company, PS_Sub_Region__c=Diversified Industries LE CB RHT, attributes={url=/services/data/v62.0/sobjects/Account/0013000000IJ4GoAAL, type=Account}}</t>
  </si>
  <si>
    <t>a0pVT00000Cq538YAB</t>
  </si>
  <si>
    <t>Vai Resort</t>
  </si>
  <si>
    <t>{PS_Region_New__c=US Healthcare, Name=Premier Healthcare Solutions, Inc., PS_Sub_Region__c=Healthcare LE, attributes={url=/services/data/v62.0/sobjects/Account/0018000000ipkKvAAI, type=Account}, Industry=Professional Services, SubRegion__c=US Healthcare LE CB South}</t>
  </si>
  <si>
    <t>Valley Children's Healthcare</t>
  </si>
  <si>
    <t>a0pVT00000CpprEYAR</t>
  </si>
  <si>
    <t>{attributes={type=Account, url=/services/data/v62.0/sobjects/Account/0018000001CgAzGAAV}, Name=Bodybuilding.com, LLC (Inactive Account), SubRegion__c=null, PS_Region_New__c=null, Industry=Consumer Goods, PS_Sub_Region__c=null}</t>
  </si>
  <si>
    <t>a0pVT00000Cpq48YAB</t>
  </si>
  <si>
    <t>{PS_Sub_Region__c=Diversified Industries Key Accounts, attributes={url=/services/data/v62.0/sobjects/Account/0013000000IJZ7YAAX, type=Account}, SubRegion__c=US DI Key Accounts MFG, Industry=Healthcare Manufacturing, PS_Region_New__c=US Large Enterprise DI &amp; Mexico, Name=Medtronic, Inc.}</t>
  </si>
  <si>
    <t>Valvoline LLC</t>
  </si>
  <si>
    <t>a0pVT00000Cq9czYAB</t>
  </si>
  <si>
    <t>{SubRegion__c=US DI ME NN TM East, attributes={type=Account, url=/services/data/v62.0/sobjects/Account/00180000010yopuAAA}, PS_Region_New__c=US Medium Enterprise DI, Industry=Media &amp; Entertainment, PS_Sub_Region__c=ME NN TM &amp; RHT West, Name=Brightcove Inc.}</t>
  </si>
  <si>
    <t>Vantor Holdings Inc.</t>
  </si>
  <si>
    <t>a0pVT00000CpteiYAB</t>
  </si>
  <si>
    <t>Veho Tech, Inc (Inactive Account)</t>
  </si>
  <si>
    <t>{Industry=Insurance, PS_Sub_Region__c=FSI LE, SubRegion__c=US FSI LE East, Name=Massachusetts Mutual Life Insurance Company, PS_Region_New__c=US FSI, attributes={type=Account, url=/services/data/v62.0/sobjects/Account/0013000000IK1MBAA1}}</t>
  </si>
  <si>
    <t>a0pVT00000CplcJYAR</t>
  </si>
  <si>
    <t>{PS_Sub_Region__c=Diversified Industries LE CB TM &amp; PS, Name=GoDaddy.com, LLC, SubRegion__c=US DI LE CB TM &amp; PS Southwest, attributes={url=/services/data/v62.0/sobjects/Account/0013000000IKBryAAH, type=Account}, PS_Region_New__c=US Large Enterprise DI &amp; Mexico, Industry=Software &amp; Platforms}</t>
  </si>
  <si>
    <t>Veolia Environnement SA</t>
  </si>
  <si>
    <t>a0pVT00000Cq2EvYAJ</t>
  </si>
  <si>
    <t>{PS_Region_New__c=US Large Enterprise DI &amp; Mexico, Industry=High Technology, attributes={url=/services/data/v62.0/sobjects/Account/0013000000IKCdwAAH, type=Account}, Name=Hubbell Incorporated, PS_Sub_Region__c=Diversified Industries LE NN, SubRegion__c=US DI LE NN MFG East}</t>
  </si>
  <si>
    <t>Verano Holdings LLC</t>
  </si>
  <si>
    <t>a0pVT00000Cq2GXYAZ</t>
  </si>
  <si>
    <t>{attributes={url=/services/data/v62.0/sobjects/Account/0013000000IKCdwAAH, type=Account}, PS_Region_New__c=US Large Enterprise DI &amp; Mexico, Industry=High Technology, Name=Hubbell Incorporated, SubRegion__c=US DI LE NN MFG East, PS_Sub_Region__c=Diversified Industries LE NN}</t>
  </si>
  <si>
    <t>a0pVT00000Cq4LZYAZ</t>
  </si>
  <si>
    <t>9/22/2026: Going well. In hypercare.</t>
  </si>
  <si>
    <t>Vermeer Corporation</t>
  </si>
  <si>
    <t>{Industry=Ambulatory, SubRegion__c=US Healthcare Majors CB, PS_Region_New__c=US Healthcare, attributes={url=/services/data/v62.0/sobjects/Account/0013000000KLX5lAAH, type=Account}, PS_Sub_Region__c=Healthcare Majors NN, Name=DaVita Inc.}</t>
  </si>
  <si>
    <t>a0rVT00001E9AAyYAN</t>
  </si>
  <si>
    <t>a0pVT00000Cq4NBYAZ</t>
  </si>
  <si>
    <t>Versant Media LLC.</t>
  </si>
  <si>
    <t>{PS_Region_New__c=US Healthcare, PS_Sub_Region__c=Healthcare Majors NN, Name=DaVita Inc., Industry=Ambulatory, SubRegion__c=US Healthcare Majors CB, attributes={url=/services/data/v62.0/sobjects/Account/0013000000KLX5lAAH, type=Account}}</t>
  </si>
  <si>
    <t>a0pVT00000Cpgr8YAB</t>
  </si>
  <si>
    <t>{PS_Sub_Region__c=Healthcare Majors NN, Name=DaVita Inc., PS_Region_New__c=US Healthcare, SubRegion__c=US Healthcare Majors CB, attributes={url=/services/data/v62.0/sobjects/Account/0013000000KLX5lAAH, type=Account}, Industry=Ambulatory}</t>
  </si>
  <si>
    <t>09/12/2026
Team was able to complete configurations
SIT completed
E2E and UAT on going
VHA working with the CSM</t>
  </si>
  <si>
    <t>Viasat, Inc.</t>
  </si>
  <si>
    <t>a0pVT00000CprucYAB</t>
  </si>
  <si>
    <t>{SubRegion__c=US Healthcare Majors CB, PS_Sub_Region__c=Healthcare Majors NN, Name=DaVita Inc., attributes={url=/services/data/v62.0/sobjects/Account/0013000000KLX5lAAH, type=Account}, Industry=Ambulatory, PS_Region_New__c=US Healthcare}</t>
  </si>
  <si>
    <t>Vicinity Centres PM Pty Ltd</t>
  </si>
  <si>
    <t>a0pVT00000Cq2I9YAJ</t>
  </si>
  <si>
    <t>Vinfen Corporation</t>
  </si>
  <si>
    <t>{PS_Sub_Region__c=Diversified Industries LE CB RHT, SubRegion__c=US DI LE CB RHT South, PS_Region_New__c=US Large Enterprise DI &amp; Mexico, Industry=Auto, attributes={type=Account, url=/services/data/v62.0/sobjects/Account/0013000000IfwhRAAR}, Name=DriveTime Car Sales Company, LLC}</t>
  </si>
  <si>
    <t>Virgin Cruises Intermediate Limited</t>
  </si>
  <si>
    <t>a0pVT00000CpqleYAB</t>
  </si>
  <si>
    <t>{Industry=Auto, PS_Region_New__c=US Large Enterprise DI &amp; Mexico, attributes={url=/services/data/v62.0/sobjects/Account/0013000000IfwhRAAR, type=Account}, PS_Sub_Region__c=Diversified Industries LE CB RHT, SubRegion__c=US DI LE CB RHT South, Name=DriveTime Car Sales Company, LLC}</t>
  </si>
  <si>
    <t>Visiting Nurse Service of New York</t>
  </si>
  <si>
    <t>a0pVT00000Cq2IAYAZ</t>
  </si>
  <si>
    <t>{PS_Sub_Region__c=Diversified Industries LE CB RHT, PS_Region_New__c=US Large Enterprise DI &amp; Mexico, SubRegion__c=US DI LE CB RHT South, Name=DriveTime Car Sales Company, LLC, Industry=Auto, attributes={type=Account, url=/services/data/v62.0/sobjects/Account/0013000000IfwhRAAR}}</t>
  </si>
  <si>
    <t>Vista Community Clinic</t>
  </si>
  <si>
    <t>a0pVT00000Cq2LNYAZ</t>
  </si>
  <si>
    <t>{attributes={url=/services/data/v62.0/sobjects/Account/0013000000Inpe8AAB, type=Account}, Name=CDW LLC, PS_Sub_Region__c=Diversified Industries LE CB TM &amp; PS, SubRegion__c=US DI LE CB TM &amp; PS Midwest, PS_Region_New__c=US Large Enterprise DI &amp; Mexico, Industry=Technology Solutions}</t>
  </si>
  <si>
    <t>Vistar Corporate</t>
  </si>
  <si>
    <t>a0pVT00000CpmAAYAZ</t>
  </si>
  <si>
    <t>Vitenas Cosmetic Center</t>
  </si>
  <si>
    <t>{PS_Sub_Region__c=ME CB TM &amp; RHT, attributes={url=/services/data/v62.0/sobjects/Account/0013000000InzuHAAR, type=Account}, Name=Best Western International, Inc., SubRegion__c=US DI ME CB RHT West, PS_Region_New__c=US Medium Enterprise DI, Industry=Lodging &amp; Resorts}</t>
  </si>
  <si>
    <t>a0pVT00000CpvF6YAJ</t>
  </si>
  <si>
    <t>W.W. Grainger, Inc.</t>
  </si>
  <si>
    <t>{Name=Taylor Morrison, Inc., SubRegion__c=US DI ME CB PBS West, Industry=Business Services, attributes={type=Account, url=/services/data/v62.0/sobjects/Account/00180000011TUgjAAG}, PS_Region_New__c=US Medium Enterprise DI, PS_Sub_Region__c=ME CB PBS}</t>
  </si>
  <si>
    <t>Walker &amp; Dunlop, LLC</t>
  </si>
  <si>
    <t>a0pVT00000Cq8gwYAB</t>
  </si>
  <si>
    <t>{Name=Taylor Morrison, Inc., Industry=Business Services, PS_Sub_Region__c=ME CB PBS, PS_Region_New__c=US Medium Enterprise DI, SubRegion__c=US DI ME CB PBS West, attributes={url=/services/data/v62.0/sobjects/Account/00180000011TUgjAAG, type=Account}}</t>
  </si>
  <si>
    <t>a0pVT00000CptEuYAJ</t>
  </si>
  <si>
    <t>{Industry=Business Services, SubRegion__c=US DI ME CB PBS West, PS_Sub_Region__c=ME CB PBS, Name=Taylor Morrison, Inc., PS_Region_New__c=US Medium Enterprise DI, attributes={type=Account, url=/services/data/v62.0/sobjects/Account/00180000011TUgjAAG}}</t>
  </si>
  <si>
    <t>21 Sep: Go-live went as planned and project is now in the hypercare phase.</t>
  </si>
  <si>
    <t>a0pVT00000Cq2ObYAJ</t>
  </si>
  <si>
    <t>{SubRegion__c=US DI LE NN RHT South, PS_Region_New__c=US Large Enterprise DI &amp; Mexico, Industry=Lodging &amp; Resorts, Name=Hilton Worldwide Holdings Inc., PS_Sub_Region__c=Diversified Industries LE NN, attributes={url=/services/data/v62.0/sobjects/Account/0013000000Io0qRAAR, type=Account}}</t>
  </si>
  <si>
    <t>Walsh Construction Company II, LLC</t>
  </si>
  <si>
    <t>Wasatch Property Management, Inc.</t>
  </si>
  <si>
    <t>a0pVT00000CpkjTYAR</t>
  </si>
  <si>
    <t>{attributes={url=/services/data/v62.0/sobjects/Account/0013000000JLmNpAAL, type=Account}, PS_Region_New__c=US Large Enterprise DI &amp; Mexico, Industry=Restaurant &amp; Food Service, SubRegion__c=US DI LE CB RHT Midwest, PS_Sub_Region__c=Diversified Industries LE CB RHT, Name=Kehe Distributors, LLC}</t>
  </si>
  <si>
    <t>Wasatch Valley Pizza, LLC (AWRG PH)</t>
  </si>
  <si>
    <t>a0pVT00000CpqAYYAZ</t>
  </si>
  <si>
    <t>Washington Elementary District</t>
  </si>
  <si>
    <t>{SubRegion__c=US DI LE CB RHT Midwest, Industry=Restaurant &amp; Food Service, PS_Sub_Region__c=Diversified Industries LE CB RHT, Name=Kehe Distributors, LLC, attributes={type=Account, url=/services/data/v62.0/sobjects/Account/0013000000JLmNpAAL}, PS_Region_New__c=US Large Enterprise DI &amp; Mexico}</t>
  </si>
  <si>
    <t>a0pVT00000Cq1luYAB</t>
  </si>
  <si>
    <t>Wasserman Media Group LLC</t>
  </si>
  <si>
    <t>{attributes={type=Account, url=/services/data/v62.0/sobjects/Account/0013000000JLmNpAAL}, PS_Region_New__c=US Large Enterprise DI &amp; Mexico, Name=Kehe Distributors, LLC, SubRegion__c=US DI LE CB RHT Midwest, PS_Sub_Region__c=Diversified Industries LE CB RHT, Industry=Restaurant &amp; Food Service}</t>
  </si>
  <si>
    <t>Waste Connections US, Inc.</t>
  </si>
  <si>
    <t>a0pVT00000CptrbYAB</t>
  </si>
  <si>
    <t>{PS_Region_New__c=US Large Enterprise DI &amp; Mexico, Name=Kehe Distributors, LLC, Industry=Restaurant &amp; Food Service, SubRegion__c=US DI LE CB RHT Midwest, attributes={url=/services/data/v62.0/sobjects/Account/0013000000JLmNpAAL, type=Account}, PS_Sub_Region__c=Diversified Industries LE CB RHT}</t>
  </si>
  <si>
    <t>Wayfair LLC</t>
  </si>
  <si>
    <t>a0pVT00000Cq1vaYAB</t>
  </si>
  <si>
    <t>{SubRegion__c=US DI LE CB RHT Midwest, Industry=Restaurant &amp; Food Service, PS_Sub_Region__c=Diversified Industries LE CB RHT, Name=Kehe Distributors, LLC, PS_Region_New__c=US Large Enterprise DI &amp; Mexico, attributes={url=/services/data/v62.0/sobjects/Account/0013000000JLmNpAAL, type=Account}}</t>
  </si>
  <si>
    <t>a0pVT00000Cq3PVYAZ</t>
  </si>
  <si>
    <t>{SubRegion__c=US DI LE CB RHT Midwest, PS_Sub_Region__c=Diversified Industries LE CB RHT, Industry=Restaurant &amp; Food Service, attributes={type=Account, url=/services/data/v62.0/sobjects/Account/0013000000JLmNpAAL}, Name=Kehe Distributors, LLC, PS_Region_New__c=US Large Enterprise DI &amp; Mexico}</t>
  </si>
  <si>
    <t>Webster Financial Corporation</t>
  </si>
  <si>
    <t>a0pVT00000Cq2QDYAZ</t>
  </si>
  <si>
    <t>{PS_Sub_Region__c=Diversified Industries LE CB RHT, Industry=Softlines, Name=Claire's Stores, Inc., attributes={url=/services/data/v62.0/sobjects/Account/0013000000Io5oNAAR, type=Account}, PS_Region_New__c=US Large Enterprise DI &amp; Mexico, SubRegion__c=null}</t>
  </si>
  <si>
    <t>Wellspan Health</t>
  </si>
  <si>
    <t>a0pVT00000Cq2RpYAJ</t>
  </si>
  <si>
    <t>{SubRegion__c=US DI LE NN MFG Central, PS_Region_New__c=US Large Enterprise DI &amp; Mexico, Industry=Architecture, Engineering &amp; Construction, attributes={type=Account, url=/services/data/v62.0/sobjects/Account/0013000000IoB7CAAV}, PS_Sub_Region__c=Diversified Industries LE NN, Name=Kiewit Corporation}</t>
  </si>
  <si>
    <t>Wellspring Lutheran Services</t>
  </si>
  <si>
    <t>a0pVT00000Cq2TRYAZ</t>
  </si>
  <si>
    <t>Scorecard request: 3392077</t>
  </si>
  <si>
    <t>Wend Australia Pty Ltd</t>
  </si>
  <si>
    <t>{Industry=Architecture, Engineering &amp; Construction, PS_Region_New__c=US Large Enterprise DI &amp; Mexico, Name=Kiewit Corporation, SubRegion__c=US DI LE NN MFG Central, attributes={type=Account, url=/services/data/v62.0/sobjects/Account/0013000000IoB7CAAV}, PS_Sub_Region__c=Diversified Industries LE NN}</t>
  </si>
  <si>
    <t>Wendy's of Colorado Springs, Inc. (WOCS)</t>
  </si>
  <si>
    <t>a0pVT00000CphjyYAB</t>
  </si>
  <si>
    <t>{Name=United Healthcare Services, Inc., PS_Region_New__c=US Healthcare, SubRegion__c=US Healthcare Payor, PS_Sub_Region__c=Healthcare ME, attributes={url=/services/data/v62.0/sobjects/Account/0013000000IomeJAAR, type=Account}, Industry=Health Insurance}</t>
  </si>
  <si>
    <t>West Kern Youth Work</t>
  </si>
  <si>
    <t>a0pVT00000CpuPSYAZ</t>
  </si>
  <si>
    <t>{Name=Gulfstream Aerospace Corporation, PS_Region_New__c=US Federal, SubRegion__c=US Federal Defense &amp; Intel, attributes={type=Account, url=/services/data/v62.0/sobjects/Account/0018000000M3dvEAAR}, Industry=High Technology, PS_Sub_Region__c=US Federal}</t>
  </si>
  <si>
    <t>Westchester County Health Care Corporation d/b/a Westchester Medical Center Health Network</t>
  </si>
  <si>
    <t>a0pVT00000CpzP9YAJ</t>
  </si>
  <si>
    <t>{Industry=Food &amp; Drug, PS_Region_New__c=US Large Enterprise DI &amp; Mexico, SubRegion__c=US DI LE CB RHT West, attributes={type=Account, url=/services/data/v62.0/sobjects/Account/0013000000IqIdRAAV}, Name=McKesson Corporation, PS_Sub_Region__c=Diversified Industries LE CB RHT}</t>
  </si>
  <si>
    <t>Western Union Financial Services, Inc.</t>
  </si>
  <si>
    <t>Westinghouse Electric Company LLC</t>
  </si>
  <si>
    <t>a0pVT00000Cq1FeYAJ</t>
  </si>
  <si>
    <t>{Name=McKesson Corporation, PS_Region_New__c=US Large Enterprise DI &amp; Mexico, attributes={url=/services/data/v62.0/sobjects/Account/0013000000IqIdRAAV, type=Account}, Industry=Food &amp; Drug, SubRegion__c=US DI LE CB RHT West, PS_Sub_Region__c=Diversified Industries LE CB RHT}</t>
  </si>
  <si>
    <t>Westlake Corporation</t>
  </si>
  <si>
    <t>a0pVT00000Cplu2YAB</t>
  </si>
  <si>
    <t>WeWork India Management Private Limited</t>
  </si>
  <si>
    <t>{PS_Sub_Region__c=Alps, Name=Japan Tobacco Inc., Industry=Consumer Goods, PS_Region_New__c=DACH, SubRegion__c=Alps LE NN, attributes={url=/services/data/v62.0/sobjects/Account/0018000000rQ90sAAC, type=Account}}</t>
  </si>
  <si>
    <t>a0pVT00000Cq3HSYAZ</t>
  </si>
  <si>
    <t>WGU Corporation</t>
  </si>
  <si>
    <t>{Industry=Consumer Goods, PS_Region_New__c=DACH, Name=Japan Tobacco Inc., SubRegion__c=Alps LE NN, PS_Sub_Region__c=Alps, attributes={type=Account, url=/services/data/v62.0/sobjects/Account/0018000000rQ90sAAC}}</t>
  </si>
  <si>
    <t>White Lodging Services Corp</t>
  </si>
  <si>
    <t>a0pVT00000CptmmYAB</t>
  </si>
  <si>
    <t>{PS_Region_New__c=US Medium Enterprise DI, attributes={type=Account, url=/services/data/v62.0/sobjects/Account/001VT00000b2ojNYAQ}, Industry=Other Healthcare, SubRegion__c=US DI Commercial NN Southeast, Name=Fellowship House, PS_Sub_Region__c=ME Commercial East}</t>
  </si>
  <si>
    <t>Whole Foods Market Services LLC</t>
  </si>
  <si>
    <t>a0pVT00000CpzU0YAJ</t>
  </si>
  <si>
    <t>{attributes={url=/services/data/v62.0/sobjects/Account/001VT00000b343NYAQ, type=Account}, PS_Region_New__c=US SLED, PS_Sub_Region__c=Higher Education LE, SubRegion__c=US NFP NN West, Industry=Non-Profit, Name=Project Lead The Way, Inc.}</t>
  </si>
  <si>
    <t>WideOpenWest Finance, LLC</t>
  </si>
  <si>
    <t>a0pVT00000Cq2V3YAJ</t>
  </si>
  <si>
    <t>{Industry=Chemicals, PS_Sub_Region__c=Diversified Industries LE NN, Name=Avery Dennison Corporation, attributes={type=Account, url=/services/data/v62.0/sobjects/Account/0013000000IrJf8AAF}, PS_Region_New__c=US Large Enterprise DI &amp; Mexico, SubRegion__c=US DI LE NN MFG Central}</t>
  </si>
  <si>
    <t>Wonder Group, Inc</t>
  </si>
  <si>
    <t>a0pVT00000CpsdnYAB</t>
  </si>
  <si>
    <t>{PS_Region_New__c=US Large Enterprise DI &amp; Mexico, SubRegion__c=US DI LE NN MFG Central, Name=Avery Dennison Corporation, PS_Sub_Region__c=Diversified Industries LE NN, Industry=Chemicals, attributes={type=Account, url=/services/data/v62.0/sobjects/Account/0013000000IrJf8AAF}}</t>
  </si>
  <si>
    <t>Workday</t>
  </si>
  <si>
    <t>a0pVT00000Cq2QEYAZ</t>
  </si>
  <si>
    <t>{SubRegion__c=US DI LE NN MFG Central, PS_Region_New__c=US Large Enterprise DI &amp; Mexico, Industry=Chemicals, attributes={url=/services/data/v62.0/sobjects/Account/0013000000IrJf8AAF, type=Account}, Name=Avery Dennison Corporation, PS_Sub_Region__c=Diversified Industries LE NN}</t>
  </si>
  <si>
    <t>Workforce Solutions Texoma</t>
  </si>
  <si>
    <t>a0pVT00000CpkGSYAZ</t>
  </si>
  <si>
    <t>00180000010FnL7AAK</t>
  </si>
  <si>
    <t>{Industry=Utilities, PS_Sub_Region__c=Diversified Industries LE NN, Name=Oncor Electric Delivery Company LLC, SubRegion__c=US DI LE NN MFG West, attributes={type=Account, url=/services/data/v62.0/sobjects/Account/00180000010FnL7AAK}, PS_Region_New__c=US Large Enterprise DI &amp; Mexico}</t>
  </si>
  <si>
    <t>World Fuel Services Corporation</t>
  </si>
  <si>
    <t>WP Beverages</t>
  </si>
  <si>
    <t>a0pVT00000Cq9RhYAJ</t>
  </si>
  <si>
    <t>{SubRegion__c=US DI LE NN MFG West, PS_Sub_Region__c=Diversified Industries LE NN, attributes={url=/services/data/v62.0/sobjects/Account/00180000010FnL7AAK, type=Account}, PS_Region_New__c=US Large Enterprise DI &amp; Mexico, Name=Oncor Electric Delivery Company LLC, Industry=Utilities}</t>
  </si>
  <si>
    <t>Wyndham Hotels &amp; Resorts, Inc.</t>
  </si>
  <si>
    <t>a0pVT00000CpykoYAB</t>
  </si>
  <si>
    <t>{PS_Region_New__c=US Large Enterprise DI &amp; Mexico, attributes={type=Account, url=/services/data/v62.0/sobjects/Account/0013000000IrLUbAAN}, SubRegion__c=US DI LE CB RHT West, Industry=Auto, PS_Sub_Region__c=Diversified Industries LE CB RHT, Name=The Reinalt-Thomas Corporation}</t>
  </si>
  <si>
    <t>Xcel Energy Services Inc.</t>
  </si>
  <si>
    <t>a0pVT00000Cq2WfYAJ</t>
  </si>
  <si>
    <t>Yam Management</t>
  </si>
  <si>
    <t>{PS_Region_New__c=US FSI, SubRegion__c=US FSI Key Accounts, Industry=Insurance, Name=Allstate Insurance Company, attributes={url=/services/data/v62.0/sobjects/Account/0013000000J0aDaAAJ, type=Account}, PS_Sub_Region__c=FSI Key Accounts}</t>
  </si>
  <si>
    <t>Yellowstone Landscape Group, Inc.</t>
  </si>
  <si>
    <t>a0pVT00000CptI6YAJ</t>
  </si>
  <si>
    <t>{Industry=Professional Services, PS_Region_New__c=US Medium Enterprise DI, Name=CornerStone Staffing, SubRegion__c=US DI Commercial NN TOLA, PS_Sub_Region__c=ME Commercial West, attributes={type=Account, url=/services/data/v62.0/sobjects/Account/0014X00002fG6tlQAC}}</t>
  </si>
  <si>
    <t>YMCA of Greater Pittsburgh</t>
  </si>
  <si>
    <t>a0pVT00000Cq2YHYAZ</t>
  </si>
  <si>
    <t>0013000000J0biRAAR</t>
  </si>
  <si>
    <t>{attributes={url=/services/data/v62.0/sobjects/Account/0013000000J0biRAAR, type=Account}, PS_Sub_Region__c=Diversified Industries LE CB MFG, Industry=Chemicals, Name=The Dow Chemical Company, PS_Region_New__c=US Large Enterprise DI &amp; Mexico, SubRegion__c=US DI LE CB MFG Midwest}</t>
  </si>
  <si>
    <t>Young Men's Christian Association of Greater Indianapolis</t>
  </si>
  <si>
    <t>a0pVT00000Cq2bVYAR</t>
  </si>
  <si>
    <t>Young Men's Christian Association of Greater Long Beach</t>
  </si>
  <si>
    <t>{PS_Sub_Region__c=Diversified Industries LE CB MFG, SubRegion__c=US DI LE CB MFG Midwest, Name=The Dow Chemical Company, PS_Region_New__c=US Large Enterprise DI &amp; Mexico, Industry=Chemicals, attributes={type=Account, url=/services/data/v62.0/sobjects/Account/0013000000J0biRAAR}}</t>
  </si>
  <si>
    <t>a0pVT00000Cq1ItYAJ</t>
  </si>
  <si>
    <t>Yum Tasty Chicken, LLC</t>
  </si>
  <si>
    <t>{Industry=Telecom, PS_Region_New__c=US Large Enterprise DI &amp; Mexico, Name=Altice USA, Inc., SubRegion__c=US DI LE NN TM &amp; PS East, PS_Sub_Region__c=Diversified Industries LE NN, attributes={type=Account, url=/services/data/v62.0/sobjects/Account/0018000001VlqnlAAB}}</t>
  </si>
  <si>
    <t>Yuma Regional Medical Center DBA Onvida Health Yuma Medical Center</t>
  </si>
  <si>
    <t>a0pVT00000Cq7MgYAJ</t>
  </si>
  <si>
    <t>{attributes={url=/services/data/v62.0/sobjects/Account/0018000001VlqnlAAB, type=Account}, PS_Sub_Region__c=Diversified Industries LE NN, SubRegion__c=US DI LE NN TM &amp; PS East, Industry=Telecom, PS_Region_New__c=US Large Enterprise DI &amp; Mexico, Name=Altice USA, Inc.}</t>
  </si>
  <si>
    <t>a0pVT00000Cpz2YYAR</t>
  </si>
  <si>
    <t>{Industry=Telecom, PS_Region_New__c=US Large Enterprise DI &amp; Mexico, SubRegion__c=US DI LE NN TM &amp; PS East, attributes={url=/services/data/v62.0/sobjects/Account/0018000001VlqnlAAB, type=Account}, PS_Sub_Region__c=Diversified Industries LE NN, Name=Altice USA, Inc.}</t>
  </si>
  <si>
    <t>BRD signed off; Workbook and Integration sessions nearing completion, CEM build well underway</t>
  </si>
  <si>
    <t>Zambrero</t>
  </si>
  <si>
    <t>a0pVT00000Cq65eYAB</t>
  </si>
  <si>
    <t>{PS_Region_New__c=US Large Enterprise DI &amp; Mexico, Name=Altice USA, Inc., SubRegion__c=US DI LE NN TM &amp; PS East, PS_Sub_Region__c=Diversified Industries LE NN, Industry=Telecom, attributes={type=Account, url=/services/data/v62.0/sobjects/Account/0018000001VlqnlAAB}}</t>
  </si>
  <si>
    <t>a0pVT00000CpnkZYAR</t>
  </si>
  <si>
    <t>{SubRegion__c=US DI LE NN TM &amp; PS East, PS_Sub_Region__c=Diversified Industries LE NN, Name=Altice USA, Inc., attributes={url=/services/data/v62.0/sobjects/Account/0018000001VlqnlAAB, type=Account}, PS_Region_New__c=US Large Enterprise DI &amp; Mexico, Industry=Telecom}</t>
  </si>
  <si>
    <t>Zeiders Enterprises Inc.</t>
  </si>
  <si>
    <t>a0pVT00000CpqlfYAB</t>
  </si>
  <si>
    <t>Zillow, Inc.</t>
  </si>
  <si>
    <t>{PS_Region_New__c=US Large Enterprise DI &amp; Mexico, Name=DTE Energy Company, attributes={type=Account, url=/services/data/v62.0/sobjects/Account/0013000000J0boTAAR}, Industry=Utilities, PS_Sub_Region__c=Diversified Industries LE NN, SubRegion__c=US DI LE NN MFG Central}</t>
  </si>
  <si>
    <t>Zing Credit Union</t>
  </si>
  <si>
    <t>a0pVT00000Cq2d7YAB</t>
  </si>
  <si>
    <t>{PS_Sub_Region__c=Diversified Industries LE NN, SubRegion__c=US DI LE NN MFG Central, Industry=Utilities, attributes={type=Account, url=/services/data/v62.0/sobjects/Account/0013000000J0boTAAR}, PS_Region_New__c=US Large Enterprise DI &amp; Mexico, Name=DTE Energy Company}</t>
  </si>
  <si>
    <t>Zoom Communications, Inc.</t>
  </si>
  <si>
    <t>a0pVT00000Cq2ejYAB</t>
  </si>
  <si>
    <t>Zühlke Engineering AG</t>
  </si>
  <si>
    <t>{SubRegion__c=US DI LE NN MFG West, attributes={url=/services/data/v62.0/sobjects/Account/0013000000J0bonAAB, type=Account}, PS_Sub_Region__c=Diversified Industries LE NN, Name=E. &amp; J. Gallo Winery, Industry=Consumer Goods, PS_Region_New__c=US Large Enterprise DI &amp; Mexico}</t>
  </si>
  <si>
    <t>a0pVT00000Cq2gLYAR</t>
  </si>
  <si>
    <t>{PS_Sub_Region__c=Diversified Industries LE NN, Name=E. &amp; J. Gallo Winery, PS_Region_New__c=US Large Enterprise DI &amp; Mexico, Industry=Consumer Goods, attributes={url=/services/data/v62.0/sobjects/Account/0013000000J0bonAAB, type=Account}, SubRegion__c=US DI LE NN MFG West}</t>
  </si>
  <si>
    <t>a0pVT00000Cq2hxYAB</t>
  </si>
  <si>
    <t>{PS_Region_New__c=US Large Enterprise DI &amp; Mexico, Industry=Consumer Goods, attributes={type=Account, url=/services/data/v62.0/sobjects/Account/0013000000J0bonAAB}, Name=E. &amp; J. Gallo Winery, PS_Sub_Region__c=Diversified Industries LE NN, SubRegion__c=US DI LE NN MFG West}</t>
  </si>
  <si>
    <t>a0pVT00000CpmdCYAR</t>
  </si>
  <si>
    <t>{Industry=Insurance, attributes={type=Account, url=/services/data/v62.0/sobjects/Account/0014X00002U4P71QAF}, PS_Region_New__c=US FSI, SubRegion__c=US FSI ME CB West, Name=Independence Pet Group, Inc., PS_Sub_Region__c=FSI ME CB}</t>
  </si>
  <si>
    <t>a0pVT00000Cq1nWYAR</t>
  </si>
  <si>
    <t>{attributes={type=Account, url=/services/data/v62.0/sobjects/Account/0014X00002U4P71QAF}, Industry=Insurance, SubRegion__c=US FSI ME CB West, PS_Region_New__c=US FSI, Name=Independence Pet Group, Inc., PS_Sub_Region__c=FSI ME CB}</t>
  </si>
  <si>
    <t>a0pVT00000Cpm3jYAB</t>
  </si>
  <si>
    <t>{SubRegion__c=US DI LE NN MFG East, Name=Newell Brands Inc., attributes={type=Account, url=/services/data/v62.0/sobjects/Account/0013000000J0faKAAR}, Industry=Consumer Goods, PS_Region_New__c=US Large Enterprise DI &amp; Mexico, PS_Sub_Region__c=Diversified Industries LE NN}</t>
  </si>
  <si>
    <t>a0pVT00000Cq2jZYAR</t>
  </si>
  <si>
    <t>{Name=Owens Corning, Industry=Hardlines, PS_Sub_Region__c=Diversified Industries LE NN, attributes={type=Account, url=/services/data/v62.0/sobjects/Account/0013000000J0fq9AAB}, PS_Region_New__c=US Large Enterprise DI &amp; Mexico, SubRegion__c=US DI LE NN RHT North}</t>
  </si>
  <si>
    <t>a0pVT00000CpnmDYAR</t>
  </si>
  <si>
    <t>{PS_Sub_Region__c=Healthcare LE, Name=Sharp HealthCare, SubRegion__c=US Healthcare LE CB West, Industry=Acute Hospital / Health System, attributes={type=Account, url=/services/data/v62.0/sobjects/Account/0013000000J0h6TAAR}, PS_Region_New__c=US Healthcare}</t>
  </si>
  <si>
    <t>a0pVT00000Cq5JFYAZ</t>
  </si>
  <si>
    <t>{Industry=Restaurant &amp; Food Service, Name=Zambrero, PS_Sub_Region__c=ANZ AU ME, PS_Region_New__c=ANZ, attributes={url=/services/data/v62.0/sobjects/Account/0014X00002MED0EQAX, type=Account}, SubRegion__c=null}</t>
  </si>
  <si>
    <t>a0pVT00000Cq5KrYAJ</t>
  </si>
  <si>
    <t>{PS_Region_New__c=ANZ, Industry=Restaurant &amp; Food Service, SubRegion__c=null, attributes={url=/services/data/v62.0/sobjects/Account/0014X00002MED0EQAX, type=Account}, PS_Sub_Region__c=ANZ AU ME, Name=Zambrero}</t>
  </si>
  <si>
    <t>a0pVT00000CpqYmYAJ</t>
  </si>
  <si>
    <t>{attributes={url=/services/data/v62.0/sobjects/Account/0014X00002MED0EQAX, type=Account}, PS_Sub_Region__c=ANZ AU ME, Industry=Restaurant &amp; Food Service, Name=Zambrero, PS_Region_New__c=ANZ, SubRegion__c=null}</t>
  </si>
  <si>
    <t>a0pVT00000Cq5MTYAZ</t>
  </si>
  <si>
    <t>{Industry=Restaurant &amp; Food Service, PS_Region_New__c=ANZ, SubRegion__c=null, PS_Sub_Region__c=ANZ AU ME, attributes={type=Account, url=/services/data/v62.0/sobjects/Account/0014X00002MED0EQAX}, Name=Zambrero}</t>
  </si>
  <si>
    <t>a0pVT00000Cq2mnYAB</t>
  </si>
  <si>
    <t>{Industry=Utilities, attributes={type=Account, url=/services/data/v62.0/sobjects/Account/0013000000J0hleAAB}, PS_Region_New__c=US Large Enterprise DI &amp; Mexico, SubRegion__c=US DI LE CB MFG Central, Name=Xcel Energy Services Inc., PS_Sub_Region__c=Diversified Industries LE CB MFG}</t>
  </si>
  <si>
    <t>a0pVT00000Cq1NiYAJ</t>
  </si>
  <si>
    <t>{Industry=Professional Services, PS_Region_New__c=US Medium Enterprise DI, Name=Wasserman Media Group LLC, PS_Sub_Region__c=ME Commercial West, attributes={url=/services/data/v62.0/sobjects/Account/0013000000J0kmQAAR, type=Account}, SubRegion__c=US DI Commercial CB West}</t>
  </si>
  <si>
    <t>a0pVT00000Cq2oPYAR</t>
  </si>
  <si>
    <t>{attributes={url=/services/data/v62.0/sobjects/Account/0013000000J0kmQAAR, type=Account}, SubRegion__c=US DI Commercial CB West, PS_Sub_Region__c=ME Commercial West, Industry=Professional Services, Name=Wasserman Media Group LLC, PS_Region_New__c=US Medium Enterprise DI}</t>
  </si>
  <si>
    <t>a0pVT00000Cq3FpYAJ</t>
  </si>
  <si>
    <t>0013000000J3CwjAAF</t>
  </si>
  <si>
    <t>{PS_Region_New__c=US Medium Enterprise DI, SubRegion__c=US DI ME NN MFG Northeast, Name=Bradford White Corporation, attributes={type=Account, url=/services/data/v62.0/sobjects/Account/0013000000J3CwjAAF}, PS_Sub_Region__c=ME NN MFG, Industry=High Technology}</t>
  </si>
  <si>
    <t>a0pVT00000Cq3HRYAZ</t>
  </si>
  <si>
    <t>{attributes={type=Account, url=/services/data/v62.0/sobjects/Account/0013000000J3CwjAAF}, PS_Sub_Region__c=ME NN MFG, SubRegion__c=US DI ME NN MFG Northeast, Name=Bradford White Corporation, PS_Region_New__c=US Medium Enterprise DI, Industry=High Technology}</t>
  </si>
  <si>
    <t>a0pVT00000Cq2q1YAB</t>
  </si>
  <si>
    <t>{attributes={url=/services/data/v62.0/sobjects/Account/0013000000J0pX1AAJ, type=Account}, PS_Region_New__c=US FSI, SubRegion__c=US FSI LE West, Name=Public Storage, PS_Sub_Region__c=FSI LE, Industry=Investment Management}</t>
  </si>
  <si>
    <t>a0pVT00000Cq2rdYAB</t>
  </si>
  <si>
    <t>{PS_Sub_Region__c=FSI LE, attributes={type=Account, url=/services/data/v62.0/sobjects/Account/0013000000J0pX1AAJ}, Industry=Investment Management, PS_Region_New__c=US FSI, SubRegion__c=US FSI LE West, Name=Public Storage}</t>
  </si>
  <si>
    <t>a0pVT00000CpoTiYAJ</t>
  </si>
  <si>
    <t>{Industry=Consumer Goods, PS_Sub_Region__c=Diversified Industries LE NN, SubRegion__c=US DI LE NN MFG East, Name=Nestlé USA, Inc., attributes={url=/services/data/v62.0/sobjects/Account/0013000000J1LaiAAF, type=Account}, PS_Region_New__c=US Large Enterprise DI &amp; Mexico}</t>
  </si>
  <si>
    <t>a0pVT00000CpsVlYAJ</t>
  </si>
  <si>
    <t>{attributes={type=Account, url=/services/data/v62.0/sobjects/Account/0013000000J1LaiAAF}, SubRegion__c=US DI LE NN MFG East, PS_Region_New__c=US Large Enterprise DI &amp; Mexico, Industry=Consumer Goods, Name=Nestlé USA, Inc., PS_Sub_Region__c=Diversified Industries LE NN}</t>
  </si>
  <si>
    <t>a0pVT00000Cq2lDYAR</t>
  </si>
  <si>
    <t>{Industry=Softlines, PS_Region_New__c=US Medium Enterprise DI, PS_Sub_Region__c=ME CB TM &amp; RHT, SubRegion__c=US DI ME CB RHT West, Name=doTERRA International, LLC, attributes={type=Account, url=/services/data/v62.0/sobjects/Account/0018000001FtZsdAAF}}</t>
  </si>
  <si>
    <t>a0pVT00000CpxLiYAJ</t>
  </si>
  <si>
    <t>{Name=Citizens Financial Group, Inc., Industry=Banking &amp; Capital Markets, PS_Sub_Region__c=FSI LE, SubRegion__c=US FSI Majors, PS_Region_New__c=US FSI, attributes={type=Account, url=/services/data/v62.0/sobjects/Account/0013000000J1OJoAAN}}</t>
  </si>
  <si>
    <t>a0pVT00000CpxrzYAB</t>
  </si>
  <si>
    <t>{PS_Region_New__c=US FSI, SubRegion__c=US FSI Majors, attributes={type=Account, url=/services/data/v62.0/sobjects/Account/0013000000J1OJoAAN}, PS_Sub_Region__c=FSI LE, Name=Citizens Financial Group, Inc., Industry=Banking &amp; Capital Markets}</t>
  </si>
  <si>
    <t>a0pVT00000Cq2tFYAR</t>
  </si>
  <si>
    <t>{PS_Region_New__c=US FSI, Industry=Banking &amp; Capital Markets, Name=Citizens Financial Group, Inc., SubRegion__c=US FSI Majors, attributes={url=/services/data/v62.0/sobjects/Account/0013000000J1OJoAAN, type=Account}, PS_Sub_Region__c=FSI LE}</t>
  </si>
  <si>
    <t>a0pVT00000Cq2urYAB</t>
  </si>
  <si>
    <t>0013000000J1QKJAA3</t>
  </si>
  <si>
    <t>{PS_Region_New__c=US Large Enterprise DI &amp; Mexico, attributes={type=Account, url=/services/data/v62.0/sobjects/Account/0013000000J1QKJAA3}, Name=Baker Tilly Advisory Group, LP, PS_Sub_Region__c=Diversified Industries LE CB TM &amp; PS, SubRegion__c=US DI LE CB TM &amp; PS Northeast, Industry=Professional Services}</t>
  </si>
  <si>
    <t>a0pVT00000Cq2zhYAB</t>
  </si>
  <si>
    <t>{PS_Region_New__c=US Healthcare, Name=Highmark Health, attributes={type=Account, url=/services/data/v62.0/sobjects/Account/0013000000J1WQzAAN}, SubRegion__c=US Healthcare Payor, PS_Sub_Region__c=Healthcare ME, Industry=Health Insurance}</t>
  </si>
  <si>
    <t>a0pVT00000Cq0DAYAZ</t>
  </si>
  <si>
    <t>{Name=Highmark Health, PS_Sub_Region__c=Healthcare ME, attributes={url=/services/data/v62.0/sobjects/Account/0013000000J1WQzAAN, type=Account}, Industry=Health Insurance, PS_Region_New__c=US Healthcare, SubRegion__c=US Healthcare Payor}</t>
  </si>
  <si>
    <t>a0pVT00000CpsFcYAJ</t>
  </si>
  <si>
    <t>{SubRegion__c=US DI LE NN TM &amp; PS East, PS_Sub_Region__c=Diversified Industries LE NN, Industry=Software &amp; Platforms, attributes={url=/services/data/v62.0/sobjects/Account/0013000000J21HlAAJ, type=Account}, PS_Region_New__c=US Large Enterprise DI &amp; Mexico, Name=Pegasystems Inc.}</t>
  </si>
  <si>
    <t>a0pVT00000CpxbqYAB</t>
  </si>
  <si>
    <t>{Industry=Health Insurance, attributes={type=Account, url=/services/data/v62.0/sobjects/Account/0013000000J2TwSAAV}, PS_Sub_Region__c=Healthcare ME, Name=Elevance Health, Inc., SubRegion__c=US Healthcare Payor, PS_Region_New__c=US Healthcare}</t>
  </si>
  <si>
    <t>a0pVT00000Cpv5PYAR</t>
  </si>
  <si>
    <t>{Name=Stetson University, PS_Region_New__c=US SLED, Industry=Higher Education, SubRegion__c=US Higher Ed ME NN Southeast, attributes={url=/services/data/v62.0/sobjects/Account/0018000000njUrHAAU, type=Account}, PS_Sub_Region__c=Higher Education ME}</t>
  </si>
  <si>
    <t>a0pVT00000Cpl63YAB</t>
  </si>
  <si>
    <t>{SubRegion__c=US DI LE CB RHT Midwest, PS_Sub_Region__c=Diversified Industries LE CB RHT, attributes={type=Account, url=/services/data/v62.0/sobjects/Account/0013000000J2pevAAB}, PS_Region_New__c=US Large Enterprise DI &amp; Mexico, Industry=Automotive Rental and Leasing, Name=Avis Budget Car Rental, LLC}</t>
  </si>
  <si>
    <t>a0pVT00000CpyGBYAZ</t>
  </si>
  <si>
    <t>{PS_Sub_Region__c=Diversified Industries LE CB RHT, Name=Avis Budget Car Rental, LLC, attributes={url=/services/data/v62.0/sobjects/Account/0013000000J2pevAAB, type=Account}, Industry=Automotive Rental and Leasing, SubRegion__c=US DI LE CB RHT Midwest, PS_Region_New__c=US Large Enterprise DI &amp; Mexico}</t>
  </si>
  <si>
    <t>a0pVT00000Cq34XYAR</t>
  </si>
  <si>
    <t>{PS_Sub_Region__c=Diversified Industries LE CB RHT, Name=Avis Budget Car Rental, LLC, Industry=Automotive Rental and Leasing, PS_Region_New__c=US Large Enterprise DI &amp; Mexico, attributes={url=/services/data/v62.0/sobjects/Account/0013000000J2pevAAB, type=Account}, SubRegion__c=US DI LE CB RHT Midwest}</t>
  </si>
  <si>
    <t>a0pVT00000Cq369YAB</t>
  </si>
  <si>
    <t>{PS_Sub_Region__c=Diversified Industries LE CB RHT, SubRegion__c=US DI LE CB RHT Midwest, attributes={url=/services/data/v62.0/sobjects/Account/0013000000J2pgWAAR, type=Account}, PS_Region_New__c=US Large Enterprise DI &amp; Mexico, Industry=Softlines, Name=Burlington Coat Factory Warehouse Corporation}</t>
  </si>
  <si>
    <t>a0pVT00000Cq1E2YAJ</t>
  </si>
  <si>
    <t>{attributes={url=/services/data/v62.0/sobjects/Account/0013000000J2pgWAAR, type=Account}, PS_Region_New__c=US Large Enterprise DI &amp; Mexico, Industry=Softlines, PS_Sub_Region__c=Diversified Industries LE CB RHT, SubRegion__c=US DI LE CB RHT Midwest, Name=Burlington Coat Factory Warehouse Corporation}</t>
  </si>
  <si>
    <t>a0pVT00000Cpty5YAB</t>
  </si>
  <si>
    <t>{attributes={url=/services/data/v62.0/sobjects/Account/0013000000J2pgWAAR, type=Account}, SubRegion__c=US DI LE CB RHT Midwest, PS_Sub_Region__c=Diversified Industries LE CB RHT, Industry=Softlines, Name=Burlington Coat Factory Warehouse Corporation, PS_Region_New__c=US Large Enterprise DI &amp; Mexico}</t>
  </si>
  <si>
    <t>a0pVT00000Cpn1OYAR</t>
  </si>
  <si>
    <t>{PS_Sub_Region__c=Diversified Industries LE CB RHT, SubRegion__c=US DI LE CB RHT Midwest, Name=Burlington Coat Factory Warehouse Corporation, PS_Region_New__c=US Large Enterprise DI &amp; Mexico, attributes={type=Account, url=/services/data/v62.0/sobjects/Account/0013000000J2pgWAAR}, Industry=Softlines}</t>
  </si>
  <si>
    <t>a0pVT00000Cq37lYAB</t>
  </si>
  <si>
    <t>{Name=Burlington Coat Factory Warehouse Corporation, Industry=Softlines, PS_Sub_Region__c=Diversified Industries LE CB RHT, PS_Region_New__c=US Large Enterprise DI &amp; Mexico, SubRegion__c=US DI LE CB RHT Midwest, attributes={url=/services/data/v62.0/sobjects/Account/0013000000J2pgWAAR, type=Account}}</t>
  </si>
  <si>
    <t>a0pVT00000CpnasYAB</t>
  </si>
  <si>
    <t>{PS_Region_New__c=US Medium Enterprise DI, SubRegion__c=US DI ME CB MFG North, attributes={url=/services/data/v62.0/sobjects/Account/0013000000J2qf4AAB, type=Account}, Name=NJR Service Corporation, PS_Sub_Region__c=ME CB MFG, Industry=Oil &amp; Gas}</t>
  </si>
  <si>
    <t>a0pVT00000CqASbYAN</t>
  </si>
  <si>
    <t>{attributes={type=Account, url=/services/data/v62.0/sobjects/Account/0018000001Oige3AAB}, PS_Region_New__c=US FSI, SubRegion__c=US FSI LE East, PS_Sub_Region__c=FSI LE, Industry=Insurance, Name=OneDigital}</t>
  </si>
  <si>
    <t>a0pVT00000CpwvuYAB</t>
  </si>
  <si>
    <t>{attributes={type=Account, url=/services/data/v62.0/sobjects/Account/0018000001Oige3AAB}, PS_Sub_Region__c=FSI LE, SubRegion__c=US FSI LE East, Industry=Insurance, PS_Region_New__c=US FSI, Name=OneDigital}</t>
  </si>
  <si>
    <t>a0pVT00000Cq39NYAR</t>
  </si>
  <si>
    <t>{PS_Region_New__c=US Large Enterprise DI &amp; Mexico, SubRegion__c=US DI LE NN RHT North, attributes={url=/services/data/v62.0/sobjects/Account/0013000000J2ravAAB, type=Account}, Industry=Restaurant &amp; Food Service, Name=Aramark SCM, Inc., PS_Sub_Region__c=Diversified Industries LE NN}</t>
  </si>
  <si>
    <t>a0pVT00000CpvbeYAB</t>
  </si>
  <si>
    <t>{Industry=Professional Services, PS_Sub_Region__c=Diversified Industries LE NN, Name=KPMG LLP [US], attributes={type=Account, url=/services/data/v62.0/sobjects/Account/0013000000J2rscAAB}, SubRegion__c=US DI LE NN TM &amp; PS East, PS_Region_New__c=US Large Enterprise DI &amp; Mexico}</t>
  </si>
  <si>
    <t>a0pVT00000Cq3J3YAJ</t>
  </si>
  <si>
    <t>{attributes={url=/services/data/v62.0/sobjects/Account/0013000000J3CxxAAF, type=Account}, Name=Burris Logistics, PS_Sub_Region__c=ME NN RHT East, SubRegion__c=US DI ME NN RHT Northeast, PS_Region_New__c=US Medium Enterprise DI, Industry=Land and Rail Transportation and Freight}</t>
  </si>
  <si>
    <t>a0pVT00000Cpy9iYAB</t>
  </si>
  <si>
    <t>{PS_Region_New__c=US Medium Enterprise DI, Industry=Land and Rail Transportation and Freight, attributes={type=Account, url=/services/data/v62.0/sobjects/Account/0013000000J3CxxAAF}, PS_Sub_Region__c=ME NN RHT East, Name=Burris Logistics, SubRegion__c=US DI ME NN RHT Northeast}</t>
  </si>
  <si>
    <t>a0pVT00000Cpm8YYAR</t>
  </si>
  <si>
    <t>{SubRegion__c=US DI ME NN RHT Northeast, Name=Burris Logistics, Industry=Land and Rail Transportation and Freight, PS_Sub_Region__c=ME NN RHT East, attributes={url=/services/data/v62.0/sobjects/Account/0013000000J3CxxAAF, type=Account}, PS_Region_New__c=US Medium Enterprise DI}</t>
  </si>
  <si>
    <t>a0pVT00000CpqDmYAJ</t>
  </si>
  <si>
    <t>{PS_Sub_Region__c=null, Industry=High Technology, Name=ARRIS Technology, Inc. (Inactive Account), PS_Region_New__c=null, attributes={url=/services/data/v62.0/sobjects/Account/0013000000JLlztAAD, type=Account}, SubRegion__c=null}</t>
  </si>
  <si>
    <t>a0pVT00000Cq3R7YAJ</t>
  </si>
  <si>
    <t>{attributes={url=/services/data/v62.0/sobjects/Account/0013000000JLv1dAAD, type=Account}, PS_Region_New__c=US Large Enterprise DI &amp; Mexico, SubRegion__c=US DI LE NN RHT North, Industry=Hardlines, Name=Hajoca Corporation, PS_Sub_Region__c=Diversified Industries LE NN}</t>
  </si>
  <si>
    <t>a0pVT00000Cq1KUYAZ</t>
  </si>
  <si>
    <t>{attributes={type=Account, url=/services/data/v62.0/sobjects/Account/0013000000JLxYnAAL}, PS_Region_New__c=US Healthcare, PS_Sub_Region__c=Healthcare LE, Name=Wellspan Health, Industry=Acute Hospital / Health System, SubRegion__c=US Healthcare LE NN East}</t>
  </si>
  <si>
    <t>a0pVT00000Cq3SjYAJ</t>
  </si>
  <si>
    <t>{attributes={type=Account, url=/services/data/v62.0/sobjects/Account/0013000000JLxYnAAL}, PS_Sub_Region__c=Healthcare LE, Name=Wellspan Health, SubRegion__c=US Healthcare LE NN East, PS_Region_New__c=US Healthcare, Industry=Acute Hospital / Health System}</t>
  </si>
  <si>
    <t>a0pVT00000Cq0oGYAR</t>
  </si>
  <si>
    <t>{attributes={type=Account, url=/services/data/v62.0/sobjects/Account/0018000000ZzAQoAAN}, PS_Region_New__c=US Large Enterprise DI &amp; Mexico, Industry=Chemicals, Name=Linde Gas North America, PS_Sub_Region__c=Diversified Industries LE NN, SubRegion__c=US DI LE NN MFG East}</t>
  </si>
  <si>
    <t>a0pVT00000Cq7uXYAR</t>
  </si>
  <si>
    <t>{PS_Sub_Region__c=Diversified Industries LE NN, SubRegion__c=US DI LE NN MFG East, Name=Linde Gas North America, attributes={type=Account, url=/services/data/v62.0/sobjects/Account/0018000000ZzAQoAAN}, PS_Region_New__c=US Large Enterprise DI &amp; Mexico, Industry=Chemicals}</t>
  </si>
  <si>
    <t>a0pVT00000Cq0hpYAB</t>
  </si>
  <si>
    <t>{PS_Region_New__c=US Large Enterprise DI &amp; Mexico, attributes={type=Account, url=/services/data/v62.0/sobjects/Account/0018000000ZzAQoAAN}, SubRegion__c=US DI LE NN MFG East, PS_Sub_Region__c=Diversified Industries LE NN, Name=Linde Gas North America, Industry=Chemicals}</t>
  </si>
  <si>
    <t>a0pVT00000Cq7w9YAB</t>
  </si>
  <si>
    <t>{PS_Region_New__c=US Large Enterprise DI &amp; Mexico, PS_Sub_Region__c=Diversified Industries LE NN, SubRegion__c=US DI LE NN MFG East, Industry=Chemicals, attributes={url=/services/data/v62.0/sobjects/Account/0018000000ZzAQoAAN, type=Account}, Name=Linde Gas North America}</t>
  </si>
  <si>
    <t>a0pVT00000Cq7xlYAB</t>
  </si>
  <si>
    <t>{Industry=Chemicals, attributes={type=Account, url=/services/data/v62.0/sobjects/Account/0018000000ZzAQoAAN}, PS_Region_New__c=US Large Enterprise DI &amp; Mexico, Name=Linde Gas North America, SubRegion__c=US DI LE NN MFG East, PS_Sub_Region__c=Diversified Industries LE NN}</t>
  </si>
  <si>
    <t>a0pVT00000Cq1cGYAR</t>
  </si>
  <si>
    <t>{PS_Region_New__c=US Large Enterprise DI &amp; Mexico, Industry=Utilities, Name=Westinghouse Electric Company LLC, PS_Sub_Region__c=Diversified Industries LE NN, attributes={url=/services/data/v62.0/sobjects/Account/0013000000JLxZgAAL, type=Account}, SubRegion__c=US DI LE NN MFG East}</t>
  </si>
  <si>
    <t>a0pVT00000CpuECYAZ</t>
  </si>
  <si>
    <t>{PS_Region_New__c=US Large Enterprise DI &amp; Mexico, SubRegion__c=US DI LE NN MFG East, attributes={url=/services/data/v62.0/sobjects/Account/0013000000JLxZgAAL, type=Account}, PS_Sub_Region__c=Diversified Industries LE NN, Industry=Utilities, Name=Westinghouse Electric Company LLC}</t>
  </si>
  <si>
    <t>Email</t>
  </si>
  <si>
    <t>DisplayName</t>
  </si>
  <si>
    <t>Role</t>
  </si>
  <si>
    <t>a0pVT00000CppxgYAB</t>
  </si>
  <si>
    <t>AccessLevel</t>
  </si>
  <si>
    <t>{Name=Eastern Plumas Health Care, PS_Sub_Region__c=ME NN PBS, SubRegion__c=US DI Commercial NN Northwest, Industry=Acute Hospital / Health System, attributes={url=/services/data/v62.0/sobjects/Account/001VT00000b2jWpYAI, type=Account}, PS_Region_New__c=US Medium Enterprise DI}</t>
  </si>
  <si>
    <t>a0pVT00000CpeMJYAZ</t>
  </si>
  <si>
    <t>Jeff Ditty</t>
  </si>
  <si>
    <t>PM</t>
  </si>
  <si>
    <t>ADMIN</t>
  </si>
  <si>
    <t>{Name=Hukl Investments, SubRegion__c=US FSI Commercial NN, attributes={url=/services/data/v62.0/sobjects/Account/001VT00000b2nQkYAI, type=Account}, PS_Region_New__c=US FSI, Industry=Investment Management, PS_Sub_Region__c=FSI Commercial NN}</t>
  </si>
  <si>
    <t>sunil.wadhwa@workday.com</t>
  </si>
  <si>
    <t>Sunil Wadhwa</t>
  </si>
  <si>
    <t>jennifer.mattingly@workday.com</t>
  </si>
  <si>
    <t>Jenifer Mattingly</t>
  </si>
  <si>
    <t>a0pVT00000Cq4exYAB</t>
  </si>
  <si>
    <t>{PS_Region_New__c=US FSI, Industry=Investment Management, SubRegion__c=US FSI Commercial NN, Name=Hukl Investments, PS_Sub_Region__c=FSI Commercial NN, attributes={type=Account, url=/services/data/v62.0/sobjects/Account/001VT00000b2nQkYAI}}</t>
  </si>
  <si>
    <t>Val Tsevetkov</t>
  </si>
  <si>
    <t>a0pVT00000CpxNLYAZ</t>
  </si>
  <si>
    <t>{Industry=Investment Management, attributes={type=Account, url=/services/data/v62.0/sobjects/Account/001VT00000b2nQkYAI}, PS_Region_New__c=US FSI, Name=Hukl Investments, SubRegion__c=US FSI Commercial NN, PS_Sub_Region__c=FSI Commercial NN}</t>
  </si>
  <si>
    <t>a0pVT00000CqA2oYAF</t>
  </si>
  <si>
    <t>{Industry=Investment Management, SubRegion__c=US FSI Commercial NN, PS_Sub_Region__c=FSI Commercial NN, Name=Hukl Investments, PS_Region_New__c=US FSI, attributes={url=/services/data/v62.0/sobjects/Account/001VT00000b2nQkYAI, type=Account}}</t>
  </si>
  <si>
    <t>a0pVT00000Cq3VxYAJ</t>
  </si>
  <si>
    <t>0013000000JM2djAAD</t>
  </si>
  <si>
    <t>{PS_Region_New__c=US Large Enterprise DI &amp; Mexico, SubRegion__c=US DI LE CB MFG Southeast, attributes={type=Account, url=/services/data/v62.0/sobjects/Account/0013000000JM2djAAD}, PS_Sub_Region__c=Diversified Industries LE CB MFG, Name=World Fuel Services Corporation, Industry=Oil &amp; Gas}</t>
  </si>
  <si>
    <t>a0pVT00000CpqKFYAZ</t>
  </si>
  <si>
    <t>{Industry=Oil &amp; Gas, PS_Sub_Region__c=Diversified Industries LE CB MFG, Name=World Fuel Services Corporation, SubRegion__c=US DI LE CB MFG Southeast, PS_Region_New__c=US Large Enterprise DI &amp; Mexico, attributes={url=/services/data/v62.0/sobjects/Account/0013000000JM2djAAD, type=Account}}</t>
  </si>
  <si>
    <t>a0pVT00000Cq0jOYAR</t>
  </si>
  <si>
    <t>{PS_Sub_Region__c=Diversified Industries LE CB RHT, Name=Graybar Electric Company, Inc., attributes={url=/services/data/v62.0/sobjects/Account/0013000000JMKFoAAP, type=Account}, PS_Region_New__c=US Large Enterprise DI &amp; Mexico, SubRegion__c=US DI LE CB RHT Central, Industry=Hardlines}</t>
  </si>
  <si>
    <t>a0pVT00000Cq4DVYAZ</t>
  </si>
  <si>
    <t>{PS_Sub_Region__c=Diversified Industries Key Accounts, Industry=Consumer Goods, PS_Region_New__c=US Large Enterprise DI &amp; Mexico, SubRegion__c=US DI Key Accounts MFG, attributes={url=/services/data/v62.0/sobjects/Account/0013000000KLTkcAAH, type=Account}, Name=The Procter &amp; Gamble U.S. Business Services Company}</t>
  </si>
  <si>
    <t>a0pVT00000Cq4F7YAJ</t>
  </si>
  <si>
    <t>{PS_Region_New__c=US Large Enterprise DI &amp; Mexico, Industry=Consumer Goods, Name=The Procter &amp; Gamble U.S. Business Services Company, attributes={type=Account, url=/services/data/v62.0/sobjects/Account/0013000000KLTkcAAH}, PS_Sub_Region__c=Diversified Industries Key Accounts, SubRegion__c=US DI Key Accounts MFG}</t>
  </si>
  <si>
    <t>a0pVT00000Cq3ZBYAZ</t>
  </si>
  <si>
    <t>{Name=1939 Group, Inc., Industry=Food &amp; Drug, SubRegion__c=US DI LE CB RHT Central, PS_Region_New__c=US Large Enterprise DI &amp; Mexico, attributes={url=/services/data/v62.0/sobjects/Account/0013000000JMNh4AAH, type=Account}, PS_Sub_Region__c=Diversified Industries LE CB RHT}</t>
  </si>
  <si>
    <t>a0pVT00000Cq2bWYAR</t>
  </si>
  <si>
    <t>{attributes={url=/services/data/v62.0/sobjects/Account/0013000000JMNh4AAH, type=Account}, Industry=Food &amp; Drug, PS_Region_New__c=US Large Enterprise DI &amp; Mexico, Name=1939 Group, Inc., SubRegion__c=US DI LE CB RHT Central, PS_Sub_Region__c=Diversified Industries LE CB RHT}</t>
  </si>
  <si>
    <t>a0pVT00000CpmgQYAR</t>
  </si>
  <si>
    <t>{PS_Region_New__c=US Large Enterprise DI &amp; Mexico, Industry=Utilities, SubRegion__c=US DI LE NN MFG East, Name=American Water Works Company Inc, PS_Sub_Region__c=Diversified Industries LE NN, attributes={url=/services/data/v62.0/sobjects/Account/0013000000JMYqpAAH, type=Account}}</t>
  </si>
  <si>
    <t>a0pVT00000Cq3m5YAB</t>
  </si>
  <si>
    <t>{PS_Region_New__c=US Large Enterprise DI &amp; Mexico, Name=Advantage Sales and Marketing, LLC dba Advantage Solutions, SubRegion__c=US DI LE CB TM &amp; PS Midwest, attributes={type=Account, url=/services/data/v62.0/sobjects/Account/0013000000JN4jRAAT}, PS_Sub_Region__c=Diversified Industries LE CB TM &amp; PS, Industry=Professional Services}</t>
  </si>
  <si>
    <t>a0pVT00000Cq3nhYAB</t>
  </si>
  <si>
    <t>{Name=Advantage Sales and Marketing, LLC dba Advantage Solutions, Industry=Professional Services, PS_Region_New__c=US Large Enterprise DI &amp; Mexico, SubRegion__c=US DI LE CB TM &amp; PS Midwest, PS_Sub_Region__c=Diversified Industries LE CB TM &amp; PS, attributes={url=/services/data/v62.0/sobjects/Account/0013000000JN4jRAAT, type=Account}}</t>
  </si>
  <si>
    <t>a0pVT00000Cq1KVYAZ</t>
  </si>
  <si>
    <t>{attributes={type=Account, url=/services/data/v62.0/sobjects/Account/0013000000JN4jRAAT}, PS_Region_New__c=US Large Enterprise DI &amp; Mexico, SubRegion__c=US DI LE CB TM &amp; PS Midwest, Industry=Professional Services, PS_Sub_Region__c=Diversified Industries LE CB TM &amp; PS, Name=Advantage Sales and Marketing, LLC dba Advantage Solutions}</t>
  </si>
  <si>
    <t>a0pVT00000Cpr6cYAB</t>
  </si>
  <si>
    <t>{SubRegion__c=US DI LE CB TM &amp; PS Midwest, attributes={url=/services/data/v62.0/sobjects/Account/0013000000JN4jRAAT, type=Account}, PS_Sub_Region__c=Diversified Industries LE CB TM &amp; PS, PS_Region_New__c=US Large Enterprise DI &amp; Mexico, Industry=Professional Services, Name=Advantage Sales and Marketing, LLC dba Advantage Solutions}</t>
  </si>
  <si>
    <t>a0pVT00000CpzPAYAZ</t>
  </si>
  <si>
    <t>{Name=Greater Atlanta McDonalds Operators Association, Industry=Restaurant &amp; Food Service, PS_Sub_Region__c=Diversified Industries LE NN, attributes={type=Account, url=/services/data/v62.0/sobjects/Account/001VT00000b2uvFYAQ}, PS_Region_New__c=US Large Enterprise DI &amp; Mexico, SubRegion__c=US DI LE NN RHT South}</t>
  </si>
  <si>
    <t>a0pVT00000CpnuEYAR</t>
  </si>
  <si>
    <t>0013000000JNNbHAAX</t>
  </si>
  <si>
    <t>{SubRegion__c=US DI ME CB TM Southeast, PS_Region_New__c=US Medium Enterprise DI, attributes={url=/services/data/v62.0/sobjects/Account/0013000000JNNbHAAX, type=Account}, Name=CCC Intelligent Solutions Inc., Industry=Software &amp; Platforms, PS_Sub_Region__c=ME CB TM &amp; RHT}</t>
  </si>
  <si>
    <t>a0pVT00000Cq3pJYAR</t>
  </si>
  <si>
    <t>{PS_Region_New__c=US Medium Enterprise DI, attributes={type=Account, url=/services/data/v62.0/sobjects/Account/0013000000JNNbHAAX}, PS_Sub_Region__c=ME CB TM &amp; RHT, Name=CCC Intelligent Solutions Inc., SubRegion__c=US DI ME CB TM Southeast, Industry=Software &amp; Platforms}</t>
  </si>
  <si>
    <t>a0pVT00000Cq3aoYAB</t>
  </si>
  <si>
    <t>{attributes={url=/services/data/v62.0/sobjects/Account/0013000000JNNyJAAX, type=Account}, PS_Sub_Region__c=Diversified Industries LE CB RHT, SubRegion__c=US DI LE CB RHT Southeast, Name=Asphalt Buyer II, LLC D/B/A American Tire Distributors, Industry=Auto, PS_Region_New__c=US Large Enterprise DI &amp; Mexico}</t>
  </si>
  <si>
    <t>a0pVT00000CpqH1YAJ</t>
  </si>
  <si>
    <t>{Industry=Auto, PS_Region_New__c=US Large Enterprise DI &amp; Mexico, PS_Sub_Region__c=Diversified Industries LE CB RHT, Name=Asphalt Buyer II, LLC D/B/A American Tire Distributors, attributes={url=/services/data/v62.0/sobjects/Account/0013000000JNNyJAAX, type=Account}, SubRegion__c=US DI LE CB RHT Southeast}</t>
  </si>
  <si>
    <t>a0pVT00000Cpu1IYAR</t>
  </si>
  <si>
    <t>{attributes={url=/services/data/v62.0/sobjects/Account/0013000000Jp2YIAAZ, type=Account}, PS_Sub_Region__c=Diversified Industries LE CB RHT, Name=Sunbelt Rentals, Inc., SubRegion__c=US DI LE CB RHT Southeast, PS_Region_New__c=US Large Enterprise DI &amp; Mexico, Industry=Other Retail}</t>
  </si>
  <si>
    <t>a0pVT00000Cq3u9YAB</t>
  </si>
  <si>
    <t>{Name=Sunbelt Rentals, Inc., PS_Sub_Region__c=Diversified Industries LE CB RHT, attributes={type=Account, url=/services/data/v62.0/sobjects/Account/0013000000Jp2YIAAZ}, Industry=Other Retail, PS_Region_New__c=US Large Enterprise DI &amp; Mexico, SubRegion__c=US DI LE CB RHT Southeast}</t>
  </si>
  <si>
    <t>a0pVT00000CpnW3YAJ</t>
  </si>
  <si>
    <t>{Industry=Other Retail, Name=Sunbelt Rentals, Inc., PS_Region_New__c=US Large Enterprise DI &amp; Mexico, PS_Sub_Region__c=Diversified Industries LE CB RHT, attributes={url=/services/data/v62.0/sobjects/Account/0013000000Jp2YIAAZ, type=Account}, SubRegion__c=US DI LE CB RHT Southeast}</t>
  </si>
  <si>
    <t>a0pVT00000Cpsp5YAB</t>
  </si>
  <si>
    <t>{PS_Region_New__c=US Large Enterprise DI &amp; Mexico, SubRegion__c=US DI LE CB RHT Southeast, attributes={type=Account, url=/services/data/v62.0/sobjects/Account/0013000000Jp2YIAAZ}, Industry=Other Retail, PS_Sub_Region__c=Diversified Industries LE CB RHT, Name=Sunbelt Rentals, Inc.}</t>
  </si>
  <si>
    <t>a0pVT00000Cq3xNYAR</t>
  </si>
  <si>
    <t>{Name=Dana-Farber Cancer Institute, Inc., PS_Region_New__c=US Healthcare, attributes={type=Account, url=/services/data/v62.0/sobjects/Account/0013000000JqFjLAAV}, PS_Sub_Region__c=Healthcare LE, SubRegion__c=US Healthcare LE CB East, Industry=Acute Hospital / Health System}</t>
  </si>
  <si>
    <t>a0pVT00000Cpx8pYAB</t>
  </si>
  <si>
    <t>{Name=The Methodist Hospital System d/b/a Houston Methodist, PS_Region_New__c=US Healthcare, attributes={type=Account, url=/services/data/v62.0/sobjects/Account/0018000000NLiwkAAD}, SubRegion__c=US Healthcare Majors CB, Industry=Acute Hospital / Health System, PS_Sub_Region__c=Healthcare Majors NN}</t>
  </si>
  <si>
    <t>a0pVT00000Cq79mYAB</t>
  </si>
  <si>
    <t>{attributes={type=Account, url=/services/data/v62.0/sobjects/Account/0018000000et9ubAAA}, SubRegion__c=Denmark NN, PS_Region_New__c=EMEA North, Name=Novo Nordisk A/S, PS_Sub_Region__c=Nordics, Industry=Healthcare Manufacturing}</t>
  </si>
  <si>
    <t>a0pVT00000Cq40bYAB</t>
  </si>
  <si>
    <t>{PS_Sub_Region__c=Diversified Industries LE CB TM &amp; PS, Name=Teradata Operations, Inc., attributes={type=Account, url=/services/data/v62.0/sobjects/Account/0013000000Jrj5QAAR}, PS_Region_New__c=US Large Enterprise DI &amp; Mexico, Industry=Technology Solutions, SubRegion__c=US DI LE CB TM &amp; PS Southwest}</t>
  </si>
  <si>
    <t>a0pVT00000CqAqnYAF</t>
  </si>
  <si>
    <t>{Name=Pats Select Pizza, PS_Region_New__c=US Medium Enterprise DI, SubRegion__c=US DI ME NN RHT Northeast, PS_Sub_Region__c=ME NN RHT East, Industry=Restaurant &amp; Food Service, attributes={url=/services/data/v62.0/sobjects/Account/001VT00000MVQeJYAX, type=Account}}</t>
  </si>
  <si>
    <t>a0pVT00000CpoANYAZ</t>
  </si>
  <si>
    <t>{PS_Region_New__c=US Medium Enterprise DI, Name=Pats Select Pizza, Industry=Restaurant &amp; Food Service, attributes={type=Account, url=/services/data/v62.0/sobjects/Account/001VT00000MVQeJYAX}, PS_Sub_Region__c=ME NN RHT East, SubRegion__c=US DI ME NN RHT Northeast}</t>
  </si>
  <si>
    <t>a0pVT00000CpllyYAB</t>
  </si>
  <si>
    <t>{attributes={type=Account, url=/services/data/v62.0/sobjects/Account/001VT00000MVQeJYAX}, SubRegion__c=US DI ME NN RHT Northeast, Name=Pats Select Pizza, PS_Sub_Region__c=ME NN RHT East, PS_Region_New__c=US Medium Enterprise DI, Industry=Restaurant &amp; Food Service}</t>
  </si>
  <si>
    <t>a0pVT00000CpkEqYAJ</t>
  </si>
  <si>
    <t>{PS_Region_New__c=US Medium Enterprise DI, attributes={url=/services/data/v62.0/sobjects/Account/001VT00000MVQeJYAX, type=Account}, Industry=Restaurant &amp; Food Service, PS_Sub_Region__c=ME NN RHT East, Name=Pats Select Pizza, SubRegion__c=US DI ME NN RHT Northeast}</t>
  </si>
  <si>
    <t>a0pVT00000Cpw0LYAR</t>
  </si>
  <si>
    <t>{attributes={type=Account, url=/services/data/v62.0/sobjects/Account/0013000000JscuOAAR}, PS_Region_New__c=US Large Enterprise DI &amp; Mexico, Industry=Land and Rail Transportation and Freight, SubRegion__c=US DI LE NN RHT South, Name=Americold Logistics, LLC, PS_Sub_Region__c=Diversified Industries LE NN}</t>
  </si>
  <si>
    <t>a0pVT00000Cq2YIYAZ</t>
  </si>
  <si>
    <t>{PS_Sub_Region__c=Diversified Industries LE NN, SubRegion__c=US DI LE NN RHT South, attributes={url=/services/data/v62.0/sobjects/Account/0013000000JscuOAAR, type=Account}, Industry=Land and Rail Transportation and Freight, Name=Americold Logistics, LLC, PS_Region_New__c=US Large Enterprise DI &amp; Mexico}</t>
  </si>
  <si>
    <t>a0pVT00000CptOZYAZ</t>
  </si>
  <si>
    <t>{SubRegion__c=US DI LE NN RHT South, Industry=Land and Rail Transportation and Freight, PS_Sub_Region__c=Diversified Industries LE NN, attributes={type=Account, url=/services/data/v62.0/sobjects/Account/0013000000JscuOAAR}, Name=Americold Logistics, LLC, PS_Region_New__c=US Large Enterprise DI &amp; Mexico}</t>
  </si>
  <si>
    <t>a0pVT00000Cq54jYAB</t>
  </si>
  <si>
    <t>{Industry=Industrial Manufacturing, PS_Sub_Region__c=Japan Sales 1, attributes={type=Account, url=/services/data/v62.0/sobjects/Account/0014X00002K6TyjQAF}, SubRegion__c=Japan 1, PS_Region_New__c=Japan, Name=Komatsu America Corp.}</t>
  </si>
  <si>
    <t>a0pVT00000Cq4WsYAJ</t>
  </si>
  <si>
    <t>{Name=Komatsu America Corp., PS_Region_New__c=Japan, attributes={type=Account, url=/services/data/v62.0/sobjects/Account/0014X00002K6TyjQAF}, Industry=Industrial Manufacturing, PS_Sub_Region__c=Japan Sales 1, SubRegion__c=Japan 1}</t>
  </si>
  <si>
    <t>AccountName</t>
  </si>
  <si>
    <t>a0pVT00000CpYjvYAF</t>
  </si>
  <si>
    <t>DD DisplayName</t>
  </si>
  <si>
    <t>{SubRegion__c=US DI LE CB RHT Southeast, attributes={url=/services/data/v62.0/sobjects/Account/0018000000NwcwoAAB, type=Account}, PS_Region_New__c=US Large Enterprise DI &amp; Mexico, Name=Saia Inc., PS_Sub_Region__c=Diversified Industries LE CB RHT, Industry=Land and Rail Transportation and Freight}</t>
  </si>
  <si>
    <t>a0pVT00000CpnhMYAR</t>
  </si>
  <si>
    <t>{attributes={type=Account, url=/services/data/v62.0/sobjects/Account/0018000000NwcwoAAB}, PS_Sub_Region__c=Diversified Industries LE CB RHT, SubRegion__c=US DI LE CB RHT Southeast, Industry=Land and Rail Transportation and Freight, Name=Saia Inc., PS_Region_New__c=US Large Enterprise DI &amp; Mexico}</t>
  </si>
  <si>
    <t>a0pVT00000Cq42DYAR</t>
  </si>
  <si>
    <t>{attributes={url=/services/data/v62.0/sobjects/Account/0013000000KA4DrAAL, type=Account}, PS_Sub_Region__c=Diversified Industries LE CB RHT, Name=Papa John's International, Inc., Industry=Restaurant &amp; Food Service, SubRegion__c=US DI LE CB RHT Southeast, PS_Region_New__c=US Large Enterprise DI &amp; Mexico}</t>
  </si>
  <si>
    <t>a0pVT00000Cq43pYAB</t>
  </si>
  <si>
    <t>{attributes={type=Account, url=/services/data/v62.0/sobjects/Account/0013000000KA4DrAAL}, PS_Sub_Region__c=Diversified Industries LE CB RHT, SubRegion__c=US DI LE CB RHT Southeast, Industry=Restaurant &amp; Food Service, PS_Region_New__c=US Large Enterprise DI &amp; Mexico, Name=Papa John's International, Inc.}</t>
  </si>
  <si>
    <t>a0pVT00000Cq45RYAR</t>
  </si>
  <si>
    <t>{Name=Micron Technology, Inc., Industry=High Technology, PS_Sub_Region__c=Diversified Industries LE CB MFG, attributes={type=Account, url=/services/data/v62.0/sobjects/Account/0013000000KCxB9AAL}, PS_Region_New__c=US Large Enterprise DI &amp; Mexico, SubRegion__c=US DI LE CB MFG South}</t>
  </si>
  <si>
    <t>a0pVT00000Cq473YAB</t>
  </si>
  <si>
    <t>{PS_Sub_Region__c=Diversified Industries LE NN, SubRegion__c=US DI LE NN MFG Central, Name=Emerson Electric, Co, Industry=Industrial Manufacturing, PS_Region_New__c=US Large Enterprise DI &amp; Mexico, attributes={url=/services/data/v62.0/sobjects/Account/0013000000KL8XlAAL, type=Account}}</t>
  </si>
  <si>
    <t>{attributes={url=/services/data/v62.0/sobjects/Contact/003VT00000fcCgUYAU, type=Contact}, Full_Name__c=Jordan DePaolis}</t>
  </si>
  <si>
    <t>a0pVT00000Cq48fYAB</t>
  </si>
  <si>
    <t>{PS_Region_New__c=US Large Enterprise DI &amp; Mexico, Name=Emerson Electric, Co, SubRegion__c=US DI LE NN MFG Central, attributes={type=Account, url=/services/data/v62.0/sobjects/Account/0013000000KL8XlAAL}, Industry=Industrial Manufacturing, PS_Sub_Region__c=Diversified Industries LE NN}</t>
  </si>
  <si>
    <t>{attributes={type=Contact, url=/services/data/v62.0/sobjects/Contact/003VT00000fcCgUYAU}, Full_Name__c=Jordan DePaolis}</t>
  </si>
  <si>
    <t>a0pVT00000Cq0pqYAB</t>
  </si>
  <si>
    <t>{PS_Sub_Region__c=Diversified Industries LE NN, Name=Emerson Electric, Co, attributes={type=Account, url=/services/data/v62.0/sobjects/Account/0013000000KL8XlAAL}, PS_Region_New__c=US Large Enterprise DI &amp; Mexico, SubRegion__c=US DI LE NN MFG Central, Industry=Industrial Manufacturing}</t>
  </si>
  <si>
    <t>{Full_Name__c=Jordan DePaolis, attributes={type=Contact, url=/services/data/v62.0/sobjects/Contact/003VT00000fcCgUYAU}}</t>
  </si>
  <si>
    <t>a0pVT00000Cq4BtYAJ</t>
  </si>
  <si>
    <t>{SubRegion__c=US DI LE NN RHT West, Industry=Restaurant &amp; Food Service, PS_Region_New__c=US Large Enterprise DI &amp; Mexico, Name=McDonald's Corporation, attributes={type=Account, url=/services/data/v62.0/sobjects/Account/0013000000KLPT2AAP}, PS_Sub_Region__c=Diversified Industries LE NN}</t>
  </si>
  <si>
    <t>a0pVT00000Cq3niYAB</t>
  </si>
  <si>
    <t>{PS_Sub_Region__c=Diversified Industries LE NN, SubRegion__c=US DI LE NN RHT North, Name=Pizza Hut, Inc., attributes={type=Account, url=/services/data/v62.0/sobjects/Account/0013000000KLX1AAAX}, PS_Region_New__c=US Large Enterprise DI &amp; Mexico, Industry=Restaurant &amp; Food Service}</t>
  </si>
  <si>
    <t>a0pVT00000Cq4GjYAJ</t>
  </si>
  <si>
    <t>{SubRegion__c=US DI LE NN RHT North, Industry=Restaurant &amp; Food Service, PS_Region_New__c=US Large Enterprise DI &amp; Mexico, Name=Pizza Hut, Inc., PS_Sub_Region__c=Diversified Industries LE NN, attributes={url=/services/data/v62.0/sobjects/Account/0013000000KLX1AAAX, type=Account}}</t>
  </si>
  <si>
    <t>a0pVT00000Cq4ILYAZ</t>
  </si>
  <si>
    <t>{PS_Region_New__c=US Large Enterprise DI &amp; Mexico, Name=Pizza Hut, Inc., attributes={type=Account, url=/services/data/v62.0/sobjects/Account/0013000000KLX1AAAX}, SubRegion__c=US DI LE NN RHT North, Industry=Restaurant &amp; Food Service, PS_Sub_Region__c=Diversified Industries LE NN}</t>
  </si>
  <si>
    <t>a0pVT00000Cq4JxYAJ</t>
  </si>
  <si>
    <t>{PS_Region_New__c=US Large Enterprise DI &amp; Mexico, Name=Pizza Hut, Inc., SubRegion__c=US DI LE NN RHT North, Industry=Restaurant &amp; Food Service, attributes={type=Account, url=/services/data/v62.0/sobjects/Account/0013000000KLX1AAAX}, PS_Sub_Region__c=Diversified Industries LE NN}</t>
  </si>
  <si>
    <t>a0pVT00000Cq3FrYAJ</t>
  </si>
  <si>
    <t>{Industry=Media &amp; Entertainment, PS_Region_New__c=US Medium Enterprise DI, attributes={type=Account, url=/services/data/v62.0/sobjects/Account/0013000000KLbxBAAT}, SubRegion__c=US DI ME NN TM East, PS_Sub_Region__c=ME NN TM &amp; RHT West, Name=Schurz Communications, Inc.}</t>
  </si>
  <si>
    <t>a0pVT00000CpjsEYAR</t>
  </si>
  <si>
    <t>{PS_Region_New__c=US Large Enterprise DI &amp; Mexico, Name=White Lodging Services Corp, PS_Sub_Region__c=Diversified Industries LE NN, attributes={type=Account, url=/services/data/v62.0/sobjects/Account/0013000000KLc60AAD}, SubRegion__c=US DI LE NN RHT South, Industry=Lodging &amp; Resorts}</t>
  </si>
  <si>
    <t>a0pVT00000Cpy9jYAB</t>
  </si>
  <si>
    <t>{PS_Sub_Region__c=Diversified Industries LE NN, Name=White Lodging Services Corp, Industry=Lodging &amp; Resorts, PS_Region_New__c=US Large Enterprise DI &amp; Mexico, attributes={url=/services/data/v62.0/sobjects/Account/0013000000KLc60AAD, type=Account}, SubRegion__c=US DI LE NN RHT South}</t>
  </si>
  <si>
    <t>a0pVT00000Cq1vbYAB</t>
  </si>
  <si>
    <t>{attributes={type=Account, url=/services/data/v62.0/sobjects/Account/0013000000KLc60AAD}, PS_Region_New__c=US Large Enterprise DI &amp; Mexico, Name=White Lodging Services Corp, SubRegion__c=US DI LE NN RHT South, PS_Sub_Region__c=Diversified Industries LE NN, Industry=Lodging &amp; Resorts}</t>
  </si>
  <si>
    <t>a0pVT00000Cq19CYAR</t>
  </si>
  <si>
    <t>{SubRegion__c=US DI LE NN RHT South, PS_Region_New__c=US Large Enterprise DI &amp; Mexico, Name=White Lodging Services Corp, Industry=Lodging &amp; Resorts, attributes={type=Account, url=/services/data/v62.0/sobjects/Account/0013000000KLc60AAD}, PS_Sub_Region__c=Diversified Industries LE NN}</t>
  </si>
  <si>
    <t>a0pVT00000CpodPYAR</t>
  </si>
  <si>
    <t>{PS_Sub_Region__c=ME Commercial West, Name=Rocky Mountain Assisted Living, PS_Region_New__c=US Medium Enterprise DI, attributes={url=/services/data/v62.0/sobjects/Account/001VT00000b2XKPYA2, type=Account}, Industry=Post Acute, SubRegion__c=US DI Commercial NN Central}</t>
  </si>
  <si>
    <t>a0pVT00000Cq5WDYAZ</t>
  </si>
  <si>
    <t>{Name=Rocky Mountain Assisted Living, SubRegion__c=US DI Commercial NN Central, PS_Region_New__c=US Medium Enterprise DI, Industry=Post Acute, attributes={url=/services/data/v62.0/sobjects/Account/001VT00000b2XKPYA2, type=Account}, PS_Sub_Region__c=ME Commercial West}</t>
  </si>
  <si>
    <t>a0pVT00000CpqotYAB</t>
  </si>
  <si>
    <t>{Name=Rocky Mountain Assisted Living, PS_Region_New__c=US Medium Enterprise DI, Industry=Post Acute, PS_Sub_Region__c=ME Commercial West, SubRegion__c=US DI Commercial NN Central, attributes={url=/services/data/v62.0/sobjects/Account/001VT00000b2XKPYA2, type=Account}}</t>
  </si>
  <si>
    <t>a0pVT00000CqBDNYA3</t>
  </si>
  <si>
    <t>{Industry=Post Acute, PS_Region_New__c=US Medium Enterprise DI, Name=Rocky Mountain Assisted Living, attributes={url=/services/data/v62.0/sobjects/Account/001VT00000b2XKPYA2, type=Account}, PS_Sub_Region__c=ME Commercial West, SubRegion__c=US DI Commercial NN Central}</t>
  </si>
  <si>
    <t>a0pVT00000Cpk3WYAR</t>
  </si>
  <si>
    <t>{PS_Sub_Region__c=ME NN TM &amp; RHT West, attributes={url=/services/data/v62.0/sobjects/Account/0013000000KLeVBAA1, type=Account}, PS_Region_New__c=US Medium Enterprise DI, Name=Sonifi, Industry=Technology Solutions, SubRegion__c=US DI ME NN TM West}</t>
  </si>
  <si>
    <t>a0pVT00000Cq4S1YAJ</t>
  </si>
  <si>
    <t>{SubRegion__c=US Healthcare LE CB West, PS_Sub_Region__c=Healthcare LE, Industry=Acute Hospital / Health System, Name=Avera Health, attributes={type=Account, url=/services/data/v62.0/sobjects/Account/0013000000KLfD7AAL}, PS_Region_New__c=US Healthcare}</t>
  </si>
  <si>
    <t>a0pVT00000Cq2usYAB</t>
  </si>
  <si>
    <t>{SubRegion__c=US DI ME NN TM West, attributes={url=/services/data/v62.0/sobjects/Account/0014X00002U1nkzQAB, type=Account}, PS_Region_New__c=US Medium Enterprise DI, Name=RFPIO Inc. d/b/a Responsive, Industry=Software &amp; Platforms, PS_Sub_Region__c=ME NN TM &amp; RHT West}</t>
  </si>
  <si>
    <t>a0pVT00000Cq3CcYAJ</t>
  </si>
  <si>
    <t>{attributes={url=/services/data/v62.0/sobjects/Account/0014X00002U1nkzQAB, type=Account}, PS_Sub_Region__c=ME NN TM &amp; RHT West, SubRegion__c=US DI ME NN TM West, Name=RFPIO Inc. d/b/a Responsive, PS_Region_New__c=US Medium Enterprise DI, Industry=Software &amp; Platforms}</t>
  </si>
  <si>
    <t>a0pVT00000Cq475YAB</t>
  </si>
  <si>
    <t>{PS_Sub_Region__c=ME CB TM &amp; RHT, SubRegion__c=US DI ME CB RHT East, attributes={type=Account, url=/services/data/v62.0/sobjects/Account/0018000000vVH8qAAG}, Name=Biltmore, PS_Region_New__c=US Medium Enterprise DI, Industry=Lodging &amp; Resorts}</t>
  </si>
  <si>
    <t>a0pVT00000Cq2GZYAZ</t>
  </si>
  <si>
    <t>{Name=Leon Health Plan, PS_Sub_Region__c=ME Commercial East, attributes={url=/services/data/v62.0/sobjects/Account/001VT00000b2vOJYAY, type=Account}, SubRegion__c=US DI Commercial NN Southeast, PS_Region_New__c=US Medium Enterprise DI, Industry=Acute Hospital / Health System}</t>
  </si>
  <si>
    <t>a0pVT00000Cq1FfYAJ</t>
  </si>
  <si>
    <t>{PS_Sub_Region__c=Diversified Industries Key Accounts, Name=Speedway LLC (Inactive Account), Industry=Food &amp; Drug, PS_Region_New__c=US Large Enterprise DI &amp; Mexico, SubRegion__c=US DI Key Accounts RHT, attributes={type=Account, url=/services/data/v62.0/sobjects/Account/0013000000KLfSAAA1}}</t>
  </si>
  <si>
    <t>a0pVT00000Cq4VFYAZ</t>
  </si>
  <si>
    <t>{Industry=FinTech, attributes={url=/services/data/v62.0/sobjects/Account/0013000000KLgweAAD, type=Account}, Name=Western Union Financial Services, Inc., PS_Sub_Region__c=FSI LE, SubRegion__c=US FSI LE West, PS_Region_New__c=US FSI}</t>
  </si>
  <si>
    <t>a0pVT00000Cq1SYYAZ</t>
  </si>
  <si>
    <t>{Industry=Insurance, attributes={type=Account, url=/services/data/v62.0/sobjects/Account/0013000000KLvSFAA1}, SubRegion__c=US FSI LE West, PS_Sub_Region__c=FSI LE, PS_Region_New__c=US FSI, Name=Arthur J Gallagher &amp; Co.}</t>
  </si>
  <si>
    <t>a0pVT00000CpvocYAB</t>
  </si>
  <si>
    <t>{PS_Sub_Region__c=Local Government LE, Industry=Education (K-12), PS_Region_New__c=US SLED, attributes={type=Account, url=/services/data/v62.0/sobjects/Account/0018000000kuQklAAE}, SubRegion__c=US Local Gov LE NN East, Name=Boulder Valley School District}</t>
  </si>
  <si>
    <t>a0pVT00000CpuqsYAB</t>
  </si>
  <si>
    <t>{Name=Crocs, Inc., PS_Region_New__c=US Large Enterprise DI &amp; Mexico, attributes={url=/services/data/v62.0/sobjects/Account/0013000000KLhYgAAL, type=Account}, Industry=Softlines, PS_Sub_Region__c=Diversified Industries LE NN, SubRegion__c=US DI LE NN RHT West}</t>
  </si>
  <si>
    <t>a0pVT00000Cq3NuYAJ</t>
  </si>
  <si>
    <t>{PS_Sub_Region__c=Diversified Industries LE NN, Name=Crocs, Inc., Industry=Softlines, attributes={url=/services/data/v62.0/sobjects/Account/0013000000KLhYgAAL, type=Account}, PS_Region_New__c=US Large Enterprise DI &amp; Mexico, SubRegion__c=US DI LE NN RHT West}</t>
  </si>
  <si>
    <t>a0pVT00000Cq2OcYAJ</t>
  </si>
  <si>
    <t>{Name=AES Big Sky, L.L.C., PS_Sub_Region__c=Diversified Industries LE CB MFG, SubRegion__c=US DI LE CB MFG Southeast, Industry=Renewable Energy, attributes={url=/services/data/v62.0/sobjects/Account/0013000000KLtPVAA1, type=Account}, PS_Region_New__c=US Large Enterprise DI &amp; Mexico}</t>
  </si>
  <si>
    <t>a0pVT00000Cpy86YAB</t>
  </si>
  <si>
    <t>{PS_Region_New__c=US Large Enterprise DI &amp; Mexico, Industry=Renewable Energy, PS_Sub_Region__c=Diversified Industries LE CB MFG, Name=AES Big Sky, L.L.C., SubRegion__c=US DI LE CB MFG Southeast, attributes={url=/services/data/v62.0/sobjects/Account/0013000000KLtPVAA1, type=Account}}</t>
  </si>
  <si>
    <t>a0pVT00000Cq0ReYAJ</t>
  </si>
  <si>
    <t>{SubRegion__c=US DI LE CB MFG Central, PS_Region_New__c=US Large Enterprise DI &amp; Mexico, attributes={type=Account, url=/services/data/v62.0/sobjects/Account/0013000000KLvRrAAL}, PS_Sub_Region__c=Diversified Industries LE CB MFG, Industry=Materials, Name=Andersen Corporation}</t>
  </si>
  <si>
    <t>User</t>
  </si>
  <si>
    <t>Action</t>
  </si>
  <si>
    <t>OverrideType</t>
  </si>
  <si>
    <t>DeploymentID</t>
  </si>
  <si>
    <t>FieldsAffected</t>
  </si>
  <si>
    <t>OldValueSnapshot</t>
  </si>
  <si>
    <t>a0pVT00000CptQBYAZ</t>
  </si>
  <si>
    <t>NewValueSnapshot</t>
  </si>
  <si>
    <t>Notes</t>
  </si>
  <si>
    <t>{attributes={url=/services/data/v62.0/sobjects/Account/0013000000KLvRrAAL, type=Account}, PS_Sub_Region__c=Diversified Industries LE CB MFG, Industry=Materials, PS_Region_New__c=US Large Enterprise DI &amp; Mexico, SubRegion__c=US DI LE CB MFG Central, Name=Andersen Corporation}</t>
  </si>
  <si>
    <t>a0pVT00000Cq2A7YAJ</t>
  </si>
  <si>
    <t>CREATE</t>
  </si>
  <si>
    <t>deployment</t>
  </si>
  <si>
    <t>Override_MTPDate,Override_CurrentUpdate,Exclude_From_Report,Classification</t>
  </si>
  <si>
    <t>{"isEmpty":true}</t>
  </si>
  <si>
    <t>{"isEmpty":false,"Override_Health":"","Override_MTPDate":"2026-11-02T00:00:00.000Z","Override_Stage":"","Override_Account":"","Override_Deployment":"","Override_CurrentUpdate":"15th June - Customer due to provide decisions for Paradox Architecture to remain on track with deliverables. Functional workstream is quite far behind. Paradox Integration setup is also tracking behind but catch up likely with WD Cons owning.","Exclude_From_Report":true,"Classification":"Structural"}</t>
  </si>
  <si>
    <t>{PS_Region_New__c=US Healthcare, SubRegion__c=US Healthcare LE CB West, attributes={type=Account, url=/services/data/v62.0/sobjects/Account/0018000000pPKt2AAG}, PS_Sub_Region__c=Healthcare LE, Industry=Ambulatory, Name=AltaMed Health Services Corporation}</t>
  </si>
  <si>
    <t>{attributes={url=/services/data/v62.0/sobjects/Contact/003VT00000i6ikzYAA, type=Contact}, Full_Name__c=Mathangi Jambunathan}</t>
  </si>
  <si>
    <t>BULK_CLEAR</t>
  </si>
  <si>
    <t>*</t>
  </si>
  <si>
    <t>{"isEmpty":false,"Override_Health":"","Override_MTPDate":"2026-11-02T00:00:00.000Z","Override_Stage":"","Override_Account":"","Override_Deployment":"","Override_CurrentUpdate":"28/8 we still do not have technical resources assigned from Howden and can no longer proceed. Paradox design has been signed off and HS design has received conditional sign off - formal sign off Sept 2nd. Awaiting an update re resource timeline from Howde","Exclude_From_Report":true,"Classification":"Monthly"}</t>
  </si>
  <si>
    <t>a0pVT00000Cq8k9YAB</t>
  </si>
  <si>
    <t>{SubRegion__c=US Healthcare LE CB West, PS_Region_New__c=US Healthcare, attributes={url=/services/data/v62.0/sobjects/Account/0018000000pPKt2AAG, type=Account}, Industry=Ambulatory, Name=AltaMed Health Services Corporation, PS_Sub_Region__c=Healthcare LE}</t>
  </si>
  <si>
    <t>Override_Health,Classification</t>
  </si>
  <si>
    <t>{"isEmpty":false,"Override_Health":"Yellow","Override_MTPDate":"","Override_Stage":"","Override_Account":"","Override_Deployment":"","Override_CurrentUpdate":"","Exclude_From_Report":false,"Classification":"Monthly","Reason":""}</t>
  </si>
  <si>
    <t>{Full_Name__c=Mathangi Jambunathan, attributes={url=/services/data/v62.0/sobjects/Contact/003VT00000i6ikzYAA, type=Contact}}</t>
  </si>
  <si>
    <t>a0pVT00000Cplu3YAB</t>
  </si>
  <si>
    <t>{PS_Region_New__c=US Large Enterprise DI &amp; Mexico, SubRegion__c=US DI LE CB RHT Northeast, attributes={type=Account, url=/services/data/v62.0/sobjects/Account/0018000000vVH8OAAW}, Industry=Hardlines, PS_Sub_Region__c=Diversified Industries LE CB RHT, Name=MI Windows and Doors, LLC}</t>
  </si>
  <si>
    <t>a0pVT00000CpcE4YAJ</t>
  </si>
  <si>
    <t>{PS_Sub_Region__c=Diversified Industries LE NN, Industry=Softlines, PS_Region_New__c=US Large Enterprise DI &amp; Mexico, attributes={url=/services/data/v62.0/sobjects/Account/0013000000KLvS9AAL, type=Account}, SubRegion__c=US DI LE NN RHT South, Name=Dollar General Corporation}</t>
  </si>
  <si>
    <t>a0pVT00000CpqTwYAJ</t>
  </si>
  <si>
    <t>{Industry=Other Healthcare, Name=Centria Healthcare LLC, PS_Region_New__c=US Healthcare, attributes={url=/services/data/v62.0/sobjects/Account/0014X00002FBlR9QAL, type=Account}, SubRegion__c=US Healthcare LE NN Central, PS_Sub_Region__c=Healthcare LE}</t>
  </si>
  <si>
    <t>a0pVT00000Cpv8dYAB</t>
  </si>
  <si>
    <t>{SubRegion__c=US Healthcare LE NN Central, Name=Centria Healthcare LLC, PS_Sub_Region__c=Healthcare LE, Industry=Other Healthcare, PS_Region_New__c=US Healthcare, attributes={url=/services/data/v62.0/sobjects/Account/0014X00002FBlR9QAL, type=Account}}</t>
  </si>
  <si>
    <t>a0pVT00000Cq59bYAB</t>
  </si>
  <si>
    <t>{PS_Sub_Region__c=ME Commercial West, Industry=Restaurant &amp; Food Service, SubRegion__c=US DI Commercial NN Southwest, Name=Wendy's of Colorado Springs, Inc. (WOCS), PS_Region_New__c=US Medium Enterprise DI, attributes={type=Account, url=/services/data/v62.0/sobjects/Account/001VT00000b1ztpYAA}}</t>
  </si>
  <si>
    <t>a0pVT00000CqB25YAF</t>
  </si>
  <si>
    <t>{PS_Sub_Region__c=ME Commercial West, PS_Region_New__c=US Medium Enterprise DI, Industry=Restaurant &amp; Food Service, Name=Wendy's of Colorado Springs, Inc. (WOCS), attributes={url=/services/data/v62.0/sobjects/Account/001VT00000b1ztpYAA, type=Account}, SubRegion__c=US DI Commercial NN Southwest}</t>
  </si>
  <si>
    <t>a0pVT00000CqB0UYAV</t>
  </si>
  <si>
    <t>{attributes={type=Account, url=/services/data/v62.0/sobjects/Account/001VT00000b1ztpYAA}, PS_Sub_Region__c=ME Commercial West, SubRegion__c=US DI Commercial NN Southwest, Name=Wendy's of Colorado Springs, Inc. (WOCS), PS_Region_New__c=US Medium Enterprise DI, Industry=Restaurant &amp; Food Service}</t>
  </si>
  <si>
    <t>a0pVT00000Cq476YAB</t>
  </si>
  <si>
    <t>{PS_Sub_Region__c=ME Commercial West, Name=Wendy's of Colorado Springs, Inc. (WOCS), Industry=Restaurant &amp; Food Service, attributes={url=/services/data/v62.0/sobjects/Account/001VT00000b1ztpYAA, type=Account}, SubRegion__c=US DI Commercial NN Southwest, PS_Region_New__c=US Medium Enterprise DI}</t>
  </si>
  <si>
    <t>a0pVT00000Cq2A6YAJ</t>
  </si>
  <si>
    <t>{attributes={url=/services/data/v62.0/sobjects/Account/0013000000KLvSAAA1, type=Account}, PS_Sub_Region__c=Diversified Industries LE NN, Industry=Architecture, Engineering &amp; Construction, SubRegion__c=US DI LE NN MFG East, PS_Region_New__c=US Large Enterprise DI &amp; Mexico, Name=Dycom Industries, Inc.}</t>
  </si>
  <si>
    <t>a0pVT00000CqA4QYAV</t>
  </si>
  <si>
    <t>{Industry=Business Services, attributes={type=Account, url=/services/data/v62.0/sobjects/Account/0018000001WMGp8AAH}, PS_Region_New__c=US Medium Enterprise DI, Name=Pro Em Party and Event Rentals, LLC, PS_Sub_Region__c=ME NN PBS, SubRegion__c=US DI ME NN PBS Central}</t>
  </si>
  <si>
    <t>a0pVT00000CpwEPYAZ</t>
  </si>
  <si>
    <t>{PS_Sub_Region__c=Diversified Industries LE NN, Name=McDonald's Restaurants of Canada, Ltd., Industry=Restaurant &amp; Food Service, SubRegion__c=US DI LE NN RHT West, attributes={url=/services/data/v62.0/sobjects/Account/0013000000KdG7gAAF, type=Account}, PS_Region_New__c=US Large Enterprise DI &amp; Mexico}</t>
  </si>
  <si>
    <t>a0pVT00000Cpwr4YAB</t>
  </si>
  <si>
    <t>{PS_Region_New__c=US Large Enterprise DI &amp; Mexico, Name=McDonald's Restaurants of Canada, Ltd., PS_Sub_Region__c=Diversified Industries LE NN, Industry=Restaurant &amp; Food Service, SubRegion__c=US DI LE NN RHT West, attributes={url=/services/data/v62.0/sobjects/Account/0013000000KdG7gAAF, type=Account}}</t>
  </si>
  <si>
    <t>a0pVT00000Cq4YTYAZ</t>
  </si>
  <si>
    <t>{PS_Region_New__c=US Large Enterprise DI &amp; Mexico, Industry=Restaurant &amp; Food Service, PS_Sub_Region__c=Diversified Industries LE NN, attributes={url=/services/data/v62.0/sobjects/Account/0013000000KdG7gAAF, type=Account}, Name=McDonald's Restaurants of Canada, Ltd., SubRegion__c=US DI LE NN RHT West}</t>
  </si>
  <si>
    <t>a0pVT00000CpvobYAB</t>
  </si>
  <si>
    <t>{SubRegion__c=US DI LE NN RHT West, Industry=Restaurant &amp; Food Service, PS_Sub_Region__c=Diversified Industries LE NN, attributes={url=/services/data/v62.0/sobjects/Account/0013000000KdG7gAAF, type=Account}, PS_Region_New__c=US Large Enterprise DI &amp; Mexico, Name=McDonald's Restaurants of Canada, Ltd.}</t>
  </si>
  <si>
    <t>a0pVT00000CpsDyYAJ</t>
  </si>
  <si>
    <t>{Name=McDonald's Restaurants of Canada, Ltd., Industry=Restaurant &amp; Food Service, attributes={url=/services/data/v62.0/sobjects/Account/0013000000KdG7gAAF, type=Account}, PS_Region_New__c=US Large Enterprise DI &amp; Mexico, SubRegion__c=US DI LE NN RHT West, PS_Sub_Region__c=Diversified Industries LE NN}</t>
  </si>
  <si>
    <t>a0pVT00000CpyPqYAJ</t>
  </si>
  <si>
    <t>{SubRegion__c=US DI LE NN RHT West, attributes={url=/services/data/v62.0/sobjects/Account/0013000000KdG7gAAF, type=Account}, Name=McDonald's Restaurants of Canada, Ltd., PS_Region_New__c=US Large Enterprise DI &amp; Mexico, Industry=Restaurant &amp; Food Service, PS_Sub_Region__c=Diversified Industries LE NN}</t>
  </si>
  <si>
    <t>a0pVT00000CpqgoYAB</t>
  </si>
  <si>
    <t>{attributes={type=Account, url=/services/data/v62.0/sobjects/Account/0013000000KdYPeAAN}, Industry=Professional Services, PS_Region_New__c=US Large Enterprise DI &amp; Mexico, Name=Deloitte Services LP, PS_Sub_Region__c=Diversified Industries LE NN, SubRegion__c=US DI LE NN TM &amp; PS East}</t>
  </si>
  <si>
    <t>a0pVT00000Cq4a5YAB</t>
  </si>
  <si>
    <t>{PS_Sub_Region__c=ME CB PBS, attributes={type=Account, url=/services/data/v62.0/sobjects/Account/0013000000Kdw58AAB}, Name=Fairfield Residential Company LLC, Industry=Business Services, PS_Region_New__c=US Medium Enterprise DI, SubRegion__c=US DI ME CB PBS West}</t>
  </si>
  <si>
    <t>a0pVT00000CpkBdYAJ</t>
  </si>
  <si>
    <t>{PS_Sub_Region__c=UKI Public Services, Industry=Post Acute, SubRegion__c=UKI PS ME NN 2, PS_Region_New__c=UKI, attributes={type=Account, url=/services/data/v62.0/sobjects/Account/001VT00000b2O91YAE}, Name=The Good Care Group}</t>
  </si>
  <si>
    <t>a0pVT00000Cq4bhYAB</t>
  </si>
  <si>
    <t>{PS_Region_New__c=US Large Enterprise DI &amp; Mexico, SubRegion__c=US DI LE CB MFG South, attributes={url=/services/data/v62.0/sobjects/Account/0013000000Ke3UFAAZ, type=Account}, Name=Zillow, Inc., PS_Sub_Region__c=Diversified Industries LE CB MFG, Industry=Business Services}</t>
  </si>
  <si>
    <t>a0pVT00000Cq4dJYAR</t>
  </si>
  <si>
    <t>{Name=Zillow, Inc., PS_Region_New__c=US Large Enterprise DI &amp; Mexico, attributes={type=Account, url=/services/data/v62.0/sobjects/Account/0013000000Ke3UFAAZ}, Industry=Business Services, SubRegion__c=US DI LE CB MFG South, PS_Sub_Region__c=Diversified Industries LE CB MFG}</t>
  </si>
  <si>
    <t>a0pVT00000Cq2IBYAZ</t>
  </si>
  <si>
    <t>{attributes={type=Account, url=/services/data/v62.0/sobjects/Account/0013000000KyjfoAAB}, PS_Region_New__c=US Large Enterprise DI &amp; Mexico, Industry=Softlines, SubRegion__c=US DI LE NN RHT West, Name=Hot Topic, Inc., PS_Sub_Region__c=Diversified Industries LE NN}</t>
  </si>
  <si>
    <t>a0pVT00000Cpy87YAB</t>
  </si>
  <si>
    <t>{attributes={url=/services/data/v62.0/sobjects/Account/0013000000KzIsTAAV, type=Account}, Industry=Software &amp; Platforms, SubRegion__c=US DI LE CB TM &amp; PS Southwest, Name=eBay Inc., PS_Region_New__c=US Large Enterprise DI &amp; Mexico, PS_Sub_Region__c=Diversified Industries LE CB TM &amp; PS}</t>
  </si>
  <si>
    <t>a0pVT00000Cq6SEYAZ</t>
  </si>
  <si>
    <t>{attributes={type=Account, url=/services/data/v62.0/sobjects/Account/0018000000LVJFqAAP}, SubRegion__c=US DI LE CB RHT Midwest, PS_Sub_Region__c=Diversified Industries LE CB RHT, Name=Portillo's Hot Dogs, LLC, Industry=Restaurant &amp; Food Service, PS_Region_New__c=US Large Enterprise DI &amp; Mexico}</t>
  </si>
  <si>
    <t>a0pVT00000CpvRzYAJ</t>
  </si>
  <si>
    <t>{PS_Region_New__c=US Medium Enterprise DI, Name=CareAparent, PS_Sub_Region__c=ME Commercial West, attributes={url=/services/data/v62.0/sobjects/Account/001VT00000b2niUYAQ, type=Account}, Industry=Ambulatory, SubRegion__c=US DI Commercial NN Central}</t>
  </si>
  <si>
    <t>a0pVT00000CqBGcYAN</t>
  </si>
  <si>
    <t>{PS_Region_New__c=US Medium Enterprise DI, SubRegion__c=US DI Commercial NN Central, attributes={url=/services/data/v62.0/sobjects/Account/001VT00000b2niUYAQ, type=Account}, PS_Sub_Region__c=ME Commercial West, Industry=Ambulatory, Name=CareAparent}</t>
  </si>
  <si>
    <t>a0pVT00000CqBZxYAN</t>
  </si>
  <si>
    <t>{Name=CareAparent, PS_Sub_Region__c=ME Commercial West, Industry=Ambulatory, attributes={type=Account, url=/services/data/v62.0/sobjects/Account/001VT00000b2niUYAQ}, SubRegion__c=US DI Commercial NN Central, PS_Region_New__c=US Medium Enterprise DI}</t>
  </si>
  <si>
    <t>a0pVT00000Cq3PXYAZ</t>
  </si>
  <si>
    <t>{Name=CareAparent, Industry=Ambulatory, SubRegion__c=US DI Commercial NN Central, PS_Region_New__c=US Medium Enterprise DI, attributes={url=/services/data/v62.0/sobjects/Account/001VT00000b2niUYAQ, type=Account}, PS_Sub_Region__c=ME Commercial West}</t>
  </si>
  <si>
    <t>a0pVT00000Cq3VyYAJ</t>
  </si>
  <si>
    <t>{PS_Region_New__c=US Medium Enterprise DI, attributes={type=Account, url=/services/data/v62.0/sobjects/Account/0013000000L0ltlAAB}, Industry=Other Transportation, SubRegion__c=US DI ME CB RHT East, Name=Lasership, Inc. dba OnTrac Final Mile, PS_Sub_Region__c=ME CB TM &amp; RHT}</t>
  </si>
  <si>
    <t>a0pVT00000Cq5ZNYAZ</t>
  </si>
  <si>
    <t>{PS_Sub_Region__c=Diversified Industries LE NN, SubRegion__c=US DI LE NN MFG Central, Industry=Architecture, Engineering &amp; Construction, attributes={url=/services/data/v62.0/sobjects/Account/0014X00002aRkiTQAS, type=Account}, Name=Oldcastle BuildingEnvelope, PS_Region_New__c=US Large Enterprise DI &amp; Mexico}</t>
  </si>
  <si>
    <t>a0pVT00000CplysYAB</t>
  </si>
  <si>
    <t>{PS_Region_New__c=US Large Enterprise DI &amp; Mexico, Name=Johnson Controls, Inc., SubRegion__c=US DI Key Accounts MFG, attributes={url=/services/data/v62.0/sobjects/Account/0013000000L1jI2AAJ, type=Account}, Industry=Industrial Manufacturing, PS_Sub_Region__c=Diversified Industries Key Accounts}</t>
  </si>
  <si>
    <t>a0pVT00000Cq4lNYAR</t>
  </si>
  <si>
    <t>{PS_Region_New__c=US Large Enterprise DI &amp; Mexico, Name=Johnson Controls, Inc., SubRegion__c=US DI Key Accounts MFG, attributes={url=/services/data/v62.0/sobjects/Account/0013000000L1jI2AAJ, type=Account}, PS_Sub_Region__c=Diversified Industries Key Accounts, Industry=Industrial Manufacturing}</t>
  </si>
  <si>
    <t>a0pVT00000CppXrYAJ</t>
  </si>
  <si>
    <t>{Industry=Professional Services, attributes={type=Account, url=/services/data/v62.0/sobjects/Account/0013000000LRIo3AAH}, PS_Sub_Region__c=Diversified Industries LE CB TM &amp; PS, Name=Taylor Corporation, SubRegion__c=US DI LE CB TM &amp; PS Southwest, PS_Region_New__c=US Large Enterprise DI &amp; Mexico}</t>
  </si>
  <si>
    <t>a0pVT00000Cq4qDYAR</t>
  </si>
  <si>
    <t>{Name=Taylor Corporation, PS_Sub_Region__c=Diversified Industries LE CB TM &amp; PS, Industry=Professional Services, attributes={type=Account, url=/services/data/v62.0/sobjects/Account/0013000000LRIo3AAH}, PS_Region_New__c=US Large Enterprise DI &amp; Mexico, SubRegion__c=US DI LE CB TM &amp; PS Southwest}</t>
  </si>
  <si>
    <t>a0pVT00000CpwZKYAZ</t>
  </si>
  <si>
    <t>{Name=Taylor Corporation, Industry=Professional Services, PS_Region_New__c=US Large Enterprise DI &amp; Mexico, attributes={type=Account, url=/services/data/v62.0/sobjects/Account/0013000000LRIo3AAH}, SubRegion__c=US DI LE CB TM &amp; PS Southwest, PS_Sub_Region__c=Diversified Industries LE CB TM &amp; PS}</t>
  </si>
  <si>
    <t>a0pVT00000CptoMYAR</t>
  </si>
  <si>
    <t>{PS_Sub_Region__c=Diversified Industries LE CB TM &amp; PS, Industry=Professional Services, Name=Taylor Corporation, SubRegion__c=US DI LE CB TM &amp; PS Southwest, PS_Region_New__c=US Large Enterprise DI &amp; Mexico, attributes={type=Account, url=/services/data/v62.0/sobjects/Account/0013000000LRIo3AAH}}</t>
  </si>
  <si>
    <t>a0pVT00000Cq1xCYAR</t>
  </si>
  <si>
    <t>{PS_Sub_Region__c=Diversified Industries LE CB TM &amp; PS, SubRegion__c=US DI LE CB TM &amp; PS Southwest, Industry=Professional Services, Name=Taylor Corporation, PS_Region_New__c=US Large Enterprise DI &amp; Mexico, attributes={url=/services/data/v62.0/sobjects/Account/0013000000LRIo3AAH, type=Account}}</t>
  </si>
  <si>
    <t>a0pVT00000Cq4rpYAB</t>
  </si>
  <si>
    <t>{PS_Sub_Region__c=Diversified Industries LE CB RHT, Industry=Food &amp; Drug, Name=Rexall, SubRegion__c=US DI LE CB RHT West, attributes={type=Account, url=/services/data/v62.0/sobjects/Account/0013000000LTHTfAAP}, PS_Region_New__c=US Large Enterprise DI &amp; Mexico}</t>
  </si>
  <si>
    <t>a0pVT00000CprkyYAB</t>
  </si>
  <si>
    <t>{SubRegion__c=US Local Gov LE NN East, Name=Baltimore County Public School System, PS_Region_New__c=US SLED, attributes={url=/services/data/v62.0/sobjects/Account/0018000000kuQhjAAE, type=Account}, Industry=Education (K-12), PS_Sub_Region__c=Local Government LE}</t>
  </si>
  <si>
    <t>a0pVT00000Cq4tRYAR</t>
  </si>
  <si>
    <t>{PS_Sub_Region__c=Healthcare ME, Industry=Post Acute, SubRegion__c=US Healthcare ME CB East, PS_Region_New__c=US Healthcare, Name=Otterbein Homes, attributes={type=Account, url=/services/data/v62.0/sobjects/Account/0014X00002FBmfdQAD}}</t>
  </si>
  <si>
    <t>a0pVT00000Cq4yHYAR</t>
  </si>
  <si>
    <t>{PS_Region_New__c=US Large Enterprise DI &amp; Mexico, attributes={url=/services/data/v62.0/sobjects/Account/0014X00002K4uluQAB, type=Account}, SubRegion__c=US DI Key Accounts TM &amp; PS, PS_Sub_Region__c=Diversified Industries Key Accounts, Name=Verizon Sourcing LLC, Industry=Telecom}</t>
  </si>
  <si>
    <t>a0pVT00000Cq1h4YAB</t>
  </si>
  <si>
    <t>{Industry=Professional Services, attributes={type=Account, url=/services/data/v62.0/sobjects/Account/0014X00002K6TaeQAF}, SubRegion__c=US DI LE CB TM &amp; PS Midwest, Name=FTI Consulting Inc., PS_Region_New__c=US Large Enterprise DI &amp; Mexico, PS_Sub_Region__c=Diversified Industries LE CB TM &amp; PS}</t>
  </si>
  <si>
    <t>a0pVT00000CpnmEYAR</t>
  </si>
  <si>
    <t>{PS_Region_New__c=US Large Enterprise DI &amp; Mexico, attributes={url=/services/data/v62.0/sobjects/Account/0018000000O9F1NAAV, type=Account}, PS_Sub_Region__c=Diversified Industries LE CB MFG, Industry=High Technology, Name=Sierra Nevada Corporation, SubRegion__c=US DI LE CB MFG West}</t>
  </si>
  <si>
    <t>a0pVT00000Cq7WLYAZ</t>
  </si>
  <si>
    <t>{PS_Region_New__c=US Large Enterprise DI &amp; Mexico, PS_Sub_Region__c=Diversified Industries LE CB MFG, SubRegion__c=US DI LE CB MFG West, attributes={type=Account, url=/services/data/v62.0/sobjects/Account/0018000000O9F1NAAV}, Name=Sierra Nevada Corporation, Industry=High Technology}</t>
  </si>
  <si>
    <t>a0pVT00000Cq2zjYAB</t>
  </si>
  <si>
    <t>{PS_Region_New__c=US Large Enterprise DI &amp; Mexico, attributes={type=Account, url=/services/data/v62.0/sobjects/Account/0018000000ju8DzAAI}, SubRegion__c=US DI Key Accounts TM &amp; PS, PS_Sub_Region__c=Diversified Industries Key Accounts, Name=Proquire Plus Inc., Industry=Professional Services}</t>
  </si>
  <si>
    <t>a0pVT00000CpwfsYAB</t>
  </si>
  <si>
    <t>{PS_Region_New__c=ANZ, Name=McDonald's Australia Holdings Limited, attributes={url=/services/data/v62.0/sobjects/Account/0018000000pPDjYAAW, type=Account}, PS_Sub_Region__c=ANZ AU LE, Industry=Business Services, SubRegion__c=ANZ AU LE NN}</t>
  </si>
  <si>
    <t>a0pVT00000Cq8fJYAR</t>
  </si>
  <si>
    <t>{PS_Sub_Region__c=ANZ AU LE, Industry=Business Services, Name=McDonald's Australia Holdings Limited, SubRegion__c=ANZ AU LE NN, PS_Region_New__c=ANZ, attributes={type=Account, url=/services/data/v62.0/sobjects/Account/0018000000pPDjYAAW}}</t>
  </si>
  <si>
    <t>a0pVT00000Cq8gvYAB</t>
  </si>
  <si>
    <t>{SubRegion__c=ANZ AU LE NN, PS_Sub_Region__c=ANZ AU LE, Name=McDonald's Australia Holdings Limited, Industry=Business Services, attributes={type=Account, url=/services/data/v62.0/sobjects/Account/0018000000pPDjYAAW}, PS_Region_New__c=ANZ}</t>
  </si>
  <si>
    <t>a0pVT00000CpwRIYAZ</t>
  </si>
  <si>
    <t>{PS_Region_New__c=ANZ, attributes={url=/services/data/v62.0/sobjects/Account/0018000000pPDjYAAW, type=Account}, PS_Sub_Region__c=ANZ AU LE, SubRegion__c=ANZ AU LE NN, Industry=Business Services, Name=McDonald's Australia Holdings Limited}</t>
  </si>
  <si>
    <t>a0pVT00000Cq3kUYAR</t>
  </si>
  <si>
    <t>{PS_Sub_Region__c=ANZ AU LE, Industry=Business Services, SubRegion__c=ANZ AU LE NN, attributes={type=Account, url=/services/data/v62.0/sobjects/Account/0018000000pPDjYAAW}, Name=McDonald's Australia Holdings Limited, PS_Region_New__c=ANZ}</t>
  </si>
  <si>
    <t>a0pVT00000Cq56LYAR</t>
  </si>
  <si>
    <t>{attributes={type=Account, url=/services/data/v62.0/sobjects/Account/0014X00002K7vHqQAJ}, PS_Region_New__c=US Medium Enterprise DI, Name=Nouria Energy Corporation, SubRegion__c=US DI ME CB RHT East, Industry=Food &amp; Drug, PS_Sub_Region__c=ME CB TM &amp; RHT}</t>
  </si>
  <si>
    <t>a0pVT00000Cq4yIYAR</t>
  </si>
  <si>
    <t>{Industry=Food &amp; Drug, SubRegion__c=US DI ME CB RHT East, PS_Sub_Region__c=ME CB TM &amp; RHT, Name=Nouria Energy Corporation, PS_Region_New__c=US Medium Enterprise DI, attributes={url=/services/data/v62.0/sobjects/Account/0014X00002K7vHqQAJ, type=Account}}</t>
  </si>
  <si>
    <t>a0pVT00000CplAtYAJ</t>
  </si>
  <si>
    <t>{SubRegion__c=US DI LE NN MFG West, Industry=Oil &amp; Gas, PS_Sub_Region__c=Diversified Industries LE NN, Name=Phillips 66, attributes={type=Account, url=/services/data/v62.0/sobjects/Account/00180000014XxFXAA0}, PS_Region_New__c=US Large Enterprise DI &amp; Mexico}</t>
  </si>
  <si>
    <t>a0pVT00000CpTsJYAV</t>
  </si>
  <si>
    <t>{PS_Region_New__c=US Large Enterprise DI &amp; Mexico, Industry=Oil &amp; Gas, Name=Phillips 66, PS_Sub_Region__c=Diversified Industries LE NN, attributes={url=/services/data/v62.0/sobjects/Account/00180000014XxFXAA0, type=Account}, SubRegion__c=US DI LE NN MFG West}</t>
  </si>
  <si>
    <t>a0pVT00000Cq82cYAB</t>
  </si>
  <si>
    <t>{SubRegion__c=US NFP NN East, PS_Sub_Region__c=Higher Education LE, Industry=Non-Profit, attributes={url=/services/data/v62.0/sobjects/Account/0018000001IDx9mAAD, type=Account}, PS_Region_New__c=US SLED, Name=YMCA of Greater Pittsburgh}</t>
  </si>
  <si>
    <t>a0pVT00000Cpa0xYAB</t>
  </si>
  <si>
    <t>{SubRegion__c=US NFP NN East, PS_Sub_Region__c=Higher Education LE, PS_Region_New__c=US SLED, Name=YMCA of Greater Pittsburgh, attributes={url=/services/data/v62.0/sobjects/Account/0018000001IDx9mAAD, type=Account}, Industry=Non-Profit}</t>
  </si>
  <si>
    <t>a0pVT00000Cplh8YAB</t>
  </si>
  <si>
    <t>{Name=YMCA of Greater Pittsburgh, Industry=Non-Profit, attributes={url=/services/data/v62.0/sobjects/Account/0018000001IDx9mAAD, type=Account}, PS_Region_New__c=US SLED, SubRegion__c=US NFP NN East, PS_Sub_Region__c=Higher Education LE}</t>
  </si>
  <si>
    <t>a0pVT00000CppXsYAJ</t>
  </si>
  <si>
    <t>{PS_Region_New__c=US SLED, Name=YMCA of Greater Pittsburgh, PS_Sub_Region__c=Higher Education LE, attributes={url=/services/data/v62.0/sobjects/Account/0018000001IDx9mAAD, type=Account}, SubRegion__c=US NFP NN East, Industry=Non-Profit}</t>
  </si>
  <si>
    <t>a0pVT00000Cq59ZYAR</t>
  </si>
  <si>
    <t>{PS_Region_New__c=US Medium Enterprise DI, Industry=Software &amp; Platforms, SubRegion__c=US DI ME CB TM Northwest, PS_Sub_Region__c=ME CB TM &amp; RHT, Name=Discord Inc., attributes={type=Account, url=/services/data/v62.0/sobjects/Account/0014X00002LAA9CQAX}}</t>
  </si>
  <si>
    <t>a0pVT00000Cq5BBYAZ</t>
  </si>
  <si>
    <t>{Industry=Education (K-12), PS_Sub_Region__c=Higher Education LE, SubRegion__c=US NFP CB West, PS_Region_New__c=US SLED, attributes={url=/services/data/v62.0/sobjects/Account/0014X00002MBDyFQAX, type=Account}, Name=Day 1 Academies}</t>
  </si>
  <si>
    <t>a0pVT00000Cq2QFYAZ</t>
  </si>
  <si>
    <t>0014X00002U3hMPQAZ</t>
  </si>
  <si>
    <t>{PS_Sub_Region__c=FSI ME NN, Industry=Banking &amp; Capital Markets, SubRegion__c=US FSI ME NN Central, Name=Citadel Federal Credit Union, PS_Region_New__c=US FSI, attributes={url=/services/data/v62.0/sobjects/Account/0014X00002U3hMPQAZ, type=Account}}</t>
  </si>
  <si>
    <t>a0pVT00000CpxiMYAR</t>
  </si>
  <si>
    <t>{PS_Region_New__c=US FSI, Name=Citadel Federal Credit Union, Industry=Banking &amp; Capital Markets, SubRegion__c=US FSI ME NN Central, attributes={url=/services/data/v62.0/sobjects/Account/0014X00002U3hMPQAZ, type=Account}, PS_Sub_Region__c=FSI ME NN}</t>
  </si>
  <si>
    <t>a0pVT00000Cq5EPYAZ</t>
  </si>
  <si>
    <t>{PS_Region_New__c=US Healthcare, Industry=Other Healthcare, attributes={type=Account, url=/services/data/v62.0/sobjects/Account/0014X00002MBxmoQAD}, Name=ExactCare Pharmacy, PS_Sub_Region__c=Healthcare ME, SubRegion__c=US Healthcare ME NN Northeast}</t>
  </si>
  <si>
    <t>a0pVT00000Cq0hmYAB</t>
  </si>
  <si>
    <t>{Industry=Other Healthcare, Name=ExactCare Pharmacy, PS_Sub_Region__c=Healthcare ME, attributes={url=/services/data/v62.0/sobjects/Account/0014X00002MBxmoQAD, type=Account}, SubRegion__c=US Healthcare ME NN Northeast, PS_Region_New__c=US Healthcare}</t>
  </si>
  <si>
    <t>a0pVT00000Cpo2IYAR</t>
  </si>
  <si>
    <t>{attributes={url=/services/data/v62.0/sobjects/Account/0014X00002MBywtQAD, type=Account}, SubRegion__c=US DI ME NN RHT Central, Name=Continental Cafe, LLC DBA Continental Services, PS_Region_New__c=US Medium Enterprise DI, Industry=Restaurant &amp; Food Service, PS_Sub_Region__c=ME NN RHT East}</t>
  </si>
  <si>
    <t>a0pVT00000CpqH2YAJ</t>
  </si>
  <si>
    <t>{PS_Region_New__c=US Medium Enterprise DI, Industry=Restaurant &amp; Food Service, Name=Continental Cafe, LLC DBA Continental Services, PS_Sub_Region__c=ME NN RHT East, attributes={type=Account, url=/services/data/v62.0/sobjects/Account/0014X00002MBywtQAD}, SubRegion__c=US DI ME NN RHT Central}</t>
  </si>
  <si>
    <t>a0pVT00000Cq32wYAB</t>
  </si>
  <si>
    <t>{SubRegion__c=US DI ME NN RHT Central, PS_Region_New__c=US Medium Enterprise DI, attributes={type=Account, url=/services/data/v62.0/sobjects/Account/0014X00002MBywtQAD}, PS_Sub_Region__c=ME NN RHT East, Industry=Restaurant &amp; Food Service, Name=Continental Cafe, LLC DBA Continental Services}</t>
  </si>
  <si>
    <t>a0pVT00000Cq4F8YAJ</t>
  </si>
  <si>
    <t>{Industry=Restaurant &amp; Food Service, Name=Continental Cafe, LLC DBA Continental Services, PS_Region_New__c=US Medium Enterprise DI, attributes={url=/services/data/v62.0/sobjects/Account/0014X00002MBywtQAD, type=Account}, PS_Sub_Region__c=ME NN RHT East, SubRegion__c=US DI ME NN RHT Central}</t>
  </si>
  <si>
    <t>a0pVT00000Cps98YAB</t>
  </si>
  <si>
    <t>{attributes={type=Account, url=/services/data/v62.0/sobjects/Account/0014X00002MCkATQA1}, PS_Sub_Region__c=Diversified Industries LE CB RHT, SubRegion__c=US DI LE CB RHT West, PS_Region_New__c=US Large Enterprise DI &amp; Mexico, Name=Diversified Restaurant Group RSC, LLC, Industry=Restaurant &amp; Food Service}</t>
  </si>
  <si>
    <t>a0pVT00000Cq34YYAR</t>
  </si>
  <si>
    <t>{Name=Diversified Restaurant Group RSC, LLC, PS_Region_New__c=US Large Enterprise DI &amp; Mexico, attributes={url=/services/data/v62.0/sobjects/Account/0014X00002MCkATQA1, type=Account}, PS_Sub_Region__c=Diversified Industries LE CB RHT, SubRegion__c=US DI LE CB RHT West, Industry=Restaurant &amp; Food Service}</t>
  </si>
  <si>
    <t>a0pVT00000CpuvlYAB</t>
  </si>
  <si>
    <t>{Industry=Restaurant &amp; Food Service, SubRegion__c=US DI LE CB RHT West, PS_Region_New__c=US Large Enterprise DI &amp; Mexico, Name=Diversified Restaurant Group RSC, LLC, attributes={url=/services/data/v62.0/sobjects/Account/0014X00002MCkATQA1, type=Account}, PS_Sub_Region__c=Diversified Industries LE CB RHT}</t>
  </si>
  <si>
    <t>a0pVT00000CpQ1bYAF</t>
  </si>
  <si>
    <t>{attributes={url=/services/data/v62.0/sobjects/Account/0014X00002MCkATQA1, type=Account}, PS_Sub_Region__c=Diversified Industries LE CB RHT, Name=Diversified Restaurant Group RSC, LLC, Industry=Restaurant &amp; Food Service, SubRegion__c=US DI LE CB RHT West, PS_Region_New__c=US Large Enterprise DI &amp; Mexico}</t>
  </si>
  <si>
    <t>a0pVT00000Cq2bZYAR</t>
  </si>
  <si>
    <t>{PS_Sub_Region__c=Diversified Industries LE CB RHT, Industry=Restaurant &amp; Food Service, attributes={url=/services/data/v62.0/sobjects/Account/001VT00000bDnvGYAS, type=Account}, PS_Region_New__c=US Large Enterprise DI &amp; Mexico, Name=KBP Drive In, LLC (Sonic Drive-In), SubRegion__c=US DI LE CB RHT Central}</t>
  </si>
  <si>
    <t>a0pVT00000Cq2GaYAJ</t>
  </si>
  <si>
    <t>{PS_Region_New__c=US Large Enterprise DI &amp; Mexico, SubRegion__c=US DI LE CB RHT Central, Industry=Restaurant &amp; Food Service, Name=KBP Drive In, LLC (Sonic Drive-In), PS_Sub_Region__c=Diversified Industries LE CB RHT, attributes={type=Account, url=/services/data/v62.0/sobjects/Account/001VT00000bDnvGYAS}}</t>
  </si>
  <si>
    <t>a0pVT00000CpsaYYAR</t>
  </si>
  <si>
    <t>{Industry=Restaurant &amp; Food Service, PS_Region_New__c=US Large Enterprise DI &amp; Mexico, Name=KBP Drive In, LLC (Sonic Drive-In), attributes={url=/services/data/v62.0/sobjects/Account/001VT00000bDnvGYAS, type=Account}, SubRegion__c=US DI LE CB RHT Central, PS_Sub_Region__c=Diversified Industries LE CB RHT}</t>
  </si>
  <si>
    <t>a0pVT00000Cpr8GYAR</t>
  </si>
  <si>
    <t>{PS_Sub_Region__c=Diversified Industries LE CB RHT, attributes={type=Account, url=/services/data/v62.0/sobjects/Account/001VT00000bDnvGYAS}, Name=KBP Drive In, LLC (Sonic Drive-In), Industry=Restaurant &amp; Food Service, SubRegion__c=US DI LE CB RHT Central, PS_Region_New__c=US Large Enterprise DI &amp; Mexico}</t>
  </si>
  <si>
    <t>a0pVT00000CpqFOYAZ</t>
  </si>
  <si>
    <t>{Name=Veho Tech, Inc (Inactive Account), PS_Region_New__c=US Medium Enterprise DI, attributes={type=Account, url=/services/data/v62.0/sobjects/Account/0014X00002MDZj9QAH}, PS_Sub_Region__c=ME Commercial East, SubRegion__c=US DI Commercial NN Mid-Atlantic, Industry=Technology Solutions}</t>
  </si>
  <si>
    <t>a0pVT00000Cq5HdYAJ</t>
  </si>
  <si>
    <t>{PS_Region_New__c=US Medium Enterprise DI, Name=DMB Sports Clubs, Industry=Amusement &amp; Recreation, PS_Sub_Region__c=ME NN TM &amp; RHT West, SubRegion__c=US DI ME NN RHT Mountain, attributes={url=/services/data/v62.0/sobjects/Account/0014X00002ME7qfQAD, type=Account}}</t>
  </si>
  <si>
    <t>a0pVT00000CpsnSYAR</t>
  </si>
  <si>
    <t>{PS_Sub_Region__c=Local Government LE, attributes={type=Account, url=/services/data/v62.0/sobjects/Account/001VT00000b2hYFYAY}, Name=Nevada Workforce Connections, Industry=State &amp; Local Government, SubRegion__c=US Local Gov LE NN &amp; States West, PS_Region_New__c=US SLED}</t>
  </si>
  <si>
    <t>a0pVT00000Cq0ORYAZ</t>
  </si>
  <si>
    <t>{attributes={type=Account, url=/services/data/v62.0/sobjects/Account/001VT00000UpJVaYAN}, Industry=Professional Services, PS_Region_New__c=US Medium Enterprise DI, SubRegion__c=US DI Commercial NN Mid-Atlantic, Name=Terzetto Creative, PS_Sub_Region__c=ME Commercial East}</t>
  </si>
  <si>
    <t>a0pVT00000CprkxYAB</t>
  </si>
  <si>
    <t>{SubRegion__c=US NFP NN East, PS_Sub_Region__c=Higher Education LE, attributes={type=Account, url=/services/data/v62.0/sobjects/Account/0014X00002OsNkgQAF}, Industry=Non-Profit, PS_Region_New__c=US SLED, Name=Gulliver Preparatory School, Inc}</t>
  </si>
  <si>
    <t>a0pVT00000Cq5xaYAB</t>
  </si>
  <si>
    <t>{attributes={type=Account, url=/services/data/v62.0/sobjects/Account/0014X00002ej3g5QAA}, PS_Sub_Region__c=ME NN TM &amp; RHT West, SubRegion__c=US DI ME NN TM East, PS_Region_New__c=US Medium Enterprise DI, Industry=Hardlines, Name=Blue Link Wireless}</t>
  </si>
  <si>
    <t>a0pVT00000Cq68rYAB</t>
  </si>
  <si>
    <t>{SubRegion__c=US DI ME NN TM East, attributes={url=/services/data/v62.0/sobjects/Account/0014X00002ej3g5QAA, type=Account}, Name=Blue Link Wireless, Industry=Hardlines, PS_Sub_Region__c=ME NN TM &amp; RHT West, PS_Region_New__c=US Medium Enterprise DI}</t>
  </si>
  <si>
    <t>a0pVT00000CpxyQYAR</t>
  </si>
  <si>
    <t>{attributes={url=/services/data/v62.0/sobjects/Account/0014X00002ej3g5QAA, type=Account}, Name=Blue Link Wireless, PS_Region_New__c=US Medium Enterprise DI, Industry=Hardlines, PS_Sub_Region__c=ME NN TM &amp; RHT West, SubRegion__c=US DI ME NN TM East}</t>
  </si>
  <si>
    <t>a0pVT00000CpwfqYAB</t>
  </si>
  <si>
    <t>{PS_Region_New__c=US Medium Enterprise DI, attributes={type=Account, url=/services/data/v62.0/sobjects/Account/0014X00002ej3g5QAA}, Name=Blue Link Wireless, Industry=Hardlines, SubRegion__c=US DI ME NN TM East, PS_Sub_Region__c=ME NN TM &amp; RHT West}</t>
  </si>
  <si>
    <t>a0pVT00000Cq2lCYAR</t>
  </si>
  <si>
    <t>{SubRegion__c=US DI ME NN RHT Central, Industry=Auto, PS_Region_New__c=US Medium Enterprise DI, PS_Sub_Region__c=ME NN RHT East, Name=Factory Motor Parts, attributes={url=/services/data/v62.0/sobjects/Account/0018000001AFeqyAAD, type=Account}}</t>
  </si>
  <si>
    <t>a0pVT00000Cpv0ZYAR</t>
  </si>
  <si>
    <t>{Industry=Auto, PS_Region_New__c=US Medium Enterprise DI, attributes={url=/services/data/v62.0/sobjects/Account/0018000001AFeqyAAD, type=Account}, PS_Sub_Region__c=ME NN RHT East, SubRegion__c=US DI ME NN RHT Central, Name=Factory Motor Parts}</t>
  </si>
  <si>
    <t>a0pVT00000CpuZ8YAJ</t>
  </si>
  <si>
    <t>{Name=The Carle Foundation, attributes={type=Account, url=/services/data/v62.0/sobjects/Account/0014X00002OsO2QQAV}, Industry=Non-Profit, PS_Sub_Region__c=Higher Education LE, SubRegion__c=US NFP NN West, PS_Region_New__c=US SLED}</t>
  </si>
  <si>
    <t>a0pVT00000CplnaYAB</t>
  </si>
  <si>
    <t>{SubRegion__c=US DI Commercial NN Mid-Atlantic, PS_Region_New__c=US Medium Enterprise DI, attributes={type=Account, url=/services/data/v62.0/sobjects/Account/0014X00002OsV5XQAV}, Name=Englert Inc. (Inactive Account), Industry=Architecture, Engineering &amp; Construction, PS_Sub_Region__c=ME Commercial East}</t>
  </si>
  <si>
    <t>a0pVT00000Cq6btYAB</t>
  </si>
  <si>
    <t>{Industry=Food &amp; Drug, Name=Green Dragon Cannabis, attributes={type=Account, url=/services/data/v62.0/sobjects/Account/0014X00002luOPnQAM}, PS_Region_New__c=US Medium Enterprise DI, PS_Sub_Region__c=ME Commercial West, SubRegion__c=US DI Commercial NN Central}</t>
  </si>
  <si>
    <t>a0pVT00000Cq6dVYAR</t>
  </si>
  <si>
    <t>{attributes={url=/services/data/v62.0/sobjects/Account/0014X00002luOPnQAM, type=Account}, PS_Region_New__c=US Medium Enterprise DI, Industry=Food &amp; Drug, Name=Green Dragon Cannabis, PS_Sub_Region__c=ME Commercial West, SubRegion__c=US DI Commercial NN Central}</t>
  </si>
  <si>
    <t>a0pVT00000Cpz5nYAB</t>
  </si>
  <si>
    <t>{Industry=Food &amp; Drug, SubRegion__c=US DI Commercial NN Central, PS_Sub_Region__c=ME Commercial West, attributes={type=Account, url=/services/data/v62.0/sobjects/Account/0014X00002luOPnQAM}, PS_Region_New__c=US Medium Enterprise DI, Name=Green Dragon Cannabis}</t>
  </si>
  <si>
    <t>a0pVT00000CpvlMYAR</t>
  </si>
  <si>
    <t>{PS_Sub_Region__c=ME Commercial West, attributes={url=/services/data/v62.0/sobjects/Account/0014X00002luOPnQAM, type=Account}, SubRegion__c=US DI Commercial NN Central, PS_Region_New__c=US Medium Enterprise DI, Industry=Food &amp; Drug, Name=Green Dragon Cannabis}</t>
  </si>
  <si>
    <t>a0pVT00000Cq4DWYAZ</t>
  </si>
  <si>
    <t>{Name=Autism Learning Partners, Industry=Other Healthcare, PS_Region_New__c=US Healthcare, attributes={url=/services/data/v62.0/sobjects/Account/0014X00002OsV79QAF, type=Account}, SubRegion__c=US Healthcare ME NN West, PS_Sub_Region__c=Healthcare ME}</t>
  </si>
  <si>
    <t>a0pVT00000Cq5O5YAJ</t>
  </si>
  <si>
    <t>{attributes={url=/services/data/v62.0/sobjects/Account/0014X00002OsV79QAF, type=Account}, SubRegion__c=US Healthcare ME NN West, PS_Sub_Region__c=Healthcare ME, Industry=Other Healthcare, Name=Autism Learning Partners, PS_Region_New__c=US Healthcare}</t>
  </si>
  <si>
    <t>a0pVT00000CprxrYAB</t>
  </si>
  <si>
    <t>{Industry=Other Healthcare, Name=Autism Learning Partners, SubRegion__c=US Healthcare ME NN West, PS_Region_New__c=US Healthcare, attributes={type=Account, url=/services/data/v62.0/sobjects/Account/0014X00002OsV79QAF}, PS_Sub_Region__c=Healthcare ME}</t>
  </si>
  <si>
    <t>a0pVT00000Cq5PhYAJ</t>
  </si>
  <si>
    <t>{PS_Region_New__c=US Healthcare, Name=Autism Learning Partners, Industry=Other Healthcare, PS_Sub_Region__c=Healthcare ME, attributes={type=Account, url=/services/data/v62.0/sobjects/Account/0014X00002OsV79QAF}, SubRegion__c=US Healthcare ME NN West}</t>
  </si>
  <si>
    <t>a0pVT00000Cq5O6YAJ</t>
  </si>
  <si>
    <t>{SubRegion__c=US Healthcare ME NN West, Name=Autism Learning Partners, attributes={type=Account, url=/services/data/v62.0/sobjects/Account/0014X00002OsV79QAF}, PS_Region_New__c=US Healthcare, Industry=Other Healthcare, PS_Sub_Region__c=Healthcare ME}</t>
  </si>
  <si>
    <t>a0pVT00000Cq3uAYAR</t>
  </si>
  <si>
    <t>{PS_Sub_Region__c=ME NN TM &amp; RHT West, SubRegion__c=US DI ME NN TM East, Industry=Software &amp; Platforms, attributes={type=Account, url=/services/data/v62.0/sobjects/Account/0014X00002OsggJQAR}, PS_Region_New__c=US Medium Enterprise DI, Name=Stack Exchange, Inc.}</t>
  </si>
  <si>
    <t>a0pVT00000Cq8c7YAB</t>
  </si>
  <si>
    <t>{PS_Sub_Region__c=Corporate, attributes={type=Account, url=/services/data/v62.0/sobjects/Account/0018000000xo91kAAA}, PS_Region_New__c=Corporate, Industry=Non-Profit, SubRegion__c=Corporate, Name=Mothers Against Drunk Driving}</t>
  </si>
  <si>
    <t>a0pVT00000CpqlgYAB</t>
  </si>
  <si>
    <t>{PS_Sub_Region__c=Diversified Industries LE NN, Industry=Restaurant &amp; Food Service, attributes={url=/services/data/v62.0/sobjects/Account/0014X00002U15lSQAR, type=Account}, PS_Region_New__c=US Large Enterprise DI &amp; Mexico, SubRegion__c=US DI LE NN RHT South, Name=Tasty Restaurant Group}</t>
  </si>
  <si>
    <t>a0pVT00000CpsQtYAJ</t>
  </si>
  <si>
    <t>{SubRegion__c=US DI LE NN RHT South, PS_Sub_Region__c=Diversified Industries LE NN, Industry=Restaurant &amp; Food Service, attributes={url=/services/data/v62.0/sobjects/Account/0014X00002U15lSQAR, type=Account}, PS_Region_New__c=US Large Enterprise DI &amp; Mexico, Name=Tasty Restaurant Group}</t>
  </si>
  <si>
    <t>a0pVT00000CpwFyYAJ</t>
  </si>
  <si>
    <t>{Industry=Restaurant &amp; Food Service, PS_Sub_Region__c=Diversified Industries LE NN, Name=Tasty Restaurant Group, SubRegion__c=US DI LE NN RHT South, PS_Region_New__c=US Large Enterprise DI &amp; Mexico, attributes={type=Account, url=/services/data/v62.0/sobjects/Account/0014X00002U15lSQAR}}</t>
  </si>
  <si>
    <t>a0pVT00000Cq2N0YAJ</t>
  </si>
  <si>
    <t>{Industry=Restaurant &amp; Food Service, SubRegion__c=US DI LE NN RHT South, Name=Tasty Restaurant Group, PS_Sub_Region__c=Diversified Industries LE NN, attributes={url=/services/data/v62.0/sobjects/Account/0014X00002U15lSQAR, type=Account}, PS_Region_New__c=US Large Enterprise DI &amp; Mexico}</t>
  </si>
  <si>
    <t>a0pVT00000Cq03SYAR</t>
  </si>
  <si>
    <t>{Industry=High Technology, PS_Region_New__c=Canada, attributes={url=/services/data/v62.0/sobjects/Account/0014X00002ltRe6QAE, type=Account}, Name=CoolIT Systems, PS_Sub_Region__c=Canada Commercial, SubRegion__c=Canada Commercial}</t>
  </si>
  <si>
    <t>a0pVT00000Cq5UXYAZ</t>
  </si>
  <si>
    <t>{PS_Sub_Region__c=ME CB TM &amp; RHT, attributes={url=/services/data/v62.0/sobjects/Account/0014X00002U1SjGQAV, type=Account}, Industry=Auto, PS_Region_New__c=US Medium Enterprise DI, SubRegion__c=US DI ME CB RHT West, Name=Arapahoe Motors, Inc. d/b/a Schomp Automotive Group}</t>
  </si>
  <si>
    <t>a0pVT00000Cq1acYAB</t>
  </si>
  <si>
    <t>{PS_Sub_Region__c=ME CB TM &amp; RHT, Name=Arapahoe Motors, Inc. d/b/a Schomp Automotive Group, attributes={url=/services/data/v62.0/sobjects/Account/0014X00002U1SjGQAV, type=Account}, Industry=Auto, PS_Region_New__c=US Medium Enterprise DI, SubRegion__c=US DI ME CB RHT West}</t>
  </si>
  <si>
    <t>a0pVT00000CpnscYAB</t>
  </si>
  <si>
    <t>{Name=Maricopa County Special Health Care District dba Valleywise Health (Precision Task Group, Inc.), attributes={type=Account, url=/services/data/v62.0/sobjects/Account/0018000000RS7dkAAD}, PS_Sub_Region__c=Healthcare LE, SubRegion__c=US Healthcare LE CB West, PS_Region_New__c=US Healthcare, Industry=Acute Hospital / Health System}</t>
  </si>
  <si>
    <t>a0pVT00000CpoQUYAZ</t>
  </si>
  <si>
    <t>{Name=IPEX Management Inc., PS_Sub_Region__c=Canada ME West, attributes={url=/services/data/v62.0/sobjects/Account/0018000000esqA6AAI, type=Account}, SubRegion__c=Canada ME West, PS_Region_New__c=Canada, Industry=Industrial Manufacturing}</t>
  </si>
  <si>
    <t>a0pVT00000CpwMQYAZ</t>
  </si>
  <si>
    <t>{Name=IPEX Management Inc., PS_Sub_Region__c=Canada ME West, attributes={type=Account, url=/services/data/v62.0/sobjects/Account/0018000000esqA6AAI}, SubRegion__c=Canada ME West, Industry=Industrial Manufacturing, PS_Region_New__c=Canada}</t>
  </si>
  <si>
    <t>a0pVT00000Cq9gFYAR</t>
  </si>
  <si>
    <t>{attributes={url=/services/data/v62.0/sobjects/Account/001VT00000bPjmIYAS, type=Account}, Name=Le Creuset Group, SubRegion__c=US DI LE NN MFG East, PS_Region_New__c=US Large Enterprise DI &amp; Mexico, Industry=Consumer Goods, PS_Sub_Region__c=Diversified Industries LE NN}</t>
  </si>
  <si>
    <t>a0pVT00000Cq5W9YAJ</t>
  </si>
  <si>
    <t>{Name=Scientific Games, LLC, SubRegion__c=US DI LE CB TM &amp; PS Southwest, PS_Sub_Region__c=Diversified Industries LE CB TM &amp; PS, attributes={url=/services/data/v62.0/sobjects/Account/0014X00002U1Up5QAF, type=Account}, Industry=Media &amp; Entertainment, PS_Region_New__c=US Large Enterprise DI &amp; Mexico}</t>
  </si>
  <si>
    <t>a0pVT00000Cq09uYAB</t>
  </si>
  <si>
    <t>{PS_Sub_Region__c=ME Commercial West, Name=GO Car Wash, SubRegion__c=US DI Commercial NN Central, attributes={type=Account, url=/services/data/v62.0/sobjects/Account/0014X00002U23eIQAR}, PS_Region_New__c=US Medium Enterprise DI, Industry=Auto}</t>
  </si>
  <si>
    <t>a0pVT00000Cq0TGYAZ</t>
  </si>
  <si>
    <t>{PS_Sub_Region__c=ME Commercial West, SubRegion__c=US DI Commercial NN Central, attributes={type=Account, url=/services/data/v62.0/sobjects/Account/0014X00002U23eIQAR}, Name=GO Car Wash, PS_Region_New__c=US Medium Enterprise DI, Industry=Auto}</t>
  </si>
  <si>
    <t>a0pVT00000CpwmGYAR</t>
  </si>
  <si>
    <t>{attributes={url=/services/data/v62.0/sobjects/Account/0018000000M3WuAAAV, type=Account}, Name=Vermeer Corporation, PS_Sub_Region__c=Diversified Industries LE CB MFG, Industry=Industrial Manufacturing, SubRegion__c=US DI LE CB MFG Central, PS_Region_New__c=US Large Enterprise DI &amp; Mexico}</t>
  </si>
  <si>
    <t>Customer__r.Consultant_Location_Restriction_Details__c</t>
  </si>
  <si>
    <t>Customer__r.Restriction_on_Consultant_Location__c</t>
  </si>
  <si>
    <t>a0pVT00000Cq36AYAR</t>
  </si>
  <si>
    <t>{SubRegion__c=US DI LE CB MFG Central, attributes={type=Account, url=/services/data/v62.0/sobjects/Account/0018000000M3WuAAAV}, PS_Sub_Region__c=Diversified Industries LE CB MFG, PS_Region_New__c=US Large Enterprise DI &amp; Mexico, Industry=Industrial Manufacturing, Name=Vermeer Corporation}</t>
  </si>
  <si>
    <t>Workday_Engagement_Manager__r.Name</t>
  </si>
  <si>
    <t>a0pVT00000Cq67GYAR</t>
  </si>
  <si>
    <t>{PS_Region_New__c=US Healthcare, Name=OneOncology LLC, attributes={type=Account, url=/services/data/v62.0/sobjects/Account/0018000001f3ltrAAA}, Industry=Ambulatory, SubRegion__c=US Healthcare LE CB Central, PS_Sub_Region__c=Healthcare LE}</t>
  </si>
  <si>
    <t>a0pVT00000CplncYAB</t>
  </si>
  <si>
    <t>{PS_Sub_Region__c=UKI PBS, attributes={url=/services/data/v62.0/sobjects/Account/0014X00002U2B4mQAF, type=Account}, Name=Allegion plc, Industry=Business Services, PS_Region_New__c=UKI, SubRegion__c=UKI PBS LE}</t>
  </si>
  <si>
    <t>a0pVT00000Cpr9uYAB</t>
  </si>
  <si>
    <t>{PS_Region_New__c=US Healthcare, Name=Blessing Corporate Services, Inc., attributes={url=/services/data/v62.0/sobjects/Account/0018000001EiKQmAAN, type=Account}, PS_Sub_Region__c=Healthcare LE, Industry=Acute Hospital / Health System, SubRegion__c=US Healthcare LE NN Central}</t>
  </si>
  <si>
    <t>None</t>
  </si>
  <si>
    <t>a0pVT00000CpxGtYAJ</t>
  </si>
  <si>
    <t>Less than a handful of changes needed to receive AOPC's sign-off to deploy the financial disclosure enhancements to PROD.  Targeting the end of this week to complete (06-19).</t>
  </si>
  <si>
    <t>{Industry=Acute Hospital / Health System, attributes={type=Account, url=/services/data/v62.0/sobjects/Account/0014X00002U3zaKQAR}, PS_Region_New__c=US Healthcare, SubRegion__c=US Healthcare LE NN East, PS_Sub_Region__c=Healthcare LE, Name=Leon Medical Centers}</t>
  </si>
  <si>
    <t>6/22/26"  Plan stage in progress, preparing for Kickoff Meeting and initial workstream meetings</t>
  </si>
  <si>
    <t>a0pVT00000CpvWqYAJ</t>
  </si>
  <si>
    <t>Phase 2 - MTP build ongoing, 7/1 go live</t>
  </si>
  <si>
    <t>{PS_Sub_Region__c=Diversified Industries LE NN, Industry=Auto, SubRegion__c=US DI LE NN RHT West, PS_Region_New__c=US Large Enterprise DI &amp; Mexico, attributes={type=Account, url=/services/data/v62.0/sobjects/Account/0014X00002XGycPQAT}, Name=Sun Auto Tire &amp; Service}</t>
  </si>
  <si>
    <t>6.22.26 We shift in to A&amp;C phase with the start or our  FAS</t>
  </si>
  <si>
    <t>6/15 - extended E2E testing, client is at 88% complete. PATTS still in process go-live will not be October, date TBD.</t>
  </si>
  <si>
    <t>a0pVT00000CpozzYAB</t>
  </si>
  <si>
    <t>{PS_Sub_Region__c=Diversified Industries LE NN, attributes={url=/services/data/v62.0/sobjects/Account/0014X00002XGycPQAT, type=Account}, Name=Sun Auto Tire &amp; Service, SubRegion__c=US DI LE NN RHT West, PS_Region_New__c=US Large Enterprise DI &amp; Mexico, Industry=Auto}</t>
  </si>
  <si>
    <t>- CCS session resumes. 
- County has approved a staggered approach and pushing Finance Go Live to 8/1. Change order in progress.</t>
  </si>
  <si>
    <t>No location restrictions.</t>
  </si>
  <si>
    <t>Partnering with the client in the architecture and configuration phase of the project.</t>
  </si>
  <si>
    <t>a0pVT00000CpnChYAJ</t>
  </si>
  <si>
    <t>{PS_Sub_Region__c=FSI ME CB, SubRegion__c=US FSI ME CB Northeast 1, Industry=Insurance, attributes={type=Account, url=/services/data/v62.0/sobjects/Account/0018000000uhkjoAAA}, PS_Region_New__c=US FSI, Name=Shared Technology Services Group LLC}</t>
  </si>
  <si>
    <t>Preparing for ESS go live and first payroll</t>
  </si>
  <si>
    <t>a0pVT00000CprpnYAB</t>
  </si>
  <si>
    <t>{PS_Sub_Region__c=ANZ AU ME, Industry=Auto, PS_Region_New__c=ANZ, SubRegion__c=null, attributes={type=Account, url=/services/data/v62.0/sobjects/Account/0014X00002XIhGtQAL}, Name=O'Brien Glass}</t>
  </si>
  <si>
    <t>Subhasish Moitra</t>
  </si>
  <si>
    <t>6/15: FDM solution working, needs to be fine tuned to stop bad entries by user. Some HSA plans UT complete, being moved to E2E Testing.</t>
  </si>
  <si>
    <t>City of Boulder, Colorado</t>
  </si>
  <si>
    <t>Subsequent-Customer Led: C360 Update</t>
  </si>
  <si>
    <t>a0pVT00000CpoByYAJ</t>
  </si>
  <si>
    <t>a0rVT00000m8jpNYAQ</t>
  </si>
  <si>
    <t>{PS_Region_New__c=ANZ, SubRegion__c=null, Name=O'Brien Glass, attributes={url=/services/data/v62.0/sobjects/Account/0014X00002XIhGtQAL, type=Account}, PS_Sub_Region__c=ANZ AU ME, Industry=Auto}</t>
  </si>
  <si>
    <t>6/1/26- FIN Unit validation/testing 9 outstanding tests.  Unit test in progress.  Due 6/12  47 in process.  Evisort project plan completed. Can complete as early as Aug or Oct if BB wants. Staffed for 6/8 HCM kickoff.</t>
  </si>
  <si>
    <t>a0pVT00000CpmRuYAJ</t>
  </si>
  <si>
    <t>{SubRegion__c=null, attributes={type=Account, url=/services/data/v62.0/sobjects/Account/0014X00002XKA3sQAH}, PS_Region_New__c=ANZ, Name=DELOITTE (AUSTRALIA) PTY LIMITED, PS_Sub_Region__c=ANZ AU ME, Industry=Professional Services}</t>
  </si>
  <si>
    <t>6/9-- E2E Testing delayed. Go live push until 1/1/27.</t>
  </si>
  <si>
    <t>a0pVT00000Cps9AYAR</t>
  </si>
  <si>
    <t>{attributes={url=/services/data/v62.0/sobjects/Account/00180000010IQZBAA4, type=Account}, SubRegion__c=Sweden NN, Name=Hexagon AB, PS_Sub_Region__c=EMEA North Commercial, Industry=Professional Services, PS_Region_New__c=EMEA North}</t>
  </si>
  <si>
    <t>E2E test kick-off 6/15, CCS held 6/15. Project on track for 9/28 Go Live.</t>
  </si>
  <si>
    <t>Week Ending 06/12/26 - Scope true up activities, integrations, OC&amp;T and data conversion activities.  Unit Testing week 3 completed.</t>
  </si>
  <si>
    <t>a0pVT00000CpnhNYAR</t>
  </si>
  <si>
    <t>{Industry=Professional Services, attributes={type=Account, url=/services/data/v62.0/sobjects/Account/00180000010IQZBAA4}, PS_Sub_Region__c=EMEA North Commercial, Name=Hexagon AB, SubRegion__c=Sweden NN, PS_Region_New__c=EMEA North}</t>
  </si>
  <si>
    <t>Extended end date to 7/31/26 to cover warranty period. Team completed extended Adaptive work in February, final invoice settled in March. City cancelled RFP for kronos replacement, going with different vendors for MPTA work. Will remain open thru Jun</t>
  </si>
  <si>
    <t>a0pVT00000Cpt5EYAR</t>
  </si>
  <si>
    <t>{Industry=Non-Profit, PS_Sub_Region__c=Higher Education LE, SubRegion__c=US NFP CB East, Name=Alzheimer's Association, PS_Region_New__c=US SLED, attributes={url=/services/data/v62.0/sobjects/Account/0018000001dFs21AAC, type=Account}}</t>
  </si>
  <si>
    <t>Quinest Bishop</t>
  </si>
  <si>
    <t>Formal signoff received on Time Tracking Requirements and updated config underway.  Still no decision made on data validation approach.  
A new contract is required to continue with the project. The end date was 5/31/26.</t>
  </si>
  <si>
    <t>6.22.26 - Parallel testing until 7/31/26 (Week 3 of 4 Testing cycle 2). Continue to support CoC with remaining critical and high E2E items</t>
  </si>
  <si>
    <t>a0pVT00000CqAsPYAV</t>
  </si>
  <si>
    <t>{PS_Sub_Region__c=ME Commercial West, Name=Copenhagen Imports, Inc., Industry=Hardlines, SubRegion__c=US DI Commercial NN TOLA, PS_Region_New__c=US Medium Enterprise DI, attributes={url=/services/data/v62.0/sobjects/Account/001VT00000NjZ4QYAV, type=Account}}</t>
  </si>
  <si>
    <t>End to End tenant built. Currently going through validation and smoke testing. continued development on integrations and reports. Strategic Sourcing kick off planned for 6/29.</t>
  </si>
  <si>
    <t>HCM/Payroll go live was June 12th.  Catchup transactions for HCM/Payroll are complete. Finance go live is July 1st.</t>
  </si>
  <si>
    <t>a0pVT00000Cq0ElYAJ</t>
  </si>
  <si>
    <t>{attributes={type=Account, url=/services/data/v62.0/sobjects/Account/001VT00000b2tZOYAY}, SubRegion__c=US DI LE NN MFG East, PS_Region_New__c=US Large Enterprise DI &amp; Mexico, Industry=Consumer Goods, Name=Refresco North America, PS_Sub_Region__c=Diversified Industries LE NN}</t>
  </si>
  <si>
    <t>E2E Tenant Validation testing is 42% pass, continues through June 19. E2E Testing is June 22 to Aug. 28. The team has finalized the Gold Tenant build timeline.</t>
  </si>
  <si>
    <t>a0pVT00000Cq9mgYAB</t>
  </si>
  <si>
    <t>{PS_Region_New__c=US Large Enterprise DI &amp; Mexico, attributes={url=/services/data/v62.0/sobjects/Account/001VT00000b2tZOYAY, type=Account}, SubRegion__c=US DI LE NN MFG East, PS_Sub_Region__c=Diversified Industries LE NN, Name=Refresco North America, Industry=Consumer Goods}</t>
  </si>
  <si>
    <t>05/29/2026  Change order to move the MTP date to July 1 submitted and sent to Customer. Customer is reviewing the CO with their Legal. Working to resolve a topic around request to refresh implementation tenant.</t>
  </si>
  <si>
    <t>a0pVT00000Cq1p9YAB</t>
  </si>
  <si>
    <t>WSS go-live is planned during Jun 26 and support ends by Jul. Position budget went live in June 26. Adaptive went live in Apr 26</t>
  </si>
  <si>
    <t>{Industry=Software &amp; Platforms, PS_Region_New__c=US Large Enterprise DI &amp; Mexico, SubRegion__c=US DI Key Accounts RHT, PS_Sub_Region__c=Diversified Industries Key Accounts, attributes={type=Account, url=/services/data/v62.0/sobjects/Account/0014X00002aRklwQAC}, Name=Solventum Corporation}</t>
  </si>
  <si>
    <t>a0pVT00000Cpy1gYAB</t>
  </si>
  <si>
    <t>{Name=Progress Residential, Industry=Business Services, SubRegion__c=US DI ME CB PBS Northeast, PS_Sub_Region__c=ME CB PBS, attributes={type=Account, url=/services/data/v62.0/sobjects/Account/0014X00002aSDZDQA4}, PS_Region_New__c=US Medium Enterprise DI}</t>
  </si>
  <si>
    <t>Beginning Payroll Analysis targeting close of 1st period</t>
  </si>
  <si>
    <t>a0pVT00000Cq0hnYAB</t>
  </si>
  <si>
    <t>Meeting with the city team occurred on Friday (06-12) where we presented a CO to them which would extend the deployment out approximately 14 months to August 2027.  City is discussing internally; expect to re-engage the week of (06-22).</t>
  </si>
  <si>
    <t>{PS_Region_New__c=US Medium Enterprise DI, Name=Progress Residential, SubRegion__c=US DI ME CB PBS Northeast, attributes={type=Account, url=/services/data/v62.0/sobjects/Account/0014X00002aSDZDQA4}, PS_Sub_Region__c=ME CB PBS, Industry=Business Services}</t>
  </si>
  <si>
    <t>5/22/26 - Adaptive Planning is moving forward with the Deploy stage. The only step remaining is documentation for Knowledge Transfer.</t>
  </si>
  <si>
    <t>a0pVT00000Cpu1JYAR</t>
  </si>
  <si>
    <t>{PS_Sub_Region__c=ME CB PBS, Name=Progress Residential, Industry=Business Services, PS_Region_New__c=US Medium Enterprise DI, attributes={type=Account, url=/services/data/v62.0/sobjects/Account/0014X00002aSDZDQA4}, SubRegion__c=US DI ME CB PBS Northeast}</t>
  </si>
  <si>
    <t>Move to Production completed and data catch-up continues.  End-user training is underway.  Business user roll-out on track for 6/14.  Overall, progressing to plan with no major issues.</t>
  </si>
  <si>
    <t>a0pVT00000Cpv3mYAB</t>
  </si>
  <si>
    <t>{PS_Sub_Region__c=Healthcare ME, SubRegion__c=US Healthcare Payor, attributes={type=Account, url=/services/data/v62.0/sobjects/Account/0014X00002aSDfVQAW}, PS_Region_New__c=US Healthcare, Name=Community Health Choice, Industry=Health Insurance}</t>
  </si>
  <si>
    <t>Week ending 06/12 - 6.8 Gold build underway planning for 6/22 MTP</t>
  </si>
  <si>
    <t>a0pVT00000Cq4F9YAJ</t>
  </si>
  <si>
    <t>{PS_Sub_Region__c=Healthcare ME, Name=Sagora Senior, PS_Region_New__c=US Healthcare, Industry=Post Acute, attributes={url=/services/data/v62.0/sobjects/Account/0014X00002aSDmWQAW, type=Account}, SubRegion__c=US Healthcare ME NN Southeast}</t>
  </si>
  <si>
    <t>Kirk Krikorian</t>
  </si>
  <si>
    <t>Continue Working on Phase X Talent;
Learning Phase X deployed and post production complete.</t>
  </si>
  <si>
    <t>a0pVT00000CpwPfYAJ</t>
  </si>
  <si>
    <t>{PS_Sub_Region__c=Healthcare ME, PS_Region_New__c=US Healthcare, SubRegion__c=US Healthcare ME NN Southeast, Industry=Post Acute, attributes={type=Account, url=/services/data/v62.0/sobjects/Account/0014X00002aSDmWQAW}, Name=Sagora Senior}</t>
  </si>
  <si>
    <t>6/15/26 - Finalized E2E testing, starting Parallel build.</t>
  </si>
  <si>
    <t>a0pVT00000Cq5azYAB</t>
  </si>
  <si>
    <t>Preparing for Parallel Cycle 2 (associated TCU in progress).  At a governance level, strong emphasis on remaining tasks to complete E2E and other critical activities in alignment with timeline.</t>
  </si>
  <si>
    <t>{PS_Sub_Region__c=Healthcare ME, PS_Region_New__c=US Healthcare, SubRegion__c=US Healthcare ME NN Southeast, Name=Sagora Senior, attributes={type=Account, url=/services/data/v62.0/sobjects/Account/0014X00002aSDmWQAW}, Industry=Post Acute}</t>
  </si>
  <si>
    <t>a0pVT00000Cq5cbYAB</t>
  </si>
  <si>
    <t>{SubRegion__c=US Healthcare ME NN Southeast, PS_Sub_Region__c=Healthcare ME, Name=Sagora Senior, Industry=Post Acute, attributes={type=Account, url=/services/data/v62.0/sobjects/Account/0014X00002aSDmWQAW}, PS_Region_New__c=US Healthcare}</t>
  </si>
  <si>
    <t>a0pVT00000Cq2QGYAZ</t>
  </si>
  <si>
    <t>Moving to configuration stage after completing customer prep, configuration validation sessions start tomorrow</t>
  </si>
  <si>
    <t>{SubRegion__c=US Healthcare ME NN Southeast, PS_Region_New__c=US Healthcare, attributes={type=Account, url=/services/data/v62.0/sobjects/Account/0014X00002aSDmWQAW}, PS_Sub_Region__c=Healthcare ME, Name=Sagora Senior, Industry=Post Acute}</t>
  </si>
  <si>
    <t>readiness complete; project on hold ; WD working with clients on next steps</t>
  </si>
  <si>
    <t>a0pVT00000Cq5eDYAR</t>
  </si>
  <si>
    <t>06/19/26 : Completed replanning for 10/1 deployment.  Will wrap up Parallel C1 next week.  Mock gold build proceeding.  Most integrations are in process of being signed off.</t>
  </si>
  <si>
    <t>{PS_Region_New__c=US Medium Enterprise DI, attributes={type=Account, url=/services/data/v62.0/sobjects/Account/0014X00002aSHObQAO}, Name=G&amp;A Partners, Industry=Professional Services, PS_Sub_Region__c=ME NN PBS, SubRegion__c=US DI ME NN PBS TOLA}</t>
  </si>
  <si>
    <t>6/10: Kick off was completed today.  Next steps to schedule requirement sessions starting next week.</t>
  </si>
  <si>
    <t>N/A</t>
  </si>
  <si>
    <t>a0rVT00000m8ywXYAQ</t>
  </si>
  <si>
    <t>a0pVT00000Cq5fpYAB</t>
  </si>
  <si>
    <t>{Name=Lower Cape Fear Hospice, SubRegion__c=US Healthcare ME NN Southeast, Industry=Post Acute, attributes={type=Account, url=/services/data/v62.0/sobjects/Account/0014X00002aSIokQAG}, PS_Sub_Region__c=Healthcare ME, PS_Region_New__c=US Healthcare}</t>
  </si>
  <si>
    <t>Unit testing by the city began last week (06-08); targeting this week (06-15) to complete the testing with the following 10 days devoted to building E2E.</t>
  </si>
  <si>
    <t>6/22 WT - Final week of Deployment stage week 5 of 5</t>
  </si>
  <si>
    <t>a0pVT00000Cq5hRYAR</t>
  </si>
  <si>
    <t>6/15/2026 - Moving Prism work to Phase X.  Will then close out Phase 1.</t>
  </si>
  <si>
    <t>{Industry=Lodging &amp; Resorts, SubRegion__c=US DI ME NN RHT Mountain, Name=Fontainebleau Las Vegas, attributes={type=Account, url=/services/data/v62.0/sobjects/Account/0014X00002aSR5EQAW}, PS_Sub_Region__c=ME NN TM &amp; RHT West, PS_Region_New__c=US Medium Enterprise DI}</t>
  </si>
  <si>
    <t>6/1: E2E testing has began on schdule</t>
  </si>
  <si>
    <t>6/1: MPT occued on 5/31. Validation contuines from Gold</t>
  </si>
  <si>
    <t>a0pVT00000Cq4rrYAB</t>
  </si>
  <si>
    <t>Scorecard created ahead of Opportunity close due to SFDC update and removal of DA option.</t>
  </si>
  <si>
    <t>{PS_Sub_Region__c=ME NN TM &amp; RHT West, Industry=Lodging &amp; Resorts, Name=Fontainebleau Las Vegas, attributes={url=/services/data/v62.0/sobjects/Account/0014X00002aSR5EQAW, type=Account}, PS_Region_New__c=US Medium Enterprise DI, SubRegion__c=US DI ME NN RHT Mountain}</t>
  </si>
  <si>
    <t>Diane Blantz</t>
  </si>
  <si>
    <t>We are working on closing out the deliverables for the SOW that just ended.  The new SOW picks up with some re-designs, unit tests, then we will have another round of E2E September - December 2026.</t>
  </si>
  <si>
    <t>a0pVT00000Cq0MpYAJ</t>
  </si>
  <si>
    <t>6/22/26 - CUT testing in progress</t>
  </si>
  <si>
    <t>{PS_Region_New__c=US Medium Enterprise DI, Industry=Lodging &amp; Resorts, PS_Sub_Region__c=ME NN TM &amp; RHT West, attributes={type=Account, url=/services/data/v62.0/sobjects/Account/0014X00002aSR5EQAW}, SubRegion__c=US DI ME NN RHT Mountain, Name=Fontainebleau Las Vegas}</t>
  </si>
  <si>
    <t>6/22/2026 - E2E testing is beginning this week.</t>
  </si>
  <si>
    <t>a0pVT00000Cpxf6YAB</t>
  </si>
  <si>
    <t>End-to-End Test Execution is in week 6 of 9.  61% of Cycle 1 test cases ran.</t>
  </si>
  <si>
    <t>{SubRegion__c=US DI ME NN RHT Mountain, Industry=Lodging &amp; Resorts, PS_Region_New__c=US Medium Enterprise DI, PS_Sub_Region__c=ME NN TM &amp; RHT West, Name=Fontainebleau Las Vegas, attributes={type=Account, url=/services/data/v62.0/sobjects/Account/0014X00002aSR5EQAW}}</t>
  </si>
  <si>
    <t>City of Rancho Cucamonga</t>
  </si>
  <si>
    <t>a0rVT00000m8y6mYAA</t>
  </si>
  <si>
    <t>a0pVT00000Cq5j3YAB</t>
  </si>
  <si>
    <t>{PS_Region_New__c=US Medium Enterprise DI, Industry=Lodging &amp; Resorts, attributes={url=/services/data/v62.0/sobjects/Account/0014X00002aSR5EQAW, type=Account}, PS_Sub_Region__c=ME NN TM &amp; RHT West, SubRegion__c=US DI ME NN RHT Mountain, Name=Fontainebleau Las Vegas}</t>
  </si>
  <si>
    <t>&lt;KO 6/19/26&gt; 
Project extension required. Proposed new timeline is for a MTP date of 9/10/26. Formal change order for extension was sent to client for review on 6/8/26. Avaap reviewing Salem's feedback of change order. Follow up meeting next week.</t>
  </si>
  <si>
    <t>a0pVT00000Cq0oEYAR</t>
  </si>
  <si>
    <t>06/15/26:  Working on implementation of items due to benefit data being delayed. New project completion date is 06/30/26</t>
  </si>
  <si>
    <t>a0rVT00000P0mXkYAJ</t>
  </si>
  <si>
    <t>{PS_Sub_Region__c=ME NN TM &amp; RHT West, Name=Fontainebleau Las Vegas, SubRegion__c=US DI ME NN RHT Mountain, PS_Region_New__c=US Medium Enterprise DI, attributes={url=/services/data/v62.0/sobjects/Account/0014X00002aSR5EQAW, type=Account}, Industry=Lodging &amp; Resorts}</t>
  </si>
  <si>
    <t>06/08/26 - Gold build underway. Target go-live date is 7/1. Key focus on cutover plan.</t>
  </si>
  <si>
    <t>a0pVT00000Cq2BkYAJ</t>
  </si>
  <si>
    <t>{PS_Sub_Region__c=ME Commercial West, SubRegion__c=US DI Commercial NN Central, Industry=Consumer Goods, PS_Region_New__c=US Medium Enterprise DI, Name=WP Beverages, attributes={url=/services/data/v62.0/sobjects/Account/0014X00002luO5sQAE, type=Account}}</t>
  </si>
  <si>
    <t>&lt;aw 6/15/26&gt; E2E testing continues in progress as planned, projected to complete by 6/19. FIN workstreams will continue testing till 6/30.</t>
  </si>
  <si>
    <t>Week ending 06/12/26. -  Post -Production support</t>
  </si>
  <si>
    <t>a0pVT00000CqBoTYAV</t>
  </si>
  <si>
    <t>{SubRegion__c=US DI Commercial NN Central, PS_Sub_Region__c=ME Commercial West, attributes={url=/services/data/v62.0/sobjects/Account/001VT00000b2us1YAA, type=Account}, Name=Zing Credit Union, Industry=Banking &amp; Capital Markets, PS_Region_New__c=US Medium Enterprise DI}</t>
  </si>
  <si>
    <t>Project is green now as a change order was signed to extend the project timeline. Added 5 weeks to the E2E testing window. 
The new HCM/Payroll/End-User Go-Live will be 10/23/2026.
FINs Go-Live will now be 11/01/2026.</t>
  </si>
  <si>
    <t>a0pVT00000Cpwr5YAB</t>
  </si>
  <si>
    <t>6.5.26- Payroll Parallel cycle 2 will complete next week. Cutover is in progress and gold data files are being pulled.</t>
  </si>
  <si>
    <t>{attributes={url=/services/data/v62.0/sobjects/Account/0014X00002aSc5fQAC, type=Account}, Industry=Business Services, PS_Region_New__c=US Large Enterprise DI &amp; Mexico, SubRegion__c=null, Name=Hair Cuttery, PS_Sub_Region__c=Diversified Industries LE NN}</t>
  </si>
  <si>
    <t>Workday is live for the City of VB
Sustainment procedures in place
Tickets managed through ServiceNow</t>
  </si>
  <si>
    <t>06.16 - Successful Go Live</t>
  </si>
  <si>
    <t>a0pVT00000CprbGYAR</t>
  </si>
  <si>
    <t>{PS_Sub_Region__c=Diversified Industries LE NN, Industry=Business Services, SubRegion__c=null, PS_Region_New__c=US Large Enterprise DI &amp; Mexico, attributes={url=/services/data/v62.0/sobjects/Account/0014X00002aSc5fQAC, type=Account}, Name=Hair Cuttery}</t>
  </si>
  <si>
    <t>Phase X - Your Way</t>
  </si>
  <si>
    <t>6/8/26: Parallel has started, behind target. Extension CO in progress. Awaiting signature</t>
  </si>
  <si>
    <t>a0pVT00000CptBfYAJ</t>
  </si>
  <si>
    <t>{Name=Hair Cuttery, attributes={type=Account, url=/services/data/v62.0/sobjects/Account/0014X00002aSc5fQAC}, PS_Region_New__c=US Large Enterprise DI &amp; Mexico, Industry=Business Services, PS_Sub_Region__c=Diversified Industries LE NN, SubRegion__c=null}</t>
  </si>
  <si>
    <t>Dan Terrell</t>
  </si>
  <si>
    <t>6/11 &gt; project on updated schedule (Change Order forthcoming) to align with CLM Project; customer planning for WSS training</t>
  </si>
  <si>
    <t>a0pVT00000Cq4JyYAJ</t>
  </si>
  <si>
    <t>CVWD had decided to move forward with a fully burdened cost model to replace the extend solution and has asked to push the go live date out due to several reasons.  Moving scorecard to red as we work through the plan and proposal updates.</t>
  </si>
  <si>
    <t>{SubRegion__c=null, Name=Hair Cuttery, PS_Sub_Region__c=Diversified Industries LE NN, PS_Region_New__c=US Large Enterprise DI &amp; Mexico, attributes={url=/services/data/v62.0/sobjects/Account/0014X00002aSc5fQAC, type=Account}, Industry=Business Services}</t>
  </si>
  <si>
    <t>6/22/26: Unit Testing in progress (37%); INT reconciliation CO shared, Planning Phase 2 demos</t>
  </si>
  <si>
    <t>a0pVT00000Cq5kfYAB</t>
  </si>
  <si>
    <t>{PS_Region_New__c=US Large Enterprise DI &amp; Mexico, SubRegion__c=null, Name=Hair Cuttery, PS_Sub_Region__c=Diversified Industries LE NN, attributes={type=Account, url=/services/data/v62.0/sobjects/Account/0014X00002aSc5fQAC}, Industry=Business Services}</t>
  </si>
  <si>
    <t>06/22 - Finalization of remaining CCS, updating foundational tenant</t>
  </si>
  <si>
    <t>a0pVT00000CplxHYAR</t>
  </si>
  <si>
    <t>{PS_Region_New__c=US Medium Enterprise DI, Name=ImmunityBio, Inc., SubRegion__c=US DI ME NN TM West, PS_Sub_Region__c=ME NN TM &amp; RHT West, attributes={type=Account, url=/services/data/v62.0/sobjects/Account/0014X00002aT2JpQAK}, Industry=Healthcare Manufacturing}</t>
  </si>
  <si>
    <t>Lauren Vannini</t>
  </si>
  <si>
    <t>6/12/2026 - unit testing kicked off early &amp; CCS scheduled. Positive csat from customer. Likely to drop Prism scope from phase 3, but reviewing link workaround.</t>
  </si>
  <si>
    <t>6.22.26-  We continue to work the existing approved solution for efficient based driver for more detailed reporting experience.   Signoff complete for  5 reports.  Final KT happening in June. Request to extend KT into July and add a new report</t>
  </si>
  <si>
    <t>a0pVT00000Cq5mHYAR</t>
  </si>
  <si>
    <t>0014X00002aTUm6QAG</t>
  </si>
  <si>
    <t>{PS_Sub_Region__c=ME Commercial East, attributes={url=/services/data/v62.0/sobjects/Account/0014X00002aTUm6QAG, type=Account}, Industry=Softlines, SubRegion__c=US DI Commercial NN Northeast, Name=Richemont North America, Inc, PS_Region_New__c=US Medium Enterprise DI}</t>
  </si>
  <si>
    <t>6/19/26: CUT Milestone Approval still outstanding. CO #2 for Scope &amp; Timeline not yet approved, and has been escalated for several weeks to Leadership levels. E2E Build continues to be delayed.</t>
  </si>
  <si>
    <t>6/8 - Project Kickoff planned for this week.</t>
  </si>
  <si>
    <t>a0pVT00000Cq5r7YAB</t>
  </si>
  <si>
    <t>0014X00002aV5OAQA0</t>
  </si>
  <si>
    <t>Phase 2 planning stage continues to progress as expected with FAS sessions now scheduled for all 3 areas in scope.  Requested a follow up meeting with the county team to discuss the addition of performance related features as part of Phase 2.</t>
  </si>
  <si>
    <t>{PS_Sub_Region__c=FSI Commercial NN, PS_Region_New__c=US FSI, Industry=Insurance, Name=Cowbell Cyber Inc., SubRegion__c=US FSI Commercial NN, attributes={url=/services/data/v62.0/sobjects/Account/0014X00002aV5OAQA0, type=Account}}</t>
  </si>
  <si>
    <t>Melissa Hearne</t>
  </si>
  <si>
    <t>5/18, CO scoping in progress
5/6 still scoping for CO
5/1/26 Working on new CO
4/22/26 New CO still in process
4/7/26 Outlining a new CO with customer to start 6/1/26
2/24/26 CO still pending customer confirmation of scope.</t>
  </si>
  <si>
    <t>a0pVT00000CpxTmYAJ</t>
  </si>
  <si>
    <t>End to End testing in progress and teams tracking defects closely.  Testing aiming for a 7/31 completion.  Payroll Parallel tenant build prep activities will begin in next week.</t>
  </si>
  <si>
    <t>{Industry=Insurance, SubRegion__c=US FSI Commercial NN, PS_Region_New__c=US FSI, attributes={url=/services/data/v62.0/sobjects/Account/0014X00002aV5OAQA0, type=Account}, PS_Sub_Region__c=FSI Commercial NN, Name=Cowbell Cyber Inc.}</t>
  </si>
  <si>
    <t>6/12 - On Track - E2E testing complete and signed off. Gold Build complete and validation week of 6/15. WSS Scope and timeline being developed for Phase 2 with CLM sync. Working with customer and partner for training activities.</t>
  </si>
  <si>
    <t>a0pVT00000Cq5uLYAR</t>
  </si>
  <si>
    <t>6/15/2026:
-Change order was approved to extend the go live to end of year to accommodate benefit changes
-Configuration Unit Testing completed on 6/12
-E2E tenant build started on 6/15
-E2E testing scheduled to begin week of 7/6</t>
  </si>
  <si>
    <t>{Name=Desert De Oro Foods, PS_Region_New__c=US Medium Enterprise DI, SubRegion__c=US DI ME NN RHT Mountain, Industry=Restaurant &amp; Food Service, PS_Sub_Region__c=ME NN TM &amp; RHT West, attributes={url=/services/data/v62.0/sobjects/Account/0014X00002aV5OyQAK, type=Account}}</t>
  </si>
  <si>
    <t>06/08/2026 - restarting Open Gov integration development.  Will push Adaptive Planning, Prism, and WSS go live.  Design has not started.</t>
  </si>
  <si>
    <t>a0pVT00000Cq4WtYAJ</t>
  </si>
  <si>
    <t>06/14/2026 - HCM Migration to Production Completed. Beginning Post Production Support.</t>
  </si>
  <si>
    <t>{attributes={type=Account, url=/services/data/v62.0/sobjects/Account/0014X00002aV5OyQAK}, PS_Region_New__c=US Medium Enterprise DI, Industry=Restaurant &amp; Food Service, SubRegion__c=US DI ME NN RHT Mountain, Name=Desert De Oro Foods, PS_Sub_Region__c=ME NN TM &amp; RHT West}</t>
  </si>
  <si>
    <t>6/9:  HCM Go-Live has been delayed until 7/18.  FIN Go-Live has been delayed until 8/1.</t>
  </si>
  <si>
    <t>a0pVT00000Cq5vxYAB</t>
  </si>
  <si>
    <t>6/12/26 - Unit testing Week 2/4 concluded this week.</t>
  </si>
  <si>
    <t>{PS_Sub_Region__c=ME NN TM &amp; RHT West, Name=Desert De Oro Foods, SubRegion__c=US DI ME NN RHT Mountain, attributes={url=/services/data/v62.0/sobjects/Account/0014X00002aV5OyQAK, type=Account}, PS_Region_New__c=US Medium Enterprise DI, Industry=Restaurant &amp; Food Service}</t>
  </si>
  <si>
    <t>6/12/26 Project Kickoff Scheduled for week of 6/15/26</t>
  </si>
  <si>
    <t>a0pVT00000Cq5xZYAR</t>
  </si>
  <si>
    <t>6/9/26:  Unit Testing completed w/ a few exceptions but no risk in deferring to E2E. E2E tenant build underway</t>
  </si>
  <si>
    <t>{SubRegion__c=US DI ME NN RHT Mountain, PS_Sub_Region__c=ME NN TM &amp; RHT West, Name=Desert De Oro Foods, PS_Region_New__c=US Medium Enterprise DI, Industry=Restaurant &amp; Food Service, attributes={type=Account, url=/services/data/v62.0/sobjects/Account/0014X00002aV5OyQAK}}</t>
  </si>
  <si>
    <t>6/13/26 Continuing Workset A with Compensation</t>
  </si>
  <si>
    <t>a0pVT00000Cq7coYAB</t>
  </si>
  <si>
    <t>06/22/26:  Continued updates to outstanding unit test. Week 4 of 4 (E2E build)</t>
  </si>
  <si>
    <t>{PS_Sub_Region__c=Healthcare ME, Industry=Acute Hospital / Health System, attributes={type=Account, url=/services/data/v62.0/sobjects/Account/0018000000qZ8szAAC}, Name=Saint Francis Healthcare System, PS_Region_New__c=US Healthcare, SubRegion__c=US Healthcare ME CB West}</t>
  </si>
  <si>
    <t>6/17:  Hypercare support ongoing for Learning deployment.
Peakon testing complete.  Project progessing as planned.
Both module's go live date is planned for 7/1.</t>
  </si>
  <si>
    <t>6/22/26 - ESS/MSS Go Live today.</t>
  </si>
  <si>
    <t>a0pVT00000Cpz5mYAB</t>
  </si>
  <si>
    <t>No uDPE</t>
  </si>
  <si>
    <t>{PS_Sub_Region__c=Healthcare ME, Industry=Ambulatory, PS_Region_New__c=US Healthcare, attributes={url=/services/data/v62.0/sobjects/Account/0014X00002aVKVZQA4, type=Account}, Name=Rayus Radiology, SubRegion__c=US Healthcare ME NN Central}</t>
  </si>
  <si>
    <t>06/09 - Deployment date to be confirmed today in team call</t>
  </si>
  <si>
    <t>6/11:  Planning phase for Learning project.</t>
  </si>
  <si>
    <t>a0pVT00000CpwuIYAR</t>
  </si>
  <si>
    <t>{attributes={url=/services/data/v62.0/sobjects/Account/0014X00002aVVm2QAG, type=Account}, SubRegion__c=US DI Key Accounts MFG, PS_Sub_Region__c=Diversified Industries LE CB MFG, Industry=Healthcare Manufacturing, Name=Pfizer, Inc., PS_Region_New__c=US Large Enterprise DI &amp; Mexico}</t>
  </si>
  <si>
    <t>6/3/26 - Finalizing Prism reports.  Supporting conversion of business assets.  All other project work is completed.</t>
  </si>
  <si>
    <t>6/5/26 - Working on unit testing.  Getting ready to start end to end test build.  Moving Prism and Adaptive Planning work to Phase X.</t>
  </si>
  <si>
    <t>a0pVT00000CppCsYAJ</t>
  </si>
  <si>
    <t>{Industry=Banking &amp; Capital Markets, PS_Region_New__c=US FSI, Name=Brightstar Credit Union, PS_Sub_Region__c=FSI Commercial NN, attributes={type=Account, url=/services/data/v62.0/sobjects/Account/0014X00002dLnhcQAC}, SubRegion__c=US FSI Commercial NN}</t>
  </si>
  <si>
    <t>6/2/2026 - Warren County is working on data extracts.  HCM Consultants are more fully engaging with customer now that Phase 1 (FINs) is almost complete.</t>
  </si>
  <si>
    <t>a0pVT00000Cpk0KYAR</t>
  </si>
  <si>
    <t>6/2/2026 - Post production support is wrapping up for Phase 1 FINS.  Partner consultants from PTG have finished working with customer a few remaining open integration and reporting items are being worked on to close out Phase 1.</t>
  </si>
  <si>
    <t>{SubRegion__c=US Healthcare ME CB West, PS_Sub_Region__c=Healthcare ME, attributes={type=Account, url=/services/data/v62.0/sobjects/Account/0014X00002dSvHnQAK}, Industry=Post Acute, Name=MGA Homecare, LLC dba MGA Homecare, PS_Region_New__c=US Healthcare}</t>
  </si>
  <si>
    <t>Danni Harris</t>
  </si>
  <si>
    <t>6/9- Deploy stage is underway and sign off to MTP has been received from the client. Go live day is projected for 6/29 and we are on target as of today.</t>
  </si>
  <si>
    <t>a0pVT00000Cq1sPYAR</t>
  </si>
  <si>
    <t>{SubRegion__c=US Healthcare ME CB West, PS_Region_New__c=US Healthcare, Industry=Post Acute, Name=MGA Homecare, LLC dba MGA Homecare, PS_Sub_Region__c=Healthcare ME, attributes={url=/services/data/v62.0/sobjects/Account/0014X00002dSvHnQAK, type=Account}}</t>
  </si>
  <si>
    <t>6/16 - CM - E2E Build activities and Planning is in progress.  Data Extraction and load is approx. 3 days behind, but no significant issues at this time.</t>
  </si>
  <si>
    <t>06/08 JH: Providing support as directed by the client.</t>
  </si>
  <si>
    <t>a0pVT00000CqBy9YAF</t>
  </si>
  <si>
    <t>{attributes={type=Account, url=/services/data/v62.0/sobjects/Account/001VT00000bDYD7YAO}, PS_Sub_Region__c=Diversified Industries LE CB RHT, Name=KBP Bells (Taco Bell), SubRegion__c=US DI LE CB RHT Central, PS_Region_New__c=US Large Enterprise DI &amp; Mexico, Industry=Restaurant &amp; Food Service}</t>
  </si>
  <si>
    <t>6/10:  CCS sessions are underway and CUT testing starts 6/15.  HCM and Change Management are complete and we have Payroll 6/11 and 6/12. ABS was moved to 6/17.</t>
  </si>
  <si>
    <t>a0pVT00000CptOcYAJ</t>
  </si>
  <si>
    <t>We are in A&amp;C, having completed our Foundation tenant build &amp; Customer Confirmation Sessions. Config Unit Testing is underway. Integrations requirements are being finalized and development is starting. Custom Reports Inventory being finalized.</t>
  </si>
  <si>
    <t>{SubRegion__c=US DI LE CB RHT Central, PS_Sub_Region__c=Diversified Industries LE CB RHT, Industry=Restaurant &amp; Food Service, attributes={url=/services/data/v62.0/sobjects/Account/001VT00000bDYD7YAO, type=Account}, PS_Region_New__c=US Large Enterprise DI &amp; Mexico, Name=KBP Bells (Taco Bell)}</t>
  </si>
  <si>
    <t>6/1: Prim, Adaptive, and Strategic Sourcing A&amp;C Stages are progressing to plan. Customer is behind schedule on testing and providing files</t>
  </si>
  <si>
    <t>a0pVT00000Cq6vIYAR</t>
  </si>
  <si>
    <t>GREEN - Requirements gathering in progress</t>
  </si>
  <si>
    <t>{PS_Sub_Region__c=Diversified Industries LE CB RHT, Industry=Restaurant &amp; Food Service, SubRegion__c=US DI LE CB RHT Central, attributes={url=/services/data/v62.0/sobjects/Account/001VT00000bDYD7YAO, type=Account}, PS_Region_New__c=US Large Enterprise DI &amp; Mexico, Name=KBP Bells (Taco Bell)}</t>
  </si>
  <si>
    <t>a0pVT00000Cq9YAYAZ</t>
  </si>
  <si>
    <t>6/19 - In progress - OCM added to project - Go Live potentially extending to 9/30/26</t>
  </si>
  <si>
    <t>{attributes={type=Account, url=/services/data/v62.0/sobjects/Account/001VT00000bDYD7YAO}, Name=KBP Bells (Taco Bell), PS_Region_New__c=US Large Enterprise DI &amp; Mexico, SubRegion__c=US DI LE CB RHT Central, Industry=Restaurant &amp; Food Service, PS_Sub_Region__c=Diversified Industries LE CB RHT}</t>
  </si>
  <si>
    <t>2026-06-14: Architect and Configure - FIN Workset B Design and HCM Workset C Design</t>
  </si>
  <si>
    <t>a0pVT00000Cq5XmYAJ</t>
  </si>
  <si>
    <t>Scorecard request: 3305653</t>
  </si>
  <si>
    <t>{attributes={url=/services/data/v62.0/sobjects/Account/0014X00002dTKsQQAW, type=Account}, PS_Sub_Region__c=Higher Education LE, SubRegion__c=US NFP NN West, Name=Cristo Rey Network, Industry=Non-Profit, PS_Region_New__c=US SLED}</t>
  </si>
  <si>
    <t>Unit testing wrapped up. CCS is underway, and we are also preparing for E2E testing.</t>
  </si>
  <si>
    <t>a0pVT00000Cq67FYAR</t>
  </si>
  <si>
    <t>Configuration Unit Testing (CUT) continues and will continue through the end of July. Integrations and customer reports requirements are being sent, approved and build starting.</t>
  </si>
  <si>
    <t>{SubRegion__c=US NFP NN West, attributes={url=/services/data/v62.0/sobjects/Account/0014X00002dTKsQQAW, type=Account}, PS_Region_New__c=US SLED, Industry=Non-Profit, Name=Cristo Rey Network, PS_Sub_Region__c=Higher Education LE}</t>
  </si>
  <si>
    <t>Continuing on with the BPA Phase.</t>
  </si>
  <si>
    <t>a0pVT00000CpLumYAF</t>
  </si>
  <si>
    <t>6/14 - Middle of FAS
6/15 - 7/3 Config build 
7/6 - 8/14 Unit testing
8/24 - 8/28 Customer Confirmation Sessions
9/21 - 10/23 E2E Config Build</t>
  </si>
  <si>
    <t>{PS_Sub_Region__c=Higher Education LE, attributes={url=/services/data/v62.0/sobjects/Account/0014X00002dTKsQQAW, type=Account}, PS_Region_New__c=US SLED, SubRegion__c=US NFP NN West, Name=Cristo Rey Network, Industry=Non-Profit}</t>
  </si>
  <si>
    <t>6/15: CO in processing, expected signatures by 6/30. GOLD tenant build complete, copy to new E2E and PPT on 6/16 -</t>
  </si>
  <si>
    <t>a0pVT00000Cq3sYYAR</t>
  </si>
  <si>
    <t>{SubRegion__c=US NFP NN West, PS_Region_New__c=US SLED, attributes={type=Account, url=/services/data/v62.0/sobjects/Account/0014X00002dTKsQQAW}, Name=Cristo Rey Network, PS_Sub_Region__c=Higher Education LE, Industry=Non-Profit}</t>
  </si>
  <si>
    <t>E2E 2.0 configuration and data conversion is underway.  E2E testing begins June 29, 2026</t>
  </si>
  <si>
    <t>Customer has opened case #2547508 and has approved remote work from a new location for a one-time exception. Related to deployment SOW part of STL Subscription Subscription-456733.
Customer has opened case #2573463 and has approved remote work from a new location for a one-time exception. Related to deployment SOW part of STL Subscription Subscription-456733.</t>
  </si>
  <si>
    <t>a0pVT00000CpuShYAJ</t>
  </si>
  <si>
    <t>{Industry=Restaurant &amp; Food Service, Name=Raising Cane's Restaurants, LLC, attributes={type=Account, url=/services/data/v62.0/sobjects/Account/0018000000ku21kAAA}, PS_Sub_Region__c=Diversified Industries LE CB RHT, SubRegion__c=US DI LE CB RHT South, PS_Region_New__c=US Large Enterprise DI &amp; Mexico}</t>
  </si>
  <si>
    <t>6/9/2026 - A&amp;C plan sign-off</t>
  </si>
  <si>
    <t>a0pVT00000CplqpYAB</t>
  </si>
  <si>
    <t>{Industry=Restaurant &amp; Food Service, PS_Sub_Region__c=Diversified Industries LE CB RHT, attributes={type=Account, url=/services/data/v62.0/sobjects/Account/0018000000ku21kAAA}, SubRegion__c=US DI LE CB RHT South, PS_Region_New__c=US Large Enterprise DI &amp; Mexico, Name=Raising Cane's Restaurants, LLC}</t>
  </si>
  <si>
    <t>US only. If WD Affiliates or other third parties are used, must obtain customer approval.</t>
  </si>
  <si>
    <t>a0pVT00000Cpzc2YAB</t>
  </si>
  <si>
    <t>Eric Frame</t>
  </si>
  <si>
    <t>No changes.  AMS support is in progress and continues through October.</t>
  </si>
  <si>
    <t>{PS_Region_New__c=US Large Enterprise DI &amp; Mexico, attributes={type=Account, url=/services/data/v62.0/sobjects/Account/0018000000ku21kAAA}, SubRegion__c=US DI LE CB RHT South, PS_Sub_Region__c=Diversified Industries LE CB RHT, Industry=Restaurant &amp; Food Service, Name=Raising Cane's Restaurants, LLC}</t>
  </si>
  <si>
    <t>Development is in progress.  Test scenarios are being reviewed.</t>
  </si>
  <si>
    <t>a0pVT00000Cq48gYAB</t>
  </si>
  <si>
    <t>{attributes={type=Account, url=/services/data/v62.0/sobjects/Account/0018000000ku21kAAA}, PS_Sub_Region__c=Diversified Industries LE CB RHT, SubRegion__c=US DI LE CB RHT South, Industry=Restaurant &amp; Food Service, Name=Raising Cane's Restaurants, LLC, PS_Region_New__c=US Large Enterprise DI &amp; Mexico}</t>
  </si>
  <si>
    <t>0612- PRE-PROD tenant validation completed. PROD config update on schedule to start 15 Jun. DA reviews on going. Team preparing for Go live.</t>
  </si>
  <si>
    <t>a0pVT00000Cq3cQYAR</t>
  </si>
  <si>
    <t>June 22 - End-to-End (E2E) Tenant Build, week 3 of 3</t>
  </si>
  <si>
    <t>{attributes={type=Account, url=/services/data/v62.0/sobjects/Account/0018000000ku21kAAA}, SubRegion__c=US DI LE CB RHT South, Name=Raising Cane's Restaurants, LLC, PS_Region_New__c=US Large Enterprise DI &amp; Mexico, Industry=Restaurant &amp; Food Service, PS_Sub_Region__c=Diversified Industries LE CB RHT}</t>
  </si>
  <si>
    <t>Received Test Stage Sign-Off.  CO signed for 7/6 Go Live. MAG validating Gold Build this week. MTP Case created with MTP Sign-Off expected 6/22. Reporting &amp; Integrations Sign-Off expected 6/15. Cutover daily check-ins in progress.</t>
  </si>
  <si>
    <t>a0pVT00000Cps14YAB</t>
  </si>
  <si>
    <t>6/8/26-E2E Val TEST pass 99% (274 of 277). E2E2.0 757 of 1086. 70%  36 on hold.  vs 698 of 1097 64% 5/29/26. Eliminated the request to move to UMSA. MGA didn't understand Supplier Invoice Workbench process. Testing slow, but improving.</t>
  </si>
  <si>
    <t>{Industry=Restaurant &amp; Food Service, PS_Sub_Region__c=Diversified Industries LE CB RHT, SubRegion__c=US DI LE CB RHT South, Name=Raising Cane's Restaurants, LLC, attributes={url=/services/data/v62.0/sobjects/Account/0018000000ku21kAAA, type=Account}, PS_Region_New__c=US Large Enterprise DI &amp; Mexico}</t>
  </si>
  <si>
    <t>a0pVT00000Cq9BbYAJ</t>
  </si>
  <si>
    <t>001VT00000b31ANYAY</t>
  </si>
  <si>
    <t>{attributes={type=Account, url=/services/data/v62.0/sobjects/Account/001VT00000b31ANYAY}, Name=Articulate Global, Industry=Software &amp; Platforms, PS_Sub_Region__c=ME NN TM &amp; RHT West, SubRegion__c=US DI ME NN TM East, PS_Region_New__c=US Medium Enterprise DI}</t>
  </si>
  <si>
    <t>Design sessions almost complete. Time Tracking coming into scope.
Integation sprints and conversion data mapping starting up.</t>
  </si>
  <si>
    <t>a0pVT00000CpxlWYAR</t>
  </si>
  <si>
    <t>6/12/26: Project is still Yellow. Revised timelines, heatmap, Milestones tracker submitted to Metro. Client is planning to share the draft SOW by Friday 6/12 as per call. METRO to revise SOW and send back any redlines to METRO for final review prior</t>
  </si>
  <si>
    <t>{SubRegion__c=Canada DI LE East, PS_Sub_Region__c=Canada DI LE East, Name=Inland Technologies Canada Inc., attributes={type=Account, url=/services/data/v62.0/sobjects/Account/0014X00002eivQYQAY}, Industry=Business Services, PS_Region_New__c=Canada}</t>
  </si>
  <si>
    <t>a0pVT00000CpwRGYAZ</t>
  </si>
  <si>
    <t>{attributes={url=/services/data/v62.0/sobjects/Account/0014X00002eivQYQAY, type=Account}, PS_Sub_Region__c=Canada DI LE East, SubRegion__c=Canada DI LE East, Industry=Business Services, Name=Inland Technologies Canada Inc., PS_Region_New__c=Canada}</t>
  </si>
  <si>
    <t>6/22/26: Working on CO for 8/1 and 11/a go lives, Phase 1b unit testing signed off, E2E build in progress, 1a Go No Go 6/29</t>
  </si>
  <si>
    <t>a0pVT00000Cq1IsYAJ</t>
  </si>
  <si>
    <t>Ongoing ESS Preparation activities.  ESS go-live date still TBD by NYCHA PMO.</t>
  </si>
  <si>
    <t>{SubRegion__c=Canada DI LE East, Name=Inland Technologies Canada Inc., PS_Region_New__c=Canada, Industry=Business Services, attributes={url=/services/data/v62.0/sobjects/Account/0014X00002eivQYQAY, type=Account}, PS_Sub_Region__c=Canada DI LE East}</t>
  </si>
  <si>
    <t>a0pVT00000Cq2ICYAZ</t>
  </si>
  <si>
    <t>5/22/26 - E2E tenant is built. E2E Testing is approximately 6-8 weeks unfavorable to plan due to delays by client in delivering files / data for inbound integrations and changes to the approach. The project is pending further action from the client.</t>
  </si>
  <si>
    <t>{attributes={type=Account, url=/services/data/v62.0/sobjects/Account/0014X00002eivQYQAY}, PS_Sub_Region__c=Canada DI LE East, Industry=Business Services, SubRegion__c=Canada DI LE East, PS_Region_New__c=Canada, Name=Inland Technologies Canada Inc.}</t>
  </si>
  <si>
    <t>Hypercare is scheduled to continue through June 30, 2026. We are working on Prism Use Case #2 and #3. We are in discovery and design for Adaptive.</t>
  </si>
  <si>
    <t>a0pVT00000CphiMYAR</t>
  </si>
  <si>
    <t>Build in progress starting pay par monday</t>
  </si>
  <si>
    <t>{PS_Sub_Region__c=Diversified Industries LE NN, attributes={type=Account, url=/services/data/v62.0/sobjects/Account/0018000000aiaL6AAI}, SubRegion__c=US DI LE NN MFG West, PS_Region_New__c=US Large Enterprise DI &amp; Mexico, Industry=Oil &amp; Gas, Name=TechnipFMC}</t>
  </si>
  <si>
    <t>a0pVT00000Cq80zYAB</t>
  </si>
  <si>
    <t>{Name=TechnipFMC, PS_Region_New__c=US Large Enterprise DI &amp; Mexico, Industry=Oil &amp; Gas, SubRegion__c=US DI LE NN MFG West, attributes={url=/services/data/v62.0/sobjects/Account/0018000000aiaL6AAI, type=Account}, PS_Sub_Region__c=Diversified Industries LE NN}</t>
  </si>
  <si>
    <t>06/17/26: Current status is Green. Project is successfully  Go Live on 6/15 for all in scope HCM track. FINS tracks "ON TRACK" for Aug 1st Go Live . Data catch up in Progress .</t>
  </si>
  <si>
    <t>a0pVT00000Cq5HeYAJ</t>
  </si>
  <si>
    <t>05/30/2026 - Unit testing 6 weeks overdue and testing continues. Completing Unit testing, FDM updates and DCDD's in order to move forward Project leadership selected April Go live - working on CO for the changes</t>
  </si>
  <si>
    <t>{Name=Biagi Bros, Inc., PS_Region_New__c=US Medium Enterprise DI, SubRegion__c=US DI ME NN RHT Pacific, Industry=Land and Rail Transportation and Freight, attributes={url=/services/data/v62.0/sobjects/Account/0018000000QbKSXAA3, type=Account}, PS_Sub_Region__c=ME NN TM &amp; RHT West}</t>
  </si>
  <si>
    <t>Trainings occurring this week. Final testing in place.</t>
  </si>
  <si>
    <t>a0pVT00000Cq4NCYAZ</t>
  </si>
  <si>
    <t>Workshops continue through next week, Client planning WD training, tracking WB due dates, team following up on help with WBs and Due Dates.  Integrations changing per SOW, vendor reachout underway.  Scope reconciliation TBD = July</t>
  </si>
  <si>
    <t>{PS_Sub_Region__c=Healthcare ME, Industry=Post Acute, attributes={type=Account, url=/services/data/v62.0/sobjects/Account/0014X00002fFfzOQAS}, Name=Thrive Skilled Pediatric Care, PS_Region_New__c=US Healthcare, SubRegion__c=US Healthcare ME NN Northeast}</t>
  </si>
  <si>
    <t>Customer is increasing scope to add Relish connector.  This pushes the end date past when the WD consultant is available.  Meridian has transitioned their consultant onto the project.</t>
  </si>
  <si>
    <t>a0pVT00000Cq15yYAB</t>
  </si>
  <si>
    <t>6/16 - Workbook review and integrations Discovery in progress</t>
  </si>
  <si>
    <t>{SubRegion__c=US DI ME NN PBS Northeast, PS_Region_New__c=US Medium Enterprise DI, Industry=Business Services, Name=Arrow Security, attributes={url=/services/data/v62.0/sobjects/Account/0014X00002fFmYfQAK, type=Account}, PS_Sub_Region__c=ME NN PBS}</t>
  </si>
  <si>
    <t>Revenue Planning: Testing in progress.
Testing: Non-compensation testing signed off 
Workforce planning testing signed off</t>
  </si>
  <si>
    <t>a0pVT00000Cprg7YAB</t>
  </si>
  <si>
    <t>entering CCS, finishing workbooks, passing to CV config team</t>
  </si>
  <si>
    <t>{SubRegion__c=US DI ME NN PBS Northeast, attributes={url=/services/data/v62.0/sobjects/Account/0014X00002fFmYfQAK, type=Account}, PS_Sub_Region__c=ME NN PBS, Industry=Business Services, PS_Region_New__c=US Medium Enterprise DI, Name=Arrow Security}</t>
  </si>
  <si>
    <t>a0pVT00000Cq15zYAB</t>
  </si>
  <si>
    <t>Update 06/22:  CCS completed, Unit Testing is underway  for both HCM and FINS.</t>
  </si>
  <si>
    <t>{attributes={type=Account, url=/services/data/v62.0/sobjects/Account/0014X00002fFmYfQAK}, PS_Region_New__c=US Medium Enterprise DI, SubRegion__c=US DI ME NN PBS Northeast, PS_Sub_Region__c=ME NN PBS, Name=Arrow Security, Industry=Business Services}</t>
  </si>
  <si>
    <t>E2E testing 18th week in progress, Currently at 73% run rate and continuing behind pace. E2E testing is divided into 2 cycles and 3 pay periods, cycle 2 completed on 5/15. E2E testing will be completed on 7/2. Parallel tenant build will start on 7/6.</t>
  </si>
  <si>
    <t>a0pVT00000Cq6ATYAZ</t>
  </si>
  <si>
    <t>{Industry=Business Services, Name=Arrow Security, attributes={type=Account, url=/services/data/v62.0/sobjects/Account/0014X00002fFmYfQAK}, SubRegion__c=US DI ME NN PBS Northeast, PS_Sub_Region__c=ME NN PBS, PS_Region_New__c=US Medium Enterprise DI}</t>
  </si>
  <si>
    <t>Jason Jackson</t>
  </si>
  <si>
    <t>Customer is live and stable.  Post Support period has ended for the first 2 phases.  Learning and Talent is left in Phase 3.</t>
  </si>
  <si>
    <t>6/1/26- Sandoval is targeting to process their first live payroll this week.  Integrations are. 2 Gold build validations remain a very high risk as PERA and Tyler have not yet passed.  Delta and UHC and ZKTeco not reporting issues also.</t>
  </si>
  <si>
    <t>a0pVT00000Cq958YAB</t>
  </si>
  <si>
    <t>{SubRegion__c=US DI Commercial NN Central, attributes={type=Account, url=/services/data/v62.0/sobjects/Account/0018000001WMFJgAAP}, PS_Region_New__c=US Medium Enterprise DI, Industry=High Technology, PS_Sub_Region__c=ME Commercial West, Name=Essex Industries, Inc.}</t>
  </si>
  <si>
    <t>A&amp;C phase 3 months delayed due to both consultant and client resource availability.  Client did not attend WD Training leading to delayed decision making.    Continued Go Live replanning in progress with client.  TBC Target: July 1, 2027.</t>
  </si>
  <si>
    <t>a0pVT00000Cq2i0YAB</t>
  </si>
  <si>
    <t>{attributes={url=/services/data/v62.0/sobjects/Account/001VT00000W1gVtYAJ, type=Account}, PS_Sub_Region__c=ME Commercial HRScale, Industry=Post Acute, SubRegion__c=US DI Commercial HRScale, PS_Region_New__c=US Medium Enterprise DI, Name=St. Madeleine Sophie's Center (Inactive Account)}</t>
  </si>
  <si>
    <t>6/2/2026 - Working on getting SCSO project into tenant and preparing for Unit Testing.</t>
  </si>
  <si>
    <t>a0pVT00000CpqqVYAR</t>
  </si>
  <si>
    <t>06/08 JH: Providing Support on live version updates and merit increase.</t>
  </si>
  <si>
    <t>{SubRegion__c=US DI Commercial NN TOLA, Name=CD Cedar Hill, PS_Sub_Region__c=ME Commercial West, attributes={type=Account, url=/services/data/v62.0/sobjects/Account/001VT00000b2W6aYAE}, PS_Region_New__c=US Medium Enterprise DI, Industry=Restaurant &amp; Food Service}</t>
  </si>
  <si>
    <t>Transformation workshops continue.  Prep for the Foundation tenant build is underway. The June Steering Committee meeting is on June 24. Integration Landscape meetings are complete. Data conversion activities are on track.</t>
  </si>
  <si>
    <t>a0pVT00000CqAduYAF</t>
  </si>
  <si>
    <t>{SubRegion__c=US DI Commercial NN TOLA, Industry=Restaurant &amp; Food Service, Name=CD Cedar Hill, PS_Region_New__c=US Medium Enterprise DI, attributes={type=Account, url=/services/data/v62.0/sobjects/Account/001VT00000b2W6aYAE}, PS_Sub_Region__c=ME Commercial West}</t>
  </si>
  <si>
    <t>GH will be seeking Phase II signoff once DRS INT updates are completed and tested, aiming for the end of June.</t>
  </si>
  <si>
    <t>PPLA implementation in progress, aiming for August move to production.</t>
  </si>
  <si>
    <t>a0pVT00000CqBBlYAN</t>
  </si>
  <si>
    <t>{SubRegion__c=US DI Commercial NN TOLA, attributes={type=Account, url=/services/data/v62.0/sobjects/Account/001VT00000b2W6aYAE}, Name=CD Cedar Hill, PS_Region_New__c=US Medium Enterprise DI, Industry=Restaurant &amp; Food Service, PS_Sub_Region__c=ME Commercial West}</t>
  </si>
  <si>
    <t>6.22 Extended timeline continues this week with 2nd cycle of parallel payroll</t>
  </si>
  <si>
    <t>Planning is in progress.</t>
  </si>
  <si>
    <t>a0pVT00000Cq1sQYAR</t>
  </si>
  <si>
    <t>{PS_Region_New__c=US Medium Enterprise DI, Industry=Restaurant &amp; Food Service, attributes={url=/services/data/v62.0/sobjects/Account/001VT00000b2W6aYAE, type=Account}, PS_Sub_Region__c=ME Commercial West, Name=CD Cedar Hill, SubRegion__c=US DI Commercial NN TOLA}</t>
  </si>
  <si>
    <t>Guidehouse has a postproduction contract for the next year.  Guidehouse supporting OES as needed.</t>
  </si>
  <si>
    <t>a0pVT00000CptwTYAR</t>
  </si>
  <si>
    <t>Flagging as WD primed for downstream impacts, this is customer led</t>
  </si>
  <si>
    <t>{attributes={url=/services/data/v62.0/sobjects/Account/0014X00002iHStVQAW, type=Account}, PS_Region_New__c=US Medium Enterprise DI, Industry=Post Acute, PS_Sub_Region__c=ME Commercial West, SubRegion__c=US DI Commercial NN Central, Name=abcor home health}</t>
  </si>
  <si>
    <t>The program remains on schedule. DHCS has provided phase gate approval to transition into the Architect and Configure phase. Core HCM design sessions are underway and progressing as planned, with active stakeholder participation and no major concerns.</t>
  </si>
  <si>
    <t>a0pVT00000Cq6DhYAJ</t>
  </si>
  <si>
    <t>{PS_Sub_Region__c=ME Commercial West, SubRegion__c=US DI Commercial NN Central, PS_Region_New__c=US Medium Enterprise DI, attributes={url=/services/data/v62.0/sobjects/Account/0014X00002iHStVQAW, type=Account}, Industry=Post Acute, Name=abcor home health}</t>
  </si>
  <si>
    <t>Key risk areas for non GDOT July 2026 go-live are Benefits and Grants. Cutover plan in final stages for approval.   Sustainment meetings on going.  Gold tenant build ongoing and moving towards MTP</t>
  </si>
  <si>
    <t>Plan Stage starting July 1.  Currently wrapping up GH Basecamp activities. Initial tenants created.</t>
  </si>
  <si>
    <t>a0pVT00000Cpt5CYAR</t>
  </si>
  <si>
    <t>{PS_Region_New__c=US Medium Enterprise DI, attributes={url=/services/data/v62.0/sobjects/Account/0014X00002iHStVQAW, type=Account}, Industry=Post Acute, SubRegion__c=US DI Commercial NN Central, PS_Sub_Region__c=ME Commercial West, Name=abcor home health}</t>
  </si>
  <si>
    <t>Project planning activities are progressing on schedule. Workstream meetings are being coordinated, and requirements discussions are underway. No significant risks or issues have been identified at this time</t>
  </si>
  <si>
    <t>a0pVT00000Cq6FJYAZ</t>
  </si>
  <si>
    <t>{PS_Region_New__c=US Medium Enterprise DI, Name=abcor home health, attributes={type=Account, url=/services/data/v62.0/sobjects/Account/0014X00002iHStVQAW}, PS_Sub_Region__c=ME Commercial West, SubRegion__c=US DI Commercial NN Central, Industry=Post Acute}</t>
  </si>
  <si>
    <t>6/11 &gt; Project on track; E2E testing wrapping up; agency / vendor engagements going well and on track; working through FMIS issues and prepping for payroll parallel</t>
  </si>
  <si>
    <t>a0pVT00000Cq6GvYAJ</t>
  </si>
  <si>
    <t>{SubRegion__c=US DI Commercial NN Central, Industry=Post Acute, PS_Region_New__c=US Medium Enterprise DI, attributes={url=/services/data/v62.0/sobjects/Account/0014X00002iHStVQAW, type=Account}, Name=abcor home health, PS_Sub_Region__c=ME Commercial West}</t>
  </si>
  <si>
    <t>Adv Scheduling design was delayed, team working to accelerate config for Testing. Data Conversion fallouts being addressed. Report development trailing later than planned, but should catchup during E2E.</t>
  </si>
  <si>
    <t>a0pVT00000Cq3isYAB</t>
  </si>
  <si>
    <t>{Name=Samaritan Hospital, attributes={url=/services/data/v62.0/sobjects/Account/0014X00002iHmSNQA0, type=Account}, PS_Region_New__c=US Healthcare, Industry=Acute Hospital / Health System, SubRegion__c=US Healthcare ME NN West, PS_Sub_Region__c=Healthcare ME}</t>
  </si>
  <si>
    <t>a0pVT00000Cq6IXYAZ</t>
  </si>
  <si>
    <t>5/22/26 - The project is wrapping up the Plan stage, Charter, Tenant Mgmt. Plan  and Project plan are under review with the client to finalize for sign off.</t>
  </si>
  <si>
    <t>{SubRegion__c=US DI Commercial NN Northwest, PS_Sub_Region__c=ME Commercial West, attributes={url=/services/data/v62.0/sobjects/Account/0014X00002iHn1TQAS, type=Account}, Name=Prosser Memorial Health Hospital, Industry=Acute Hospital / Health System, PS_Region_New__c=US Medium Enterprise DI}</t>
  </si>
  <si>
    <t>Due to delays in integrated technology (Finance and Supply Chain Systems), a Steering Committee decision was reached to delay go-live until May 2027. Replanning underway.</t>
  </si>
  <si>
    <t>a0pVT00000Cq2OdYAJ</t>
  </si>
  <si>
    <t>{SubRegion__c=US Healthcare Majors CB, PS_Region_New__c=US Healthcare, attributes={type=Account, url=/services/data/v62.0/sobjects/Account/0018000000NwzOxAAJ}, Industry=Acute Hospital / Health System, Name=SSM Health Care Corporation d/b/a SSM Health, PS_Sub_Region__c=Healthcare Majors NN}</t>
  </si>
  <si>
    <t>Received sign off on the project charter.  Starting the A&amp;C Phase on 6/22.  On track - Green</t>
  </si>
  <si>
    <t>6/22:  Planning underway for unified timeline.</t>
  </si>
  <si>
    <t>a0pVT00000Cq7PtYAJ</t>
  </si>
  <si>
    <t>{Industry=Acute Hospital / Health System, PS_Region_New__c=US Healthcare, Name=SSM Health Care Corporation d/b/a SSM Health, attributes={url=/services/data/v62.0/sobjects/Account/0018000000NwzOxAAJ, type=Account}, SubRegion__c=US Healthcare Majors CB, PS_Sub_Region__c=Healthcare Majors NN}</t>
  </si>
  <si>
    <t>Team working through design sessions for both functional and technical on track.</t>
  </si>
  <si>
    <t>a0pVT00000CpzTyYAJ</t>
  </si>
  <si>
    <t>Keith Fraser</t>
  </si>
  <si>
    <t>The ESC decided in Nov. 2024 that the go-live date is planned to be between 10/2027 - 10/2028. Client Leadership considering range 2027-2028. Schedule baseline at pushed to late June. Tech CR-re-architecture CRs continue.</t>
  </si>
  <si>
    <t>{Name=SSM Health Care Corporation d/b/a SSM Health, PS_Sub_Region__c=Healthcare Majors NN, PS_Region_New__c=US Healthcare, SubRegion__c=US Healthcare Majors CB, attributes={type=Account, url=/services/data/v62.0/sobjects/Account/0018000000NwzOxAAJ}, Industry=Acute Hospital / Health System}</t>
  </si>
  <si>
    <t>6/22/2026 - Post Production support through 7/10/2026.  This week DFW rolls out Workday to a team within the department.  Team is working through minior adjustments Post Go Live.</t>
  </si>
  <si>
    <t>a0pVT00000Cq4iAYAR</t>
  </si>
  <si>
    <t>{Name=Roadrunner Food Bank Inc, SubRegion__c=US NFP NN West, attributes={url=/services/data/v62.0/sobjects/Account/0014X00002iHsSVQA0, type=Account}, PS_Sub_Region__c=Higher Education LE, Industry=Non-Profit, PS_Region_New__c=US SLED}</t>
  </si>
  <si>
    <t>Partnering with the client to plan &amp; design the project according to new specifications including financial planning and workforce planning.</t>
  </si>
  <si>
    <t>a0pVT00000Cq9bOYAR</t>
  </si>
  <si>
    <t>06/15/2026: Updating RDG's and workbooks for tenant augmentation. Foundation Alignment Sessions Completed June 8-12, 2026. Continue refining requirements and beginning Integration requirements.</t>
  </si>
  <si>
    <t>{Industry=Business Services, Name=realestate.com.au Pty Ltd, PS_Region_New__c=ANZ, SubRegion__c=ANZ AU ME CB, attributes={type=Account, url=/services/data/v62.0/sobjects/Account/0018000001GRHeHAAX}, PS_Sub_Region__c=ANZ AU ME}</t>
  </si>
  <si>
    <t>a0pVT00000Cq6K9YAJ</t>
  </si>
  <si>
    <t>06.15.26 -E2E tenant build validation have not been completed and A&amp;C stage signoff has not been received. Test/E2E is now behind schedule.</t>
  </si>
  <si>
    <t>{SubRegion__c=US DI ME CB MFG North, Name=Nightwing Group, LLC, Industry=High Technology, attributes={type=Account, url=/services/data/v62.0/sobjects/Account/0014X00002kjjw4QAA}, PS_Sub_Region__c=ME CB MFG, PS_Region_New__c=US Medium Enterprise DI}</t>
  </si>
  <si>
    <t>June 8 - Configuration Unit Testing (CUT) week 2 of 3</t>
  </si>
  <si>
    <t>a0pVT00000CpyPrYAJ</t>
  </si>
  <si>
    <t>{Name=Yuma Regional Medical Center DBA Onvida Health Yuma Medical Center, SubRegion__c=US Healthcare ME NN West, attributes={url=/services/data/v62.0/sobjects/Account/0018000000LUGPMAA5, type=Account}, PS_Region_New__c=US Healthcare, Industry=Acute Hospital / Health System, PS_Sub_Region__c=Healthcare ME}</t>
  </si>
  <si>
    <t>Adaptive reporting A&amp;C: 4/27-6/12</t>
  </si>
  <si>
    <t>ongoing stabilization activities.</t>
  </si>
  <si>
    <t>a0pVT00000Cq8H7YAJ</t>
  </si>
  <si>
    <t>{PS_Sub_Region__c=Diversified Industries LE NN, PS_Region_New__c=US Large Enterprise DI &amp; Mexico, Industry=Food &amp; Drug, Name=Maverik Group, LLC., attributes={url=/services/data/v62.0/sobjects/Account/0018000000ku2j2AAA, type=Account}, SubRegion__c=US DI LE NN RHT West}</t>
  </si>
  <si>
    <t>End to end testing started on 3/9 and will run through 7/17. Next ESC will be 6/30. Testing on track.</t>
  </si>
  <si>
    <t>a0pVT00000Cq3vnYAB</t>
  </si>
  <si>
    <t>6/19 - The County completed their first close this week. wrapping up one remaining item related to a report change in prism. Looking to close project next week.</t>
  </si>
  <si>
    <t>{PS_Sub_Region__c=Diversified Industries LE NN, Name=Maverik Group, LLC., attributes={type=Account, url=/services/data/v62.0/sobjects/Account/0018000000ku2j2AAA}, PS_Region_New__c=US Large Enterprise DI &amp; Mexico, Industry=Food &amp; Drug, SubRegion__c=US DI LE NN RHT West}</t>
  </si>
  <si>
    <t>a0pVT00000Cq6LlYAJ</t>
  </si>
  <si>
    <t>{PS_Sub_Region__c=Diversified Industries LE NN, SubRegion__c=US DI LE NN TM &amp; PS West, attributes={url=/services/data/v62.0/sobjects/Account/0014X00002ltU0YQAU, type=Account}, Name=IPS Security Inc, PS_Region_New__c=US Large Enterprise DI &amp; Mexico, Industry=Business Services}</t>
  </si>
  <si>
    <t>a0pVT00000CpxGuYAJ</t>
  </si>
  <si>
    <t>{PS_Sub_Region__c=Diversified Industries LE NN, attributes={type=Account, url=/services/data/v62.0/sobjects/Account/0014X00002ltU0YQAU}, Name=IPS Security Inc, SubRegion__c=US DI LE NN TM &amp; PS West, PS_Region_New__c=US Large Enterprise DI &amp; Mexico, Industry=Business Services}</t>
  </si>
  <si>
    <t>a0pVT00000Cq6NNYAZ</t>
  </si>
  <si>
    <t>{attributes={url=/services/data/v62.0/sobjects/Account/0014X00002ltU0YQAU, type=Account}, PS_Region_New__c=US Large Enterprise DI &amp; Mexico, Name=IPS Security Inc, SubRegion__c=US DI LE NN TM &amp; PS West, Industry=Business Services, PS_Sub_Region__c=Diversified Industries LE NN}</t>
  </si>
  <si>
    <t>a0pVT00000Cq6OzYAJ</t>
  </si>
  <si>
    <t>{SubRegion__c=US DI LE NN TM &amp; PS West, Name=IPS Security Inc, attributes={type=Account, url=/services/data/v62.0/sobjects/Account/0014X00002ltU0YQAU}, PS_Sub_Region__c=Diversified Industries LE NN, Industry=Business Services, PS_Region_New__c=US Large Enterprise DI &amp; Mexico}</t>
  </si>
  <si>
    <t>a0pVT00000Cq6VRYAZ</t>
  </si>
  <si>
    <t>{Industry=Consumer Goods, PS_Sub_Region__c=ME Commercial East, attributes={type=Account, url=/services/data/v62.0/sobjects/Account/0014X00002luIZlQAM}, SubRegion__c=US DI Commercial NN Southeast, PS_Region_New__c=US Medium Enterprise DI, Name=D &amp; H Company}</t>
  </si>
  <si>
    <t>a0pVT00000Cq6X3YAJ</t>
  </si>
  <si>
    <t>{SubRegion__c=US DI Commercial NN Southeast, PS_Sub_Region__c=ME Commercial East, Name=D &amp; H Company, Industry=Consumer Goods, PS_Region_New__c=US Medium Enterprise DI, attributes={url=/services/data/v62.0/sobjects/Account/0014X00002luIZlQAM, type=Account}}</t>
  </si>
  <si>
    <t>a0pVT00000Cq6YfYAJ</t>
  </si>
  <si>
    <t>{PS_Sub_Region__c=ME Commercial East, SubRegion__c=US DI Commercial NN Southeast, PS_Region_New__c=US Medium Enterprise DI, Industry=Consumer Goods, Name=D &amp; H Company, attributes={url=/services/data/v62.0/sobjects/Account/0014X00002luIZlQAM, type=Account}}</t>
  </si>
  <si>
    <t>a0pVT00000CpwfrYAB</t>
  </si>
  <si>
    <t>{Industry=Consumer Goods, Name=D &amp; H Company, PS_Sub_Region__c=ME Commercial East, attributes={type=Account, url=/services/data/v62.0/sobjects/Account/0014X00002luIZlQAM}, PS_Region_New__c=US Medium Enterprise DI, SubRegion__c=US DI Commercial NN Southeast}</t>
  </si>
  <si>
    <t>a0pVT00000Cq6SDYAZ</t>
  </si>
  <si>
    <t>{SubRegion__c=US DI ME NN RHT Mountain, attributes={url=/services/data/v62.0/sobjects/Account/0014X00002ltfdFQAQ, type=Account}, PS_Sub_Region__c=ME NN TM &amp; RHT West, PS_Region_New__c=US Medium Enterprise DI, Industry=Auto, Name=H&amp;H Automotive LLC}</t>
  </si>
  <si>
    <t>a0pVT00000Cq1PKYAZ</t>
  </si>
  <si>
    <t>{SubRegion__c=US DI Commercial NN Mid-Atlantic, PS_Sub_Region__c=ME Commercial East, Industry=Land and Rail Transportation and Freight, attributes={type=Account, url=/services/data/v62.0/sobjects/Account/0014X00002luFB7QAM}, PS_Region_New__c=US Medium Enterprise DI, Name=TFA Logistics}</t>
  </si>
  <si>
    <t>a0pVT00000CpymQYAR</t>
  </si>
  <si>
    <t>{PS_Sub_Region__c=ME Commercial West, attributes={url=/services/data/v62.0/sobjects/Account/001VT00000WPKSXYA5, type=Account}, Industry=Restaurant &amp; Food Service, PS_Region_New__c=US Medium Enterprise DI, SubRegion__c=US DI Commercial NN Central, Name=Scissors &amp; Scotch}</t>
  </si>
  <si>
    <t>a0pVT00000CpniwYAB</t>
  </si>
  <si>
    <t>{SubRegion__c=US DI Commercial NN Central, Industry=Restaurant &amp; Food Service, PS_Sub_Region__c=ME Commercial West, attributes={url=/services/data/v62.0/sobjects/Account/001VT00000WPKSXYA5, type=Account}, Name=Scissors &amp; Scotch, PS_Region_New__c=US Medium Enterprise DI}</t>
  </si>
  <si>
    <t>a0pVT00000CpuhFYAR</t>
  </si>
  <si>
    <t>{Industry=Restaurant &amp; Food Service, PS_Sub_Region__c=ME Commercial West, attributes={type=Account, url=/services/data/v62.0/sobjects/Account/001VT00000WPKSXYA5}, Name=Scissors &amp; Scotch, SubRegion__c=US DI Commercial NN Central, PS_Region_New__c=US Medium Enterprise DI}</t>
  </si>
  <si>
    <t>a0pVT00000Cpu1LYAR</t>
  </si>
  <si>
    <t>{attributes={type=Account, url=/services/data/v62.0/sobjects/Account/001VT00000WPKSXYA5}, PS_Region_New__c=US Medium Enterprise DI, SubRegion__c=US DI Commercial NN Central, Name=Scissors &amp; Scotch, PS_Sub_Region__c=ME Commercial West, Industry=Restaurant &amp; Food Service}</t>
  </si>
  <si>
    <t>a0pVT00000Cq2wUYAR</t>
  </si>
  <si>
    <t>{PS_Sub_Region__c=ME Commercial West, attributes={url=/services/data/v62.0/sobjects/Account/001VT00000WPKSXYA5, type=Account}, Name=Scissors &amp; Scotch, PS_Region_New__c=US Medium Enterprise DI, SubRegion__c=US DI Commercial NN Central, Industry=Restaurant &amp; Food Service}</t>
  </si>
  <si>
    <t>a0pVT00000Cq7krYAB</t>
  </si>
  <si>
    <t>{Industry=Architecture, Engineering &amp; Construction, SubRegion__c=US DI LE CB MFG Southeast, PS_Sub_Region__c=Diversified Industries LE CB MFG, attributes={url=/services/data/v62.0/sobjects/Account/0018000000P0t3LAAR, type=Account}, Name=Walsh Construction Company II, LLC, PS_Region_New__c=US Large Enterprise DI &amp; Mexico}</t>
  </si>
  <si>
    <t>a0pVT00000CpsvXYAR</t>
  </si>
  <si>
    <t>{Industry=Architecture, Engineering &amp; Construction, PS_Region_New__c=US Large Enterprise DI &amp; Mexico, Name=Turnpoint, attributes={url=/services/data/v62.0/sobjects/Account/0014X00002luJNWQA2, type=Account}, SubRegion__c=US DI LE NN MFG Central, PS_Sub_Region__c=Diversified Industries LE NN}</t>
  </si>
  <si>
    <t>a0pVT00000CpwmEYAR</t>
  </si>
  <si>
    <t>{Industry=Architecture, Engineering &amp; Construction, PS_Region_New__c=US Large Enterprise DI &amp; Mexico, SubRegion__c=US DI LE NN MFG Central, Name=Turnpoint, PS_Sub_Region__c=Diversified Industries LE NN, attributes={url=/services/data/v62.0/sobjects/Account/0014X00002luJNWQA2, type=Account}}</t>
  </si>
  <si>
    <t>a0pVT00000CpoOtYAJ</t>
  </si>
  <si>
    <t>{Industry=Architecture, Engineering &amp; Construction, attributes={type=Account, url=/services/data/v62.0/sobjects/Account/0014X00002luJNWQA2}, PS_Sub_Region__c=Diversified Industries LE NN, SubRegion__c=US DI LE NN MFG Central, Name=Turnpoint, PS_Region_New__c=US Large Enterprise DI &amp; Mexico}</t>
  </si>
  <si>
    <t>a0pVT00000CpuZAYAZ</t>
  </si>
  <si>
    <t>{Industry=Architecture, Engineering &amp; Construction, SubRegion__c=US DI LE NN MFG Central, Name=Turnpoint, PS_Region_New__c=US Large Enterprise DI &amp; Mexico, PS_Sub_Region__c=Diversified Industries LE NN, attributes={type=Account, url=/services/data/v62.0/sobjects/Account/0014X00002luJNWQA2}}</t>
  </si>
  <si>
    <t>a0pVT00000Cq6f7YAB</t>
  </si>
  <si>
    <t>{Industry=Insurance, Name=Ritter Insurance Marketing, LLC, PS_Sub_Region__c=FSI Commercial NN, attributes={url=/services/data/v62.0/sobjects/Account/0014X00002luOXXQA2, type=Account}, SubRegion__c=US FSI Commercial NN, PS_Region_New__c=US FSI}</t>
  </si>
  <si>
    <t>a0pVT00000Cq6gjYAB</t>
  </si>
  <si>
    <t>{PS_Region_New__c=US Medium Enterprise DI, attributes={url=/services/data/v62.0/sobjects/Account/0014X00002luPOaQAM, type=Account}, SubRegion__c=US DI Commercial NN Central, PS_Sub_Region__c=ME Commercial West, Name=Premier Roofing, Industry=Architecture, Engineering &amp; Construction}</t>
  </si>
  <si>
    <t>a0pVT00000Cq6iLYAR</t>
  </si>
  <si>
    <t>{PS_Region_New__c=US Medium Enterprise DI, attributes={url=/services/data/v62.0/sobjects/Account/0014X00002luPOaQAM, type=Account}, PS_Sub_Region__c=ME Commercial West, Industry=Architecture, Engineering &amp; Construction, SubRegion__c=US DI Commercial NN Central, Name=Premier Roofing}</t>
  </si>
  <si>
    <t>a0pVT00000CpfjnYAB</t>
  </si>
  <si>
    <t>{SubRegion__c=US DI ME NN PBS Central, attributes={type=Account, url=/services/data/v62.0/sobjects/Account/0014X00002luPYuQAM}, Industry=Architecture, Engineering &amp; Construction, PS_Region_New__c=US Medium Enterprise DI, PS_Sub_Region__c=ME NN PBS, Name=Brewer Companies}</t>
  </si>
  <si>
    <t>a0pVT00000Cq0ugYAB</t>
  </si>
  <si>
    <t>{Industry=Professional Services, PS_Region_New__c=US Large Enterprise DI &amp; Mexico, SubRegion__c=US DI LE NN TM &amp; PS East, attributes={url=/services/data/v62.0/sobjects/Account/0018000000NfBUNAA3, type=Account}, PS_Sub_Region__c=Diversified Industries LE NN, Name=Foundever Operating Corporation}</t>
  </si>
  <si>
    <t>a0pVT00000Cq8LxYAJ</t>
  </si>
  <si>
    <t>{PS_Region_New__c=US SLED, attributes={url=/services/data/v62.0/sobjects/Account/0018000000njX5EAAU, type=Account}, SubRegion__c=US Higher Ed LE East, Industry=Higher Education, PS_Sub_Region__c=Higher Education LE, Name=University of Maryland Global Campus}</t>
  </si>
  <si>
    <t>a0pVT00000Cq45SYAR</t>
  </si>
  <si>
    <t>{Industry=Restaurant &amp; Food Service, PS_Region_New__c=US Medium Enterprise DI, attributes={type=Account, url=/services/data/v62.0/sobjects/Account/0018000001WMGSbAAP}, SubRegion__c=US DI Commercial NN Northeast, PS_Sub_Region__c=ME Commercial East, Name=Newport Restaurant Group}</t>
  </si>
  <si>
    <t>a0pVT00000Cq6jxYAB</t>
  </si>
  <si>
    <t>{attributes={type=Account, url=/services/data/v62.0/sobjects/Account/0014X00002luRaNQAU}, Industry=Professional Services, PS_Region_New__c=US Medium Enterprise DI, Name=ROIG Lawyers, SubRegion__c=US DI Commercial NN Southeast, PS_Sub_Region__c=ME Commercial East}</t>
  </si>
  <si>
    <t>a0pVT00000Cq3UMYAZ</t>
  </si>
  <si>
    <t>0018000000ULn4AAAT</t>
  </si>
  <si>
    <t>{PS_Sub_Region__c=UKI RHT, Industry=Consumer Goods, Name=Glanbia plc, PS_Region_New__c=UKI, SubRegion__c=UKI RHT LE NN, attributes={type=Account, url=/services/data/v62.0/sobjects/Account/0018000000ULn4AAAT}}</t>
  </si>
  <si>
    <t>a0pVT00000CprTFYAZ</t>
  </si>
  <si>
    <t>{attributes={type=Account, url=/services/data/v62.0/sobjects/Account/0018000000ULn4AAAT}, PS_Sub_Region__c=UKI RHT, SubRegion__c=UKI RHT LE NN, Name=Glanbia plc, Industry=Consumer Goods, PS_Region_New__c=UKI}</t>
  </si>
  <si>
    <t>a0pVT00000CpfjoYAB</t>
  </si>
  <si>
    <t>0014X00002luS2AQAU</t>
  </si>
  <si>
    <t>{PS_Sub_Region__c=ME Commercial East, SubRegion__c=US DI Commercial NN Mid-Atlantic, PS_Region_New__c=US Medium Enterprise DI, Industry=Auto, Name=Empire Auto Parts, attributes={type=Account, url=/services/data/v62.0/sobjects/Account/0014X00002luS2AQAU}}</t>
  </si>
  <si>
    <t>a0pVT00000CplR1YAJ</t>
  </si>
  <si>
    <t>{Name=Empire Auto Parts, PS_Sub_Region__c=ME Commercial East, PS_Region_New__c=US Medium Enterprise DI, attributes={type=Account, url=/services/data/v62.0/sobjects/Account/0014X00002luS2AQAU}, SubRegion__c=US DI Commercial NN Mid-Atlantic, Industry=Auto}</t>
  </si>
  <si>
    <t>a0pVT00000CpsXMYAZ</t>
  </si>
  <si>
    <t>{Industry=Auto, PS_Sub_Region__c=ME Commercial East, Name=Empire Auto Parts, attributes={type=Account, url=/services/data/v62.0/sobjects/Account/0014X00002luS2AQAU}, PS_Region_New__c=US Medium Enterprise DI, SubRegion__c=US DI Commercial NN Mid-Atlantic}</t>
  </si>
  <si>
    <t>a0pVT00000CpzAcYAJ</t>
  </si>
  <si>
    <t>{attributes={type=Account, url=/services/data/v62.0/sobjects/Account/0014X00002luS2AQAU}, Industry=Auto, PS_Sub_Region__c=ME Commercial East, SubRegion__c=US DI Commercial NN Mid-Atlantic, Name=Empire Auto Parts, PS_Region_New__c=US Medium Enterprise DI}</t>
  </si>
  <si>
    <t>a0pVT00000Cpsh2YAB</t>
  </si>
  <si>
    <t>{PS_Region_New__c=US Large Enterprise DI &amp; Mexico, Name=Harry's USA, Inc., SubRegion__c=US DI LE NN MFG East, PS_Sub_Region__c=Diversified Industries LE NN, attributes={url=/services/data/v62.0/sobjects/Account/0018000001KdWWhAAN, type=Account}, Industry=Consumer Goods}</t>
  </si>
  <si>
    <t>a0pVT00000Cq6nBYAR</t>
  </si>
  <si>
    <t>{Name=Vantor Holdings Inc., PS_Region_New__c=US Large Enterprise DI &amp; Mexico, Industry=Telecom, SubRegion__c=US DI LE CB TM &amp; PS Central, PS_Sub_Region__c=Diversified Industries LE CB TM &amp; PS, attributes={url=/services/data/v62.0/sobjects/Account/0018000000LUDqMAAX, type=Account}}</t>
  </si>
  <si>
    <t>a0pVT00000Cq5uMYAR</t>
  </si>
  <si>
    <t>{PS_Region_New__c=US Large Enterprise DI &amp; Mexico, attributes={type=Account, url=/services/data/v62.0/sobjects/Account/0018000000LUDqMAAX}, SubRegion__c=US DI LE CB TM &amp; PS Central, PS_Sub_Region__c=Diversified Industries LE CB TM &amp; PS, Industry=Telecom, Name=Vantor Holdings Inc.}</t>
  </si>
  <si>
    <t>a0pVT00000Cq3EEYAZ</t>
  </si>
  <si>
    <t>0018000000LnnHfAAJ</t>
  </si>
  <si>
    <t>{PS_Region_New__c=US Large Enterprise DI &amp; Mexico, Industry=High Technology, SubRegion__c=US DI Key Accounts MFG, attributes={type=Account, url=/services/data/v62.0/sobjects/Account/0018000000LnnHfAAJ}, Name=Boeing Company, The, PS_Sub_Region__c=Diversified Industries Key Accounts}</t>
  </si>
  <si>
    <t>a0pVT00000Cq6onYAB</t>
  </si>
  <si>
    <t>{Name=Overlake Medical Center &amp; Clinics, SubRegion__c=US Healthcare LE CB West, Industry=Acute Hospital / Health System, PS_Region_New__c=US Healthcare, attributes={type=Account, url=/services/data/v62.0/sobjects/Account/0018000000LUJTsAAP}, PS_Sub_Region__c=Healthcare LE}</t>
  </si>
  <si>
    <t>a0pVT00000Cq6s1YAB</t>
  </si>
  <si>
    <t>{Name=Overlake Medical Center &amp; Clinics, PS_Region_New__c=US Healthcare, attributes={type=Account, url=/services/data/v62.0/sobjects/Account/0018000000LUJTsAAP}, Industry=Acute Hospital / Health System, SubRegion__c=US Healthcare LE CB West, PS_Sub_Region__c=Healthcare LE}</t>
  </si>
  <si>
    <t>a0pVT00000Cq6vFYAR</t>
  </si>
  <si>
    <t>{PS_Region_New__c=US Healthcare, Name=Blue Cross Blue Shield of Arizona, attributes={url=/services/data/v62.0/sobjects/Account/0018000000LUVJvAAP, type=Account}, Industry=Health Insurance, PS_Sub_Region__c=Healthcare ME, SubRegion__c=US Healthcare Payor}</t>
  </si>
  <si>
    <t>a0pVT00000Cq5G2YAJ</t>
  </si>
  <si>
    <t>{Industry=Business Services, SubRegion__c=US DI ME NN PBS TOLA, PS_Sub_Region__c=ME NN PBS, attributes={type=Account, url=/services/data/v62.0/sobjects/Account/0018000000ohBmfAAE}, PS_Region_New__c=US Medium Enterprise DI, Name=The BMS Enterprises, Inc.}</t>
  </si>
  <si>
    <t>a0pVT00000Cq6wrYAB</t>
  </si>
  <si>
    <t>{Industry=Food &amp; Drug, attributes={type=Account, url=/services/data/v62.0/sobjects/Account/0018000000LUdXnAAL}, Name=CVS Pharmacy, Inc., PS_Sub_Region__c=Diversified Industries Key Accounts, SubRegion__c=US DI Key Accounts RHT, PS_Region_New__c=US Large Enterprise DI &amp; Mexico}</t>
  </si>
  <si>
    <t>a0pVT00000CpzKIYAZ</t>
  </si>
  <si>
    <t>{SubRegion__c=US DI Key Accounts RHT, attributes={url=/services/data/v62.0/sobjects/Account/0018000000LUdXnAAL, type=Account}, PS_Region_New__c=US Large Enterprise DI &amp; Mexico, Industry=Food &amp; Drug, Name=CVS Pharmacy, Inc., PS_Sub_Region__c=Diversified Industries Key Accounts}</t>
  </si>
  <si>
    <t>a0pVT00000Cpz7PYAR</t>
  </si>
  <si>
    <t>{PS_Sub_Region__c=Diversified Industries LE NN, attributes={type=Account, url=/services/data/v62.0/sobjects/Account/0018000000NfBb4AAF}, SubRegion__c=US DI LE NN RHT West, Industry=Land and Rail Transportation and Freight, Name=Crete Carrier Corporation, PS_Region_New__c=US Large Enterprise DI &amp; Mexico}</t>
  </si>
  <si>
    <t>a0pVT00000CppuSYAR</t>
  </si>
  <si>
    <t>{PS_Sub_Region__c=ME Commercial East, Industry=Professional Services, PS_Region_New__c=US Medium Enterprise DI, attributes={url=/services/data/v62.0/sobjects/Account/001VT00000NqCz8YAF, type=Account}, Name=Instant Teams, SubRegion__c=US DI Commercial NN Southeast}</t>
  </si>
  <si>
    <t>a0pVT00000Cq705YAB</t>
  </si>
  <si>
    <t>{SubRegion__c=US DI LE CB TM &amp; PS Northwest, PS_Sub_Region__c=Diversified Industries LE CB TM &amp; PS, Industry=Software &amp; Platforms, Name=Palo Alto Networks, Inc., attributes={url=/services/data/v62.0/sobjects/Account/0018000000LnD9sAAF, type=Account}, PS_Region_New__c=US Large Enterprise DI &amp; Mexico}</t>
  </si>
  <si>
    <t>a0pVT00000CpUTPYA3</t>
  </si>
  <si>
    <t>{PS_Region_New__c=US Large Enterprise DI &amp; Mexico, Name=Palo Alto Networks, Inc., SubRegion__c=US DI LE CB TM &amp; PS Northwest, PS_Sub_Region__c=Diversified Industries LE CB TM &amp; PS, attributes={type=Account, url=/services/data/v62.0/sobjects/Account/0018000000LnD9sAAF}, Industry=Software &amp; Platforms}</t>
  </si>
  <si>
    <t>a0pVT00000CpqdaYAB</t>
  </si>
  <si>
    <t>{PS_Sub_Region__c=Healthcare LE, Industry=Acute Hospital / Health System, attributes={url=/services/data/v62.0/sobjects/Account/0018000000kuvwQAAQ, type=Account}, SubRegion__c=US Healthcare LE NN East, Name=Lee Health, PS_Region_New__c=US Healthcare}</t>
  </si>
  <si>
    <t>a0pVT00000CpwXiYAJ</t>
  </si>
  <si>
    <t>{attributes={type=Account, url=/services/data/v62.0/sobjects/Account/0018000000LoDtUAAV}, PS_Region_New__c=US Large Enterprise DI &amp; Mexico, SubRegion__c=US DI Key Accounts RHT, Industry=Food &amp; Drug, Name=7-Eleven, Inc., PS_Sub_Region__c=Diversified Industries Key Accounts}</t>
  </si>
  <si>
    <t>a0pVT00000Cq6qQYAR</t>
  </si>
  <si>
    <t>{SubRegion__c=US DI Key Accounts RHT, PS_Sub_Region__c=Diversified Industries Key Accounts, Name=7-Eleven, Inc., attributes={url=/services/data/v62.0/sobjects/Account/0018000000LoDtUAAV, type=Account}, PS_Region_New__c=US Large Enterprise DI &amp; Mexico, Industry=Food &amp; Drug}</t>
  </si>
  <si>
    <t>a0pVT00000Cpo8kYAB</t>
  </si>
  <si>
    <t>{Industry=Food &amp; Drug, PS_Sub_Region__c=Diversified Industries Key Accounts, Name=7-Eleven, Inc., SubRegion__c=US DI Key Accounts RHT, PS_Region_New__c=US Large Enterprise DI &amp; Mexico, attributes={url=/services/data/v62.0/sobjects/Account/0018000000LoDtUAAV, type=Account}}</t>
  </si>
  <si>
    <t>a0pVT00000CpwmFYAR</t>
  </si>
  <si>
    <t>{PS_Sub_Region__c=Diversified Industries Key Accounts, Name=7-Eleven, Inc., Industry=Food &amp; Drug, PS_Region_New__c=US Large Enterprise DI &amp; Mexico, SubRegion__c=US DI Key Accounts RHT, attributes={url=/services/data/v62.0/sobjects/Account/0018000000LoDtUAAV, type=Account}}</t>
  </si>
  <si>
    <t>a0pVT00000CpvNBYAZ</t>
  </si>
  <si>
    <t>{attributes={type=Account, url=/services/data/v62.0/sobjects/Account/0018000000LoDtUAAV}, PS_Region_New__c=US Large Enterprise DI &amp; Mexico, Name=7-Eleven, Inc., PS_Sub_Region__c=Diversified Industries Key Accounts, Industry=Food &amp; Drug, SubRegion__c=US DI Key Accounts RHT}</t>
  </si>
  <si>
    <t>a0pVT00000Cq2RqYAJ</t>
  </si>
  <si>
    <t>{Industry=Food &amp; Drug, PS_Sub_Region__c=Diversified Industries Key Accounts, attributes={url=/services/data/v62.0/sobjects/Account/0018000000LoDtUAAV, type=Account}, SubRegion__c=US DI Key Accounts RHT, Name=7-Eleven, Inc., PS_Region_New__c=US Large Enterprise DI &amp; Mexico}</t>
  </si>
  <si>
    <t>a0pVT00000Cpk5SYAR</t>
  </si>
  <si>
    <t>{attributes={type=Account, url=/services/data/v62.0/sobjects/Account/0018000000M3e1WAAR}, SubRegion__c=US FSI LE East, PS_Region_New__c=US FSI, Name=Invesco Group Services, Inc., Industry=Investment Management, PS_Sub_Region__c=FSI LE}</t>
  </si>
  <si>
    <t>a0pVT00000Cq3xOYAR</t>
  </si>
  <si>
    <t>{PS_Sub_Region__c=ME NN MFG, Name=Eagle-Picher Technologies LLC, attributes={type=Account, url=/services/data/v62.0/sobjects/Account/0018000000M5o0tAAB}, SubRegion__c=US DI ME NN MFG West, Industry=High Technology, PS_Region_New__c=US Medium Enterprise DI}</t>
  </si>
  <si>
    <t>a0pVT00000Cq74vYAB</t>
  </si>
  <si>
    <t>{Industry=Software &amp; Platforms, PS_Region_New__c=US Medium Enterprise DI, attributes={url=/services/data/v62.0/sobjects/Account/0018000000M5o1EAAR, type=Account}, SubRegion__c=US DI ME CB TM Northwest, Name=DTN, LLC, PS_Sub_Region__c=ME CB TM &amp; RHT}</t>
  </si>
  <si>
    <t>a0pVT00000Cq76XYAR</t>
  </si>
  <si>
    <t>{PS_Region_New__c=US Medium Enterprise DI, Name=DTN, LLC, Industry=Software &amp; Platforms, PS_Sub_Region__c=ME CB TM &amp; RHT, attributes={type=Account, url=/services/data/v62.0/sobjects/Account/0018000000M5o1EAAR}, SubRegion__c=US DI ME CB TM Northwest}</t>
  </si>
  <si>
    <t>a0pVT00000Cpw1UYAR</t>
  </si>
  <si>
    <t>{Name=East West Resorts, LLC, Industry=Lodging &amp; Resorts, PS_Sub_Region__c=ME Commercial West, attributes={url=/services/data/v62.0/sobjects/Account/0018000001WMFriAAH, type=Account}, SubRegion__c=US DI Commercial NN Southwest, PS_Region_New__c=US Medium Enterprise DI}</t>
  </si>
  <si>
    <t>a0pVT00000Cq789YAB</t>
  </si>
  <si>
    <t>{SubRegion__c=US DI LE CB MFG Central, Name=Kenvue Brands LLC, Industry=Business Services, PS_Region_New__c=US Large Enterprise DI &amp; Mexico, attributes={type=Account, url=/services/data/v62.0/sobjects/Account/0018000000M5o1NAAR}, PS_Sub_Region__c=Diversified Industries LE CB MFG}</t>
  </si>
  <si>
    <t>a0pVT00000Cq79lYAB</t>
  </si>
  <si>
    <t>{Industry=Business Services, Name=Kenvue Brands LLC, PS_Region_New__c=US Large Enterprise DI &amp; Mexico, PS_Sub_Region__c=Diversified Industries LE CB MFG, attributes={type=Account, url=/services/data/v62.0/sobjects/Account/0018000000M5o1NAAR}, SubRegion__c=US DI LE CB MFG Central}</t>
  </si>
  <si>
    <t>a0pVT00000CqAu2YAF</t>
  </si>
  <si>
    <t>001VT00000Z7C3VYAV</t>
  </si>
  <si>
    <t>{PS_Sub_Region__c=Healthcare ME, SubRegion__c=US Healthcare ME NN West, PS_Region_New__c=US Healthcare, attributes={type=Account, url=/services/data/v62.0/sobjects/Account/001VT00000Z7C3VYAV}, Name=OrthoArizona, Industry=Ambulatory}</t>
  </si>
  <si>
    <t>a0pVT00000Cq78AYAR</t>
  </si>
  <si>
    <t>{SubRegion__c=US DI ME CB RHT East, PS_Region_New__c=US Medium Enterprise DI, Name=Elkay Manufacturing Co., PS_Sub_Region__c=ME CB TM &amp; RHT, attributes={url=/services/data/v62.0/sobjects/Account/0018000000M6D0aAAF, type=Account}, Industry=Hardlines}</t>
  </si>
  <si>
    <t>a0pVT00000Cprg8YAB</t>
  </si>
  <si>
    <t>{SubRegion__c=US DI LE CB RHT Central, PS_Sub_Region__c=Diversified Industries LE CB RHT, attributes={url=/services/data/v62.0/sobjects/Account/0018000000OxR0QAAV, type=Account}, Industry=Restaurant &amp; Food Service, Name=Peet's Coffee, PS_Region_New__c=US Large Enterprise DI &amp; Mexico}</t>
  </si>
  <si>
    <t>a0pVT00000Cq06hYAB</t>
  </si>
  <si>
    <t>{PS_Sub_Region__c=Diversified Industries LE CB RHT, Name=Peet's Coffee, Industry=Restaurant &amp; Food Service, attributes={url=/services/data/v62.0/sobjects/Account/0018000000OxR0QAAV, type=Account}, PS_Region_New__c=US Large Enterprise DI &amp; Mexico, SubRegion__c=US DI LE CB RHT Central}</t>
  </si>
  <si>
    <t>a0pVT00000Cq1pAYAR</t>
  </si>
  <si>
    <t>{Industry=Food &amp; Drug, Name=ALDI Inc., SubRegion__c=US DI LE NN RHT South, PS_Sub_Region__c=Diversified Industries LE NN, attributes={url=/services/data/v62.0/sobjects/Account/0018000000MV9N3AAL, type=Account}, PS_Region_New__c=US Large Enterprise DI &amp; Mexico}</t>
  </si>
  <si>
    <t>a0pVT00000Cq7GDYAZ</t>
  </si>
  <si>
    <t>{Name=Lifepoint Rehabilitation Services, LLC, PS_Region_New__c=US Healthcare, SubRegion__c=US Healthcare Majors NN, Industry=Post Acute, PS_Sub_Region__c=Healthcare Majors NN, attributes={type=Account, url=/services/data/v62.0/sobjects/Account/0018000000MsoxtAAB}}</t>
  </si>
  <si>
    <t>a0pVT00000CpyBNYAZ</t>
  </si>
  <si>
    <t>{Name=Pilot Travel Centers LLC, SubRegion__c=US DI LE CB RHT South, PS_Sub_Region__c=Diversified Industries LE CB RHT, attributes={url=/services/data/v62.0/sobjects/Account/0018000000MtM3JAAV, type=Account}, Industry=Food &amp; Drug, PS_Region_New__c=US Large Enterprise DI &amp; Mexico}</t>
  </si>
  <si>
    <t>a0pVT00000Cq6s2YAB</t>
  </si>
  <si>
    <t>{Industry=Higher Education, Name=Grand Canyon Education, Inc., PS_Region_New__c=US SLED, PS_Sub_Region__c=Higher Education LE, SubRegion__c=US Higher Ed LE West, attributes={type=Account, url=/services/data/v62.0/sobjects/Account/0018000000Ni3KaAAJ}}</t>
  </si>
  <si>
    <t>a0pVT00000CpzTzYAJ</t>
  </si>
  <si>
    <t>{Industry=Travel &amp; Hospitality, attributes={url=/services/data/v62.0/sobjects/Account/0018000000P0tbxAAB, type=Account}, PS_Sub_Region__c=Diversified Industries LE CB RHT, SubRegion__c=US DI LE CB RHT Northeast, PS_Region_New__c=US Large Enterprise DI &amp; Mexico, Name=Republic Airways Inc.}</t>
  </si>
  <si>
    <t>a0pVT00000Cq2ziYAB</t>
  </si>
  <si>
    <t>{SubRegion__c=US DI LE CB MFG West, attributes={type=Account, url=/services/data/v62.0/sobjects/Account/0018000000MtXdoAAF}, PS_Sub_Region__c=Diversified Industries LE CB MFG, Industry=Renewable Energy, Name=Sunrun, PS_Region_New__c=US Large Enterprise DI &amp; Mexico}</t>
  </si>
  <si>
    <t>a0pVT00000Cq0OQYAZ</t>
  </si>
  <si>
    <t>{PS_Sub_Region__c=UKI CB Majors, Industry=Consumer Goods, attributes={type=Account, url=/services/data/v62.0/sobjects/Account/0018000000ULAxpAAH}, SubRegion__c=UKI Majors CB, PS_Region_New__c=UKI, Name=Unilever U.K. Central Resources Limited}</t>
  </si>
  <si>
    <t>a0pVT00000CpyHnYAJ</t>
  </si>
  <si>
    <t>{PS_Sub_Region__c=Healthcare LE, Industry=Acute Hospital / Health System, PS_Region_New__c=US Healthcare, Name=The Children's Mercy Hospital, SubRegion__c=US Healthcare LE NN Central, attributes={type=Account, url=/services/data/v62.0/sobjects/Account/0018000000N4RQ8AAN}}</t>
  </si>
  <si>
    <t>a0pVT00000Cq7BOYAZ</t>
  </si>
  <si>
    <t>{Industry=Restaurant &amp; Food Service, PS_Region_New__c=US Large Enterprise DI &amp; Mexico, Name=Taco Bell, attributes={type=Account, url=/services/data/v62.0/sobjects/Account/0018000000N4tbyAAB}, PS_Sub_Region__c=Diversified Industries LE NN, SubRegion__c=US DI LE NN RHT North}</t>
  </si>
  <si>
    <t>a0pVT00000Cq2LOYAZ</t>
  </si>
  <si>
    <t>{SubRegion__c=US DI LE NN RHT North, attributes={type=Account, url=/services/data/v62.0/sobjects/Account/0018000000N4tbyAAB}, PS_Sub_Region__c=Diversified Industries LE NN, Name=Taco Bell, Industry=Restaurant &amp; Food Service, PS_Region_New__c=US Large Enterprise DI &amp; Mexico}</t>
  </si>
  <si>
    <t>a0pVT00000CpupHYAR</t>
  </si>
  <si>
    <t>{attributes={url=/services/data/v62.0/sobjects/Account/0018000000N4tbyAAB, type=Account}, PS_Sub_Region__c=Diversified Industries LE NN, Industry=Restaurant &amp; Food Service, Name=Taco Bell, SubRegion__c=US DI LE NN RHT North, PS_Region_New__c=US Large Enterprise DI &amp; Mexico}</t>
  </si>
  <si>
    <t>a0pVT00000Cq7HpYAJ</t>
  </si>
  <si>
    <t>{attributes={url=/services/data/v62.0/sobjects/Account/0018000000N4tbyAAB, type=Account}, SubRegion__c=US DI LE NN RHT North, PS_Sub_Region__c=Diversified Industries LE NN, Name=Taco Bell, Industry=Restaurant &amp; Food Service, PS_Region_New__c=US Large Enterprise DI &amp; Mexico}</t>
  </si>
  <si>
    <t>a0pVT00000Cq7JRYAZ</t>
  </si>
  <si>
    <t>0018000000N79ANAAZ</t>
  </si>
  <si>
    <t>{Industry=Hardlines, SubRegion__c=US DI LE CB RHT Central, PS_Region_New__c=US Large Enterprise DI &amp; Mexico, attributes={type=Account, url=/services/data/v62.0/sobjects/Account/0018000000N79ANAAZ}, Name=American Builders &amp; Contractors Supply Co., Inc., dba ABC Supply Co., Inc., PS_Sub_Region__c=Diversified Industries LE CB RHT}</t>
  </si>
  <si>
    <t>a0pVT00000CpjRAYAZ</t>
  </si>
  <si>
    <t>{Industry=Hardlines, PS_Sub_Region__c=Diversified Industries LE CB RHT, SubRegion__c=US DI LE CB RHT Central, PS_Region_New__c=US Large Enterprise DI &amp; Mexico, Name=American Builders &amp; Contractors Supply Co., Inc., dba ABC Supply Co., Inc., attributes={url=/services/data/v62.0/sobjects/Account/0018000000N79ANAAZ, type=Account}}</t>
  </si>
  <si>
    <t>a0pVT00000CpwRHYAZ</t>
  </si>
  <si>
    <t>{Industry=Healthcare Manufacturing, attributes={type=Account, url=/services/data/v62.0/sobjects/Account/0018000000NLiuNAAT}, PS_Region_New__c=US Large Enterprise DI &amp; Mexico, SubRegion__c=US DI LE CB MFG Midwest, PS_Sub_Region__c=Diversified Industries LE CB MFG, Name=Elanco US, Inc.}</t>
  </si>
  <si>
    <t>a0pVT00000Cq6dWYAR</t>
  </si>
  <si>
    <t>0018000001MGhmrAAD</t>
  </si>
  <si>
    <t>{PS_Region_New__c=US Large Enterprise DI &amp; Mexico, Industry=Consumer Goods, Name=Edgewell Personal Care, attributes={url=/services/data/v62.0/sobjects/Account/0018000001MGhmrAAD, type=Account}, SubRegion__c=US DI LE NN MFG East, PS_Sub_Region__c=Diversified Industries LE NN}</t>
  </si>
  <si>
    <t>a0pVT00000CpttCYAR</t>
  </si>
  <si>
    <t>{Industry=Consumer Goods, attributes={type=Account, url=/services/data/v62.0/sobjects/Account/0018000001MGhmrAAD}, PS_Sub_Region__c=Diversified Industries LE NN, SubRegion__c=US DI LE NN MFG East, Name=Edgewell Personal Care, PS_Region_New__c=US Large Enterprise DI &amp; Mexico}</t>
  </si>
  <si>
    <t>a0pVT00000CpuywYAB</t>
  </si>
  <si>
    <t>0018000000NLiuUAAT</t>
  </si>
  <si>
    <t>{Name=Louisiana Health Service &amp; Indemnity Company d/b/a Blue Cross and Blue Shield of Louisiana, PS_Region_New__c=US Healthcare, attributes={type=Account, url=/services/data/v62.0/sobjects/Account/0018000000NLiuUAAT}, PS_Sub_Region__c=Healthcare ME, Industry=Health Insurance, SubRegion__c=US Healthcare Payor}</t>
  </si>
  <si>
    <t>a0pVT00000CprTEYAZ</t>
  </si>
  <si>
    <t>{PS_Region_New__c=US Healthcare, Name=Louisiana Health Service &amp; Indemnity Company d/b/a Blue Cross and Blue Shield of Louisiana, PS_Sub_Region__c=Healthcare ME, Industry=Health Insurance, SubRegion__c=US Healthcare Payor, attributes={url=/services/data/v62.0/sobjects/Account/0018000000NLiuUAAT, type=Account}}</t>
  </si>
  <si>
    <t>a0pVT00000Cq0RfYAJ</t>
  </si>
  <si>
    <t>{Industry=Chemicals, PS_Region_New__c=US Large Enterprise DI &amp; Mexico, attributes={url=/services/data/v62.0/sobjects/Account/0018000000NylmVAAR, type=Account}, Name=Westlake Corporation, SubRegion__c=US DI LE CB MFG South, PS_Sub_Region__c=Diversified Industries LE CB MFG}</t>
  </si>
  <si>
    <t>a0pVT00000Cpum6YAB</t>
  </si>
  <si>
    <t>{Name=The Huntington National Bank, PS_Sub_Region__c=FSI LE, SubRegion__c=US FSI Majors, PS_Region_New__c=US FSI, attributes={url=/services/data/v62.0/sobjects/Account/0018000000OCz9pAAD, type=Account}, Industry=Banking &amp; Capital Markets}</t>
  </si>
  <si>
    <t>a0pVT00000Cq1QwYAJ</t>
  </si>
  <si>
    <t>{PS_Sub_Region__c=FSI LE, Industry=Banking &amp; Capital Markets, Name=The Huntington National Bank, attributes={type=Account, url=/services/data/v62.0/sobjects/Account/0018000000OCz9pAAD}, SubRegion__c=US FSI Majors, PS_Region_New__c=US FSI}</t>
  </si>
  <si>
    <t>a0pVT00000Cpn1PYAR</t>
  </si>
  <si>
    <t>{PS_Sub_Region__c=Diversified Industries LE NN, attributes={type=Account, url=/services/data/v62.0/sobjects/Account/0018000001IBba2AAD}, Name=REV Group, Inc., SubRegion__c=US DI LE NN MFG Central, PS_Region_New__c=US Large Enterprise DI &amp; Mexico, Industry=Auto Manufacturing}</t>
  </si>
  <si>
    <t>a0pVT00000Cq7XxYAJ</t>
  </si>
  <si>
    <t>{attributes={type=Account, url=/services/data/v62.0/sobjects/Account/0018000000ORDklAAH}, PS_Sub_Region__c=Diversified Industries LE CB MFG, Name=Bridgestone Americas, Inc., PS_Region_New__c=US Large Enterprise DI &amp; Mexico, Industry=Auto Manufacturing, SubRegion__c=US DI Key Accounts MFG}</t>
  </si>
  <si>
    <t>a0pVT00000Cq7ZZYAZ</t>
  </si>
  <si>
    <t>{Industry=Business Services, PS_Region_New__c=US Medium Enterprise DI, Name=Coke One North America (CONA), attributes={url=/services/data/v62.0/sobjects/Account/0018000000OTGF4AAP, type=Account}, SubRegion__c=US DI Commercial NN Northeast, PS_Sub_Region__c=ME Commercial East}</t>
  </si>
  <si>
    <t>a0pVT00000CpYjwYAF</t>
  </si>
  <si>
    <t>{PS_Sub_Region__c=ME Commercial East, Name=Coke One North America (CONA), attributes={url=/services/data/v62.0/sobjects/Account/0018000000OTGF4AAP, type=Account}, Industry=Business Services, SubRegion__c=US DI Commercial NN Northeast, PS_Region_New__c=US Medium Enterprise DI}</t>
  </si>
  <si>
    <t>a0pVT00000Cq68sYAB</t>
  </si>
  <si>
    <t>{PS_Sub_Region__c=ME Commercial East, attributes={type=Account, url=/services/data/v62.0/sobjects/Account/0018000000OTGF4AAP}, Industry=Business Services, Name=Coke One North America (CONA), PS_Region_New__c=US Medium Enterprise DI, SubRegion__c=US DI Commercial NN Northeast}</t>
  </si>
  <si>
    <t>a0pVT00000Cq706YAB</t>
  </si>
  <si>
    <t>{PS_Region_New__c=US SLED, Industry=State &amp; Local Government, SubRegion__c=US Local Gov ME CB, Name=City of Amarillo (Precision Task Group, Inc.), PS_Sub_Region__c=Local Government ME, attributes={url=/services/data/v62.0/sobjects/Account/0018000000kuwL1AAI, type=Account}}</t>
  </si>
  <si>
    <t>a0pVT00000Cq06gYAB</t>
  </si>
  <si>
    <t>{attributes={url=/services/data/v62.0/sobjects/Account/0018000000OTbbPAAT, type=Account}, PS_Sub_Region__c=Diversified Industries LE NN, SubRegion__c=US DI LE NN RHT North, Industry=Softlines, Name=Jo-Ann Stores, LLC (Inactive Account), PS_Region_New__c=US Large Enterprise DI &amp; Mexico}</t>
  </si>
  <si>
    <t>a0pVT00000Cq7bBYAR</t>
  </si>
  <si>
    <t>{Name=Jo-Ann Stores, LLC (Inactive Account), PS_Region_New__c=US Large Enterprise DI &amp; Mexico, Industry=Softlines, SubRegion__c=US DI LE NN RHT North, attributes={url=/services/data/v62.0/sobjects/Account/0018000000OTbbPAAT, type=Account}, PS_Sub_Region__c=Diversified Industries LE NN}</t>
  </si>
  <si>
    <t>a0pVT00000Cpx5aYAB</t>
  </si>
  <si>
    <t>{Industry=Land and Rail Transportation and Freight, PS_Region_New__c=US Large Enterprise DI &amp; Mexico, SubRegion__c=US DI LE NN RHT West, Name=U.S. Xpress Enterprises, Inc., attributes={url=/services/data/v62.0/sobjects/Account/0018000000OieAgAAJ, type=Account}, PS_Sub_Region__c=Diversified Industries LE NN}</t>
  </si>
  <si>
    <t>a0pVT00000CprUqYAJ</t>
  </si>
  <si>
    <t>{Industry=Land and Rail Transportation and Freight, PS_Region_New__c=US Large Enterprise DI &amp; Mexico, SubRegion__c=US DI LE NN RHT West, attributes={url=/services/data/v62.0/sobjects/Account/0018000000OieAgAAJ, type=Account}, Name=U.S. Xpress Enterprises, Inc., PS_Sub_Region__c=Diversified Industries LE NN}</t>
  </si>
  <si>
    <t>a0pVT00000Cq0oFYAR</t>
  </si>
  <si>
    <t>{PS_Region_New__c=US Large Enterprise DI &amp; Mexico, attributes={url=/services/data/v62.0/sobjects/Account/0018000000OieAgAAJ, type=Account}, SubRegion__c=US DI LE NN RHT West, PS_Sub_Region__c=Diversified Industries LE NN, Name=U.S. Xpress Enterprises, Inc., Industry=Land and Rail Transportation and Freight}</t>
  </si>
  <si>
    <t>a0pVT00000Cq4iBYAR</t>
  </si>
  <si>
    <t>{PS_Sub_Region__c=Canada ME West, Industry=Land and Rail Transportation and Freight, attributes={type=Account, url=/services/data/v62.0/sobjects/Account/0018000000OzmPuAAJ}, SubRegion__c=Canada ME West, PS_Region_New__c=Canada, Name=Trimac Transportation}</t>
  </si>
  <si>
    <t>a0pVT00000Cq7cnYAB</t>
  </si>
  <si>
    <t>{SubRegion__c=Canada ME West, PS_Region_New__c=Canada, Name=Trimac Transportation, Industry=Land and Rail Transportation and Freight, PS_Sub_Region__c=Canada ME West, attributes={type=Account, url=/services/data/v62.0/sobjects/Account/0018000000OzmPuAAJ}}</t>
  </si>
  <si>
    <t>a0pVT00000Cq2tGYAR</t>
  </si>
  <si>
    <t>{SubRegion__c=Canada ME West, PS_Region_New__c=Canada, Name=Trimac Transportation, attributes={url=/services/data/v62.0/sobjects/Account/0018000000OzmPuAAJ, type=Account}, PS_Sub_Region__c=Canada ME West, Industry=Land and Rail Transportation and Freight}</t>
  </si>
  <si>
    <t>a0pVT00000Cq0LDYAZ</t>
  </si>
  <si>
    <t>{Name=Sobeys Inc, PS_Region_New__c=Canada, SubRegion__c=Canada DI LE East, attributes={type=Account, url=/services/data/v62.0/sobjects/Account/0018000000OzmVBAAZ}, Industry=Food &amp; Drug, PS_Sub_Region__c=Canada DI LE East}</t>
  </si>
  <si>
    <t>a0pVT00000Cq0hoYAB</t>
  </si>
  <si>
    <t>{Name=Sobeys Inc, attributes={url=/services/data/v62.0/sobjects/Account/0018000000OzmVBAAZ, type=Account}, Industry=Food &amp; Drug, PS_Sub_Region__c=Canada DI LE East, SubRegion__c=Canada DI LE East, PS_Region_New__c=Canada}</t>
  </si>
  <si>
    <t>a0pVT00000Cq8vSYAR</t>
  </si>
  <si>
    <t>{Name=Teachers Insurance and Annuity Association of America, attributes={url=/services/data/v62.0/sobjects/Account/0018000000rOsTDAA0, type=Account}, PS_Region_New__c=US FSI, SubRegion__c=US FSI Majors, Industry=Banking &amp; Capital Markets, PS_Sub_Region__c=FSI LE}</t>
  </si>
  <si>
    <t>a0pVT00000Cq06jYAB</t>
  </si>
  <si>
    <t>{SubRegion__c=US FSI Majors, attributes={url=/services/data/v62.0/sobjects/Account/0018000000rOsTDAA0, type=Account}, PS_Sub_Region__c=FSI LE, Name=Teachers Insurance and Annuity Association of America, PS_Region_New__c=US FSI, Industry=Banking &amp; Capital Markets}</t>
  </si>
  <si>
    <t>a0pVT00000CpyBOYAZ</t>
  </si>
  <si>
    <t>{Industry=Banking &amp; Capital Markets, PS_Region_New__c=US FSI, Name=Teachers Insurance and Annuity Association of America, attributes={url=/services/data/v62.0/sobjects/Account/0018000000rOsTDAA0, type=Account}, SubRegion__c=US FSI Majors, PS_Sub_Region__c=FSI LE}</t>
  </si>
  <si>
    <t>a0pVT00000Cq7ePYAR</t>
  </si>
  <si>
    <t>{PS_Sub_Region__c=Canada DI LE East, SubRegion__c=Canada DI LE East, PS_Region_New__c=Canada, Industry=Consumer Goods, attributes={type=Account, url=/services/data/v62.0/sobjects/Account/0018000000OzorcAAB}, Name=Agropur Cooperative}</t>
  </si>
  <si>
    <t>a0pVT00000Cq3FuYAJ</t>
  </si>
  <si>
    <t>0018000000OzoslAAB</t>
  </si>
  <si>
    <t>{Name=Belron Canada Inc., PS_Region_New__c=Canada, attributes={type=Account, url=/services/data/v62.0/sobjects/Account/0018000000OzoslAAB}, Industry=Auto, PS_Sub_Region__c=Canada ME East, SubRegion__c=Canada ME East}</t>
  </si>
  <si>
    <t>a0pVT00000CpuvmYAB</t>
  </si>
  <si>
    <t>{Name=Belron Canada Inc., SubRegion__c=Canada ME East, PS_Sub_Region__c=Canada ME East, Industry=Auto, attributes={type=Account, url=/services/data/v62.0/sobjects/Account/0018000000OzoslAAB}, PS_Region_New__c=Canada}</t>
  </si>
  <si>
    <t>a0pVT00000Cpgb1YAB</t>
  </si>
  <si>
    <t>{Name=CoorsTek, Inc., PS_Sub_Region__c=Diversified Industries LE CB MFG, SubRegion__c=US DI LE CB MFG Central, PS_Region_New__c=US Large Enterprise DI &amp; Mexico, attributes={type=Account, url=/services/data/v62.0/sobjects/Account/0018000000P0iTHAAZ}, Industry=Materials}</t>
  </si>
  <si>
    <t>a0pVT00000Cq7g1YAB</t>
  </si>
  <si>
    <t>{Name=CoorsTek, Inc., attributes={type=Account, url=/services/data/v62.0/sobjects/Account/0018000000P0iTHAAZ}, PS_Region_New__c=US Large Enterprise DI &amp; Mexico, Industry=Materials, PS_Sub_Region__c=Diversified Industries LE CB MFG, SubRegion__c=US DI LE CB MFG Central}</t>
  </si>
  <si>
    <t>a0pVT00000Cq5ZOYAZ</t>
  </si>
  <si>
    <t>{Name=First Credit Union, LLC, PS_Region_New__c=US SLED, SubRegion__c=US NFP NN West, Industry=Non-Profit, attributes={url=/services/data/v62.0/sobjects/Account/001VT00000b2j0cYAA, type=Account}, PS_Sub_Region__c=Higher Education LE}</t>
  </si>
  <si>
    <t>a0pVT00000Cq7hdYAB</t>
  </si>
  <si>
    <t>{PS_Sub_Region__c=Diversified Industries LE NN, Industry=Amusement &amp; Recreation, PS_Region_New__c=US Large Enterprise DI &amp; Mexico, Name=Aspen Skiing Company, LLC, SubRegion__c=US DI LE NN RHT West, attributes={type=Account, url=/services/data/v62.0/sobjects/Account/0018000000P0iTKAAZ}}</t>
  </si>
  <si>
    <t>a0pVT00000Cq7jFYAR</t>
  </si>
  <si>
    <t>{PS_Region_New__c=US Large Enterprise DI &amp; Mexico, attributes={url=/services/data/v62.0/sobjects/Account/0018000000P0iTKAAZ, type=Account}, SubRegion__c=US DI LE NN RHT West, Name=Aspen Skiing Company, LLC, Industry=Amusement &amp; Recreation, PS_Sub_Region__c=Diversified Industries LE NN}</t>
  </si>
  <si>
    <t>a0pVT00000CpsqhYAB</t>
  </si>
  <si>
    <t>{Name=Lennar Homes, LLC, PS_Region_New__c=US Large Enterprise DI &amp; Mexico, Industry=Business Services, PS_Sub_Region__c=Diversified Industries LE CB TM &amp; PS, attributes={url=/services/data/v62.0/sobjects/Account/0018000000P1QtRAAV, type=Account}, SubRegion__c=US DI LE CB TM &amp; PS Southeast}</t>
  </si>
  <si>
    <t>a0pVT00000Cq7heYAB</t>
  </si>
  <si>
    <t>{Name=Lennar Homes, LLC, PS_Region_New__c=US Large Enterprise DI &amp; Mexico, SubRegion__c=US DI LE CB TM &amp; PS Southeast, attributes={type=Account, url=/services/data/v62.0/sobjects/Account/0018000000P1QtRAAV}, Industry=Business Services, PS_Sub_Region__c=Diversified Industries LE CB TM &amp; PS}</t>
  </si>
  <si>
    <t>a0pVT00000Cq7g2YAB</t>
  </si>
  <si>
    <t>{attributes={type=Account, url=/services/data/v62.0/sobjects/Account/0018000000P0ihnAAB}, Name=Performance Food Group Company, PS_Region_New__c=US Large Enterprise DI &amp; Mexico, SubRegion__c=US DI LE NN RHT South, PS_Sub_Region__c=Diversified Industries LE NN, Industry=Restaurant &amp; Food Service}</t>
  </si>
  <si>
    <t>a0pVT00000Cpk5TYAR</t>
  </si>
  <si>
    <t>{attributes={url=/services/data/v62.0/sobjects/Account/0018000000P0jubAAB, type=Account}, PS_Sub_Region__c=FSI LE, Name=Extra Space Management, Inc., Industry=Investment Management, PS_Region_New__c=US FSI, SubRegion__c=US FSI LE West}</t>
  </si>
  <si>
    <t>a0pVT00000Cq76YYAR</t>
  </si>
  <si>
    <t>{SubRegion__c=US FSI LE West, Industry=Investment Management, PS_Sub_Region__c=FSI LE, attributes={url=/services/data/v62.0/sobjects/Account/0018000000P0jubAAB, type=Account}, Name=Extra Space Management, Inc., PS_Region_New__c=US FSI}</t>
  </si>
  <si>
    <t>a0pVT00000Cq118YAB</t>
  </si>
  <si>
    <t>0018000000iSYBAAA4</t>
  </si>
  <si>
    <t>{Industry=Business Services, PS_Region_New__c=US Large Enterprise DI &amp; Mexico, Name=ARAMARK Canada Ltd., SubRegion__c=US DI LE NN RHT North, PS_Sub_Region__c=Diversified Industries LE NN, attributes={url=/services/data/v62.0/sobjects/Account/0018000000iSYBAAA4, type=Account}}</t>
  </si>
  <si>
    <t>a0pVT00000Cq87SYAR</t>
  </si>
  <si>
    <t>{Industry=Business Services, PS_Sub_Region__c=Diversified Industries LE NN, SubRegion__c=US DI LE NN TM &amp; PS West, PS_Region_New__c=US Large Enterprise DI &amp; Mexico, Name=ADT Security Services, attributes={type=Account, url=/services/data/v62.0/sobjects/Account/0018000000nlvpNAAQ}}</t>
  </si>
  <si>
    <t>a0pVT00000CpoNIYAZ</t>
  </si>
  <si>
    <t>{PS_Sub_Region__c=Diversified Industries LE NN, Name=ADT Security Services, Industry=Business Services, attributes={url=/services/data/v62.0/sobjects/Account/0018000000nlvpNAAQ, type=Account}, PS_Region_New__c=US Large Enterprise DI &amp; Mexico, SubRegion__c=US DI LE NN TM &amp; PS West}</t>
  </si>
  <si>
    <t>a0pVT00000CpyHoYAJ</t>
  </si>
  <si>
    <t>{attributes={type=Account, url=/services/data/v62.0/sobjects/Account/0018000000P0kPyAAJ}, PS_Sub_Region__c=Healthcare LE, Industry=Acute Hospital / Health System, PS_Region_New__c=US Healthcare, Name=Kootenai Health, Inc. dba Kootenai Health, SubRegion__c=US Healthcare LE CB West}</t>
  </si>
  <si>
    <t>a0pVT00000Cq7xmYAB</t>
  </si>
  <si>
    <t>{Industry=Professional Services, SubRegion__c=Germany LE NN 3, PS_Sub_Region__c=Germany LE, attributes={url=/services/data/v62.0/sobjects/Account/0018000000shOfvAAE, type=Account}, Name=Leadec Holding BV &amp; Co. KG, PS_Region_New__c=DACH}</t>
  </si>
  <si>
    <t>a0pVT00000CpvQNYAZ</t>
  </si>
  <si>
    <t>{PS_Sub_Region__c=null, Name=Reyes Holdings, L.L.C., SubRegion__c=null, PS_Region_New__c=null, Industry=Food &amp; Drug, attributes={url=/services/data/v62.0/sobjects/Account/0018000000PKPjxAAH, type=Account}}</t>
  </si>
  <si>
    <t>a0pVT00000CpyMcYAJ</t>
  </si>
  <si>
    <t>{Name=CTCA Shared Services, Inc., PS_Sub_Region__c=Healthcare LE, Industry=Acute Hospital / Health System, SubRegion__c=US Healthcare LE CB West, PS_Region_New__c=US Healthcare, attributes={type=Account, url=/services/data/v62.0/sobjects/Account/0018000000PieZbAAJ}}</t>
  </si>
  <si>
    <t>a0pVT00000Cpr9sYAB</t>
  </si>
  <si>
    <t>{Industry=Acute Hospital / Health System, Name=Steward Health Care System, LLC, PS_Region_New__c=US Healthcare, SubRegion__c=US Healthcare Majors NN, attributes={type=Account, url=/services/data/v62.0/sobjects/Account/0018000000PlKzdAAF}, PS_Sub_Region__c=Healthcare Majors NN}</t>
  </si>
  <si>
    <t>a0pVT00000Cq5HfYAJ</t>
  </si>
  <si>
    <t>{Name=Par Pacific Holdings, Industry=Oil &amp; Gas, PS_Region_New__c=US Medium Enterprise DI, SubRegion__c=US DI ME NN MFG South, attributes={url=/services/data/v62.0/sobjects/Account/0018000000Qxq3xAAB, type=Account}, PS_Sub_Region__c=ME NN MFG}</t>
  </si>
  <si>
    <t>DeploymentsMeta ID (old)</t>
  </si>
  <si>
    <t>Delivery Director</t>
  </si>
  <si>
    <t>a0pVT00000Cq3kVYAR</t>
  </si>
  <si>
    <t>Match Strategy</t>
  </si>
  <si>
    <t>Current ID (new)</t>
  </si>
  <si>
    <t>Current Account Name</t>
  </si>
  <si>
    <t>a0r4X00000ETVsi</t>
  </si>
  <si>
    <t>{PS_Sub_Region__c=ME NN RHT East, SubRegion__c=US DI ME NN RHT Northeast, Industry=Restaurant &amp; Food Service, PS_Region_New__c=US Medium Enterprise DI, attributes={type=Account, url=/services/data/v62.0/sobjects/Account/0018000000ukUPfAAM}, Name=American Food &amp; Vending Corporation}</t>
  </si>
  <si>
    <t>first 15 chars</t>
  </si>
  <si>
    <t>a0r4X00000CrTG7</t>
  </si>
  <si>
    <t>a0r4X00000CrWKH</t>
  </si>
  <si>
    <t>a0r4X00000DCHGz</t>
  </si>
  <si>
    <t>a0pVT00000Cq957YAB</t>
  </si>
  <si>
    <t>a0r4X00000ETVjq</t>
  </si>
  <si>
    <t>{attributes={url=/services/data/v62.0/sobjects/Account/0018000000ukUPfAAM, type=Account}, Industry=Restaurant &amp; Food Service, PS_Sub_Region__c=ME NN RHT East, Name=American Food &amp; Vending Corporation, SubRegion__c=US DI ME NN RHT Northeast, PS_Region_New__c=US Medium Enterprise DI}</t>
  </si>
  <si>
    <t>a0r4X00000DbLU9</t>
  </si>
  <si>
    <t>a0r1B00000BdaDX</t>
  </si>
  <si>
    <t>a0rVT00000M1dib</t>
  </si>
  <si>
    <t>a0pVT00000Cq7swYAB</t>
  </si>
  <si>
    <t>a0rVT00000PsEKY</t>
  </si>
  <si>
    <t>{SubRegion__c=US DI ME NN RHT Northeast, attributes={type=Account, url=/services/data/v62.0/sobjects/Account/0018000000ukUPfAAM}, Name=American Food &amp; Vending Corporation, PS_Sub_Region__c=ME NN RHT East, Industry=Restaurant &amp; Food Service, PS_Region_New__c=US Medium Enterprise DI}</t>
  </si>
  <si>
    <t>a0r4X00000E14Ig</t>
  </si>
  <si>
    <t>a0rVT00000Q3kFd</t>
  </si>
  <si>
    <t>a0rVT00000Osmhl</t>
  </si>
  <si>
    <t>a0rVT00000rSgrf</t>
  </si>
  <si>
    <t>a0pVT00000Cq96jYAB</t>
  </si>
  <si>
    <t>a0rVT00000Q8bBV</t>
  </si>
  <si>
    <t>{Name=American Food &amp; Vending Corporation, attributes={type=Account, url=/services/data/v62.0/sobjects/Account/0018000000ukUPfAAM}, PS_Sub_Region__c=ME NN RHT East, Industry=Restaurant &amp; Food Service, SubRegion__c=US DI ME NN RHT Northeast, PS_Region_New__c=US Medium Enterprise DI}</t>
  </si>
  <si>
    <t>a0r4X00000CrVZu</t>
  </si>
  <si>
    <t>a0rVT00000nJPeX</t>
  </si>
  <si>
    <t>a0pVT00000Cq98LYAR</t>
  </si>
  <si>
    <t>a0rVT00000Prglz</t>
  </si>
  <si>
    <t>{Industry=Restaurant &amp; Food Service, Name=American Food &amp; Vending Corporation, PS_Region_New__c=US Medium Enterprise DI, SubRegion__c=US DI ME NN RHT Northeast, attributes={type=Account, url=/services/data/v62.0/sobjects/Account/0018000000ukUPfAAM}, PS_Sub_Region__c=ME NN RHT East}</t>
  </si>
  <si>
    <t>a0rVT00000PtYNd</t>
  </si>
  <si>
    <t>a0rVT00000kgQEy</t>
  </si>
  <si>
    <t>a0rVT00000SZiW0</t>
  </si>
  <si>
    <t>a0pVT00000Cpp1bYAB</t>
  </si>
  <si>
    <t>a0rVT00000ecFQQ</t>
  </si>
  <si>
    <t>a0rVT00000mlAI7</t>
  </si>
  <si>
    <t>{PS_Region_New__c=US Medium Enterprise DI, attributes={url=/services/data/v62.0/sobjects/Account/0018000000ukUPfAAM, type=Account}, SubRegion__c=US DI ME NN RHT Northeast, Name=American Food &amp; Vending Corporation, Industry=Restaurant &amp; Food Service, PS_Sub_Region__c=ME NN RHT East}</t>
  </si>
  <si>
    <t>a0r4X00000ETWIb</t>
  </si>
  <si>
    <t>a0rVT00000PgySn</t>
  </si>
  <si>
    <t>a0pVT00000CpqKGYAZ</t>
  </si>
  <si>
    <t>{Name=Energy Transfer LP By: LE GP, LLC, its General Partner, PS_Region_New__c=US Large Enterprise DI &amp; Mexico, attributes={url=/services/data/v62.0/sobjects/Account/0018000000RgWyOAAV, type=Account}, Industry=Oil &amp; Gas, SubRegion__c=US DI LE CB MFG South, PS_Sub_Region__c=Diversified Industries LE CB MFG}</t>
  </si>
  <si>
    <t>a0pVT00000Cq1M7YAJ</t>
  </si>
  <si>
    <t>{SubRegion__c=US DI LE CB TM &amp; PS Northwest, Name=T-Mobile USA, Inc., PS_Sub_Region__c=Diversified Industries LE CB TM &amp; PS, Industry=Telecom, attributes={type=Account, url=/services/data/v62.0/sobjects/Account/0018000000RiQJ3AAN}, PS_Region_New__c=US Large Enterprise DI &amp; Mexico}</t>
  </si>
  <si>
    <t>a0pVT00000Cq4VHYAZ</t>
  </si>
  <si>
    <t>{PS_Sub_Region__c=Diversified Industries LE CB TM &amp; PS, attributes={url=/services/data/v62.0/sobjects/Account/0018000000RiQJ3AAN, type=Account}, Name=T-Mobile USA, Inc., Industry=Telecom, PS_Region_New__c=US Large Enterprise DI &amp; Mexico, SubRegion__c=US DI LE CB TM &amp; PS Northwest}</t>
  </si>
  <si>
    <t>a0pVT00000CpzVcYAJ</t>
  </si>
  <si>
    <t>{attributes={url=/services/data/v62.0/sobjects/Account/0018000001WMGoxAAH, type=Account}, SubRegion__c=US DI ME NN PBS Southeast, PS_Region_New__c=US Medium Enterprise DI, Name=One Touch Direct, LLC, PS_Sub_Region__c=ME NN PBS, Industry=Professional Services}</t>
  </si>
  <si>
    <t>a0pVT00000Cq160YAB</t>
  </si>
  <si>
    <t>{PS_Region_New__c=US FSI, Industry=Insurance, SubRegion__c=US FSI LE East, attributes={url=/services/data/v62.0/sobjects/Account/0018000000S1t6zAAB, type=Account}, Name=AAA Northeast, PS_Sub_Region__c=FSI LE}</t>
  </si>
  <si>
    <t>a0pVT00000CpvTcYAJ</t>
  </si>
  <si>
    <t>0018000000SV5gNAAT</t>
  </si>
  <si>
    <t>{Industry=Health Insurance, Name=BlueCross BlueShield of Tennessee, Inc., PS_Region_New__c=US Healthcare, SubRegion__c=US Healthcare Payor, PS_Sub_Region__c=Healthcare ME, attributes={type=Account, url=/services/data/v62.0/sobjects/Account/0018000000SV5gNAAT}}</t>
  </si>
  <si>
    <t>a0pVT00000Cq2jaYAB</t>
  </si>
  <si>
    <t>{PS_Sub_Region__c=Healthcare ME, SubRegion__c=US Healthcare Payor, attributes={url=/services/data/v62.0/sobjects/Account/0018000000SV5gNAAT, type=Account}, Name=BlueCross BlueShield of Tennessee, Inc., PS_Region_New__c=US Healthcare, Industry=Health Insurance}</t>
  </si>
  <si>
    <t>a0pVT00000CqAdtYAF</t>
  </si>
  <si>
    <t>{attributes={type=Account, url=/services/data/v62.0/sobjects/Account/0018000001WMH6FAAX}, PS_Region_New__c=US Healthcare, SubRegion__c=US Healthcare ME NN West, Industry=Post Acute, Name=La Posada At Park Centre, Inc., PS_Sub_Region__c=Healthcare ME}</t>
  </si>
  <si>
    <t>a0pVT00000Cq1NjYAJ</t>
  </si>
  <si>
    <t>001VT00000b2ooFYAQ</t>
  </si>
  <si>
    <t>{PS_Sub_Region__c=Higher Education LE, Industry=Non-Profit, attributes={url=/services/data/v62.0/sobjects/Account/001VT00000b2ooFYAQ, type=Account}, SubRegion__c=US NFP NN West, Name=Buckner Retirement Services, PS_Region_New__c=US SLED}</t>
  </si>
  <si>
    <t>a0pVT00000Cq6teYAB</t>
  </si>
  <si>
    <t>{PS_Region_New__c=Canada, Industry=Materials, Name=Canfor Corporation, SubRegion__c=Canada DI LE West, PS_Sub_Region__c=Canada DI LE West, attributes={type=Account, url=/services/data/v62.0/sobjects/Account/0018000000T9AJ7AAN}}</t>
  </si>
  <si>
    <t>a0pVT00000Cpr9vYAB</t>
  </si>
  <si>
    <t>{PS_Region_New__c=US SLED, Name=Broward House, SubRegion__c=US NFP NN East, Industry=Non-Profit, PS_Sub_Region__c=Higher Education LE, attributes={url=/services/data/v62.0/sobjects/Account/001VT00000b2hd6YAA, type=Account}}</t>
  </si>
  <si>
    <t>a0pVT00000CpzfGYAR</t>
  </si>
  <si>
    <t>{attributes={type=Account, url=/services/data/v62.0/sobjects/Account/0018000000TjrYvAAJ}, PS_Sub_Region__c=FSI ME CB, SubRegion__c=US FSI ME CB Northeast 2, Name=Members 1st Federal Credit Union, Industry=Banking &amp; Capital Markets, PS_Region_New__c=US FSI}</t>
  </si>
  <si>
    <t>a0pVT00000CpnsdYAB</t>
  </si>
  <si>
    <t>0018000000ULAhvAAH</t>
  </si>
  <si>
    <t>{PS_Region_New__c=UKI, SubRegion__c=UKI Majors CB, Industry=Consumer Goods, Name=Diageo Great Britain Limited, PS_Sub_Region__c=UKI CB Majors, attributes={type=Account, url=/services/data/v62.0/sobjects/Account/0018000000ULAhvAAH}}</t>
  </si>
  <si>
    <t>a0pVT00000Cq7phYAB</t>
  </si>
  <si>
    <t>{PS_Region_New__c=UKI, Name=Diageo Great Britain Limited, attributes={type=Account, url=/services/data/v62.0/sobjects/Account/0018000000ULAhvAAH}, SubRegion__c=UKI Majors CB, PS_Sub_Region__c=UKI CB Majors, Industry=Consumer Goods}</t>
  </si>
  <si>
    <t>a0pVT00000CpnseYAB</t>
  </si>
  <si>
    <t>0018000000ULAiLAAX</t>
  </si>
  <si>
    <t>{PS_Region_New__c=UKI, attributes={type=Account, url=/services/data/v62.0/sobjects/Account/0018000000ULAiLAAX}, SubRegion__c=UKI RHT LE CB, Name=FirstBus Holdings Limited, PS_Sub_Region__c=UKI RHT, Industry=Transit Systems}</t>
  </si>
  <si>
    <t>Override_Health</t>
  </si>
  <si>
    <t>Override_MTPDate</t>
  </si>
  <si>
    <t>Override_Stage</t>
  </si>
  <si>
    <t>Override_Account</t>
  </si>
  <si>
    <t>a0pVT00000CptmkYAB</t>
  </si>
  <si>
    <t>Override_Deployment</t>
  </si>
  <si>
    <t>Override_CurrentUpdate</t>
  </si>
  <si>
    <t>Exclude_From_Report</t>
  </si>
  <si>
    <t>LastEditedBy</t>
  </si>
  <si>
    <t>LastEditedAt</t>
  </si>
  <si>
    <t>{Name=FirstBus Holdings Limited, PS_Region_New__c=UKI, attributes={url=/services/data/v62.0/sobjects/Account/0018000000ULAiLAAX, type=Account}, Industry=Transit Systems, SubRegion__c=UKI RHT LE CB, PS_Sub_Region__c=UKI RHT}</t>
  </si>
  <si>
    <t>Classification</t>
  </si>
  <si>
    <t>Reason</t>
  </si>
  <si>
    <t>a0pVT00000CpsYwYAJ</t>
  </si>
  <si>
    <t>{Industry=Softlines, PS_Sub_Region__c=Diversified Industries LE CB RHT, Name=The William Carter Company, SubRegion__c=US DI LE CB RHT Southeast, PS_Region_New__c=US Large Enterprise DI &amp; Mexico, attributes={url=/services/data/v62.0/sobjects/Account/0018000000UgXWyAAN, type=Account}}</t>
  </si>
  <si>
    <t>a0pVT00000CplXWYAZ</t>
  </si>
  <si>
    <t>{PS_Sub_Region__c=Diversified Industries LE CB RHT, Name=The William Carter Company, attributes={url=/services/data/v62.0/sobjects/Account/0018000000UgXWyAAN, type=Account}, PS_Region_New__c=US Large Enterprise DI &amp; Mexico, SubRegion__c=US DI LE CB RHT Southeast, Industry=Softlines}</t>
  </si>
  <si>
    <t>a0pVT00000Cq25GYAR</t>
  </si>
  <si>
    <t>{Industry=Softlines, SubRegion__c=US DI LE CB RHT Southeast, PS_Sub_Region__c=Diversified Industries LE CB RHT, PS_Region_New__c=US Large Enterprise DI &amp; Mexico, attributes={url=/services/data/v62.0/sobjects/Account/0018000000UgXWyAAN, type=Account}, Name=The William Carter Company}</t>
  </si>
  <si>
    <t>a0pVT00000Cq6nCYAR</t>
  </si>
  <si>
    <t>{attributes={type=Account, url=/services/data/v62.0/sobjects/Account/0018000000UgXWyAAN}, Industry=Softlines, Name=The William Carter Company, PS_Region_New__c=US Large Enterprise DI &amp; Mexico, SubRegion__c=US DI LE CB RHT Southeast, PS_Sub_Region__c=Diversified Industries LE CB RHT}</t>
  </si>
  <si>
    <t>a0pVT00000Cq7rJYAR</t>
  </si>
  <si>
    <t>{SubRegion__c=US DI LE CB MFG Northeast, Name=Global Partners LP, attributes={url=/services/data/v62.0/sobjects/Account/0018000000WcGbsAAF, type=Account}, PS_Region_New__c=US Large Enterprise DI &amp; Mexico, Industry=Oil &amp; Gas, PS_Sub_Region__c=Diversified Industries LE CB MFG}</t>
  </si>
  <si>
    <t>a0pVT00000CppJMYAZ</t>
  </si>
  <si>
    <t>{PS_Region_New__c=US Large Enterprise DI &amp; Mexico, Name=Global Partners LP, attributes={url=/services/data/v62.0/sobjects/Account/0018000000WcGbsAAF, type=Account}, PS_Sub_Region__c=Diversified Industries LE CB MFG, Industry=Oil &amp; Gas, SubRegion__c=US DI LE CB MFG Northeast}</t>
  </si>
  <si>
    <t>a0pVT00000Cq3vmYAB</t>
  </si>
  <si>
    <t>{attributes={url=/services/data/v62.0/sobjects/Account/0018000000WcGbsAAF, type=Account}, Industry=Oil &amp; Gas, PS_Region_New__c=US Large Enterprise DI &amp; Mexico, Name=Global Partners LP, SubRegion__c=US DI LE CB MFG Northeast, PS_Sub_Region__c=Diversified Industries LE CB MFG}</t>
  </si>
  <si>
    <t>a0pVT00000CpyPsYAJ</t>
  </si>
  <si>
    <t>{PS_Region_New__c=US Healthcare, Name=Platinum Supplemental Insurance, attributes={url=/services/data/v62.0/sobjects/Account/001VT00000WggN0YAJ, type=Account}, PS_Sub_Region__c=Healthcare ME, SubRegion__c=US Healthcare Payor, Industry=Health Insurance}</t>
  </si>
  <si>
    <t>a0pVT00000Cq6yWYAR</t>
  </si>
  <si>
    <t>{PS_Region_New__c=US Healthcare, SubRegion__c=US Healthcare Payor, PS_Sub_Region__c=Healthcare ME, Industry=Health Insurance, attributes={url=/services/data/v62.0/sobjects/Account/001VT00000WggN0YAJ, type=Account}, Name=Platinum Supplemental Insurance}</t>
  </si>
  <si>
    <t>a0pVT00000CpoOvYAJ</t>
  </si>
  <si>
    <t>{PS_Region_New__c=US Healthcare, Name=Platinum Supplemental Insurance, SubRegion__c=US Healthcare Payor, PS_Sub_Region__c=Healthcare ME, attributes={type=Account, url=/services/data/v62.0/sobjects/Account/001VT00000WggN0YAJ}, Industry=Health Insurance}</t>
  </si>
  <si>
    <t>a0pVT00000Cq8lmYAB</t>
  </si>
  <si>
    <t>{PS_Sub_Region__c=Healthcare ME, Industry=Health Insurance, Name=Platinum Supplemental Insurance, PS_Region_New__c=US Healthcare, attributes={type=Account, url=/services/data/v62.0/sobjects/Account/001VT00000WggN0YAJ}, SubRegion__c=US Healthcare Payor}</t>
  </si>
  <si>
    <t>a0pVT00000Cq3feYAB</t>
  </si>
  <si>
    <t>{Industry=State &amp; Local Government, PS_Sub_Region__c=Local Government ME, attributes={type=Account, url=/services/data/v62.0/sobjects/Account/0018000000Wsn5uAAB}, PS_Region_New__c=US SLED, SubRegion__c=US Local Gov ME CB, Name=City of Littleton}</t>
  </si>
  <si>
    <t>a0pVT00000CptV1YAJ</t>
  </si>
  <si>
    <t>{attributes={url=/services/data/v62.0/sobjects/Account/0018000000Wsp3pAAB, type=Account}, SubRegion__c=US Higher Ed LE East, PS_Region_New__c=US SLED, PS_Sub_Region__c=Higher Education LE, Industry=Higher Education, Name=Rutgers University-New Brunswick}</t>
  </si>
  <si>
    <t>a0pVT00000Cpb8JYAR</t>
  </si>
  <si>
    <t>{PS_Sub_Region__c=Higher Education LE, Industry=Higher Education, SubRegion__c=US Higher Ed LE West, attributes={type=Account, url=/services/data/v62.0/sobjects/Account/0018000000Wsp7KAAR}, PS_Region_New__c=US SLED, Name=University of California, San Diego}</t>
  </si>
  <si>
    <t>a0pVT00000Cpw0MYAR</t>
  </si>
  <si>
    <t>{attributes={type=Account, url=/services/data/v62.0/sobjects/Account/0018000000Wsp8JAAR}, Name=University of New Mexico, PS_Sub_Region__c=Higher Education LE, SubRegion__c=US Higher Ed LE West, Industry=Higher Education, PS_Region_New__c=US SLED}</t>
  </si>
  <si>
    <t>a0pVT00000Cpv0YYAR</t>
  </si>
  <si>
    <t>{SubRegion__c=US Higher Ed ME NN West, PS_Sub_Region__c=Higher Education ME, attributes={url=/services/data/v62.0/sobjects/Account/00180000016nXTXAA2, type=Account}, Industry=Higher Education, PS_Region_New__c=US SLED, Name=Lake Tahoe Community College}</t>
  </si>
  <si>
    <t>a0pVT00000Cq6yVYAR</t>
  </si>
  <si>
    <t>{attributes={type=Account, url=/services/data/v62.0/sobjects/Account/0018000000Wtz26AAB}, PS_Sub_Region__c=Local Government LE, Industry=State &amp; Local Government, Name=Pima County, PS_Region_New__c=US SLED, SubRegion__c=US Local Gov LE CB}</t>
  </si>
  <si>
    <t>a0pVT00000Cq0wIYAR</t>
  </si>
  <si>
    <t>{Name=Mountain Shadows, PS_Sub_Region__c=ME Commercial West, attributes={url=/services/data/v62.0/sobjects/Account/001VT00000Nmv0MYAR, type=Account}, SubRegion__c=US DI Commercial NN TOLA, Industry=Lodging &amp; Resorts, PS_Region_New__c=US Medium Enterprise DI}</t>
  </si>
  <si>
    <t>a0pVT00000CpukRYAR</t>
  </si>
  <si>
    <t>{SubRegion__c=US Local Gov LE NN East, Industry=Education (K-12), PS_Sub_Region__c=Local Government LE, Name=Osceola County School District, PS_Region_New__c=US SLED, attributes={url=/services/data/v62.0/sobjects/Account/0018000000Wtz7mAAB, type=Account}}</t>
  </si>
  <si>
    <t>a0pVT00000Cq7svYAB</t>
  </si>
  <si>
    <t>{attributes={url=/services/data/v62.0/sobjects/Account/0018000000ZJUugAAH, type=Account}, PS_Sub_Region__c=UKI Public Services, Name=Aggreko UK Limited, Industry=Oil &amp; Gas, PS_Region_New__c=UKI, SubRegion__c=UKI PS LE CB}</t>
  </si>
  <si>
    <t>a0pVT00000CpzDsYAJ</t>
  </si>
  <si>
    <t>{SubRegion__c=null, PS_Sub_Region__c=UKI FSI, attributes={url=/services/data/v62.0/sobjects/Account/0018000000aNE0KAAW, type=Account}, Industry=Insurance, PS_Region_New__c=UKI, Name=The Royal London Mutual Insurance Society Limited}</t>
  </si>
  <si>
    <t>a0pVT00000Cq7zNYAR</t>
  </si>
  <si>
    <t>{Name=The Royal London Mutual Insurance Society Limited, attributes={url=/services/data/v62.0/sobjects/Account/0018000000aNE0KAAW, type=Account}, PS_Region_New__c=UKI, SubRegion__c=null, Industry=Insurance, PS_Sub_Region__c=UKI FSI}</t>
  </si>
  <si>
    <t>a0pVT00000CpxomYAB</t>
  </si>
  <si>
    <t>{SubRegion__c=US Healthcare LE CB West, Industry=Acute Hospital / Health System, PS_Region_New__c=US Healthcare, PS_Sub_Region__c=Healthcare LE, attributes={type=Account, url=/services/data/v62.0/sobjects/Account/0018000000rNo6xAAC}, Name=Fresno Community Hospital and Medical Center, dba Community Health System}</t>
  </si>
  <si>
    <t>a0pVT00000Cq74xYAB</t>
  </si>
  <si>
    <t>{Industry=Healthcare Manufacturing, PS_Sub_Region__c=Diversified Industries LE NN, attributes={type=Account, url=/services/data/v62.0/sobjects/Account/00180000013goA7AAI}, PS_Region_New__c=US Large Enterprise DI &amp; Mexico, SubRegion__c=US DI LE NN MFG East, Name=Arthrex, Inc.}</t>
  </si>
  <si>
    <t>a0pVT00000Cq9mfYAB</t>
  </si>
  <si>
    <t>{SubRegion__c=US DI LE NN MFG East, attributes={type=Account, url=/services/data/v62.0/sobjects/Account/00180000013goA7AAI}, Industry=Healthcare Manufacturing, Name=Arthrex, Inc., PS_Sub_Region__c=Diversified Industries LE NN, PS_Region_New__c=US Large Enterprise DI &amp; Mexico}</t>
  </si>
  <si>
    <t>a0pVT00000Cq9MtYAJ</t>
  </si>
  <si>
    <t>{Industry=Healthcare Manufacturing, PS_Region_New__c=US Large Enterprise DI &amp; Mexico, Name=Arthrex, Inc., PS_Sub_Region__c=Diversified Industries LE NN, attributes={type=Account, url=/services/data/v62.0/sobjects/Account/00180000013goA7AAI}, SubRegion__c=US DI LE NN MFG East}</t>
  </si>
  <si>
    <t>a0pVT00000Cq4wgYAB</t>
  </si>
  <si>
    <t>{attributes={type=Account, url=/services/data/v62.0/sobjects/Account/0018000001BMuvWAAT}, PS_Region_New__c=US SLED, Name=Opportunity Enterprises, Industry=Non-Profit, SubRegion__c=US NFP NN West, PS_Sub_Region__c=Higher Education LE}</t>
  </si>
  <si>
    <t>a0pVT00000CpoWwYAJ</t>
  </si>
  <si>
    <t>{PS_Region_New__c=US SLED, attributes={type=Account, url=/services/data/v62.0/sobjects/Account/0018000001BMuvWAAT}, PS_Sub_Region__c=Higher Education LE, SubRegion__c=US NFP NN West, Name=Opportunity Enterprises, Industry=Non-Profit}</t>
  </si>
  <si>
    <t>a0pVT00000Cq9WYYAZ</t>
  </si>
  <si>
    <t>{attributes={url=/services/data/v62.0/sobjects/Account/0018000001KdRowAAF, type=Account}, PS_Region_New__c=US Large Enterprise DI &amp; Mexico, SubRegion__c=US DI LE NN TM &amp; PS East, Industry=Software &amp; Platforms, PS_Sub_Region__c=Diversified Industries LE NN, Name=Dynatrace LLC}</t>
  </si>
  <si>
    <t>a0pVT00000CqAKXYA3</t>
  </si>
  <si>
    <t>{Industry=Software &amp; Platforms, SubRegion__c=US DI LE NN TM &amp; PS East, PS_Sub_Region__c=Diversified Industries LE NN, Name=Dynatrace LLC, PS_Region_New__c=US Large Enterprise DI &amp; Mexico, attributes={type=Account, url=/services/data/v62.0/sobjects/Account/0018000001KdRowAAF}}</t>
  </si>
  <si>
    <t>a0pVT00000Cq6KAYAZ</t>
  </si>
  <si>
    <t>{PS_Region_New__c=US Medium Enterprise DI, Name=Express Wash Concepts, Industry=Business Services, PS_Sub_Region__c=ME CB PBS, SubRegion__c=US DI ME CB PBS Northeast, attributes={type=Account, url=/services/data/v62.0/sobjects/Account/001VT00000NEBrGYAX}}</t>
  </si>
  <si>
    <t>a0pVT00000Cq3NxYAJ</t>
  </si>
  <si>
    <t>{PS_Sub_Region__c=ME CB PBS, attributes={url=/services/data/v62.0/sobjects/Account/001VT00000NEBrGYAX, type=Account}, SubRegion__c=US DI ME CB PBS Northeast, Name=Express Wash Concepts, PS_Region_New__c=US Medium Enterprise DI, Industry=Business Services}</t>
  </si>
  <si>
    <t>a0pVT00000CpzNXYAZ</t>
  </si>
  <si>
    <t>{Industry=Auto, PS_Region_New__c=US Large Enterprise DI &amp; Mexico, SubRegion__c=US DI LE NN RHT South, PS_Sub_Region__c=Diversified Industries LE NN, attributes={type=Account, url=/services/data/v62.0/sobjects/Account/0018000000agGiuAAE}, Name=The Friedkin Group, Inc. (Inactive Account)}</t>
  </si>
  <si>
    <t>a0pVT00000Cpq8xYAB</t>
  </si>
  <si>
    <t>{PS_Sub_Region__c=Diversified Industries LE NN, SubRegion__c=US DI LE NN RHT South, Name=The Friedkin Group, Inc. (Inactive Account), attributes={type=Account, url=/services/data/v62.0/sobjects/Account/0018000000agGiuAAE}, PS_Region_New__c=US Large Enterprise DI &amp; Mexico, Industry=Auto}</t>
  </si>
  <si>
    <t>a0pVT00000Cq7D2YAJ</t>
  </si>
  <si>
    <t>{PS_Region_New__c=ASEAN, Industry=Professional Services, SubRegion__c=Singapore NN, PS_Sub_Region__c=Singapore NN, Name=KPMG Services Pte. Ltd., attributes={url=/services/data/v62.0/sobjects/Account/001VT00000b2u0rYAA, type=Account}}</t>
  </si>
  <si>
    <t>a0pVT00000CqBjdYAF</t>
  </si>
  <si>
    <t>{attributes={type=Account, url=/services/data/v62.0/sobjects/Account/001VT00000b2u0rYAA}, SubRegion__c=Singapore NN, Industry=Professional Services, PS_Region_New__c=ASEAN, Name=KPMG Services Pte. Ltd., PS_Sub_Region__c=Singapore NN}</t>
  </si>
  <si>
    <t>a0pVT00000Cq5O8YAJ</t>
  </si>
  <si>
    <t>{PS_Sub_Region__c=ANZ AU LE, Name=BHP Billiton Ltd., SubRegion__c=ANZ AU LE NN, attributes={type=Account, url=/services/data/v62.0/sobjects/Account/0018000000cZ57iAAC}, Industry=Diversified Metals and Mining, PS_Region_New__c=ANZ}</t>
  </si>
  <si>
    <t>a0pVT00000Cpl2pYAB</t>
  </si>
  <si>
    <t>{PS_Sub_Region__c=Diversified Industries LE NN, SubRegion__c=US DI LE NN RHT West, attributes={type=Account, url=/services/data/v62.0/sobjects/Account/0018000000dNtBkAAK}, PS_Region_New__c=US Large Enterprise DI &amp; Mexico, Name=Love's Travel Stops &amp; Country Stores, Inc., Industry=Food &amp; Drug}</t>
  </si>
  <si>
    <t>a0pVT00000Cq82bYAB</t>
  </si>
  <si>
    <t>{Name=CMH Services, Inc., PS_Sub_Region__c=Diversified Industries LE CB MFG, Industry=Architecture, Engineering &amp; Construction, PS_Region_New__c=US Large Enterprise DI &amp; Mexico, attributes={url=/services/data/v62.0/sobjects/Account/0018000000dRBo2AAG, type=Account}, SubRegion__c=US DI LE CB MFG South}</t>
  </si>
  <si>
    <t>Override_GoLiveDate</t>
  </si>
  <si>
    <t>Override_Partner</t>
  </si>
  <si>
    <t>a0pVT00000Cpr8FYAR</t>
  </si>
  <si>
    <t>{Name=KLLM Transport Services, Inc., SubRegion__c=US DI LE NN RHT South, attributes={url=/services/data/v62.0/sobjects/Account/0018000000dRKdcAAG, type=Account}, PS_Region_New__c=US Large Enterprise DI &amp; Mexico, PS_Sub_Region__c=Diversified Industries LE NN, Industry=Land and Rail Transportation and Freight}</t>
  </si>
  <si>
    <t>ID</t>
  </si>
  <si>
    <t>DD Notes</t>
  </si>
  <si>
    <t>a0pVT00000Cq85pYAB</t>
  </si>
  <si>
    <t>{PS_Region_New__c=US Large Enterprise DI &amp; Mexico, SubRegion__c=US DI LE NN RHT South, Name=Compass Group USA, Inc., Industry=Restaurant &amp; Food Service, PS_Sub_Region__c=Diversified Industries LE NN, attributes={url=/services/data/v62.0/sobjects/Account/0018000000eMPv4AAG, type=Account}}</t>
  </si>
  <si>
    <t>a0pVT00000Cq87RYAR</t>
  </si>
  <si>
    <t>{SubRegion__c=US DI LE NN RHT South, PS_Region_New__c=US Large Enterprise DI &amp; Mexico, Name=Compass Group USA, Inc., Industry=Restaurant &amp; Food Service, attributes={url=/services/data/v62.0/sobjects/Account/0018000000eMPv4AAG, type=Account}, PS_Sub_Region__c=Diversified Industries LE NN}</t>
  </si>
  <si>
    <t>a0pVT00000Cpo3uYAB</t>
  </si>
  <si>
    <t>{PS_Sub_Region__c=Diversified Industries LE NN, SubRegion__c=US DI LE NN RHT South, Name=Compass Group USA, Inc., Industry=Restaurant &amp; Food Service, attributes={url=/services/data/v62.0/sobjects/Account/0018000000eMPv4AAG, type=Account}, PS_Region_New__c=US Large Enterprise DI &amp; Mexico}</t>
  </si>
  <si>
    <t>a0pVT00000CptzfYAB</t>
  </si>
  <si>
    <t>{Industry=Restaurant &amp; Food Service, PS_Region_New__c=US Large Enterprise DI &amp; Mexico, Name=Compass Group USA, Inc., SubRegion__c=US DI LE NN RHT South, attributes={url=/services/data/v62.0/sobjects/Account/0018000000eMPv4AAG, type=Account}, PS_Sub_Region__c=Diversified Industries LE NN}</t>
  </si>
  <si>
    <t>a0pVT00000CppzGYAR</t>
  </si>
  <si>
    <t>{Industry=Restaurant &amp; Food Service, Name=Compass Group USA, Inc., PS_Region_New__c=US Large Enterprise DI &amp; Mexico, SubRegion__c=US DI LE NN RHT South, PS_Sub_Region__c=Diversified Industries LE NN, attributes={url=/services/data/v62.0/sobjects/Account/0018000000eMPv4AAG, type=Account}}</t>
  </si>
  <si>
    <t>a0pVT00000CpwXjYAJ</t>
  </si>
  <si>
    <t>{PS_Region_New__c=US Healthcare, Name=AHS Management Company, Inc., attributes={url=/services/data/v62.0/sobjects/Account/0018000000esTY1AAM, type=Account}, Industry=Acute Hospital / Health System, SubRegion__c=US Healthcare LE CB Central, PS_Sub_Region__c=Healthcare LE}</t>
  </si>
  <si>
    <t>a0pVT00000Cq8AfYAJ</t>
  </si>
  <si>
    <t>{PS_Region_New__c=US Large Enterprise DI &amp; Mexico, attributes={url=/services/data/v62.0/sobjects/Account/0018000000euZRxAAM, type=Account}, Name=Aristocrat Technologies, Inc., PS_Sub_Region__c=Diversified Industries LE CB TM &amp; PS, Industry=Other Retail, SubRegion__c=US DI LE CB TM &amp; PS Central}</t>
  </si>
  <si>
    <t>a0pVT00000Cpyo2YAB</t>
  </si>
  <si>
    <t>{PS_Region_New__c=US SLED, Name=Dade County School District, attributes={url=/services/data/v62.0/sobjects/Account/0018000000kuQgpAAE, type=Account}, Industry=Education (K-12), PS_Sub_Region__c=Local Government LE, SubRegion__c=US Local Gov LE NN East}</t>
  </si>
  <si>
    <t>a0pVT00000CpnfjYAB</t>
  </si>
  <si>
    <t>0018000000fi9UXAAY</t>
  </si>
  <si>
    <t>{PS_Region_New__c=US Healthcare, SubRegion__c=US Healthcare LE NN West, attributes={type=Account, url=/services/data/v62.0/sobjects/Account/0018000000fi9UXAAY}, PS_Sub_Region__c=Healthcare LE, Industry=Acute Hospital / Health System, Name=City of Hope incorporated}</t>
  </si>
  <si>
    <t>a0pVT00000Cq8DtYAJ</t>
  </si>
  <si>
    <t>{PS_Region_New__c=US FSI, SubRegion__c=US FSI ME CB South, attributes={type=Account, url=/services/data/v62.0/sobjects/Account/0018000000hEV60AAG}, PS_Sub_Region__c=FSI ME CB, Industry=Investment Management, Name=ORIX Corporation USA}</t>
  </si>
  <si>
    <t>a0pVT00000CpvdGYAR</t>
  </si>
  <si>
    <t>{Name=ORIX Corporation USA, PS_Region_New__c=US FSI, SubRegion__c=US FSI ME CB South, attributes={url=/services/data/v62.0/sobjects/Account/0018000000hEV60AAG, type=Account}, PS_Sub_Region__c=FSI ME CB, Industry=Investment Management}</t>
  </si>
  <si>
    <t>a0pVT00000Cq6IYYAZ</t>
  </si>
  <si>
    <t>{Name=Valley Children's Healthcare, PS_Region_New__c=US Healthcare, Industry=Acute Hospital / Health System, attributes={type=Account, url=/services/data/v62.0/sobjects/Account/0018000000rNnrYAAS}, SubRegion__c=US Healthcare LE CB West, PS_Sub_Region__c=Healthcare LE}</t>
  </si>
  <si>
    <t>a0pVT00000Cpsh0YAB</t>
  </si>
  <si>
    <t>{Industry=Acute Hospital / Health System, PS_Sub_Region__c=Healthcare Majors NN, PS_Region_New__c=US Healthcare, SubRegion__c=US Healthcare Majors NN, attributes={type=Account, url=/services/data/v62.0/sobjects/Account/0018000000iTJ0AAAW}, Name=CHRISTUS Health}</t>
  </si>
  <si>
    <t>a0pVT00000Cq8FVYAZ</t>
  </si>
  <si>
    <t>{SubRegion__c=US Healthcare Majors NN, attributes={url=/services/data/v62.0/sobjects/Account/0018000000iTJ0AAAW, type=Account}, PS_Region_New__c=US Healthcare, Name=CHRISTUS Health, PS_Sub_Region__c=Healthcare Majors NN, Industry=Acute Hospital / Health System}</t>
  </si>
  <si>
    <t>a0pVT00000Cq4iCYAR</t>
  </si>
  <si>
    <t>{attributes={url=/services/data/v62.0/sobjects/Account/0018000000mKwxKAAS, type=Account}, PS_Region_New__c=US Large Enterprise DI &amp; Mexico, Industry=Business Services, SubRegion__c=US DI LE CB TM &amp; PS Midwest, Name=Towne Park, LLC, PS_Sub_Region__c=Diversified Industries LE CB TM &amp; PS}</t>
  </si>
  <si>
    <t>a0pVT00000CplAsYAJ</t>
  </si>
  <si>
    <t>{attributes={type=Account, url=/services/data/v62.0/sobjects/Account/0018000000mManiAAC}, PS_Sub_Region__c=Healthcare LE, SubRegion__c=US Healthcare LE CB East, PS_Region_New__c=US Healthcare, Industry=Acute Hospital / Health System, Name=Rochester Regional Health}</t>
  </si>
  <si>
    <t>a0pVT00000CpyZXYAZ</t>
  </si>
  <si>
    <t>{attributes={type=Account, url=/services/data/v62.0/sobjects/Account/0018000000mManiAAC}, Name=Rochester Regional Health, PS_Sub_Region__c=Healthcare LE, PS_Region_New__c=US Healthcare, SubRegion__c=US Healthcare LE CB East, Industry=Acute Hospital / Health System}</t>
  </si>
  <si>
    <t>a0pVT00000Cpq8yYAB</t>
  </si>
  <si>
    <t>{Industry=Acute Hospital / Health System, attributes={url=/services/data/v62.0/sobjects/Account/0018000000mMiSoAAK, type=Account}, SubRegion__c=US Healthcare LE CB Central, PS_Sub_Region__c=Healthcare LE, Name=Essentia Health, PS_Region_New__c=US Healthcare}</t>
  </si>
  <si>
    <t>a0pVT00000CpoVLYAZ</t>
  </si>
  <si>
    <t>{Name=Essentia Health, PS_Region_New__c=US Healthcare, Industry=Acute Hospital / Health System, SubRegion__c=US Healthcare LE CB Central, PS_Sub_Region__c=Healthcare LE, attributes={type=Account, url=/services/data/v62.0/sobjects/Account/0018000000mMiSoAAK}}</t>
  </si>
  <si>
    <t>a0pVT00000CpzH4YAJ</t>
  </si>
  <si>
    <t>{Industry=Acute Hospital / Health System, Name=Essentia Health, PS_Sub_Region__c=Healthcare LE, SubRegion__c=US Healthcare LE CB Central, PS_Region_New__c=US Healthcare, attributes={type=Account, url=/services/data/v62.0/sobjects/Account/0018000000mMiSoAAK}}</t>
  </si>
  <si>
    <t>a0pVT00000CqAvdYAF</t>
  </si>
  <si>
    <t>001VT00000S0FdGYAV</t>
  </si>
  <si>
    <t>{Industry=Business Services, SubRegion__c=US DI Commercial NN Mid-Atlantic, PS_Region_New__c=US Medium Enterprise DI, Name=Sgt Clean's Car Wash, PS_Sub_Region__c=ME Commercial East, attributes={url=/services/data/v62.0/sobjects/Account/001VT00000S0FdGYAV, type=Account}}</t>
  </si>
  <si>
    <t>a0pVT00000Cq8qcYAB</t>
  </si>
  <si>
    <t>{attributes={url=/services/data/v62.0/sobjects/Account/001VT00000S0FdGYAV, type=Account}, PS_Sub_Region__c=ME Commercial East, Name=Sgt Clean's Car Wash, SubRegion__c=US DI Commercial NN Mid-Atlantic, PS_Region_New__c=US Medium Enterprise DI, Industry=Business Services}</t>
  </si>
  <si>
    <t>a0pVT00000Cq0zWYAR</t>
  </si>
  <si>
    <t>{PS_Sub_Region__c=ME Commercial East, Industry=Business Services, attributes={type=Account, url=/services/data/v62.0/sobjects/Account/001VT00000S0FdGYAV}, SubRegion__c=US DI Commercial NN Mid-Atlantic, Name=Sgt Clean's Car Wash, PS_Region_New__c=US Medium Enterprise DI}</t>
  </si>
  <si>
    <t>a0pVT00000CpqYnYAJ</t>
  </si>
  <si>
    <t>{Name=Sgt Clean's Car Wash, Industry=Business Services, PS_Region_New__c=US Medium Enterprise DI, SubRegion__c=US DI Commercial NN Mid-Atlantic, PS_Sub_Region__c=ME Commercial East, attributes={type=Account, url=/services/data/v62.0/sobjects/Account/001VT00000S0FdGYAV}}</t>
  </si>
  <si>
    <t>a0pVT00000CptGUYAZ</t>
  </si>
  <si>
    <t>{attributes={url=/services/data/v62.0/sobjects/Account/0018000000nlnwEAAQ, type=Account}, PS_Sub_Region__c=Netherlands, Industry=Banking &amp; Capital Markets, SubRegion__c=Netherlands LE CB, PS_Region_New__c=EMEA North, Name=Coöperatieve Rabobank U.A}</t>
  </si>
  <si>
    <t>a0pVT00000CpoVMYAZ</t>
  </si>
  <si>
    <t>{Name=Westchester County Health Care Corporation d/b/a Westchester Medical Center Health Network, PS_Region_New__c=US Healthcare, Industry=Acute Hospital / Health System, PS_Sub_Region__c=Healthcare LE, SubRegion__c=US Healthcare LE CB East, attributes={url=/services/data/v62.0/sobjects/Account/0018000000nlyeSAAQ, type=Account}}</t>
  </si>
  <si>
    <t>a0pVT00000CpnB5YAJ</t>
  </si>
  <si>
    <t>0018000001ByjyfAAB</t>
  </si>
  <si>
    <t>{SubRegion__c=US FSI ME CB Northeast 2, Industry=Investment Management, Name=Walker &amp; Dunlop, LLC, PS_Region_New__c=US FSI, attributes={type=Account, url=/services/data/v62.0/sobjects/Account/0018000001ByjyfAAB}, PS_Sub_Region__c=FSI ME CB}</t>
  </si>
  <si>
    <t>a0pVT00000Cq79nYAB</t>
  </si>
  <si>
    <t>{PS_Sub_Region__c=FSI ME NN, SubRegion__c=US FSI ME NN West, attributes={type=Account, url=/services/data/v62.0/sobjects/Account/0018000000ohFmDAAU}, PS_Region_New__c=US FSI, Industry=Banking &amp; Capital Markets, Name=The Golden 1 Credit Union}</t>
  </si>
  <si>
    <t>a0pVT00000Cq643YAB</t>
  </si>
  <si>
    <t>{PS_Region_New__c=US FSI, Name=The Golden 1 Credit Union, SubRegion__c=US FSI ME NN West, Industry=Banking &amp; Capital Markets, PS_Sub_Region__c=FSI ME NN, attributes={url=/services/data/v62.0/sobjects/Account/0018000000ohFmDAAU, type=Account}}</t>
  </si>
  <si>
    <t>a0pVT00000CpxnAYAR</t>
  </si>
  <si>
    <t>{Name=Covenant Aviation Security, LLC, SubRegion__c=US DI ME NN PBS Midwest, PS_Region_New__c=US Medium Enterprise DI, attributes={url=/services/data/v62.0/sobjects/Account/0018000001KdJKpAAN, type=Account}, PS_Sub_Region__c=ME NN PBS, Industry=Business Services}</t>
  </si>
  <si>
    <t>a0pVT00000CpoVNYAZ</t>
  </si>
  <si>
    <t>{PS_Region_New__c=US Medium Enterprise DI, Name=Virgin Cruises Intermediate Limited, attributes={url=/services/data/v62.0/sobjects/Account/0018000001NWKuYAAX, type=Account}, PS_Sub_Region__c=ME CB TM &amp; RHT, Industry=Lodging &amp; Resorts, SubRegion__c=US DI ME CB RHT East}</t>
  </si>
  <si>
    <t>a0pVT00000Cq6tgYAB</t>
  </si>
  <si>
    <t>{attributes={url=/services/data/v62.0/sobjects/Account/0018000000ohFn5AAE, type=Account}, PS_Sub_Region__c=Healthcare LE, Name=TMC Healthcare, PS_Region_New__c=US Healthcare, SubRegion__c=US Healthcare LE NN West, Industry=Acute Hospital / Health System}</t>
  </si>
  <si>
    <t>a0pVT00000Cq8QnYAJ</t>
  </si>
  <si>
    <t>{attributes={type=Account, url=/services/data/v62.0/sobjects/Account/0018000000ohFndAAE}, PS_Region_New__c=US Large Enterprise DI &amp; Mexico, Industry=Food &amp; Drug, SubRegion__c=US DI LE NN MFG East, Name=United Refining Company, PS_Sub_Region__c=Diversified Industries LE NN}</t>
  </si>
  <si>
    <t>a0pVT00000CpyrJYAR</t>
  </si>
  <si>
    <t>{SubRegion__c=US DI LE NN MFG East, PS_Sub_Region__c=Diversified Industries LE NN, attributes={url=/services/data/v62.0/sobjects/Account/0018000000ohFndAAE, type=Account}, Industry=Food &amp; Drug, PS_Region_New__c=US Large Enterprise DI &amp; Mexico, Name=United Refining Company}</t>
  </si>
  <si>
    <t>a0pVT00000CpqwwYAB</t>
  </si>
  <si>
    <t>{Industry=Food &amp; Drug, Name=United Refining Company, PS_Region_New__c=US Large Enterprise DI &amp; Mexico, attributes={type=Account, url=/services/data/v62.0/sobjects/Account/0018000000ohFndAAE}, PS_Sub_Region__c=Diversified Industries LE NN, SubRegion__c=US DI LE NN MFG East}</t>
  </si>
  <si>
    <t>&lt;p&gt;&lt;b&gt;Executive Summary gets pasted here&lt;/b&gt;&lt;/p&gt;&lt;p&gt;&lt;/p&gt;&lt;p&gt;&amp;nbsp;&lt;/p&gt;</t>
  </si>
  <si>
    <t>a0pVT00000Cq2DKYAZ</t>
  </si>
  <si>
    <t>Last updated by: jeffrey.ditty@workday.com</t>
  </si>
  <si>
    <t>Last updated at: 2026-08-31 14:58:33</t>
  </si>
  <si>
    <t>{SubRegion__c=US DI LE NN MFG East, Industry=Food &amp; Drug, Name=United Refining Company, PS_Sub_Region__c=Diversified Industries LE NN, attributes={type=Account, url=/services/data/v62.0/sobjects/Account/0018000000ohFndAAE}, PS_Region_New__c=US Large Enterprise DI &amp; Mexico}</t>
  </si>
  <si>
    <t>a0pVT00000CpmJqYAJ</t>
  </si>
  <si>
    <t>{Industry=Consumer Goods, Name=Bakkavor Fresh Foods Limited, PS_Region_New__c=UKI, SubRegion__c=null, attributes={url=/services/data/v62.0/sobjects/Account/0018000000oj6HlAAI, type=Account}, PS_Sub_Region__c=UKI RHT}</t>
  </si>
  <si>
    <t>a0pVT00000Cpv5QYAR</t>
  </si>
  <si>
    <t>{attributes={url=/services/data/v62.0/sobjects/Account/0018000000oj6HlAAI, type=Account}, SubRegion__c=null, PS_Sub_Region__c=UKI RHT, Name=Bakkavor Fresh Foods Limited, Industry=Consumer Goods, PS_Region_New__c=UKI}</t>
  </si>
  <si>
    <t>a0pVT00000CppsoYAB</t>
  </si>
  <si>
    <t>Health</t>
  </si>
  <si>
    <t>{PS_Sub_Region__c=UKI RHT, SubRegion__c=null, attributes={url=/services/data/v62.0/sobjects/Account/0018000000oj6HlAAI, type=Account}, Industry=Consumer Goods, PS_Region_New__c=UKI, Name=Bakkavor Fresh Foods Limited}</t>
  </si>
  <si>
    <t>Account</t>
  </si>
  <si>
    <t>Current MTP Date</t>
  </si>
  <si>
    <t>a0pVT00000Cq8SPYAZ</t>
  </si>
  <si>
    <t>{Industry=Consumer Goods, PS_Region_New__c=UKI, SubRegion__c=null, PS_Sub_Region__c=UKI RHT, Name=Bakkavor Fresh Foods Limited, attributes={type=Account, url=/services/data/v62.0/sobjects/Account/0018000000oj6HlAAI}}</t>
  </si>
  <si>
    <t>a0pVT00000Cq8U1YAJ</t>
  </si>
  <si>
    <t>{PS_Region_New__c=UKI, SubRegion__c=null, attributes={url=/services/data/v62.0/sobjects/Account/0018000000oj6HlAAI, type=Account}, PS_Sub_Region__c=UKI RHT, Name=Bakkavor Fresh Foods Limited, Industry=Consumer Goods}</t>
  </si>
  <si>
    <t>a0pVT00000CptBgYAJ</t>
  </si>
  <si>
    <t>{Name=NATS Holdings Ltd., SubRegion__c=null, attributes={url=/services/data/v62.0/sobjects/Account/0018000000oj6QnAAI, type=Account}, PS_Region_New__c=UKI, PS_Sub_Region__c=UKI RHT, Industry=Air Transportation}</t>
  </si>
  <si>
    <t>a0pVT00000CpsicYAB</t>
  </si>
  <si>
    <t>{Industry=Air Transportation, PS_Sub_Region__c=UKI RHT, Name=NATS Holdings Ltd., SubRegion__c=null, PS_Region_New__c=UKI, attributes={url=/services/data/v62.0/sobjects/Account/0018000000oj6QnAAI, type=Account}}</t>
  </si>
  <si>
    <t>a0pVT00000Cpy88YAB</t>
  </si>
  <si>
    <t>{Industry=Air Transportation, attributes={url=/services/data/v62.0/sobjects/Account/0018000000oj6QnAAI, type=Account}, PS_Sub_Region__c=UKI RHT, SubRegion__c=null, Name=NATS Holdings Ltd., PS_Region_New__c=UKI}</t>
  </si>
  <si>
    <t>a0pVT00000Cq8XFYAZ</t>
  </si>
  <si>
    <t>0018000000ojP8tAAE</t>
  </si>
  <si>
    <t>{Industry=Healthcare Manufacturing, SubRegion__c=US DI LE NN MFG West, PS_Region_New__c=US Large Enterprise DI &amp; Mexico, attributes={type=Account, url=/services/data/v62.0/sobjects/Account/0018000000ojP8tAAE}, Name=Terumo BCT, PS_Sub_Region__c=Diversified Industries LE NN}</t>
  </si>
  <si>
    <t>a0pVT00000Cq2hzYAB</t>
  </si>
  <si>
    <t>{PS_Sub_Region__c=ME NN MFG, Industry=Consumer Goods, PS_Region_New__c=US Medium Enterprise DI, Name=Johnsonville Sausage, LLC, SubRegion__c=US DI ME NN MFG Midwest, attributes={url=/services/data/v62.0/sobjects/Account/0018000000ok2SiAAI, type=Account}}</t>
  </si>
  <si>
    <t>a0pVT00000Cq5WBYAZ</t>
  </si>
  <si>
    <t>{PS_Region_New__c=HK &amp; TW, Industry=Amusement &amp; Recreation, attributes={type=Account, url=/services/data/v62.0/sobjects/Account/0018000000pPEF8AAO}, PS_Sub_Region__c=Hong Kong LE &amp; CB, SubRegion__c=Hong Kong LE, Name=The Hong Kong Jockey Club}</t>
  </si>
  <si>
    <t>a0pVT00000CqAcIYAV</t>
  </si>
  <si>
    <t>{Name=Border Foods, Inc., PS_Sub_Region__c=Diversified Industries LE NN, Industry=Restaurant &amp; Food Service, attributes={type=Account, url=/services/data/v62.0/sobjects/Account/0018000001bIX3HAAW}, PS_Region_New__c=US Large Enterprise DI &amp; Mexico, SubRegion__c=US DI LE NN RHT West}</t>
  </si>
  <si>
    <t>Health Indicator</t>
  </si>
  <si>
    <t>Total Count</t>
  </si>
  <si>
    <t>Total Pct</t>
  </si>
  <si>
    <t>a0pVT00000CpwcZYAR</t>
  </si>
  <si>
    <t>Visual</t>
  </si>
  <si>
    <t>Prev Month Count</t>
  </si>
  <si>
    <t>Prev Month %</t>
  </si>
  <si>
    <t>MoM Δ%</t>
  </si>
  <si>
    <t>{attributes={url=/services/data/v62.0/sobjects/Account/0018000001bIX3HAAW, type=Account}, Industry=Restaurant &amp; Food Service, PS_Region_New__c=US Large Enterprise DI &amp; Mexico, SubRegion__c=US DI LE NN RHT West, Name=Border Foods, Inc., PS_Sub_Region__c=Diversified Industries LE NN}</t>
  </si>
  <si>
    <t>MoM Trend</t>
  </si>
  <si>
    <t>YTD Count</t>
  </si>
  <si>
    <t>Prev YTD Count</t>
  </si>
  <si>
    <t>YTD Δ%</t>
  </si>
  <si>
    <t>YTD Trend</t>
  </si>
  <si>
    <t>a0pVT00000Cq1lvYAB</t>
  </si>
  <si>
    <t>{Industry=Restaurant &amp; Food Service, Name=Border Foods, Inc., PS_Sub_Region__c=Diversified Industries LE NN, attributes={type=Account, url=/services/data/v62.0/sobjects/Account/0018000001bIX3HAAW}, SubRegion__c=US DI LE NN RHT West, PS_Region_New__c=US Large Enterprise DI &amp; Mexico}</t>
  </si>
  <si>
    <t>#4CAF50</t>
  </si>
  <si>
    <t>a0pVT00000Cq9OYYAZ</t>
  </si>
  <si>
    <t>{PS_Sub_Region__c=Diversified Industries LE NN, attributes={url=/services/data/v62.0/sobjects/Account/0018000001bIX3HAAW, type=Account}, Industry=Restaurant &amp; Food Service, Name=Border Foods, Inc., PS_Region_New__c=US Large Enterprise DI &amp; Mexico, SubRegion__c=US DI LE NN RHT West}</t>
  </si>
  <si>
    <t>a0pVT00000Cpp1aYAB</t>
  </si>
  <si>
    <t>{SubRegion__c=US DI LE NN RHT South, attributes={type=Account, url=/services/data/v62.0/sobjects/Account/0018000000pLq1nAAC}, PS_Sub_Region__c=Diversified Industries LE NN, Industry=Restaurant &amp; Food Service, Name=Vistar Corporate, PS_Region_New__c=US Large Enterprise DI &amp; Mexico}</t>
  </si>
  <si>
    <t>a0pVT00000CpyuWYAR</t>
  </si>
  <si>
    <t>0018000001C0ptUAAR</t>
  </si>
  <si>
    <t>{SubRegion__c=US FSI ME NN Northeast, PS_Sub_Region__c=FSI ME NN, Name=Tradeweb Markets LLC, Industry=Investment Management, PS_Region_New__c=US FSI, attributes={url=/services/data/v62.0/sobjects/Account/0018000001C0ptUAAR, type=Account}}</t>
  </si>
  <si>
    <t>a0pVT00000CqA1BYAV</t>
  </si>
  <si>
    <t>{Industry=Investment Management, PS_Region_New__c=US FSI, attributes={url=/services/data/v62.0/sobjects/Account/0018000001C0ptUAAR, type=Account}, Name=Tradeweb Markets LLC, SubRegion__c=US FSI ME NN Northeast, PS_Sub_Region__c=FSI ME NN}</t>
  </si>
  <si>
    <t>a0pVT00000Cq8YrYAJ</t>
  </si>
  <si>
    <t>{Name=Anheuser-Busch InBev SA/NV, PS_Region_New__c=US Large Enterprise DI &amp; Mexico, SubRegion__c=US DI LE CB RHT Northeast, PS_Sub_Region__c=Diversified Industries LE CB RHT, Industry=Consumer Goods, attributes={type=Account, url=/services/data/v62.0/sobjects/Account/0018000000pLt5lAAC}}</t>
  </si>
  <si>
    <t>a0pVT00000Cq7D0YAJ</t>
  </si>
  <si>
    <t>{Industry=Consumer Goods, attributes={type=Account, url=/services/data/v62.0/sobjects/Account/0018000000pLt5lAAC}, PS_Region_New__c=US Large Enterprise DI &amp; Mexico, Name=Anheuser-Busch InBev SA/NV, SubRegion__c=US DI LE CB RHT Northeast, PS_Sub_Region__c=Diversified Industries LE CB RHT}</t>
  </si>
  <si>
    <t>a0pVT00000Cq0MqYAJ</t>
  </si>
  <si>
    <t>{attributes={type=Account, url=/services/data/v62.0/sobjects/Account/0018000000pLt5lAAC}, Name=Anheuser-Busch InBev SA/NV, PS_Region_New__c=US Large Enterprise DI &amp; Mexico, Industry=Consumer Goods, SubRegion__c=US DI LE CB RHT Northeast, PS_Sub_Region__c=Diversified Industries LE CB RHT}</t>
  </si>
  <si>
    <t>a0pVT00000Cq8aTYAR</t>
  </si>
  <si>
    <t>{PS_Sub_Region__c=Diversified Industries LE CB RHT, Name=Anheuser-Busch InBev SA/NV, SubRegion__c=US DI LE CB RHT Northeast, PS_Region_New__c=US Large Enterprise DI &amp; Mexico, Industry=Consumer Goods, attributes={type=Account, url=/services/data/v62.0/sobjects/Account/0018000000pLt5lAAC}}</t>
  </si>
  <si>
    <t>a0pVT00000Cq8c5YAB</t>
  </si>
  <si>
    <t>{attributes={type=Account, url=/services/data/v62.0/sobjects/Account/0018000000pLt5lAAC}, Name=Anheuser-Busch InBev SA/NV, PS_Sub_Region__c=Diversified Industries LE CB RHT, SubRegion__c=US DI LE CB RHT Northeast, PS_Region_New__c=US Large Enterprise DI &amp; Mexico, Industry=Consumer Goods}</t>
  </si>
  <si>
    <t>#F44336</t>
  </si>
  <si>
    <t>a0pVT00000CpmABYAZ</t>
  </si>
  <si>
    <t>{PS_Sub_Region__c=Diversified Industries LE CB RHT, Industry=Consumer Goods, Name=Anheuser-Busch InBev SA/NV, attributes={url=/services/data/v62.0/sobjects/Account/0018000000pLt5lAAC, type=Account}, PS_Region_New__c=US Large Enterprise DI &amp; Mexico, SubRegion__c=US DI LE CB RHT Northeast}</t>
  </si>
  <si>
    <t>a0pVT00000Cq8dhYAB</t>
  </si>
  <si>
    <t>{PS_Sub_Region__c=Healthcare LE, attributes={url=/services/data/v62.0/sobjects/Account/0018000000pNKHGAA4, type=Account}, SubRegion__c=US Healthcare LE CB South, Name=AccentCare, Inc., Industry=Post Acute, PS_Region_New__c=US Healthcare}</t>
  </si>
  <si>
    <t>a0pVT00000CptBhYAJ</t>
  </si>
  <si>
    <t>#FBBC04</t>
  </si>
  <si>
    <t>{PS_Region_New__c=US Healthcare, attributes={url=/services/data/v62.0/sobjects/Account/0018000000pNKHGAA4, type=Account}, Name=AccentCare, Inc., SubRegion__c=US Healthcare LE CB South, PS_Sub_Region__c=Healthcare LE, Industry=Post Acute}</t>
  </si>
  <si>
    <t>a0pVT00000CprpoYAB</t>
  </si>
  <si>
    <t>{SubRegion__c=Singapore CB, PS_Region_New__c=ASEAN, attributes={type=Account, url=/services/data/v62.0/sobjects/Account/0018000000pPECBAA4}, Industry=Banking &amp; Capital Markets, PS_Sub_Region__c=Singapore CB, Name=United Overseas Bank Ltd.}</t>
  </si>
  <si>
    <t>a0pVT00000Cq08KYAR</t>
  </si>
  <si>
    <t>{SubRegion__c=US Higher Ed LE West, attributes={type=Account, url=/services/data/v62.0/sobjects/Account/001VT00000Ocf7ZYAR}, PS_Sub_Region__c=Higher Education LE, Industry=Higher Education, PS_Region_New__c=US SLED, Name=Orbis Education}</t>
  </si>
  <si>
    <t>a0pVT00000Cq8iXYAR</t>
  </si>
  <si>
    <t>{SubRegion__c=Singapore NN, PS_Region_New__c=ASEAN, attributes={url=/services/data/v62.0/sobjects/Account/0018000000pPECCAA4, type=Account}, Name=Singapore Telecommunications Limited, PS_Sub_Region__c=Singapore NN, Industry=Telecom}</t>
  </si>
  <si>
    <t>a0pVT00000CptZrYAJ</t>
  </si>
  <si>
    <t>{Industry=Restaurant &amp; Food Service, SubRegion__c=ANZ AU LE NN, attributes={url=/services/data/v62.0/sobjects/Account/0018000000pPEFmAAO, type=Account}, Name=KENTUCKY FRIED CHICKEN PTY LIMITED, PS_Region_New__c=ANZ, PS_Sub_Region__c=ANZ AU LE}</t>
  </si>
  <si>
    <t>a0pVT00000Cpu1KYAR</t>
  </si>
  <si>
    <t>{PS_Region_New__c=ANZ, Name=KENTUCKY FRIED CHICKEN PTY LIMITED, Industry=Restaurant &amp; Food Service, PS_Sub_Region__c=ANZ AU LE, SubRegion__c=ANZ AU LE NN, attributes={type=Account, url=/services/data/v62.0/sobjects/Account/0018000000pPEFmAAO}}</t>
  </si>
  <si>
    <t>a0pVT00000Cpb8KYAR</t>
  </si>
  <si>
    <t>{attributes={type=Account, url=/services/data/v62.0/sobjects/Account/0018000000pPEFmAAO}, Industry=Restaurant &amp; Food Service, PS_Region_New__c=ANZ, Name=KENTUCKY FRIED CHICKEN PTY LIMITED, SubRegion__c=ANZ AU LE NN, PS_Sub_Region__c=ANZ AU LE}</t>
  </si>
  <si>
    <t>a0pVT00000Cq06iYAB</t>
  </si>
  <si>
    <t>{Name=KENTUCKY FRIED CHICKEN PTY LIMITED, SubRegion__c=ANZ AU LE NN, PS_Sub_Region__c=ANZ AU LE, attributes={type=Account, url=/services/data/v62.0/sobjects/Account/0018000000pPEFmAAO}, Industry=Restaurant &amp; Food Service, PS_Region_New__c=ANZ}</t>
  </si>
  <si>
    <t>a0pVT00000CptRmYAJ</t>
  </si>
  <si>
    <t>{attributes={type=Account, url=/services/data/v62.0/sobjects/Account/0018000000pPEFmAAO}, Name=KENTUCKY FRIED CHICKEN PTY LIMITED, PS_Region_New__c=ANZ, Industry=Restaurant &amp; Food Service, SubRegion__c=ANZ AU LE NN, PS_Sub_Region__c=ANZ AU LE}</t>
  </si>
  <si>
    <t>a0pVT00000CpnatYAB</t>
  </si>
  <si>
    <t>{PS_Region_New__c=US Healthcare, Name=Adventist Healthcare, Inc., attributes={url=/services/data/v62.0/sobjects/Account/0018000000qWgPhAAK, type=Account}, PS_Sub_Region__c=Healthcare LE, Industry=Acute Hospital / Health System, SubRegion__c=US Healthcare LE CB East}</t>
  </si>
  <si>
    <t>a0pVT00000Cq3KhYAJ</t>
  </si>
  <si>
    <t>{Name=Adventist Healthcare, Inc., PS_Sub_Region__c=Healthcare LE, SubRegion__c=US Healthcare LE CB East, attributes={url=/services/data/v62.0/sobjects/Account/0018000000qWgPhAAK, type=Account}, Industry=Acute Hospital / Health System, PS_Region_New__c=US Healthcare}</t>
  </si>
  <si>
    <t>a0pVT00000Cq9Q5YAJ</t>
  </si>
  <si>
    <t>{attributes={url=/services/data/v62.0/sobjects/Account/0018000000zZLw5AAG, type=Account}, SubRegion__c=US FSI ME CB West, PS_Sub_Region__c=FSI ME CB, Industry=Banking &amp; Capital Markets, PS_Region_New__c=US FSI, Name=Mountain America Credit Union Inc}</t>
  </si>
  <si>
    <t>a0pVT00000Cpy9kYAB</t>
  </si>
  <si>
    <t>{SubRegion__c=Netherlands LE CB, attributes={type=Account, url=/services/data/v62.0/sobjects/Account/0018000000qWjp9AAC}, PS_Sub_Region__c=Netherlands, Name=ASML Netherlands B.V., Industry=High Technology, PS_Region_New__c=EMEA North}</t>
  </si>
  <si>
    <t>a0pVT00000Cq6VSYAZ</t>
  </si>
  <si>
    <t>{Name=ASML Netherlands B.V., PS_Region_New__c=EMEA North, SubRegion__c=Netherlands LE CB, Industry=High Technology, attributes={type=Account, url=/services/data/v62.0/sobjects/Account/0018000000qWjp9AAC}, PS_Sub_Region__c=Netherlands}</t>
  </si>
  <si>
    <t>a0pVT00000CpxyRYAR</t>
  </si>
  <si>
    <t>{PS_Sub_Region__c=Netherlands, Name=ASML Netherlands B.V., SubRegion__c=Netherlands LE CB, PS_Region_New__c=EMEA North, Industry=High Technology, attributes={type=Account, url=/services/data/v62.0/sobjects/Account/0018000000qWjp9AAC}}</t>
  </si>
  <si>
    <t>a0pVT00000Cq9MrYAJ</t>
  </si>
  <si>
    <t>0018000000x39juAAA</t>
  </si>
  <si>
    <t>{SubRegion__c=Canada DI LE West, PS_Region_New__c=Canada, attributes={url=/services/data/v62.0/sobjects/Account/0018000000x39juAAA, type=Account}, Industry=Softlines, Name=Canada Goose Inc., PS_Sub_Region__c=Canada DI LE West}</t>
  </si>
  <si>
    <t>a0pVT00000CpvjlYAB</t>
  </si>
  <si>
    <t>{Industry=Softlines, Name=Canada Goose Inc., PS_Region_New__c=Canada, attributes={type=Account, url=/services/data/v62.0/sobjects/Account/0018000000x39juAAA}, SubRegion__c=Canada DI LE West, PS_Sub_Region__c=Canada DI LE West}</t>
  </si>
  <si>
    <t>a0pVT00000CpyWIYAZ</t>
  </si>
  <si>
    <t>{PS_Region_New__c=Canada, attributes={url=/services/data/v62.0/sobjects/Account/0018000000x39juAAA, type=Account}, Industry=Softlines, Name=Canada Goose Inc., PS_Sub_Region__c=Canada DI LE West, SubRegion__c=Canada DI LE West}</t>
  </si>
  <si>
    <t>a0pVT00000CqBOhYAN</t>
  </si>
  <si>
    <t>{Name=School Operations Services Group Inc., attributes={url=/services/data/v62.0/sobjects/Account/001VT00000b2vjHYAQ, type=Account}, PS_Region_New__c=US Medium Enterprise DI, SubRegion__c=US DI Commercial NN Mid-Atlantic, Industry=Professional Services, PS_Sub_Region__c=ME Commercial East}</t>
  </si>
  <si>
    <t>a0pVT00000Cq8nNYAR</t>
  </si>
  <si>
    <t>{SubRegion__c=Denmark NN, Name=PANDORA A/S, PS_Region_New__c=EMEA North, Industry=Softlines, attributes={url=/services/data/v62.0/sobjects/Account/0018000000qWqJcAAK, type=Account}, PS_Sub_Region__c=Nordics}</t>
  </si>
  <si>
    <t>a0pVT00000Cq3EFYAZ</t>
  </si>
  <si>
    <t>{attributes={url=/services/data/v62.0/sobjects/Account/0018000000qWqJcAAK, type=Account}, Name=PANDORA A/S, PS_Region_New__c=EMEA North, Industry=Softlines, SubRegion__c=Denmark NN, PS_Sub_Region__c=Nordics}</t>
  </si>
  <si>
    <t>a0pVT00000Cq4BuYAJ</t>
  </si>
  <si>
    <t>{Name=PANDORA A/S, PS_Sub_Region__c=Nordics, SubRegion__c=Denmark NN, attributes={type=Account, url=/services/data/v62.0/sobjects/Account/0018000000qWqJcAAK}, Industry=Softlines, PS_Region_New__c=EMEA North}</t>
  </si>
  <si>
    <t>a0pVT00000Cq6GwYAJ</t>
  </si>
  <si>
    <t>{SubRegion__c=Denmark NN, attributes={url=/services/data/v62.0/sobjects/Account/0018000000qWqJcAAK, type=Account}, PS_Region_New__c=EMEA North, Name=PANDORA A/S, Industry=Softlines, PS_Sub_Region__c=Nordics}</t>
  </si>
  <si>
    <t>a0pVT00000Cq8ozYAB</t>
  </si>
  <si>
    <t>{attributes={url=/services/data/v62.0/sobjects/Account/0018000000qWqJcAAK, type=Account}, SubRegion__c=Denmark NN, PS_Region_New__c=EMEA North, Industry=Softlines, Name=PANDORA A/S, PS_Sub_Region__c=Nordics}</t>
  </si>
  <si>
    <t>a0pVT00000Cq5rAYAR</t>
  </si>
  <si>
    <t>{Industry=Acute Hospital / Health System, PS_Sub_Region__c=Healthcare LE, SubRegion__c=US Healthcare LE NN West, Name=Baptist Health - Arkansas, PS_Region_New__c=US Healthcare, attributes={url=/services/data/v62.0/sobjects/Account/0018000000qYoYpAAK, type=Account}}</t>
  </si>
  <si>
    <t>a0pVT00000Cq7bDYAR</t>
  </si>
  <si>
    <t>{PS_Sub_Region__c=ME NN RHT East, Name=Henley Enterprises Valvoline, Industry=Auto, SubRegion__c=US DI ME NN RHT Northeast, PS_Region_New__c=US Medium Enterprise DI, attributes={type=Account, url=/services/data/v62.0/sobjects/Account/0018000000qZDlcAAG}}</t>
  </si>
  <si>
    <t>a0pVT00000Cq31KYAR</t>
  </si>
  <si>
    <t>{attributes={url=/services/data/v62.0/sobjects/Account/0018000000qZDlcAAG, type=Account}, PS_Region_New__c=US Medium Enterprise DI, Industry=Auto, SubRegion__c=US DI ME NN RHT Northeast, PS_Sub_Region__c=ME NN RHT East, Name=Henley Enterprises Valvoline}</t>
  </si>
  <si>
    <t>a0pVT00000CpoOuYAJ</t>
  </si>
  <si>
    <t>{PS_Sub_Region__c=ME NN RHT East, SubRegion__c=US DI ME NN RHT Northeast, attributes={type=Account, url=/services/data/v62.0/sobjects/Account/0018000000qZDlcAAG}, PS_Region_New__c=US Medium Enterprise DI, Name=Henley Enterprises Valvoline, Industry=Auto}</t>
  </si>
  <si>
    <t>a0pVT00000Cq8tpYAB</t>
  </si>
  <si>
    <t>{PS_Sub_Region__c=ME NN RHT East, SubRegion__c=US DI ME NN RHT Northeast, Industry=Auto, Name=Henley Enterprises Valvoline, PS_Region_New__c=US Medium Enterprise DI, attributes={url=/services/data/v62.0/sobjects/Account/0018000000qZDlcAAG, type=Account}}</t>
  </si>
  <si>
    <t>a0pVT00000Cq7rKYAR</t>
  </si>
  <si>
    <t>{PS_Sub_Region__c=Diversified Industries LE CB RHT, Name=Atrium Hospitality LP, SubRegion__c=US DI LE CB RHT Southeast, Industry=Lodging &amp; Resorts, attributes={type=Account, url=/services/data/v62.0/sobjects/Account/0018000001Nf6hBAAR}, PS_Region_New__c=US Large Enterprise DI &amp; Mexico}</t>
  </si>
  <si>
    <t>a0pVT00000CqAQzYAN</t>
  </si>
  <si>
    <t>{Name=Atrium Hospitality LP, SubRegion__c=US DI LE CB RHT Southeast, PS_Sub_Region__c=Diversified Industries LE CB RHT, attributes={url=/services/data/v62.0/sobjects/Account/0018000001Nf6hBAAR, type=Account}, PS_Region_New__c=US Large Enterprise DI &amp; Mexico, Industry=Lodging &amp; Resorts}</t>
  </si>
  <si>
    <t>a0pVT00000Cq5ccYAB</t>
  </si>
  <si>
    <t>{PS_Region_New__c=US Large Enterprise DI &amp; Mexico, Industry=Business Services, attributes={url=/services/data/v62.0/sobjects/Account/0018000000rPe7SAAS, type=Account}, PS_Sub_Region__c=Diversified Industries LE NN, SubRegion__c=US DI LE NN TM &amp; PS West, Name=ISS United States}</t>
  </si>
  <si>
    <t>a0pVT00000Cq8x3YAB</t>
  </si>
  <si>
    <t>0018000000rQmmyAAC</t>
  </si>
  <si>
    <t>{attributes={type=Account, url=/services/data/v62.0/sobjects/Account/0018000000rQmmyAAC}, PS_Sub_Region__c=Singapore NN, SubRegion__c=Singapore NN, PS_Region_New__c=ASEAN, Industry=High Technology, Name=Singapore Technologies Engineering Ltd.}</t>
  </si>
  <si>
    <t>a0pVT00000CqA62YAF</t>
  </si>
  <si>
    <t>{attributes={type=Account, url=/services/data/v62.0/sobjects/Account/001VT00000b2ohlYAA}, Name=SkillPointe, PS_Region_New__c=US Medium Enterprise DI, Industry=Professional Services, PS_Sub_Region__c=ME Commercial East, SubRegion__c=US DI Commercial NN Southeast}</t>
  </si>
  <si>
    <t>a0pVT00000Cq4iDYAR</t>
  </si>
  <si>
    <t>0018000000rR1tlAAC</t>
  </si>
  <si>
    <t>{Name=WGU Corporation, PS_Sub_Region__c=Higher Education LE, Industry=Higher Education, attributes={url=/services/data/v62.0/sobjects/Account/0018000000rR1tlAAC, type=Account}, PS_Region_New__c=US SLED, SubRegion__c=US Higher Ed LE West}</t>
  </si>
  <si>
    <t>a0pVT00000Cq8yfYAB</t>
  </si>
  <si>
    <t>{PS_Sub_Region__c=Higher Education LE, attributes={url=/services/data/v62.0/sobjects/Account/0018000000rR1tlAAC, type=Account}, Industry=Higher Education, SubRegion__c=US Higher Ed LE West, PS_Region_New__c=US SLED, Name=WGU Corporation}</t>
  </si>
  <si>
    <t>a0pVT00000Cq31LYAR</t>
  </si>
  <si>
    <t>{Name=WGU Corporation, SubRegion__c=US Higher Ed LE West, PS_Sub_Region__c=Higher Education LE, attributes={url=/services/data/v62.0/sobjects/Account/0018000000rR1tlAAC, type=Account}, Industry=Higher Education, PS_Region_New__c=US SLED}</t>
  </si>
  <si>
    <t>a0pVT00000Cpyw6YAB</t>
  </si>
  <si>
    <t>{Industry=Restaurant &amp; Food Service, PS_Region_New__c=ANZ, SubRegion__c=ANZ AU LE CB, attributes={url=/services/data/v62.0/sobjects/Account/0018000000sfc26AAA, type=Account}, PS_Sub_Region__c=ANZ AU LE, Name=Collins Restaurants Management Pty Ltd (ABN 24 093 912 979)}</t>
  </si>
  <si>
    <t>a0pVT00000Cq25HYAR</t>
  </si>
  <si>
    <t>{PS_Region_New__c=ANZ, Name=Restaurant Brands New Zealand Limited, attributes={url=/services/data/v62.0/sobjects/Account/0018000000sfc7tAAA, type=Account}, PS_Sub_Region__c=ANZ New Zealand, SubRegion__c=ANZ New Zealand, Industry=Restaurant &amp; Food Service}</t>
  </si>
  <si>
    <t>a0pVT00000Cq6iMYAR</t>
  </si>
  <si>
    <t>{Name=Restaurant Brands New Zealand Limited, Industry=Restaurant &amp; Food Service, PS_Region_New__c=ANZ, SubRegion__c=ANZ New Zealand, attributes={type=Account, url=/services/data/v62.0/sobjects/Account/0018000000sfc7tAAA}, PS_Sub_Region__c=ANZ New Zealand}</t>
  </si>
  <si>
    <t>a0pVT00000CpxDfYAJ</t>
  </si>
  <si>
    <t>{SubRegion__c=ANZ New Zealand, PS_Region_New__c=ANZ, attributes={url=/services/data/v62.0/sobjects/Account/0018000000sfc7tAAA, type=Account}, Name=Restaurant Brands New Zealand Limited, Industry=Restaurant &amp; Food Service, PS_Sub_Region__c=ANZ New Zealand}</t>
  </si>
  <si>
    <t>a0pVT00000Cq7zOYAR</t>
  </si>
  <si>
    <t>{PS_Region_New__c=ANZ, Industry=Restaurant &amp; Food Service, attributes={type=Account, url=/services/data/v62.0/sobjects/Account/0018000000sfc7tAAA}, Name=Restaurant Brands New Zealand Limited, PS_Sub_Region__c=ANZ New Zealand, SubRegion__c=ANZ New Zealand}</t>
  </si>
  <si>
    <t>a0pVT00000Cq9hpYAB</t>
  </si>
  <si>
    <t>{PS_Region_New__c=US Healthcare, Industry=Acute Hospital / Health System, Name=St. Bernards Healthcare, PS_Sub_Region__c=Healthcare LE, attributes={type=Account, url=/services/data/v62.0/sobjects/Account/00180000011T8erAAC}, SubRegion__c=US Healthcare LE NN West}</t>
  </si>
  <si>
    <t>a0pVT00000Cq4jmYAB</t>
  </si>
  <si>
    <t>{PS_Sub_Region__c=Healthcare LE, attributes={url=/services/data/v62.0/sobjects/Account/00180000011T8erAAC, type=Account}, SubRegion__c=US Healthcare LE NN West, PS_Region_New__c=US Healthcare, Industry=Acute Hospital / Health System, Name=St. Bernards Healthcare}</t>
  </si>
  <si>
    <t>a0pVT00000Cq5xbYAB</t>
  </si>
  <si>
    <t>{PS_Sub_Region__c=France, attributes={type=Account, url=/services/data/v62.0/sobjects/Account/0018000000tVf14AAC}, SubRegion__c=France RHT LE, Industry=Other Transportation, PS_Region_New__c=EMEA South, Name=Géodis Interservices}</t>
  </si>
  <si>
    <t>a0pVT00000Cpn9UYAR</t>
  </si>
  <si>
    <t>{PS_Region_New__c=EMEA South, Name=Géodis Interservices, PS_Sub_Region__c=France, Industry=Other Transportation, attributes={type=Account, url=/services/data/v62.0/sobjects/Account/0018000000tVf14AAC}, SubRegion__c=France RHT LE}</t>
  </si>
  <si>
    <t>a0pVT00000Cq4S4YAJ</t>
  </si>
  <si>
    <t>{PS_Sub_Region__c=France, Industry=Healthcare Manufacturing, attributes={url=/services/data/v62.0/sobjects/Account/0018000000tVfDnAAK, type=Account}, Name=Ipsen Pharma SAS, PS_Region_New__c=EMEA South, SubRegion__c=France MFG HC &amp; Energy ME}</t>
  </si>
  <si>
    <t>a0pVT00000CpsVmYAJ</t>
  </si>
  <si>
    <t>{Name=Ipsen Pharma SAS, SubRegion__c=France MFG HC &amp; Energy ME, PS_Region_New__c=EMEA South, Industry=Healthcare Manufacturing, attributes={url=/services/data/v62.0/sobjects/Account/0018000000tVfDnAAK, type=Account}, PS_Sub_Region__c=France}</t>
  </si>
  <si>
    <t>a0pVT00000Cq6wsYAB</t>
  </si>
  <si>
    <t>{Industry=Amusement &amp; Recreation, PS_Region_New__c=Canada, Name=Clifton Hill, PS_Sub_Region__c=Canada Commercial, attributes={type=Account, url=/services/data/v62.0/sobjects/Account/001VT00000WEFKzYAP}, SubRegion__c=Canada Commercial}</t>
  </si>
  <si>
    <t>a0pVT00000CpxX3YAJ</t>
  </si>
  <si>
    <t>{SubRegion__c=Canada Commercial, attributes={type=Account, url=/services/data/v62.0/sobjects/Account/001VT00000WEFKzYAP}, PS_Sub_Region__c=Canada Commercial, Name=Clifton Hill, PS_Region_New__c=Canada, Industry=Amusement &amp; Recreation}</t>
  </si>
  <si>
    <t>a0pVT00000CpwvvYAB</t>
  </si>
  <si>
    <t>{PS_Region_New__c=Canada, SubRegion__c=Canada Commercial, PS_Sub_Region__c=Canada Commercial, attributes={url=/services/data/v62.0/sobjects/Account/001VT00000WEFKzYAP, type=Account}, Industry=Amusement &amp; Recreation, Name=Clifton Hill}</t>
  </si>
  <si>
    <t>a0pVT00000Cq5WCYAZ</t>
  </si>
  <si>
    <t>{Industry=Amusement &amp; Recreation, attributes={url=/services/data/v62.0/sobjects/Account/001VT00000WEFKzYAP, type=Account}, PS_Sub_Region__c=Canada Commercial, SubRegion__c=Canada Commercial, PS_Region_New__c=Canada, Name=Clifton Hill}</t>
  </si>
  <si>
    <t>a0pVT00000CprkzYAB</t>
  </si>
  <si>
    <t>0018000000tVfHqAAK</t>
  </si>
  <si>
    <t>{PS_Sub_Region__c=France, Name=Carglass SAS, PS_Region_New__c=EMEA South, attributes={url=/services/data/v62.0/sobjects/Account/0018000000tVfHqAAK, type=Account}, Industry=Auto, SubRegion__c=France RHT ME}</t>
  </si>
  <si>
    <t>a0pVT00000Cq3HTYAZ</t>
  </si>
  <si>
    <t>{PS_Sub_Region__c=France, Name=Carglass SAS, Industry=Auto, attributes={type=Account, url=/services/data/v62.0/sobjects/Account/0018000000tVfHqAAK}, SubRegion__c=France RHT ME, PS_Region_New__c=EMEA South}</t>
  </si>
  <si>
    <t>a0pVT00000Cq4v5YAB</t>
  </si>
  <si>
    <t>{PS_Region_New__c=US Medium Enterprise DI, attributes={url=/services/data/v62.0/sobjects/Account/0018000001DwnLOAAZ, type=Account}, SubRegion__c=US DI ME NN PBS Mid-Atlantic, Industry=Professional Services, Name=Zeiders Enterprises Inc., PS_Sub_Region__c=ME NN PBS}</t>
  </si>
  <si>
    <t>a0pVT00000CpbwJYAR</t>
  </si>
  <si>
    <t>{SubRegion__c=Germany LE CB, Industry=Ambulatory, PS_Sub_Region__c=Germany CB, Name=Fresenius Medical Care North America, attributes={url=/services/data/v62.0/sobjects/Account/0018000000tih46AAA, type=Account}, PS_Region_New__c=DACH}</t>
  </si>
  <si>
    <t>a0pVT00000Cq3HUYAZ</t>
  </si>
  <si>
    <t>{Name=Fresenius Medical Care North America, PS_Sub_Region__c=Germany CB, Industry=Ambulatory, SubRegion__c=Germany LE CB, PS_Region_New__c=DACH, attributes={type=Account, url=/services/data/v62.0/sobjects/Account/0018000000tih46AAA}}</t>
  </si>
  <si>
    <t>a0pVT00000CppEVYAZ</t>
  </si>
  <si>
    <t>{SubRegion__c=US Higher Ed LE West, Industry=Higher Education, PS_Sub_Region__c=Higher Education LE, Name=Ivy Tech Community College of Indiana, attributes={type=Account, url=/services/data/v62.0/sobjects/Account/0018000000ukUuSAAU}, PS_Region_New__c=US SLED}</t>
  </si>
  <si>
    <t>a0pVT00000Cq9DBYAZ</t>
  </si>
  <si>
    <t>{SubRegion__c=US DI LE CB TM &amp; PS Northeast, PS_Region_New__c=US Large Enterprise DI &amp; Mexico, attributes={type=Account, url=/services/data/v62.0/sobjects/Account/0018000000vSRdMAAW}, Industry=Media &amp; Entertainment, PS_Sub_Region__c=Diversified Industries LE CB TM &amp; PS, Name=McGraw Hill LLC}</t>
  </si>
  <si>
    <t>a0pVT00000Cq9EnYAJ</t>
  </si>
  <si>
    <t>{PS_Region_New__c=US Large Enterprise DI &amp; Mexico, Name=McGraw Hill LLC, PS_Sub_Region__c=Diversified Industries LE CB TM &amp; PS, attributes={url=/services/data/v62.0/sobjects/Account/0018000000vSRdMAAW, type=Account}, Industry=Media &amp; Entertainment, SubRegion__c=US DI LE CB TM &amp; PS Northeast}</t>
  </si>
  <si>
    <t>a0pVT00000Cq9JdYAJ</t>
  </si>
  <si>
    <t>{PS_Sub_Region__c=ME CB PBS, Industry=Professional Services, attributes={type=Account, url=/services/data/v62.0/sobjects/Account/0018000000wEQ6RAAW}, PS_Region_New__c=US Medium Enterprise DI, Name=Dealer Tire LLC, SubRegion__c=US DI ME CB PBS Northeast}</t>
  </si>
  <si>
    <t>a0pVT00000Cq9LFYAZ</t>
  </si>
  <si>
    <t>{Industry=Professional Services, PS_Region_New__c=US Medium Enterprise DI, attributes={url=/services/data/v62.0/sobjects/Account/0018000000wEQ6RAAW, type=Account}, PS_Sub_Region__c=ME CB PBS, SubRegion__c=US DI ME CB PBS Northeast, Name=Dealer Tire LLC}</t>
  </si>
  <si>
    <t>a0pVT00000Cq9OTYAZ</t>
  </si>
  <si>
    <t>{PS_Sub_Region__c=ME CB PBS, SubRegion__c=US DI ME CB PBS West, PS_Region_New__c=US Medium Enterprise DI, Name=CBE Group, Inc., Industry=Professional Services, attributes={type=Account, url=/services/data/v62.0/sobjects/Account/0018000000x3S2xAAE}}</t>
  </si>
  <si>
    <t>a0pVT00000Cq8aUYAR</t>
  </si>
  <si>
    <t>{SubRegion__c=US DI ME CB PBS West, PS_Sub_Region__c=ME CB PBS, Industry=Professional Services, Name=CBE Group, Inc., PS_Region_New__c=US Medium Enterprise DI, attributes={url=/services/data/v62.0/sobjects/Account/0018000000x3S2xAAE, type=Account}}</t>
  </si>
  <si>
    <t>a0pVT00000CpwFzYAJ</t>
  </si>
  <si>
    <t>0018000000x3Y4GAAU</t>
  </si>
  <si>
    <t>{PS_Region_New__c=US Medium Enterprise DI, Industry=Materials, Name=Tricorbraun Inc., SubRegion__c=US DI ME CB MFG South, PS_Sub_Region__c=ME CB MFG, attributes={type=Account, url=/services/data/v62.0/sobjects/Account/0018000000x3Y4GAAU}}</t>
  </si>
  <si>
    <t>a0pVT00000CprppYAB</t>
  </si>
  <si>
    <t>{Industry=Materials, PS_Region_New__c=US Medium Enterprise DI, SubRegion__c=US DI ME CB MFG South, Name=Tricorbraun Inc., PS_Sub_Region__c=ME CB MFG, attributes={type=Account, url=/services/data/v62.0/sobjects/Account/0018000000x3Y4GAAU}}</t>
  </si>
  <si>
    <t>a0pVT00000CptQCYAZ</t>
  </si>
  <si>
    <t>{Industry=Telecom, attributes={url=/services/data/v62.0/sobjects/Account/0018000000zVHWfAAO, type=Account}, PS_Region_New__c=US Medium Enterprise DI, Name=SBA Network Services, LLC, SubRegion__c=US DI ME CB TM Southeast, PS_Sub_Region__c=ME CB TM &amp; RHT}</t>
  </si>
  <si>
    <t>a0pVT00000CpqgqYAB</t>
  </si>
  <si>
    <t>{SubRegion__c=US NFP CB West, PS_Sub_Region__c=Higher Education LE, Name=Goodwill of Central and Northern Arizona, attributes={url=/services/data/v62.0/sobjects/Account/0018000000zYw3YAAS, type=Account}, PS_Region_New__c=US SLED, Industry=Non-Profit}</t>
  </si>
  <si>
    <t>a0pVT00000Cq8nOYAR</t>
  </si>
  <si>
    <t>{Industry=Non-Profit, PS_Region_New__c=DACH, SubRegion__c=Alps ME CB, PS_Sub_Region__c=Alps, Name=The World Economic Forum, attributes={url=/services/data/v62.0/sobjects/Account/00180000010x9i5AAA, type=Account}}</t>
  </si>
  <si>
    <t>a0pVT00000Cq9Y9YAJ</t>
  </si>
  <si>
    <t>{PS_Region_New__c=DACH, attributes={url=/services/data/v62.0/sobjects/Account/00180000010x9i5AAA, type=Account}, Name=The World Economic Forum, PS_Sub_Region__c=Alps, SubRegion__c=Alps ME CB, Industry=Non-Profit}</t>
  </si>
  <si>
    <t>a0pVT00000Cq84EYAR</t>
  </si>
  <si>
    <t>00180000010xtkIAAQ</t>
  </si>
  <si>
    <t>{PS_Region_New__c=null, Industry=Other Technology, SubRegion__c=NA Partner Innovation &amp; Marketplace 2, PS_Sub_Region__c=Same As PS Sub Region, Name=Avalara, Inc., attributes={url=/services/data/v62.0/sobjects/Account/00180000010xtkIAAQ, type=Account}}</t>
  </si>
  <si>
    <t>a0pVT00000Cq9bNYAR</t>
  </si>
  <si>
    <t>{SubRegion__c=NA Partner Innovation &amp; Marketplace 2, PS_Region_New__c=null, Industry=Other Technology, Name=Avalara, Inc., attributes={url=/services/data/v62.0/sobjects/Account/00180000010xtkIAAQ, type=Account}, PS_Sub_Region__c=Same As PS Sub Region}</t>
  </si>
  <si>
    <t>a0pVT00000Cq14MYAR</t>
  </si>
  <si>
    <t>{PS_Sub_Region__c=Same As PS Sub Region, Name=Avalara, Inc., PS_Region_New__c=null, Industry=Other Technology, attributes={type=Account, url=/services/data/v62.0/sobjects/Account/00180000010xtkIAAQ}, SubRegion__c=NA Partner Innovation &amp; Marketplace 2}</t>
  </si>
  <si>
    <t>a0pVT00000Cq7sxYAB</t>
  </si>
  <si>
    <t>{PS_Region_New__c=null, Name=Avalara, Inc., SubRegion__c=NA Partner Innovation &amp; Marketplace 2, Industry=Other Technology, PS_Sub_Region__c=Same As PS Sub Region, attributes={type=Account, url=/services/data/v62.0/sobjects/Account/00180000010xtkIAAQ}}</t>
  </si>
  <si>
    <t>a0pVT00000Cq9jRYAR</t>
  </si>
  <si>
    <t>{SubRegion__c=France Services Tech Media ME, PS_Sub_Region__c=France, attributes={type=Account, url=/services/data/v62.0/sobjects/Account/00180000011WEQKAA4}, Industry=Software &amp; Platforms, Name=Criteo Technology, PS_Region_New__c=EMEA South}</t>
  </si>
  <si>
    <t>a0pVT00000Cq9l3YAB</t>
  </si>
  <si>
    <t>{PS_Sub_Region__c=France, attributes={url=/services/data/v62.0/sobjects/Account/00180000011WEQKAA4, type=Account}, Name=Criteo Technology, PS_Region_New__c=EMEA South, Industry=Software &amp; Platforms, SubRegion__c=France Services Tech Media ME}</t>
  </si>
  <si>
    <t>a0pVT00000CpgSxYAJ</t>
  </si>
  <si>
    <t>{PS_Sub_Region__c=Singapore NN, attributes={type=Account, url=/services/data/v62.0/sobjects/Account/001VT00000bQ9n7YAC}, SubRegion__c=Singapore NN, PS_Region_New__c=ASEAN, Industry=Professional Services, Name=DKSH Management Pte Ltd}</t>
  </si>
  <si>
    <t>a0pVT00000Cpqs8YAB</t>
  </si>
  <si>
    <t>{Industry=Professional Services, PS_Sub_Region__c=Singapore NN, attributes={url=/services/data/v62.0/sobjects/Account/001VT00000bQ9n7YAC, type=Account}, Name=DKSH Management Pte Ltd, PS_Region_New__c=ASEAN, SubRegion__c=Singapore NN}</t>
  </si>
  <si>
    <t>a0pVT00000Cq7o6YAB</t>
  </si>
  <si>
    <t>{PS_Sub_Region__c=Diversified Industries LE CB TM &amp; PS, Industry=Business Services, attributes={type=Account, url=/services/data/v62.0/sobjects/Account/001800000143VJJAA2}, PS_Region_New__c=US Large Enterprise DI &amp; Mexico, Name=Encore Global, SubRegion__c=US DI LE CB TM &amp; PS Southwest}</t>
  </si>
  <si>
    <t>a0pVT00000Cq9oHYAR</t>
  </si>
  <si>
    <t>{PS_Region_New__c=US Large Enterprise DI &amp; Mexico, Industry=Business Services, attributes={type=Account, url=/services/data/v62.0/sobjects/Account/001800000143VJJAA2}, Name=Encore Global, PS_Sub_Region__c=Diversified Industries LE CB TM &amp; PS, SubRegion__c=US DI LE CB TM &amp; PS Southwest}</t>
  </si>
  <si>
    <t>a0pVT00000Cq4LbYAJ</t>
  </si>
  <si>
    <t>{SubRegion__c=US FSI ME NN South, PS_Region_New__c=US FSI, attributes={url=/services/data/v62.0/sobjects/Account/00180000016o0NBAAY, type=Account}, Industry=Lodging &amp; Resorts, PS_Sub_Region__c=FSI ME NN, Name=McKibbon Hospitality}</t>
  </si>
  <si>
    <t>a0pVT00000Cq4LcYAJ</t>
  </si>
  <si>
    <t>{SubRegion__c=US FSI ME NN South, Industry=Lodging &amp; Resorts, attributes={type=Account, url=/services/data/v62.0/sobjects/Account/00180000016o0NBAAY}, PS_Region_New__c=US FSI, Name=McKibbon Hospitality, PS_Sub_Region__c=FSI ME NN}</t>
  </si>
  <si>
    <t>a0pVT00000Cq6C6YAJ</t>
  </si>
  <si>
    <t>{PS_Sub_Region__c=FSI ME NN, Industry=Lodging &amp; Resorts, PS_Region_New__c=US FSI, Name=McKibbon Hospitality, SubRegion__c=US FSI ME NN South, attributes={url=/services/data/v62.0/sobjects/Account/00180000016o0NBAAY, type=Account}}</t>
  </si>
  <si>
    <t>a0pVT00000Cpp00YAB</t>
  </si>
  <si>
    <t>{SubRegion__c=US FSI ME NN South, PS_Region_New__c=US FSI, attributes={type=Account, url=/services/data/v62.0/sobjects/Account/00180000016o0NBAAY}, PS_Sub_Region__c=FSI ME NN, Name=McKibbon Hospitality, Industry=Lodging &amp; Resorts}</t>
  </si>
  <si>
    <t>a0pVT00000Cq8H8YAJ</t>
  </si>
  <si>
    <t>0018000001AEO0iAAH</t>
  </si>
  <si>
    <t>{PS_Region_New__c=US Healthcare, PS_Sub_Region__c=Healthcare LE, Name=BAYADA Home Health Care, Inc., attributes={url=/services/data/v62.0/sobjects/Account/0018000001AEO0iAAH, type=Account}, Industry=Post Acute, SubRegion__c=US Healthcare LE CB East}</t>
  </si>
  <si>
    <t>a0pVT00000CpoAMYAZ</t>
  </si>
  <si>
    <t>{Name=BAYADA Home Health Care, Inc., PS_Sub_Region__c=Healthcare LE, attributes={type=Account, url=/services/data/v62.0/sobjects/Account/0018000001AEO0iAAH}, SubRegion__c=US Healthcare LE CB East, PS_Region_New__c=US Healthcare, Industry=Post Acute}</t>
  </si>
  <si>
    <t>a0pVT00000Cq8VeYAJ</t>
  </si>
  <si>
    <t>{Name=BAYADA Home Health Care, Inc., PS_Region_New__c=US Healthcare, SubRegion__c=US Healthcare LE CB East, attributes={type=Account, url=/services/data/v62.0/sobjects/Account/0018000001AEO0iAAH}, Industry=Post Acute, PS_Sub_Region__c=Healthcare LE}</t>
  </si>
  <si>
    <t>a0pVT00000CplZ5YAJ</t>
  </si>
  <si>
    <t>{PS_Sub_Region__c=Healthcare LE, PS_Region_New__c=US Healthcare, attributes={url=/services/data/v62.0/sobjects/Account/0018000001AEO0iAAH, type=Account}, Name=BAYADA Home Health Care, Inc., Industry=Post Acute, SubRegion__c=US Healthcare LE CB East}</t>
  </si>
  <si>
    <t>a0pVT00000Cq9t7YAB</t>
  </si>
  <si>
    <t>{Industry=Business Services, PS_Sub_Region__c=Diversified Industries LE NN, PS_Region_New__c=US Large Enterprise DI &amp; Mexico, SubRegion__c=US DI LE NN TM &amp; PS West, attributes={url=/services/data/v62.0/sobjects/Account/0018000001AG7zIAAT, type=Account}, Name=Yellowstone Landscape Group, Inc.}</t>
  </si>
  <si>
    <t>a0pVT00000Cq2ekYAB</t>
  </si>
  <si>
    <t>{SubRegion__c=US DI LE NN TM &amp; PS West, PS_Region_New__c=US Large Enterprise DI &amp; Mexico, attributes={url=/services/data/v62.0/sobjects/Account/0018000001AG7zIAAT, type=Account}, Industry=Business Services, PS_Sub_Region__c=Diversified Industries LE NN, Name=Yellowstone Landscape Group, Inc.}</t>
  </si>
  <si>
    <t>a0pVT00000Cq2y6YAB</t>
  </si>
  <si>
    <t>{Industry=Business Services, PS_Sub_Region__c=Diversified Industries LE NN, Name=Yellowstone Landscape Group, Inc., SubRegion__c=US DI LE NN TM &amp; PS West, attributes={url=/services/data/v62.0/sobjects/Account/0018000001AG7zIAAT, type=Account}, PS_Region_New__c=US Large Enterprise DI &amp; Mexico}</t>
  </si>
  <si>
    <t>a0pVT00000CpsFeYAJ</t>
  </si>
  <si>
    <t>{attributes={type=Account, url=/services/data/v62.0/sobjects/Account/0018000001AG7zIAAT}, SubRegion__c=US DI LE NN TM &amp; PS West, PS_Region_New__c=US Large Enterprise DI &amp; Mexico, Name=Yellowstone Landscape Group, Inc., Industry=Business Services, PS_Sub_Region__c=Diversified Industries LE NN}</t>
  </si>
  <si>
    <t>a0pVT00000Cq8vTYAR</t>
  </si>
  <si>
    <t>{PS_Region_New__c=US Large Enterprise DI &amp; Mexico, Industry=Business Services, attributes={type=Account, url=/services/data/v62.0/sobjects/Account/0018000001AG7zIAAT}, SubRegion__c=US DI LE NN TM &amp; PS West, Name=Yellowstone Landscape Group, Inc., PS_Sub_Region__c=Diversified Industries LE NN}</t>
  </si>
  <si>
    <t>a0pVT00000Cq7szYAB</t>
  </si>
  <si>
    <t>{PS_Sub_Region__c=Netherlands, attributes={url=/services/data/v62.0/sobjects/Account/0018000001QSeM2AAL, type=Account}, Industry=Hardlines, SubRegion__c=Netherlands LE CB, Name=Signify Netherlands B.V., PS_Region_New__c=EMEA North}</t>
  </si>
  <si>
    <t>a0pVT00000Cq99zYAB</t>
  </si>
  <si>
    <t>{PS_Region_New__c=EMEA North, SubRegion__c=Netherlands LE CB, Name=Signify Netherlands B.V., PS_Sub_Region__c=Netherlands, attributes={url=/services/data/v62.0/sobjects/Account/0018000001QSeM2AAL, type=Account}, Industry=Hardlines}</t>
  </si>
  <si>
    <t>a0pVT00000Cq0GNYAZ</t>
  </si>
  <si>
    <t>{attributes={url=/services/data/v62.0/sobjects/Account/0018000001AxiEtAAJ, type=Account}, Industry=Insurance, PS_Sub_Region__c=FSI LE, SubRegion__c=US FSI LE East, PS_Region_New__c=US FSI, Name=Ascensus, LLC}</t>
  </si>
  <si>
    <t>a0pVT00000Cpv2BYAR</t>
  </si>
  <si>
    <t>{Name=Tecsys, Inc., Industry=Software &amp; Platforms, PS_Region_New__c=Canada, SubRegion__c=Canada ME East, PS_Sub_Region__c=Canada ME East, attributes={url=/services/data/v62.0/sobjects/Account/0018000001BM1CUAA1, type=Account}}</t>
  </si>
  <si>
    <t>a0pVT00000Cq9ujYAB</t>
  </si>
  <si>
    <t>{PS_Region_New__c=US Medium Enterprise DI, Industry=Software &amp; Platforms, PS_Sub_Region__c=ME CB TM &amp; RHT, Name=Blackline Systems, Inc., SubRegion__c=US DI ME CB TM Southwest, attributes={url=/services/data/v62.0/sobjects/Account/0018000001BN1syAAD, type=Account}}</t>
  </si>
  <si>
    <t>a0pVT00000Cq8sFYAR</t>
  </si>
  <si>
    <t>{PS_Region_New__c=US Medium Enterprise DI, attributes={url=/services/data/v62.0/sobjects/Account/0018000001BN1syAAD, type=Account}, Industry=Software &amp; Platforms, PS_Sub_Region__c=ME CB TM &amp; RHT, Name=Blackline Systems, Inc., SubRegion__c=US DI ME CB TM Southwest}</t>
  </si>
  <si>
    <t>a0pVT00000CqAKYYA3</t>
  </si>
  <si>
    <t>0018000001VM15qAAD</t>
  </si>
  <si>
    <t>{Industry=Business Services, PS_Region_New__c=null, SubRegion__c=null, attributes={url=/services/data/v62.0/sobjects/Account/0018000001VM15qAAD, type=Account}, PS_Sub_Region__c=null, Name=Mainscape, Inc. (Inactive Account)}</t>
  </si>
  <si>
    <t>a0pVT00000CplvfYAB</t>
  </si>
  <si>
    <t>{PS_Region_New__c=US SLED, Name=Friendship Senior Options, attributes={type=Account, url=/services/data/v62.0/sobjects/Account/0018000001BxkG4AAJ}, Industry=Post Acute, SubRegion__c=US Healthcare ME NN Central, PS_Sub_Region__c=Higher Education LE}</t>
  </si>
  <si>
    <t>a0pVT00000CpeMIYAZ</t>
  </si>
  <si>
    <t>{Industry=Banking &amp; Capital Markets, Name=Tower Federal Credit Union, PS_Sub_Region__c=FSI ME NN, SubRegion__c=US FSI ME NN South, PS_Region_New__c=US FSI, attributes={url=/services/data/v62.0/sobjects/Account/0018000001C1AOsAAN, type=Account}}</t>
  </si>
  <si>
    <t>a0pVT00000CqA2nYAF</t>
  </si>
  <si>
    <t>0018000001Cga3AAAR</t>
  </si>
  <si>
    <t>{SubRegion__c=US Healthcare LE NN West, attributes={url=/services/data/v62.0/sobjects/Account/0018000001Cga3AAAR, type=Account}, PS_Sub_Region__c=Healthcare LE, PS_Region_New__c=US Healthcare, Name=Harris Health System, Industry=Acute Hospital / Health System}</t>
  </si>
  <si>
    <t>a0pVT00000CppsqYAB</t>
  </si>
  <si>
    <t>{PS_Region_New__c=US Large Enterprise DI &amp; Mexico, Name=DK Crown Holdings Inc., PS_Sub_Region__c=Diversified Industries LE CB TM &amp; PS, attributes={url=/services/data/v62.0/sobjects/Account/0018000001Ei18xAAB, type=Account}, Industry=Media &amp; Entertainment, SubRegion__c=US DI LE CB TM &amp; PS Northeast}</t>
  </si>
  <si>
    <t>a0pVT00000CqA9FYAV</t>
  </si>
  <si>
    <t>{SubRegion__c=US DI LE CB TM &amp; PS Northeast, PS_Sub_Region__c=Diversified Industries LE CB TM &amp; PS, attributes={type=Account, url=/services/data/v62.0/sobjects/Account/0018000001Ei18xAAB}, Name=DK Crown Holdings Inc., Industry=Media &amp; Entertainment, PS_Region_New__c=US Large Enterprise DI &amp; Mexico}</t>
  </si>
  <si>
    <t>a0pVT00000Cq7syYAB</t>
  </si>
  <si>
    <t>{PS_Sub_Region__c=Diversified Industries LE CB RHT, Name=Meritage Hospitality Group Inc., Industry=Restaurant &amp; Food Service, PS_Region_New__c=US Large Enterprise DI &amp; Mexico, attributes={url=/services/data/v62.0/sobjects/Account/0018000001EfgHRAAZ, type=Account}, SubRegion__c=US DI LE CB RHT Midwest}</t>
  </si>
  <si>
    <t>a0pVT00000CpzNYYAZ</t>
  </si>
  <si>
    <t>{Industry=Restaurant &amp; Food Service, PS_Sub_Region__c=Diversified Industries LE CB RHT, attributes={url=/services/data/v62.0/sobjects/Account/0018000001EfgHRAAZ, type=Account}, PS_Region_New__c=US Large Enterprise DI &amp; Mexico, SubRegion__c=US DI LE CB RHT Midwest, Name=Meritage Hospitality Group Inc.}</t>
  </si>
  <si>
    <t>a0pVT00000Cq7uYYAR</t>
  </si>
  <si>
    <t>{attributes={url=/services/data/v62.0/sobjects/Account/0018000001EfgHRAAZ, type=Account}, PS_Region_New__c=US Large Enterprise DI &amp; Mexico, Industry=Restaurant &amp; Food Service, Name=Meritage Hospitality Group Inc., SubRegion__c=US DI LE CB RHT Midwest, PS_Sub_Region__c=Diversified Industries LE CB RHT}</t>
  </si>
  <si>
    <t>a0pVT00000CqA7dYAF</t>
  </si>
  <si>
    <t>{attributes={url=/services/data/v62.0/sobjects/Account/0018000001EfgHRAAZ, type=Account}, PS_Sub_Region__c=Diversified Industries LE CB RHT, Industry=Restaurant &amp; Food Service, Name=Meritage Hospitality Group Inc., PS_Region_New__c=US Large Enterprise DI &amp; Mexico, SubRegion__c=US DI LE CB RHT Midwest}</t>
  </si>
  <si>
    <t>a0pVT00000CpyHpYAJ</t>
  </si>
  <si>
    <t>{Industry=State &amp; Local Government, PS_Sub_Region__c=Local Government ME, attributes={url=/services/data/v62.0/sobjects/Account/001VT00000Jlrp8YAB, type=Account}, PS_Region_New__c=US SLED, SubRegion__c=US Local Gov SMG NN, Name=City of Delaware, OH}</t>
  </si>
  <si>
    <t>a0pVT00000CqAArYAN</t>
  </si>
  <si>
    <t>{attributes={url=/services/data/v62.0/sobjects/Account/0018000001F933NAAR, type=Account}, PS_Sub_Region__c=Singapore NN, Name=GIC Private Limited, Industry=Investment Management, PS_Region_New__c=ASEAN, SubRegion__c=Singapore NN}</t>
  </si>
  <si>
    <t>a0pVT00000Cq9GQYAZ</t>
  </si>
  <si>
    <t>{SubRegion__c=US DI LE CB RHT Central, PS_Sub_Region__c=Diversified Industries LE CB RHT, Industry=Restaurant &amp; Food Service, attributes={url=/services/data/v62.0/sobjects/Account/0018000001JhzTAAAZ, type=Account}, PS_Region_New__c=US Large Enterprise DI &amp; Mexico, Name=KBP Brands, LLC}</t>
  </si>
  <si>
    <t>a0pVT00000CpnURYAZ</t>
  </si>
  <si>
    <t>{Industry=Restaurant &amp; Food Service, attributes={url=/services/data/v62.0/sobjects/Account/0018000001JhzTAAAZ, type=Account}, PS_Sub_Region__c=Diversified Industries LE CB RHT, Name=KBP Brands, LLC, PS_Region_New__c=US Large Enterprise DI &amp; Mexico, SubRegion__c=US DI LE CB RHT Central}</t>
  </si>
  <si>
    <t>a0pVT00000Cpr0BYAR</t>
  </si>
  <si>
    <t>{Name=KBP Brands, LLC, PS_Sub_Region__c=Diversified Industries LE CB RHT, SubRegion__c=US DI LE CB RHT Central, attributes={url=/services/data/v62.0/sobjects/Account/0018000001JhzTAAAZ, type=Account}, PS_Region_New__c=US Large Enterprise DI &amp; Mexico, Industry=Restaurant &amp; Food Service}</t>
  </si>
  <si>
    <t>a0pVT00000Cq0cwYAB</t>
  </si>
  <si>
    <t>{attributes={type=Account, url=/services/data/v62.0/sobjects/Account/0018000001JhzTAAAZ}, PS_Sub_Region__c=Diversified Industries LE CB RHT, Name=KBP Brands, LLC, SubRegion__c=US DI LE CB RHT Central, Industry=Restaurant &amp; Food Service, PS_Region_New__c=US Large Enterprise DI &amp; Mexico}</t>
  </si>
  <si>
    <t>a0pVT00000CpvYQYAZ</t>
  </si>
  <si>
    <t>{Industry=Business Services, attributes={type=Account, url=/services/data/v62.0/sobjects/Account/0018000001FsiQGAAZ}, PS_Region_New__c=US Large Enterprise DI &amp; Mexico, Name=Greystar Global Enterprise, LLC, SubRegion__c=US DI LE CB TM &amp; PS Southeast, PS_Sub_Region__c=Diversified Industries LE CB TM &amp; PS}</t>
  </si>
  <si>
    <t>a0pVT00000Cq1QxYAJ</t>
  </si>
  <si>
    <t>{SubRegion__c=US DI ME NN RHT Northeast, Name=Transervice Logistics Inc., Industry=Land and Rail Transportation and Freight, PS_Region_New__c=US Medium Enterprise DI, PS_Sub_Region__c=ME NN RHT East, attributes={type=Account, url=/services/data/v62.0/sobjects/Account/0018000001ICBUOAA5}}</t>
  </si>
  <si>
    <t>a0pVT00000Cq3uBYAR</t>
  </si>
  <si>
    <t>{PS_Sub_Region__c=ME CB MFG, Industry=Healthcare Manufacturing, Name=Jazz Pharmaceuticals, Inc., attributes={type=Account, url=/services/data/v62.0/sobjects/Account/0018000001Rl1pRAAR}, SubRegion__c=US DI ME CB MFG West, PS_Region_New__c=US Medium Enterprise DI}</t>
  </si>
  <si>
    <t>a0pVT00000CptMzYAJ</t>
  </si>
  <si>
    <t>{attributes={type=Account, url=/services/data/v62.0/sobjects/Account/0018000001WKDOPAA5}, Industry=High Technology, PS_Region_New__c=US Large Enterprise DI &amp; Mexico, SubRegion__c=US DI LE CB TM &amp; PS Northwest, Name=Qualcomm Incorporated, PS_Sub_Region__c=Diversified Industries LE CB TM &amp; PS}</t>
  </si>
  <si>
    <t>a0pVT00000CprZeYAJ</t>
  </si>
  <si>
    <t>0018000001Jj9Z5AAJ</t>
  </si>
  <si>
    <t>{Name=Prime Communications, L.P., PS_Region_New__c=US Large Enterprise DI &amp; Mexico, Industry=Hardlines, PS_Sub_Region__c=Diversified Industries LE NN, SubRegion__c=US DI LE NN RHT South, attributes={url=/services/data/v62.0/sobjects/Account/0018000001Jj9Z5AAJ, type=Account}}</t>
  </si>
  <si>
    <t>a0pVT00000CqAFhYAN</t>
  </si>
  <si>
    <t>{PS_Region_New__c=US Large Enterprise DI &amp; Mexico, attributes={type=Account, url=/services/data/v62.0/sobjects/Account/0018000001Jj9Z5AAJ}, Industry=Hardlines, PS_Sub_Region__c=Diversified Industries LE NN, Name=Prime Communications, L.P., SubRegion__c=US DI LE NN RHT South}</t>
  </si>
  <si>
    <t>a0pVT00000Cq0t4YAB</t>
  </si>
  <si>
    <t>{SubRegion__c=US DI LE NN RHT South, attributes={url=/services/data/v62.0/sobjects/Account/0018000001Jj9Z5AAJ, type=Account}, PS_Region_New__c=US Large Enterprise DI &amp; Mexico, Industry=Hardlines, Name=Prime Communications, L.P., PS_Sub_Region__c=Diversified Industries LE NN}</t>
  </si>
  <si>
    <t>a0pVT00000CpogdYAB</t>
  </si>
  <si>
    <t>{Industry=Hardlines, SubRegion__c=US DI LE NN RHT South, PS_Region_New__c=US Large Enterprise DI &amp; Mexico, Name=Prime Communications, L.P., PS_Sub_Region__c=Diversified Industries LE NN, attributes={url=/services/data/v62.0/sobjects/Account/0018000001Jj9Z5AAJ, type=Account}}</t>
  </si>
  <si>
    <t>a0pVT00000CppWGYAZ</t>
  </si>
  <si>
    <t>{Industry=Hardlines, Name=Prime Communications, L.P., attributes={type=Account, url=/services/data/v62.0/sobjects/Account/0018000001Jj9Z5AAJ}, PS_Region_New__c=US Large Enterprise DI &amp; Mexico, SubRegion__c=US DI LE NN RHT South, PS_Sub_Region__c=Diversified Industries LE NN}</t>
  </si>
  <si>
    <t>a0pVT00000CpvbfYAB</t>
  </si>
  <si>
    <t>{Name=Taco John's International, Inc., PS_Sub_Region__c=ME NN TM &amp; RHT West, PS_Region_New__c=US Medium Enterprise DI, Industry=Restaurant &amp; Food Service, attributes={type=Account, url=/services/data/v62.0/sobjects/Account/0018000001WMHNEAA5}, SubRegion__c=US DI ME NN RHT Mountain}</t>
  </si>
  <si>
    <t>a0pVT00000Cq810YAB</t>
  </si>
  <si>
    <t>{SubRegion__c=US DI ME NN RHT Mountain, attributes={url=/services/data/v62.0/sobjects/Account/0018000001WMHNEAA5, type=Account}, Name=Taco John's International, Inc., Industry=Restaurant &amp; Food Service, PS_Region_New__c=US Medium Enterprise DI, PS_Sub_Region__c=ME NN TM &amp; RHT West}</t>
  </si>
  <si>
    <t>a0pVT00000Cpv5SYAR</t>
  </si>
  <si>
    <t>{SubRegion__c=US DI ME NN RHT Mountain, PS_Sub_Region__c=ME NN TM &amp; RHT West, PS_Region_New__c=US Medium Enterprise DI, Name=Taco John's International, Inc., Industry=Restaurant &amp; Food Service, attributes={url=/services/data/v62.0/sobjects/Account/0018000001WMHNEAA5, type=Account}}</t>
  </si>
  <si>
    <t>a0pVT00000Cq0rTYAR</t>
  </si>
  <si>
    <t>{PS_Sub_Region__c=ME NN TM &amp; RHT West, Industry=Restaurant &amp; Food Service, Name=Taco John's International, Inc., attributes={url=/services/data/v62.0/sobjects/Account/0018000001WMHNEAA5, type=Account}, PS_Region_New__c=US Medium Enterprise DI, SubRegion__c=US DI ME NN RHT Mountain}</t>
  </si>
  <si>
    <t>a0pVT00000Cpy4sYAB</t>
  </si>
  <si>
    <t>{Industry=Other Healthcare, PS_Region_New__c=US Healthcare, SubRegion__c=US Healthcare ME NN Northeast, PS_Sub_Region__c=Healthcare ME, attributes={url=/services/data/v62.0/sobjects/Account/0018000001KdJBLAA3, type=Account}, Name=Vinfen Corporation}</t>
  </si>
  <si>
    <t>a0pVT00000CpxgkYAB</t>
  </si>
  <si>
    <t>0018000001KdJEcAAN</t>
  </si>
  <si>
    <t>{PS_Region_New__c=US Healthcare, Industry=Post Acute, SubRegion__c=US Healthcare ME NN Northeast, PS_Sub_Region__c=Healthcare ME, Name=Metropolitan Jewish Health System, Inc., attributes={type=Account, url=/services/data/v62.0/sobjects/Account/0018000001KdJEcAAN}}</t>
  </si>
  <si>
    <t>a0pVT00000CplqqYAB</t>
  </si>
  <si>
    <t>{PS_Sub_Region__c=Diversified Industries LE CB RHT, Industry=Hardlines, attributes={url=/services/data/v62.0/sobjects/Account/0018000001KdJK7AAN, type=Account}, PS_Region_New__c=US Large Enterprise DI &amp; Mexico, SubRegion__c=US DI LE CB RHT Northeast, Name=US LBM Holdings, LLC}</t>
  </si>
  <si>
    <t>a0pVT00000CwybBYAR</t>
  </si>
  <si>
    <t>{SubRegion__c=US Healthcare ME NN West, attributes={type=Account, url=/services/data/v62.0/sobjects/Account/0018000001KdYurAAF}, PS_Region_New__c=US Healthcare, PS_Sub_Region__c=Healthcare ME, Industry=Post Acute, Name=Touchmark Living Centers, Inc.}</t>
  </si>
  <si>
    <t>a0pVT00000Cq2tHYAR</t>
  </si>
  <si>
    <t>{attributes={type=Account, url=/services/data/v62.0/sobjects/Account/0018000001KdYurAAF}, PS_Region_New__c=US Healthcare, Industry=Post Acute, Name=Touchmark Living Centers, Inc., PS_Sub_Region__c=Healthcare ME, SubRegion__c=US Healthcare ME NN West}</t>
  </si>
  <si>
    <t>a0pVT00000Cq5j4YAB</t>
  </si>
  <si>
    <t>{Industry=Utilities, attributes={type=Account, url=/services/data/v62.0/sobjects/Account/0018000001MuPmYAAV}, PS_Region_New__c=Canada, SubRegion__c=Canada DI LE West, PS_Sub_Region__c=Canada DI LE West, Name=GFL Environmental Inc.}</t>
  </si>
  <si>
    <t>a0pVT00000CqAUDYA3</t>
  </si>
  <si>
    <t>{Name=Natixis North America LLC, attributes={url=/services/data/v62.0/sobjects/Account/0018000001Rl1pfAAB, type=Account}, PS_Region_New__c=US FSI, SubRegion__c=US FSI ME CB Northeast 1, PS_Sub_Region__c=FSI ME CB, Industry=Investment Management}</t>
  </si>
  <si>
    <t>a0pVT00000CqAPNYA3</t>
  </si>
  <si>
    <t>0018000001NSh6jAAD</t>
  </si>
  <si>
    <t>{Name=NRG Energy, Inc., SubRegion__c=null, PS_Sub_Region__c=null, Industry=null, PS_Region_New__c=null, attributes={url=/services/data/v62.0/sobjects/Account/0018000001NSh6jAAD, type=Account}}</t>
  </si>
  <si>
    <t>a0pVT00000CpqosYAB</t>
  </si>
  <si>
    <t>{Name=Alivia Care, Inc. (Inactive Account), PS_Region_New__c=US Healthcare, attributes={url=/services/data/v62.0/sobjects/Account/0018000001OT0mVAAT, type=Account}, Industry=Post Acute, SubRegion__c=US Healthcare ME NN Southeast, PS_Sub_Region__c=Healthcare ME}</t>
  </si>
  <si>
    <t>a0pVT00000Cq6vHYAR</t>
  </si>
  <si>
    <t>{Industry=Post Acute, PS_Sub_Region__c=Healthcare ME, Name=Alivia Care, Inc. (Inactive Account), SubRegion__c=US Healthcare ME NN Southeast, PS_Region_New__c=US Healthcare, attributes={type=Account, url=/services/data/v62.0/sobjects/Account/0018000001OT0mVAAT}}</t>
  </si>
  <si>
    <t>a0pVT00000CppHlYAJ</t>
  </si>
  <si>
    <t>{Industry=Software &amp; Platforms, attributes={type=Account, url=/services/data/v62.0/sobjects/Account/0018000001P4IqpAAF}, SubRegion__c=US DI LE CB TM &amp; PS Southwest, PS_Sub_Region__c=Diversified Industries LE CB TM &amp; PS, PS_Region_New__c=US Large Enterprise DI &amp; Mexico, Name=Procore Technologies Inc.}</t>
  </si>
  <si>
    <t>a0pVT00000CpnkYYAR</t>
  </si>
  <si>
    <t>{PS_Sub_Region__c=Diversified Industries LE CB TM &amp; PS, Industry=Software &amp; Platforms, attributes={url=/services/data/v62.0/sobjects/Account/0018000001P4IqpAAF, type=Account}, Name=Procore Technologies Inc., PS_Region_New__c=US Large Enterprise DI &amp; Mexico, SubRegion__c=US DI LE CB TM &amp; PS Southwest}</t>
  </si>
  <si>
    <t>a0pVT00000Cps4IYAR</t>
  </si>
  <si>
    <t>ReportMonth</t>
  </si>
  <si>
    <t>{Name=UnitingCare Qld Limited (ABN 84 675 001 493), attributes={url=/services/data/v62.0/sobjects/Account/0018000001QRkIDAA1, type=Account}, PS_Sub_Region__c=ANZ AU LE, Industry=Post Acute, SubRegion__c=ANZ AU LE CB, PS_Region_New__c=ANZ}</t>
  </si>
  <si>
    <t>Status</t>
  </si>
  <si>
    <t>Count</t>
  </si>
  <si>
    <t>Percent</t>
  </si>
  <si>
    <t>a0pVT00000CptA3YAJ</t>
  </si>
  <si>
    <t>{SubRegion__c=US FSI LE West, attributes={type=Account, url=/services/data/v62.0/sobjects/Account/0018000001TC168AAD}, Name=AssuredPartners, Inc., PS_Sub_Region__c=FSI LE, Industry=Insurance, PS_Region_New__c=US FSI}</t>
  </si>
  <si>
    <t>a0pVT00000Cq7UkYAJ</t>
  </si>
  <si>
    <t>{Name=FMI, Industry=Restaurant &amp; Food Service, PS_Region_New__c=Canada, SubRegion__c=Canada DI LE East, PS_Sub_Region__c=Canada DI LE East, attributes={type=Account, url=/services/data/v62.0/sobjects/Account/0018000001V50FBAAZ}}</t>
  </si>
  <si>
    <t>Total</t>
  </si>
  <si>
    <t>a0pVT00000Cpy1hYAB</t>
  </si>
  <si>
    <t>{Industry=Restaurant &amp; Food Service, PS_Region_New__c=Canada, attributes={url=/services/data/v62.0/sobjects/Account/0018000001V50FBAAZ, type=Account}, PS_Sub_Region__c=Canada DI LE East, SubRegion__c=Canada DI LE East, Name=FMI}</t>
  </si>
  <si>
    <t>a0pVT00000Cq0jRYAR</t>
  </si>
  <si>
    <t>{PS_Sub_Region__c=Canada DI LE East, Industry=Restaurant &amp; Food Service, Name=FMI, SubRegion__c=Canada DI LE East, PS_Region_New__c=Canada, attributes={url=/services/data/v62.0/sobjects/Account/0018000001V50FBAAZ, type=Account}}</t>
  </si>
  <si>
    <t>a0pVT00000Cpa0yYAB</t>
  </si>
  <si>
    <t>{PS_Region_New__c=Canada, attributes={url=/services/data/v62.0/sobjects/Account/0018000001V50FBAAZ, type=Account}, Name=FMI, SubRegion__c=Canada DI LE East, PS_Sub_Region__c=Canada DI LE East, Industry=Restaurant &amp; Food Service}</t>
  </si>
  <si>
    <t>a0pVT00000CqAVpYAN</t>
  </si>
  <si>
    <t>{PS_Sub_Region__c=ME CB MFG, Industry=Industrial Manufacturing, Name=Packsize LLC, attributes={type=Account, url=/services/data/v62.0/sobjects/Account/0018000001W8BHyAAN}, SubRegion__c=US DI ME CB MFG West, PS_Region_New__c=US Medium Enterprise DI}</t>
  </si>
  <si>
    <t>a0pVT00000CqAXRYA3</t>
  </si>
  <si>
    <t>{SubRegion__c=US DI ME CB TM Southeast, attributes={url=/services/data/v62.0/sobjects/Account/0018000001WLa9bAAD, type=Account}, PS_Sub_Region__c=ME CB TM &amp; RHT, Name=Savista, LLC, PS_Region_New__c=US Medium Enterprise DI, Industry=Software &amp; Platforms}</t>
  </si>
  <si>
    <t>a0pVT00000CpzH5YAJ</t>
  </si>
  <si>
    <t>{Name=Sidney Health Center, PS_Sub_Region__c=ME Commercial West, attributes={type=Account, url=/services/data/v62.0/sobjects/Account/0018000001WMFM5AAP}, Industry=Acute Hospital / Health System, SubRegion__c=US DI Commercial NN Northwest, PS_Region_New__c=US Medium Enterprise DI}</t>
  </si>
  <si>
    <t>a0pVT00000CptN0YAJ</t>
  </si>
  <si>
    <t>{PS_Sub_Region__c=FSI ME CB, SubRegion__c=US FSI ME CB South, attributes={url=/services/data/v62.0/sobjects/Account/0018000001WMFPYAA5, type=Account}, Industry=Investment Management, Name=THR Property Management L.P., PS_Region_New__c=US FSI}</t>
  </si>
  <si>
    <t>a0pVT00000CqAafYAF</t>
  </si>
  <si>
    <t>{SubRegion__c=US FSI ME CB South, PS_Region_New__c=US FSI, Industry=Investment Management, Name=THR Property Management L.P., attributes={url=/services/data/v62.0/sobjects/Account/0018000001WMFPYAA5, type=Account}, PS_Sub_Region__c=FSI ME CB}</t>
  </si>
  <si>
    <t>a0pVT00000CpvYRYAZ</t>
  </si>
  <si>
    <t>{attributes={type=Account, url=/services/data/v62.0/sobjects/Account/0018000001WMFfZAAX}, Industry=Materials, PS_Sub_Region__c=ME NN MFG, Name=Southern Champion Tray, L.P., SubRegion__c=US DI ME NN MFG South, PS_Region_New__c=US Medium Enterprise DI}</t>
  </si>
  <si>
    <t>a0pVT00000Cq6qRYAR</t>
  </si>
  <si>
    <t>{attributes={url=/services/data/v62.0/sobjects/Account/0018000001WMG6fAAH, type=Account}, SubRegion__c=US DI ME CB MFG North, Name=The Winebow Group LLC, PS_Sub_Region__c=ME CB MFG, Industry=Consumer Goods, PS_Region_New__c=US Medium Enterprise DI}</t>
  </si>
  <si>
    <t>a0pVT00000CppnyYAB</t>
  </si>
  <si>
    <t>{Name=High Sierra Pools, Inc., PS_Sub_Region__c=ME NN PBS, Industry=Business Services, SubRegion__c=US DI ME NN PBS Mid-Atlantic, attributes={type=Account, url=/services/data/v62.0/sobjects/Account/0018000001WMGKlAAP}, PS_Region_New__c=US Medium Enterprise DI}</t>
  </si>
  <si>
    <t>a0pVT00000Cq4YVYAZ</t>
  </si>
  <si>
    <t>{PS_Region_New__c=US Medium Enterprise DI, SubRegion__c=US DI ME NN PBS Mid-Atlantic, Industry=Business Services, PS_Sub_Region__c=ME NN PBS, Name=High Sierra Pools, Inc., attributes={url=/services/data/v62.0/sobjects/Account/0018000001WMGKlAAP, type=Account}}</t>
  </si>
  <si>
    <t>a0pVT00000Cpy3HYAR</t>
  </si>
  <si>
    <t>{PS_Sub_Region__c=ME NN RHT East, Industry=Land and Rail Transportation and Freight, PS_Region_New__c=US Medium Enterprise DI, SubRegion__c=US DI ME NN RHT TOLA, Name=Melton Truck Lines, Inc., attributes={url=/services/data/v62.0/sobjects/Account/0018000001WMGfxAAH, type=Account}}</t>
  </si>
  <si>
    <t>a0pVT00000Cq7cpYAB</t>
  </si>
  <si>
    <t>{SubRegion__c=US DI ME NN RHT TOLA, PS_Sub_Region__c=ME NN RHT East, Industry=Land and Rail Transportation and Freight, attributes={type=Account, url=/services/data/v62.0/sobjects/Account/0018000001WMGfxAAH}, Name=Melton Truck Lines, Inc., PS_Region_New__c=US Medium Enterprise DI}</t>
  </si>
  <si>
    <t>a0pVT00000CqAfVYAV</t>
  </si>
  <si>
    <t>{PS_Sub_Region__c=ME NN PBS, attributes={url=/services/data/v62.0/sobjects/Account/0018000001WMHJlAAP, type=Account}, SubRegion__c=US DI ME NN PBS Midwest, PS_Region_New__c=US Medium Enterprise DI, Industry=Architecture, Engineering &amp; Construction, Name=Ulteig Engineers, Inc.}</t>
  </si>
  <si>
    <t>a0pVT00000Cpy3IYAR</t>
  </si>
  <si>
    <t>{PS_Sub_Region__c=Healthcare LE, Industry=Post Acute, attributes={type=Account, url=/services/data/v62.0/sobjects/Account/0018000001XkRioAAF}, SubRegion__c=US Healthcare LE NN East, PS_Region_New__c=US Healthcare, Name=Centers Health Care}</t>
  </si>
  <si>
    <t>a0pVT00000Cq5MVYAZ</t>
  </si>
  <si>
    <t>{PS_Sub_Region__c=ME CB PBS, SubRegion__c=US DI ME CB PBS Northeast, PS_Region_New__c=US Medium Enterprise DI, Name=Do It, LLC., Industry=Professional Services, attributes={url=/services/data/v62.0/sobjects/Account/0018000001YoBMJAA3, type=Account}}</t>
  </si>
  <si>
    <t>a0pVT00000Cq3NvYAJ</t>
  </si>
  <si>
    <t>{PS_Region_New__c=US Medium Enterprise DI, Name=Do It, LLC., Industry=Professional Services, attributes={type=Account, url=/services/data/v62.0/sobjects/Account/0018000001YoBMJAA3}, SubRegion__c=US DI ME CB PBS Northeast, PS_Sub_Region__c=ME CB PBS}</t>
  </si>
  <si>
    <t>a0pVT00000Cpo5WYAR</t>
  </si>
  <si>
    <t>{PS_Sub_Region__c=ME CB PBS, Name=Do It, LLC., SubRegion__c=US DI ME CB PBS Northeast, PS_Region_New__c=US Medium Enterprise DI, attributes={url=/services/data/v62.0/sobjects/Account/0018000001YoBMJAA3, type=Account}, Industry=Professional Services}</t>
  </si>
  <si>
    <t>a0pVT00000CptoNYAR</t>
  </si>
  <si>
    <t>{PS_Region_New__c=US Medium Enterprise DI, attributes={url=/services/data/v62.0/sobjects/Account/0018000001YoBMJAA3, type=Account}, Name=Do It, LLC., PS_Sub_Region__c=ME CB PBS, Industry=Professional Services, SubRegion__c=US DI ME CB PBS Northeast}</t>
  </si>
  <si>
    <t>a0pVT00000Cq0WWYAZ</t>
  </si>
  <si>
    <t>{PS_Region_New__c=US Medium Enterprise DI, attributes={type=Account, url=/services/data/v62.0/sobjects/Account/0018000001YoBMJAA3}, Name=Do It, LLC., PS_Sub_Region__c=ME CB PBS, SubRegion__c=US DI ME CB PBS Northeast, Industry=Professional Services}</t>
  </si>
  <si>
    <t>a0pVT00000CqAijYAF</t>
  </si>
  <si>
    <t>{Name=KIPP Texas, attributes={url=/services/data/v62.0/sobjects/Account/0018000001eWAocAAG, type=Account}, PS_Sub_Region__c=Higher Education LE, Industry=Non-Profit, SubRegion__c=US NFP NN West, PS_Region_New__c=US SLED}</t>
  </si>
  <si>
    <t>a0pVT00000CpsFfYAJ</t>
  </si>
  <si>
    <t>{PS_Region_New__c=US SLED, SubRegion__c=US NFP NN West, Name=KIPP Texas, PS_Sub_Region__c=Higher Education LE, attributes={type=Account, url=/services/data/v62.0/sobjects/Account/0018000001eWAocAAG}, Industry=Non-Profit}</t>
  </si>
  <si>
    <t>a0pVT00000CpzIgYAJ</t>
  </si>
  <si>
    <t>{PS_Sub_Region__c=Healthcare LE, Name=BW NHHC Holdco, Inc. DBA Elara Caring, Industry=Post Acute, SubRegion__c=US Healthcare LE CB South, PS_Region_New__c=US Healthcare, attributes={url=/services/data/v62.0/sobjects/Account/0018000001f5dU5AAI, type=Account}}</t>
  </si>
  <si>
    <t>a0pVT00000Cpn9VYAR</t>
  </si>
  <si>
    <t>{Industry=Business Services, Name=The Cleaning Authority, LLC, PS_Region_New__c=US Medium Enterprise DI, attributes={url=/services/data/v62.0/sobjects/Account/001VT00000b2kpUYAQ, type=Account}, SubRegion__c=US DI ME NN PBS Mid-Atlantic, PS_Sub_Region__c=ME NN PBS}</t>
  </si>
  <si>
    <t>a0pVT00000Cq9Q7YAJ</t>
  </si>
  <si>
    <t>{SubRegion__c=US DI ME NN PBS Mid-Atlantic, attributes={type=Account, url=/services/data/v62.0/sobjects/Account/001VT00000b2kpUYAQ}, Name=The Cleaning Authority, LLC, PS_Sub_Region__c=ME NN PBS, Industry=Business Services, PS_Region_New__c=US Medium Enterprise DI}</t>
  </si>
  <si>
    <t>a0pVT00000Cq1aeYAB</t>
  </si>
  <si>
    <t>{Name=The Cleaning Authority, LLC, SubRegion__c=US DI ME NN PBS Mid-Atlantic, Industry=Business Services, PS_Region_New__c=US Medium Enterprise DI, PS_Sub_Region__c=ME NN PBS, attributes={url=/services/data/v62.0/sobjects/Account/001VT00000b2kpUYAQ, type=Account}}</t>
  </si>
  <si>
    <t>a0pVT00000CpzVdYAJ</t>
  </si>
  <si>
    <t>{attributes={url=/services/data/v62.0/sobjects/Account/001VT00000b2kpUYAQ, type=Account}, PS_Region_New__c=US Medium Enterprise DI, Industry=Business Services, SubRegion__c=US DI ME NN PBS Mid-Atlantic, PS_Sub_Region__c=ME NN PBS, Name=The Cleaning Authority, LLC}</t>
  </si>
  <si>
    <t>a0pVT00000CptV2YAJ</t>
  </si>
  <si>
    <t>{Industry=Auto, PS_Sub_Region__c=ME Commercial West, attributes={type=Account, url=/services/data/v62.0/sobjects/Account/001VT00000FYY6hYAH}, SubRegion__c=US DI Commercial NN Southwest, Name=Mike Maroone Automotive, PS_Region_New__c=US Medium Enterprise DI}</t>
  </si>
  <si>
    <t>a0pVT00000CpotYYAR</t>
  </si>
  <si>
    <t>{PS_Region_New__c=US Medium Enterprise DI, Name=Mike Maroone Automotive, Industry=Auto, PS_Sub_Region__c=ME Commercial West, SubRegion__c=US DI Commercial NN Southwest, attributes={url=/services/data/v62.0/sobjects/Account/001VT00000FYY6hYAH, type=Account}}</t>
  </si>
  <si>
    <t>a0pVT00000Cq3NwYAJ</t>
  </si>
  <si>
    <t>{PS_Sub_Region__c=ME Commercial West, SubRegion__c=US DI Commercial NN Southwest, Name=Mike Maroone Automotive, attributes={url=/services/data/v62.0/sobjects/Account/001VT00000FYY6hYAH, type=Account}, PS_Region_New__c=US Medium Enterprise DI, Industry=Auto}</t>
  </si>
  <si>
    <t>a0pVT00000CqAlxYAF</t>
  </si>
  <si>
    <t>{PS_Region_New__c=US Medium Enterprise DI, attributes={url=/services/data/v62.0/sobjects/Account/001VT00000FYY6hYAH, type=Account}, Name=Mike Maroone Automotive, SubRegion__c=US DI Commercial NN Southwest, Industry=Auto, PS_Sub_Region__c=ME Commercial West}</t>
  </si>
  <si>
    <t>a0pVT00000Cq0THYAZ</t>
  </si>
  <si>
    <t>{PS_Sub_Region__c=ME Commercial West, Name=The Maids of Southern New Hampshire, attributes={type=Account, url=/services/data/v62.0/sobjects/Account/001VT00000NlfDnYAJ}, PS_Region_New__c=US Medium Enterprise DI, SubRegion__c=US DI Commercial NN Central, Industry=Business Services}</t>
  </si>
  <si>
    <t>a0pVT00000CpvqAYAR</t>
  </si>
  <si>
    <t>{attributes={url=/services/data/v62.0/sobjects/Account/001VT00000NlfDnYAJ, type=Account}, PS_Region_New__c=US Medium Enterprise DI, Industry=Business Services, SubRegion__c=US DI Commercial NN Central, PS_Sub_Region__c=ME Commercial West, Name=The Maids of Southern New Hampshire}</t>
  </si>
  <si>
    <t>a0pVT00000Cq9Q6YAJ</t>
  </si>
  <si>
    <t>{Industry=Business Services, PS_Region_New__c=US Medium Enterprise DI, attributes={type=Account, url=/services/data/v62.0/sobjects/Account/001VT00000NlfDnYAJ}, PS_Sub_Region__c=ME Commercial West, Name=The Maids of Southern New Hampshire, SubRegion__c=US DI Commercial NN Central}</t>
  </si>
  <si>
    <t>a0pVT00000CpwhOYAR</t>
  </si>
  <si>
    <t>{Name=The Maids of Southern New Hampshire, PS_Sub_Region__c=ME Commercial West, Industry=Business Services, attributes={type=Account, url=/services/data/v62.0/sobjects/Account/001VT00000NlfDnYAJ}, SubRegion__c=US DI Commercial NN Central, PS_Region_New__c=US Medium Enterprise DI}</t>
  </si>
  <si>
    <t>a0pVT00000CqAu1YAF</t>
  </si>
  <si>
    <t>{Name=P. B. Bell Asset Management, Inc., SubRegion__c=US DI Commercial NN TOLA, PS_Region_New__c=US Medium Enterprise DI, Industry=Business Services, attributes={type=Account, url=/services/data/v62.0/sobjects/Account/001VT00000NmsnKYAR}, PS_Sub_Region__c=ME Commercial West}</t>
  </si>
  <si>
    <t>a0pVT00000Cq00EYAR</t>
  </si>
  <si>
    <t>{Name=Total Care Connections Inc., PS_Region_New__c=US Healthcare, attributes={url=/services/data/v62.0/sobjects/Account/001VT00000W06MRYAZ, type=Account}, SubRegion__c=US Healthcare ME NN West, Industry=Post Acute, PS_Sub_Region__c=Healthcare ME}</t>
  </si>
  <si>
    <t>a0pVT00000CppsrYAB</t>
  </si>
  <si>
    <t>{Industry=Post Acute, SubRegion__c=US Healthcare ME NN West, PS_Sub_Region__c=Healthcare ME, Name=Total Care Connections Inc., PS_Region_New__c=US Healthcare, attributes={type=Account, url=/services/data/v62.0/sobjects/Account/001VT00000W06MRYAZ}}</t>
  </si>
  <si>
    <t>a0pVT00000Cq6DjYAJ</t>
  </si>
  <si>
    <t>{Name=Total Care Connections Inc., PS_Region_New__c=US Healthcare, Industry=Post Acute, attributes={type=Account, url=/services/data/v62.0/sobjects/Account/001VT00000W06MRYAZ}, PS_Sub_Region__c=Healthcare ME, SubRegion__c=US Healthcare ME NN West}</t>
  </si>
  <si>
    <t>a0pVT00000Cq4ocYAB</t>
  </si>
  <si>
    <t>{attributes={url=/services/data/v62.0/sobjects/Account/001VT00000W06MRYAZ, type=Account}, Industry=Post Acute, PS_Sub_Region__c=Healthcare ME, SubRegion__c=US Healthcare ME NN West, PS_Region_New__c=US Healthcare, Name=Total Care Connections Inc.}</t>
  </si>
  <si>
    <t>a0pVT00000Cq8vUYAR</t>
  </si>
  <si>
    <t>{Industry=Non-Profit, Name=Elim Christian Services, PS_Sub_Region__c=Higher Education LE, attributes={url=/services/data/v62.0/sobjects/Account/001VT00000OY40AYAT, type=Account}, SubRegion__c=US NFP NN West, PS_Region_New__c=US SLED}</t>
  </si>
  <si>
    <t>a0pVT00000CpkQ6YAJ</t>
  </si>
  <si>
    <t>{SubRegion__c=US Local Gov ME NN West, attributes={type=Account, url=/services/data/v62.0/sobjects/Account/001VT00000b2lYcYAI}, Name=Agua Fria Union High School District, PS_Region_New__c=US SLED, PS_Sub_Region__c=Local Government ME, Industry=Education (K-12)}</t>
  </si>
  <si>
    <t>a0pVT00000Cq2utYAB</t>
  </si>
  <si>
    <t>{attributes={type=Account, url=/services/data/v62.0/sobjects/Account/001VT00000W5n45YAB}, PS_Region_New__c=US Medium Enterprise DI, Industry=Other Healthcare, Name=Legacy Behavioral Health Center, SubRegion__c=US DI Commercial NN Southeast, PS_Sub_Region__c=ME Commercial East}</t>
  </si>
  <si>
    <t>a0pVT00000CpuEDYAZ</t>
  </si>
  <si>
    <t>{Name=Iron Horse Companies, SubRegion__c=US DI Commercial NN TOLA, Industry=Architecture, Engineering &amp; Construction, PS_Sub_Region__c=ME Commercial West, attributes={url=/services/data/v62.0/sobjects/Account/001VT00000W7QbGYAV, type=Account}, PS_Region_New__c=US Medium Enterprise DI}</t>
  </si>
  <si>
    <t>a0pVT00000Cq90IYAR</t>
  </si>
  <si>
    <t>{SubRegion__c=US DI Commercial NN TOLA, PS_Sub_Region__c=ME Commercial West, attributes={url=/services/data/v62.0/sobjects/Account/001VT00000W7QbGYAV, type=Account}, Industry=Architecture, Engineering &amp; Construction, Name=Iron Horse Companies, PS_Region_New__c=US Medium Enterprise DI}</t>
  </si>
  <si>
    <t>a0pVT00000CqAxFYAV</t>
  </si>
  <si>
    <t>{Name=Iron Horse Companies, PS_Sub_Region__c=ME Commercial West, SubRegion__c=US DI Commercial NN TOLA, attributes={url=/services/data/v62.0/sobjects/Account/001VT00000W7QbGYAV, type=Account}, Industry=Architecture, Engineering &amp; Construction, PS_Region_New__c=US Medium Enterprise DI}</t>
  </si>
  <si>
    <t>a0pVT00000CpvqBYAR</t>
  </si>
  <si>
    <t>{PS_Region_New__c=US Medium Enterprise DI, attributes={type=Account, url=/services/data/v62.0/sobjects/Account/001VT00000W7QbGYAV}, Name=Iron Horse Companies, PS_Sub_Region__c=ME Commercial West, SubRegion__c=US DI Commercial NN TOLA, Industry=Architecture, Engineering &amp; Construction}</t>
  </si>
  <si>
    <t>a0pVT00000CpuR4YAJ</t>
  </si>
  <si>
    <t>{Name=Continental Siding, SubRegion__c=US DI Commercial NN Central, PS_Sub_Region__c=ME Commercial West, Industry=Architecture, Engineering &amp; Construction, attributes={url=/services/data/v62.0/sobjects/Account/001VT00000b1zsAYAQ, type=Account}, PS_Region_New__c=US Medium Enterprise DI}</t>
  </si>
  <si>
    <t>a0pVT00000CqAyrYAF</t>
  </si>
  <si>
    <t>{Industry=Architecture, Engineering &amp; Construction, Name=Continental Siding, PS_Region_New__c=US Medium Enterprise DI, attributes={type=Account, url=/services/data/v62.0/sobjects/Account/001VT00000b1zsAYAQ}, SubRegion__c=US DI Commercial NN Central, PS_Sub_Region__c=ME Commercial West}</t>
  </si>
  <si>
    <t>a0pVT00000CqB0TYAV</t>
  </si>
  <si>
    <t>{SubRegion__c=US DI Commercial NN Central, attributes={type=Account, url=/services/data/v62.0/sobjects/Account/001VT00000b1zsAYAQ}, PS_Sub_Region__c=ME Commercial West, Name=Continental Siding, Industry=Architecture, Engineering &amp; Construction, PS_Region_New__c=US Medium Enterprise DI}</t>
  </si>
  <si>
    <t>a0pVT00000Cq5mIYAR</t>
  </si>
  <si>
    <t>{SubRegion__c=US DI Commercial NN Central, PS_Region_New__c=US Medium Enterprise DI, attributes={url=/services/data/v62.0/sobjects/Account/001VT00000b1zsAYAQ, type=Account}, Name=Continental Siding, Industry=Architecture, Engineering &amp; Construction, PS_Sub_Region__c=ME Commercial West}</t>
  </si>
  <si>
    <t>a0pVT00000CqB6vYAF</t>
  </si>
  <si>
    <t>{PS_Sub_Region__c=ME Commercial East, Industry=Other Healthcare, Name=Multilingual Psychotherapy Centers, Inc, attributes={type=Account, url=/services/data/v62.0/sobjects/Account/001VT00000b2LzAYAU}, PS_Region_New__c=US Medium Enterprise DI, SubRegion__c=US DI Commercial NN Southeast}</t>
  </si>
  <si>
    <t>a0pVT00000Cq3R8YAJ</t>
  </si>
  <si>
    <t>{PS_Sub_Region__c=Diversified Industries LE NN, attributes={type=Account, url=/services/data/v62.0/sobjects/Account/001VT00000b2jJvYAI}, Industry=Restaurant &amp; Food Service, PS_Region_New__c=US Large Enterprise DI &amp; Mexico, SubRegion__c=US DI LE NN RHT North, Name=Saucy! by KFC}</t>
  </si>
  <si>
    <t>a0pVT00000Cq894YAB</t>
  </si>
  <si>
    <t>{PS_Region_New__c=US Large Enterprise DI &amp; Mexico, SubRegion__c=US DI LE NN RHT North, PS_Sub_Region__c=Diversified Industries LE NN, attributes={type=Account, url=/services/data/v62.0/sobjects/Account/001VT00000b2jJvYAI}, Industry=Restaurant &amp; Food Service, Name=Saucy! by KFC}</t>
  </si>
  <si>
    <t>a0pVT00000CpvOkYAJ</t>
  </si>
  <si>
    <t>{SubRegion__c=US DI LE NN RHT North, PS_Sub_Region__c=Diversified Industries LE NN, Industry=Restaurant &amp; Food Service, Name=Saucy! by KFC, attributes={type=Account, url=/services/data/v62.0/sobjects/Account/001VT00000b2jJvYAI}, PS_Region_New__c=US Large Enterprise DI &amp; Mexico}</t>
  </si>
  <si>
    <t>a0pVT00000Cq8VfYAJ</t>
  </si>
  <si>
    <t>{PS_Sub_Region__c=Diversified Industries LE NN, SubRegion__c=US DI LE NN RHT North, Industry=Restaurant &amp; Food Service, PS_Region_New__c=US Large Enterprise DI &amp; Mexico, attributes={url=/services/data/v62.0/sobjects/Account/001VT00000b2jJvYAI, type=Account}, Name=Saucy! by KFC}</t>
  </si>
  <si>
    <t>a0pVT00000CptI8YAJ</t>
  </si>
  <si>
    <t>{PS_Sub_Region__c=ANZ AU ME, Name=Wend Australia Pty Ltd, SubRegion__c=ANZ AU ME NN SOUTH / COM, Industry=Restaurant &amp; Food Service, PS_Region_New__c=ANZ, attributes={url=/services/data/v62.0/sobjects/Account/001VT00000b2PZiYAM, type=Account}}</t>
  </si>
  <si>
    <t>a0pVT00000Cq6LmYAJ</t>
  </si>
  <si>
    <t>{PS_Region_New__c=ANZ, attributes={url=/services/data/v62.0/sobjects/Account/001VT00000b2PZiYAM, type=Account}, Name=Wend Australia Pty Ltd, PS_Sub_Region__c=ANZ AU ME, SubRegion__c=ANZ AU ME NN SOUTH / COM, Industry=Restaurant &amp; Food Service}</t>
  </si>
  <si>
    <t>a0pVT00000CqB8XYAV</t>
  </si>
  <si>
    <t>{attributes={type=Account, url=/services/data/v62.0/sobjects/Account/001VT00000b2PZiYAM}, PS_Sub_Region__c=ANZ AU ME, SubRegion__c=ANZ AU ME NN SOUTH / COM, PS_Region_New__c=ANZ, Name=Wend Australia Pty Ltd, Industry=Restaurant &amp; Food Service}</t>
  </si>
  <si>
    <t>a0pVT00000CptoOYAR</t>
  </si>
  <si>
    <t>{SubRegion__c=ANZ AU ME NN SOUTH / COM, Industry=Restaurant &amp; Food Service, PS_Sub_Region__c=ANZ AU ME, attributes={type=Account, url=/services/data/v62.0/sobjects/Account/001VT00000b2PZiYAM}, PS_Region_New__c=ANZ, Name=Wend Australia Pty Ltd}</t>
  </si>
  <si>
    <t>a0pVT00000CpqfCYAR</t>
  </si>
  <si>
    <t>{attributes={url=/services/data/v62.0/sobjects/Account/001VT00000b2TTeYAM, type=Account}, PS_Region_New__c=US SLED, PS_Sub_Region__c=Higher Education LE, Name=Education At Work, SubRegion__c=US NFP NN West, Industry=Non-Profit}</t>
  </si>
  <si>
    <t>a0pVT00000CqAUEYA3</t>
  </si>
  <si>
    <t>{PS_Sub_Region__c=Higher Education LE, attributes={url=/services/data/v62.0/sobjects/Account/001VT00000b2UrAYAU, type=Account}, PS_Region_New__c=US SLED, Name=Sos Children'S Village Florida, SubRegion__c=US NFP NN East, Industry=Non-Profit}</t>
  </si>
  <si>
    <t>a0pVT00000CprctYAB</t>
  </si>
  <si>
    <t>{PS_Region_New__c=US Medium Enterprise DI, SubRegion__c=US DI Commercial NN Southeast, attributes={url=/services/data/v62.0/sobjects/Account/001VT00000b2VnDYAU, type=Account}, Industry=Auto, PS_Sub_Region__c=ME Commercial East, Name=Express Care Valvoline}</t>
  </si>
  <si>
    <t>a0pVT00000Cq7uZYAR</t>
  </si>
  <si>
    <t>{SubRegion__c=US DI Commercial NN Southeast, PS_Sub_Region__c=ME Commercial East, attributes={url=/services/data/v62.0/sobjects/Account/001VT00000b2VnDYAU, type=Account}, Industry=Auto, PS_Region_New__c=US Medium Enterprise DI, Name=Express Care Valvoline}</t>
  </si>
  <si>
    <t>a0pVT00000Cpt0PYAR</t>
  </si>
  <si>
    <t>{Industry=Auto, PS_Sub_Region__c=ME Commercial East, Name=Express Care Valvoline, PS_Region_New__c=US Medium Enterprise DI, SubRegion__c=US DI Commercial NN Southeast, attributes={type=Account, url=/services/data/v62.0/sobjects/Account/001VT00000b2VnDYAU}}</t>
  </si>
  <si>
    <t>a0pVT00000CpoOwYAJ</t>
  </si>
  <si>
    <t>{Industry=Auto, PS_Region_New__c=US Medium Enterprise DI, SubRegion__c=US DI Commercial NN Southeast, attributes={url=/services/data/v62.0/sobjects/Account/001VT00000b2VnDYAU, type=Account}, Name=Express Care Valvoline, PS_Sub_Region__c=ME Commercial East}</t>
  </si>
  <si>
    <t>a0pVT00000CqAu3YAF</t>
  </si>
  <si>
    <t>{PS_Region_New__c=US Medium Enterprise DI, Industry=Auto, Name=Express Care Valvoline, attributes={type=Account, url=/services/data/v62.0/sobjects/Account/001VT00000b2VnDYAU}, PS_Sub_Region__c=ME Commercial East, SubRegion__c=US DI Commercial NN Southeast}</t>
  </si>
  <si>
    <t>a0pVT00000CpoNJYAZ</t>
  </si>
  <si>
    <t>{Industry=Utilities, SubRegion__c=US DI Commercial NN Central, Name=South Adams County Water and Sanitation District, attributes={type=Account, url=/services/data/v62.0/sobjects/Account/001VT00000b2kcZYAQ}, PS_Sub_Region__c=ME Commercial West, PS_Region_New__c=US Medium Enterprise DI}</t>
  </si>
  <si>
    <t>a0pVT00000Cpp01YAB</t>
  </si>
  <si>
    <t>{PS_Sub_Region__c=ME Commercial HRScale, SubRegion__c=US DI Commercial HRScale, PS_Region_New__c=US Medium Enterprise DI, Industry=Restaurant &amp; Food Service, Name=Florida Georgia Line Operator Business Unit Association, attributes={type=Account, url=/services/data/v62.0/sobjects/Account/001VT00000b2XaVYAU}}</t>
  </si>
  <si>
    <t>a0pVT00000CqBEzYAN</t>
  </si>
  <si>
    <t>{Industry=Professional Services, PS_Sub_Region__c=Diversified Industries LE NN, attributes={url=/services/data/v62.0/sobjects/Account/001VT00000b2YLMYA2, type=Account}, Name=Gainwell Technologies LLC, PS_Region_New__c=US Large Enterprise DI &amp; Mexico, SubRegion__c=US DI LE NN TM &amp; PS East}</t>
  </si>
  <si>
    <t>a0pVT00000Cq4QQYAZ</t>
  </si>
  <si>
    <t>{SubRegion__c=US DI Commercial NN TOLA, Industry=Restaurant &amp; Food Service, PS_Sub_Region__c=ME Commercial West, Name=KYMBB LLC, attributes={type=Account, url=/services/data/v62.0/sobjects/Account/001VT00000b2bcXYAQ}, PS_Region_New__c=US Medium Enterprise DI}</t>
  </si>
  <si>
    <t>a0pVT00000CpwXlYAJ</t>
  </si>
  <si>
    <t>{attributes={type=Account, url=/services/data/v62.0/sobjects/Account/001VT00000b2bcXYAQ}, SubRegion__c=US DI Commercial NN TOLA, Industry=Restaurant &amp; Food Service, PS_Sub_Region__c=ME Commercial West, Name=KYMBB LLC, PS_Region_New__c=US Medium Enterprise DI}</t>
  </si>
  <si>
    <t>a0pVT00000Cpr0CYAR</t>
  </si>
  <si>
    <t>{PS_Sub_Region__c=ME Commercial West, SubRegion__c=US DI Commercial NN TOLA, attributes={url=/services/data/v62.0/sobjects/Account/001VT00000b2bcXYAQ, type=Account}, PS_Region_New__c=US Medium Enterprise DI, Name=KYMBB LLC, Industry=Restaurant &amp; Food Service}</t>
  </si>
  <si>
    <t>a0pVT00000Cq5uNYAR</t>
  </si>
  <si>
    <t>{Name=KYMBB LLC, Industry=Restaurant &amp; Food Service, PS_Region_New__c=US Medium Enterprise DI, attributes={type=Account, url=/services/data/v62.0/sobjects/Account/001VT00000b2bcXYAQ}, PS_Sub_Region__c=ME Commercial West, SubRegion__c=US DI Commercial NN TOLA}</t>
  </si>
  <si>
    <t>a0pVT00000CqBGbYAN</t>
  </si>
  <si>
    <t>{Industry=Software &amp; Platforms, attributes={url=/services/data/v62.0/sobjects/Account/001VT00000b2f9qYAA, type=Account}, PS_Region_New__c=US Medium Enterprise DI, SubRegion__c=US DI Commercial NN Southwest, PS_Sub_Region__c=ME Commercial West, Name=Room Choice, Inc}</t>
  </si>
  <si>
    <t>a0pVT00000CqBIDYA3</t>
  </si>
  <si>
    <t>{PS_Region_New__c=US Large Enterprise DI &amp; Mexico, Name=Southern California Pizza Company, LLC dba American West Restaurant Group, Industry=Restaurant &amp; Food Service, attributes={url=/services/data/v62.0/sobjects/Account/001VT00000b2ikQYAQ, type=Account}, PS_Sub_Region__c=Diversified Industries LE NN, SubRegion__c=US DI LE NN RHT West}</t>
  </si>
  <si>
    <t>a0pVT00000Cq7o7YAB</t>
  </si>
  <si>
    <t>{attributes={type=Account, url=/services/data/v62.0/sobjects/Account/001VT00000b2ikQYAQ}, Name=Southern California Pizza Company, LLC dba American West Restaurant Group, Industry=Restaurant &amp; Food Service, PS_Region_New__c=US Large Enterprise DI &amp; Mexico, SubRegion__c=US DI LE NN RHT West, PS_Sub_Region__c=Diversified Industries LE NN}</t>
  </si>
  <si>
    <t>a0pVT00000Cq0zXYAR</t>
  </si>
  <si>
    <t>{attributes={url=/services/data/v62.0/sobjects/Account/001VT00000b2ikQYAQ, type=Account}, Name=Southern California Pizza Company, LLC dba American West Restaurant Group, Industry=Restaurant &amp; Food Service, PS_Sub_Region__c=Diversified Industries LE NN, SubRegion__c=US DI LE NN RHT West, PS_Region_New__c=US Large Enterprise DI &amp; Mexico}</t>
  </si>
  <si>
    <t>a0pVT00000Cq74zYAB</t>
  </si>
  <si>
    <t>{attributes={url=/services/data/v62.0/sobjects/Account/001VT00000b2ikQYAQ, type=Account}, PS_Region_New__c=US Large Enterprise DI &amp; Mexico, Name=Southern California Pizza Company, LLC dba American West Restaurant Group, SubRegion__c=US DI LE NN RHT West, Industry=Restaurant &amp; Food Service, PS_Sub_Region__c=Diversified Industries LE NN}</t>
  </si>
  <si>
    <t>a0pVT00000CptuqYAB</t>
  </si>
  <si>
    <t>{Name=Taylor Design, SubRegion__c=US DI Commercial NN Southwest, PS_Region_New__c=US Medium Enterprise DI, Industry=Architecture, Engineering &amp; Construction, attributes={type=Account, url=/services/data/v62.0/sobjects/Account/001VT00000b2lC4YAI}, PS_Sub_Region__c=ME Commercial West}</t>
  </si>
  <si>
    <t>a0pVT00000CpnsfYAB</t>
  </si>
  <si>
    <t>{attributes={type=Account, url=/services/data/v62.0/sobjects/Account/001VT00000b2lyRYAQ}, PS_Sub_Region__c=Singapore NN, Industry=High Technology, Name=Murata Electronics Singapore (Pte.) Ltd., SubRegion__c=Singapore NN, PS_Region_New__c=ASEAN}</t>
  </si>
  <si>
    <t>a0pVT00000Cq2IDYAZ</t>
  </si>
  <si>
    <t>{SubRegion__c=Singapore NN, PS_Sub_Region__c=Singapore NN, Industry=High Technology, attributes={url=/services/data/v62.0/sobjects/Account/001VT00000b2lyRYAQ, type=Account}, PS_Region_New__c=ASEAN, Name=Murata Electronics Singapore (Pte.) Ltd.}</t>
  </si>
  <si>
    <t>a0pVT00000CqBN3YAN</t>
  </si>
  <si>
    <t>{PS_Sub_Region__c=Singapore NN, Name=Murata Electronics Singapore (Pte.) Ltd., SubRegion__c=Singapore NN, Industry=High Technology, PS_Region_New__c=ASEAN, attributes={type=Account, url=/services/data/v62.0/sobjects/Account/001VT00000b2lyRYAQ}}</t>
  </si>
  <si>
    <t>a0pVT00000CppMYYAZ</t>
  </si>
  <si>
    <t>{PS_Sub_Region__c=Singapore NN, Name=Murata Electronics Singapore (Pte.) Ltd., attributes={type=Account, url=/services/data/v62.0/sobjects/Account/001VT00000b2lyRYAQ}, PS_Region_New__c=ASEAN, Industry=High Technology, SubRegion__c=Singapore NN}</t>
  </si>
  <si>
    <t>a0pVT00000Cpm3kYAB</t>
  </si>
  <si>
    <t>{PS_Sub_Region__c=Singapore NN, Industry=High Technology, Name=Murata Electronics Singapore (Pte.) Ltd., attributes={url=/services/data/v62.0/sobjects/Account/001VT00000b2lyRYAQ, type=Account}, PS_Region_New__c=ASEAN, SubRegion__c=Singapore NN}</t>
  </si>
  <si>
    <t>a0pVT00000Cq2JoYAJ</t>
  </si>
  <si>
    <t>{PS_Region_New__c=ASEAN, attributes={url=/services/data/v62.0/sobjects/Account/001VT00000b2lyRYAQ, type=Account}, Industry=High Technology, SubRegion__c=Singapore NN, PS_Sub_Region__c=Singapore NN, Name=Murata Electronics Singapore (Pte.) Ltd.}</t>
  </si>
  <si>
    <t>a0pVT00000CplajYAB</t>
  </si>
  <si>
    <t>{Name=West Kern Youth Work, Industry=Higher Education, PS_Sub_Region__c=Higher Education ME, SubRegion__c=US Higher Ed ME NN West, PS_Region_New__c=US SLED, attributes={type=Account, url=/services/data/v62.0/sobjects/Account/001VT00000b2mMgYAI}}</t>
  </si>
  <si>
    <t>a0pVT00000Cq0oHYAR</t>
  </si>
  <si>
    <t>{PS_Sub_Region__c=ME Commercial West, Name=JAKS-LOU LLC, Industry=Restaurant &amp; Food Service, attributes={type=Account, url=/services/data/v62.0/sobjects/Account/001VT00000b2mxlYAA}, SubRegion__c=US DI Commercial NN TOLA, PS_Region_New__c=US Medium Enterprise DI}</t>
  </si>
  <si>
    <t>a0pVT00000Cq2y9YAB</t>
  </si>
  <si>
    <t>{PS_Sub_Region__c=ME Commercial West, attributes={type=Account, url=/services/data/v62.0/sobjects/Account/001VT00000b2mxlYAA}, Industry=Restaurant &amp; Food Service, SubRegion__c=US DI Commercial NN TOLA, Name=JAKS-LOU LLC, PS_Region_New__c=US Medium Enterprise DI}</t>
  </si>
  <si>
    <t>RecentGoLives</t>
  </si>
  <si>
    <t>Customer</t>
  </si>
  <si>
    <t>a0pVT00000Cps9BYAR</t>
  </si>
  <si>
    <t>Go Live Date</t>
  </si>
  <si>
    <t>{attributes={type=Account, url=/services/data/v62.0/sobjects/Account/001VT00000b2mxlYAA}, PS_Region_New__c=US Medium Enterprise DI, Name=JAKS-LOU LLC, Industry=Restaurant &amp; Food Service, SubRegion__c=US DI Commercial NN TOLA, PS_Sub_Region__c=ME Commercial West}</t>
  </si>
  <si>
    <t>a0pVT00000Cpw9YYAR</t>
  </si>
  <si>
    <t>{attributes={type=Account, url=/services/data/v62.0/sobjects/Account/001VT00000b2mxlYAA}, PS_Sub_Region__c=ME Commercial West, Industry=Restaurant &amp; Food Service, Name=JAKS-LOU LLC, PS_Region_New__c=US Medium Enterprise DI, SubRegion__c=US DI Commercial NN TOLA}</t>
  </si>
  <si>
    <t>FutureGoLives</t>
  </si>
  <si>
    <t>a0pVT00000Cppw2YAB</t>
  </si>
  <si>
    <t>{SubRegion__c=Corporate, Industry=Software &amp; Platforms, PS_Region_New__c=Corporate, attributes={url=/services/data/v62.0/sobjects/Account/001VT00000b2nSMYAY, type=Account}, Name=Irdeto, PS_Sub_Region__c=Corporate}</t>
  </si>
  <si>
    <t>Priming Partner</t>
  </si>
  <si>
    <t>a0pVT00000CpwkcYAB</t>
  </si>
  <si>
    <t>{attributes={url=/services/data/v62.0/sobjects/Account/001VT00000b2nSMYAY, type=Account}, PS_Region_New__c=Corporate, SubRegion__c=Corporate, Industry=Software &amp; Platforms, Name=Irdeto, PS_Sub_Region__c=Corporate}</t>
  </si>
  <si>
    <t>a0pVT00000CpkulYAB</t>
  </si>
  <si>
    <t>{SubRegion__c=Corporate, Name=SAP SE, attributes={url=/services/data/v62.0/sobjects/Account/001VT00000b2nXBYAY, type=Account}, PS_Sub_Region__c=Corporate, PS_Region_New__c=Corporate, Industry=Software &amp; Platforms}</t>
  </si>
  <si>
    <t>a0pVT00000Cq73KYAR</t>
  </si>
  <si>
    <t>{PS_Sub_Region__c=null, attributes={url=/services/data/v62.0/sobjects/Account/001VT00000b2nc1YAA, type=Account}, Industry=Consumer Goods, Name=Arcos Dorados (McDonald's Costa Rica), PS_Region_New__c=null, SubRegion__c=null}</t>
  </si>
  <si>
    <t>a0pVT00000Cpq4CYAR</t>
  </si>
  <si>
    <t>{SubRegion__c=null, Industry=Consumer Goods, PS_Region_New__c=null, Name=Arcos Dorados (McDonald's Costa Rica), PS_Sub_Region__c=null, attributes={type=Account, url=/services/data/v62.0/sobjects/Account/001VT00000b2nc1YAA}}</t>
  </si>
  <si>
    <t>a0pVT00000CqBV7YAN</t>
  </si>
  <si>
    <t>{PS_Region_New__c=null, Industry=Consumer Goods, attributes={type=Account, url=/services/data/v62.0/sobjects/Account/001VT00000b2nc1YAA}, SubRegion__c=null, PS_Sub_Region__c=null, Name=Arcos Dorados (McDonald's Costa Rica)}</t>
  </si>
  <si>
    <t>a0pVT00000CqBWjYAN</t>
  </si>
  <si>
    <t>{attributes={type=Account, url=/services/data/v62.0/sobjects/Account/001VT00000b2nc1YAA}, Name=Arcos Dorados (McDonald's Costa Rica), Industry=Consumer Goods, PS_Sub_Region__c=null, SubRegion__c=null, PS_Region_New__c=null}</t>
  </si>
  <si>
    <t>a0pVT00000Cq9edYAB</t>
  </si>
  <si>
    <t>{Name=Arcos Dorados (McDonald's Costa Rica), attributes={url=/services/data/v62.0/sobjects/Account/001VT00000b2nc1YAA, type=Account}, Industry=Consumer Goods, PS_Region_New__c=null, PS_Sub_Region__c=null, SubRegion__c=null}</t>
  </si>
  <si>
    <t>a0pVT00000Cq0wJYAR</t>
  </si>
  <si>
    <t>{PS_Region_New__c=US Medium Enterprise DI, SubRegion__c=US DI Commercial NN TOLA, PS_Sub_Region__c=ME Commercial West, attributes={type=Account, url=/services/data/v62.0/sobjects/Account/001VT00000b2nlhYAA}, Name=Vitenas Cosmetic Center, Industry=Ambulatory}</t>
  </si>
  <si>
    <t>a0pVT00000Cq9BaYAJ</t>
  </si>
  <si>
    <t>{PS_Region_New__c=US SLED, SubRegion__c=US NFP NN West, Name=Coast to Coast Coaching, Inc. dba Elevo Learning, attributes={type=Account, url=/services/data/v62.0/sobjects/Account/001VT00000b2oD8YAI}, PS_Sub_Region__c=Higher Education LE, Industry=Education (K-12)}</t>
  </si>
  <si>
    <t>a0pVT00000CqBenYAF</t>
  </si>
  <si>
    <t>{PS_Region_New__c=US SLED, Industry=Education (K-12), SubRegion__c=US NFP NN West, PS_Sub_Region__c=Higher Education LE, attributes={type=Account, url=/services/data/v62.0/sobjects/Account/001VT00000b2oD8YAI}, Name=Coast to Coast Coaching, Inc. dba Elevo Learning}</t>
  </si>
  <si>
    <t>a0pVT00000Cq7EcYAJ</t>
  </si>
  <si>
    <t>{Industry=Education (K-12), attributes={url=/services/data/v62.0/sobjects/Account/001VT00000b2oD8YAI, type=Account}, PS_Region_New__c=US SLED, PS_Sub_Region__c=Higher Education LE, Name=Coast to Coast Coaching, Inc. dba Elevo Learning, SubRegion__c=US NFP NN West}</t>
  </si>
  <si>
    <t>a0pVT00000CpeRBYAZ</t>
  </si>
  <si>
    <t>{Industry=Education (K-12), PS_Region_New__c=US SLED, attributes={type=Account, url=/services/data/v62.0/sobjects/Account/001VT00000b2oD8YAI}, Name=Coast to Coast Coaching, Inc. dba Elevo Learning, PS_Sub_Region__c=Higher Education LE, SubRegion__c=US NFP NN West}</t>
  </si>
  <si>
    <t>a0pVT00000CqBDOYA3</t>
  </si>
  <si>
    <t>{PS_Sub_Region__c=Corporate, Name=Schindler Elevator - Germany, Industry=Industrial Manufacturing, PS_Region_New__c=Corporate, attributes={url=/services/data/v62.0/sobjects/Account/001VT00000b2ombYAA, type=Account}, SubRegion__c=Corporate}</t>
  </si>
  <si>
    <t>a0pVT00000CpsylYAB</t>
  </si>
  <si>
    <t>{Name=Personal Touch Landscaping, PS_Sub_Region__c=ME Commercial East, SubRegion__c=US DI Commercial NN Southeast, attributes={url=/services/data/v62.0/sobjects/Account/001VT00000b2ooDYAQ, type=Account}, Industry=Business Services, PS_Region_New__c=US Medium Enterprise DI}</t>
  </si>
  <si>
    <t>a0pVT00000Cq6QdYAJ</t>
  </si>
  <si>
    <t>{Name=Personal Touch Landscaping, PS_Region_New__c=US Medium Enterprise DI, SubRegion__c=US DI Commercial NN Southeast, PS_Sub_Region__c=ME Commercial East, attributes={type=Account, url=/services/data/v62.0/sobjects/Account/001VT00000b2ooDYAQ}, Industry=Business Services}</t>
  </si>
  <si>
    <t>a0pVT00000CqBgPYAV</t>
  </si>
  <si>
    <t>{PS_Region_New__c=US Medium Enterprise DI, Industry=Business Services, SubRegion__c=US DI Commercial NN Southeast, attributes={url=/services/data/v62.0/sobjects/Account/001VT00000b2ooDYAQ, type=Account}, PS_Sub_Region__c=ME Commercial East, Name=Personal Touch Landscaping}</t>
  </si>
  <si>
    <t>a0pVT00000CpuPTYAZ</t>
  </si>
  <si>
    <t>{SubRegion__c=US DI Commercial NN Southeast, Name=Personal Touch Landscaping, PS_Sub_Region__c=ME Commercial East, Industry=Business Services, attributes={type=Account, url=/services/data/v62.0/sobjects/Account/001VT00000b2ooDYAQ}, PS_Region_New__c=US Medium Enterprise DI}</t>
  </si>
  <si>
    <t>a0pVT00000Cpr6dYAB</t>
  </si>
  <si>
    <t>{Name=Alline Salon Group, PS_Region_New__c=US Medium Enterprise DI, PS_Sub_Region__c=ME Commercial East, Industry=Business Services, SubRegion__c=US DI Commercial NN Mid-Atlantic, attributes={url=/services/data/v62.0/sobjects/Account/001VT00000b2owHYAQ, type=Account}}</t>
  </si>
  <si>
    <t>a0pVT00000CqBi1YAF</t>
  </si>
  <si>
    <t>{Name=Carlton Staffing, attributes={url=/services/data/v62.0/sobjects/Account/001VT00000b2thTYAQ, type=Account}, PS_Region_New__c=US Medium Enterprise DI, Industry=Professional Services, SubRegion__c=US DI Commercial NN TOLA, PS_Sub_Region__c=ME Commercial West}</t>
  </si>
  <si>
    <t>a0pVT00000CptObYAJ</t>
  </si>
  <si>
    <t>{SubRegion__c=US DI LE NN RHT West, Industry=Restaurant &amp; Food Service, PS_Region_New__c=US Large Enterprise DI &amp; Mexico, attributes={url=/services/data/v62.0/sobjects/Account/001VT00000b2uVSYAY, type=Account}, Name=Sizzling Platter LLC, PS_Sub_Region__c=Diversified Industries LE NN}</t>
  </si>
  <si>
    <t>a0pVT00000Cpb8LYAR</t>
  </si>
  <si>
    <t>{PS_Sub_Region__c=Diversified Industries LE NN, Industry=Restaurant &amp; Food Service, attributes={url=/services/data/v62.0/sobjects/Account/001VT00000b2uVSYAY, type=Account}, Name=Sizzling Platter LLC, PS_Region_New__c=US Large Enterprise DI &amp; Mexico, SubRegion__c=US DI LE NN RHT West}</t>
  </si>
  <si>
    <t>a0pVT00000Cpm6wYAB</t>
  </si>
  <si>
    <t>{Name=Sizzling Platter LLC, PS_Sub_Region__c=Diversified Industries LE NN, Industry=Restaurant &amp; Food Service, attributes={url=/services/data/v62.0/sobjects/Account/001VT00000b2uVSYAY, type=Account}, SubRegion__c=US DI LE NN RHT West, PS_Region_New__c=US Large Enterprise DI &amp; Mexico}</t>
  </si>
  <si>
    <t>a0pVT00000CqBlFYAV</t>
  </si>
  <si>
    <t>{PS_Region_New__c=US Large Enterprise DI &amp; Mexico, Industry=Restaurant &amp; Food Service, attributes={type=Account, url=/services/data/v62.0/sobjects/Account/001VT00000b2uVSYAY}, Name=Sizzling Platter LLC, PS_Sub_Region__c=Diversified Industries LE NN, SubRegion__c=US DI LE NN RHT West}</t>
  </si>
  <si>
    <t>a0pVT00000Cq6FKYAZ</t>
  </si>
  <si>
    <t>{Name=Peppertree Hospitality Group, attributes={type=Account, url=/services/data/v62.0/sobjects/Account/001VT00000b2ulZYAQ}, PS_Sub_Region__c=ME Commercial West, SubRegion__c=US DI Commercial NN Northwest, Industry=Lodging &amp; Resorts, PS_Region_New__c=US Medium Enterprise DI}</t>
  </si>
  <si>
    <t>a0pVT00000CpuhGYAR</t>
  </si>
  <si>
    <t>{attributes={type=Account, url=/services/data/v62.0/sobjects/Account/001VT00000b2ulZYAQ}, SubRegion__c=US DI Commercial NN Northwest, Name=Peppertree Hospitality Group, PS_Region_New__c=US Medium Enterprise DI, PS_Sub_Region__c=ME Commercial West, Industry=Lodging &amp; Resorts}</t>
  </si>
  <si>
    <t>a0pVT00000CpsHDYAZ</t>
  </si>
  <si>
    <t>{PS_Region_New__c=US Medium Enterprise DI, attributes={url=/services/data/v62.0/sobjects/Account/001VT00000b2ulZYAQ, type=Account}, Name=Peppertree Hospitality Group, SubRegion__c=US DI Commercial NN Northwest, Industry=Lodging &amp; Resorts, PS_Sub_Region__c=ME Commercial West}</t>
  </si>
  <si>
    <t>a0pVT00000Cq2QJYAZ</t>
  </si>
  <si>
    <t>{Industry=Lodging &amp; Resorts, PS_Region_New__c=US Medium Enterprise DI, attributes={type=Account, url=/services/data/v62.0/sobjects/Account/001VT00000b2ulZYAQ}, SubRegion__c=US DI Commercial NN Northwest, PS_Sub_Region__c=ME Commercial West, Name=Peppertree Hospitality Group}</t>
  </si>
  <si>
    <t>a0pVT00000CqBRuYAN</t>
  </si>
  <si>
    <t>001VT00000b2utdYAA</t>
  </si>
  <si>
    <t>{Industry=Professional Services, PS_Sub_Region__c=ME Commercial East, SubRegion__c=US DI Commercial NN Mid-Atlantic, Name=Bernard Personnel Consultants, attributes={url=/services/data/v62.0/sobjects/Account/001VT00000b2utdYAA, type=Account}, PS_Region_New__c=US Medium Enterprise DI}</t>
  </si>
  <si>
    <t>a0pVT00000Cq2EwYAJ</t>
  </si>
  <si>
    <t>{attributes={type=Account, url=/services/data/v62.0/sobjects/Account/001VT00000b2v1hYAA}, Industry=Business Services, PS_Sub_Region__c=ME Commercial West, Name=Yam Management, PS_Region_New__c=US Medium Enterprise DI, SubRegion__c=US DI Commercial NN TOLA}</t>
  </si>
  <si>
    <t>a0pVT00000CpwStYAJ</t>
  </si>
  <si>
    <t>{SubRegion__c=US DI Commercial NN Northwest, attributes={type=Account, url=/services/data/v62.0/sobjects/Account/001VT00000b2v4vYAA}, PS_Region_New__c=US Medium Enterprise DI, Industry=Acute Hospital / Health System, Name=Forks Community Hospital, PS_Sub_Region__c=ME Commercial West}</t>
  </si>
  <si>
    <t>a0pVT00000CpsvYYAR</t>
  </si>
  <si>
    <t>{SubRegion__c=US DI Commercial NN TOLA, attributes={url=/services/data/v62.0/sobjects/Account/001VT00000b30QVYAY, type=Account}, Industry=Post Acute, PS_Sub_Region__c=ME Commercial West, Name=Safe Homecare, PS_Region_New__c=US Medium Enterprise DI}</t>
  </si>
  <si>
    <t>a0pVT00000Cq7D3YAJ</t>
  </si>
  <si>
    <t>{PS_Sub_Region__c=ME Commercial West, Name=Safe Homecare, Industry=Post Acute, SubRegion__c=US DI Commercial NN TOLA, attributes={type=Account, url=/services/data/v62.0/sobjects/Account/001VT00000b30QVYAY}, PS_Region_New__c=US Medium Enterprise DI}</t>
  </si>
  <si>
    <t>a0pVT00000Cq9OaYAJ</t>
  </si>
  <si>
    <t>{attributes={type=Account, url=/services/data/v62.0/sobjects/Account/001VT00000b30QVYAY}, PS_Sub_Region__c=ME Commercial West, SubRegion__c=US DI Commercial NN TOLA, Name=Safe Homecare, PS_Region_New__c=US Medium Enterprise DI, Industry=Post Acute}</t>
  </si>
  <si>
    <t>a0pVT00000CpnmFYAR</t>
  </si>
  <si>
    <t>{PS_Sub_Region__c=ME Commercial West, Industry=Post Acute, attributes={url=/services/data/v62.0/sobjects/Account/001VT00000b30QVYAY, type=Account}, PS_Region_New__c=US Medium Enterprise DI, SubRegion__c=US DI Commercial NN TOLA, Name=Safe Homecare}</t>
  </si>
  <si>
    <t>a0pVT00000CpsQwYAJ</t>
  </si>
  <si>
    <t>{Industry=Post Acute, SubRegion__c=US DI Commercial NN TOLA, PS_Region_New__c=US Medium Enterprise DI, PS_Sub_Region__c=ME Commercial West, Name=Safe Homecare, attributes={url=/services/data/v62.0/sobjects/Account/001VT00000b30QVYAY, type=Account}}</t>
  </si>
  <si>
    <t>a0pVT00000Cq3NyYAJ</t>
  </si>
  <si>
    <t>{Name=MentorX Corporation, PS_Sub_Region__c=ME Commercial West, SubRegion__c=US DI Commercial NN Southwest, Industry=Professional Services, PS_Region_New__c=US Medium Enterprise DI, attributes={url=/services/data/v62.0/sobjects/Account/001VT00000b318lYAA, type=Account}}</t>
  </si>
  <si>
    <t>a0pVT00000CprhiYAB</t>
  </si>
  <si>
    <t>{PS_Region_New__c=US Medium Enterprise DI, Industry=Lodging &amp; Resorts, attributes={type=Account, url=/services/data/v62.0/sobjects/Account/001VT00000b31dRYAQ}, Name=Sanctuary Camelback Mountain Resort &amp; Spa, PS_Sub_Region__c=ME Commercial West, SubRegion__c=US DI Commercial NN TOLA}</t>
  </si>
  <si>
    <t>a0pVT00000CprTGYAZ</t>
  </si>
  <si>
    <t>001VT00000bDBOaYAO</t>
  </si>
  <si>
    <t>{SubRegion__c=US DI LE NN RHT South, PS_Sub_Region__c=Diversified Industries LE NN, attributes={type=Account, url=/services/data/v62.0/sobjects/Account/001VT00000bDBOaYAO}, Industry=Softlines, PS_Region_New__c=US Large Enterprise DI &amp; Mexico, Name=Dollar General - Fleet}</t>
  </si>
  <si>
    <t>a0pVT00000CpojsYAB</t>
  </si>
  <si>
    <t>{Name=Yum Tasty Chicken, LLC, PS_Sub_Region__c=Diversified Industries LE NN, attributes={type=Account, url=/services/data/v62.0/sobjects/Account/001VT00000bDgaSYAS}, PS_Region_New__c=US Large Enterprise DI &amp; Mexico, Industry=Restaurant &amp; Food Service, SubRegion__c=US DI LE NN RHT South}</t>
  </si>
  <si>
    <t>a0pVT00000CpxNMYAZ</t>
  </si>
  <si>
    <t>{attributes={type=Account, url=/services/data/v62.0/sobjects/Account/001VT00000bDgaSYAS}, Industry=Restaurant &amp; Food Service, PS_Sub_Region__c=Diversified Industries LE NN, SubRegion__c=US DI LE NN RHT South, Name=Yum Tasty Chicken, LLC, PS_Region_New__c=US Large Enterprise DI &amp; Mexico}</t>
  </si>
  <si>
    <t>a0pVT00000CpvdIYAR</t>
  </si>
  <si>
    <t>{Name=Yum Tasty Chicken, LLC, attributes={type=Account, url=/services/data/v62.0/sobjects/Account/001VT00000bDgaSYAS}, SubRegion__c=US DI LE NN RHT South, PS_Sub_Region__c=Diversified Industries LE NN, Industry=Restaurant &amp; Food Service, PS_Region_New__c=US Large Enterprise DI &amp; Mexico}</t>
  </si>
  <si>
    <t>a0pVT00000Cpx5dYAB</t>
  </si>
  <si>
    <t>{Industry=Restaurant &amp; Food Service, attributes={url=/services/data/v62.0/sobjects/Account/001VT00000bDgaSYAS, type=Account}, Name=Yum Tasty Chicken, LLC, PS_Sub_Region__c=Diversified Industries LE NN, PS_Region_New__c=US Large Enterprise DI &amp; Mexico, SubRegion__c=US DI LE NN RHT South}</t>
  </si>
  <si>
    <t>a0pVT00000CppXtYAJ</t>
  </si>
  <si>
    <t>{PS_Region_New__c=US Large Enterprise DI &amp; Mexico, Industry=Restaurant &amp; Food Service, SubRegion__c=US DI LE NN RHT South, Name=Yum Tasty Chicken, LLC, PS_Sub_Region__c=Diversified Industries LE NN, attributes={url=/services/data/v62.0/sobjects/Account/001VT00000bDgaSYAS, type=Account}}</t>
  </si>
  <si>
    <t>a0pVT00000Cq7BPYAZ</t>
  </si>
  <si>
    <t>001VT00000bDhRfYAK</t>
  </si>
  <si>
    <t>{Name=Dollar General - Distribution Centers, attributes={type=Account, url=/services/data/v62.0/sobjects/Account/001VT00000bDhRfYAK}, PS_Sub_Region__c=Diversified Industries LE NN, Industry=Softlines, SubRegion__c=US DI LE NN RHT South, PS_Region_New__c=US Large Enterprise DI &amp; Mexico}</t>
  </si>
  <si>
    <t>a0pVT00000D4aQPYAZ</t>
  </si>
  <si>
    <t>{Industry=Professional Services, Name=Procare HR - MSP, PS_Region_New__c=US Medium Enterprise DI, SubRegion__c=US DI Commercial NN Central, PS_Sub_Region__c=ME Commercial West, attributes={type=Account, url=/services/data/v62.0/sobjects/Account/001VT00000bz8GJYAY}}</t>
  </si>
  <si>
    <t>{Full_Name__c=Jordan DePaolis, attributes={url=/services/data/v62.0/sobjects/Contact/003VT00000fcCgUYAU, type=Contact}}</t>
  </si>
  <si>
    <t>a0pVT00000Cpu68YAB</t>
  </si>
  <si>
    <t>{Name=Procare HR - MSP, PS_Sub_Region__c=ME Commercial West, attributes={url=/services/data/v62.0/sobjects/Account/001VT00000bz8GJYAY, type=Account}, Industry=Professional Services, SubRegion__c=US DI Commercial NN Central, PS_Region_New__c=US Medium Enterprise DI}</t>
  </si>
  <si>
    <t>a0pVT00000CqC4bYAF</t>
  </si>
  <si>
    <t>{PS_Region_New__c=US Medium Enterprise DI, Industry=Professional Services, attributes={url=/services/data/v62.0/sobjects/Account/001VT00000bz8GJYAY, type=Account}, PS_Sub_Region__c=ME Commercial West, SubRegion__c=US DI Commercial NN Central, Name=Procare HR - MSP}</t>
  </si>
  <si>
    <t>a0pVT00000CpqyYYAR</t>
  </si>
  <si>
    <t>{Name=Procare HR - MSP, SubRegion__c=US DI Commercial NN Central, PS_Region_New__c=US Medium Enterprise DI, Industry=Professional Services, PS_Sub_Region__c=ME Commercial West, attributes={type=Account, url=/services/data/v62.0/sobjects/Account/001VT00000bz8GJYAY}}</t>
  </si>
  <si>
    <t>a0pVT00000CpkzaYAB</t>
  </si>
  <si>
    <t>{attributes={url=/services/data/v62.0/sobjects/Account/001VT00000bz8GJYAY, type=Account}, PS_Region_New__c=US Medium Enterprise DI, SubRegion__c=US DI Commercial NN Central, PS_Sub_Region__c=ME Commercial West, Industry=Professional Services, Name=Procare HR - MSP}</t>
  </si>
  <si>
    <t>a0pVT00000Cpw34YAB</t>
  </si>
  <si>
    <t>{PS_Region_New__c=US Medium Enterprise DI, attributes={type=Account, url=/services/data/v62.0/sobjects/Account/001VT00000bz8GJYAY}, PS_Sub_Region__c=ME Commercial West, SubRegion__c=US DI Commercial NN Central, Industry=Professional Services, Name=Procare HR - MSP}</t>
  </si>
  <si>
    <t>a0pVT00000Cq4AJYAZ</t>
  </si>
  <si>
    <t>{Industry=Amusement &amp; Recreation, SubRegion__c=Canada DI LE East, attributes={url=/services/data/v62.0/sobjects/Account/001VT00000fPMqYYAW, type=Account}, PS_Sub_Region__c=Canada DI LE East, Name=Ripley’s Niagara Water Park Ltd. (Great Wolf Lodge - Niagara), PS_Region_New__c=Canada}</t>
  </si>
  <si>
    <t>a0pVT00000D3hybYAB</t>
  </si>
  <si>
    <t>0018000001e2SHUAA2</t>
  </si>
  <si>
    <t>{PS_Region_New__c=HK &amp; TW, Industry=Education (K-12), attributes={url=/services/data/v62.0/sobjects/Account/0018000001e2SHUAA2, type=Account}, Name=English Schools Foundation, PS_Sub_Region__c=Hong Kong LE &amp; CB, SubRegion__c=Hong Kong CB}</t>
  </si>
  <si>
    <t>{attributes={url=/services/data/v62.0/sobjects/Contact/0034X00003BlszbQAB, type=Contact}, Full_Name__c=Bobo Ching}</t>
  </si>
  <si>
    <t>a0pVT00000D3DsTYAV</t>
  </si>
  <si>
    <t>0018000001WvNChAAN</t>
  </si>
  <si>
    <t>{Name=Impact Tech, Inc., PS_Region_New__c=US Medium Enterprise DI, Industry=Software &amp; Platforms, SubRegion__c=US DI ME CB TM Southwest, attributes={url=/services/data/v62.0/sobjects/Account/0018000001WvNChAAN, type=Account}, PS_Sub_Region__c=ME CB TM &amp; RHT}</t>
  </si>
  <si>
    <t>YearMonth</t>
  </si>
  <si>
    <t>Source</t>
  </si>
  <si>
    <t>OldHealth</t>
  </si>
  <si>
    <t>NewHealth</t>
  </si>
  <si>
    <t>SalesforceConnector</t>
  </si>
  <si>
    <t>a0rVT00000NuQXZ</t>
  </si>
  <si>
    <t>a0r4X00000ETX33</t>
  </si>
  <si>
    <t>a0rVT0000135GBZ</t>
  </si>
  <si>
    <t>a0rVT00001351R3</t>
  </si>
  <si>
    <t>a0rVT00001471e5</t>
  </si>
  <si>
    <t>a0rVT000014HfVU</t>
  </si>
  <si>
    <t>a0rVT000014UVei</t>
  </si>
  <si>
    <t>a0rVT000014eru2</t>
  </si>
  <si>
    <t>a0rVT0000159bGH</t>
  </si>
  <si>
    <t>a0rVT000015CVSr</t>
  </si>
  <si>
    <t>a0rVT000015XPgz</t>
  </si>
  <si>
    <t>a0rVT00000tjiwU</t>
  </si>
  <si>
    <t>a0rVT00000tVYgrYAG</t>
  </si>
  <si>
    <t>Sun Mar 01 2026 00:00:00 GMT-0500 (Eastern Standard Time)</t>
  </si>
  <si>
    <t>Wed Apr 01 2026 00:00:00 GMT-0400 (Eastern Daylight Time)</t>
  </si>
  <si>
    <t>Year</t>
  </si>
  <si>
    <t>YtdCount</t>
  </si>
  <si>
    <t>YtdPercent</t>
  </si>
  <si>
    <t>a0rVT00000rvb7lYAA</t>
  </si>
  <si>
    <t>Refresh Time</t>
  </si>
  <si>
    <t>Sheet</t>
  </si>
  <si>
    <t>Operation</t>
  </si>
  <si>
    <t>Contacts2</t>
  </si>
  <si>
    <t>Import - SOQL Query:
SELECT Id, Deployment__c, Contact__c, Contact__r.Name, Contact__r.Email, Contact_Role__c FROM Deployment_Contact__c WHERE   Deployment__r.Overall_Status__c = 'Active'   AND Deployment__c IN (       SELECT Deployment__c FROM Deployment_Product_Function__c       WHERE Product_Area__c IN (          'Workday Paradox'       )   )   AND Contact_State__c = 'Active'   AND Contact_Role__c IN (     'Project Manager [Customer]', 'Executive Sponsor', 'Deployment Sponsor',     'Engagement Manager [Primary]', 'Engagement Manager [Secondary]'   ) ORDER BY Deployment__c ASC</t>
  </si>
  <si>
    <t>Success</t>
  </si>
  <si>
    <t>Contacts1</t>
  </si>
  <si>
    <t>Import - SOQL Query:
SELECT Id, Deployment__c, Contact__c, Contact__r.Name, Contact__r.Email, Contact_Role__c FROM Deployment_Contact__c WHERE   Deployment__r.Overall_Status__c = 'Active'   AND (       Deployment__r.Name LIKE '%Paradox%'  )   AND Contact_State__c = 'Active'   AND Contact_Role__c IN (     'Project Manager [Customer]', 'Executive Sponsor', 'Deployment Sponsor',     'Engagement Manager [Primary]', 'Engagement Manager [Secondary]'   ) ORDER BY Deployment__c ASC</t>
  </si>
  <si>
    <t>SFDC_DHP</t>
  </si>
  <si>
    <t>Import - SOQL Query:
SELECT   Id,   Deployment__r.Id,   Plan_Owner__r.Name,   DHP_Last_Updated__c,   Deployment_Health_Plan_Update__c,   Deployment_Health_Action_Plan__c,   Issue_Category__c FROM Deployment_Health_Plan__c WHERE   Deployment__r.Overall_Status__c IN ('Active')   AND Status__c IN ('Open')</t>
  </si>
  <si>
    <t>SFDC_Wellness</t>
  </si>
  <si>
    <t>Import - SOQL Query:
SELECT   Id,   Overall_Health_Status__c,   Account__r.Id,   High_Risk_Flag__c,   Wellness_Update__c,   CX_Leader_Assignment__r.Name,   Executive_Summary__c,   Summary_of_Issues__c,   Issue_Category__c,   LastModifiedDate FROM Customer_Wellness_Plan__c WHERE   Plan_Status__c IN ('Open')</t>
  </si>
  <si>
    <t>SFDC_Deployments</t>
  </si>
  <si>
    <t>Import - SOQL Query:
SELECT   Id,   Name,   Customer__r.Name,   Customer__r.Industry,   Customer__r.PS_Region_New__c,   Customer__r.PS_Sub_Region__c,   Customer__r.SubRegion__c,   Deployment_Start_Date__c,   Current_MTP_Date__c,   First_Move_to_Production_Date_Actual__c,   Overall_Status__c,   Deployment_Phase__c,   Deployment_Stage__c,   Overall_Health__c,   Deployment_Completion_Date__c,   Workday_Engagement_Manager__r.Full_Name__c,   Delivery_Assurance_Manager__r.Full_Name__c,   Priming_Partner__c,   Implementation_Partner__c,   Deployment_Partner_Name__c,   Deployment_Summary__c FROM Deployments__c WHERE   Overall_Status__c IN ('Active', 'Complete')   AND Deployment_Phase__c != null   AND Deployment_Phase__c NOT IN (       'Customer Led',       'Customer Enablement',       'Customer Enablement Package',       'Customer Led Svcs Approach'   )   AND (       Name LIKE '%Paradox%'   ) ORDER BY Customer__r.Name ASC, Name ASC</t>
  </si>
  <si>
    <t>SFDC_DeploymentHistory</t>
  </si>
  <si>
    <t>Import - SOQL Query:
SELECT   Id,   ParentId,   Parent.Name,   Parent.Customer__c,   Parent.Customer__r.Name,   Parent.Customer__r.Industry,   Parent.Customer__r.PS_Region_New__c,   Field,   OldValue,   NewValue,   CreatedDate,   CreatedById FROM Deployments__History WHERE   ParentId IN (     SELECT Deployment__c     FROM Deployment_Product_Function__c     WHERE Product_Area__c IN (      'Workday Paradox'     )   )   AND Field IN (     'Overall_Health__c',     'Deployment_Stage__c',     'Current_MTP_Date__c',     'First_Move_to_Production_Date_Actual__c',     'Baseline_MTP_Date__c'   )   AND CreatedDate &gt;= LAST_N_YEARS:5 ORDER BY ParentId ASC, CreatedDate ASC</t>
  </si>
  <si>
    <t>SFDC_DeploymentProductFunctions</t>
  </si>
  <si>
    <t>Import - SOQL Query:
SELECT   Id,   Deployment__c,   Deployment__r.Id,   Deployment__r.Name,   Deployment__r.Customer__c,   Deployment__r.Customer__r.Name,   Deployment__r.Customer__r.Industry,   Deployment__r.Customer__r.PS_Region_New__c,   Deployment__r.Customer__r.PS_Sub_Region__c,   Deployment__r.Customer__r.SubRegion__c,   Deployment__r.Deployment_Start_Date__c,   Deployment__r.Current_MTP_Date__c,   Deployment__r.First_Move_to_Production_Date_Actual__c,   Deployment__r.Overall_Status__c,   Deployment__r.Deployment_Phase__c,   Deployment__r.Deployment_Stage__c,   Deployment__r.Overall_Health__c,   Deployment__r.Deployment_Completion_Date__c,   Deployment__r.Workday_Engagement_Manager__r.Full_Name__c,   Deployment__r.Delivery_Assurance_Manager__r.Full_Name__c,   Deployment__r.Priming_Partner__c,   Deployment__r.Implementation_Partner__c,   Deployment__r.Deployment_Partner_Name__c,   Deployment__r.Deployment_Summary__c,   Product_Area__c,   Function__c,   Production_Move_Date_Target__c,   Production_Move_Date_Actual__c FROM Deployment_Product_Function__c WHERE   Deployment__r.Overall_Status__c IN ('Active', 'Complete')   AND Product_Area__c IN (      'Workday Paradox'   ) ORDER BY Deployment__c ASC, Product_Area__c ASC, Function__c ASC</t>
  </si>
  <si>
    <t>a0r4X00000ETWRsQAP</t>
  </si>
  <si>
    <t>Seminole Hard Rock Support Services, LLC</t>
  </si>
  <si>
    <t>a0r4X00000Ef3geQAB</t>
  </si>
  <si>
    <t>a0r4X00000DcJ7tQAF</t>
  </si>
  <si>
    <t>AppId</t>
  </si>
  <si>
    <t>Environment</t>
  </si>
  <si>
    <t>Title</t>
  </si>
  <si>
    <t>Subtitle</t>
  </si>
  <si>
    <t>VersionLabel</t>
  </si>
  <si>
    <t>DataHorizonSummary</t>
  </si>
  <si>
    <t>DataHorizonDetails</t>
  </si>
  <si>
    <t>ReleaseNotesText</t>
  </si>
  <si>
    <t>PrimaryActions</t>
  </si>
  <si>
    <t>ExtraNotice</t>
  </si>
  <si>
    <t>LastUpdatedBy</t>
  </si>
  <si>
    <t>LastUpdatedOn</t>
  </si>
  <si>
    <t>Escalation ID</t>
  </si>
  <si>
    <t>Slack Channel ID</t>
  </si>
  <si>
    <t>Slack Channel Name</t>
  </si>
  <si>
    <t>Slack Channel URL</t>
  </si>
  <si>
    <t>Escalation Status</t>
  </si>
  <si>
    <t>Severity</t>
  </si>
  <si>
    <t>Escalation Opened Date/Time</t>
  </si>
  <si>
    <t>Executive Summary</t>
  </si>
  <si>
    <t>Customer Impact</t>
  </si>
  <si>
    <t>Business Impact</t>
  </si>
  <si>
    <t>Technical Status</t>
  </si>
  <si>
    <t>Latest Significant Development</t>
  </si>
  <si>
    <t>Next Steps</t>
  </si>
  <si>
    <t>Open Actions</t>
  </si>
  <si>
    <t>Action Owners</t>
  </si>
  <si>
    <t>Key Risks</t>
  </si>
  <si>
    <t>Decisions Required</t>
  </si>
  <si>
    <t>Executive Attention Required</t>
  </si>
  <si>
    <t>Executive Attention Reason</t>
  </si>
  <si>
    <t>Last Significant Activity Date/Time</t>
  </si>
  <si>
    <t>Last Sana Analysis Date/Time</t>
  </si>
  <si>
    <t>Last Sheet Update Date/Time</t>
  </si>
  <si>
    <t>Information Gaps / Uncertainty</t>
  </si>
  <si>
    <t>Source Slack Message Timestamp</t>
  </si>
  <si>
    <t>Source Slack Message URL</t>
  </si>
  <si>
    <t>Last Event ID</t>
  </si>
  <si>
    <t>Record Version</t>
  </si>
  <si>
    <t>Product Group ID</t>
  </si>
  <si>
    <t>Product Group Name</t>
  </si>
  <si>
    <t>Product Owner</t>
  </si>
  <si>
    <t>Sana Agent ID</t>
  </si>
  <si>
    <t>Sana Agent Name</t>
  </si>
  <si>
    <t>Slack Workspace ID</t>
  </si>
  <si>
    <t>PDX-ESC-0001</t>
  </si>
  <si>
    <t>C0C5RJL155L</t>
  </si>
  <si>
    <t>pdx_escalation_test</t>
  </si>
  <si>
    <t>https://workday-services.slack.com/archives/C0C5RJL155L</t>
  </si>
  <si>
    <t>ABC Test Holdings</t>
  </si>
  <si>
    <t>Open</t>
  </si>
  <si>
    <t>Critical</t>
  </si>
  <si>
    <t>ABC Test Holdings' Paradox deployment has reached a critical state due to unresolved testing issues blocking progress to production. Discussions with customer leadership have begun and they are aware of the blockers that need to be resolved.</t>
  </si>
  <si>
    <t>Deployment cannot proceed until testing issues are resolved; customer leadership has been briefed on the blockers.</t>
  </si>
  <si>
    <t>Deployment timeline is blocked pending resolution of testing issues, risking delay to go-live.</t>
  </si>
  <si>
    <t>Testing issues identified that block further deployment progress; issues not yet resolved as of latest update.</t>
  </si>
  <si>
    <t>Customer leadership engaged and made aware of the blockers that need to be resolved.</t>
  </si>
  <si>
    <t>Resolve the testing issues blocking deployment progress.</t>
  </si>
  <si>
    <t>Resolve outstanding testing blockers.</t>
  </si>
  <si>
    <t>Not specified in available channel activity</t>
  </si>
  <si>
    <t>Deployment delay/stall if testing issues remain unresolved; potential strain on customer relationship.</t>
  </si>
  <si>
    <t>Deployment has reached a critical, blocking state in testing with no resolution yet confirmed in the channel.</t>
  </si>
  <si>
    <t>No named action owner, target resolution date, or SLA target identified in channel activity to date.</t>
  </si>
  <si>
    <t>https://workday-services.slack.com/archives/C0C5RJL155L/p1790814360966399</t>
  </si>
  <si>
    <t>PDX</t>
  </si>
  <si>
    <t>Paradox</t>
  </si>
  <si>
    <t>To Be Configured</t>
  </si>
  <si>
    <t>escalation-state-tracker</t>
  </si>
  <si>
    <t>Escalation State Tracker</t>
  </si>
  <si>
    <t>T0CC90MA5</t>
  </si>
  <si>
    <t>Channel Name</t>
  </si>
  <si>
    <t>Registered Date</t>
  </si>
  <si>
    <t>Closed Date</t>
  </si>
  <si>
    <t>Registered By</t>
  </si>
  <si>
    <t>escalation-channel-discovery</t>
  </si>
  <si>
    <t>Value</t>
  </si>
  <si>
    <t>Purpose</t>
  </si>
  <si>
    <t>ProductGroupID</t>
  </si>
  <si>
    <t>Fixed product/industry group identifier for this workbook; never inferred from Slack content</t>
  </si>
  <si>
    <t>ProductGroupName</t>
  </si>
  <si>
    <t>Display name for the product group</t>
  </si>
  <si>
    <t>ProductOwner</t>
  </si>
  <si>
    <t>Program Manager/Admin who owns this workbook and process</t>
  </si>
  <si>
    <t>SanaAgentID</t>
  </si>
  <si>
    <t>Identifier of the comprehensive Sana agent writing to this workbook</t>
  </si>
  <si>
    <t>SanaAgentName</t>
  </si>
  <si>
    <t>Display name of the Sana agent</t>
  </si>
  <si>
    <t>SlackWorkspaceID</t>
  </si>
  <si>
    <t>Workday Slack workspace/team ID (Services workspace, workday-services.slack.com), stored alongside Slack Channel ID as the unique channel key</t>
  </si>
  <si>
    <t>WorkflowVersion</t>
  </si>
  <si>
    <t>Written to Processing Log with every entry</t>
  </si>
  <si>
    <t>MeaningfulUpdateWindowMinutes</t>
  </si>
  <si>
    <t>Desired debounce/batch window if supported</t>
  </si>
  <si>
    <t>DefaultTimezone</t>
  </si>
  <si>
    <t>America/New_York</t>
  </si>
  <si>
    <t>Display/reporting consistency</t>
  </si>
  <si>
    <t>DailySnapshotEnabled</t>
  </si>
  <si>
    <t>Reserved for a later scheduled workflow (Phase 2)</t>
  </si>
  <si>
    <t>DailySnapshotTime</t>
  </si>
  <si>
    <t>Used only when DailySnapshotEnabled is TRUE</t>
  </si>
  <si>
    <t>ClosedRetentionDays</t>
  </si>
  <si>
    <t>Dashboard/reporting preference, not source deletion permission</t>
  </si>
  <si>
    <t>NonMaterialLogging</t>
  </si>
  <si>
    <t>ERRORS_ONLY</t>
  </si>
  <si>
    <t>Options: ALL, ERRORS_ONLY, NONE</t>
  </si>
  <si>
    <t>ExecutiveSummaryMaxWords</t>
  </si>
  <si>
    <t>Keeps dashboard content concise</t>
  </si>
  <si>
    <t>ChannelNamingConvention</t>
  </si>
  <si>
    <t>pdx</t>
  </si>
  <si>
    <t>Slack channel name prefix used by the Discovery agent to identify channels belonging to this product group</t>
  </si>
  <si>
    <t>AllowPrivateChannels</t>
  </si>
  <si>
    <t>Business rule: only public channels are discoverable/supported; private channels require manual invite or manual registry entry</t>
  </si>
  <si>
    <t>DiscoveryCadenceMinutes</t>
  </si>
  <si>
    <t>Cron cadence (minutes) for the Channel Discovery &amp; Onboarding agent</t>
  </si>
  <si>
    <t>DiscoveryAgentID</t>
  </si>
  <si>
    <t>Identifier of the Sana agent that discovers and registers channels for this product group</t>
  </si>
  <si>
    <t>Processed Date/Time</t>
  </si>
  <si>
    <t>Source Event ID</t>
  </si>
  <si>
    <t>Source Message Timestamp</t>
  </si>
  <si>
    <t>Outcome</t>
  </si>
  <si>
    <t>Reason Code</t>
  </si>
  <si>
    <t>Detail</t>
  </si>
  <si>
    <t>Retryable</t>
  </si>
  <si>
    <t>Workflow Version</t>
  </si>
  <si>
    <t>cron-1790812814</t>
  </si>
  <si>
    <t>NEW_CHANNEL_DISCOVERED</t>
  </si>
  <si>
    <t>Discovery scan matched 1 public channel (pdx_escalation_test) against prefix 'pdx' in workspace T0CC90MA5; not previously in Channel Registry (0 existing rows). Posted monitoring announcement and added Channel Registry entry with Status=Active.</t>
  </si>
  <si>
    <t>cron:*/10 * * * *</t>
  </si>
  <si>
    <t>Skipped</t>
  </si>
  <si>
    <t>AlreadyRegistered</t>
  </si>
  <si>
    <t>Discovery scan matched channel 'pdx_escalation_test' against ChannelNamingConvention prefix 'pdx' in workspace T0CC90MA5; already present in Channel Registry with Status=Active (registered 2026-09-30 20:00:14). No join/registration action taken.</t>
  </si>
  <si>
    <t>Flagged</t>
  </si>
  <si>
    <t>AmbiguousNameOrWorkspace</t>
  </si>
  <si>
    <t>6 channels matched a loose 'paradox' search but do NOT match the strict ChannelNamingConvention prefix 'pdx': paradox-acquisition, paradox-enablement-requests, paradox-for-workday-ems (workspace E7U335QS3, not configured SlackWorkspaceID T0CC90MA5), paradox_cs_integration-inactive, paradox-csm-assignments, paradox-for-workday-consultants. None auto-joined or registered; held for manual review per naming-convention business rule.</t>
  </si>
  <si>
    <t>Discovery scan matched channel 'pdx_escalation_test' against ChannelNamingConvention prefix 'pdx' in workspace T0CC90MA5; confirmed non-archived public channel, already present in Channel Registry with Status=Active (registered 2026-09-30 20:00:14). No join/registration action taken.</t>
  </si>
  <si>
    <t>6 channels matched a loose 'paradox' search but do NOT match the strict ChannelNamingConvention prefix 'pdx': paradox-acquisition, paradox-enablement-requests, paradox-for-workday-ems (workspace E7U335QS3, not configured SlackWorkspaceID T0CC90MA5), paradox_cs_integration-inactive, paradox-csm-assignments, paradox-for-workday-consultants (workspace T0CC90MA5 but non-conforming name). None auto-joined or registered; still held for manual review per naming-convention business rule. Unchanged from prior cycle.</t>
  </si>
  <si>
    <t>daily-escalation-state-check</t>
  </si>
  <si>
    <t>NEW_ESCALATION_STATE_CREATED</t>
  </si>
  <si>
    <t>No prior record existed in Current Escalation State for this channel. Created escalation PDX-ESC-0001 (ABC Test Holdings, Status=Open, Severity=Critical) based on channel activity describing a critical testing blocker. Flagged as at risk and posted a summary to the escalation channel.</t>
  </si>
  <si>
    <t>History ID</t>
  </si>
  <si>
    <t>Update Date/Time</t>
  </si>
  <si>
    <t>Update Type</t>
  </si>
  <si>
    <t>Change Summary</t>
  </si>
  <si>
    <t>Previous Value(s)</t>
  </si>
  <si>
    <t>New Value(s)</t>
  </si>
  <si>
    <t>Executive Summary Snapshot</t>
  </si>
  <si>
    <t>Customer Impact Snapshot</t>
  </si>
  <si>
    <t>Technical Status Snapshot</t>
  </si>
  <si>
    <t>Open Actions Snapshot</t>
  </si>
  <si>
    <t>Decisions Required Snapshot</t>
  </si>
  <si>
    <t>Sana Processed Date/Time</t>
  </si>
  <si>
    <t>Confidence</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</si>
</sst>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yyyy-mm-dd"/>
    <numFmt numFmtId="165" formatCode="m/d/yyyy"/>
    <numFmt numFmtId="166" formatCode="m/d/yyyy h:mm:ss"/>
    <numFmt numFmtId="167" formatCode="M/d/yyyy H:mm:ss"/>
    <numFmt numFmtId="168" formatCode="M/d/yyyy"/>
    <numFmt numFmtId="169" formatCode="yyyy-mm"/>
    <numFmt numFmtId="170" formatCode="mm/dd/yyyy hh:mm:ss"/>
    <numFmt numFmtId="171" formatCode="yyyy-mm-dd h:mm:ss"/>
  </numFmts>
  <fonts count="19">
    <font>
      <sz val="10.0"/>
      <color rgb="FF000000"/>
      <name val="Arial"/>
      <scheme val="minor"/>
    </font>
    <font>
      <color theme="1"/>
      <name val="Arial"/>
      <scheme val="minor"/>
    </font>
    <font>
      <b/>
      <color theme="1"/>
      <name val="Arial"/>
      <scheme val="minor"/>
    </font>
    <font>
      <b/>
      <u/>
      <color rgb="FF0000FF"/>
    </font>
    <font>
      <color theme="1"/>
      <name val="Arial"/>
    </font>
    <font>
      <u/>
      <color rgb="FF0000FF"/>
    </font>
    <font>
      <b/>
      <sz val="11.0"/>
      <color rgb="FF1F1F1F"/>
      <name val="&quot;Google Sans&quot;"/>
    </font>
    <font>
      <color rgb="FF000000"/>
      <name val="Arial"/>
      <scheme val="minor"/>
    </font>
    <font>
      <sz val="11.0"/>
      <color rgb="FF1F1F1F"/>
      <name val="&quot;Google Sans&quot;"/>
    </font>
    <font>
      <b/>
      <color rgb="FF34A853"/>
      <name val="Arial"/>
      <scheme val="minor"/>
    </font>
    <font>
      <b/>
      <color rgb="FF1F1F1F"/>
      <name val="Arial"/>
      <scheme val="minor"/>
    </font>
    <font>
      <b/>
      <color rgb="FF000000"/>
      <name val="Arial"/>
      <scheme val="minor"/>
    </font>
    <font>
      <color rgb="FF986801"/>
      <name val="Arial"/>
      <scheme val="minor"/>
    </font>
    <font>
      <color rgb="FF50A14F"/>
      <name val="Arial"/>
      <scheme val="minor"/>
    </font>
    <font>
      <b/>
      <color rgb="FFEA4335"/>
      <name val="Arial"/>
      <scheme val="minor"/>
    </font>
    <font>
      <b/>
      <color rgb="FFFBBC04"/>
      <name val="Arial"/>
      <scheme val="minor"/>
    </font>
    <font>
      <b/>
      <sz val="11.0"/>
      <color rgb="FFFFFFFF"/>
      <name val="Roboto"/>
    </font>
    <font>
      <color theme="1"/>
      <name val="Roboto"/>
    </font>
    <font>
      <u/>
      <color rgb="FF0000FF"/>
    </font>
  </fonts>
  <fills count="5">
    <fill>
      <patternFill patternType="none"/>
    </fill>
    <fill>
      <patternFill patternType="lightGray"/>
    </fill>
    <fill>
      <patternFill patternType="solid">
        <fgColor rgb="FFF0F4F9"/>
        <bgColor rgb="FFF0F4F9"/>
      </patternFill>
    </fill>
    <fill>
      <patternFill patternType="solid">
        <fgColor rgb="FF1A73E8"/>
        <bgColor rgb="FF1A73E8"/>
      </patternFill>
    </fill>
    <fill>
      <patternFill patternType="solid">
        <fgColor rgb="FFD9EAD3"/>
        <bgColor rgb="FFD9EAD3"/>
      </patternFill>
    </fill>
  </fills>
  <borders count="1">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0" xfId="0" applyFont="1"/>
    <xf borderId="0" fillId="0" fontId="3" numFmtId="0" xfId="0" applyAlignment="1" applyFont="1">
      <alignment readingOrder="0"/>
    </xf>
    <xf borderId="0" fillId="0" fontId="1" numFmtId="165" xfId="0" applyAlignment="1" applyFont="1" applyNumberFormat="1">
      <alignment readingOrder="0"/>
    </xf>
    <xf borderId="0" fillId="0" fontId="1" numFmtId="3" xfId="0" applyAlignment="1" applyFont="1" applyNumberFormat="1">
      <alignment readingOrder="0"/>
    </xf>
    <xf borderId="0" fillId="0" fontId="1" numFmtId="165" xfId="0" applyFont="1" applyNumberFormat="1"/>
    <xf borderId="0" fillId="0" fontId="1" numFmtId="3" xfId="0" applyFont="1" applyNumberFormat="1"/>
    <xf borderId="0" fillId="0" fontId="1" numFmtId="0" xfId="0" applyAlignment="1" applyFont="1">
      <alignment readingOrder="0"/>
    </xf>
    <xf borderId="0" fillId="0" fontId="1" numFmtId="166" xfId="0" applyAlignment="1" applyFont="1" applyNumberFormat="1">
      <alignment readingOrder="0"/>
    </xf>
    <xf borderId="0" fillId="0" fontId="1" numFmtId="0" xfId="0" applyFont="1"/>
    <xf borderId="0" fillId="0" fontId="1" numFmtId="164" xfId="0" applyFont="1" applyNumberFormat="1"/>
    <xf borderId="0" fillId="0" fontId="2" numFmtId="0" xfId="0" applyFont="1"/>
    <xf borderId="0" fillId="0" fontId="4" numFmtId="0" xfId="0" applyAlignment="1" applyFont="1">
      <alignment vertical="bottom"/>
    </xf>
    <xf borderId="0" fillId="0" fontId="4" numFmtId="0" xfId="0" applyAlignment="1" applyFont="1">
      <alignment horizontal="center" vertical="bottom"/>
    </xf>
    <xf borderId="0" fillId="0" fontId="2" numFmtId="0" xfId="0" applyAlignment="1" applyFont="1">
      <alignment horizontal="center" readingOrder="0"/>
    </xf>
    <xf borderId="0" fillId="0" fontId="2" numFmtId="167" xfId="0" applyAlignment="1" applyFont="1" applyNumberFormat="1">
      <alignment readingOrder="0"/>
    </xf>
    <xf borderId="0" fillId="0" fontId="2" numFmtId="0" xfId="0" applyAlignment="1" applyFont="1">
      <alignment readingOrder="0" shrinkToFit="0" wrapText="0"/>
    </xf>
    <xf borderId="0" fillId="0" fontId="1" numFmtId="0" xfId="0" applyAlignment="1" applyFont="1">
      <alignment readingOrder="0" shrinkToFit="0" wrapText="0"/>
    </xf>
    <xf borderId="0" fillId="0" fontId="1" numFmtId="167" xfId="0" applyFont="1" applyNumberFormat="1"/>
    <xf borderId="0" fillId="0" fontId="1" numFmtId="0" xfId="0" applyAlignment="1" applyFont="1">
      <alignment shrinkToFit="0" wrapText="0"/>
    </xf>
    <xf borderId="0" fillId="0" fontId="5" numFmtId="0" xfId="0" applyFont="1"/>
    <xf borderId="0" fillId="0" fontId="1" numFmtId="14" xfId="0" applyAlignment="1" applyFont="1" applyNumberFormat="1">
      <alignment readingOrder="0"/>
    </xf>
    <xf borderId="0" fillId="0" fontId="1" numFmtId="14" xfId="0" applyFont="1" applyNumberFormat="1"/>
    <xf borderId="0" fillId="0" fontId="1" numFmtId="166" xfId="0" applyAlignment="1" applyFont="1" applyNumberFormat="1">
      <alignment readingOrder="0"/>
    </xf>
    <xf borderId="0" fillId="2" fontId="6" numFmtId="0" xfId="0" applyAlignment="1" applyFill="1" applyFont="1">
      <alignment readingOrder="0"/>
    </xf>
    <xf borderId="0" fillId="0" fontId="7" numFmtId="0" xfId="0" applyAlignment="1" applyFont="1">
      <alignment readingOrder="0"/>
    </xf>
    <xf borderId="0" fillId="2" fontId="8" numFmtId="0" xfId="0" applyAlignment="1" applyFill="1" applyFont="1">
      <alignment readingOrder="0"/>
    </xf>
    <xf borderId="0" fillId="0" fontId="2" numFmtId="0" xfId="0" applyAlignment="1" applyFont="1">
      <alignment readingOrder="0" shrinkToFit="0" wrapText="1"/>
    </xf>
    <xf borderId="0" fillId="0" fontId="2" numFmtId="0" xfId="0" applyAlignment="1" applyFont="1">
      <alignment horizontal="center"/>
    </xf>
    <xf borderId="0" fillId="0" fontId="1" numFmtId="0" xfId="0" applyAlignment="1" applyFont="1">
      <alignment shrinkToFit="0" wrapText="1"/>
    </xf>
    <xf borderId="0" fillId="0" fontId="1" numFmtId="0" xfId="0" applyAlignment="1" applyFont="1">
      <alignment horizontal="center"/>
    </xf>
    <xf borderId="0" fillId="0" fontId="9" numFmtId="0" xfId="0" applyAlignment="1" applyFont="1">
      <alignment readingOrder="0"/>
    </xf>
    <xf borderId="0" fillId="0" fontId="2" numFmtId="0" xfId="0" applyAlignment="1" applyFont="1">
      <alignment horizontal="center" readingOrder="0"/>
    </xf>
    <xf borderId="0" fillId="2" fontId="10" numFmtId="10" xfId="0" applyAlignment="1" applyFill="1" applyFont="1" applyNumberFormat="1">
      <alignment horizontal="center" readingOrder="0"/>
    </xf>
    <xf borderId="0" fillId="0" fontId="11" numFmtId="0" xfId="0" applyAlignment="1" applyFont="1">
      <alignment horizontal="center" readingOrder="0"/>
    </xf>
    <xf borderId="0" fillId="0" fontId="12" numFmtId="0" xfId="0" applyAlignment="1" applyFont="1">
      <alignment readingOrder="0"/>
    </xf>
    <xf borderId="0" fillId="0" fontId="12" numFmtId="10" xfId="0" applyAlignment="1" applyFont="1" applyNumberFormat="1">
      <alignment readingOrder="0"/>
    </xf>
    <xf borderId="0" fillId="0" fontId="1" numFmtId="0" xfId="0" applyAlignment="1" applyFont="1">
      <alignment horizontal="center" readingOrder="0"/>
    </xf>
    <xf borderId="0" fillId="0" fontId="13" numFmtId="10" xfId="0" applyAlignment="1" applyFont="1" applyNumberFormat="1">
      <alignment readingOrder="0"/>
    </xf>
    <xf borderId="0" fillId="0" fontId="14" numFmtId="0" xfId="0" applyAlignment="1" applyFont="1">
      <alignment readingOrder="0"/>
    </xf>
    <xf borderId="0" fillId="0" fontId="15" numFmtId="0" xfId="0" applyAlignment="1" applyFont="1">
      <alignment readingOrder="0"/>
    </xf>
    <xf borderId="0" fillId="0" fontId="2" numFmtId="10" xfId="0" applyAlignment="1" applyFont="1" applyNumberFormat="1">
      <alignment horizontal="center"/>
    </xf>
    <xf borderId="0" fillId="0" fontId="2" numFmtId="0" xfId="0" applyAlignment="1" applyFont="1">
      <alignment shrinkToFit="0" wrapText="1"/>
    </xf>
    <xf borderId="0" fillId="0" fontId="1" numFmtId="10" xfId="0" applyAlignment="1" applyFont="1" applyNumberFormat="1">
      <alignment horizontal="center"/>
    </xf>
    <xf borderId="0" fillId="0" fontId="2" numFmtId="168" xfId="0" applyAlignment="1" applyFont="1" applyNumberFormat="1">
      <alignment readingOrder="0"/>
    </xf>
    <xf borderId="0" fillId="0" fontId="1" numFmtId="168" xfId="0" applyAlignment="1" applyFont="1" applyNumberFormat="1">
      <alignment readingOrder="0"/>
    </xf>
    <xf borderId="0" fillId="0" fontId="1" numFmtId="168" xfId="0" applyFont="1" applyNumberFormat="1"/>
    <xf borderId="0" fillId="0" fontId="1" numFmtId="165" xfId="0" applyAlignment="1" applyFont="1" applyNumberFormat="1">
      <alignment horizontal="center"/>
    </xf>
    <xf borderId="0" fillId="0" fontId="1" numFmtId="169" xfId="0" applyAlignment="1" applyFont="1" applyNumberFormat="1">
      <alignment readingOrder="0"/>
    </xf>
    <xf borderId="0" fillId="3" fontId="16" numFmtId="0" xfId="0" applyAlignment="1" applyFill="1" applyFont="1">
      <alignment readingOrder="0"/>
    </xf>
    <xf borderId="0" fillId="0" fontId="17" numFmtId="170" xfId="0" applyAlignment="1" applyFont="1" applyNumberFormat="1">
      <alignment readingOrder="0"/>
    </xf>
    <xf borderId="0" fillId="0" fontId="17" numFmtId="0" xfId="0" applyAlignment="1" applyFont="1">
      <alignment readingOrder="0"/>
    </xf>
    <xf borderId="0" fillId="0" fontId="17" numFmtId="0" xfId="0" applyAlignment="1" applyFont="1">
      <alignment readingOrder="0" shrinkToFit="0" wrapText="1"/>
    </xf>
    <xf borderId="0" fillId="4" fontId="17" numFmtId="0" xfId="0" applyAlignment="1" applyFill="1" applyFont="1">
      <alignment readingOrder="0"/>
    </xf>
    <xf borderId="0" fillId="0" fontId="17" numFmtId="0" xfId="0" applyFont="1"/>
    <xf borderId="0" fillId="0" fontId="17" numFmtId="0" xfId="0" applyAlignment="1" applyFont="1">
      <alignment shrinkToFit="0" wrapText="1"/>
    </xf>
    <xf borderId="0" fillId="0" fontId="18" numFmtId="0" xfId="0" applyAlignment="1" applyFont="1">
      <alignment readingOrder="0"/>
    </xf>
    <xf borderId="0" fillId="0" fontId="1" numFmtId="171" xfId="0" applyAlignment="1" applyFont="1" applyNumberForma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44" Type="http://schemas.openxmlformats.org/officeDocument/2006/relationships/worksheet" Target="worksheets/sheet40.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23" Type="http://schemas.openxmlformats.org/officeDocument/2006/relationships/worksheet" Target="worksheets/sheet19.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customer__r.name" TargetMode="External"/><Relationship Id="rId3" Type="http://schemas.openxmlformats.org/officeDocument/2006/relationships/drawing" Target="../drawings/drawing4.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deployment__r.id" TargetMode="External"/><Relationship Id="rId3" Type="http://schemas.openxmlformats.org/officeDocument/2006/relationships/hyperlink" Target="http://deployment__r.name" TargetMode="External"/><Relationship Id="rId4" Type="http://schemas.openxmlformats.org/officeDocument/2006/relationships/drawing" Target="../drawings/drawing9.xml"/><Relationship Id="rId5"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parent.name" TargetMode="External"/><Relationship Id="rId3" Type="http://schemas.openxmlformats.org/officeDocument/2006/relationships/drawing" Target="../drawings/drawing10.xml"/><Relationship Id="rId4"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customer__r.name" TargetMode="External"/><Relationship Id="rId3" Type="http://schemas.openxmlformats.org/officeDocument/2006/relationships/drawing" Target="../drawings/drawing11.xml"/><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account__r.id" TargetMode="External"/><Relationship Id="rId3" Type="http://schemas.openxmlformats.org/officeDocument/2006/relationships/drawing" Target="../drawings/drawing12.xml"/><Relationship Id="rId4"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deployment__r.id" TargetMode="External"/><Relationship Id="rId3" Type="http://schemas.openxmlformats.org/officeDocument/2006/relationships/hyperlink" Target="http://plan_owner__r.name" TargetMode="External"/><Relationship Id="rId4" Type="http://schemas.openxmlformats.org/officeDocument/2006/relationships/drawing" Target="../drawings/drawing13.xml"/><Relationship Id="rId5"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contact__r.name" TargetMode="External"/><Relationship Id="rId3" Type="http://schemas.openxmlformats.org/officeDocument/2006/relationships/drawing" Target="../drawings/drawing14.xml"/><Relationship Id="rId4"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contact__r.name" TargetMode="External"/><Relationship Id="rId3" Type="http://schemas.openxmlformats.org/officeDocument/2006/relationships/drawing" Target="../drawings/drawing15.xml"/><Relationship Id="rId4"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1" Type="http://schemas.openxmlformats.org/officeDocument/2006/relationships/hyperlink" Target="http://contact__r.name" TargetMode="External"/><Relationship Id="rId2" Type="http://schemas.openxmlformats.org/officeDocument/2006/relationships/hyperlink" Target="http://contact__r.name"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customer__r.name" TargetMode="External"/><Relationship Id="rId3" Type="http://schemas.openxmlformats.org/officeDocument/2006/relationships/hyperlink" Target="http://workday_engagement_manager__r.name" TargetMode="External"/><Relationship Id="rId4" Type="http://schemas.openxmlformats.org/officeDocument/2006/relationships/drawing" Target="../drawings/drawing20.xml"/><Relationship Id="rId5" Type="http://schemas.openxmlformats.org/officeDocument/2006/relationships/vmlDrawing" Target="../drawings/vmlDrawing11.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s://workday-services.slack.com/archives/C0C5RJL155L" TargetMode="External"/><Relationship Id="rId2" Type="http://schemas.openxmlformats.org/officeDocument/2006/relationships/hyperlink" Target="https://workday-services.slack.com/archives/C0C5RJL155L/p1790814360966399" TargetMode="External"/><Relationship Id="rId3"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workday-services.slack.com/archives/C0C5RJL155L" TargetMode="External"/><Relationship Id="rId2"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25"/>
    <col customWidth="1" min="2" max="2" width="33.88"/>
    <col customWidth="1" min="3" max="3" width="21.13"/>
    <col customWidth="1" min="5" max="5" width="32.13"/>
    <col customWidth="1" min="9" max="9" width="16.63"/>
  </cols>
  <sheetData>
    <row r="1">
      <c r="A1" s="2" t="s">
        <v>2</v>
      </c>
      <c r="B1" s="2" t="s">
        <v>6</v>
      </c>
      <c r="C1" s="2" t="s">
        <v>9</v>
      </c>
      <c r="D1" s="2" t="s">
        <v>13</v>
      </c>
      <c r="E1" s="2" t="s">
        <v>18</v>
      </c>
      <c r="F1" s="2" t="s">
        <v>21</v>
      </c>
      <c r="G1" s="2" t="s">
        <v>26</v>
      </c>
      <c r="H1" s="2" t="s">
        <v>40</v>
      </c>
      <c r="I1" s="2" t="s">
        <v>44</v>
      </c>
      <c r="J1" s="2" t="s">
        <v>48</v>
      </c>
      <c r="K1" s="4"/>
    </row>
    <row r="2">
      <c r="A2" s="1" t="s">
        <v>57</v>
      </c>
      <c r="B2" s="1" t="s">
        <v>60</v>
      </c>
      <c r="C2" s="1"/>
      <c r="D2" s="1" t="s">
        <v>64</v>
      </c>
      <c r="E2" s="1" t="s">
        <v>47</v>
      </c>
      <c r="F2" s="1" t="s">
        <v>69</v>
      </c>
      <c r="G2" s="1" t="s">
        <v>71</v>
      </c>
      <c r="H2" s="1" t="s">
        <v>72</v>
      </c>
      <c r="I2" s="6">
        <v>46171.0</v>
      </c>
      <c r="J2" s="1" t="b">
        <v>1</v>
      </c>
      <c r="K2" s="4"/>
    </row>
    <row r="3">
      <c r="A3" s="1" t="s">
        <v>90</v>
      </c>
      <c r="B3" s="1" t="s">
        <v>60</v>
      </c>
      <c r="C3" s="1"/>
      <c r="D3" s="1"/>
      <c r="E3" s="1" t="s">
        <v>95</v>
      </c>
      <c r="F3" s="1" t="s">
        <v>96</v>
      </c>
      <c r="G3" s="1" t="s">
        <v>98</v>
      </c>
      <c r="H3" s="1" t="s">
        <v>100</v>
      </c>
      <c r="I3" s="6">
        <v>46188.0</v>
      </c>
      <c r="J3" s="1" t="b">
        <v>0</v>
      </c>
      <c r="K3" s="4"/>
    </row>
    <row r="4">
      <c r="A4" s="1" t="s">
        <v>90</v>
      </c>
      <c r="B4" s="1" t="s">
        <v>60</v>
      </c>
      <c r="C4" s="1"/>
      <c r="D4" s="1"/>
      <c r="E4" s="1" t="s">
        <v>95</v>
      </c>
      <c r="F4" s="1" t="s">
        <v>96</v>
      </c>
      <c r="G4" s="1" t="s">
        <v>98</v>
      </c>
      <c r="H4" s="1" t="s">
        <v>114</v>
      </c>
      <c r="I4" s="6">
        <v>46188.0</v>
      </c>
      <c r="J4" s="1" t="b">
        <v>0</v>
      </c>
      <c r="K4" s="4"/>
    </row>
    <row r="5">
      <c r="A5" s="1" t="s">
        <v>90</v>
      </c>
      <c r="B5" s="7" t="s">
        <v>60</v>
      </c>
      <c r="C5" s="1"/>
      <c r="D5" s="1"/>
      <c r="E5" s="1" t="s">
        <v>95</v>
      </c>
      <c r="F5" s="1" t="s">
        <v>96</v>
      </c>
      <c r="G5" s="1" t="s">
        <v>98</v>
      </c>
      <c r="H5" s="1" t="s">
        <v>126</v>
      </c>
      <c r="I5" s="6">
        <v>46188.0</v>
      </c>
      <c r="J5" s="1" t="b">
        <v>0</v>
      </c>
      <c r="K5" s="4"/>
    </row>
    <row r="6">
      <c r="A6" s="1" t="s">
        <v>132</v>
      </c>
      <c r="B6" s="7" t="s">
        <v>60</v>
      </c>
      <c r="C6" s="1" t="s">
        <v>138</v>
      </c>
      <c r="D6" s="1"/>
      <c r="E6" s="1" t="s">
        <v>141</v>
      </c>
      <c r="F6" s="1" t="s">
        <v>145</v>
      </c>
      <c r="G6" s="1" t="s">
        <v>71</v>
      </c>
      <c r="H6" s="1" t="s">
        <v>149</v>
      </c>
      <c r="I6" s="6">
        <v>46181.0</v>
      </c>
      <c r="J6" s="1" t="b">
        <v>1</v>
      </c>
      <c r="K6" s="4"/>
    </row>
    <row r="7">
      <c r="A7" s="1" t="s">
        <v>132</v>
      </c>
      <c r="B7" s="7" t="s">
        <v>60</v>
      </c>
      <c r="C7" s="1" t="s">
        <v>138</v>
      </c>
      <c r="D7" s="1"/>
      <c r="E7" s="1" t="s">
        <v>141</v>
      </c>
      <c r="F7" s="1" t="s">
        <v>145</v>
      </c>
      <c r="G7" s="1" t="s">
        <v>71</v>
      </c>
      <c r="H7" s="1" t="s">
        <v>171</v>
      </c>
      <c r="I7" s="6">
        <v>46181.0</v>
      </c>
      <c r="J7" s="1" t="b">
        <v>1</v>
      </c>
      <c r="K7" s="4"/>
    </row>
    <row r="8">
      <c r="A8" s="1" t="s">
        <v>105</v>
      </c>
      <c r="B8" s="7" t="s">
        <v>180</v>
      </c>
      <c r="C8" s="1"/>
      <c r="D8" s="1" t="s">
        <v>183</v>
      </c>
      <c r="E8" s="1" t="s">
        <v>47</v>
      </c>
      <c r="F8" s="1" t="s">
        <v>107</v>
      </c>
      <c r="G8" s="1" t="s">
        <v>71</v>
      </c>
      <c r="H8" s="1" t="s">
        <v>187</v>
      </c>
      <c r="I8" s="6">
        <v>46160.0</v>
      </c>
      <c r="J8" s="1" t="b">
        <v>1</v>
      </c>
      <c r="K8" s="4"/>
    </row>
    <row r="9">
      <c r="A9" s="1" t="s">
        <v>105</v>
      </c>
      <c r="B9" s="7" t="s">
        <v>180</v>
      </c>
      <c r="C9" s="1"/>
      <c r="D9" s="1" t="s">
        <v>183</v>
      </c>
      <c r="E9" s="1" t="s">
        <v>47</v>
      </c>
      <c r="F9" s="1" t="s">
        <v>107</v>
      </c>
      <c r="G9" s="1" t="s">
        <v>71</v>
      </c>
      <c r="H9" s="1" t="s">
        <v>100</v>
      </c>
      <c r="I9" s="6">
        <v>46160.0</v>
      </c>
      <c r="J9" s="1" t="b">
        <v>1</v>
      </c>
      <c r="K9" s="4"/>
    </row>
    <row r="10">
      <c r="A10" s="1" t="s">
        <v>105</v>
      </c>
      <c r="B10" s="7" t="s">
        <v>180</v>
      </c>
      <c r="C10" s="1"/>
      <c r="D10" s="1" t="s">
        <v>183</v>
      </c>
      <c r="E10" s="1" t="s">
        <v>47</v>
      </c>
      <c r="F10" s="1" t="s">
        <v>107</v>
      </c>
      <c r="G10" s="1" t="s">
        <v>71</v>
      </c>
      <c r="H10" s="1" t="s">
        <v>217</v>
      </c>
      <c r="I10" s="6">
        <v>46160.0</v>
      </c>
      <c r="J10" s="1" t="b">
        <v>1</v>
      </c>
      <c r="K10" s="4"/>
    </row>
    <row r="11">
      <c r="A11" s="1" t="s">
        <v>105</v>
      </c>
      <c r="B11" s="7" t="s">
        <v>180</v>
      </c>
      <c r="C11" s="1"/>
      <c r="D11" s="1" t="s">
        <v>183</v>
      </c>
      <c r="E11" s="1" t="s">
        <v>47</v>
      </c>
      <c r="F11" s="1" t="s">
        <v>107</v>
      </c>
      <c r="G11" s="1" t="s">
        <v>71</v>
      </c>
      <c r="H11" s="1" t="s">
        <v>232</v>
      </c>
      <c r="I11" s="6">
        <v>46160.0</v>
      </c>
      <c r="J11" s="1" t="b">
        <v>1</v>
      </c>
      <c r="K11" s="4"/>
    </row>
    <row r="12">
      <c r="A12" s="1" t="s">
        <v>105</v>
      </c>
      <c r="B12" s="7" t="s">
        <v>180</v>
      </c>
      <c r="C12" s="1"/>
      <c r="D12" s="1" t="s">
        <v>183</v>
      </c>
      <c r="E12" s="1" t="s">
        <v>47</v>
      </c>
      <c r="F12" s="1" t="s">
        <v>107</v>
      </c>
      <c r="G12" s="1" t="s">
        <v>71</v>
      </c>
      <c r="H12" s="1" t="s">
        <v>244</v>
      </c>
      <c r="I12" s="6">
        <v>46160.0</v>
      </c>
      <c r="J12" s="1" t="b">
        <v>1</v>
      </c>
      <c r="K12" s="4"/>
    </row>
    <row r="13">
      <c r="A13" s="1" t="s">
        <v>248</v>
      </c>
      <c r="B13" s="1" t="s">
        <v>180</v>
      </c>
      <c r="C13" s="1"/>
      <c r="D13" s="1" t="s">
        <v>64</v>
      </c>
      <c r="E13" s="1" t="s">
        <v>47</v>
      </c>
      <c r="F13" s="1" t="s">
        <v>254</v>
      </c>
      <c r="G13" s="1" t="s">
        <v>71</v>
      </c>
      <c r="H13" s="1" t="s">
        <v>100</v>
      </c>
      <c r="I13" s="6">
        <v>46173.0</v>
      </c>
      <c r="J13" s="1" t="b">
        <v>1</v>
      </c>
      <c r="K13" s="4"/>
    </row>
    <row r="14">
      <c r="A14" s="1" t="s">
        <v>248</v>
      </c>
      <c r="B14" s="1" t="s">
        <v>180</v>
      </c>
      <c r="C14" s="1"/>
      <c r="D14" s="1" t="s">
        <v>64</v>
      </c>
      <c r="E14" s="1" t="s">
        <v>47</v>
      </c>
      <c r="F14" s="1" t="s">
        <v>254</v>
      </c>
      <c r="G14" s="1" t="s">
        <v>71</v>
      </c>
      <c r="H14" s="1" t="s">
        <v>187</v>
      </c>
      <c r="I14" s="6">
        <v>46173.0</v>
      </c>
      <c r="J14" s="1" t="b">
        <v>1</v>
      </c>
      <c r="K14" s="4"/>
    </row>
    <row r="15">
      <c r="A15" s="1" t="s">
        <v>248</v>
      </c>
      <c r="B15" s="1" t="s">
        <v>180</v>
      </c>
      <c r="C15" s="1"/>
      <c r="D15" s="1" t="s">
        <v>64</v>
      </c>
      <c r="E15" s="1" t="s">
        <v>47</v>
      </c>
      <c r="F15" s="1" t="s">
        <v>254</v>
      </c>
      <c r="G15" s="1" t="s">
        <v>71</v>
      </c>
      <c r="H15" s="1" t="s">
        <v>217</v>
      </c>
      <c r="I15" s="6">
        <v>46173.0</v>
      </c>
      <c r="J15" s="1" t="b">
        <v>1</v>
      </c>
      <c r="K15" s="4"/>
    </row>
    <row r="16">
      <c r="A16" s="1" t="s">
        <v>248</v>
      </c>
      <c r="B16" s="1" t="s">
        <v>180</v>
      </c>
      <c r="C16" s="1"/>
      <c r="D16" s="1" t="s">
        <v>64</v>
      </c>
      <c r="E16" s="1" t="s">
        <v>47</v>
      </c>
      <c r="F16" s="1" t="s">
        <v>254</v>
      </c>
      <c r="G16" s="1" t="s">
        <v>71</v>
      </c>
      <c r="H16" s="1" t="s">
        <v>232</v>
      </c>
      <c r="I16" s="6">
        <v>46173.0</v>
      </c>
      <c r="J16" s="1" t="b">
        <v>1</v>
      </c>
      <c r="K16" s="4"/>
    </row>
    <row r="17">
      <c r="A17" s="1" t="s">
        <v>281</v>
      </c>
      <c r="B17" s="1" t="s">
        <v>180</v>
      </c>
      <c r="C17" s="1"/>
      <c r="D17" s="1" t="s">
        <v>68</v>
      </c>
      <c r="E17" s="1" t="s">
        <v>47</v>
      </c>
      <c r="F17" s="1" t="s">
        <v>287</v>
      </c>
      <c r="G17" s="1" t="s">
        <v>98</v>
      </c>
      <c r="H17" s="1" t="s">
        <v>290</v>
      </c>
      <c r="I17" s="6">
        <v>46160.0</v>
      </c>
      <c r="J17" s="1" t="b">
        <v>1</v>
      </c>
      <c r="K17" s="4"/>
    </row>
    <row r="18">
      <c r="A18" s="1" t="s">
        <v>296</v>
      </c>
      <c r="B18" s="7" t="s">
        <v>180</v>
      </c>
      <c r="C18" s="1"/>
      <c r="E18" s="1" t="s">
        <v>298</v>
      </c>
      <c r="F18" s="1" t="s">
        <v>299</v>
      </c>
      <c r="G18" s="1" t="s">
        <v>98</v>
      </c>
      <c r="H18" s="1" t="s">
        <v>290</v>
      </c>
      <c r="I18" s="6">
        <v>46171.0</v>
      </c>
      <c r="J18" s="1" t="b">
        <v>1</v>
      </c>
      <c r="K18" s="4"/>
    </row>
    <row r="19">
      <c r="A19" s="1" t="s">
        <v>306</v>
      </c>
      <c r="B19" s="7" t="s">
        <v>180</v>
      </c>
      <c r="C19" s="1"/>
      <c r="D19" s="1"/>
      <c r="E19" s="1" t="s">
        <v>184</v>
      </c>
      <c r="F19" s="1" t="s">
        <v>310</v>
      </c>
      <c r="G19" s="1" t="s">
        <v>71</v>
      </c>
      <c r="H19" s="1" t="s">
        <v>217</v>
      </c>
      <c r="I19" s="6">
        <v>46136.0</v>
      </c>
      <c r="J19" s="1" t="b">
        <v>0</v>
      </c>
      <c r="K19" s="4"/>
    </row>
    <row r="20">
      <c r="A20" s="1" t="s">
        <v>259</v>
      </c>
      <c r="B20" s="7" t="s">
        <v>180</v>
      </c>
      <c r="C20" s="1"/>
      <c r="E20" s="1" t="s">
        <v>267</v>
      </c>
      <c r="F20" s="1" t="s">
        <v>261</v>
      </c>
      <c r="G20" s="1" t="s">
        <v>98</v>
      </c>
      <c r="H20" s="1" t="s">
        <v>320</v>
      </c>
      <c r="I20" s="6">
        <v>46178.0</v>
      </c>
      <c r="J20" s="1" t="b">
        <v>1</v>
      </c>
      <c r="K20" s="4"/>
    </row>
    <row r="21">
      <c r="A21" s="1" t="s">
        <v>259</v>
      </c>
      <c r="B21" s="7" t="s">
        <v>180</v>
      </c>
      <c r="C21" s="1"/>
      <c r="E21" s="1" t="s">
        <v>267</v>
      </c>
      <c r="F21" s="1" t="s">
        <v>261</v>
      </c>
      <c r="G21" s="1" t="s">
        <v>98</v>
      </c>
      <c r="H21" s="1" t="s">
        <v>329</v>
      </c>
      <c r="I21" s="6">
        <v>46178.0</v>
      </c>
      <c r="J21" s="1" t="b">
        <v>1</v>
      </c>
      <c r="K21" s="4"/>
    </row>
    <row r="22">
      <c r="A22" s="1" t="s">
        <v>259</v>
      </c>
      <c r="B22" s="7" t="s">
        <v>180</v>
      </c>
      <c r="C22" s="1"/>
      <c r="D22" s="1"/>
      <c r="E22" s="1" t="s">
        <v>267</v>
      </c>
      <c r="F22" s="1" t="s">
        <v>261</v>
      </c>
      <c r="G22" s="1" t="s">
        <v>98</v>
      </c>
      <c r="H22" s="1" t="s">
        <v>126</v>
      </c>
      <c r="I22" s="6">
        <v>46178.0</v>
      </c>
      <c r="J22" s="1" t="b">
        <v>1</v>
      </c>
      <c r="K22" s="4"/>
    </row>
    <row r="23">
      <c r="A23" s="1" t="s">
        <v>259</v>
      </c>
      <c r="B23" s="7" t="s">
        <v>180</v>
      </c>
      <c r="C23" s="1"/>
      <c r="D23" s="1"/>
      <c r="E23" s="1" t="s">
        <v>267</v>
      </c>
      <c r="F23" s="1" t="s">
        <v>261</v>
      </c>
      <c r="G23" s="1" t="s">
        <v>98</v>
      </c>
      <c r="H23" s="1" t="s">
        <v>100</v>
      </c>
      <c r="I23" s="6">
        <v>46178.0</v>
      </c>
      <c r="J23" s="1" t="b">
        <v>1</v>
      </c>
      <c r="K23" s="4"/>
    </row>
    <row r="24">
      <c r="A24" s="1" t="s">
        <v>259</v>
      </c>
      <c r="B24" s="7" t="s">
        <v>180</v>
      </c>
      <c r="C24" s="1"/>
      <c r="D24" s="1"/>
      <c r="E24" s="1" t="s">
        <v>267</v>
      </c>
      <c r="F24" s="1" t="s">
        <v>261</v>
      </c>
      <c r="G24" s="1" t="s">
        <v>98</v>
      </c>
      <c r="H24" s="1" t="s">
        <v>232</v>
      </c>
      <c r="I24" s="6">
        <v>46178.0</v>
      </c>
      <c r="J24" s="1" t="b">
        <v>1</v>
      </c>
      <c r="K24" s="4"/>
    </row>
    <row r="25">
      <c r="A25" s="1" t="s">
        <v>259</v>
      </c>
      <c r="B25" s="7" t="s">
        <v>180</v>
      </c>
      <c r="C25" s="1"/>
      <c r="D25" s="1"/>
      <c r="E25" s="1" t="s">
        <v>267</v>
      </c>
      <c r="F25" s="1" t="s">
        <v>261</v>
      </c>
      <c r="G25" s="1" t="s">
        <v>98</v>
      </c>
      <c r="H25" s="1" t="s">
        <v>72</v>
      </c>
      <c r="I25" s="6">
        <v>46178.0</v>
      </c>
      <c r="J25" s="1" t="b">
        <v>1</v>
      </c>
      <c r="K25" s="4"/>
    </row>
    <row r="26">
      <c r="A26" s="1" t="s">
        <v>358</v>
      </c>
      <c r="B26" s="7" t="s">
        <v>180</v>
      </c>
      <c r="C26" s="1" t="s">
        <v>361</v>
      </c>
      <c r="D26" s="1"/>
      <c r="E26" s="1" t="s">
        <v>267</v>
      </c>
      <c r="F26" s="1" t="s">
        <v>362</v>
      </c>
      <c r="G26" s="1" t="s">
        <v>71</v>
      </c>
      <c r="H26" s="1" t="s">
        <v>320</v>
      </c>
      <c r="I26" s="6">
        <v>46141.0</v>
      </c>
      <c r="J26" s="1" t="b">
        <v>1</v>
      </c>
      <c r="K26" s="4"/>
    </row>
    <row r="27">
      <c r="A27" s="1" t="s">
        <v>368</v>
      </c>
      <c r="B27" s="7" t="s">
        <v>180</v>
      </c>
      <c r="C27" s="1"/>
      <c r="D27" s="1"/>
      <c r="E27" s="1" t="s">
        <v>376</v>
      </c>
      <c r="F27" s="1" t="s">
        <v>377</v>
      </c>
      <c r="G27" s="1" t="s">
        <v>98</v>
      </c>
      <c r="H27" s="1" t="s">
        <v>217</v>
      </c>
      <c r="I27" s="6">
        <v>46139.0</v>
      </c>
      <c r="J27" s="1" t="b">
        <v>1</v>
      </c>
      <c r="K27" s="4"/>
    </row>
    <row r="28">
      <c r="A28" s="1" t="s">
        <v>380</v>
      </c>
      <c r="B28" s="7" t="s">
        <v>180</v>
      </c>
      <c r="C28" s="1"/>
      <c r="E28" s="1" t="s">
        <v>298</v>
      </c>
      <c r="F28" s="1" t="s">
        <v>386</v>
      </c>
      <c r="G28" s="1" t="s">
        <v>98</v>
      </c>
      <c r="H28" s="1" t="s">
        <v>72</v>
      </c>
      <c r="I28" s="6">
        <v>46187.0</v>
      </c>
      <c r="J28" s="1" t="b">
        <v>0</v>
      </c>
      <c r="K28" s="4"/>
    </row>
    <row r="29">
      <c r="A29" s="1" t="s">
        <v>380</v>
      </c>
      <c r="B29" s="7" t="s">
        <v>180</v>
      </c>
      <c r="C29" s="1"/>
      <c r="D29" s="1"/>
      <c r="E29" s="1" t="s">
        <v>298</v>
      </c>
      <c r="F29" s="1" t="s">
        <v>386</v>
      </c>
      <c r="G29" s="1" t="s">
        <v>98</v>
      </c>
      <c r="H29" s="1" t="s">
        <v>126</v>
      </c>
      <c r="I29" s="6">
        <v>46187.0</v>
      </c>
      <c r="J29" s="1" t="b">
        <v>0</v>
      </c>
      <c r="K29" s="4"/>
    </row>
    <row r="30">
      <c r="A30" s="1" t="s">
        <v>380</v>
      </c>
      <c r="B30" s="7" t="s">
        <v>180</v>
      </c>
      <c r="C30" s="1"/>
      <c r="E30" s="1" t="s">
        <v>298</v>
      </c>
      <c r="F30" s="1" t="s">
        <v>386</v>
      </c>
      <c r="G30" s="1" t="s">
        <v>98</v>
      </c>
      <c r="H30" s="1" t="s">
        <v>100</v>
      </c>
      <c r="I30" s="6">
        <v>46187.0</v>
      </c>
      <c r="J30" s="1" t="b">
        <v>0</v>
      </c>
      <c r="K30" s="4"/>
    </row>
    <row r="31">
      <c r="A31" s="1" t="s">
        <v>380</v>
      </c>
      <c r="B31" s="7" t="s">
        <v>180</v>
      </c>
      <c r="C31" s="1"/>
      <c r="D31" s="1"/>
      <c r="E31" s="1" t="s">
        <v>298</v>
      </c>
      <c r="F31" s="1" t="s">
        <v>386</v>
      </c>
      <c r="G31" s="1" t="s">
        <v>98</v>
      </c>
      <c r="H31" s="1" t="s">
        <v>232</v>
      </c>
      <c r="I31" s="6">
        <v>46187.0</v>
      </c>
      <c r="J31" s="1" t="b">
        <v>0</v>
      </c>
      <c r="K31" s="4"/>
    </row>
    <row r="32">
      <c r="A32" s="1" t="s">
        <v>402</v>
      </c>
      <c r="B32" s="7" t="s">
        <v>180</v>
      </c>
      <c r="C32" s="1" t="s">
        <v>405</v>
      </c>
      <c r="D32" s="1"/>
      <c r="E32" s="1" t="s">
        <v>163</v>
      </c>
      <c r="F32" s="1" t="s">
        <v>408</v>
      </c>
      <c r="G32" s="1" t="s">
        <v>98</v>
      </c>
      <c r="H32" s="1" t="s">
        <v>100</v>
      </c>
      <c r="I32" s="6">
        <v>46194.0</v>
      </c>
      <c r="J32" s="1" t="b">
        <v>0</v>
      </c>
      <c r="K32" s="4"/>
    </row>
    <row r="33">
      <c r="A33" s="1" t="s">
        <v>402</v>
      </c>
      <c r="B33" s="7" t="s">
        <v>180</v>
      </c>
      <c r="C33" s="1" t="s">
        <v>405</v>
      </c>
      <c r="D33" s="4"/>
      <c r="E33" s="1" t="s">
        <v>163</v>
      </c>
      <c r="F33" s="1" t="s">
        <v>408</v>
      </c>
      <c r="G33" s="1" t="s">
        <v>98</v>
      </c>
      <c r="H33" s="1" t="s">
        <v>232</v>
      </c>
      <c r="I33" s="6">
        <v>46194.0</v>
      </c>
      <c r="J33" s="1" t="b">
        <v>0</v>
      </c>
      <c r="K33" s="4"/>
    </row>
    <row r="34">
      <c r="A34" s="1" t="s">
        <v>402</v>
      </c>
      <c r="B34" s="7" t="s">
        <v>180</v>
      </c>
      <c r="C34" s="1" t="s">
        <v>405</v>
      </c>
      <c r="D34" s="1"/>
      <c r="E34" s="1" t="s">
        <v>163</v>
      </c>
      <c r="F34" s="1" t="s">
        <v>408</v>
      </c>
      <c r="G34" s="1" t="s">
        <v>98</v>
      </c>
      <c r="H34" s="1" t="s">
        <v>126</v>
      </c>
      <c r="I34" s="6">
        <v>46194.0</v>
      </c>
      <c r="J34" s="1" t="b">
        <v>0</v>
      </c>
      <c r="K34" s="4"/>
    </row>
    <row r="35">
      <c r="A35" s="1" t="s">
        <v>402</v>
      </c>
      <c r="B35" s="7" t="s">
        <v>180</v>
      </c>
      <c r="C35" s="1" t="s">
        <v>405</v>
      </c>
      <c r="D35" s="1"/>
      <c r="E35" s="1" t="s">
        <v>163</v>
      </c>
      <c r="F35" s="1" t="s">
        <v>408</v>
      </c>
      <c r="G35" s="1" t="s">
        <v>98</v>
      </c>
      <c r="H35" s="1" t="s">
        <v>329</v>
      </c>
      <c r="I35" s="6">
        <v>46194.0</v>
      </c>
      <c r="J35" s="1" t="b">
        <v>0</v>
      </c>
      <c r="K35" s="4"/>
    </row>
    <row r="36">
      <c r="A36" s="1" t="s">
        <v>402</v>
      </c>
      <c r="B36" s="7" t="s">
        <v>180</v>
      </c>
      <c r="C36" s="1" t="s">
        <v>405</v>
      </c>
      <c r="E36" s="1" t="s">
        <v>163</v>
      </c>
      <c r="F36" s="1" t="s">
        <v>408</v>
      </c>
      <c r="G36" s="1" t="s">
        <v>98</v>
      </c>
      <c r="H36" s="1" t="s">
        <v>72</v>
      </c>
      <c r="I36" s="6">
        <v>46194.0</v>
      </c>
      <c r="J36" s="1" t="b">
        <v>0</v>
      </c>
      <c r="K36" s="4"/>
    </row>
    <row r="37">
      <c r="A37" s="1" t="s">
        <v>402</v>
      </c>
      <c r="B37" s="7" t="s">
        <v>180</v>
      </c>
      <c r="C37" s="1" t="s">
        <v>405</v>
      </c>
      <c r="D37" s="1"/>
      <c r="E37" s="1" t="s">
        <v>163</v>
      </c>
      <c r="F37" s="1" t="s">
        <v>408</v>
      </c>
      <c r="G37" s="1" t="s">
        <v>98</v>
      </c>
      <c r="H37" s="1" t="s">
        <v>435</v>
      </c>
      <c r="I37" s="6">
        <v>46194.0</v>
      </c>
      <c r="J37" s="1" t="b">
        <v>0</v>
      </c>
      <c r="K37" s="4"/>
    </row>
    <row r="38">
      <c r="A38" s="1" t="s">
        <v>402</v>
      </c>
      <c r="B38" s="7" t="s">
        <v>180</v>
      </c>
      <c r="C38" s="1" t="s">
        <v>405</v>
      </c>
      <c r="D38" s="1"/>
      <c r="E38" s="1" t="s">
        <v>163</v>
      </c>
      <c r="F38" s="1" t="s">
        <v>408</v>
      </c>
      <c r="G38" s="1" t="s">
        <v>98</v>
      </c>
      <c r="H38" s="1" t="s">
        <v>114</v>
      </c>
      <c r="I38" s="6">
        <v>46194.0</v>
      </c>
      <c r="J38" s="1" t="b">
        <v>0</v>
      </c>
      <c r="K38" s="4"/>
    </row>
    <row r="39">
      <c r="A39" s="1" t="s">
        <v>446</v>
      </c>
      <c r="B39" s="7" t="s">
        <v>180</v>
      </c>
      <c r="C39" s="4"/>
      <c r="D39" s="1" t="s">
        <v>448</v>
      </c>
      <c r="E39" s="1" t="s">
        <v>47</v>
      </c>
      <c r="F39" s="1" t="s">
        <v>450</v>
      </c>
      <c r="G39" s="1" t="s">
        <v>98</v>
      </c>
      <c r="H39" s="1" t="s">
        <v>290</v>
      </c>
      <c r="I39" s="6">
        <v>46174.0</v>
      </c>
      <c r="J39" s="1" t="b">
        <v>1</v>
      </c>
      <c r="K39" s="4"/>
    </row>
    <row r="40">
      <c r="A40" s="1" t="s">
        <v>457</v>
      </c>
      <c r="B40" s="7" t="s">
        <v>180</v>
      </c>
      <c r="C40" s="4"/>
      <c r="D40" s="1"/>
      <c r="E40" s="1" t="s">
        <v>141</v>
      </c>
      <c r="F40" s="1" t="s">
        <v>461</v>
      </c>
      <c r="G40" s="1" t="s">
        <v>98</v>
      </c>
      <c r="H40" s="1" t="s">
        <v>100</v>
      </c>
      <c r="I40" s="6">
        <v>46149.0</v>
      </c>
      <c r="J40" s="1" t="b">
        <v>0</v>
      </c>
      <c r="K40" s="4"/>
    </row>
    <row r="41">
      <c r="A41" s="1" t="s">
        <v>457</v>
      </c>
      <c r="B41" s="7" t="s">
        <v>180</v>
      </c>
      <c r="C41" s="1"/>
      <c r="E41" s="1" t="s">
        <v>141</v>
      </c>
      <c r="F41" s="1" t="s">
        <v>461</v>
      </c>
      <c r="G41" s="1" t="s">
        <v>98</v>
      </c>
      <c r="H41" s="1" t="s">
        <v>232</v>
      </c>
      <c r="I41" s="6">
        <v>46149.0</v>
      </c>
      <c r="J41" s="1" t="b">
        <v>0</v>
      </c>
      <c r="K41" s="4"/>
    </row>
    <row r="42">
      <c r="A42" s="1" t="s">
        <v>457</v>
      </c>
      <c r="B42" s="7" t="s">
        <v>180</v>
      </c>
      <c r="C42" s="4"/>
      <c r="D42" s="1"/>
      <c r="E42" s="1" t="s">
        <v>141</v>
      </c>
      <c r="F42" s="1" t="s">
        <v>461</v>
      </c>
      <c r="G42" s="1" t="s">
        <v>98</v>
      </c>
      <c r="H42" s="1" t="s">
        <v>114</v>
      </c>
      <c r="I42" s="6">
        <v>46149.0</v>
      </c>
      <c r="J42" s="1" t="b">
        <v>0</v>
      </c>
      <c r="K42" s="4"/>
    </row>
    <row r="43">
      <c r="A43" s="1" t="s">
        <v>477</v>
      </c>
      <c r="B43" s="7" t="s">
        <v>180</v>
      </c>
      <c r="C43" s="4"/>
      <c r="E43" s="1" t="s">
        <v>267</v>
      </c>
      <c r="F43" s="1" t="s">
        <v>480</v>
      </c>
      <c r="G43" s="1" t="s">
        <v>98</v>
      </c>
      <c r="H43" s="1" t="s">
        <v>244</v>
      </c>
      <c r="I43" s="6">
        <v>46174.0</v>
      </c>
      <c r="J43" s="1" t="b">
        <v>0</v>
      </c>
      <c r="K43" s="4"/>
    </row>
    <row r="44">
      <c r="A44" s="1" t="s">
        <v>315</v>
      </c>
      <c r="B44" s="7" t="s">
        <v>180</v>
      </c>
      <c r="C44" s="4"/>
      <c r="D44" s="1" t="s">
        <v>323</v>
      </c>
      <c r="E44" s="1" t="s">
        <v>47</v>
      </c>
      <c r="F44" s="1" t="s">
        <v>317</v>
      </c>
      <c r="G44" s="1" t="s">
        <v>71</v>
      </c>
      <c r="H44" s="1" t="s">
        <v>100</v>
      </c>
      <c r="I44" s="6">
        <v>46184.0</v>
      </c>
      <c r="J44" s="1" t="b">
        <v>1</v>
      </c>
      <c r="K44" s="4"/>
    </row>
    <row r="45">
      <c r="A45" s="1" t="s">
        <v>315</v>
      </c>
      <c r="B45" s="7" t="s">
        <v>180</v>
      </c>
      <c r="C45" s="4"/>
      <c r="D45" s="1" t="s">
        <v>323</v>
      </c>
      <c r="E45" s="1" t="s">
        <v>47</v>
      </c>
      <c r="F45" s="1" t="s">
        <v>317</v>
      </c>
      <c r="G45" s="1" t="s">
        <v>71</v>
      </c>
      <c r="H45" s="1" t="s">
        <v>187</v>
      </c>
      <c r="I45" s="6">
        <v>46184.0</v>
      </c>
      <c r="J45" s="1" t="b">
        <v>1</v>
      </c>
      <c r="K45" s="4"/>
    </row>
    <row r="46">
      <c r="A46" s="1" t="s">
        <v>315</v>
      </c>
      <c r="B46" s="7" t="s">
        <v>180</v>
      </c>
      <c r="C46" s="4"/>
      <c r="D46" s="1" t="s">
        <v>323</v>
      </c>
      <c r="E46" s="1" t="s">
        <v>47</v>
      </c>
      <c r="F46" s="1" t="s">
        <v>317</v>
      </c>
      <c r="G46" s="1" t="s">
        <v>71</v>
      </c>
      <c r="H46" s="1" t="s">
        <v>217</v>
      </c>
      <c r="I46" s="6">
        <v>46184.0</v>
      </c>
      <c r="J46" s="1" t="b">
        <v>1</v>
      </c>
      <c r="K46" s="4"/>
    </row>
    <row r="47">
      <c r="A47" s="1" t="s">
        <v>315</v>
      </c>
      <c r="B47" s="7" t="s">
        <v>180</v>
      </c>
      <c r="C47" s="4"/>
      <c r="D47" s="1" t="s">
        <v>323</v>
      </c>
      <c r="E47" s="1" t="s">
        <v>47</v>
      </c>
      <c r="F47" s="1" t="s">
        <v>317</v>
      </c>
      <c r="G47" s="1" t="s">
        <v>71</v>
      </c>
      <c r="H47" s="1" t="s">
        <v>232</v>
      </c>
      <c r="I47" s="6">
        <v>46184.0</v>
      </c>
      <c r="J47" s="1" t="b">
        <v>1</v>
      </c>
      <c r="K47" s="4"/>
    </row>
    <row r="48">
      <c r="A48" s="1" t="s">
        <v>521</v>
      </c>
      <c r="B48" s="7" t="s">
        <v>180</v>
      </c>
      <c r="C48" s="1" t="s">
        <v>448</v>
      </c>
      <c r="E48" s="1" t="s">
        <v>227</v>
      </c>
      <c r="F48" s="1" t="s">
        <v>525</v>
      </c>
      <c r="G48" s="1" t="s">
        <v>98</v>
      </c>
      <c r="H48" s="1" t="s">
        <v>72</v>
      </c>
      <c r="I48" s="6">
        <v>46150.0</v>
      </c>
      <c r="J48" s="1" t="b">
        <v>1</v>
      </c>
      <c r="K48" s="4"/>
    </row>
    <row r="49">
      <c r="A49" s="1" t="s">
        <v>526</v>
      </c>
      <c r="B49" s="7" t="s">
        <v>180</v>
      </c>
      <c r="C49" s="4"/>
      <c r="D49" s="1" t="s">
        <v>529</v>
      </c>
      <c r="E49" s="1" t="s">
        <v>47</v>
      </c>
      <c r="F49" s="1" t="s">
        <v>531</v>
      </c>
      <c r="G49" s="1" t="s">
        <v>251</v>
      </c>
      <c r="H49" s="1" t="s">
        <v>37</v>
      </c>
      <c r="I49" s="6">
        <v>46171.0</v>
      </c>
      <c r="J49" s="1" t="b">
        <v>1</v>
      </c>
      <c r="K49" s="4"/>
    </row>
    <row r="50">
      <c r="A50" s="1" t="s">
        <v>536</v>
      </c>
      <c r="B50" s="7" t="s">
        <v>60</v>
      </c>
      <c r="C50" s="4"/>
      <c r="E50" s="1" t="s">
        <v>530</v>
      </c>
      <c r="F50" s="1" t="s">
        <v>377</v>
      </c>
      <c r="G50" s="1" t="s">
        <v>98</v>
      </c>
      <c r="H50" s="1" t="s">
        <v>217</v>
      </c>
      <c r="I50" s="6">
        <v>46153.0</v>
      </c>
      <c r="J50" s="1" t="b">
        <v>1</v>
      </c>
      <c r="K50" s="4"/>
    </row>
    <row r="51">
      <c r="A51" s="1" t="s">
        <v>539</v>
      </c>
      <c r="B51" s="7" t="s">
        <v>180</v>
      </c>
      <c r="C51" s="4"/>
      <c r="E51" s="1" t="s">
        <v>540</v>
      </c>
      <c r="F51" s="1" t="s">
        <v>541</v>
      </c>
      <c r="G51" s="1" t="s">
        <v>71</v>
      </c>
      <c r="H51" s="1" t="s">
        <v>232</v>
      </c>
      <c r="I51" s="6">
        <v>46180.0</v>
      </c>
      <c r="J51" s="1" t="b">
        <v>0</v>
      </c>
      <c r="K51" s="4"/>
    </row>
    <row r="52">
      <c r="A52" s="1" t="s">
        <v>539</v>
      </c>
      <c r="B52" s="7" t="s">
        <v>180</v>
      </c>
      <c r="C52" s="4"/>
      <c r="E52" s="1" t="s">
        <v>540</v>
      </c>
      <c r="F52" s="1" t="s">
        <v>541</v>
      </c>
      <c r="G52" s="1" t="s">
        <v>71</v>
      </c>
      <c r="H52" s="1" t="s">
        <v>187</v>
      </c>
      <c r="I52" s="6">
        <v>46180.0</v>
      </c>
      <c r="J52" s="1" t="b">
        <v>0</v>
      </c>
      <c r="K52" s="4"/>
    </row>
    <row r="53">
      <c r="A53" s="1" t="s">
        <v>539</v>
      </c>
      <c r="B53" s="7" t="s">
        <v>180</v>
      </c>
      <c r="C53" s="4"/>
      <c r="E53" s="1" t="s">
        <v>540</v>
      </c>
      <c r="F53" s="1" t="s">
        <v>541</v>
      </c>
      <c r="G53" s="1" t="s">
        <v>71</v>
      </c>
      <c r="H53" s="1" t="s">
        <v>217</v>
      </c>
      <c r="I53" s="6">
        <v>46180.0</v>
      </c>
      <c r="J53" s="1" t="b">
        <v>0</v>
      </c>
      <c r="K53" s="4"/>
    </row>
    <row r="54">
      <c r="A54" s="1" t="s">
        <v>539</v>
      </c>
      <c r="B54" s="7" t="s">
        <v>180</v>
      </c>
      <c r="C54" s="4"/>
      <c r="E54" s="1" t="s">
        <v>540</v>
      </c>
      <c r="F54" s="1" t="s">
        <v>541</v>
      </c>
      <c r="G54" s="1" t="s">
        <v>71</v>
      </c>
      <c r="H54" s="1" t="s">
        <v>149</v>
      </c>
      <c r="I54" s="6">
        <v>46180.0</v>
      </c>
      <c r="J54" s="1" t="b">
        <v>0</v>
      </c>
      <c r="K54" s="4"/>
    </row>
    <row r="55">
      <c r="A55" s="1" t="s">
        <v>539</v>
      </c>
      <c r="B55" s="7" t="s">
        <v>180</v>
      </c>
      <c r="C55" s="4"/>
      <c r="E55" s="1" t="s">
        <v>540</v>
      </c>
      <c r="F55" s="1" t="s">
        <v>541</v>
      </c>
      <c r="G55" s="1" t="s">
        <v>71</v>
      </c>
      <c r="H55" s="1" t="s">
        <v>171</v>
      </c>
      <c r="I55" s="6">
        <v>46180.0</v>
      </c>
      <c r="J55" s="1" t="b">
        <v>0</v>
      </c>
      <c r="K55" s="4"/>
    </row>
    <row r="56">
      <c r="A56" s="1" t="s">
        <v>539</v>
      </c>
      <c r="B56" s="7" t="s">
        <v>180</v>
      </c>
      <c r="C56" s="4"/>
      <c r="E56" s="1" t="s">
        <v>540</v>
      </c>
      <c r="F56" s="1" t="s">
        <v>541</v>
      </c>
      <c r="G56" s="1" t="s">
        <v>71</v>
      </c>
      <c r="H56" s="1" t="s">
        <v>100</v>
      </c>
      <c r="I56" s="6">
        <v>46180.0</v>
      </c>
      <c r="J56" s="1" t="b">
        <v>0</v>
      </c>
      <c r="K56" s="4"/>
    </row>
    <row r="57">
      <c r="A57" s="1" t="s">
        <v>173</v>
      </c>
      <c r="B57" s="7" t="s">
        <v>180</v>
      </c>
      <c r="C57" s="4"/>
      <c r="E57" s="1" t="s">
        <v>184</v>
      </c>
      <c r="F57" s="1" t="s">
        <v>176</v>
      </c>
      <c r="G57" s="1" t="s">
        <v>572</v>
      </c>
      <c r="H57" s="1" t="s">
        <v>217</v>
      </c>
      <c r="I57" s="6">
        <v>46188.0</v>
      </c>
      <c r="J57" s="1" t="b">
        <v>1</v>
      </c>
      <c r="K57" s="4"/>
    </row>
    <row r="58">
      <c r="A58" s="1" t="s">
        <v>173</v>
      </c>
      <c r="B58" s="7" t="s">
        <v>180</v>
      </c>
      <c r="C58" s="4"/>
      <c r="E58" s="1" t="s">
        <v>184</v>
      </c>
      <c r="F58" s="1" t="s">
        <v>176</v>
      </c>
      <c r="G58" s="1" t="s">
        <v>572</v>
      </c>
      <c r="H58" s="1" t="s">
        <v>187</v>
      </c>
      <c r="I58" s="6">
        <v>46188.0</v>
      </c>
      <c r="J58" s="1" t="b">
        <v>1</v>
      </c>
      <c r="K58" s="4"/>
    </row>
    <row r="59">
      <c r="A59" s="1" t="s">
        <v>173</v>
      </c>
      <c r="B59" s="7" t="s">
        <v>180</v>
      </c>
      <c r="C59" s="4"/>
      <c r="E59" s="1" t="s">
        <v>184</v>
      </c>
      <c r="F59" s="1" t="s">
        <v>176</v>
      </c>
      <c r="G59" s="1" t="s">
        <v>572</v>
      </c>
      <c r="H59" s="1" t="s">
        <v>149</v>
      </c>
      <c r="I59" s="6">
        <v>46188.0</v>
      </c>
      <c r="J59" s="1" t="b">
        <v>1</v>
      </c>
      <c r="K59" s="4"/>
    </row>
    <row r="60">
      <c r="A60" s="1" t="s">
        <v>173</v>
      </c>
      <c r="B60" s="7" t="s">
        <v>180</v>
      </c>
      <c r="C60" s="4"/>
      <c r="D60" s="4"/>
      <c r="E60" s="1" t="s">
        <v>184</v>
      </c>
      <c r="F60" s="1" t="s">
        <v>176</v>
      </c>
      <c r="G60" s="1" t="s">
        <v>572</v>
      </c>
      <c r="H60" s="1" t="s">
        <v>232</v>
      </c>
      <c r="I60" s="6">
        <v>46188.0</v>
      </c>
      <c r="J60" s="1" t="b">
        <v>1</v>
      </c>
      <c r="K60" s="4"/>
    </row>
    <row r="61">
      <c r="A61" s="1" t="s">
        <v>173</v>
      </c>
      <c r="B61" s="7" t="s">
        <v>180</v>
      </c>
      <c r="C61" s="4"/>
      <c r="D61" s="4"/>
      <c r="E61" s="1" t="s">
        <v>184</v>
      </c>
      <c r="F61" s="1" t="s">
        <v>176</v>
      </c>
      <c r="G61" s="1" t="s">
        <v>572</v>
      </c>
      <c r="H61" s="1" t="s">
        <v>100</v>
      </c>
      <c r="I61" s="6">
        <v>46188.0</v>
      </c>
      <c r="J61" s="1" t="b">
        <v>1</v>
      </c>
      <c r="K61" s="4"/>
    </row>
    <row r="62">
      <c r="A62" s="1" t="s">
        <v>173</v>
      </c>
      <c r="B62" s="7" t="s">
        <v>180</v>
      </c>
      <c r="C62" s="4"/>
      <c r="E62" s="1" t="s">
        <v>184</v>
      </c>
      <c r="F62" s="1" t="s">
        <v>176</v>
      </c>
      <c r="G62" s="1" t="s">
        <v>572</v>
      </c>
      <c r="H62" s="1" t="s">
        <v>171</v>
      </c>
      <c r="I62" s="6">
        <v>46188.0</v>
      </c>
      <c r="J62" s="1" t="b">
        <v>1</v>
      </c>
      <c r="K62" s="4"/>
    </row>
    <row r="63">
      <c r="A63" s="4"/>
      <c r="B63" s="4"/>
      <c r="C63" s="4"/>
      <c r="E63" s="4"/>
      <c r="F63" s="4"/>
      <c r="G63" s="4"/>
      <c r="H63" s="4"/>
      <c r="I63" s="8"/>
      <c r="J63" s="4"/>
      <c r="K63" s="4"/>
    </row>
    <row r="64">
      <c r="A64" s="4"/>
      <c r="B64" s="4"/>
      <c r="C64" s="4"/>
      <c r="E64" s="4"/>
      <c r="F64" s="4"/>
      <c r="G64" s="4"/>
      <c r="H64" s="4"/>
      <c r="I64" s="8"/>
      <c r="J64" s="4"/>
      <c r="K64" s="4"/>
    </row>
    <row r="65">
      <c r="A65" s="4"/>
      <c r="B65" s="4"/>
      <c r="C65" s="4"/>
      <c r="E65" s="4"/>
      <c r="F65" s="4"/>
      <c r="G65" s="4"/>
      <c r="H65" s="4"/>
      <c r="I65" s="8"/>
      <c r="J65" s="4"/>
      <c r="K65" s="4"/>
    </row>
    <row r="66">
      <c r="A66" s="4"/>
      <c r="B66" s="4"/>
      <c r="C66" s="4"/>
      <c r="E66" s="4"/>
      <c r="F66" s="4"/>
      <c r="G66" s="4"/>
      <c r="H66" s="4"/>
      <c r="I66" s="8"/>
      <c r="J66" s="4"/>
      <c r="K66" s="4"/>
    </row>
    <row r="67">
      <c r="A67" s="4"/>
      <c r="B67" s="9"/>
      <c r="C67" s="4"/>
      <c r="E67" s="4"/>
      <c r="F67" s="4"/>
      <c r="G67" s="4"/>
      <c r="H67" s="4"/>
      <c r="I67" s="8"/>
      <c r="J67" s="4"/>
      <c r="K67" s="4"/>
    </row>
    <row r="68">
      <c r="A68" s="4"/>
      <c r="B68" s="9"/>
      <c r="C68" s="4"/>
      <c r="E68" s="4"/>
      <c r="F68" s="4"/>
      <c r="G68" s="4"/>
      <c r="H68" s="4"/>
      <c r="I68" s="8"/>
      <c r="J68" s="4"/>
      <c r="K68" s="4"/>
    </row>
    <row r="69">
      <c r="A69" s="4"/>
      <c r="B69" s="9"/>
      <c r="C69" s="4"/>
      <c r="E69" s="4"/>
      <c r="F69" s="4"/>
      <c r="G69" s="4"/>
      <c r="H69" s="4"/>
      <c r="I69" s="8"/>
      <c r="J69" s="4"/>
      <c r="K69" s="4"/>
    </row>
    <row r="70">
      <c r="A70" s="4"/>
      <c r="B70" s="9"/>
      <c r="C70" s="4"/>
      <c r="E70" s="4"/>
      <c r="F70" s="4"/>
      <c r="G70" s="4"/>
      <c r="H70" s="4"/>
      <c r="J70" s="4"/>
      <c r="K70" s="4"/>
    </row>
    <row r="71">
      <c r="A71" s="4"/>
      <c r="B71" s="9"/>
      <c r="C71" s="4"/>
      <c r="E71" s="4"/>
      <c r="F71" s="4"/>
      <c r="G71" s="4"/>
      <c r="H71" s="4"/>
      <c r="I71" s="8"/>
      <c r="J71" s="4"/>
      <c r="K71" s="4"/>
    </row>
    <row r="72">
      <c r="A72" s="4"/>
      <c r="B72" s="9"/>
      <c r="C72" s="4"/>
      <c r="E72" s="4"/>
      <c r="F72" s="4"/>
      <c r="G72" s="4"/>
      <c r="H72" s="4"/>
      <c r="J72" s="4"/>
      <c r="K72" s="4"/>
    </row>
    <row r="73">
      <c r="A73" s="4"/>
      <c r="B73" s="9"/>
      <c r="C73" s="4"/>
      <c r="E73" s="4"/>
      <c r="F73" s="4"/>
      <c r="G73" s="4"/>
      <c r="H73" s="4"/>
      <c r="J73" s="4"/>
      <c r="K73" s="4"/>
    </row>
    <row r="74">
      <c r="A74" s="4"/>
      <c r="B74" s="9"/>
      <c r="C74" s="4"/>
      <c r="E74" s="4"/>
      <c r="F74" s="4"/>
      <c r="G74" s="4"/>
      <c r="H74" s="4"/>
      <c r="J74" s="4"/>
      <c r="K74" s="4"/>
    </row>
    <row r="75">
      <c r="A75" s="4"/>
      <c r="B75" s="9"/>
      <c r="C75" s="4"/>
      <c r="E75" s="4"/>
      <c r="F75" s="4"/>
      <c r="G75" s="4"/>
      <c r="H75" s="4"/>
      <c r="I75" s="8"/>
      <c r="J75" s="4"/>
      <c r="K75" s="4"/>
    </row>
    <row r="76">
      <c r="A76" s="4"/>
      <c r="B76" s="9"/>
      <c r="C76" s="4"/>
      <c r="E76" s="4"/>
      <c r="F76" s="4"/>
      <c r="G76" s="4"/>
      <c r="H76" s="4"/>
      <c r="I76" s="8"/>
      <c r="J76" s="4"/>
      <c r="K76" s="4"/>
    </row>
    <row r="77">
      <c r="A77" s="4"/>
      <c r="B77" s="9"/>
      <c r="C77" s="4"/>
      <c r="E77" s="4"/>
      <c r="F77" s="4"/>
      <c r="G77" s="4"/>
      <c r="H77" s="4"/>
      <c r="I77" s="8"/>
      <c r="J77" s="4"/>
      <c r="K77" s="4"/>
    </row>
    <row r="78">
      <c r="A78" s="4"/>
      <c r="B78" s="9"/>
      <c r="C78" s="4"/>
      <c r="E78" s="4"/>
      <c r="F78" s="4"/>
      <c r="G78" s="4"/>
      <c r="H78" s="4"/>
      <c r="I78" s="8"/>
      <c r="J78" s="4"/>
      <c r="K78" s="4"/>
    </row>
    <row r="79">
      <c r="A79" s="4"/>
      <c r="B79" s="9"/>
      <c r="C79" s="4"/>
      <c r="E79" s="4"/>
      <c r="F79" s="4"/>
      <c r="G79" s="4"/>
      <c r="H79" s="4"/>
      <c r="I79" s="8"/>
      <c r="J79" s="4"/>
      <c r="K79" s="4"/>
    </row>
    <row r="80">
      <c r="A80" s="4"/>
      <c r="B80" s="9"/>
      <c r="C80" s="4"/>
      <c r="E80" s="4"/>
      <c r="F80" s="4"/>
      <c r="G80" s="4"/>
      <c r="H80" s="4"/>
      <c r="I80" s="8"/>
      <c r="J80" s="4"/>
      <c r="K80" s="4"/>
    </row>
    <row r="81">
      <c r="A81" s="4"/>
      <c r="B81" s="9"/>
      <c r="C81" s="4"/>
      <c r="D81" s="4"/>
      <c r="E81" s="4"/>
      <c r="F81" s="4"/>
      <c r="G81" s="4"/>
      <c r="H81" s="4"/>
      <c r="J81" s="4"/>
      <c r="K81" s="4"/>
    </row>
    <row r="82">
      <c r="A82" s="4"/>
      <c r="B82" s="4"/>
      <c r="C82" s="4"/>
      <c r="E82" s="4"/>
      <c r="F82" s="4"/>
      <c r="G82" s="4"/>
      <c r="H82" s="4"/>
      <c r="I82" s="8"/>
      <c r="J82" s="4"/>
      <c r="K82" s="4"/>
    </row>
    <row r="83">
      <c r="A83" s="4"/>
      <c r="B83" s="4"/>
      <c r="C83" s="4"/>
      <c r="D83" s="4"/>
      <c r="E83" s="4"/>
      <c r="F83" s="4"/>
      <c r="G83" s="4"/>
      <c r="H83" s="4"/>
      <c r="I83" s="8"/>
      <c r="J83" s="4"/>
      <c r="K83" s="4"/>
    </row>
    <row r="84">
      <c r="A84" s="4"/>
      <c r="B84" s="4"/>
      <c r="C84" s="4"/>
      <c r="D84" s="4"/>
      <c r="E84" s="4"/>
      <c r="F84" s="4"/>
      <c r="G84" s="4"/>
      <c r="H84" s="4"/>
      <c r="I84" s="8"/>
      <c r="J84" s="4"/>
      <c r="K84" s="4"/>
    </row>
    <row r="85">
      <c r="A85" s="4"/>
      <c r="B85" s="4"/>
      <c r="C85" s="4"/>
      <c r="D85" s="4"/>
      <c r="E85" s="4"/>
      <c r="F85" s="4"/>
      <c r="G85" s="4"/>
      <c r="H85" s="4"/>
      <c r="I85" s="8"/>
      <c r="J85" s="4"/>
      <c r="K85" s="4"/>
    </row>
    <row r="86">
      <c r="A86" s="4"/>
      <c r="B86" s="4"/>
      <c r="C86" s="4"/>
      <c r="D86" s="4"/>
      <c r="E86" s="4"/>
      <c r="F86" s="4"/>
      <c r="G86" s="4"/>
      <c r="H86" s="4"/>
      <c r="I86" s="8"/>
      <c r="J86" s="4"/>
      <c r="K86" s="4"/>
    </row>
    <row r="87">
      <c r="A87" s="4"/>
      <c r="B87" s="4"/>
      <c r="C87" s="4"/>
      <c r="E87" s="4"/>
      <c r="F87" s="4"/>
      <c r="G87" s="4"/>
      <c r="H87" s="4"/>
      <c r="I87" s="8"/>
      <c r="J87" s="4"/>
      <c r="K87" s="4"/>
    </row>
    <row r="88">
      <c r="A88" s="4"/>
      <c r="B88" s="4"/>
      <c r="C88" s="4"/>
      <c r="E88" s="4"/>
      <c r="F88" s="4"/>
      <c r="G88" s="4"/>
      <c r="H88" s="4"/>
      <c r="I88" s="8"/>
      <c r="J88" s="4"/>
      <c r="K88" s="4"/>
    </row>
    <row r="89">
      <c r="A89" s="4"/>
      <c r="B89" s="4"/>
      <c r="C89" s="4"/>
      <c r="E89" s="4"/>
      <c r="F89" s="4"/>
      <c r="G89" s="4"/>
      <c r="H89" s="4"/>
      <c r="I89" s="8"/>
      <c r="J89" s="4"/>
      <c r="K89" s="4"/>
    </row>
    <row r="90">
      <c r="A90" s="4"/>
      <c r="B90" s="4"/>
      <c r="C90" s="4"/>
      <c r="E90" s="4"/>
      <c r="F90" s="4"/>
      <c r="G90" s="4"/>
      <c r="H90" s="4"/>
      <c r="I90" s="8"/>
      <c r="J90" s="4"/>
      <c r="K90" s="4"/>
    </row>
    <row r="91">
      <c r="A91" s="4"/>
      <c r="B91" s="4"/>
      <c r="C91" s="4"/>
      <c r="E91" s="4"/>
      <c r="F91" s="4"/>
      <c r="G91" s="4"/>
      <c r="H91" s="4"/>
      <c r="I91" s="8"/>
      <c r="J91" s="4"/>
      <c r="K91" s="4"/>
    </row>
    <row r="92">
      <c r="A92" s="4"/>
      <c r="B92" s="4"/>
      <c r="C92" s="4"/>
      <c r="E92" s="4"/>
      <c r="F92" s="4"/>
      <c r="G92" s="4"/>
      <c r="H92" s="4"/>
      <c r="I92" s="8"/>
      <c r="J92" s="4"/>
      <c r="K92" s="4"/>
    </row>
    <row r="93">
      <c r="A93" s="4"/>
      <c r="B93" s="4"/>
      <c r="C93" s="4"/>
      <c r="E93" s="4"/>
      <c r="F93" s="4"/>
      <c r="G93" s="4"/>
      <c r="H93" s="4"/>
      <c r="I93" s="8"/>
      <c r="J93" s="4"/>
      <c r="K93" s="4"/>
    </row>
    <row r="94">
      <c r="A94" s="4"/>
      <c r="B94" s="9"/>
      <c r="C94" s="4"/>
      <c r="E94" s="4"/>
      <c r="F94" s="4"/>
      <c r="G94" s="4"/>
      <c r="H94" s="4"/>
      <c r="I94" s="8"/>
      <c r="J94" s="4"/>
      <c r="K94" s="4"/>
    </row>
    <row r="95">
      <c r="A95" s="4"/>
      <c r="B95" s="9"/>
      <c r="C95" s="4"/>
      <c r="D95" s="4"/>
      <c r="E95" s="4"/>
      <c r="F95" s="4"/>
      <c r="G95" s="4"/>
      <c r="H95" s="4"/>
      <c r="I95" s="8"/>
      <c r="J95" s="4"/>
      <c r="K95" s="4"/>
    </row>
    <row r="96">
      <c r="A96" s="4"/>
      <c r="B96" s="9"/>
      <c r="C96" s="4"/>
      <c r="D96" s="4"/>
      <c r="E96" s="4"/>
      <c r="F96" s="4"/>
      <c r="G96" s="4"/>
      <c r="H96" s="4"/>
      <c r="I96" s="8"/>
      <c r="J96" s="4"/>
      <c r="K96" s="4"/>
    </row>
    <row r="97">
      <c r="A97" s="4"/>
      <c r="B97" s="9"/>
      <c r="C97" s="4"/>
      <c r="D97" s="4"/>
      <c r="E97" s="4"/>
      <c r="F97" s="4"/>
      <c r="G97" s="4"/>
      <c r="H97" s="4"/>
      <c r="I97" s="8"/>
      <c r="J97" s="4"/>
      <c r="K97" s="4"/>
    </row>
    <row r="98">
      <c r="A98" s="4"/>
      <c r="B98" s="9"/>
      <c r="C98" s="4"/>
      <c r="D98" s="4"/>
      <c r="E98" s="4"/>
      <c r="F98" s="4"/>
      <c r="G98" s="4"/>
      <c r="H98" s="4"/>
      <c r="I98" s="8"/>
      <c r="J98" s="4"/>
      <c r="K98" s="4"/>
    </row>
    <row r="99">
      <c r="A99" s="4"/>
      <c r="B99" s="9"/>
      <c r="C99" s="4"/>
      <c r="D99" s="4"/>
      <c r="E99" s="4"/>
      <c r="F99" s="4"/>
      <c r="G99" s="4"/>
      <c r="H99" s="4"/>
      <c r="I99" s="8"/>
      <c r="J99" s="4"/>
      <c r="K99" s="4"/>
    </row>
    <row r="100">
      <c r="A100" s="4"/>
      <c r="B100" s="4"/>
      <c r="C100" s="4"/>
      <c r="D100" s="4"/>
      <c r="E100" s="4"/>
      <c r="F100" s="4"/>
      <c r="G100" s="4"/>
      <c r="H100" s="4"/>
      <c r="I100" s="8"/>
      <c r="J100" s="4"/>
      <c r="K100" s="4"/>
    </row>
    <row r="101">
      <c r="A101" s="4"/>
      <c r="B101" s="4"/>
      <c r="C101" s="4"/>
      <c r="D101" s="4"/>
      <c r="E101" s="4"/>
      <c r="F101" s="4"/>
      <c r="G101" s="4"/>
      <c r="H101" s="4"/>
      <c r="I101" s="8"/>
      <c r="J101" s="4"/>
      <c r="K101" s="4"/>
    </row>
    <row r="102">
      <c r="A102" s="4"/>
      <c r="B102" s="4"/>
      <c r="C102" s="4"/>
      <c r="D102" s="4"/>
      <c r="E102" s="4"/>
      <c r="F102" s="4"/>
      <c r="G102" s="4"/>
      <c r="H102" s="4"/>
      <c r="I102" s="8"/>
      <c r="J102" s="4"/>
      <c r="K102" s="4"/>
    </row>
    <row r="103">
      <c r="A103" s="4"/>
      <c r="B103" s="4"/>
      <c r="C103" s="4"/>
      <c r="D103" s="4"/>
      <c r="E103" s="4"/>
      <c r="F103" s="4"/>
      <c r="G103" s="4"/>
      <c r="H103" s="4"/>
      <c r="I103" s="8"/>
      <c r="J103" s="4"/>
      <c r="K103" s="4"/>
    </row>
    <row r="104">
      <c r="A104" s="4"/>
      <c r="B104" s="9"/>
      <c r="C104" s="4"/>
      <c r="D104" s="4"/>
      <c r="E104" s="4"/>
      <c r="F104" s="4"/>
      <c r="G104" s="4"/>
      <c r="H104" s="4"/>
      <c r="I104" s="8"/>
      <c r="J104" s="4"/>
      <c r="K104" s="4"/>
    </row>
    <row r="105">
      <c r="A105" s="4"/>
      <c r="B105" s="9"/>
      <c r="C105" s="4"/>
      <c r="D105" s="4"/>
      <c r="E105" s="4"/>
      <c r="F105" s="4"/>
      <c r="G105" s="4"/>
      <c r="H105" s="4"/>
      <c r="I105" s="8"/>
      <c r="J105" s="4"/>
      <c r="K105" s="4"/>
    </row>
    <row r="106">
      <c r="A106" s="4"/>
      <c r="B106" s="9"/>
      <c r="C106" s="4"/>
      <c r="D106" s="4"/>
      <c r="E106" s="4"/>
      <c r="F106" s="4"/>
      <c r="G106" s="4"/>
      <c r="H106" s="4"/>
      <c r="I106" s="8"/>
      <c r="J106" s="4"/>
      <c r="K106" s="4"/>
    </row>
    <row r="107">
      <c r="A107" s="4"/>
      <c r="B107" s="9"/>
      <c r="C107" s="4"/>
      <c r="E107" s="4"/>
      <c r="F107" s="4"/>
      <c r="G107" s="4"/>
      <c r="H107" s="4"/>
      <c r="I107" s="8"/>
      <c r="J107" s="4"/>
      <c r="K107" s="4"/>
    </row>
    <row r="108">
      <c r="A108" s="4"/>
      <c r="B108" s="9"/>
      <c r="C108" s="4"/>
      <c r="E108" s="4"/>
      <c r="F108" s="4"/>
      <c r="G108" s="4"/>
      <c r="H108" s="4"/>
      <c r="I108" s="8"/>
      <c r="J108" s="4"/>
      <c r="K108" s="4"/>
    </row>
    <row r="109">
      <c r="A109" s="4"/>
      <c r="B109" s="9"/>
      <c r="C109" s="4"/>
      <c r="E109" s="4"/>
      <c r="F109" s="4"/>
      <c r="G109" s="4"/>
      <c r="H109" s="4"/>
      <c r="I109" s="8"/>
      <c r="J109" s="4"/>
      <c r="K109" s="4"/>
    </row>
    <row r="110">
      <c r="A110" s="4"/>
      <c r="B110" s="9"/>
      <c r="C110" s="4"/>
      <c r="E110" s="4"/>
      <c r="F110" s="4"/>
      <c r="G110" s="4"/>
      <c r="H110" s="4"/>
      <c r="I110" s="8"/>
      <c r="J110" s="4"/>
      <c r="K110" s="4"/>
    </row>
    <row r="111">
      <c r="A111" s="4"/>
      <c r="B111" s="4"/>
      <c r="C111" s="4"/>
      <c r="E111" s="4"/>
      <c r="F111" s="4"/>
      <c r="G111" s="4"/>
      <c r="H111" s="4"/>
      <c r="I111" s="8"/>
      <c r="J111" s="4"/>
      <c r="K111" s="4"/>
    </row>
    <row r="112">
      <c r="A112" s="4"/>
      <c r="B112" s="4"/>
      <c r="C112" s="4"/>
      <c r="E112" s="4"/>
      <c r="F112" s="4"/>
      <c r="G112" s="4"/>
      <c r="H112" s="4"/>
      <c r="I112" s="8"/>
      <c r="J112" s="4"/>
      <c r="K112" s="4"/>
    </row>
    <row r="113">
      <c r="A113" s="4"/>
      <c r="B113" s="9"/>
      <c r="C113" s="4"/>
      <c r="D113" s="4"/>
      <c r="E113" s="4"/>
      <c r="F113" s="4"/>
      <c r="G113" s="4"/>
      <c r="H113" s="4"/>
      <c r="J113" s="4"/>
      <c r="K113" s="4"/>
    </row>
    <row r="114">
      <c r="A114" s="4"/>
      <c r="B114" s="9"/>
      <c r="C114" s="4"/>
      <c r="D114" s="4"/>
      <c r="E114" s="4"/>
      <c r="F114" s="4"/>
      <c r="G114" s="4"/>
      <c r="H114" s="4"/>
      <c r="J114" s="4"/>
      <c r="K114" s="4"/>
    </row>
    <row r="115">
      <c r="A115" s="4"/>
      <c r="B115" s="9"/>
      <c r="C115" s="4"/>
      <c r="E115" s="4"/>
      <c r="F115" s="4"/>
      <c r="G115" s="4"/>
      <c r="H115" s="4"/>
      <c r="I115" s="8"/>
      <c r="J115" s="4"/>
      <c r="K115" s="4"/>
    </row>
    <row r="116">
      <c r="A116" s="4"/>
      <c r="B116" s="9"/>
      <c r="C116" s="4"/>
      <c r="E116" s="4"/>
      <c r="F116" s="4"/>
      <c r="G116" s="4"/>
      <c r="H116" s="4"/>
      <c r="I116" s="8"/>
      <c r="J116" s="4"/>
      <c r="K116" s="4"/>
    </row>
    <row r="117">
      <c r="A117" s="4"/>
      <c r="B117" s="9"/>
      <c r="C117" s="4"/>
      <c r="E117" s="4"/>
      <c r="F117" s="4"/>
      <c r="G117" s="4"/>
      <c r="H117" s="4"/>
      <c r="I117" s="8"/>
      <c r="J117" s="4"/>
      <c r="K117" s="4"/>
    </row>
    <row r="118">
      <c r="A118" s="4"/>
      <c r="B118" s="9"/>
      <c r="C118" s="4"/>
      <c r="E118" s="4"/>
      <c r="F118" s="4"/>
      <c r="G118" s="4"/>
      <c r="H118" s="4"/>
      <c r="I118" s="8"/>
      <c r="J118" s="4"/>
      <c r="K118" s="4"/>
    </row>
    <row r="119">
      <c r="A119" s="4"/>
      <c r="B119" s="9"/>
      <c r="C119" s="4"/>
      <c r="E119" s="4"/>
      <c r="F119" s="4"/>
      <c r="G119" s="4"/>
      <c r="H119" s="4"/>
      <c r="I119" s="8"/>
      <c r="J119" s="4"/>
      <c r="K119" s="4"/>
    </row>
    <row r="120">
      <c r="A120" s="4"/>
      <c r="B120" s="9"/>
      <c r="C120" s="4"/>
      <c r="E120" s="4"/>
      <c r="F120" s="4"/>
      <c r="G120" s="4"/>
      <c r="H120" s="4"/>
      <c r="I120" s="8"/>
      <c r="J120" s="4"/>
      <c r="K120" s="4"/>
    </row>
    <row r="121">
      <c r="A121" s="4"/>
      <c r="B121" s="9"/>
      <c r="C121" s="4"/>
      <c r="E121" s="4"/>
      <c r="F121" s="4"/>
      <c r="G121" s="4"/>
      <c r="H121" s="4"/>
      <c r="I121" s="8"/>
      <c r="J121" s="4"/>
      <c r="K121" s="4"/>
    </row>
    <row r="122">
      <c r="A122" s="4"/>
      <c r="B122" s="9"/>
      <c r="C122" s="4"/>
      <c r="E122" s="4"/>
      <c r="F122" s="4"/>
      <c r="G122" s="4"/>
      <c r="H122" s="4"/>
      <c r="I122" s="8"/>
      <c r="J122" s="4"/>
      <c r="K122" s="4"/>
    </row>
    <row r="123">
      <c r="A123" s="4"/>
      <c r="B123" s="9"/>
      <c r="C123" s="4"/>
      <c r="E123" s="4"/>
      <c r="F123" s="4"/>
      <c r="G123" s="4"/>
      <c r="H123" s="4"/>
      <c r="I123" s="8"/>
      <c r="J123" s="4"/>
      <c r="K123" s="4"/>
    </row>
    <row r="124">
      <c r="A124" s="4"/>
      <c r="B124" s="4"/>
      <c r="C124" s="4"/>
      <c r="E124" s="4"/>
      <c r="F124" s="4"/>
      <c r="G124" s="4"/>
      <c r="H124" s="4"/>
      <c r="I124" s="8"/>
      <c r="J124" s="4"/>
      <c r="K124" s="4"/>
    </row>
    <row r="125">
      <c r="A125" s="4"/>
      <c r="B125" s="9"/>
      <c r="C125" s="4"/>
      <c r="E125" s="4"/>
      <c r="F125" s="4"/>
      <c r="G125" s="4"/>
      <c r="H125" s="4"/>
      <c r="I125" s="8"/>
      <c r="J125" s="4"/>
      <c r="K125" s="4"/>
    </row>
    <row r="126">
      <c r="A126" s="4"/>
      <c r="B126" s="9"/>
      <c r="C126" s="4"/>
      <c r="E126" s="4"/>
      <c r="F126" s="4"/>
      <c r="G126" s="4"/>
      <c r="H126" s="4"/>
      <c r="I126" s="8"/>
      <c r="J126" s="4"/>
      <c r="K126" s="4"/>
    </row>
    <row r="127">
      <c r="A127" s="4"/>
      <c r="B127" s="9"/>
      <c r="C127" s="4"/>
      <c r="E127" s="4"/>
      <c r="F127" s="4"/>
      <c r="G127" s="4"/>
      <c r="H127" s="4"/>
      <c r="I127" s="8"/>
      <c r="J127" s="4"/>
      <c r="K127" s="4"/>
    </row>
    <row r="128">
      <c r="A128" s="4"/>
      <c r="B128" s="4"/>
      <c r="C128" s="4"/>
      <c r="E128" s="4"/>
      <c r="F128" s="4"/>
      <c r="G128" s="4"/>
      <c r="H128" s="4"/>
      <c r="I128" s="8"/>
      <c r="J128" s="4"/>
      <c r="K128" s="4"/>
    </row>
    <row r="129">
      <c r="A129" s="4"/>
      <c r="B129" s="4"/>
      <c r="C129" s="4"/>
      <c r="E129" s="4"/>
      <c r="F129" s="4"/>
      <c r="G129" s="4"/>
      <c r="H129" s="4"/>
      <c r="I129" s="8"/>
      <c r="J129" s="4"/>
      <c r="K129" s="4"/>
    </row>
    <row r="130">
      <c r="A130" s="4"/>
      <c r="B130" s="4"/>
      <c r="C130" s="4"/>
      <c r="E130" s="4"/>
      <c r="F130" s="4"/>
      <c r="G130" s="4"/>
      <c r="H130" s="4"/>
      <c r="I130" s="8"/>
      <c r="J130" s="4"/>
      <c r="K130" s="4"/>
    </row>
    <row r="131">
      <c r="A131" s="4"/>
      <c r="B131" s="9"/>
      <c r="C131" s="4"/>
      <c r="E131" s="4"/>
      <c r="F131" s="4"/>
      <c r="G131" s="4"/>
      <c r="H131" s="4"/>
      <c r="I131" s="8"/>
      <c r="J131" s="4"/>
      <c r="K131" s="4"/>
    </row>
    <row r="132">
      <c r="A132" s="4"/>
      <c r="B132" s="9"/>
      <c r="C132" s="4"/>
      <c r="E132" s="4"/>
      <c r="F132" s="4"/>
      <c r="G132" s="4"/>
      <c r="H132" s="4"/>
      <c r="I132" s="8"/>
      <c r="J132" s="4"/>
      <c r="K132" s="4"/>
    </row>
    <row r="133">
      <c r="A133" s="4"/>
      <c r="B133" s="9"/>
      <c r="C133" s="4"/>
      <c r="E133" s="4"/>
      <c r="F133" s="4"/>
      <c r="G133" s="4"/>
      <c r="H133" s="4"/>
      <c r="I133" s="8"/>
      <c r="J133" s="4"/>
      <c r="K133" s="4"/>
    </row>
    <row r="134">
      <c r="A134" s="4"/>
      <c r="B134" s="4"/>
      <c r="C134" s="4"/>
      <c r="D134" s="4"/>
      <c r="E134" s="4"/>
      <c r="F134" s="4"/>
      <c r="G134" s="4"/>
      <c r="H134" s="4"/>
      <c r="I134" s="8"/>
      <c r="J134" s="4"/>
      <c r="K134" s="4"/>
    </row>
    <row r="135">
      <c r="A135" s="4"/>
      <c r="B135" s="4"/>
      <c r="C135" s="4"/>
      <c r="D135" s="4"/>
      <c r="E135" s="4"/>
      <c r="F135" s="4"/>
      <c r="G135" s="4"/>
      <c r="H135" s="4"/>
      <c r="I135" s="8"/>
      <c r="J135" s="4"/>
      <c r="K135" s="4"/>
    </row>
    <row r="136">
      <c r="A136" s="4"/>
      <c r="B136" s="4"/>
      <c r="C136" s="4"/>
      <c r="D136" s="4"/>
      <c r="E136" s="4"/>
      <c r="F136" s="4"/>
      <c r="G136" s="4"/>
      <c r="H136" s="4"/>
      <c r="I136" s="8"/>
      <c r="J136" s="4"/>
      <c r="K136" s="4"/>
    </row>
    <row r="137">
      <c r="A137" s="4"/>
      <c r="B137" s="4"/>
      <c r="C137" s="4"/>
      <c r="D137" s="4"/>
      <c r="E137" s="4"/>
      <c r="F137" s="4"/>
      <c r="G137" s="4"/>
      <c r="H137" s="4"/>
      <c r="I137" s="8"/>
      <c r="J137" s="4"/>
      <c r="K137" s="4"/>
    </row>
    <row r="138">
      <c r="A138" s="4"/>
      <c r="B138" s="9"/>
      <c r="C138" s="4"/>
      <c r="D138" s="4"/>
      <c r="E138" s="4"/>
      <c r="F138" s="4"/>
      <c r="G138" s="4"/>
      <c r="H138" s="4"/>
      <c r="I138" s="8"/>
      <c r="J138" s="4"/>
      <c r="K138" s="4"/>
    </row>
    <row r="139">
      <c r="A139" s="4"/>
      <c r="B139" s="9"/>
      <c r="C139" s="4"/>
      <c r="D139" s="4"/>
      <c r="E139" s="4"/>
      <c r="F139" s="4"/>
      <c r="G139" s="4"/>
      <c r="H139" s="4"/>
      <c r="I139" s="8"/>
      <c r="J139" s="4"/>
      <c r="K139" s="4"/>
    </row>
    <row r="140">
      <c r="A140" s="4"/>
      <c r="B140" s="9"/>
      <c r="C140" s="4"/>
      <c r="D140" s="4"/>
      <c r="E140" s="4"/>
      <c r="F140" s="4"/>
      <c r="G140" s="4"/>
      <c r="H140" s="4"/>
      <c r="I140" s="8"/>
      <c r="J140" s="4"/>
      <c r="K140" s="4"/>
    </row>
    <row r="141">
      <c r="A141" s="4"/>
      <c r="B141" s="9"/>
      <c r="C141" s="4"/>
      <c r="E141" s="4"/>
      <c r="F141" s="4"/>
      <c r="G141" s="4"/>
      <c r="H141" s="4"/>
      <c r="I141" s="8"/>
      <c r="J141" s="4"/>
      <c r="K141" s="4"/>
    </row>
    <row r="142">
      <c r="A142" s="4"/>
      <c r="B142" s="4"/>
      <c r="C142" s="4"/>
      <c r="E142" s="4"/>
      <c r="F142" s="4"/>
      <c r="G142" s="4"/>
      <c r="H142" s="4"/>
      <c r="I142" s="8"/>
      <c r="J142" s="4"/>
      <c r="K142" s="4"/>
    </row>
    <row r="143">
      <c r="A143" s="4"/>
      <c r="B143" s="9"/>
      <c r="C143" s="4"/>
      <c r="E143" s="4"/>
      <c r="F143" s="4"/>
      <c r="G143" s="4"/>
      <c r="H143" s="4"/>
      <c r="I143" s="8"/>
      <c r="J143" s="4"/>
      <c r="K143" s="4"/>
    </row>
    <row r="144">
      <c r="A144" s="4"/>
      <c r="B144" s="9"/>
      <c r="C144" s="4"/>
      <c r="D144" s="4"/>
      <c r="E144" s="4"/>
      <c r="F144" s="4"/>
      <c r="G144" s="4"/>
      <c r="H144" s="4"/>
      <c r="I144" s="8"/>
      <c r="J144" s="4"/>
      <c r="K144" s="4"/>
    </row>
    <row r="145">
      <c r="A145" s="4"/>
      <c r="B145" s="9"/>
      <c r="C145" s="4"/>
      <c r="D145" s="4"/>
      <c r="E145" s="4"/>
      <c r="F145" s="4"/>
      <c r="G145" s="4"/>
      <c r="H145" s="4"/>
      <c r="I145" s="8"/>
      <c r="J145" s="4"/>
      <c r="K145" s="4"/>
    </row>
    <row r="146">
      <c r="A146" s="4"/>
      <c r="B146" s="9"/>
      <c r="C146" s="4"/>
      <c r="D146" s="4"/>
      <c r="E146" s="4"/>
      <c r="F146" s="4"/>
      <c r="G146" s="4"/>
      <c r="H146" s="4"/>
      <c r="I146" s="8"/>
      <c r="J146" s="4"/>
      <c r="K146" s="4"/>
    </row>
    <row r="147">
      <c r="A147" s="4"/>
      <c r="B147" s="9"/>
      <c r="C147" s="4"/>
      <c r="D147" s="4"/>
      <c r="E147" s="4"/>
      <c r="F147" s="4"/>
      <c r="G147" s="4"/>
      <c r="H147" s="4"/>
      <c r="I147" s="8"/>
      <c r="J147" s="4"/>
      <c r="K147" s="4"/>
    </row>
    <row r="148">
      <c r="A148" s="4"/>
      <c r="B148" s="9"/>
      <c r="C148" s="4"/>
      <c r="D148" s="4"/>
      <c r="E148" s="4"/>
      <c r="F148" s="4"/>
      <c r="G148" s="4"/>
      <c r="H148" s="4"/>
      <c r="I148" s="8"/>
      <c r="J148" s="4"/>
      <c r="K148" s="4"/>
    </row>
    <row r="149">
      <c r="A149" s="4"/>
      <c r="B149" s="9"/>
      <c r="C149" s="4"/>
      <c r="D149" s="4"/>
      <c r="E149" s="4"/>
      <c r="F149" s="4"/>
      <c r="G149" s="4"/>
      <c r="H149" s="4"/>
      <c r="I149" s="8"/>
      <c r="J149" s="4"/>
      <c r="K149" s="4"/>
    </row>
    <row r="150">
      <c r="A150" s="4"/>
      <c r="B150" s="9"/>
      <c r="C150" s="4"/>
      <c r="D150" s="4"/>
      <c r="E150" s="4"/>
      <c r="F150" s="4"/>
      <c r="G150" s="4"/>
      <c r="H150" s="4"/>
      <c r="I150" s="8"/>
      <c r="J150" s="4"/>
      <c r="K150" s="4"/>
    </row>
    <row r="151">
      <c r="A151" s="4"/>
      <c r="B151" s="9"/>
      <c r="C151" s="4"/>
      <c r="D151" s="4"/>
      <c r="E151" s="4"/>
      <c r="F151" s="4"/>
      <c r="G151" s="4"/>
      <c r="H151" s="4"/>
      <c r="I151" s="8"/>
      <c r="J151" s="4"/>
      <c r="K151" s="4"/>
    </row>
    <row r="152">
      <c r="A152" s="4"/>
      <c r="B152" s="9"/>
      <c r="C152" s="4"/>
      <c r="D152" s="4"/>
      <c r="E152" s="4"/>
      <c r="F152" s="4"/>
      <c r="G152" s="4"/>
      <c r="H152" s="4"/>
      <c r="I152" s="8"/>
      <c r="J152" s="4"/>
      <c r="K152" s="4"/>
    </row>
    <row r="153">
      <c r="A153" s="4"/>
      <c r="B153" s="9"/>
      <c r="C153" s="4"/>
      <c r="D153" s="4"/>
      <c r="E153" s="4"/>
      <c r="F153" s="4"/>
      <c r="G153" s="4"/>
      <c r="H153" s="4"/>
      <c r="I153" s="8"/>
      <c r="J153" s="4"/>
      <c r="K153" s="4"/>
    </row>
    <row r="154">
      <c r="A154" s="4"/>
      <c r="B154" s="9"/>
      <c r="C154" s="4"/>
      <c r="D154" s="4"/>
      <c r="E154" s="4"/>
      <c r="F154" s="4"/>
      <c r="G154" s="4"/>
      <c r="H154" s="4"/>
      <c r="I154" s="8"/>
      <c r="J154" s="4"/>
      <c r="K154" s="4"/>
    </row>
    <row r="155">
      <c r="A155" s="4"/>
      <c r="B155" s="9"/>
      <c r="C155" s="4"/>
      <c r="D155" s="4"/>
      <c r="E155" s="4"/>
      <c r="F155" s="4"/>
      <c r="G155" s="4"/>
      <c r="H155" s="4"/>
      <c r="I155" s="8"/>
      <c r="J155" s="4"/>
      <c r="K155" s="4"/>
    </row>
    <row r="156">
      <c r="A156" s="4"/>
      <c r="B156" s="9"/>
      <c r="C156" s="4"/>
      <c r="D156" s="4"/>
      <c r="E156" s="4"/>
      <c r="F156" s="4"/>
      <c r="G156" s="4"/>
      <c r="H156" s="4"/>
      <c r="I156" s="8"/>
      <c r="J156" s="4"/>
      <c r="K156" s="4"/>
    </row>
    <row r="157">
      <c r="A157" s="4"/>
      <c r="B157" s="9"/>
      <c r="C157" s="4"/>
      <c r="D157" s="4"/>
      <c r="E157" s="4"/>
      <c r="F157" s="4"/>
      <c r="G157" s="4"/>
      <c r="H157" s="4"/>
      <c r="I157" s="8"/>
      <c r="J157" s="4"/>
      <c r="K157" s="4"/>
    </row>
    <row r="158">
      <c r="A158" s="4"/>
      <c r="B158" s="9"/>
      <c r="C158" s="4"/>
      <c r="D158" s="4"/>
      <c r="E158" s="4"/>
      <c r="F158" s="4"/>
      <c r="G158" s="4"/>
      <c r="H158" s="4"/>
      <c r="I158" s="8"/>
      <c r="J158" s="4"/>
      <c r="K158" s="4"/>
    </row>
    <row r="159">
      <c r="A159" s="4"/>
      <c r="B159" s="9"/>
      <c r="C159" s="4"/>
      <c r="D159" s="4"/>
      <c r="E159" s="4"/>
      <c r="F159" s="4"/>
      <c r="G159" s="4"/>
      <c r="H159" s="4"/>
      <c r="I159" s="8"/>
      <c r="J159" s="4"/>
      <c r="K159" s="4"/>
    </row>
    <row r="160">
      <c r="A160" s="4"/>
      <c r="B160" s="9"/>
      <c r="C160" s="4"/>
      <c r="D160" s="4"/>
      <c r="E160" s="4"/>
      <c r="F160" s="4"/>
      <c r="G160" s="4"/>
      <c r="H160" s="4"/>
      <c r="I160" s="8"/>
      <c r="J160" s="4"/>
      <c r="K160" s="4"/>
    </row>
    <row r="161">
      <c r="A161" s="4"/>
      <c r="B161" s="9"/>
      <c r="C161" s="4"/>
      <c r="D161" s="4"/>
      <c r="E161" s="4"/>
      <c r="F161" s="4"/>
      <c r="G161" s="4"/>
      <c r="H161" s="4"/>
      <c r="I161" s="8"/>
      <c r="J161" s="4"/>
      <c r="K161" s="4"/>
    </row>
    <row r="162">
      <c r="A162" s="4"/>
      <c r="B162" s="4"/>
      <c r="C162" s="4"/>
      <c r="D162" s="4"/>
      <c r="E162" s="4"/>
      <c r="F162" s="4"/>
      <c r="G162" s="4"/>
      <c r="H162" s="4"/>
      <c r="I162" s="8"/>
      <c r="J162" s="4"/>
      <c r="K162" s="4"/>
    </row>
    <row r="163">
      <c r="A163" s="4"/>
      <c r="B163" s="9"/>
      <c r="C163" s="4"/>
      <c r="D163" s="4"/>
      <c r="E163" s="4"/>
      <c r="F163" s="4"/>
      <c r="G163" s="4"/>
      <c r="H163" s="4"/>
      <c r="I163" s="8"/>
      <c r="J163" s="4"/>
      <c r="K163" s="4"/>
    </row>
    <row r="164">
      <c r="A164" s="4"/>
      <c r="B164" s="9"/>
      <c r="C164" s="4"/>
      <c r="D164" s="4"/>
      <c r="E164" s="4"/>
      <c r="F164" s="4"/>
      <c r="G164" s="4"/>
      <c r="H164" s="4"/>
      <c r="I164" s="8"/>
      <c r="J164" s="4"/>
      <c r="K164" s="4"/>
    </row>
    <row r="165">
      <c r="A165" s="4"/>
      <c r="B165" s="9"/>
      <c r="C165" s="4"/>
      <c r="D165" s="4"/>
      <c r="E165" s="4"/>
      <c r="F165" s="4"/>
      <c r="G165" s="4"/>
      <c r="H165" s="4"/>
      <c r="I165" s="8"/>
      <c r="J165" s="4"/>
      <c r="K165" s="4"/>
    </row>
    <row r="166">
      <c r="A166" s="4"/>
      <c r="B166" s="9"/>
      <c r="C166" s="4"/>
      <c r="E166" s="4"/>
      <c r="F166" s="4"/>
      <c r="G166" s="4"/>
      <c r="H166" s="4"/>
      <c r="I166" s="8"/>
      <c r="J166" s="4"/>
      <c r="K166" s="4"/>
    </row>
    <row r="167">
      <c r="A167" s="4"/>
      <c r="B167" s="9"/>
      <c r="C167" s="4"/>
      <c r="E167" s="4"/>
      <c r="F167" s="4"/>
      <c r="G167" s="4"/>
      <c r="H167" s="4"/>
      <c r="I167" s="8"/>
      <c r="J167" s="4"/>
      <c r="K167" s="4"/>
    </row>
    <row r="168">
      <c r="A168" s="4"/>
      <c r="B168" s="9"/>
      <c r="C168" s="4"/>
      <c r="E168" s="4"/>
      <c r="F168" s="4"/>
      <c r="G168" s="4"/>
      <c r="H168" s="4"/>
      <c r="I168" s="8"/>
      <c r="J168" s="4"/>
      <c r="K168" s="4"/>
    </row>
    <row r="169">
      <c r="A169" s="4"/>
      <c r="B169" s="9"/>
      <c r="C169" s="4"/>
      <c r="E169" s="4"/>
      <c r="F169" s="4"/>
      <c r="G169" s="4"/>
      <c r="H169" s="4"/>
      <c r="I169" s="8"/>
      <c r="J169" s="4"/>
      <c r="K169" s="4"/>
    </row>
    <row r="170">
      <c r="A170" s="4"/>
      <c r="B170" s="9"/>
      <c r="C170" s="4"/>
      <c r="E170" s="4"/>
      <c r="F170" s="4"/>
      <c r="G170" s="4"/>
      <c r="H170" s="4"/>
      <c r="I170" s="8"/>
      <c r="J170" s="4"/>
      <c r="K170" s="4"/>
    </row>
    <row r="171">
      <c r="A171" s="4"/>
      <c r="B171" s="9"/>
      <c r="C171" s="4"/>
      <c r="E171" s="4"/>
      <c r="F171" s="4"/>
      <c r="G171" s="4"/>
      <c r="H171" s="4"/>
      <c r="I171" s="8"/>
      <c r="J171" s="4"/>
      <c r="K171" s="4"/>
    </row>
    <row r="172">
      <c r="A172" s="4"/>
      <c r="B172" s="9"/>
      <c r="C172" s="4"/>
      <c r="D172" s="4"/>
      <c r="E172" s="4"/>
      <c r="F172" s="4"/>
      <c r="G172" s="4"/>
      <c r="H172" s="4"/>
      <c r="I172" s="8"/>
      <c r="J172" s="4"/>
      <c r="K172" s="4"/>
    </row>
    <row r="173">
      <c r="A173" s="4"/>
      <c r="B173" s="9"/>
      <c r="C173" s="4"/>
      <c r="E173" s="4"/>
      <c r="F173" s="4"/>
      <c r="G173" s="4"/>
      <c r="H173" s="4"/>
      <c r="I173" s="8"/>
      <c r="J173" s="4"/>
      <c r="K173" s="4"/>
    </row>
    <row r="174">
      <c r="A174" s="4"/>
      <c r="B174" s="9"/>
      <c r="C174" s="4"/>
      <c r="D174" s="4"/>
      <c r="E174" s="4"/>
      <c r="F174" s="4"/>
      <c r="G174" s="4"/>
      <c r="H174" s="4"/>
      <c r="I174" s="8"/>
      <c r="J174" s="4"/>
      <c r="K174" s="4"/>
    </row>
    <row r="175">
      <c r="A175" s="4"/>
      <c r="B175" s="9"/>
      <c r="C175" s="4"/>
      <c r="E175" s="4"/>
      <c r="F175" s="4"/>
      <c r="G175" s="4"/>
      <c r="H175" s="4"/>
      <c r="I175" s="8"/>
      <c r="J175" s="4"/>
      <c r="K175" s="4"/>
    </row>
    <row r="176">
      <c r="A176" s="4"/>
      <c r="B176" s="9"/>
      <c r="C176" s="4"/>
      <c r="E176" s="4"/>
      <c r="F176" s="4"/>
      <c r="G176" s="4"/>
      <c r="H176" s="4"/>
      <c r="I176" s="8"/>
      <c r="J176" s="4"/>
      <c r="K176" s="4"/>
    </row>
    <row r="177">
      <c r="A177" s="4"/>
      <c r="B177" s="9"/>
      <c r="C177" s="4"/>
      <c r="E177" s="4"/>
      <c r="F177" s="4"/>
      <c r="G177" s="4"/>
      <c r="H177" s="4"/>
      <c r="I177" s="8"/>
      <c r="J177" s="4"/>
      <c r="K177" s="4"/>
    </row>
    <row r="178">
      <c r="A178" s="4"/>
      <c r="B178" s="9"/>
      <c r="C178" s="4"/>
      <c r="E178" s="4"/>
      <c r="F178" s="4"/>
      <c r="G178" s="4"/>
      <c r="H178" s="4"/>
      <c r="I178" s="8"/>
      <c r="J178" s="4"/>
      <c r="K178" s="4"/>
    </row>
    <row r="179">
      <c r="A179" s="4"/>
      <c r="B179" s="9"/>
      <c r="C179" s="4"/>
      <c r="E179" s="4"/>
      <c r="F179" s="4"/>
      <c r="G179" s="4"/>
      <c r="H179" s="4"/>
      <c r="I179" s="8"/>
      <c r="J179" s="4"/>
      <c r="K179" s="4"/>
    </row>
    <row r="180">
      <c r="A180" s="4"/>
      <c r="B180" s="9"/>
      <c r="C180" s="4"/>
      <c r="E180" s="4"/>
      <c r="F180" s="4"/>
      <c r="G180" s="4"/>
      <c r="H180" s="4"/>
      <c r="I180" s="8"/>
      <c r="J180" s="4"/>
      <c r="K180" s="4"/>
    </row>
    <row r="181">
      <c r="A181" s="4"/>
      <c r="B181" s="4"/>
      <c r="C181" s="4"/>
      <c r="E181" s="4"/>
      <c r="F181" s="4"/>
      <c r="G181" s="4"/>
      <c r="H181" s="4"/>
      <c r="I181" s="8"/>
      <c r="J181" s="4"/>
      <c r="K181" s="4"/>
    </row>
    <row r="182">
      <c r="A182" s="4"/>
      <c r="B182" s="4"/>
      <c r="C182" s="4"/>
      <c r="D182" s="4"/>
      <c r="E182" s="4"/>
      <c r="F182" s="4"/>
      <c r="G182" s="4"/>
      <c r="H182" s="4"/>
      <c r="I182" s="8"/>
      <c r="J182" s="4"/>
      <c r="K182" s="4"/>
    </row>
    <row r="183">
      <c r="A183" s="4"/>
      <c r="B183" s="4"/>
      <c r="C183" s="4"/>
      <c r="E183" s="4"/>
      <c r="F183" s="4"/>
      <c r="G183" s="4"/>
      <c r="H183" s="4"/>
      <c r="I183" s="8"/>
      <c r="J183" s="4"/>
      <c r="K183" s="4"/>
    </row>
    <row r="184">
      <c r="A184" s="4"/>
      <c r="B184" s="9"/>
      <c r="C184" s="4"/>
      <c r="E184" s="4"/>
      <c r="F184" s="4"/>
      <c r="G184" s="4"/>
      <c r="H184" s="4"/>
      <c r="I184" s="8"/>
      <c r="J184" s="4"/>
      <c r="K184" s="4"/>
    </row>
    <row r="185">
      <c r="A185" s="4"/>
      <c r="B185" s="9"/>
      <c r="C185" s="4"/>
      <c r="D185" s="4"/>
      <c r="E185" s="4"/>
      <c r="F185" s="4"/>
      <c r="G185" s="4"/>
      <c r="H185" s="4"/>
      <c r="I185" s="8"/>
      <c r="J185" s="4"/>
      <c r="K185" s="4"/>
    </row>
    <row r="186">
      <c r="A186" s="4"/>
      <c r="B186" s="9"/>
      <c r="C186" s="4"/>
      <c r="D186" s="4"/>
      <c r="E186" s="4"/>
      <c r="F186" s="4"/>
      <c r="G186" s="4"/>
      <c r="H186" s="4"/>
      <c r="I186" s="8"/>
      <c r="J186" s="4"/>
      <c r="K186" s="4"/>
    </row>
    <row r="187">
      <c r="A187" s="4"/>
      <c r="B187" s="9"/>
      <c r="C187" s="4"/>
      <c r="D187" s="4"/>
      <c r="E187" s="4"/>
      <c r="F187" s="4"/>
      <c r="G187" s="4"/>
      <c r="H187" s="4"/>
      <c r="J187" s="4"/>
      <c r="K187" s="4"/>
    </row>
    <row r="188">
      <c r="A188" s="4"/>
      <c r="B188" s="9"/>
      <c r="C188" s="4"/>
      <c r="E188" s="4"/>
      <c r="F188" s="4"/>
      <c r="G188" s="4"/>
      <c r="H188" s="4"/>
      <c r="I188" s="8"/>
      <c r="J188" s="4"/>
      <c r="K188" s="4"/>
    </row>
    <row r="189">
      <c r="A189" s="4"/>
      <c r="B189" s="9"/>
      <c r="C189" s="4"/>
      <c r="E189" s="4"/>
      <c r="F189" s="4"/>
      <c r="G189" s="4"/>
      <c r="H189" s="4"/>
      <c r="I189" s="8"/>
      <c r="J189" s="4"/>
      <c r="K189" s="4"/>
    </row>
    <row r="190">
      <c r="A190" s="4"/>
      <c r="B190" s="9"/>
      <c r="C190" s="4"/>
      <c r="E190" s="4"/>
      <c r="F190" s="4"/>
      <c r="G190" s="4"/>
      <c r="H190" s="4"/>
      <c r="J190" s="4"/>
      <c r="K190" s="4"/>
    </row>
    <row r="191">
      <c r="A191" s="4"/>
      <c r="B191" s="4"/>
      <c r="C191" s="4"/>
      <c r="E191" s="4"/>
      <c r="F191" s="4"/>
      <c r="G191" s="4"/>
      <c r="H191" s="4"/>
      <c r="I191" s="8"/>
      <c r="J191" s="4"/>
      <c r="K191" s="4"/>
    </row>
    <row r="192">
      <c r="A192" s="4"/>
      <c r="B192" s="9"/>
      <c r="C192" s="4"/>
      <c r="E192" s="4"/>
      <c r="F192" s="4"/>
      <c r="G192" s="4"/>
      <c r="H192" s="4"/>
      <c r="I192" s="8"/>
      <c r="J192" s="4"/>
      <c r="K192" s="4"/>
    </row>
    <row r="193">
      <c r="A193" s="4"/>
      <c r="B193" s="9"/>
      <c r="C193" s="4"/>
      <c r="D193" s="4"/>
      <c r="E193" s="4"/>
      <c r="F193" s="4"/>
      <c r="G193" s="4"/>
      <c r="H193" s="4"/>
      <c r="I193" s="8"/>
      <c r="J193" s="4"/>
      <c r="K193" s="4"/>
    </row>
    <row r="194">
      <c r="A194" s="4"/>
      <c r="B194" s="9"/>
      <c r="C194" s="4"/>
      <c r="D194" s="4"/>
      <c r="E194" s="4"/>
      <c r="F194" s="4"/>
      <c r="G194" s="4"/>
      <c r="H194" s="4"/>
      <c r="I194" s="8"/>
      <c r="J194" s="4"/>
      <c r="K194" s="4"/>
    </row>
    <row r="195">
      <c r="A195" s="4"/>
      <c r="B195" s="9"/>
      <c r="C195" s="4"/>
      <c r="D195" s="4"/>
      <c r="E195" s="4"/>
      <c r="F195" s="4"/>
      <c r="G195" s="4"/>
      <c r="H195" s="4"/>
      <c r="I195" s="8"/>
      <c r="J195" s="4"/>
      <c r="K195" s="4"/>
    </row>
    <row r="196">
      <c r="A196" s="4"/>
      <c r="B196" s="9"/>
      <c r="C196" s="4"/>
      <c r="E196" s="4"/>
      <c r="F196" s="4"/>
      <c r="G196" s="4"/>
      <c r="H196" s="4"/>
      <c r="I196" s="8"/>
      <c r="J196" s="4"/>
      <c r="K196" s="4"/>
    </row>
    <row r="197">
      <c r="A197" s="4"/>
      <c r="B197" s="9"/>
      <c r="C197" s="4"/>
      <c r="E197" s="4"/>
      <c r="F197" s="4"/>
      <c r="G197" s="4"/>
      <c r="H197" s="4"/>
      <c r="I197" s="8"/>
      <c r="J197" s="4"/>
      <c r="K197" s="4"/>
    </row>
    <row r="198">
      <c r="A198" s="4"/>
      <c r="B198" s="9"/>
      <c r="C198" s="4"/>
      <c r="E198" s="4"/>
      <c r="F198" s="4"/>
      <c r="G198" s="4"/>
      <c r="H198" s="4"/>
      <c r="I198" s="8"/>
      <c r="J198" s="4"/>
      <c r="K198" s="4"/>
    </row>
    <row r="199">
      <c r="A199" s="4"/>
      <c r="B199" s="9"/>
      <c r="C199" s="4"/>
      <c r="E199" s="4"/>
      <c r="F199" s="4"/>
      <c r="G199" s="4"/>
      <c r="H199" s="4"/>
      <c r="I199" s="8"/>
      <c r="J199" s="4"/>
      <c r="K199" s="4"/>
    </row>
    <row r="200">
      <c r="A200" s="4"/>
      <c r="B200" s="4"/>
      <c r="C200" s="4"/>
      <c r="E200" s="4"/>
      <c r="F200" s="4"/>
      <c r="G200" s="4"/>
      <c r="H200" s="4"/>
      <c r="I200" s="8"/>
      <c r="J200" s="4"/>
      <c r="K200" s="4"/>
    </row>
    <row r="201">
      <c r="A201" s="4"/>
      <c r="B201" s="4"/>
      <c r="C201" s="4"/>
      <c r="E201" s="4"/>
      <c r="F201" s="4"/>
      <c r="G201" s="4"/>
      <c r="H201" s="4"/>
      <c r="I201" s="8"/>
      <c r="J201" s="4"/>
      <c r="K201" s="4"/>
    </row>
    <row r="202">
      <c r="A202" s="4"/>
      <c r="B202" s="4"/>
      <c r="C202" s="4"/>
      <c r="E202" s="4"/>
      <c r="F202" s="4"/>
      <c r="G202" s="4"/>
      <c r="H202" s="4"/>
      <c r="I202" s="8"/>
      <c r="J202" s="4"/>
      <c r="K202" s="4"/>
    </row>
    <row r="203">
      <c r="A203" s="4"/>
      <c r="B203" s="9"/>
      <c r="C203" s="4"/>
      <c r="E203" s="4"/>
      <c r="F203" s="4"/>
      <c r="G203" s="4"/>
      <c r="H203" s="4"/>
      <c r="I203" s="8"/>
      <c r="J203" s="4"/>
      <c r="K203" s="4"/>
    </row>
    <row r="204">
      <c r="A204" s="4"/>
      <c r="B204" s="9"/>
      <c r="C204" s="4"/>
      <c r="E204" s="4"/>
      <c r="F204" s="4"/>
      <c r="G204" s="4"/>
      <c r="H204" s="4"/>
      <c r="I204" s="8"/>
      <c r="J204" s="4"/>
      <c r="K204" s="4"/>
    </row>
    <row r="205">
      <c r="A205" s="4"/>
      <c r="B205" s="9"/>
      <c r="C205" s="4"/>
      <c r="E205" s="4"/>
      <c r="F205" s="4"/>
      <c r="G205" s="4"/>
      <c r="H205" s="4"/>
      <c r="I205" s="8"/>
      <c r="J205" s="4"/>
      <c r="K205" s="4"/>
    </row>
    <row r="206">
      <c r="A206" s="4"/>
      <c r="B206" s="9"/>
      <c r="C206" s="4"/>
      <c r="E206" s="4"/>
      <c r="F206" s="4"/>
      <c r="G206" s="4"/>
      <c r="H206" s="4"/>
      <c r="I206" s="8"/>
      <c r="J206" s="4"/>
      <c r="K206" s="4"/>
    </row>
    <row r="207">
      <c r="A207" s="4"/>
      <c r="B207" s="9"/>
      <c r="C207" s="4"/>
      <c r="E207" s="4"/>
      <c r="F207" s="4"/>
      <c r="G207" s="4"/>
      <c r="H207" s="4"/>
      <c r="I207" s="8"/>
      <c r="J207" s="4"/>
      <c r="K207" s="4"/>
    </row>
    <row r="208">
      <c r="A208" s="4"/>
      <c r="B208" s="9"/>
      <c r="C208" s="4"/>
      <c r="E208" s="4"/>
      <c r="F208" s="4"/>
      <c r="G208" s="4"/>
      <c r="H208" s="4"/>
      <c r="I208" s="8"/>
      <c r="J208" s="4"/>
      <c r="K208" s="4"/>
    </row>
    <row r="209">
      <c r="A209" s="4"/>
      <c r="B209" s="9"/>
      <c r="C209" s="4"/>
      <c r="E209" s="4"/>
      <c r="F209" s="4"/>
      <c r="G209" s="4"/>
      <c r="H209" s="4"/>
      <c r="I209" s="8"/>
      <c r="J209" s="4"/>
      <c r="K209" s="4"/>
    </row>
    <row r="210">
      <c r="A210" s="4"/>
      <c r="B210" s="9"/>
      <c r="C210" s="4"/>
      <c r="E210" s="4"/>
      <c r="F210" s="4"/>
      <c r="G210" s="4"/>
      <c r="H210" s="4"/>
      <c r="I210" s="8"/>
      <c r="J210" s="4"/>
      <c r="K210" s="4"/>
    </row>
    <row r="211">
      <c r="A211" s="4"/>
      <c r="B211" s="9"/>
      <c r="C211" s="4"/>
      <c r="D211" s="4"/>
      <c r="E211" s="4"/>
      <c r="F211" s="4"/>
      <c r="G211" s="4"/>
      <c r="H211" s="4"/>
      <c r="I211" s="8"/>
      <c r="J211" s="4"/>
      <c r="K211" s="4"/>
    </row>
    <row r="212">
      <c r="A212" s="4"/>
      <c r="B212" s="9"/>
      <c r="C212" s="4"/>
      <c r="D212" s="4"/>
      <c r="E212" s="4"/>
      <c r="F212" s="4"/>
      <c r="G212" s="4"/>
      <c r="H212" s="4"/>
      <c r="I212" s="8"/>
      <c r="J212" s="4"/>
      <c r="K212" s="4"/>
    </row>
    <row r="213">
      <c r="A213" s="4"/>
      <c r="B213" s="9"/>
      <c r="C213" s="4"/>
      <c r="D213" s="4"/>
      <c r="E213" s="4"/>
      <c r="F213" s="4"/>
      <c r="G213" s="4"/>
      <c r="H213" s="4"/>
      <c r="I213" s="8"/>
      <c r="J213" s="4"/>
      <c r="K213" s="4"/>
    </row>
    <row r="214">
      <c r="A214" s="4"/>
      <c r="B214" s="9"/>
      <c r="C214" s="4"/>
      <c r="D214" s="4"/>
      <c r="E214" s="4"/>
      <c r="F214" s="4"/>
      <c r="G214" s="4"/>
      <c r="H214" s="4"/>
      <c r="I214" s="8"/>
      <c r="J214" s="4"/>
      <c r="K214" s="4"/>
    </row>
    <row r="215">
      <c r="A215" s="4"/>
      <c r="B215" s="9"/>
      <c r="C215" s="4"/>
      <c r="E215" s="4"/>
      <c r="F215" s="4"/>
      <c r="G215" s="4"/>
      <c r="H215" s="4"/>
      <c r="I215" s="8"/>
      <c r="J215" s="4"/>
      <c r="K215" s="4"/>
    </row>
    <row r="216">
      <c r="A216" s="4"/>
      <c r="B216" s="9"/>
      <c r="C216" s="4"/>
      <c r="E216" s="4"/>
      <c r="F216" s="4"/>
      <c r="G216" s="4"/>
      <c r="H216" s="4"/>
      <c r="I216" s="8"/>
      <c r="J216" s="4"/>
      <c r="K216" s="4"/>
    </row>
    <row r="217">
      <c r="A217" s="4"/>
      <c r="B217" s="9"/>
      <c r="C217" s="4"/>
      <c r="D217" s="4"/>
      <c r="E217" s="4"/>
      <c r="F217" s="4"/>
      <c r="G217" s="4"/>
      <c r="H217" s="4"/>
      <c r="I217" s="8"/>
      <c r="J217" s="4"/>
      <c r="K217" s="4"/>
    </row>
    <row r="218">
      <c r="A218" s="4"/>
      <c r="B218" s="4"/>
      <c r="C218" s="4"/>
      <c r="D218" s="4"/>
      <c r="E218" s="4"/>
      <c r="F218" s="4"/>
      <c r="G218" s="4"/>
      <c r="H218" s="4"/>
      <c r="I218" s="8"/>
      <c r="J218" s="4"/>
      <c r="K218" s="4"/>
    </row>
    <row r="219">
      <c r="A219" s="4"/>
      <c r="B219" s="9"/>
      <c r="C219" s="4"/>
      <c r="D219" s="4"/>
      <c r="E219" s="4"/>
      <c r="F219" s="4"/>
      <c r="G219" s="4"/>
      <c r="H219" s="4"/>
      <c r="I219" s="8"/>
      <c r="J219" s="4"/>
      <c r="K219" s="4"/>
    </row>
    <row r="220">
      <c r="A220" s="4"/>
      <c r="B220" s="9"/>
      <c r="C220" s="4"/>
      <c r="D220" s="4"/>
      <c r="E220" s="4"/>
      <c r="F220" s="4"/>
      <c r="G220" s="4"/>
      <c r="H220" s="4"/>
      <c r="J220" s="4"/>
      <c r="K220" s="4"/>
    </row>
    <row r="221">
      <c r="A221" s="4"/>
      <c r="B221" s="9"/>
      <c r="C221" s="4"/>
      <c r="E221" s="4"/>
      <c r="F221" s="4"/>
      <c r="G221" s="4"/>
      <c r="H221" s="4"/>
      <c r="I221" s="8"/>
      <c r="J221" s="4"/>
      <c r="K221" s="4"/>
    </row>
    <row r="222">
      <c r="A222" s="4"/>
      <c r="B222" s="9"/>
      <c r="C222" s="4"/>
      <c r="E222" s="4"/>
      <c r="F222" s="4"/>
      <c r="G222" s="4"/>
      <c r="H222" s="4"/>
      <c r="I222" s="8"/>
      <c r="J222" s="4"/>
      <c r="K222" s="4"/>
    </row>
    <row r="223">
      <c r="A223" s="4"/>
      <c r="B223" s="9"/>
      <c r="C223" s="4"/>
      <c r="E223" s="4"/>
      <c r="F223" s="4"/>
      <c r="G223" s="4"/>
      <c r="H223" s="4"/>
      <c r="I223" s="8"/>
      <c r="J223" s="4"/>
      <c r="K223" s="4"/>
    </row>
    <row r="224">
      <c r="A224" s="4"/>
      <c r="B224" s="9"/>
      <c r="C224" s="4"/>
      <c r="E224" s="4"/>
      <c r="F224" s="4"/>
      <c r="G224" s="4"/>
      <c r="H224" s="4"/>
      <c r="I224" s="8"/>
      <c r="J224" s="4"/>
      <c r="K224" s="4"/>
    </row>
    <row r="225">
      <c r="A225" s="4"/>
      <c r="B225" s="9"/>
      <c r="C225" s="4"/>
      <c r="E225" s="4"/>
      <c r="F225" s="4"/>
      <c r="G225" s="4"/>
      <c r="H225" s="4"/>
      <c r="I225" s="8"/>
      <c r="J225" s="4"/>
      <c r="K225" s="4"/>
    </row>
    <row r="226">
      <c r="A226" s="4"/>
      <c r="B226" s="9"/>
      <c r="C226" s="4"/>
      <c r="E226" s="4"/>
      <c r="F226" s="4"/>
      <c r="G226" s="4"/>
      <c r="H226" s="4"/>
      <c r="I226" s="8"/>
      <c r="J226" s="4"/>
      <c r="K226" s="4"/>
    </row>
    <row r="227">
      <c r="A227" s="4"/>
      <c r="B227" s="9"/>
      <c r="C227" s="4"/>
      <c r="E227" s="4"/>
      <c r="F227" s="4"/>
      <c r="G227" s="4"/>
      <c r="H227" s="4"/>
      <c r="I227" s="8"/>
      <c r="J227" s="4"/>
      <c r="K227" s="4"/>
    </row>
    <row r="228">
      <c r="A228" s="4"/>
      <c r="B228" s="9"/>
      <c r="C228" s="4"/>
      <c r="E228" s="4"/>
      <c r="F228" s="4"/>
      <c r="G228" s="4"/>
      <c r="H228" s="4"/>
      <c r="I228" s="8"/>
      <c r="J228" s="4"/>
      <c r="K228" s="4"/>
    </row>
    <row r="229">
      <c r="A229" s="4"/>
      <c r="B229" s="9"/>
      <c r="C229" s="4"/>
      <c r="E229" s="4"/>
      <c r="F229" s="4"/>
      <c r="G229" s="4"/>
      <c r="H229" s="4"/>
      <c r="I229" s="8"/>
      <c r="J229" s="4"/>
      <c r="K229" s="4"/>
    </row>
    <row r="230">
      <c r="A230" s="4"/>
      <c r="B230" s="9"/>
      <c r="C230" s="4"/>
      <c r="E230" s="4"/>
      <c r="F230" s="4"/>
      <c r="G230" s="4"/>
      <c r="H230" s="4"/>
      <c r="I230" s="8"/>
      <c r="J230" s="4"/>
      <c r="K230" s="4"/>
    </row>
    <row r="231">
      <c r="A231" s="4"/>
      <c r="B231" s="9"/>
      <c r="C231" s="4"/>
      <c r="E231" s="4"/>
      <c r="F231" s="4"/>
      <c r="G231" s="4"/>
      <c r="H231" s="4"/>
      <c r="I231" s="8"/>
      <c r="J231" s="4"/>
      <c r="K231" s="4"/>
    </row>
    <row r="232">
      <c r="A232" s="4"/>
      <c r="B232" s="9"/>
      <c r="C232" s="4"/>
      <c r="F232" s="4"/>
      <c r="G232" s="4"/>
      <c r="H232" s="4"/>
      <c r="I232" s="8"/>
      <c r="J232" s="4"/>
      <c r="K232" s="4"/>
    </row>
    <row r="233">
      <c r="A233" s="4"/>
      <c r="B233" s="9"/>
      <c r="C233" s="4"/>
      <c r="D233" s="4"/>
      <c r="E233" s="4"/>
      <c r="F233" s="4"/>
      <c r="G233" s="4"/>
      <c r="H233" s="4"/>
      <c r="I233" s="8"/>
      <c r="J233" s="4"/>
      <c r="K233" s="4"/>
    </row>
    <row r="234">
      <c r="A234" s="4"/>
      <c r="B234" s="9"/>
      <c r="C234" s="4"/>
      <c r="D234" s="4"/>
      <c r="E234" s="4"/>
      <c r="F234" s="4"/>
      <c r="G234" s="4"/>
      <c r="H234" s="4"/>
      <c r="I234" s="8"/>
      <c r="J234" s="4"/>
      <c r="K234" s="4"/>
    </row>
    <row r="235">
      <c r="A235" s="4"/>
      <c r="B235" s="4"/>
      <c r="C235" s="4"/>
      <c r="D235" s="4"/>
      <c r="E235" s="4"/>
      <c r="F235" s="4"/>
      <c r="G235" s="4"/>
      <c r="H235" s="4"/>
      <c r="I235" s="8"/>
      <c r="J235" s="4"/>
      <c r="K235" s="4"/>
    </row>
    <row r="236">
      <c r="A236" s="4"/>
      <c r="B236" s="9"/>
      <c r="C236" s="4"/>
      <c r="D236" s="4"/>
      <c r="E236" s="4"/>
      <c r="F236" s="4"/>
      <c r="G236" s="4"/>
      <c r="H236" s="4"/>
      <c r="I236" s="8"/>
      <c r="J236" s="4"/>
      <c r="K236" s="4"/>
    </row>
    <row r="237">
      <c r="A237" s="4"/>
      <c r="B237" s="9"/>
      <c r="C237" s="4"/>
      <c r="D237" s="4"/>
      <c r="E237" s="4"/>
      <c r="F237" s="4"/>
      <c r="G237" s="4"/>
      <c r="H237" s="4"/>
      <c r="I237" s="8"/>
      <c r="J237" s="4"/>
      <c r="K237" s="4"/>
    </row>
    <row r="238">
      <c r="A238" s="4"/>
      <c r="B238" s="9"/>
      <c r="C238" s="4"/>
      <c r="D238" s="4"/>
      <c r="E238" s="4"/>
      <c r="F238" s="4"/>
      <c r="G238" s="4"/>
      <c r="H238" s="4"/>
      <c r="I238" s="8"/>
      <c r="J238" s="4"/>
      <c r="K238" s="4"/>
    </row>
    <row r="239">
      <c r="A239" s="4"/>
      <c r="B239" s="9"/>
      <c r="C239" s="4"/>
      <c r="D239" s="4"/>
      <c r="E239" s="4"/>
      <c r="F239" s="4"/>
      <c r="G239" s="4"/>
      <c r="H239" s="4"/>
      <c r="I239" s="8"/>
      <c r="J239" s="4"/>
      <c r="K239" s="4"/>
    </row>
    <row r="240">
      <c r="A240" s="4"/>
      <c r="B240" s="9"/>
      <c r="C240" s="4"/>
      <c r="D240" s="4"/>
      <c r="E240" s="4"/>
      <c r="F240" s="4"/>
      <c r="G240" s="4"/>
      <c r="H240" s="4"/>
      <c r="I240" s="8"/>
      <c r="J240" s="4"/>
      <c r="K240" s="4"/>
    </row>
    <row r="241">
      <c r="A241" s="4"/>
      <c r="B241" s="4"/>
      <c r="C241" s="4"/>
      <c r="E241" s="4"/>
      <c r="F241" s="4"/>
      <c r="G241" s="4"/>
      <c r="H241" s="4"/>
      <c r="I241" s="8"/>
      <c r="J241" s="4"/>
      <c r="K241" s="4"/>
    </row>
    <row r="242">
      <c r="A242" s="4"/>
      <c r="B242" s="9"/>
      <c r="C242" s="4"/>
      <c r="E242" s="4"/>
      <c r="F242" s="4"/>
      <c r="G242" s="4"/>
      <c r="H242" s="4"/>
      <c r="I242" s="8"/>
      <c r="J242" s="4"/>
      <c r="K242" s="4"/>
    </row>
    <row r="243">
      <c r="A243" s="4"/>
      <c r="B243" s="9"/>
      <c r="C243" s="4"/>
      <c r="E243" s="4"/>
      <c r="F243" s="4"/>
      <c r="G243" s="4"/>
      <c r="H243" s="4"/>
      <c r="I243" s="8"/>
      <c r="J243" s="4"/>
      <c r="K243" s="4"/>
    </row>
    <row r="244">
      <c r="A244" s="4"/>
      <c r="B244" s="9"/>
      <c r="C244" s="4"/>
      <c r="E244" s="4"/>
      <c r="F244" s="4"/>
      <c r="G244" s="4"/>
      <c r="H244" s="4"/>
      <c r="I244" s="8"/>
      <c r="J244" s="4"/>
      <c r="K244" s="4"/>
    </row>
    <row r="245">
      <c r="A245" s="4"/>
      <c r="B245" s="9"/>
      <c r="C245" s="4"/>
      <c r="E245" s="4"/>
      <c r="F245" s="4"/>
      <c r="G245" s="4"/>
      <c r="H245" s="4"/>
      <c r="I245" s="8"/>
      <c r="J245" s="4"/>
      <c r="K245" s="4"/>
    </row>
    <row r="246">
      <c r="A246" s="4"/>
      <c r="B246" s="9"/>
      <c r="C246" s="4"/>
      <c r="D246" s="4"/>
      <c r="E246" s="4"/>
      <c r="F246" s="4"/>
      <c r="G246" s="4"/>
      <c r="H246" s="4"/>
      <c r="I246" s="8"/>
      <c r="J246" s="4"/>
      <c r="K246" s="4"/>
    </row>
    <row r="247">
      <c r="A247" s="4"/>
      <c r="B247" s="9"/>
      <c r="C247" s="4"/>
      <c r="D247" s="4"/>
      <c r="E247" s="4"/>
      <c r="F247" s="4"/>
      <c r="G247" s="4"/>
      <c r="H247" s="4"/>
      <c r="I247" s="8"/>
      <c r="J247" s="4"/>
      <c r="K247" s="4"/>
    </row>
    <row r="248">
      <c r="A248" s="4"/>
      <c r="B248" s="9"/>
      <c r="C248" s="4"/>
      <c r="D248" s="4"/>
      <c r="E248" s="4"/>
      <c r="F248" s="4"/>
      <c r="G248" s="4"/>
      <c r="H248" s="4"/>
      <c r="I248" s="8"/>
      <c r="J248" s="4"/>
      <c r="K248" s="4"/>
    </row>
    <row r="249">
      <c r="A249" s="4"/>
      <c r="B249" s="9"/>
      <c r="C249" s="4"/>
      <c r="D249" s="4"/>
      <c r="E249" s="4"/>
      <c r="F249" s="4"/>
      <c r="G249" s="4"/>
      <c r="H249" s="4"/>
      <c r="I249" s="8"/>
      <c r="J249" s="4"/>
      <c r="K249" s="4"/>
    </row>
    <row r="250">
      <c r="A250" s="4"/>
      <c r="B250" s="9"/>
      <c r="C250" s="4"/>
      <c r="D250" s="4"/>
      <c r="E250" s="4"/>
      <c r="F250" s="4"/>
      <c r="G250" s="4"/>
      <c r="H250" s="4"/>
      <c r="I250" s="8"/>
      <c r="J250" s="4"/>
      <c r="K250" s="4"/>
    </row>
    <row r="251">
      <c r="A251" s="4"/>
      <c r="B251" s="9"/>
      <c r="C251" s="4"/>
      <c r="D251" s="4"/>
      <c r="E251" s="4"/>
      <c r="F251" s="4"/>
      <c r="G251" s="4"/>
      <c r="H251" s="4"/>
      <c r="I251" s="8"/>
      <c r="J251" s="4"/>
      <c r="K251" s="4"/>
    </row>
    <row r="252">
      <c r="A252" s="4"/>
      <c r="B252" s="9"/>
      <c r="C252" s="4"/>
      <c r="D252" s="4"/>
      <c r="E252" s="4"/>
      <c r="F252" s="4"/>
      <c r="G252" s="4"/>
      <c r="H252" s="4"/>
      <c r="I252" s="8"/>
      <c r="J252" s="4"/>
      <c r="K252" s="4"/>
    </row>
    <row r="253">
      <c r="A253" s="4"/>
      <c r="B253" s="9"/>
      <c r="C253" s="4"/>
      <c r="D253" s="4"/>
      <c r="E253" s="4"/>
      <c r="F253" s="4"/>
      <c r="G253" s="4"/>
      <c r="H253" s="4"/>
      <c r="I253" s="8"/>
      <c r="J253" s="4"/>
      <c r="K253" s="4"/>
    </row>
    <row r="254">
      <c r="A254" s="4"/>
      <c r="B254" s="9"/>
      <c r="C254" s="4"/>
      <c r="D254" s="4"/>
      <c r="E254" s="4"/>
      <c r="F254" s="4"/>
      <c r="G254" s="4"/>
      <c r="H254" s="4"/>
      <c r="I254" s="8"/>
      <c r="J254" s="4"/>
      <c r="K254" s="4"/>
    </row>
    <row r="255">
      <c r="A255" s="4"/>
      <c r="B255" s="9"/>
      <c r="C255" s="4"/>
      <c r="D255" s="4"/>
      <c r="E255" s="4"/>
      <c r="F255" s="4"/>
      <c r="G255" s="4"/>
      <c r="H255" s="4"/>
      <c r="I255" s="8"/>
      <c r="J255" s="4"/>
      <c r="K255" s="4"/>
    </row>
    <row r="256">
      <c r="A256" s="4"/>
      <c r="B256" s="9"/>
      <c r="C256" s="4"/>
      <c r="D256" s="4"/>
      <c r="E256" s="4"/>
      <c r="F256" s="4"/>
      <c r="G256" s="4"/>
      <c r="H256" s="4"/>
      <c r="I256" s="8"/>
      <c r="J256" s="4"/>
      <c r="K256" s="4"/>
    </row>
    <row r="257">
      <c r="A257" s="4"/>
      <c r="B257" s="9"/>
      <c r="C257" s="4"/>
      <c r="E257" s="4"/>
      <c r="F257" s="4"/>
      <c r="G257" s="4"/>
      <c r="H257" s="4"/>
      <c r="I257" s="8"/>
      <c r="J257" s="4"/>
      <c r="K257" s="4"/>
    </row>
    <row r="258">
      <c r="A258" s="4"/>
      <c r="B258" s="9"/>
      <c r="C258" s="4"/>
      <c r="E258" s="4"/>
      <c r="F258" s="4"/>
      <c r="G258" s="4"/>
      <c r="H258" s="4"/>
      <c r="I258" s="8"/>
      <c r="J258" s="4"/>
      <c r="K258" s="4"/>
    </row>
    <row r="259">
      <c r="A259" s="4"/>
      <c r="B259" s="4"/>
      <c r="C259" s="4"/>
      <c r="D259" s="4"/>
      <c r="E259" s="4"/>
      <c r="F259" s="4"/>
      <c r="G259" s="4"/>
      <c r="H259" s="4"/>
      <c r="I259" s="8"/>
      <c r="J259" s="4"/>
      <c r="K259" s="4"/>
    </row>
    <row r="260">
      <c r="A260" s="4"/>
      <c r="B260" s="4"/>
      <c r="C260" s="4"/>
      <c r="D260" s="4"/>
      <c r="E260" s="4"/>
      <c r="F260" s="4"/>
      <c r="G260" s="4"/>
      <c r="H260" s="4"/>
      <c r="I260" s="8"/>
      <c r="J260" s="4"/>
      <c r="K260" s="4"/>
    </row>
    <row r="261">
      <c r="A261" s="4"/>
      <c r="B261" s="4"/>
      <c r="C261" s="4"/>
      <c r="D261" s="4"/>
      <c r="E261" s="4"/>
      <c r="F261" s="4"/>
      <c r="G261" s="4"/>
      <c r="H261" s="4"/>
      <c r="I261" s="8"/>
      <c r="J261" s="4"/>
      <c r="K261" s="4"/>
    </row>
    <row r="262">
      <c r="A262" s="4"/>
      <c r="B262" s="4"/>
      <c r="C262" s="4"/>
      <c r="D262" s="4"/>
      <c r="E262" s="4"/>
      <c r="F262" s="4"/>
      <c r="G262" s="4"/>
      <c r="H262" s="4"/>
      <c r="I262" s="8"/>
      <c r="J262" s="4"/>
      <c r="K262" s="4"/>
    </row>
    <row r="263">
      <c r="A263" s="4"/>
      <c r="B263" s="4"/>
      <c r="C263" s="4"/>
      <c r="D263" s="4"/>
      <c r="E263" s="4"/>
      <c r="F263" s="4"/>
      <c r="G263" s="4"/>
      <c r="H263" s="4"/>
      <c r="I263" s="8"/>
      <c r="J263" s="4"/>
      <c r="K263" s="4"/>
    </row>
    <row r="264">
      <c r="A264" s="4"/>
      <c r="B264" s="4"/>
      <c r="C264" s="4"/>
      <c r="D264" s="4"/>
      <c r="E264" s="4"/>
      <c r="F264" s="4"/>
      <c r="G264" s="4"/>
      <c r="H264" s="4"/>
      <c r="I264" s="8"/>
      <c r="J264" s="4"/>
      <c r="K264" s="4"/>
    </row>
    <row r="265">
      <c r="A265" s="4"/>
      <c r="B265" s="4"/>
      <c r="C265" s="4"/>
      <c r="D265" s="4"/>
      <c r="E265" s="4"/>
      <c r="F265" s="4"/>
      <c r="G265" s="4"/>
      <c r="H265" s="4"/>
      <c r="I265" s="8"/>
      <c r="J265" s="4"/>
      <c r="K265" s="4"/>
    </row>
    <row r="266">
      <c r="A266" s="4"/>
      <c r="B266" s="4"/>
      <c r="C266" s="4"/>
      <c r="D266" s="4"/>
      <c r="E266" s="4"/>
      <c r="F266" s="4"/>
      <c r="G266" s="4"/>
      <c r="H266" s="4"/>
      <c r="I266" s="8"/>
      <c r="J266" s="4"/>
      <c r="K266" s="4"/>
    </row>
    <row r="267">
      <c r="A267" s="4"/>
      <c r="B267" s="4"/>
      <c r="C267" s="4"/>
      <c r="D267" s="4"/>
      <c r="E267" s="4"/>
      <c r="F267" s="4"/>
      <c r="G267" s="4"/>
      <c r="H267" s="4"/>
      <c r="I267" s="8"/>
      <c r="J267" s="4"/>
      <c r="K267" s="4"/>
    </row>
    <row r="268">
      <c r="A268" s="4"/>
      <c r="B268" s="4"/>
      <c r="C268" s="4"/>
      <c r="D268" s="4"/>
      <c r="E268" s="4"/>
      <c r="F268" s="4"/>
      <c r="G268" s="4"/>
      <c r="H268" s="4"/>
      <c r="I268" s="8"/>
      <c r="J268" s="4"/>
      <c r="K268" s="4"/>
    </row>
    <row r="269">
      <c r="A269" s="4"/>
      <c r="B269" s="4"/>
      <c r="C269" s="4"/>
      <c r="D269" s="4"/>
      <c r="E269" s="4"/>
      <c r="F269" s="4"/>
      <c r="G269" s="4"/>
      <c r="H269" s="4"/>
      <c r="I269" s="8"/>
      <c r="J269" s="4"/>
      <c r="K269" s="4"/>
    </row>
    <row r="270">
      <c r="A270" s="4"/>
      <c r="B270" s="4"/>
      <c r="C270" s="4"/>
      <c r="D270" s="4"/>
      <c r="E270" s="4"/>
      <c r="F270" s="4"/>
      <c r="G270" s="4"/>
      <c r="H270" s="4"/>
      <c r="I270" s="8"/>
      <c r="J270" s="4"/>
      <c r="K270" s="4"/>
    </row>
    <row r="271">
      <c r="A271" s="4"/>
      <c r="B271" s="4"/>
      <c r="C271" s="4"/>
      <c r="D271" s="4"/>
      <c r="E271" s="4"/>
      <c r="F271" s="4"/>
      <c r="G271" s="4"/>
      <c r="H271" s="4"/>
      <c r="I271" s="8"/>
      <c r="J271" s="4"/>
      <c r="K271" s="4"/>
    </row>
    <row r="272">
      <c r="A272" s="4"/>
      <c r="B272" s="9"/>
      <c r="C272" s="4"/>
      <c r="D272" s="4"/>
      <c r="E272" s="4"/>
      <c r="F272" s="4"/>
      <c r="G272" s="4"/>
      <c r="H272" s="4"/>
      <c r="I272" s="8"/>
      <c r="J272" s="4"/>
      <c r="K272" s="4"/>
    </row>
    <row r="273">
      <c r="A273" s="4"/>
      <c r="B273" s="9"/>
      <c r="C273" s="4"/>
      <c r="D273" s="4"/>
      <c r="E273" s="4"/>
      <c r="F273" s="4"/>
      <c r="G273" s="4"/>
      <c r="H273" s="4"/>
      <c r="I273" s="8"/>
      <c r="J273" s="4"/>
      <c r="K273" s="4"/>
    </row>
    <row r="274">
      <c r="A274" s="4"/>
      <c r="B274" s="9"/>
      <c r="C274" s="4"/>
      <c r="D274" s="4"/>
      <c r="E274" s="4"/>
      <c r="F274" s="4"/>
      <c r="G274" s="4"/>
      <c r="H274" s="4"/>
      <c r="I274" s="8"/>
      <c r="J274" s="4"/>
      <c r="K274" s="4"/>
    </row>
    <row r="275">
      <c r="A275" s="4"/>
      <c r="B275" s="9"/>
      <c r="C275" s="4"/>
      <c r="D275" s="4"/>
      <c r="E275" s="4"/>
      <c r="F275" s="4"/>
      <c r="G275" s="4"/>
      <c r="H275" s="4"/>
      <c r="I275" s="8"/>
      <c r="J275" s="4"/>
      <c r="K275" s="4"/>
    </row>
    <row r="276">
      <c r="A276" s="4"/>
      <c r="B276" s="9"/>
      <c r="C276" s="4"/>
      <c r="D276" s="4"/>
      <c r="E276" s="4"/>
      <c r="F276" s="4"/>
      <c r="G276" s="4"/>
      <c r="H276" s="4"/>
      <c r="I276" s="8"/>
      <c r="J276" s="4"/>
      <c r="K276" s="4"/>
    </row>
    <row r="277">
      <c r="A277" s="4"/>
      <c r="B277" s="9"/>
      <c r="C277" s="4"/>
      <c r="D277" s="4"/>
      <c r="E277" s="4"/>
      <c r="F277" s="4"/>
      <c r="G277" s="4"/>
      <c r="H277" s="4"/>
      <c r="I277" s="8"/>
      <c r="J277" s="4"/>
      <c r="K277" s="4"/>
    </row>
    <row r="278">
      <c r="A278" s="4"/>
      <c r="B278" s="9"/>
      <c r="C278" s="4"/>
      <c r="E278" s="4"/>
      <c r="F278" s="4"/>
      <c r="G278" s="4"/>
      <c r="H278" s="4"/>
      <c r="I278" s="8"/>
      <c r="J278" s="4"/>
      <c r="K278" s="4"/>
    </row>
    <row r="279">
      <c r="A279" s="4"/>
      <c r="B279" s="9"/>
      <c r="C279" s="4"/>
      <c r="E279" s="4"/>
      <c r="F279" s="4"/>
      <c r="G279" s="4"/>
      <c r="H279" s="4"/>
      <c r="I279" s="8"/>
      <c r="J279" s="4"/>
      <c r="K279" s="4"/>
    </row>
    <row r="280">
      <c r="A280" s="4"/>
      <c r="B280" s="9"/>
      <c r="C280" s="4"/>
      <c r="D280" s="4"/>
      <c r="E280" s="4"/>
      <c r="F280" s="4"/>
      <c r="G280" s="4"/>
      <c r="H280" s="4"/>
      <c r="I280" s="8"/>
      <c r="J280" s="4"/>
      <c r="K280" s="4"/>
    </row>
    <row r="281">
      <c r="A281" s="4"/>
      <c r="B281" s="9"/>
      <c r="C281" s="4"/>
      <c r="D281" s="4"/>
      <c r="E281" s="4"/>
      <c r="F281" s="4"/>
      <c r="G281" s="4"/>
      <c r="H281" s="4"/>
      <c r="I281" s="8"/>
      <c r="J281" s="4"/>
      <c r="K281" s="4"/>
    </row>
    <row r="282">
      <c r="A282" s="4"/>
      <c r="B282" s="9"/>
      <c r="C282" s="4"/>
      <c r="D282" s="4"/>
      <c r="E282" s="4"/>
      <c r="F282" s="4"/>
      <c r="G282" s="4"/>
      <c r="H282" s="4"/>
      <c r="I282" s="8"/>
      <c r="J282" s="4"/>
      <c r="K282" s="4"/>
    </row>
    <row r="283">
      <c r="A283" s="4"/>
      <c r="B283" s="4"/>
      <c r="C283" s="4"/>
      <c r="D283" s="4"/>
      <c r="E283" s="4"/>
      <c r="F283" s="4"/>
      <c r="G283" s="4"/>
      <c r="H283" s="4"/>
      <c r="I283" s="8"/>
      <c r="J283" s="4"/>
      <c r="K283" s="4"/>
    </row>
    <row r="284">
      <c r="A284" s="4"/>
      <c r="B284" s="4"/>
      <c r="C284" s="4"/>
      <c r="D284" s="4"/>
      <c r="E284" s="4"/>
      <c r="F284" s="4"/>
      <c r="G284" s="4"/>
      <c r="H284" s="4"/>
      <c r="I284" s="8"/>
      <c r="J284" s="4"/>
      <c r="K284" s="4"/>
    </row>
    <row r="285">
      <c r="A285" s="4"/>
      <c r="B285" s="4"/>
      <c r="C285" s="4"/>
      <c r="D285" s="4"/>
      <c r="E285" s="4"/>
      <c r="F285" s="4"/>
      <c r="G285" s="4"/>
      <c r="H285" s="4"/>
      <c r="I285" s="8"/>
      <c r="J285" s="4"/>
      <c r="K285" s="4"/>
    </row>
    <row r="286">
      <c r="A286" s="4"/>
      <c r="B286" s="4"/>
      <c r="C286" s="4"/>
      <c r="D286" s="4"/>
      <c r="E286" s="4"/>
      <c r="F286" s="4"/>
      <c r="G286" s="4"/>
      <c r="H286" s="4"/>
      <c r="I286" s="8"/>
      <c r="J286" s="4"/>
      <c r="K286" s="4"/>
    </row>
    <row r="287">
      <c r="A287" s="4"/>
      <c r="B287" s="9"/>
      <c r="C287" s="4"/>
      <c r="E287" s="4"/>
      <c r="F287" s="4"/>
      <c r="G287" s="4"/>
      <c r="H287" s="4"/>
      <c r="I287" s="8"/>
      <c r="J287" s="4"/>
      <c r="K287" s="4"/>
    </row>
    <row r="288">
      <c r="A288" s="4"/>
      <c r="B288" s="9"/>
      <c r="C288" s="4"/>
      <c r="E288" s="4"/>
      <c r="F288" s="4"/>
      <c r="G288" s="4"/>
      <c r="H288" s="4"/>
      <c r="I288" s="8"/>
      <c r="J288" s="4"/>
      <c r="K288" s="4"/>
    </row>
    <row r="289">
      <c r="A289" s="4"/>
      <c r="B289" s="4"/>
      <c r="C289" s="4"/>
      <c r="E289" s="4"/>
      <c r="F289" s="4"/>
      <c r="G289" s="4"/>
      <c r="H289" s="4"/>
      <c r="I289" s="8"/>
      <c r="J289" s="4"/>
      <c r="K289" s="4"/>
    </row>
    <row r="290">
      <c r="A290" s="4"/>
      <c r="B290" s="9"/>
      <c r="C290" s="4"/>
      <c r="D290" s="4"/>
      <c r="E290" s="4"/>
      <c r="F290" s="4"/>
      <c r="G290" s="4"/>
      <c r="H290" s="4"/>
      <c r="I290" s="8"/>
      <c r="J290" s="4"/>
      <c r="K290" s="4"/>
    </row>
    <row r="291">
      <c r="A291" s="4"/>
      <c r="B291" s="9"/>
      <c r="C291" s="4"/>
      <c r="E291" s="4"/>
      <c r="F291" s="4"/>
      <c r="G291" s="4"/>
      <c r="H291" s="4"/>
      <c r="I291" s="8"/>
      <c r="J291" s="4"/>
      <c r="K291" s="4"/>
    </row>
    <row r="292">
      <c r="A292" s="4"/>
      <c r="B292" s="9"/>
      <c r="C292" s="4"/>
      <c r="E292" s="4"/>
      <c r="F292" s="4"/>
      <c r="G292" s="4"/>
      <c r="H292" s="4"/>
      <c r="I292" s="8"/>
      <c r="J292" s="4"/>
      <c r="K292" s="4"/>
    </row>
    <row r="293">
      <c r="A293" s="4"/>
      <c r="B293" s="9"/>
      <c r="C293" s="4"/>
      <c r="D293" s="4"/>
      <c r="E293" s="4"/>
      <c r="F293" s="4"/>
      <c r="G293" s="4"/>
      <c r="H293" s="4"/>
      <c r="I293" s="8"/>
      <c r="J293" s="4"/>
      <c r="K293" s="4"/>
    </row>
    <row r="294">
      <c r="A294" s="4"/>
      <c r="B294" s="9"/>
      <c r="C294" s="4"/>
      <c r="D294" s="4"/>
      <c r="E294" s="4"/>
      <c r="F294" s="4"/>
      <c r="G294" s="4"/>
      <c r="H294" s="4"/>
      <c r="I294" s="8"/>
      <c r="J294" s="4"/>
      <c r="K294" s="4"/>
    </row>
    <row r="295">
      <c r="A295" s="4"/>
      <c r="B295" s="9"/>
      <c r="C295" s="4"/>
      <c r="D295" s="4"/>
      <c r="E295" s="4"/>
      <c r="F295" s="4"/>
      <c r="G295" s="4"/>
      <c r="H295" s="4"/>
      <c r="I295" s="8"/>
      <c r="J295" s="4"/>
      <c r="K295" s="4"/>
    </row>
    <row r="296">
      <c r="A296" s="4"/>
      <c r="B296" s="9"/>
      <c r="C296" s="4"/>
      <c r="D296" s="4"/>
      <c r="E296" s="4"/>
      <c r="F296" s="4"/>
      <c r="G296" s="4"/>
      <c r="H296" s="4"/>
      <c r="J296" s="4"/>
      <c r="K296" s="4"/>
    </row>
    <row r="297">
      <c r="A297" s="4"/>
      <c r="B297" s="9"/>
      <c r="C297" s="4"/>
      <c r="D297" s="4"/>
      <c r="E297" s="4"/>
      <c r="F297" s="4"/>
      <c r="G297" s="4"/>
      <c r="H297" s="4"/>
      <c r="J297" s="4"/>
      <c r="K297" s="4"/>
    </row>
    <row r="298">
      <c r="A298" s="4"/>
      <c r="B298" s="9"/>
      <c r="C298" s="4"/>
      <c r="D298" s="4"/>
      <c r="E298" s="4"/>
      <c r="F298" s="4"/>
      <c r="G298" s="4"/>
      <c r="H298" s="4"/>
      <c r="J298" s="4"/>
      <c r="K298" s="4"/>
    </row>
    <row r="299">
      <c r="A299" s="4"/>
      <c r="B299" s="9"/>
      <c r="C299" s="4"/>
      <c r="D299" s="4"/>
      <c r="E299" s="4"/>
      <c r="F299" s="4"/>
      <c r="G299" s="4"/>
      <c r="H299" s="4"/>
      <c r="J299" s="4"/>
      <c r="K299" s="4"/>
    </row>
    <row r="300">
      <c r="A300" s="4"/>
      <c r="B300" s="9"/>
      <c r="C300" s="4"/>
      <c r="E300" s="4"/>
      <c r="F300" s="4"/>
      <c r="G300" s="4"/>
      <c r="H300" s="4"/>
      <c r="I300" s="8"/>
      <c r="J300" s="4"/>
      <c r="K300" s="4"/>
    </row>
    <row r="301">
      <c r="A301" s="4"/>
      <c r="B301" s="9"/>
      <c r="C301" s="4"/>
      <c r="E301" s="4"/>
      <c r="F301" s="4"/>
      <c r="G301" s="4"/>
      <c r="H301" s="4"/>
      <c r="I301" s="8"/>
      <c r="J301" s="4"/>
      <c r="K301" s="4"/>
    </row>
    <row r="302">
      <c r="A302" s="4"/>
      <c r="B302" s="4"/>
      <c r="C302" s="4"/>
      <c r="D302" s="4"/>
      <c r="E302" s="4"/>
      <c r="F302" s="4"/>
      <c r="G302" s="4"/>
      <c r="H302" s="4"/>
      <c r="I302" s="8"/>
      <c r="J302" s="4"/>
      <c r="K302" s="4"/>
    </row>
    <row r="303">
      <c r="A303" s="4"/>
      <c r="B303" s="4"/>
      <c r="C303" s="4"/>
      <c r="D303" s="4"/>
      <c r="E303" s="4"/>
      <c r="F303" s="4"/>
      <c r="G303" s="4"/>
      <c r="H303" s="4"/>
      <c r="I303" s="8"/>
      <c r="J303" s="4"/>
      <c r="K303" s="4"/>
    </row>
    <row r="304">
      <c r="A304" s="4"/>
      <c r="B304" s="4"/>
      <c r="C304" s="4"/>
      <c r="D304" s="4"/>
      <c r="E304" s="4"/>
      <c r="F304" s="4"/>
      <c r="G304" s="4"/>
      <c r="H304" s="4"/>
      <c r="I304" s="8"/>
      <c r="J304" s="4"/>
      <c r="K304" s="4"/>
    </row>
    <row r="305">
      <c r="A305" s="4"/>
      <c r="B305" s="4"/>
      <c r="C305" s="4"/>
      <c r="D305" s="4"/>
      <c r="E305" s="4"/>
      <c r="F305" s="4"/>
      <c r="G305" s="4"/>
      <c r="H305" s="4"/>
      <c r="I305" s="8"/>
      <c r="J305" s="4"/>
      <c r="K305" s="4"/>
    </row>
    <row r="306">
      <c r="A306" s="4"/>
      <c r="B306" s="4"/>
      <c r="C306" s="4"/>
      <c r="D306" s="4"/>
      <c r="E306" s="4"/>
      <c r="F306" s="4"/>
      <c r="G306" s="4"/>
      <c r="H306" s="4"/>
      <c r="I306" s="8"/>
      <c r="J306" s="4"/>
      <c r="K306" s="4"/>
    </row>
    <row r="307">
      <c r="A307" s="4"/>
      <c r="B307" s="4"/>
      <c r="C307" s="4"/>
      <c r="D307" s="4"/>
      <c r="E307" s="4"/>
      <c r="F307" s="4"/>
      <c r="G307" s="4"/>
      <c r="H307" s="4"/>
      <c r="I307" s="8"/>
      <c r="J307" s="4"/>
      <c r="K307" s="4"/>
    </row>
    <row r="308">
      <c r="A308" s="4"/>
      <c r="B308" s="9"/>
      <c r="C308" s="4"/>
      <c r="D308" s="4"/>
      <c r="E308" s="4"/>
      <c r="F308" s="4"/>
      <c r="G308" s="4"/>
      <c r="H308" s="4"/>
      <c r="I308" s="8"/>
      <c r="J308" s="4"/>
      <c r="K308" s="4"/>
    </row>
    <row r="309">
      <c r="A309" s="4"/>
      <c r="B309" s="9"/>
      <c r="C309" s="4"/>
      <c r="D309" s="4"/>
      <c r="E309" s="4"/>
      <c r="F309" s="4"/>
      <c r="G309" s="4"/>
      <c r="H309" s="4"/>
      <c r="I309" s="8"/>
      <c r="J309" s="4"/>
      <c r="K309" s="4"/>
    </row>
    <row r="310">
      <c r="A310" s="4"/>
      <c r="B310" s="9"/>
      <c r="C310" s="4"/>
      <c r="D310" s="4"/>
      <c r="E310" s="4"/>
      <c r="F310" s="4"/>
      <c r="G310" s="4"/>
      <c r="H310" s="4"/>
      <c r="I310" s="8"/>
      <c r="J310" s="4"/>
      <c r="K310" s="4"/>
    </row>
    <row r="311">
      <c r="A311" s="4"/>
      <c r="B311" s="9"/>
      <c r="C311" s="4"/>
      <c r="D311" s="4"/>
      <c r="E311" s="4"/>
      <c r="F311" s="4"/>
      <c r="G311" s="4"/>
      <c r="H311" s="4"/>
      <c r="I311" s="8"/>
      <c r="J311" s="4"/>
      <c r="K311" s="4"/>
    </row>
    <row r="312">
      <c r="A312" s="4"/>
      <c r="B312" s="9"/>
      <c r="C312" s="4"/>
      <c r="D312" s="4"/>
      <c r="E312" s="4"/>
      <c r="F312" s="4"/>
      <c r="G312" s="4"/>
      <c r="H312" s="4"/>
      <c r="I312" s="8"/>
      <c r="J312" s="4"/>
      <c r="K312" s="4"/>
    </row>
    <row r="313">
      <c r="A313" s="4"/>
      <c r="B313" s="9"/>
      <c r="C313" s="4"/>
      <c r="D313" s="4"/>
      <c r="E313" s="4"/>
      <c r="F313" s="4"/>
      <c r="G313" s="4"/>
      <c r="H313" s="4"/>
      <c r="I313" s="8"/>
      <c r="J313" s="4"/>
      <c r="K313" s="4"/>
    </row>
    <row r="314">
      <c r="A314" s="4"/>
      <c r="B314" s="9"/>
      <c r="C314" s="4"/>
      <c r="D314" s="4"/>
      <c r="E314" s="4"/>
      <c r="F314" s="4"/>
      <c r="G314" s="4"/>
      <c r="H314" s="4"/>
      <c r="I314" s="8"/>
      <c r="J314" s="4"/>
      <c r="K314" s="4"/>
    </row>
    <row r="315">
      <c r="A315" s="4"/>
      <c r="B315" s="9"/>
      <c r="C315" s="4"/>
      <c r="E315" s="4"/>
      <c r="F315" s="4"/>
      <c r="G315" s="4"/>
      <c r="H315" s="4"/>
      <c r="I315" s="8"/>
      <c r="J315" s="4"/>
      <c r="K315" s="4"/>
    </row>
    <row r="316">
      <c r="A316" s="4"/>
      <c r="B316" s="9"/>
      <c r="C316" s="4"/>
      <c r="E316" s="4"/>
      <c r="F316" s="4"/>
      <c r="G316" s="4"/>
      <c r="H316" s="4"/>
      <c r="I316" s="8"/>
      <c r="J316" s="4"/>
      <c r="K316" s="4"/>
    </row>
    <row r="317">
      <c r="A317" s="4"/>
      <c r="B317" s="9"/>
      <c r="C317" s="4"/>
      <c r="D317" s="4"/>
      <c r="E317" s="4"/>
      <c r="F317" s="4"/>
      <c r="G317" s="4"/>
      <c r="H317" s="4"/>
      <c r="I317" s="8"/>
      <c r="J317" s="4"/>
      <c r="K317" s="4"/>
    </row>
    <row r="318">
      <c r="A318" s="4"/>
      <c r="B318" s="9"/>
      <c r="C318" s="4"/>
      <c r="E318" s="4"/>
      <c r="F318" s="4"/>
      <c r="G318" s="4"/>
      <c r="H318" s="4"/>
      <c r="I318" s="8"/>
      <c r="J318" s="4"/>
      <c r="K318" s="4"/>
    </row>
    <row r="319">
      <c r="A319" s="4"/>
      <c r="B319" s="9"/>
      <c r="C319" s="4"/>
      <c r="E319" s="4"/>
      <c r="F319" s="4"/>
      <c r="G319" s="4"/>
      <c r="H319" s="4"/>
      <c r="I319" s="8"/>
      <c r="J319" s="4"/>
      <c r="K319" s="4"/>
    </row>
    <row r="320">
      <c r="A320" s="4"/>
      <c r="B320" s="9"/>
      <c r="C320" s="4"/>
      <c r="E320" s="4"/>
      <c r="F320" s="4"/>
      <c r="G320" s="4"/>
      <c r="H320" s="4"/>
      <c r="I320" s="8"/>
      <c r="J320" s="4"/>
      <c r="K320" s="4"/>
    </row>
    <row r="321">
      <c r="A321" s="4"/>
      <c r="B321" s="9"/>
      <c r="C321" s="4"/>
      <c r="E321" s="4"/>
      <c r="F321" s="4"/>
      <c r="G321" s="4"/>
      <c r="H321" s="4"/>
      <c r="I321" s="8"/>
      <c r="J321" s="4"/>
      <c r="K321" s="4"/>
    </row>
    <row r="322">
      <c r="A322" s="4"/>
      <c r="B322" s="9"/>
      <c r="C322" s="4"/>
      <c r="E322" s="4"/>
      <c r="F322" s="4"/>
      <c r="G322" s="4"/>
      <c r="H322" s="4"/>
      <c r="I322" s="8"/>
      <c r="J322" s="4"/>
      <c r="K322" s="4"/>
    </row>
    <row r="323">
      <c r="A323" s="4"/>
      <c r="B323" s="9"/>
      <c r="C323" s="4"/>
      <c r="D323" s="4"/>
      <c r="E323" s="4"/>
      <c r="F323" s="4"/>
      <c r="G323" s="4"/>
      <c r="H323" s="4"/>
      <c r="I323" s="8"/>
      <c r="J323" s="4"/>
      <c r="K323" s="4"/>
    </row>
    <row r="324">
      <c r="A324" s="4"/>
      <c r="B324" s="4"/>
      <c r="C324" s="4"/>
      <c r="D324" s="4"/>
      <c r="E324" s="4"/>
      <c r="F324" s="4"/>
      <c r="G324" s="4"/>
      <c r="H324" s="4"/>
      <c r="I324" s="8"/>
      <c r="J324" s="4"/>
      <c r="K324" s="4"/>
    </row>
    <row r="325">
      <c r="A325" s="4"/>
      <c r="B325" s="9"/>
      <c r="C325" s="4"/>
      <c r="E325" s="4"/>
      <c r="F325" s="4"/>
      <c r="G325" s="4"/>
      <c r="H325" s="4"/>
      <c r="I325" s="8"/>
      <c r="J325" s="4"/>
      <c r="K325" s="4"/>
    </row>
    <row r="326">
      <c r="A326" s="4"/>
      <c r="B326" s="9"/>
      <c r="C326" s="4"/>
      <c r="E326" s="4"/>
      <c r="F326" s="4"/>
      <c r="G326" s="4"/>
      <c r="H326" s="4"/>
      <c r="I326" s="8"/>
      <c r="J326" s="4"/>
      <c r="K326" s="4"/>
    </row>
    <row r="327">
      <c r="A327" s="4"/>
      <c r="B327" s="9"/>
      <c r="C327" s="4"/>
      <c r="E327" s="4"/>
      <c r="F327" s="4"/>
      <c r="G327" s="4"/>
      <c r="H327" s="4"/>
      <c r="I327" s="8"/>
      <c r="J327" s="4"/>
      <c r="K327" s="4"/>
    </row>
    <row r="328">
      <c r="A328" s="4"/>
      <c r="B328" s="9"/>
      <c r="C328" s="4"/>
      <c r="E328" s="4"/>
      <c r="F328" s="4"/>
      <c r="G328" s="4"/>
      <c r="H328" s="4"/>
      <c r="I328" s="8"/>
      <c r="J328" s="4"/>
      <c r="K328" s="4"/>
    </row>
    <row r="329">
      <c r="A329" s="4"/>
      <c r="B329" s="4"/>
      <c r="C329" s="4"/>
      <c r="E329" s="4"/>
      <c r="F329" s="4"/>
      <c r="G329" s="4"/>
      <c r="H329" s="4"/>
      <c r="I329" s="8"/>
      <c r="J329" s="4"/>
      <c r="K329" s="4"/>
    </row>
    <row r="330">
      <c r="A330" s="4"/>
      <c r="B330" s="4"/>
      <c r="C330" s="4"/>
      <c r="E330" s="4"/>
      <c r="F330" s="4"/>
      <c r="G330" s="4"/>
      <c r="H330" s="4"/>
      <c r="I330" s="8"/>
      <c r="J330" s="4"/>
      <c r="K330" s="4"/>
    </row>
    <row r="331">
      <c r="A331" s="4"/>
      <c r="B331" s="4"/>
      <c r="C331" s="4"/>
      <c r="E331" s="4"/>
      <c r="F331" s="4"/>
      <c r="G331" s="4"/>
      <c r="H331" s="4"/>
      <c r="I331" s="8"/>
      <c r="J331" s="4"/>
      <c r="K331" s="4"/>
    </row>
    <row r="332">
      <c r="A332" s="4"/>
      <c r="B332" s="4"/>
      <c r="C332" s="4"/>
      <c r="E332" s="4"/>
      <c r="F332" s="4"/>
      <c r="G332" s="4"/>
      <c r="H332" s="4"/>
      <c r="I332" s="8"/>
      <c r="J332" s="4"/>
      <c r="K332" s="4"/>
    </row>
    <row r="333">
      <c r="A333" s="4"/>
      <c r="B333" s="4"/>
      <c r="C333" s="4"/>
      <c r="E333" s="4"/>
      <c r="F333" s="4"/>
      <c r="G333" s="4"/>
      <c r="H333" s="4"/>
      <c r="I333" s="8"/>
      <c r="J333" s="4"/>
      <c r="K333" s="4"/>
    </row>
    <row r="334">
      <c r="A334" s="4"/>
      <c r="B334" s="9"/>
      <c r="C334" s="4"/>
      <c r="E334" s="4"/>
      <c r="F334" s="4"/>
      <c r="G334" s="4"/>
      <c r="H334" s="4"/>
      <c r="I334" s="8"/>
      <c r="J334" s="4"/>
      <c r="K334" s="4"/>
    </row>
    <row r="335">
      <c r="A335" s="4"/>
      <c r="B335" s="4"/>
      <c r="C335" s="4"/>
      <c r="E335" s="4"/>
      <c r="F335" s="4"/>
      <c r="G335" s="4"/>
      <c r="H335" s="4"/>
      <c r="I335" s="8"/>
      <c r="J335" s="4"/>
      <c r="K335" s="4"/>
    </row>
    <row r="336">
      <c r="A336" s="4"/>
      <c r="B336" s="4"/>
      <c r="C336" s="4"/>
      <c r="E336" s="4"/>
      <c r="F336" s="4"/>
      <c r="G336" s="4"/>
      <c r="H336" s="4"/>
      <c r="I336" s="8"/>
      <c r="J336" s="4"/>
      <c r="K336" s="4"/>
    </row>
    <row r="337">
      <c r="A337" s="4"/>
      <c r="B337" s="4"/>
      <c r="C337" s="4"/>
      <c r="E337" s="4"/>
      <c r="F337" s="4"/>
      <c r="G337" s="4"/>
      <c r="H337" s="4"/>
      <c r="I337" s="8"/>
      <c r="J337" s="4"/>
      <c r="K337" s="4"/>
    </row>
    <row r="338">
      <c r="A338" s="4"/>
      <c r="B338" s="9"/>
      <c r="C338" s="4"/>
      <c r="D338" s="4"/>
      <c r="E338" s="4"/>
      <c r="F338" s="4"/>
      <c r="G338" s="4"/>
      <c r="H338" s="4"/>
      <c r="I338" s="8"/>
      <c r="J338" s="4"/>
      <c r="K338" s="4"/>
    </row>
    <row r="339">
      <c r="A339" s="4"/>
      <c r="B339" s="9"/>
      <c r="C339" s="4"/>
      <c r="D339" s="4"/>
      <c r="E339" s="4"/>
      <c r="F339" s="4"/>
      <c r="G339" s="4"/>
      <c r="H339" s="4"/>
      <c r="I339" s="8"/>
      <c r="J339" s="4"/>
      <c r="K339" s="4"/>
    </row>
    <row r="340">
      <c r="A340" s="4"/>
      <c r="B340" s="9"/>
      <c r="C340" s="4"/>
      <c r="D340" s="4"/>
      <c r="E340" s="4"/>
      <c r="F340" s="4"/>
      <c r="G340" s="4"/>
      <c r="H340" s="4"/>
      <c r="I340" s="8"/>
      <c r="J340" s="4"/>
      <c r="K340" s="4"/>
    </row>
    <row r="341">
      <c r="A341" s="4"/>
      <c r="B341" s="9"/>
      <c r="C341" s="4"/>
      <c r="D341" s="4"/>
      <c r="E341" s="4"/>
      <c r="F341" s="4"/>
      <c r="G341" s="4"/>
      <c r="H341" s="4"/>
      <c r="I341" s="8"/>
      <c r="J341" s="4"/>
      <c r="K341" s="4"/>
    </row>
    <row r="342">
      <c r="A342" s="4"/>
      <c r="B342" s="4"/>
      <c r="C342" s="4"/>
      <c r="D342" s="4"/>
      <c r="E342" s="4"/>
      <c r="F342" s="4"/>
      <c r="G342" s="4"/>
      <c r="H342" s="4"/>
      <c r="I342" s="8"/>
      <c r="J342" s="4"/>
      <c r="K342" s="4"/>
    </row>
    <row r="343">
      <c r="A343" s="4"/>
      <c r="B343" s="4"/>
      <c r="C343" s="4"/>
      <c r="D343" s="4"/>
      <c r="E343" s="4"/>
      <c r="F343" s="4"/>
      <c r="G343" s="4"/>
      <c r="H343" s="4"/>
      <c r="I343" s="8"/>
      <c r="J343" s="4"/>
      <c r="K343" s="4"/>
    </row>
    <row r="344">
      <c r="A344" s="4"/>
      <c r="B344" s="4"/>
      <c r="C344" s="4"/>
      <c r="D344" s="4"/>
      <c r="E344" s="4"/>
      <c r="F344" s="4"/>
      <c r="G344" s="4"/>
      <c r="H344" s="4"/>
      <c r="I344" s="8"/>
      <c r="J344" s="4"/>
      <c r="K344" s="4"/>
    </row>
    <row r="345">
      <c r="A345" s="4"/>
      <c r="B345" s="4"/>
      <c r="C345" s="4"/>
      <c r="D345" s="4"/>
      <c r="E345" s="4"/>
      <c r="F345" s="4"/>
      <c r="G345" s="4"/>
      <c r="H345" s="4"/>
      <c r="I345" s="8"/>
      <c r="J345" s="4"/>
      <c r="K345" s="4"/>
    </row>
    <row r="346">
      <c r="A346" s="4"/>
      <c r="B346" s="9"/>
      <c r="C346" s="4"/>
      <c r="E346" s="4"/>
      <c r="F346" s="4"/>
      <c r="G346" s="4"/>
      <c r="H346" s="4"/>
      <c r="I346" s="8"/>
      <c r="J346" s="4"/>
      <c r="K346" s="4"/>
    </row>
    <row r="347">
      <c r="A347" s="4"/>
      <c r="B347" s="9"/>
      <c r="C347" s="4"/>
      <c r="D347" s="4"/>
      <c r="E347" s="4"/>
      <c r="F347" s="4"/>
      <c r="G347" s="4"/>
      <c r="H347" s="4"/>
      <c r="I347" s="8"/>
      <c r="J347" s="4"/>
      <c r="K347" s="4"/>
    </row>
    <row r="348">
      <c r="A348" s="4"/>
      <c r="B348" s="9"/>
      <c r="C348" s="4"/>
      <c r="D348" s="4"/>
      <c r="E348" s="4"/>
      <c r="F348" s="4"/>
      <c r="G348" s="4"/>
      <c r="H348" s="4"/>
      <c r="J348" s="4"/>
      <c r="K348" s="4"/>
    </row>
    <row r="349">
      <c r="A349" s="4"/>
      <c r="B349" s="9"/>
      <c r="C349" s="4"/>
      <c r="D349" s="4"/>
      <c r="E349" s="4"/>
      <c r="F349" s="4"/>
      <c r="G349" s="4"/>
      <c r="H349" s="4"/>
      <c r="J349" s="4"/>
      <c r="K349" s="4"/>
    </row>
    <row r="350">
      <c r="A350" s="4"/>
      <c r="B350" s="9"/>
      <c r="C350" s="4"/>
      <c r="D350" s="4"/>
      <c r="E350" s="4"/>
      <c r="F350" s="4"/>
      <c r="G350" s="4"/>
      <c r="H350" s="4"/>
      <c r="J350" s="4"/>
      <c r="K350" s="4"/>
    </row>
    <row r="351">
      <c r="A351" s="4"/>
      <c r="B351" s="9"/>
      <c r="C351" s="4"/>
      <c r="D351" s="4"/>
      <c r="E351" s="4"/>
      <c r="F351" s="4"/>
      <c r="G351" s="4"/>
      <c r="H351" s="4"/>
      <c r="J351" s="4"/>
      <c r="K351" s="4"/>
    </row>
    <row r="352">
      <c r="A352" s="4"/>
      <c r="B352" s="9"/>
      <c r="C352" s="4"/>
      <c r="D352" s="4"/>
      <c r="E352" s="4"/>
      <c r="F352" s="4"/>
      <c r="G352" s="4"/>
      <c r="H352" s="4"/>
      <c r="J352" s="4"/>
      <c r="K352" s="4"/>
    </row>
    <row r="353">
      <c r="A353" s="4"/>
      <c r="B353" s="4"/>
      <c r="C353" s="4"/>
      <c r="D353" s="4"/>
      <c r="E353" s="4"/>
      <c r="F353" s="4"/>
      <c r="G353" s="4"/>
      <c r="H353" s="4"/>
      <c r="I353" s="8"/>
      <c r="J353" s="4"/>
      <c r="K353" s="4"/>
    </row>
    <row r="354">
      <c r="A354" s="4"/>
      <c r="B354" s="4"/>
      <c r="C354" s="4"/>
      <c r="D354" s="4"/>
      <c r="E354" s="4"/>
      <c r="F354" s="4"/>
      <c r="G354" s="4"/>
      <c r="H354" s="4"/>
      <c r="J354" s="4"/>
      <c r="K354" s="4"/>
    </row>
    <row r="355">
      <c r="A355" s="4"/>
      <c r="B355" s="4"/>
      <c r="C355" s="4"/>
      <c r="E355" s="4"/>
      <c r="F355" s="4"/>
      <c r="G355" s="4"/>
      <c r="H355" s="4"/>
      <c r="I355" s="8"/>
      <c r="J355" s="4"/>
      <c r="K355" s="4"/>
    </row>
    <row r="356">
      <c r="A356" s="4"/>
      <c r="B356" s="4"/>
      <c r="C356" s="4"/>
      <c r="E356" s="4"/>
      <c r="F356" s="4"/>
      <c r="G356" s="4"/>
      <c r="H356" s="4"/>
      <c r="I356" s="8"/>
      <c r="J356" s="4"/>
      <c r="K356" s="4"/>
    </row>
    <row r="357">
      <c r="A357" s="4"/>
      <c r="B357" s="9"/>
      <c r="C357" s="4"/>
      <c r="D357" s="4"/>
      <c r="E357" s="4"/>
      <c r="F357" s="4"/>
      <c r="G357" s="4"/>
      <c r="H357" s="4"/>
      <c r="I357" s="8"/>
      <c r="J357" s="4"/>
      <c r="K357" s="4"/>
    </row>
    <row r="358">
      <c r="A358" s="4"/>
      <c r="B358" s="4"/>
      <c r="C358" s="4"/>
      <c r="E358" s="4"/>
      <c r="F358" s="4"/>
      <c r="G358" s="4"/>
      <c r="H358" s="4"/>
      <c r="I358" s="8"/>
      <c r="J358" s="4"/>
      <c r="K358" s="4"/>
    </row>
    <row r="359">
      <c r="A359" s="4"/>
      <c r="B359" s="9"/>
      <c r="C359" s="4"/>
      <c r="E359" s="4"/>
      <c r="F359" s="4"/>
      <c r="G359" s="4"/>
      <c r="H359" s="4"/>
      <c r="I359" s="8"/>
      <c r="J359" s="4"/>
      <c r="K359" s="4"/>
    </row>
    <row r="360">
      <c r="A360" s="4"/>
      <c r="B360" s="4"/>
      <c r="C360" s="4"/>
      <c r="E360" s="4"/>
      <c r="F360" s="4"/>
      <c r="G360" s="4"/>
      <c r="H360" s="4"/>
      <c r="I360" s="8"/>
      <c r="J360" s="4"/>
      <c r="K360" s="4"/>
    </row>
    <row r="361">
      <c r="A361" s="4"/>
      <c r="B361" s="9"/>
      <c r="C361" s="4"/>
      <c r="E361" s="4"/>
      <c r="F361" s="4"/>
      <c r="G361" s="4"/>
      <c r="H361" s="4"/>
      <c r="I361" s="8"/>
      <c r="J361" s="4"/>
      <c r="K361" s="4"/>
    </row>
    <row r="362">
      <c r="A362" s="4"/>
      <c r="B362" s="9"/>
      <c r="C362" s="4"/>
      <c r="E362" s="4"/>
      <c r="F362" s="4"/>
      <c r="G362" s="4"/>
      <c r="H362" s="4"/>
      <c r="I362" s="8"/>
      <c r="J362" s="4"/>
      <c r="K362" s="4"/>
    </row>
    <row r="363">
      <c r="A363" s="4"/>
      <c r="B363" s="9"/>
      <c r="C363" s="4"/>
      <c r="E363" s="4"/>
      <c r="F363" s="4"/>
      <c r="G363" s="4"/>
      <c r="H363" s="4"/>
      <c r="I363" s="8"/>
      <c r="J363" s="4"/>
      <c r="K363" s="4"/>
    </row>
    <row r="364">
      <c r="A364" s="4"/>
      <c r="B364" s="9"/>
      <c r="C364" s="4"/>
      <c r="E364" s="4"/>
      <c r="F364" s="4"/>
      <c r="G364" s="4"/>
      <c r="H364" s="4"/>
      <c r="I364" s="8"/>
      <c r="J364" s="4"/>
      <c r="K364" s="4"/>
    </row>
    <row r="365">
      <c r="A365" s="4"/>
      <c r="B365" s="9"/>
      <c r="C365" s="4"/>
      <c r="E365" s="4"/>
      <c r="F365" s="4"/>
      <c r="G365" s="4"/>
      <c r="H365" s="4"/>
      <c r="I365" s="8"/>
      <c r="J365" s="4"/>
      <c r="K365" s="4"/>
    </row>
    <row r="366">
      <c r="A366" s="4"/>
      <c r="B366" s="9"/>
      <c r="C366" s="4"/>
      <c r="E366" s="4"/>
      <c r="F366" s="4"/>
      <c r="G366" s="4"/>
      <c r="H366" s="4"/>
      <c r="I366" s="8"/>
      <c r="J366" s="4"/>
      <c r="K366" s="4"/>
    </row>
    <row r="367">
      <c r="A367" s="4"/>
      <c r="B367" s="9"/>
      <c r="C367" s="4"/>
      <c r="E367" s="4"/>
      <c r="F367" s="4"/>
      <c r="G367" s="4"/>
      <c r="H367" s="4"/>
      <c r="I367" s="8"/>
      <c r="J367" s="4"/>
      <c r="K367" s="4"/>
    </row>
    <row r="368">
      <c r="A368" s="4"/>
      <c r="B368" s="9"/>
      <c r="C368" s="4"/>
      <c r="E368" s="4"/>
      <c r="F368" s="4"/>
      <c r="G368" s="4"/>
      <c r="H368" s="4"/>
      <c r="I368" s="8"/>
      <c r="J368" s="4"/>
      <c r="K368" s="4"/>
    </row>
    <row r="369">
      <c r="A369" s="4"/>
      <c r="B369" s="9"/>
      <c r="C369" s="4"/>
      <c r="E369" s="4"/>
      <c r="F369" s="4"/>
      <c r="G369" s="4"/>
      <c r="H369" s="4"/>
      <c r="I369" s="8"/>
      <c r="J369" s="4"/>
      <c r="K369" s="4"/>
    </row>
    <row r="370">
      <c r="A370" s="4"/>
      <c r="B370" s="9"/>
      <c r="C370" s="4"/>
      <c r="D370" s="4"/>
      <c r="E370" s="4"/>
      <c r="F370" s="4"/>
      <c r="G370" s="4"/>
      <c r="H370" s="4"/>
      <c r="I370" s="8"/>
      <c r="J370" s="4"/>
      <c r="K370" s="4"/>
    </row>
    <row r="371">
      <c r="A371" s="4"/>
      <c r="B371" s="4"/>
      <c r="C371" s="4"/>
      <c r="E371" s="4"/>
      <c r="F371" s="4"/>
      <c r="G371" s="4"/>
      <c r="H371" s="4"/>
      <c r="I371" s="8"/>
      <c r="J371" s="4"/>
      <c r="K371" s="4"/>
    </row>
    <row r="372">
      <c r="A372" s="4"/>
      <c r="B372" s="4"/>
      <c r="C372" s="4"/>
      <c r="E372" s="4"/>
      <c r="F372" s="4"/>
      <c r="G372" s="4"/>
      <c r="H372" s="4"/>
      <c r="I372" s="8"/>
      <c r="J372" s="4"/>
      <c r="K372" s="4"/>
    </row>
    <row r="373">
      <c r="A373" s="4"/>
      <c r="B373" s="4"/>
      <c r="C373" s="4"/>
      <c r="E373" s="4"/>
      <c r="F373" s="4"/>
      <c r="G373" s="4"/>
      <c r="H373" s="4"/>
      <c r="I373" s="8"/>
      <c r="J373" s="4"/>
      <c r="K373" s="4"/>
    </row>
    <row r="374">
      <c r="A374" s="4"/>
      <c r="B374" s="4"/>
      <c r="C374" s="4"/>
      <c r="D374" s="4"/>
      <c r="E374" s="4"/>
      <c r="F374" s="4"/>
      <c r="G374" s="4"/>
      <c r="H374" s="4"/>
      <c r="I374" s="8"/>
      <c r="J374" s="4"/>
      <c r="K374" s="4"/>
    </row>
    <row r="375">
      <c r="A375" s="4"/>
      <c r="B375" s="4"/>
      <c r="C375" s="4"/>
      <c r="D375" s="4"/>
      <c r="E375" s="4"/>
      <c r="F375" s="4"/>
      <c r="G375" s="4"/>
      <c r="H375" s="4"/>
      <c r="I375" s="8"/>
      <c r="J375" s="4"/>
      <c r="K375" s="4"/>
    </row>
    <row r="376">
      <c r="A376" s="4"/>
      <c r="B376" s="4"/>
      <c r="C376" s="4"/>
      <c r="D376" s="4"/>
      <c r="E376" s="4"/>
      <c r="F376" s="4"/>
      <c r="G376" s="4"/>
      <c r="H376" s="4"/>
      <c r="I376" s="8"/>
      <c r="J376" s="4"/>
      <c r="K376" s="4"/>
    </row>
    <row r="377">
      <c r="A377" s="4"/>
      <c r="B377" s="9"/>
      <c r="C377" s="4"/>
      <c r="D377" s="4"/>
      <c r="E377" s="4"/>
      <c r="F377" s="4"/>
      <c r="G377" s="4"/>
      <c r="H377" s="4"/>
      <c r="I377" s="8"/>
      <c r="J377" s="4"/>
      <c r="K377" s="4"/>
    </row>
    <row r="378">
      <c r="A378" s="4"/>
      <c r="B378" s="9"/>
      <c r="C378" s="4"/>
      <c r="E378" s="4"/>
      <c r="F378" s="4"/>
      <c r="G378" s="4"/>
      <c r="H378" s="4"/>
      <c r="I378" s="8"/>
      <c r="J378" s="4"/>
      <c r="K378" s="4"/>
    </row>
    <row r="379">
      <c r="A379" s="4"/>
      <c r="B379" s="9"/>
      <c r="C379" s="4"/>
      <c r="D379" s="4"/>
      <c r="E379" s="4"/>
      <c r="F379" s="4"/>
      <c r="G379" s="4"/>
      <c r="H379" s="4"/>
      <c r="I379" s="8"/>
      <c r="J379" s="4"/>
      <c r="K379" s="4"/>
    </row>
    <row r="380">
      <c r="A380" s="4"/>
      <c r="B380" s="9"/>
      <c r="C380" s="4"/>
      <c r="D380" s="4"/>
      <c r="E380" s="4"/>
      <c r="F380" s="4"/>
      <c r="G380" s="4"/>
      <c r="H380" s="4"/>
      <c r="I380" s="8"/>
      <c r="J380" s="4"/>
      <c r="K380" s="4"/>
    </row>
    <row r="381">
      <c r="A381" s="4"/>
      <c r="B381" s="4"/>
      <c r="C381" s="4"/>
      <c r="E381" s="4"/>
      <c r="F381" s="4"/>
      <c r="G381" s="4"/>
      <c r="H381" s="4"/>
      <c r="I381" s="8"/>
      <c r="J381" s="4"/>
      <c r="K381" s="4"/>
    </row>
    <row r="382">
      <c r="A382" s="4"/>
      <c r="B382" s="4"/>
      <c r="C382" s="4"/>
      <c r="E382" s="4"/>
      <c r="F382" s="4"/>
      <c r="G382" s="4"/>
      <c r="H382" s="4"/>
      <c r="I382" s="8"/>
      <c r="J382" s="4"/>
      <c r="K382" s="4"/>
    </row>
    <row r="383">
      <c r="A383" s="4"/>
      <c r="B383" s="4"/>
      <c r="C383" s="4"/>
      <c r="E383" s="4"/>
      <c r="F383" s="4"/>
      <c r="G383" s="4"/>
      <c r="H383" s="4"/>
      <c r="I383" s="8"/>
      <c r="J383" s="4"/>
      <c r="K383" s="4"/>
    </row>
    <row r="384">
      <c r="A384" s="4"/>
      <c r="B384" s="4"/>
      <c r="C384" s="4"/>
      <c r="E384" s="4"/>
      <c r="F384" s="4"/>
      <c r="G384" s="4"/>
      <c r="H384" s="4"/>
      <c r="J384" s="4"/>
      <c r="K384" s="4"/>
    </row>
    <row r="385">
      <c r="A385" s="4"/>
      <c r="B385" s="4"/>
      <c r="C385" s="4"/>
      <c r="E385" s="4"/>
      <c r="F385" s="4"/>
      <c r="G385" s="4"/>
      <c r="H385" s="4"/>
      <c r="I385" s="8"/>
      <c r="J385" s="4"/>
      <c r="K385" s="4"/>
    </row>
    <row r="386">
      <c r="A386" s="4"/>
      <c r="B386" s="4"/>
      <c r="C386" s="4"/>
      <c r="E386" s="4"/>
      <c r="F386" s="4"/>
      <c r="G386" s="4"/>
      <c r="H386" s="4"/>
      <c r="J386" s="4"/>
      <c r="K386" s="4"/>
    </row>
    <row r="387">
      <c r="A387" s="4"/>
      <c r="B387" s="9"/>
      <c r="C387" s="4"/>
      <c r="E387" s="4"/>
      <c r="F387" s="4"/>
      <c r="G387" s="4"/>
      <c r="H387" s="4"/>
      <c r="I387" s="8"/>
      <c r="J387" s="4"/>
      <c r="K387" s="4"/>
    </row>
    <row r="388">
      <c r="A388" s="4"/>
      <c r="B388" s="9"/>
      <c r="C388" s="4"/>
      <c r="E388" s="4"/>
      <c r="F388" s="4"/>
      <c r="G388" s="4"/>
      <c r="H388" s="4"/>
      <c r="I388" s="8"/>
      <c r="J388" s="4"/>
      <c r="K388" s="4"/>
    </row>
    <row r="389">
      <c r="A389" s="4"/>
      <c r="B389" s="9"/>
      <c r="C389" s="4"/>
      <c r="E389" s="4"/>
      <c r="F389" s="4"/>
      <c r="G389" s="4"/>
      <c r="H389" s="4"/>
      <c r="I389" s="8"/>
      <c r="J389" s="4"/>
      <c r="K389" s="4"/>
    </row>
    <row r="390">
      <c r="A390" s="4"/>
      <c r="B390" s="4"/>
      <c r="C390" s="4"/>
      <c r="E390" s="4"/>
      <c r="F390" s="4"/>
      <c r="G390" s="4"/>
      <c r="H390" s="4"/>
      <c r="I390" s="8"/>
      <c r="J390" s="4"/>
      <c r="K390" s="4"/>
    </row>
    <row r="391">
      <c r="A391" s="4"/>
      <c r="B391" s="4"/>
      <c r="C391" s="4"/>
      <c r="E391" s="4"/>
      <c r="F391" s="4"/>
      <c r="G391" s="4"/>
      <c r="H391" s="4"/>
      <c r="J391" s="4"/>
      <c r="K391" s="4"/>
    </row>
    <row r="392">
      <c r="A392" s="4"/>
      <c r="B392" s="9"/>
      <c r="C392" s="4"/>
      <c r="E392" s="4"/>
      <c r="F392" s="4"/>
      <c r="G392" s="4"/>
      <c r="H392" s="4"/>
      <c r="I392" s="8"/>
      <c r="J392" s="4"/>
      <c r="K392" s="4"/>
    </row>
    <row r="393">
      <c r="A393" s="4"/>
      <c r="B393" s="4"/>
      <c r="C393" s="4"/>
      <c r="E393" s="4"/>
      <c r="F393" s="4"/>
      <c r="G393" s="4"/>
      <c r="H393" s="4"/>
      <c r="I393" s="8"/>
      <c r="J393" s="4"/>
      <c r="K393" s="4"/>
    </row>
    <row r="394">
      <c r="A394" s="4"/>
      <c r="B394" s="9"/>
      <c r="C394" s="4"/>
      <c r="E394" s="4"/>
      <c r="F394" s="4"/>
      <c r="G394" s="4"/>
      <c r="H394" s="4"/>
      <c r="J394" s="4"/>
      <c r="K394" s="4"/>
    </row>
    <row r="395">
      <c r="A395" s="4"/>
      <c r="B395" s="9"/>
      <c r="C395" s="4"/>
      <c r="E395" s="4"/>
      <c r="F395" s="4"/>
      <c r="G395" s="4"/>
      <c r="H395" s="4"/>
      <c r="J395" s="4"/>
      <c r="K395" s="4"/>
    </row>
    <row r="396">
      <c r="A396" s="4"/>
      <c r="B396" s="9"/>
      <c r="C396" s="4"/>
      <c r="E396" s="4"/>
      <c r="F396" s="4"/>
      <c r="G396" s="4"/>
      <c r="H396" s="4"/>
      <c r="J396" s="4"/>
      <c r="K396" s="4"/>
    </row>
    <row r="397">
      <c r="A397" s="4"/>
      <c r="B397" s="9"/>
      <c r="C397" s="4"/>
      <c r="E397" s="4"/>
      <c r="F397" s="4"/>
      <c r="G397" s="4"/>
      <c r="H397" s="4"/>
      <c r="J397" s="4"/>
      <c r="K397" s="4"/>
    </row>
    <row r="398">
      <c r="A398" s="4"/>
      <c r="B398" s="9"/>
      <c r="C398" s="4"/>
      <c r="E398" s="4"/>
      <c r="F398" s="4"/>
      <c r="G398" s="4"/>
      <c r="H398" s="4"/>
      <c r="I398" s="8"/>
      <c r="J398" s="4"/>
      <c r="K398" s="4"/>
    </row>
    <row r="399">
      <c r="A399" s="4"/>
      <c r="B399" s="4"/>
      <c r="C399" s="4"/>
      <c r="D399" s="4"/>
      <c r="E399" s="4"/>
      <c r="F399" s="4"/>
      <c r="G399" s="4"/>
      <c r="H399" s="4"/>
      <c r="I399" s="8"/>
      <c r="J399" s="4"/>
      <c r="K399" s="4"/>
    </row>
    <row r="400">
      <c r="A400" s="4"/>
      <c r="B400" s="4"/>
      <c r="C400" s="4"/>
      <c r="D400" s="4"/>
      <c r="E400" s="4"/>
      <c r="F400" s="4"/>
      <c r="G400" s="4"/>
      <c r="H400" s="4"/>
      <c r="I400" s="8"/>
      <c r="J400" s="4"/>
      <c r="K400" s="4"/>
    </row>
    <row r="401">
      <c r="A401" s="4"/>
      <c r="B401" s="4"/>
      <c r="C401" s="4"/>
      <c r="D401" s="4"/>
      <c r="E401" s="4"/>
      <c r="F401" s="4"/>
      <c r="G401" s="4"/>
      <c r="H401" s="4"/>
      <c r="I401" s="8"/>
      <c r="J401" s="4"/>
      <c r="K401" s="4"/>
    </row>
    <row r="402">
      <c r="A402" s="4"/>
      <c r="B402" s="4"/>
      <c r="C402" s="4"/>
      <c r="D402" s="4"/>
      <c r="E402" s="4"/>
      <c r="F402" s="4"/>
      <c r="G402" s="4"/>
      <c r="H402" s="4"/>
      <c r="I402" s="8"/>
      <c r="J402" s="4"/>
      <c r="K402" s="4"/>
    </row>
    <row r="403">
      <c r="A403" s="4"/>
      <c r="B403" s="4"/>
      <c r="C403" s="4"/>
      <c r="D403" s="4"/>
      <c r="E403" s="4"/>
      <c r="F403" s="4"/>
      <c r="G403" s="4"/>
      <c r="H403" s="4"/>
      <c r="I403" s="8"/>
      <c r="J403" s="4"/>
      <c r="K403" s="4"/>
    </row>
    <row r="404">
      <c r="A404" s="4"/>
      <c r="B404" s="4"/>
      <c r="C404" s="4"/>
      <c r="D404" s="4"/>
      <c r="E404" s="4"/>
      <c r="F404" s="4"/>
      <c r="G404" s="4"/>
      <c r="H404" s="4"/>
      <c r="I404" s="8"/>
      <c r="J404" s="4"/>
      <c r="K404" s="4"/>
    </row>
    <row r="405">
      <c r="A405" s="4"/>
      <c r="B405" s="4"/>
      <c r="C405" s="4"/>
      <c r="D405" s="4"/>
      <c r="E405" s="4"/>
      <c r="F405" s="4"/>
      <c r="G405" s="4"/>
      <c r="H405" s="4"/>
      <c r="I405" s="8"/>
      <c r="J405" s="4"/>
      <c r="K405" s="4"/>
    </row>
    <row r="406">
      <c r="A406" s="4"/>
      <c r="B406" s="9"/>
      <c r="C406" s="4"/>
      <c r="D406" s="4"/>
      <c r="E406" s="4"/>
      <c r="F406" s="4"/>
      <c r="G406" s="4"/>
      <c r="H406" s="4"/>
      <c r="I406" s="8"/>
      <c r="J406" s="4"/>
      <c r="K406" s="4"/>
    </row>
    <row r="407">
      <c r="A407" s="4"/>
      <c r="B407" s="9"/>
      <c r="C407" s="4"/>
      <c r="D407" s="4"/>
      <c r="E407" s="4"/>
      <c r="F407" s="4"/>
      <c r="G407" s="4"/>
      <c r="H407" s="4"/>
      <c r="I407" s="8"/>
      <c r="J407" s="4"/>
      <c r="K407" s="4"/>
    </row>
    <row r="408">
      <c r="A408" s="4"/>
      <c r="B408" s="9"/>
      <c r="C408" s="4"/>
      <c r="D408" s="4"/>
      <c r="E408" s="4"/>
      <c r="F408" s="4"/>
      <c r="G408" s="4"/>
      <c r="H408" s="4"/>
      <c r="I408" s="8"/>
      <c r="J408" s="4"/>
      <c r="K408" s="4"/>
    </row>
    <row r="409">
      <c r="A409" s="4"/>
      <c r="B409" s="9"/>
      <c r="C409" s="4"/>
      <c r="D409" s="4"/>
      <c r="E409" s="4"/>
      <c r="F409" s="4"/>
      <c r="G409" s="4"/>
      <c r="H409" s="4"/>
      <c r="I409" s="8"/>
      <c r="J409" s="4"/>
      <c r="K409" s="4"/>
    </row>
    <row r="410">
      <c r="A410" s="4"/>
      <c r="B410" s="9"/>
      <c r="C410" s="4"/>
      <c r="D410" s="4"/>
      <c r="E410" s="4"/>
      <c r="F410" s="4"/>
      <c r="G410" s="4"/>
      <c r="H410" s="4"/>
      <c r="I410" s="8"/>
      <c r="J410" s="4"/>
      <c r="K410" s="4"/>
    </row>
    <row r="411">
      <c r="A411" s="4"/>
      <c r="B411" s="9"/>
      <c r="C411" s="4"/>
      <c r="D411" s="4"/>
      <c r="E411" s="4"/>
      <c r="F411" s="4"/>
      <c r="G411" s="4"/>
      <c r="H411" s="4"/>
      <c r="I411" s="8"/>
      <c r="J411" s="4"/>
      <c r="K411" s="4"/>
    </row>
    <row r="412">
      <c r="A412" s="4"/>
      <c r="B412" s="9"/>
      <c r="C412" s="4"/>
      <c r="D412" s="4"/>
      <c r="E412" s="4"/>
      <c r="F412" s="4"/>
      <c r="G412" s="4"/>
      <c r="H412" s="4"/>
      <c r="I412" s="8"/>
      <c r="J412" s="4"/>
      <c r="K412" s="4"/>
    </row>
    <row r="413">
      <c r="A413" s="4"/>
      <c r="B413" s="9"/>
      <c r="C413" s="4"/>
      <c r="D413" s="4"/>
      <c r="E413" s="4"/>
      <c r="F413" s="4"/>
      <c r="G413" s="4"/>
      <c r="H413" s="4"/>
      <c r="I413" s="8"/>
      <c r="J413" s="4"/>
      <c r="K413" s="4"/>
    </row>
    <row r="414">
      <c r="A414" s="4"/>
      <c r="B414" s="4"/>
      <c r="C414" s="4"/>
      <c r="D414" s="4"/>
      <c r="E414" s="4"/>
      <c r="F414" s="4"/>
      <c r="G414" s="4"/>
      <c r="H414" s="4"/>
      <c r="I414" s="8"/>
      <c r="J414" s="4"/>
      <c r="K414" s="4"/>
    </row>
    <row r="415">
      <c r="A415" s="4"/>
      <c r="B415" s="4"/>
      <c r="C415" s="4"/>
      <c r="D415" s="4"/>
      <c r="E415" s="4"/>
      <c r="F415" s="4"/>
      <c r="G415" s="4"/>
      <c r="H415" s="4"/>
      <c r="I415" s="8"/>
      <c r="J415" s="4"/>
      <c r="K415" s="4"/>
    </row>
    <row r="416">
      <c r="A416" s="4"/>
      <c r="B416" s="4"/>
      <c r="C416" s="4"/>
      <c r="D416" s="4"/>
      <c r="E416" s="4"/>
      <c r="F416" s="4"/>
      <c r="G416" s="4"/>
      <c r="H416" s="4"/>
      <c r="I416" s="8"/>
      <c r="J416" s="4"/>
      <c r="K416" s="4"/>
    </row>
    <row r="417">
      <c r="A417" s="4"/>
      <c r="B417" s="4"/>
      <c r="C417" s="4"/>
      <c r="D417" s="4"/>
      <c r="E417" s="4"/>
      <c r="F417" s="4"/>
      <c r="G417" s="4"/>
      <c r="H417" s="4"/>
      <c r="I417" s="8"/>
      <c r="J417" s="4"/>
      <c r="K417" s="4"/>
    </row>
    <row r="418">
      <c r="A418" s="4"/>
      <c r="B418" s="9"/>
      <c r="C418" s="4"/>
      <c r="E418" s="4"/>
      <c r="F418" s="4"/>
      <c r="G418" s="4"/>
      <c r="H418" s="4"/>
      <c r="I418" s="8"/>
      <c r="J418" s="4"/>
      <c r="K418" s="4"/>
    </row>
    <row r="419">
      <c r="A419" s="4"/>
      <c r="B419" s="9"/>
      <c r="C419" s="4"/>
      <c r="D419" s="4"/>
      <c r="E419" s="4"/>
      <c r="F419" s="4"/>
      <c r="G419" s="4"/>
      <c r="H419" s="4"/>
      <c r="I419" s="8"/>
      <c r="J419" s="4"/>
      <c r="K419" s="4"/>
    </row>
    <row r="420">
      <c r="A420" s="4"/>
      <c r="B420" s="9"/>
      <c r="C420" s="4"/>
      <c r="E420" s="4"/>
      <c r="F420" s="4"/>
      <c r="G420" s="4"/>
      <c r="H420" s="4"/>
      <c r="I420" s="8"/>
      <c r="J420" s="4"/>
      <c r="K420" s="4"/>
    </row>
    <row r="421">
      <c r="A421" s="4"/>
      <c r="B421" s="9"/>
      <c r="C421" s="4"/>
      <c r="E421" s="4"/>
      <c r="F421" s="4"/>
      <c r="G421" s="4"/>
      <c r="H421" s="4"/>
      <c r="I421" s="8"/>
      <c r="J421" s="4"/>
      <c r="K421" s="4"/>
    </row>
    <row r="422">
      <c r="A422" s="4"/>
      <c r="B422" s="9"/>
      <c r="C422" s="4"/>
      <c r="E422" s="4"/>
      <c r="F422" s="4"/>
      <c r="G422" s="4"/>
      <c r="H422" s="4"/>
      <c r="I422" s="8"/>
      <c r="J422" s="4"/>
      <c r="K422" s="4"/>
    </row>
    <row r="423">
      <c r="A423" s="4"/>
      <c r="B423" s="9"/>
      <c r="C423" s="4"/>
      <c r="E423" s="4"/>
      <c r="F423" s="4"/>
      <c r="G423" s="4"/>
      <c r="H423" s="4"/>
      <c r="I423" s="8"/>
      <c r="J423" s="4"/>
      <c r="K423" s="4"/>
    </row>
    <row r="424">
      <c r="A424" s="4"/>
      <c r="B424" s="9"/>
      <c r="C424" s="4"/>
      <c r="D424" s="4"/>
      <c r="E424" s="4"/>
      <c r="F424" s="4"/>
      <c r="G424" s="4"/>
      <c r="H424" s="4"/>
      <c r="I424" s="8"/>
      <c r="J424" s="4"/>
      <c r="K424" s="4"/>
    </row>
    <row r="425">
      <c r="A425" s="4"/>
      <c r="B425" s="9"/>
      <c r="C425" s="4"/>
      <c r="D425" s="4"/>
      <c r="E425" s="4"/>
      <c r="F425" s="4"/>
      <c r="G425" s="4"/>
      <c r="H425" s="4"/>
      <c r="I425" s="8"/>
      <c r="J425" s="4"/>
      <c r="K425" s="4"/>
    </row>
    <row r="426">
      <c r="A426" s="4"/>
      <c r="B426" s="9"/>
      <c r="C426" s="4"/>
      <c r="E426" s="4"/>
      <c r="F426" s="4"/>
      <c r="G426" s="4"/>
      <c r="H426" s="4"/>
      <c r="I426" s="8"/>
      <c r="J426" s="4"/>
      <c r="K426" s="4"/>
    </row>
    <row r="427">
      <c r="A427" s="4"/>
      <c r="B427" s="9"/>
      <c r="C427" s="4"/>
      <c r="E427" s="4"/>
      <c r="F427" s="4"/>
      <c r="G427" s="4"/>
      <c r="H427" s="4"/>
      <c r="I427" s="8"/>
      <c r="J427" s="4"/>
      <c r="K427" s="4"/>
    </row>
    <row r="428">
      <c r="A428" s="4"/>
      <c r="B428" s="4"/>
      <c r="C428" s="4"/>
      <c r="E428" s="4"/>
      <c r="F428" s="4"/>
      <c r="G428" s="4"/>
      <c r="H428" s="4"/>
      <c r="I428" s="8"/>
      <c r="J428" s="4"/>
      <c r="K428" s="4"/>
    </row>
    <row r="429">
      <c r="A429" s="4"/>
      <c r="B429" s="4"/>
      <c r="C429" s="4"/>
      <c r="E429" s="4"/>
      <c r="F429" s="4"/>
      <c r="G429" s="4"/>
      <c r="H429" s="4"/>
      <c r="I429" s="8"/>
      <c r="J429" s="4"/>
      <c r="K429" s="4"/>
    </row>
    <row r="430">
      <c r="A430" s="4"/>
      <c r="B430" s="4"/>
      <c r="C430" s="4"/>
      <c r="E430" s="4"/>
      <c r="F430" s="4"/>
      <c r="G430" s="4"/>
      <c r="H430" s="4"/>
      <c r="I430" s="8"/>
      <c r="J430" s="4"/>
      <c r="K430" s="4"/>
    </row>
    <row r="431">
      <c r="A431" s="4"/>
      <c r="B431" s="4"/>
      <c r="C431" s="4"/>
      <c r="E431" s="4"/>
      <c r="F431" s="4"/>
      <c r="G431" s="4"/>
      <c r="H431" s="4"/>
      <c r="I431" s="8"/>
      <c r="J431" s="4"/>
      <c r="K431" s="4"/>
    </row>
    <row r="432">
      <c r="A432" s="4"/>
      <c r="B432" s="4"/>
      <c r="C432" s="4"/>
      <c r="E432" s="4"/>
      <c r="F432" s="4"/>
      <c r="G432" s="4"/>
      <c r="H432" s="4"/>
      <c r="I432" s="8"/>
      <c r="J432" s="4"/>
      <c r="K432" s="4"/>
    </row>
    <row r="433">
      <c r="A433" s="4"/>
      <c r="B433" s="4"/>
      <c r="C433" s="4"/>
      <c r="E433" s="4"/>
      <c r="F433" s="4"/>
      <c r="G433" s="4"/>
      <c r="H433" s="4"/>
      <c r="I433" s="8"/>
      <c r="J433" s="4"/>
      <c r="K433" s="4"/>
    </row>
    <row r="434">
      <c r="A434" s="4"/>
      <c r="B434" s="4"/>
      <c r="C434" s="4"/>
      <c r="E434" s="4"/>
      <c r="F434" s="4"/>
      <c r="G434" s="4"/>
      <c r="H434" s="4"/>
      <c r="I434" s="8"/>
      <c r="J434" s="4"/>
      <c r="K434" s="4"/>
    </row>
    <row r="435">
      <c r="A435" s="4"/>
      <c r="B435" s="9"/>
      <c r="C435" s="4"/>
      <c r="D435" s="4"/>
      <c r="E435" s="4"/>
      <c r="F435" s="4"/>
      <c r="G435" s="4"/>
      <c r="H435" s="4"/>
      <c r="I435" s="8"/>
      <c r="J435" s="4"/>
      <c r="K435" s="4"/>
    </row>
    <row r="436">
      <c r="A436" s="4"/>
      <c r="B436" s="9"/>
      <c r="C436" s="4"/>
      <c r="D436" s="4"/>
      <c r="E436" s="4"/>
      <c r="F436" s="4"/>
      <c r="G436" s="4"/>
      <c r="H436" s="4"/>
      <c r="I436" s="8"/>
      <c r="J436" s="4"/>
      <c r="K436" s="4"/>
    </row>
    <row r="437">
      <c r="A437" s="4"/>
      <c r="B437" s="9"/>
      <c r="C437" s="4"/>
      <c r="D437" s="4"/>
      <c r="E437" s="4"/>
      <c r="F437" s="4"/>
      <c r="G437" s="4"/>
      <c r="H437" s="4"/>
      <c r="I437" s="8"/>
      <c r="J437" s="4"/>
      <c r="K437" s="4"/>
    </row>
    <row r="438">
      <c r="A438" s="4"/>
      <c r="B438" s="9"/>
      <c r="C438" s="4"/>
      <c r="D438" s="4"/>
      <c r="E438" s="4"/>
      <c r="F438" s="4"/>
      <c r="G438" s="4"/>
      <c r="H438" s="4"/>
      <c r="I438" s="8"/>
      <c r="J438" s="4"/>
      <c r="K438" s="4"/>
    </row>
    <row r="439">
      <c r="A439" s="4"/>
      <c r="B439" s="9"/>
      <c r="C439" s="4"/>
      <c r="D439" s="4"/>
      <c r="E439" s="4"/>
      <c r="F439" s="4"/>
      <c r="G439" s="4"/>
      <c r="H439" s="4"/>
      <c r="I439" s="8"/>
      <c r="J439" s="4"/>
      <c r="K439" s="4"/>
    </row>
    <row r="440">
      <c r="A440" s="4"/>
      <c r="B440" s="9"/>
      <c r="C440" s="4"/>
      <c r="D440" s="4"/>
      <c r="E440" s="4"/>
      <c r="F440" s="4"/>
      <c r="G440" s="4"/>
      <c r="H440" s="4"/>
      <c r="I440" s="8"/>
      <c r="J440" s="4"/>
      <c r="K440" s="4"/>
    </row>
    <row r="441">
      <c r="A441" s="4"/>
      <c r="B441" s="9"/>
      <c r="C441" s="4"/>
      <c r="E441" s="4"/>
      <c r="F441" s="4"/>
      <c r="G441" s="4"/>
      <c r="H441" s="4"/>
      <c r="I441" s="8"/>
      <c r="J441" s="4"/>
      <c r="K441" s="4"/>
    </row>
    <row r="442">
      <c r="A442" s="4"/>
      <c r="B442" s="4"/>
      <c r="C442" s="4"/>
      <c r="E442" s="4"/>
      <c r="F442" s="4"/>
      <c r="G442" s="4"/>
      <c r="H442" s="4"/>
      <c r="I442" s="8"/>
      <c r="J442" s="4"/>
      <c r="K442" s="4"/>
    </row>
    <row r="443">
      <c r="A443" s="4"/>
      <c r="B443" s="9"/>
      <c r="C443" s="4"/>
      <c r="E443" s="4"/>
      <c r="F443" s="4"/>
      <c r="G443" s="4"/>
      <c r="H443" s="4"/>
      <c r="I443" s="8"/>
      <c r="J443" s="4"/>
      <c r="K443" s="4"/>
    </row>
    <row r="444">
      <c r="A444" s="4"/>
      <c r="B444" s="4"/>
      <c r="C444" s="4"/>
      <c r="D444" s="4"/>
      <c r="E444" s="4"/>
      <c r="F444" s="4"/>
      <c r="G444" s="4"/>
      <c r="H444" s="4"/>
      <c r="I444" s="8"/>
      <c r="J444" s="4"/>
      <c r="K444" s="4"/>
    </row>
    <row r="445">
      <c r="A445" s="4"/>
      <c r="B445" s="4"/>
      <c r="C445" s="4"/>
      <c r="D445" s="4"/>
      <c r="E445" s="4"/>
      <c r="F445" s="4"/>
      <c r="G445" s="4"/>
      <c r="H445" s="4"/>
      <c r="I445" s="8"/>
      <c r="J445" s="4"/>
      <c r="K445" s="4"/>
    </row>
    <row r="446">
      <c r="A446" s="4"/>
      <c r="B446" s="4"/>
      <c r="C446" s="4"/>
      <c r="D446" s="4"/>
      <c r="E446" s="4"/>
      <c r="F446" s="4"/>
      <c r="G446" s="4"/>
      <c r="H446" s="4"/>
      <c r="I446" s="8"/>
      <c r="J446" s="4"/>
      <c r="K446" s="4"/>
    </row>
    <row r="447">
      <c r="A447" s="4"/>
      <c r="B447" s="4"/>
      <c r="C447" s="4"/>
      <c r="D447" s="4"/>
      <c r="E447" s="4"/>
      <c r="F447" s="4"/>
      <c r="G447" s="4"/>
      <c r="H447" s="4"/>
      <c r="I447" s="8"/>
      <c r="J447" s="4"/>
      <c r="K447" s="4"/>
    </row>
    <row r="448">
      <c r="A448" s="4"/>
      <c r="B448" s="4"/>
      <c r="C448" s="4"/>
      <c r="D448" s="4"/>
      <c r="E448" s="4"/>
      <c r="F448" s="4"/>
      <c r="G448" s="4"/>
      <c r="H448" s="4"/>
      <c r="I448" s="8"/>
      <c r="J448" s="4"/>
      <c r="K448" s="4"/>
    </row>
    <row r="449">
      <c r="A449" s="4"/>
      <c r="B449" s="9"/>
      <c r="C449" s="4"/>
      <c r="E449" s="4"/>
      <c r="F449" s="4"/>
      <c r="G449" s="4"/>
      <c r="H449" s="4"/>
      <c r="I449" s="8"/>
      <c r="J449" s="4"/>
      <c r="K449" s="4"/>
    </row>
    <row r="450">
      <c r="A450" s="4"/>
      <c r="B450" s="4"/>
      <c r="C450" s="4"/>
      <c r="D450" s="4"/>
      <c r="E450" s="4"/>
      <c r="F450" s="4"/>
      <c r="G450" s="4"/>
      <c r="H450" s="4"/>
      <c r="I450" s="8"/>
      <c r="J450" s="4"/>
      <c r="K450" s="4"/>
    </row>
    <row r="451">
      <c r="A451" s="4"/>
      <c r="B451" s="4"/>
      <c r="C451" s="4"/>
      <c r="D451" s="4"/>
      <c r="E451" s="4"/>
      <c r="F451" s="4"/>
      <c r="G451" s="4"/>
      <c r="H451" s="4"/>
      <c r="I451" s="8"/>
      <c r="J451" s="4"/>
      <c r="K451" s="4"/>
    </row>
    <row r="452">
      <c r="A452" s="4"/>
      <c r="B452" s="4"/>
      <c r="C452" s="4"/>
      <c r="D452" s="4"/>
      <c r="E452" s="4"/>
      <c r="F452" s="4"/>
      <c r="G452" s="4"/>
      <c r="H452" s="4"/>
      <c r="I452" s="8"/>
      <c r="J452" s="4"/>
      <c r="K452" s="4"/>
    </row>
    <row r="453">
      <c r="A453" s="4"/>
      <c r="B453" s="4"/>
      <c r="C453" s="4"/>
      <c r="D453" s="4"/>
      <c r="E453" s="4"/>
      <c r="F453" s="4"/>
      <c r="G453" s="4"/>
      <c r="H453" s="4"/>
      <c r="I453" s="8"/>
      <c r="J453" s="4"/>
      <c r="K453" s="4"/>
    </row>
    <row r="454">
      <c r="A454" s="4"/>
      <c r="B454" s="4"/>
      <c r="C454" s="4"/>
      <c r="D454" s="4"/>
      <c r="E454" s="4"/>
      <c r="F454" s="4"/>
      <c r="G454" s="4"/>
      <c r="H454" s="4"/>
      <c r="I454" s="8"/>
      <c r="J454" s="4"/>
      <c r="K454" s="4"/>
    </row>
    <row r="455">
      <c r="A455" s="4"/>
      <c r="B455" s="4"/>
      <c r="C455" s="4"/>
      <c r="D455" s="4"/>
      <c r="E455" s="4"/>
      <c r="F455" s="4"/>
      <c r="G455" s="4"/>
      <c r="H455" s="4"/>
      <c r="I455" s="8"/>
      <c r="J455" s="4"/>
      <c r="K455" s="4"/>
    </row>
    <row r="456">
      <c r="A456" s="4"/>
      <c r="B456" s="4"/>
      <c r="C456" s="4"/>
      <c r="D456" s="4"/>
      <c r="E456" s="4"/>
      <c r="F456" s="4"/>
      <c r="G456" s="4"/>
      <c r="H456" s="4"/>
      <c r="I456" s="8"/>
      <c r="J456" s="4"/>
      <c r="K456" s="4"/>
    </row>
    <row r="457">
      <c r="A457" s="4"/>
      <c r="B457" s="4"/>
      <c r="C457" s="4"/>
      <c r="D457" s="4"/>
      <c r="E457" s="4"/>
      <c r="F457" s="4"/>
      <c r="G457" s="4"/>
      <c r="H457" s="4"/>
      <c r="I457" s="8"/>
      <c r="J457" s="4"/>
      <c r="K457" s="4"/>
    </row>
    <row r="458">
      <c r="A458" s="4"/>
      <c r="B458" s="9"/>
      <c r="C458" s="4"/>
      <c r="E458" s="4"/>
      <c r="F458" s="4"/>
      <c r="G458" s="4"/>
      <c r="H458" s="4"/>
      <c r="I458" s="8"/>
      <c r="J458" s="4"/>
      <c r="K458" s="4"/>
    </row>
    <row r="459">
      <c r="A459" s="4"/>
      <c r="B459" s="9"/>
      <c r="C459" s="4"/>
      <c r="E459" s="4"/>
      <c r="F459" s="4"/>
      <c r="G459" s="4"/>
      <c r="H459" s="4"/>
      <c r="I459" s="8"/>
      <c r="J459" s="4"/>
      <c r="K459" s="4"/>
    </row>
    <row r="460">
      <c r="A460" s="4"/>
      <c r="B460" s="9"/>
      <c r="C460" s="4"/>
      <c r="E460" s="4"/>
      <c r="F460" s="4"/>
      <c r="G460" s="4"/>
      <c r="H460" s="4"/>
      <c r="I460" s="8"/>
      <c r="J460" s="4"/>
      <c r="K460" s="4"/>
    </row>
    <row r="461">
      <c r="A461" s="4"/>
      <c r="B461" s="9"/>
      <c r="C461" s="4"/>
      <c r="E461" s="4"/>
      <c r="F461" s="4"/>
      <c r="G461" s="4"/>
      <c r="H461" s="4"/>
      <c r="I461" s="8"/>
      <c r="J461" s="4"/>
      <c r="K461" s="4"/>
    </row>
    <row r="462">
      <c r="A462" s="4"/>
      <c r="B462" s="9"/>
      <c r="C462" s="4"/>
      <c r="D462" s="4"/>
      <c r="E462" s="4"/>
      <c r="F462" s="4"/>
      <c r="G462" s="4"/>
      <c r="H462" s="4"/>
      <c r="I462" s="8"/>
      <c r="J462" s="4"/>
      <c r="K462" s="4"/>
    </row>
    <row r="463">
      <c r="A463" s="4"/>
      <c r="B463" s="9"/>
      <c r="C463" s="4"/>
      <c r="D463" s="4"/>
      <c r="E463" s="4"/>
      <c r="F463" s="4"/>
      <c r="G463" s="4"/>
      <c r="H463" s="4"/>
      <c r="I463" s="8"/>
      <c r="J463" s="4"/>
      <c r="K463" s="4"/>
    </row>
    <row r="464">
      <c r="A464" s="4"/>
      <c r="B464" s="9"/>
      <c r="C464" s="4"/>
      <c r="E464" s="4"/>
      <c r="F464" s="4"/>
      <c r="G464" s="4"/>
      <c r="H464" s="4"/>
      <c r="I464" s="8"/>
      <c r="J464" s="4"/>
      <c r="K464" s="4"/>
    </row>
    <row r="465">
      <c r="A465" s="4"/>
      <c r="B465" s="9"/>
      <c r="C465" s="4"/>
      <c r="E465" s="4"/>
      <c r="F465" s="4"/>
      <c r="G465" s="4"/>
      <c r="H465" s="4"/>
      <c r="I465" s="8"/>
      <c r="J465" s="4"/>
      <c r="K465" s="4"/>
    </row>
    <row r="466">
      <c r="A466" s="4"/>
      <c r="B466" s="9"/>
      <c r="C466" s="4"/>
      <c r="E466" s="4"/>
      <c r="F466" s="4"/>
      <c r="G466" s="4"/>
      <c r="H466" s="4"/>
      <c r="I466" s="8"/>
      <c r="J466" s="4"/>
      <c r="K466" s="4"/>
    </row>
    <row r="467">
      <c r="A467" s="4"/>
      <c r="B467" s="4"/>
      <c r="C467" s="4"/>
      <c r="D467" s="4"/>
      <c r="E467" s="4"/>
      <c r="F467" s="4"/>
      <c r="G467" s="4"/>
      <c r="H467" s="4"/>
      <c r="I467" s="8"/>
      <c r="J467" s="4"/>
      <c r="K467" s="4"/>
    </row>
    <row r="468">
      <c r="A468" s="4"/>
      <c r="B468" s="4"/>
      <c r="C468" s="4"/>
      <c r="D468" s="4"/>
      <c r="E468" s="4"/>
      <c r="F468" s="4"/>
      <c r="G468" s="4"/>
      <c r="H468" s="4"/>
      <c r="I468" s="8"/>
      <c r="J468" s="4"/>
      <c r="K468" s="4"/>
    </row>
    <row r="469">
      <c r="A469" s="4"/>
      <c r="B469" s="4"/>
      <c r="C469" s="4"/>
      <c r="D469" s="4"/>
      <c r="E469" s="4"/>
      <c r="F469" s="4"/>
      <c r="G469" s="4"/>
      <c r="H469" s="4"/>
      <c r="I469" s="8"/>
      <c r="J469" s="4"/>
      <c r="K469" s="4"/>
    </row>
    <row r="470">
      <c r="A470" s="4"/>
      <c r="B470" s="4"/>
      <c r="C470" s="4"/>
      <c r="D470" s="4"/>
      <c r="E470" s="4"/>
      <c r="F470" s="4"/>
      <c r="G470" s="4"/>
      <c r="H470" s="4"/>
      <c r="I470" s="8"/>
      <c r="J470" s="4"/>
      <c r="K470" s="4"/>
    </row>
    <row r="471">
      <c r="A471" s="4"/>
      <c r="B471" s="4"/>
      <c r="C471" s="4"/>
      <c r="D471" s="4"/>
      <c r="E471" s="4"/>
      <c r="F471" s="4"/>
      <c r="G471" s="4"/>
      <c r="H471" s="4"/>
      <c r="I471" s="8"/>
      <c r="J471" s="4"/>
      <c r="K471" s="4"/>
    </row>
    <row r="472">
      <c r="A472" s="4"/>
      <c r="B472" s="4"/>
      <c r="C472" s="4"/>
      <c r="D472" s="4"/>
      <c r="E472" s="4"/>
      <c r="F472" s="4"/>
      <c r="G472" s="4"/>
      <c r="H472" s="4"/>
      <c r="I472" s="8"/>
      <c r="J472" s="4"/>
      <c r="K472" s="4"/>
    </row>
    <row r="473">
      <c r="A473" s="4"/>
      <c r="B473" s="4"/>
      <c r="C473" s="4"/>
      <c r="D473" s="4"/>
      <c r="E473" s="4"/>
      <c r="F473" s="4"/>
      <c r="G473" s="4"/>
      <c r="H473" s="4"/>
      <c r="I473" s="8"/>
      <c r="J473" s="4"/>
      <c r="K473" s="4"/>
    </row>
    <row r="474">
      <c r="A474" s="4"/>
      <c r="B474" s="4"/>
      <c r="C474" s="4"/>
      <c r="D474" s="4"/>
      <c r="E474" s="4"/>
      <c r="F474" s="4"/>
      <c r="G474" s="4"/>
      <c r="H474" s="4"/>
      <c r="I474" s="8"/>
      <c r="J474" s="4"/>
      <c r="K474" s="4"/>
    </row>
    <row r="475">
      <c r="A475" s="4"/>
      <c r="B475" s="4"/>
      <c r="C475" s="4"/>
      <c r="D475" s="4"/>
      <c r="E475" s="4"/>
      <c r="F475" s="4"/>
      <c r="G475" s="4"/>
      <c r="H475" s="4"/>
      <c r="I475" s="8"/>
      <c r="J475" s="4"/>
      <c r="K475" s="4"/>
    </row>
    <row r="476">
      <c r="A476" s="4"/>
      <c r="B476" s="4"/>
      <c r="C476" s="4"/>
      <c r="D476" s="4"/>
      <c r="E476" s="4"/>
      <c r="F476" s="4"/>
      <c r="G476" s="4"/>
      <c r="H476" s="4"/>
      <c r="I476" s="8"/>
      <c r="J476" s="4"/>
      <c r="K476" s="4"/>
    </row>
    <row r="477">
      <c r="A477" s="4"/>
      <c r="B477" s="4"/>
      <c r="C477" s="4"/>
      <c r="D477" s="4"/>
      <c r="E477" s="4"/>
      <c r="F477" s="4"/>
      <c r="G477" s="4"/>
      <c r="H477" s="4"/>
      <c r="I477" s="8"/>
      <c r="J477" s="4"/>
      <c r="K477" s="4"/>
    </row>
    <row r="478">
      <c r="A478" s="4"/>
      <c r="B478" s="4"/>
      <c r="C478" s="4"/>
      <c r="D478" s="4"/>
      <c r="E478" s="4"/>
      <c r="F478" s="4"/>
      <c r="G478" s="4"/>
      <c r="H478" s="4"/>
      <c r="J478" s="4"/>
      <c r="K478" s="4"/>
    </row>
    <row r="479">
      <c r="A479" s="4"/>
      <c r="B479" s="9"/>
      <c r="C479" s="4"/>
      <c r="E479" s="4"/>
      <c r="F479" s="4"/>
      <c r="G479" s="4"/>
      <c r="H479" s="4"/>
      <c r="I479" s="8"/>
      <c r="J479" s="4"/>
      <c r="K479" s="4"/>
    </row>
    <row r="480">
      <c r="A480" s="4"/>
      <c r="B480" s="4"/>
      <c r="C480" s="4"/>
      <c r="E480" s="4"/>
      <c r="F480" s="4"/>
      <c r="G480" s="4"/>
      <c r="H480" s="4"/>
      <c r="I480" s="8"/>
      <c r="J480" s="4"/>
      <c r="K480" s="4"/>
    </row>
    <row r="481">
      <c r="A481" s="4"/>
      <c r="B481" s="9"/>
      <c r="C481" s="4"/>
      <c r="D481" s="4"/>
      <c r="E481" s="4"/>
      <c r="F481" s="4"/>
      <c r="G481" s="4"/>
      <c r="H481" s="4"/>
      <c r="I481" s="8"/>
      <c r="J481" s="4"/>
      <c r="K481" s="4"/>
    </row>
    <row r="482">
      <c r="A482" s="4"/>
      <c r="B482" s="9"/>
      <c r="C482" s="4"/>
      <c r="D482" s="4"/>
      <c r="E482" s="4"/>
      <c r="F482" s="4"/>
      <c r="G482" s="4"/>
      <c r="H482" s="4"/>
      <c r="I482" s="8"/>
      <c r="J482" s="4"/>
      <c r="K482" s="4"/>
    </row>
    <row r="483">
      <c r="A483" s="4"/>
      <c r="B483" s="4"/>
      <c r="C483" s="4"/>
      <c r="D483" s="4"/>
      <c r="E483" s="4"/>
      <c r="F483" s="4"/>
      <c r="G483" s="4"/>
      <c r="H483" s="4"/>
      <c r="I483" s="8"/>
      <c r="J483" s="4"/>
      <c r="K483" s="4"/>
    </row>
    <row r="484">
      <c r="A484" s="4"/>
      <c r="B484" s="9"/>
      <c r="C484" s="4"/>
      <c r="E484" s="4"/>
      <c r="F484" s="4"/>
      <c r="G484" s="4"/>
      <c r="H484" s="4"/>
      <c r="I484" s="8"/>
      <c r="J484" s="4"/>
      <c r="K484" s="4"/>
    </row>
    <row r="485">
      <c r="A485" s="4"/>
      <c r="B485" s="9"/>
      <c r="C485" s="4"/>
      <c r="D485" s="4"/>
      <c r="E485" s="4"/>
      <c r="F485" s="4"/>
      <c r="G485" s="4"/>
      <c r="H485" s="4"/>
      <c r="I485" s="8"/>
      <c r="J485" s="4"/>
      <c r="K485" s="4"/>
    </row>
    <row r="486">
      <c r="A486" s="4"/>
      <c r="B486" s="9"/>
      <c r="C486" s="4"/>
      <c r="D486" s="4"/>
      <c r="E486" s="4"/>
      <c r="F486" s="4"/>
      <c r="G486" s="4"/>
      <c r="H486" s="4"/>
      <c r="I486" s="8"/>
      <c r="J486" s="4"/>
      <c r="K486" s="4"/>
    </row>
    <row r="487">
      <c r="A487" s="4"/>
      <c r="B487" s="9"/>
      <c r="C487" s="4"/>
      <c r="D487" s="4"/>
      <c r="E487" s="4"/>
      <c r="F487" s="4"/>
      <c r="G487" s="4"/>
      <c r="H487" s="4"/>
      <c r="I487" s="8"/>
      <c r="J487" s="4"/>
      <c r="K487" s="4"/>
    </row>
    <row r="488">
      <c r="A488" s="4"/>
      <c r="B488" s="9"/>
      <c r="C488" s="4"/>
      <c r="D488" s="4"/>
      <c r="E488" s="4"/>
      <c r="F488" s="4"/>
      <c r="G488" s="4"/>
      <c r="H488" s="4"/>
      <c r="I488" s="8"/>
      <c r="J488" s="4"/>
      <c r="K488" s="4"/>
    </row>
    <row r="489">
      <c r="A489" s="4"/>
      <c r="B489" s="4"/>
      <c r="C489" s="4"/>
      <c r="E489" s="4"/>
      <c r="F489" s="4"/>
      <c r="G489" s="4"/>
      <c r="H489" s="4"/>
      <c r="I489" s="8"/>
      <c r="J489" s="4"/>
      <c r="K489" s="4"/>
    </row>
    <row r="490">
      <c r="A490" s="4"/>
      <c r="B490" s="4"/>
      <c r="C490" s="4"/>
      <c r="E490" s="4"/>
      <c r="F490" s="4"/>
      <c r="G490" s="4"/>
      <c r="H490" s="4"/>
      <c r="I490" s="8"/>
      <c r="J490" s="4"/>
      <c r="K490" s="4"/>
    </row>
    <row r="491">
      <c r="A491" s="4"/>
      <c r="B491" s="4"/>
      <c r="C491" s="4"/>
      <c r="E491" s="4"/>
      <c r="F491" s="4"/>
      <c r="G491" s="4"/>
      <c r="H491" s="4"/>
      <c r="I491" s="8"/>
      <c r="J491" s="4"/>
      <c r="K491" s="4"/>
    </row>
    <row r="492">
      <c r="A492" s="4"/>
      <c r="B492" s="4"/>
      <c r="C492" s="4"/>
      <c r="E492" s="4"/>
      <c r="F492" s="4"/>
      <c r="G492" s="4"/>
      <c r="H492" s="4"/>
      <c r="I492" s="8"/>
      <c r="J492" s="4"/>
      <c r="K492" s="4"/>
    </row>
    <row r="493">
      <c r="A493" s="4"/>
      <c r="B493" s="4"/>
      <c r="C493" s="4"/>
      <c r="E493" s="4"/>
      <c r="F493" s="4"/>
      <c r="G493" s="4"/>
      <c r="H493" s="4"/>
      <c r="I493" s="8"/>
      <c r="J493" s="4"/>
      <c r="K493" s="4"/>
    </row>
    <row r="494">
      <c r="A494" s="4"/>
      <c r="B494" s="9"/>
      <c r="C494" s="4"/>
      <c r="D494" s="4"/>
      <c r="E494" s="4"/>
      <c r="F494" s="4"/>
      <c r="G494" s="4"/>
      <c r="H494" s="4"/>
      <c r="I494" s="8"/>
      <c r="J494" s="4"/>
      <c r="K494" s="4"/>
    </row>
    <row r="495">
      <c r="A495" s="4"/>
      <c r="B495" s="9"/>
      <c r="C495" s="4"/>
      <c r="D495" s="4"/>
      <c r="E495" s="4"/>
      <c r="F495" s="4"/>
      <c r="G495" s="4"/>
      <c r="H495" s="4"/>
      <c r="I495" s="8"/>
      <c r="J495" s="4"/>
      <c r="K495" s="4"/>
    </row>
    <row r="496">
      <c r="A496" s="4"/>
      <c r="B496" s="9"/>
      <c r="C496" s="4"/>
      <c r="D496" s="4"/>
      <c r="E496" s="4"/>
      <c r="F496" s="4"/>
      <c r="G496" s="4"/>
      <c r="H496" s="4"/>
      <c r="I496" s="8"/>
      <c r="J496" s="4"/>
      <c r="K496" s="4"/>
    </row>
    <row r="497">
      <c r="A497" s="4"/>
      <c r="B497" s="9"/>
      <c r="C497" s="4"/>
      <c r="D497" s="4"/>
      <c r="E497" s="4"/>
      <c r="F497" s="4"/>
      <c r="G497" s="4"/>
      <c r="H497" s="4"/>
      <c r="I497" s="8"/>
      <c r="J497" s="4"/>
      <c r="K497" s="4"/>
    </row>
    <row r="498">
      <c r="A498" s="4"/>
      <c r="B498" s="9"/>
      <c r="C498" s="4"/>
      <c r="D498" s="4"/>
      <c r="E498" s="4"/>
      <c r="F498" s="4"/>
      <c r="G498" s="4"/>
      <c r="H498" s="4"/>
      <c r="I498" s="8"/>
      <c r="J498" s="4"/>
      <c r="K498" s="4"/>
    </row>
    <row r="499">
      <c r="A499" s="4"/>
      <c r="B499" s="9"/>
      <c r="C499" s="4"/>
      <c r="D499" s="4"/>
      <c r="E499" s="4"/>
      <c r="F499" s="4"/>
      <c r="G499" s="4"/>
      <c r="H499" s="4"/>
      <c r="I499" s="8"/>
      <c r="J499" s="4"/>
      <c r="K499" s="4"/>
    </row>
    <row r="500">
      <c r="A500" s="4"/>
      <c r="B500" s="9"/>
      <c r="C500" s="4"/>
      <c r="D500" s="4"/>
      <c r="E500" s="4"/>
      <c r="F500" s="4"/>
      <c r="G500" s="4"/>
      <c r="H500" s="4"/>
      <c r="I500" s="8"/>
      <c r="J500" s="4"/>
      <c r="K500" s="4"/>
    </row>
    <row r="501">
      <c r="A501" s="4"/>
      <c r="B501" s="9"/>
      <c r="C501" s="4"/>
      <c r="D501" s="4"/>
      <c r="E501" s="4"/>
      <c r="F501" s="4"/>
      <c r="G501" s="4"/>
      <c r="H501" s="4"/>
      <c r="I501" s="8"/>
      <c r="J501" s="4"/>
      <c r="K501" s="4"/>
    </row>
    <row r="502">
      <c r="A502" s="4"/>
      <c r="B502" s="9"/>
      <c r="C502" s="4"/>
      <c r="D502" s="4"/>
      <c r="E502" s="4"/>
      <c r="F502" s="4"/>
      <c r="G502" s="4"/>
      <c r="H502" s="4"/>
      <c r="I502" s="8"/>
      <c r="J502" s="4"/>
      <c r="K502" s="4"/>
    </row>
    <row r="503">
      <c r="A503" s="4"/>
      <c r="B503" s="4"/>
      <c r="C503" s="4"/>
      <c r="E503" s="4"/>
      <c r="F503" s="4"/>
      <c r="G503" s="4"/>
      <c r="H503" s="4"/>
      <c r="I503" s="8"/>
      <c r="J503" s="4"/>
      <c r="K503" s="4"/>
    </row>
    <row r="504">
      <c r="A504" s="4"/>
      <c r="B504" s="4"/>
      <c r="C504" s="4"/>
      <c r="E504" s="4"/>
      <c r="F504" s="4"/>
      <c r="G504" s="4"/>
      <c r="H504" s="4"/>
      <c r="I504" s="8"/>
      <c r="J504" s="4"/>
      <c r="K504" s="4"/>
    </row>
    <row r="505">
      <c r="A505" s="4"/>
      <c r="B505" s="4"/>
      <c r="C505" s="4"/>
      <c r="E505" s="4"/>
      <c r="F505" s="4"/>
      <c r="G505" s="4"/>
      <c r="H505" s="4"/>
      <c r="I505" s="8"/>
      <c r="J505" s="4"/>
      <c r="K505" s="4"/>
    </row>
    <row r="506">
      <c r="A506" s="4"/>
      <c r="B506" s="9"/>
      <c r="C506" s="4"/>
      <c r="E506" s="4"/>
      <c r="F506" s="4"/>
      <c r="G506" s="4"/>
      <c r="H506" s="4"/>
      <c r="J506" s="4"/>
      <c r="K506" s="4"/>
    </row>
    <row r="507">
      <c r="A507" s="4"/>
      <c r="B507" s="9"/>
      <c r="C507" s="4"/>
      <c r="E507" s="4"/>
      <c r="F507" s="4"/>
      <c r="G507" s="4"/>
      <c r="H507" s="4"/>
      <c r="J507" s="4"/>
      <c r="K507" s="4"/>
    </row>
    <row r="508">
      <c r="A508" s="4"/>
      <c r="B508" s="9"/>
      <c r="C508" s="4"/>
      <c r="E508" s="4"/>
      <c r="F508" s="4"/>
      <c r="G508" s="4"/>
      <c r="H508" s="4"/>
      <c r="J508" s="4"/>
      <c r="K508" s="4"/>
    </row>
    <row r="509">
      <c r="A509" s="4"/>
      <c r="B509" s="9"/>
      <c r="C509" s="4"/>
      <c r="E509" s="4"/>
      <c r="F509" s="4"/>
      <c r="G509" s="4"/>
      <c r="H509" s="4"/>
      <c r="J509" s="4"/>
      <c r="K509" s="4"/>
    </row>
    <row r="510">
      <c r="A510" s="4"/>
      <c r="B510" s="9"/>
      <c r="C510" s="4"/>
      <c r="E510" s="4"/>
      <c r="F510" s="4"/>
      <c r="G510" s="4"/>
      <c r="H510" s="4"/>
      <c r="I510" s="8"/>
      <c r="J510" s="4"/>
      <c r="K510" s="4"/>
    </row>
    <row r="511">
      <c r="A511" s="4"/>
      <c r="B511" s="4"/>
      <c r="C511" s="4"/>
      <c r="D511" s="4"/>
      <c r="E511" s="4"/>
      <c r="F511" s="4"/>
      <c r="G511" s="4"/>
      <c r="H511" s="4"/>
      <c r="I511" s="8"/>
      <c r="J511" s="4"/>
      <c r="K511" s="4"/>
    </row>
    <row r="512">
      <c r="A512" s="4"/>
      <c r="B512" s="4"/>
      <c r="C512" s="4"/>
      <c r="D512" s="4"/>
      <c r="E512" s="4"/>
      <c r="F512" s="4"/>
      <c r="G512" s="4"/>
      <c r="H512" s="4"/>
      <c r="I512" s="8"/>
      <c r="J512" s="4"/>
      <c r="K512" s="4"/>
    </row>
    <row r="513">
      <c r="A513" s="4"/>
      <c r="B513" s="4"/>
      <c r="C513" s="4"/>
      <c r="D513" s="4"/>
      <c r="E513" s="4"/>
      <c r="F513" s="4"/>
      <c r="G513" s="4"/>
      <c r="H513" s="4"/>
      <c r="I513" s="8"/>
      <c r="J513" s="4"/>
      <c r="K513" s="4"/>
    </row>
    <row r="514">
      <c r="A514" s="4"/>
      <c r="B514" s="4"/>
      <c r="C514" s="4"/>
      <c r="D514" s="4"/>
      <c r="E514" s="4"/>
      <c r="F514" s="4"/>
      <c r="G514" s="4"/>
      <c r="H514" s="4"/>
      <c r="J514" s="4"/>
      <c r="K514" s="4"/>
    </row>
    <row r="515">
      <c r="A515" s="4"/>
      <c r="B515" s="4"/>
      <c r="C515" s="4"/>
      <c r="E515" s="4"/>
      <c r="F515" s="4"/>
      <c r="G515" s="4"/>
      <c r="H515" s="4"/>
      <c r="I515" s="8"/>
      <c r="J515" s="4"/>
      <c r="K515" s="4"/>
    </row>
    <row r="516">
      <c r="A516" s="4"/>
      <c r="B516" s="9"/>
      <c r="C516" s="4"/>
      <c r="E516" s="4"/>
      <c r="F516" s="4"/>
      <c r="G516" s="4"/>
      <c r="H516" s="4"/>
      <c r="I516" s="8"/>
      <c r="J516" s="4"/>
      <c r="K516" s="4"/>
    </row>
    <row r="517">
      <c r="A517" s="4"/>
      <c r="B517" s="9"/>
      <c r="C517" s="4"/>
      <c r="D517" s="4"/>
      <c r="E517" s="4"/>
      <c r="F517" s="4"/>
      <c r="G517" s="4"/>
      <c r="H517" s="4"/>
      <c r="I517" s="8"/>
      <c r="J517" s="4"/>
      <c r="K517" s="4"/>
    </row>
    <row r="518">
      <c r="A518" s="4"/>
      <c r="B518" s="9"/>
      <c r="C518" s="4"/>
      <c r="D518" s="4"/>
      <c r="E518" s="4"/>
      <c r="F518" s="4"/>
      <c r="G518" s="4"/>
      <c r="H518" s="4"/>
      <c r="I518" s="8"/>
      <c r="J518" s="4"/>
      <c r="K518" s="4"/>
    </row>
    <row r="519">
      <c r="A519" s="4"/>
      <c r="B519" s="9"/>
      <c r="C519" s="4"/>
      <c r="D519" s="4"/>
      <c r="E519" s="4"/>
      <c r="F519" s="4"/>
      <c r="G519" s="4"/>
      <c r="H519" s="4"/>
      <c r="I519" s="8"/>
      <c r="J519" s="4"/>
      <c r="K519" s="4"/>
    </row>
    <row r="520">
      <c r="A520" s="4"/>
      <c r="B520" s="9"/>
      <c r="C520" s="4"/>
      <c r="E520" s="4"/>
      <c r="F520" s="4"/>
      <c r="G520" s="4"/>
      <c r="H520" s="4"/>
      <c r="I520" s="8"/>
      <c r="J520" s="4"/>
      <c r="K520" s="4"/>
    </row>
    <row r="521">
      <c r="A521" s="4"/>
      <c r="B521" s="4"/>
      <c r="C521" s="4"/>
      <c r="E521" s="4"/>
      <c r="F521" s="4"/>
      <c r="G521" s="4"/>
      <c r="H521" s="4"/>
      <c r="I521" s="8"/>
      <c r="J521" s="4"/>
      <c r="K521" s="4"/>
    </row>
    <row r="522">
      <c r="A522" s="4"/>
      <c r="B522" s="4"/>
      <c r="C522" s="4"/>
      <c r="E522" s="4"/>
      <c r="F522" s="4"/>
      <c r="G522" s="4"/>
      <c r="H522" s="4"/>
      <c r="I522" s="8"/>
      <c r="J522" s="4"/>
      <c r="K522" s="4"/>
    </row>
    <row r="523">
      <c r="A523" s="4"/>
      <c r="B523" s="4"/>
      <c r="C523" s="4"/>
      <c r="E523" s="4"/>
      <c r="F523" s="4"/>
      <c r="G523" s="4"/>
      <c r="H523" s="4"/>
      <c r="I523" s="8"/>
      <c r="J523" s="4"/>
      <c r="K523" s="4"/>
    </row>
    <row r="524">
      <c r="A524" s="4"/>
      <c r="B524" s="9"/>
      <c r="C524" s="4"/>
      <c r="E524" s="4"/>
      <c r="F524" s="4"/>
      <c r="G524" s="4"/>
      <c r="H524" s="4"/>
      <c r="J524" s="4"/>
      <c r="K524" s="4"/>
    </row>
    <row r="525">
      <c r="A525" s="4"/>
      <c r="B525" s="9"/>
      <c r="C525" s="4"/>
      <c r="E525" s="4"/>
      <c r="F525" s="4"/>
      <c r="G525" s="4"/>
      <c r="H525" s="4"/>
      <c r="I525" s="8"/>
      <c r="J525" s="4"/>
      <c r="K525" s="4"/>
    </row>
    <row r="526">
      <c r="A526" s="4"/>
      <c r="B526" s="9"/>
      <c r="C526" s="4"/>
      <c r="E526" s="4"/>
      <c r="F526" s="4"/>
      <c r="G526" s="4"/>
      <c r="H526" s="4"/>
      <c r="I526" s="8"/>
      <c r="J526" s="4"/>
      <c r="K526" s="4"/>
    </row>
    <row r="527">
      <c r="A527" s="4"/>
      <c r="B527" s="9"/>
      <c r="C527" s="4"/>
      <c r="E527" s="4"/>
      <c r="F527" s="4"/>
      <c r="G527" s="4"/>
      <c r="H527" s="4"/>
      <c r="J527" s="4"/>
      <c r="K527" s="4"/>
    </row>
    <row r="528">
      <c r="A528" s="4"/>
      <c r="B528" s="9"/>
      <c r="C528" s="4"/>
      <c r="E528" s="4"/>
      <c r="F528" s="4"/>
      <c r="G528" s="4"/>
      <c r="H528" s="4"/>
      <c r="I528" s="8"/>
      <c r="J528" s="4"/>
      <c r="K528" s="4"/>
    </row>
    <row r="529">
      <c r="A529" s="4"/>
      <c r="B529" s="9"/>
      <c r="C529" s="4"/>
      <c r="E529" s="4"/>
      <c r="F529" s="4"/>
      <c r="G529" s="4"/>
      <c r="H529" s="4"/>
      <c r="J529" s="4"/>
      <c r="K529" s="4"/>
    </row>
    <row r="530">
      <c r="A530" s="4"/>
      <c r="B530" s="9"/>
      <c r="C530" s="4"/>
      <c r="D530" s="4"/>
      <c r="E530" s="4"/>
      <c r="F530" s="4"/>
      <c r="G530" s="4"/>
      <c r="H530" s="4"/>
      <c r="I530" s="8"/>
      <c r="J530" s="4"/>
      <c r="K530" s="4"/>
    </row>
    <row r="531">
      <c r="A531" s="4"/>
      <c r="B531" s="4"/>
      <c r="C531" s="4"/>
      <c r="E531" s="4"/>
      <c r="F531" s="4"/>
      <c r="G531" s="4"/>
      <c r="H531" s="4"/>
      <c r="I531" s="8"/>
      <c r="J531" s="4"/>
      <c r="K531" s="4"/>
    </row>
    <row r="532">
      <c r="A532" s="4"/>
      <c r="B532" s="4"/>
      <c r="C532" s="4"/>
      <c r="E532" s="4"/>
      <c r="F532" s="4"/>
      <c r="G532" s="4"/>
      <c r="H532" s="4"/>
      <c r="I532" s="8"/>
      <c r="J532" s="4"/>
      <c r="K532" s="4"/>
    </row>
    <row r="533">
      <c r="A533" s="4"/>
      <c r="B533" s="4"/>
      <c r="C533" s="4"/>
      <c r="E533" s="4"/>
      <c r="F533" s="4"/>
      <c r="G533" s="4"/>
      <c r="H533" s="4"/>
      <c r="J533" s="4"/>
      <c r="K533" s="4"/>
    </row>
    <row r="534">
      <c r="A534" s="4"/>
      <c r="B534" s="4"/>
      <c r="C534" s="4"/>
      <c r="E534" s="4"/>
      <c r="F534" s="4"/>
      <c r="G534" s="4"/>
      <c r="H534" s="4"/>
      <c r="I534" s="8"/>
      <c r="J534" s="4"/>
      <c r="K534" s="4"/>
    </row>
    <row r="535">
      <c r="A535" s="4"/>
      <c r="B535" s="4"/>
      <c r="C535" s="4"/>
      <c r="E535" s="4"/>
      <c r="F535" s="4"/>
      <c r="G535" s="4"/>
      <c r="H535" s="4"/>
      <c r="I535" s="8"/>
      <c r="J535" s="4"/>
      <c r="K535" s="4"/>
    </row>
    <row r="536">
      <c r="A536" s="4"/>
      <c r="B536" s="4"/>
      <c r="C536" s="4"/>
      <c r="E536" s="4"/>
      <c r="F536" s="4"/>
      <c r="G536" s="4"/>
      <c r="H536" s="4"/>
      <c r="I536" s="8"/>
      <c r="J536" s="4"/>
      <c r="K536" s="4"/>
    </row>
    <row r="537">
      <c r="A537" s="4"/>
      <c r="B537" s="4"/>
      <c r="C537" s="4"/>
      <c r="E537" s="4"/>
      <c r="F537" s="4"/>
      <c r="G537" s="4"/>
      <c r="H537" s="4"/>
      <c r="I537" s="8"/>
      <c r="J537" s="4"/>
      <c r="K537" s="4"/>
    </row>
    <row r="538">
      <c r="A538" s="4"/>
      <c r="B538" s="4"/>
      <c r="C538" s="4"/>
      <c r="D538" s="4"/>
      <c r="E538" s="4"/>
      <c r="F538" s="4"/>
      <c r="G538" s="4"/>
      <c r="H538" s="4"/>
      <c r="I538" s="8"/>
      <c r="J538" s="4"/>
      <c r="K538" s="4"/>
    </row>
    <row r="539">
      <c r="A539" s="4"/>
      <c r="B539" s="9"/>
      <c r="C539" s="4"/>
      <c r="D539" s="4"/>
      <c r="E539" s="4"/>
      <c r="F539" s="4"/>
      <c r="G539" s="4"/>
      <c r="H539" s="4"/>
      <c r="I539" s="8"/>
      <c r="J539" s="4"/>
      <c r="K539" s="4"/>
    </row>
    <row r="540">
      <c r="A540" s="4"/>
      <c r="B540" s="9"/>
      <c r="C540" s="4"/>
      <c r="D540" s="4"/>
      <c r="E540" s="4"/>
      <c r="F540" s="4"/>
      <c r="G540" s="4"/>
      <c r="H540" s="4"/>
      <c r="I540" s="8"/>
      <c r="J540" s="4"/>
      <c r="K540" s="4"/>
    </row>
    <row r="541">
      <c r="A541" s="4"/>
      <c r="B541" s="9"/>
      <c r="C541" s="4"/>
      <c r="D541" s="4"/>
      <c r="E541" s="4"/>
      <c r="F541" s="4"/>
      <c r="G541" s="4"/>
      <c r="H541" s="4"/>
      <c r="I541" s="8"/>
      <c r="J541" s="4"/>
      <c r="K541" s="4"/>
    </row>
    <row r="542">
      <c r="A542" s="4"/>
      <c r="B542" s="9"/>
      <c r="C542" s="4"/>
      <c r="D542" s="4"/>
      <c r="E542" s="4"/>
      <c r="F542" s="4"/>
      <c r="G542" s="4"/>
      <c r="H542" s="4"/>
      <c r="I542" s="8"/>
      <c r="J542" s="4"/>
      <c r="K542" s="4"/>
    </row>
    <row r="543">
      <c r="A543" s="4"/>
      <c r="B543" s="9"/>
      <c r="C543" s="4"/>
      <c r="D543" s="4"/>
      <c r="E543" s="4"/>
      <c r="F543" s="4"/>
      <c r="G543" s="4"/>
      <c r="H543" s="4"/>
      <c r="I543" s="8"/>
      <c r="J543" s="4"/>
      <c r="K543" s="4"/>
    </row>
    <row r="544">
      <c r="A544" s="4"/>
      <c r="B544" s="9"/>
      <c r="C544" s="4"/>
      <c r="D544" s="4"/>
      <c r="E544" s="4"/>
      <c r="F544" s="4"/>
      <c r="G544" s="4"/>
      <c r="H544" s="4"/>
      <c r="I544" s="8"/>
      <c r="J544" s="4"/>
      <c r="K544" s="4"/>
    </row>
    <row r="545">
      <c r="A545" s="4"/>
      <c r="B545" s="4"/>
      <c r="C545" s="4"/>
      <c r="E545" s="4"/>
      <c r="F545" s="4"/>
      <c r="G545" s="4"/>
      <c r="H545" s="4"/>
      <c r="I545" s="8"/>
      <c r="J545" s="4"/>
      <c r="K545" s="4"/>
    </row>
    <row r="546">
      <c r="A546" s="4"/>
      <c r="B546" s="4"/>
      <c r="C546" s="4"/>
      <c r="E546" s="4"/>
      <c r="F546" s="4"/>
      <c r="G546" s="4"/>
      <c r="H546" s="4"/>
      <c r="I546" s="8"/>
      <c r="J546" s="4"/>
      <c r="K546" s="4"/>
    </row>
    <row r="547">
      <c r="A547" s="4"/>
      <c r="B547" s="4"/>
      <c r="C547" s="4"/>
      <c r="E547" s="4"/>
      <c r="F547" s="4"/>
      <c r="G547" s="4"/>
      <c r="H547" s="4"/>
      <c r="I547" s="8"/>
      <c r="J547" s="4"/>
      <c r="K547" s="4"/>
    </row>
    <row r="548">
      <c r="A548" s="4"/>
      <c r="B548" s="9"/>
      <c r="C548" s="4"/>
      <c r="E548" s="4"/>
      <c r="F548" s="4"/>
      <c r="G548" s="4"/>
      <c r="H548" s="4"/>
      <c r="I548" s="8"/>
      <c r="J548" s="4"/>
      <c r="K548" s="4"/>
    </row>
    <row r="549">
      <c r="A549" s="4"/>
      <c r="B549" s="9"/>
      <c r="C549" s="4"/>
      <c r="E549" s="4"/>
      <c r="F549" s="4"/>
      <c r="G549" s="4"/>
      <c r="H549" s="4"/>
      <c r="I549" s="8"/>
      <c r="J549" s="4"/>
      <c r="K549" s="4"/>
    </row>
    <row r="550">
      <c r="A550" s="4"/>
      <c r="B550" s="9"/>
      <c r="C550" s="4"/>
      <c r="E550" s="4"/>
      <c r="F550" s="4"/>
      <c r="G550" s="4"/>
      <c r="H550" s="4"/>
      <c r="I550" s="8"/>
      <c r="J550" s="4"/>
      <c r="K550" s="4"/>
    </row>
    <row r="551">
      <c r="A551" s="4"/>
      <c r="B551" s="9"/>
      <c r="C551" s="4"/>
      <c r="E551" s="4"/>
      <c r="F551" s="4"/>
      <c r="G551" s="4"/>
      <c r="H551" s="4"/>
      <c r="I551" s="8"/>
      <c r="J551" s="4"/>
      <c r="K551" s="4"/>
    </row>
    <row r="552">
      <c r="A552" s="4"/>
      <c r="B552" s="9"/>
      <c r="C552" s="4"/>
      <c r="E552" s="4"/>
      <c r="F552" s="4"/>
      <c r="G552" s="4"/>
      <c r="H552" s="4"/>
      <c r="I552" s="8"/>
      <c r="J552" s="4"/>
      <c r="K552" s="4"/>
    </row>
    <row r="553">
      <c r="A553" s="4"/>
      <c r="B553" s="9"/>
      <c r="C553" s="4"/>
      <c r="E553" s="4"/>
      <c r="F553" s="4"/>
      <c r="G553" s="4"/>
      <c r="H553" s="4"/>
      <c r="I553" s="8"/>
      <c r="J553" s="4"/>
      <c r="K553" s="4"/>
    </row>
    <row r="554">
      <c r="A554" s="4"/>
      <c r="B554" s="9"/>
      <c r="C554" s="4"/>
      <c r="E554" s="4"/>
      <c r="F554" s="4"/>
      <c r="G554" s="4"/>
      <c r="H554" s="4"/>
      <c r="I554" s="8"/>
      <c r="J554" s="4"/>
      <c r="K554" s="4"/>
    </row>
    <row r="555">
      <c r="A555" s="4"/>
      <c r="B555" s="9"/>
      <c r="C555" s="4"/>
      <c r="E555" s="4"/>
      <c r="F555" s="4"/>
      <c r="G555" s="4"/>
      <c r="H555" s="4"/>
      <c r="I555" s="8"/>
      <c r="J555" s="4"/>
      <c r="K555" s="4"/>
    </row>
    <row r="556">
      <c r="A556" s="4"/>
      <c r="B556" s="9"/>
      <c r="C556" s="4"/>
      <c r="E556" s="4"/>
      <c r="F556" s="4"/>
      <c r="G556" s="4"/>
      <c r="H556" s="4"/>
      <c r="I556" s="8"/>
      <c r="J556" s="4"/>
      <c r="K556" s="4"/>
    </row>
    <row r="557">
      <c r="A557" s="4"/>
      <c r="B557" s="4"/>
      <c r="C557" s="4"/>
      <c r="E557" s="4"/>
      <c r="F557" s="4"/>
      <c r="G557" s="4"/>
      <c r="H557" s="4"/>
      <c r="I557" s="8"/>
      <c r="J557" s="4"/>
      <c r="K557" s="4"/>
    </row>
    <row r="558">
      <c r="A558" s="4"/>
      <c r="B558" s="9"/>
      <c r="C558" s="4"/>
      <c r="E558" s="4"/>
      <c r="F558" s="4"/>
      <c r="G558" s="4"/>
      <c r="H558" s="4"/>
      <c r="I558" s="8"/>
      <c r="J558" s="4"/>
      <c r="K558" s="4"/>
    </row>
    <row r="559">
      <c r="A559" s="4"/>
      <c r="B559" s="9"/>
      <c r="C559" s="4"/>
      <c r="E559" s="4"/>
      <c r="F559" s="4"/>
      <c r="G559" s="4"/>
      <c r="H559" s="4"/>
      <c r="I559" s="8"/>
      <c r="J559" s="4"/>
      <c r="K559" s="4"/>
    </row>
    <row r="560">
      <c r="A560" s="4"/>
      <c r="B560" s="9"/>
      <c r="C560" s="4"/>
      <c r="E560" s="4"/>
      <c r="F560" s="4"/>
      <c r="G560" s="4"/>
      <c r="H560" s="4"/>
      <c r="I560" s="8"/>
      <c r="J560" s="4"/>
      <c r="K560" s="4"/>
    </row>
    <row r="561">
      <c r="A561" s="4"/>
      <c r="B561" s="4"/>
      <c r="C561" s="4"/>
      <c r="E561" s="4"/>
      <c r="F561" s="4"/>
      <c r="G561" s="4"/>
      <c r="H561" s="4"/>
      <c r="I561" s="8"/>
      <c r="J561" s="4"/>
      <c r="K561" s="4"/>
    </row>
    <row r="562">
      <c r="A562" s="4"/>
      <c r="B562" s="4"/>
      <c r="C562" s="4"/>
      <c r="E562" s="4"/>
      <c r="F562" s="4"/>
      <c r="G562" s="4"/>
      <c r="H562" s="4"/>
      <c r="I562" s="8"/>
      <c r="J562" s="4"/>
      <c r="K562" s="4"/>
    </row>
    <row r="563">
      <c r="A563" s="4"/>
      <c r="B563" s="4"/>
      <c r="C563" s="4"/>
      <c r="E563" s="4"/>
      <c r="F563" s="4"/>
      <c r="G563" s="4"/>
      <c r="H563" s="4"/>
      <c r="I563" s="8"/>
      <c r="J563" s="4"/>
      <c r="K563" s="4"/>
    </row>
    <row r="564">
      <c r="A564" s="4"/>
      <c r="B564" s="9"/>
      <c r="C564" s="4"/>
      <c r="E564" s="4"/>
      <c r="F564" s="4"/>
      <c r="G564" s="4"/>
      <c r="H564" s="4"/>
      <c r="I564" s="8"/>
      <c r="J564" s="4"/>
      <c r="K564" s="4"/>
    </row>
    <row r="565">
      <c r="A565" s="4"/>
      <c r="B565" s="9"/>
      <c r="C565" s="4"/>
      <c r="D565" s="4"/>
      <c r="E565" s="4"/>
      <c r="F565" s="4"/>
      <c r="G565" s="4"/>
      <c r="H565" s="4"/>
      <c r="I565" s="8"/>
      <c r="J565" s="4"/>
      <c r="K565" s="4"/>
    </row>
    <row r="566">
      <c r="A566" s="4"/>
      <c r="B566" s="9"/>
      <c r="C566" s="4"/>
      <c r="D566" s="4"/>
      <c r="E566" s="4"/>
      <c r="F566" s="4"/>
      <c r="G566" s="4"/>
      <c r="H566" s="4"/>
      <c r="I566" s="8"/>
      <c r="J566" s="4"/>
      <c r="K566" s="4"/>
    </row>
    <row r="567">
      <c r="A567" s="4"/>
      <c r="B567" s="9"/>
      <c r="C567" s="4"/>
      <c r="D567" s="4"/>
      <c r="E567" s="4"/>
      <c r="F567" s="4"/>
      <c r="G567" s="4"/>
      <c r="H567" s="4"/>
      <c r="I567" s="8"/>
      <c r="J567" s="4"/>
      <c r="K567" s="4"/>
    </row>
    <row r="568">
      <c r="A568" s="4"/>
      <c r="B568" s="4"/>
      <c r="C568" s="4"/>
      <c r="D568" s="4"/>
      <c r="E568" s="4"/>
      <c r="F568" s="4"/>
      <c r="G568" s="4"/>
      <c r="H568" s="4"/>
      <c r="I568" s="8"/>
      <c r="J568" s="4"/>
      <c r="K568" s="4"/>
    </row>
    <row r="569">
      <c r="A569" s="4"/>
      <c r="B569" s="4"/>
      <c r="C569" s="4"/>
      <c r="D569" s="4"/>
      <c r="E569" s="4"/>
      <c r="F569" s="4"/>
      <c r="G569" s="4"/>
      <c r="H569" s="4"/>
      <c r="I569" s="8"/>
      <c r="J569" s="4"/>
      <c r="K569" s="4"/>
    </row>
    <row r="570">
      <c r="A570" s="4"/>
      <c r="B570" s="4"/>
      <c r="C570" s="4"/>
      <c r="D570" s="4"/>
      <c r="E570" s="4"/>
      <c r="F570" s="4"/>
      <c r="G570" s="4"/>
      <c r="H570" s="4"/>
      <c r="I570" s="8"/>
      <c r="J570" s="4"/>
      <c r="K570" s="4"/>
    </row>
    <row r="571">
      <c r="A571" s="4"/>
      <c r="B571" s="4"/>
      <c r="C571" s="4"/>
      <c r="D571" s="4"/>
      <c r="E571" s="4"/>
      <c r="F571" s="4"/>
      <c r="G571" s="4"/>
      <c r="H571" s="4"/>
      <c r="I571" s="8"/>
      <c r="J571" s="4"/>
      <c r="K571" s="4"/>
    </row>
    <row r="572">
      <c r="A572" s="4"/>
      <c r="B572" s="9"/>
      <c r="C572" s="4"/>
      <c r="D572" s="4"/>
      <c r="E572" s="4"/>
      <c r="F572" s="4"/>
      <c r="G572" s="4"/>
      <c r="H572" s="4"/>
      <c r="I572" s="8"/>
      <c r="J572" s="4"/>
      <c r="K572" s="4"/>
    </row>
    <row r="573">
      <c r="A573" s="4"/>
      <c r="B573" s="9"/>
      <c r="C573" s="4"/>
      <c r="D573" s="4"/>
      <c r="E573" s="4"/>
      <c r="F573" s="4"/>
      <c r="G573" s="4"/>
      <c r="H573" s="4"/>
      <c r="I573" s="8"/>
      <c r="J573" s="4"/>
      <c r="K573" s="4"/>
    </row>
    <row r="574">
      <c r="A574" s="4"/>
      <c r="B574" s="9"/>
      <c r="C574" s="4"/>
      <c r="E574" s="4"/>
      <c r="F574" s="4"/>
      <c r="G574" s="4"/>
      <c r="H574" s="4"/>
      <c r="I574" s="8"/>
      <c r="J574" s="4"/>
      <c r="K574" s="4"/>
    </row>
    <row r="575">
      <c r="A575" s="4"/>
      <c r="B575" s="9"/>
      <c r="C575" s="4"/>
      <c r="E575" s="4"/>
      <c r="F575" s="4"/>
      <c r="G575" s="4"/>
      <c r="H575" s="4"/>
      <c r="I575" s="8"/>
      <c r="J575" s="4"/>
      <c r="K575" s="4"/>
    </row>
    <row r="576">
      <c r="A576" s="4"/>
      <c r="B576" s="9"/>
      <c r="C576" s="4"/>
      <c r="E576" s="4"/>
      <c r="F576" s="4"/>
      <c r="G576" s="4"/>
      <c r="H576" s="4"/>
      <c r="I576" s="8"/>
      <c r="J576" s="4"/>
      <c r="K576" s="4"/>
    </row>
    <row r="577">
      <c r="A577" s="4"/>
      <c r="B577" s="9"/>
      <c r="C577" s="4"/>
      <c r="E577" s="4"/>
      <c r="F577" s="4"/>
      <c r="G577" s="4"/>
      <c r="H577" s="4"/>
      <c r="I577" s="8"/>
      <c r="J577" s="4"/>
      <c r="K577" s="4"/>
    </row>
    <row r="578">
      <c r="A578" s="4"/>
      <c r="B578" s="4"/>
      <c r="C578" s="4"/>
      <c r="E578" s="4"/>
      <c r="F578" s="4"/>
      <c r="G578" s="4"/>
      <c r="H578" s="4"/>
      <c r="I578" s="8"/>
      <c r="J578" s="4"/>
      <c r="K578" s="4"/>
    </row>
    <row r="579">
      <c r="A579" s="4"/>
      <c r="B579" s="4"/>
      <c r="C579" s="4"/>
      <c r="E579" s="4"/>
      <c r="F579" s="4"/>
      <c r="G579" s="4"/>
      <c r="H579" s="4"/>
      <c r="I579" s="8"/>
      <c r="J579" s="4"/>
      <c r="K579" s="4"/>
    </row>
    <row r="580">
      <c r="A580" s="4"/>
      <c r="B580" s="4"/>
      <c r="C580" s="4"/>
      <c r="E580" s="4"/>
      <c r="F580" s="4"/>
      <c r="G580" s="4"/>
      <c r="H580" s="4"/>
      <c r="I580" s="8"/>
      <c r="J580" s="4"/>
      <c r="K580" s="4"/>
    </row>
    <row r="581">
      <c r="A581" s="4"/>
      <c r="B581" s="4"/>
      <c r="C581" s="4"/>
      <c r="E581" s="4"/>
      <c r="F581" s="4"/>
      <c r="G581" s="4"/>
      <c r="H581" s="4"/>
      <c r="I581" s="8"/>
      <c r="J581" s="4"/>
      <c r="K581" s="4"/>
    </row>
    <row r="582">
      <c r="A582" s="4"/>
      <c r="B582" s="4"/>
      <c r="C582" s="4"/>
      <c r="D582" s="4"/>
      <c r="E582" s="4"/>
      <c r="F582" s="4"/>
      <c r="G582" s="4"/>
      <c r="H582" s="4"/>
      <c r="I582" s="8"/>
      <c r="J582" s="4"/>
      <c r="K582" s="4"/>
    </row>
    <row r="583">
      <c r="A583" s="4"/>
      <c r="B583" s="9"/>
      <c r="C583" s="4"/>
      <c r="D583" s="4"/>
      <c r="E583" s="4"/>
      <c r="F583" s="4"/>
      <c r="G583" s="4"/>
      <c r="H583" s="4"/>
      <c r="I583" s="8"/>
      <c r="J583" s="4"/>
      <c r="K583" s="4"/>
    </row>
    <row r="584">
      <c r="A584" s="4"/>
      <c r="B584" s="4"/>
      <c r="C584" s="4"/>
      <c r="D584" s="4"/>
      <c r="E584" s="4"/>
      <c r="F584" s="4"/>
      <c r="G584" s="4"/>
      <c r="H584" s="4"/>
      <c r="I584" s="8"/>
      <c r="J584" s="4"/>
      <c r="K584" s="4"/>
    </row>
    <row r="585">
      <c r="A585" s="4"/>
      <c r="B585" s="9"/>
      <c r="C585" s="4"/>
      <c r="D585" s="4"/>
      <c r="E585" s="4"/>
      <c r="F585" s="4"/>
      <c r="G585" s="4"/>
      <c r="H585" s="4"/>
      <c r="I585" s="8"/>
      <c r="J585" s="4"/>
      <c r="K585" s="4"/>
    </row>
    <row r="586">
      <c r="A586" s="4"/>
      <c r="B586" s="9"/>
      <c r="C586" s="4"/>
      <c r="D586" s="4"/>
      <c r="E586" s="4"/>
      <c r="F586" s="4"/>
      <c r="G586" s="4"/>
      <c r="H586" s="4"/>
      <c r="I586" s="8"/>
      <c r="J586" s="4"/>
      <c r="K586" s="4"/>
    </row>
    <row r="587">
      <c r="A587" s="4"/>
      <c r="B587" s="9"/>
      <c r="C587" s="4"/>
      <c r="D587" s="4"/>
      <c r="E587" s="4"/>
      <c r="F587" s="4"/>
      <c r="G587" s="4"/>
      <c r="H587" s="4"/>
      <c r="I587" s="8"/>
      <c r="J587" s="4"/>
      <c r="K587" s="4"/>
    </row>
    <row r="588">
      <c r="A588" s="4"/>
      <c r="B588" s="4"/>
      <c r="C588" s="4"/>
      <c r="D588" s="4"/>
      <c r="E588" s="4"/>
      <c r="F588" s="4"/>
      <c r="G588" s="4"/>
      <c r="H588" s="4"/>
      <c r="I588" s="8"/>
      <c r="J588" s="4"/>
      <c r="K588" s="4"/>
    </row>
    <row r="589">
      <c r="A589" s="4"/>
      <c r="B589" s="4"/>
      <c r="C589" s="4"/>
      <c r="D589" s="4"/>
      <c r="E589" s="4"/>
      <c r="F589" s="4"/>
      <c r="G589" s="4"/>
      <c r="H589" s="4"/>
      <c r="I589" s="8"/>
      <c r="J589" s="4"/>
      <c r="K589" s="4"/>
    </row>
    <row r="590">
      <c r="A590" s="4"/>
      <c r="B590" s="4"/>
      <c r="C590" s="4"/>
      <c r="D590" s="4"/>
      <c r="E590" s="4"/>
      <c r="F590" s="4"/>
      <c r="G590" s="4"/>
      <c r="H590" s="4"/>
      <c r="I590" s="8"/>
      <c r="J590" s="4"/>
      <c r="K590" s="4"/>
    </row>
    <row r="591">
      <c r="A591" s="4"/>
      <c r="B591" s="4"/>
      <c r="C591" s="4"/>
      <c r="D591" s="4"/>
      <c r="E591" s="4"/>
      <c r="F591" s="4"/>
      <c r="G591" s="4"/>
      <c r="H591" s="4"/>
      <c r="I591" s="8"/>
      <c r="J591" s="4"/>
      <c r="K591" s="4"/>
    </row>
    <row r="592">
      <c r="A592" s="4"/>
      <c r="B592" s="4"/>
      <c r="C592" s="4"/>
      <c r="D592" s="4"/>
      <c r="E592" s="4"/>
      <c r="F592" s="4"/>
      <c r="G592" s="4"/>
      <c r="H592" s="4"/>
      <c r="I592" s="8"/>
      <c r="J592" s="4"/>
      <c r="K592" s="4"/>
    </row>
    <row r="593">
      <c r="A593" s="4"/>
      <c r="B593" s="4"/>
      <c r="C593" s="4"/>
      <c r="D593" s="4"/>
      <c r="E593" s="4"/>
      <c r="F593" s="4"/>
      <c r="G593" s="4"/>
      <c r="H593" s="4"/>
      <c r="I593" s="8"/>
      <c r="J593" s="4"/>
      <c r="K593" s="4"/>
    </row>
    <row r="594">
      <c r="A594" s="4"/>
      <c r="B594" s="4"/>
      <c r="C594" s="4"/>
      <c r="D594" s="4"/>
      <c r="E594" s="4"/>
      <c r="F594" s="4"/>
      <c r="G594" s="4"/>
      <c r="H594" s="4"/>
      <c r="I594" s="8"/>
      <c r="J594" s="4"/>
      <c r="K594" s="4"/>
    </row>
    <row r="595">
      <c r="A595" s="4"/>
      <c r="B595" s="4"/>
      <c r="C595" s="4"/>
      <c r="D595" s="4"/>
      <c r="E595" s="4"/>
      <c r="F595" s="4"/>
      <c r="G595" s="4"/>
      <c r="H595" s="4"/>
      <c r="I595" s="8"/>
      <c r="J595" s="4"/>
      <c r="K595" s="4"/>
    </row>
    <row r="596">
      <c r="A596" s="4"/>
      <c r="B596" s="4"/>
      <c r="C596" s="4"/>
      <c r="D596" s="4"/>
      <c r="E596" s="4"/>
      <c r="F596" s="4"/>
      <c r="G596" s="4"/>
      <c r="H596" s="4"/>
      <c r="I596" s="8"/>
      <c r="J596" s="4"/>
      <c r="K596" s="4"/>
    </row>
    <row r="597">
      <c r="A597" s="4"/>
      <c r="B597" s="9"/>
      <c r="C597" s="4"/>
      <c r="D597" s="4"/>
      <c r="E597" s="4"/>
      <c r="F597" s="4"/>
      <c r="G597" s="4"/>
      <c r="H597" s="4"/>
      <c r="I597" s="8"/>
      <c r="J597" s="4"/>
      <c r="K597" s="4"/>
    </row>
    <row r="598">
      <c r="A598" s="4"/>
      <c r="B598" s="4"/>
      <c r="C598" s="4"/>
      <c r="D598" s="4"/>
      <c r="E598" s="4"/>
      <c r="F598" s="4"/>
      <c r="G598" s="4"/>
      <c r="H598" s="4"/>
      <c r="I598" s="8"/>
      <c r="J598" s="4"/>
      <c r="K598" s="4"/>
    </row>
    <row r="599">
      <c r="A599" s="4"/>
      <c r="B599" s="9"/>
      <c r="C599" s="4"/>
      <c r="D599" s="4"/>
      <c r="E599" s="4"/>
      <c r="F599" s="4"/>
      <c r="G599" s="4"/>
      <c r="H599" s="4"/>
      <c r="I599" s="8"/>
      <c r="J599" s="4"/>
      <c r="K599" s="4"/>
    </row>
    <row r="600">
      <c r="A600" s="4"/>
      <c r="B600" s="4"/>
      <c r="C600" s="4"/>
      <c r="D600" s="4"/>
      <c r="E600" s="4"/>
      <c r="F600" s="4"/>
      <c r="G600" s="4"/>
      <c r="H600" s="4"/>
      <c r="I600" s="8"/>
      <c r="J600" s="4"/>
      <c r="K600" s="4"/>
    </row>
    <row r="601">
      <c r="A601" s="4"/>
      <c r="B601" s="4"/>
      <c r="C601" s="4"/>
      <c r="D601" s="4"/>
      <c r="E601" s="4"/>
      <c r="F601" s="4"/>
      <c r="G601" s="4"/>
      <c r="H601" s="4"/>
      <c r="I601" s="8"/>
      <c r="J601" s="4"/>
      <c r="K601" s="4"/>
    </row>
    <row r="602">
      <c r="A602" s="4"/>
      <c r="B602" s="9"/>
      <c r="C602" s="4"/>
      <c r="D602" s="4"/>
      <c r="E602" s="4"/>
      <c r="F602" s="4"/>
      <c r="G602" s="4"/>
      <c r="H602" s="4"/>
      <c r="I602" s="8"/>
      <c r="J602" s="4"/>
      <c r="K602" s="4"/>
    </row>
    <row r="603">
      <c r="A603" s="4"/>
      <c r="B603" s="4"/>
      <c r="C603" s="4"/>
      <c r="D603" s="4"/>
      <c r="E603" s="4"/>
      <c r="F603" s="4"/>
      <c r="G603" s="4"/>
      <c r="H603" s="4"/>
      <c r="I603" s="8"/>
      <c r="J603" s="4"/>
      <c r="K603" s="4"/>
    </row>
    <row r="604">
      <c r="A604" s="4"/>
      <c r="B604" s="4"/>
      <c r="C604" s="4"/>
      <c r="D604" s="4"/>
      <c r="E604" s="4"/>
      <c r="F604" s="4"/>
      <c r="G604" s="4"/>
      <c r="H604" s="4"/>
      <c r="I604" s="8"/>
      <c r="J604" s="4"/>
      <c r="K604" s="4"/>
    </row>
    <row r="605">
      <c r="A605" s="4"/>
      <c r="B605" s="4"/>
      <c r="C605" s="4"/>
      <c r="D605" s="4"/>
      <c r="E605" s="4"/>
      <c r="F605" s="4"/>
      <c r="G605" s="4"/>
      <c r="H605" s="4"/>
      <c r="I605" s="8"/>
      <c r="J605" s="4"/>
      <c r="K605" s="4"/>
    </row>
    <row r="606">
      <c r="A606" s="4"/>
      <c r="B606" s="4"/>
      <c r="C606" s="4"/>
      <c r="D606" s="4"/>
      <c r="E606" s="4"/>
      <c r="F606" s="4"/>
      <c r="G606" s="4"/>
      <c r="H606" s="4"/>
      <c r="I606" s="8"/>
      <c r="J606" s="4"/>
      <c r="K606" s="4"/>
    </row>
    <row r="607">
      <c r="A607" s="4"/>
      <c r="B607" s="9"/>
      <c r="C607" s="4"/>
      <c r="D607" s="4"/>
      <c r="E607" s="4"/>
      <c r="F607" s="4"/>
      <c r="G607" s="4"/>
      <c r="H607" s="4"/>
      <c r="I607" s="8"/>
      <c r="J607" s="4"/>
      <c r="K607" s="4"/>
    </row>
    <row r="608">
      <c r="A608" s="4"/>
      <c r="B608" s="4"/>
      <c r="C608" s="4"/>
      <c r="D608" s="4"/>
      <c r="E608" s="4"/>
      <c r="F608" s="4"/>
      <c r="G608" s="4"/>
      <c r="H608" s="4"/>
      <c r="I608" s="8"/>
      <c r="J608" s="4"/>
      <c r="K608" s="4"/>
    </row>
    <row r="609">
      <c r="A609" s="4"/>
      <c r="B609" s="4"/>
      <c r="C609" s="4"/>
      <c r="D609" s="4"/>
      <c r="E609" s="4"/>
      <c r="F609" s="4"/>
      <c r="G609" s="4"/>
      <c r="H609" s="4"/>
      <c r="I609" s="8"/>
      <c r="J609" s="4"/>
      <c r="K609" s="4"/>
    </row>
    <row r="610">
      <c r="A610" s="4"/>
      <c r="B610" s="4"/>
      <c r="C610" s="4"/>
      <c r="D610" s="4"/>
      <c r="E610" s="4"/>
      <c r="F610" s="4"/>
      <c r="G610" s="4"/>
      <c r="H610" s="4"/>
      <c r="I610" s="8"/>
      <c r="J610" s="4"/>
      <c r="K610" s="4"/>
    </row>
    <row r="611">
      <c r="A611" s="4"/>
      <c r="B611" s="4"/>
      <c r="C611" s="4"/>
      <c r="D611" s="4"/>
      <c r="E611" s="4"/>
      <c r="F611" s="4"/>
      <c r="G611" s="4"/>
      <c r="H611" s="4"/>
      <c r="I611" s="8"/>
      <c r="J611" s="4"/>
      <c r="K611" s="4"/>
    </row>
    <row r="612">
      <c r="A612" s="4"/>
      <c r="B612" s="9"/>
      <c r="C612" s="4"/>
      <c r="E612" s="4"/>
      <c r="F612" s="4"/>
      <c r="G612" s="4"/>
      <c r="H612" s="4"/>
      <c r="I612" s="8"/>
      <c r="J612" s="4"/>
      <c r="K612" s="4"/>
    </row>
    <row r="613">
      <c r="A613" s="4"/>
      <c r="B613" s="9"/>
      <c r="C613" s="4"/>
      <c r="E613" s="4"/>
      <c r="F613" s="4"/>
      <c r="G613" s="4"/>
      <c r="H613" s="4"/>
      <c r="I613" s="8"/>
      <c r="J613" s="4"/>
      <c r="K613" s="4"/>
    </row>
    <row r="614">
      <c r="A614" s="4"/>
      <c r="B614" s="9"/>
      <c r="C614" s="4"/>
      <c r="E614" s="4"/>
      <c r="F614" s="4"/>
      <c r="G614" s="4"/>
      <c r="H614" s="4"/>
      <c r="I614" s="8"/>
      <c r="J614" s="4"/>
      <c r="K614" s="4"/>
    </row>
    <row r="615">
      <c r="A615" s="4"/>
      <c r="B615" s="9"/>
      <c r="C615" s="4"/>
      <c r="E615" s="4"/>
      <c r="F615" s="4"/>
      <c r="G615" s="4"/>
      <c r="H615" s="4"/>
      <c r="I615" s="8"/>
      <c r="J615" s="4"/>
      <c r="K615" s="4"/>
    </row>
    <row r="616">
      <c r="A616" s="4"/>
      <c r="B616" s="9"/>
      <c r="C616" s="4"/>
      <c r="D616" s="4"/>
      <c r="E616" s="4"/>
      <c r="F616" s="4"/>
      <c r="G616" s="4"/>
      <c r="H616" s="4"/>
      <c r="I616" s="8"/>
      <c r="J616" s="4"/>
      <c r="K616" s="4"/>
    </row>
    <row r="617">
      <c r="A617" s="4"/>
      <c r="B617" s="9"/>
      <c r="C617" s="4"/>
      <c r="E617" s="4"/>
      <c r="F617" s="4"/>
      <c r="G617" s="4"/>
      <c r="H617" s="4"/>
      <c r="I617" s="8"/>
      <c r="J617" s="4"/>
      <c r="K617" s="4"/>
    </row>
    <row r="618">
      <c r="A618" s="4"/>
      <c r="B618" s="9"/>
      <c r="C618" s="4"/>
      <c r="E618" s="4"/>
      <c r="F618" s="4"/>
      <c r="G618" s="4"/>
      <c r="H618" s="4"/>
      <c r="I618" s="8"/>
      <c r="J618" s="4"/>
      <c r="K618" s="4"/>
    </row>
    <row r="619">
      <c r="A619" s="4"/>
      <c r="B619" s="9"/>
      <c r="C619" s="4"/>
      <c r="D619" s="4"/>
      <c r="E619" s="4"/>
      <c r="F619" s="4"/>
      <c r="G619" s="4"/>
      <c r="H619" s="4"/>
      <c r="I619" s="8"/>
      <c r="J619" s="4"/>
      <c r="K619" s="4"/>
    </row>
    <row r="620">
      <c r="A620" s="4"/>
      <c r="B620" s="9"/>
      <c r="C620" s="4"/>
      <c r="D620" s="4"/>
      <c r="E620" s="4"/>
      <c r="F620" s="4"/>
      <c r="G620" s="4"/>
      <c r="H620" s="4"/>
      <c r="I620" s="8"/>
      <c r="J620" s="4"/>
      <c r="K620" s="4"/>
    </row>
    <row r="621">
      <c r="A621" s="4"/>
      <c r="B621" s="9"/>
      <c r="C621" s="4"/>
      <c r="D621" s="4"/>
      <c r="E621" s="4"/>
      <c r="F621" s="4"/>
      <c r="G621" s="4"/>
      <c r="H621" s="4"/>
      <c r="I621" s="8"/>
      <c r="J621" s="4"/>
      <c r="K621" s="4"/>
    </row>
    <row r="622">
      <c r="A622" s="4"/>
      <c r="B622" s="9"/>
      <c r="C622" s="4"/>
      <c r="D622" s="4"/>
      <c r="E622" s="4"/>
      <c r="F622" s="4"/>
      <c r="G622" s="4"/>
      <c r="H622" s="4"/>
      <c r="I622" s="8"/>
      <c r="J622" s="4"/>
      <c r="K622" s="4"/>
    </row>
    <row r="623">
      <c r="A623" s="4"/>
      <c r="B623" s="9"/>
      <c r="C623" s="4"/>
      <c r="D623" s="4"/>
      <c r="E623" s="4"/>
      <c r="F623" s="4"/>
      <c r="G623" s="4"/>
      <c r="H623" s="4"/>
      <c r="J623" s="4"/>
      <c r="K623" s="4"/>
    </row>
    <row r="624">
      <c r="A624" s="4"/>
      <c r="B624" s="9"/>
      <c r="C624" s="4"/>
      <c r="D624" s="4"/>
      <c r="E624" s="4"/>
      <c r="F624" s="4"/>
      <c r="G624" s="4"/>
      <c r="H624" s="4"/>
      <c r="J624" s="4"/>
      <c r="K624" s="4"/>
    </row>
    <row r="625">
      <c r="A625" s="4"/>
      <c r="B625" s="4"/>
      <c r="C625" s="4"/>
      <c r="E625" s="4"/>
      <c r="F625" s="4"/>
      <c r="G625" s="4"/>
      <c r="H625" s="4"/>
      <c r="I625" s="8"/>
      <c r="J625" s="4"/>
      <c r="K625" s="4"/>
    </row>
    <row r="626">
      <c r="A626" s="4"/>
      <c r="B626" s="4"/>
      <c r="C626" s="4"/>
      <c r="E626" s="4"/>
      <c r="F626" s="4"/>
      <c r="G626" s="4"/>
      <c r="H626" s="4"/>
      <c r="I626" s="8"/>
      <c r="J626" s="4"/>
      <c r="K626" s="4"/>
    </row>
    <row r="627">
      <c r="A627" s="4"/>
      <c r="B627" s="4"/>
      <c r="C627" s="4"/>
      <c r="E627" s="4"/>
      <c r="F627" s="4"/>
      <c r="G627" s="4"/>
      <c r="H627" s="4"/>
      <c r="I627" s="8"/>
      <c r="J627" s="4"/>
      <c r="K627" s="4"/>
    </row>
    <row r="628">
      <c r="A628" s="4"/>
      <c r="B628" s="4"/>
      <c r="C628" s="4"/>
      <c r="E628" s="4"/>
      <c r="F628" s="4"/>
      <c r="G628" s="4"/>
      <c r="H628" s="4"/>
      <c r="I628" s="8"/>
      <c r="J628" s="4"/>
      <c r="K628" s="4"/>
    </row>
    <row r="629">
      <c r="A629" s="4"/>
      <c r="B629" s="9"/>
      <c r="C629" s="4"/>
      <c r="D629" s="4"/>
      <c r="E629" s="4"/>
      <c r="F629" s="4"/>
      <c r="G629" s="4"/>
      <c r="H629" s="4"/>
      <c r="I629" s="8"/>
      <c r="J629" s="4"/>
      <c r="K629" s="4"/>
    </row>
    <row r="630">
      <c r="A630" s="4"/>
      <c r="B630" s="9"/>
      <c r="C630" s="4"/>
      <c r="D630" s="4"/>
      <c r="E630" s="4"/>
      <c r="F630" s="4"/>
      <c r="G630" s="4"/>
      <c r="H630" s="4"/>
      <c r="I630" s="8"/>
      <c r="J630" s="4"/>
      <c r="K630" s="4"/>
    </row>
    <row r="631">
      <c r="A631" s="4"/>
      <c r="B631" s="9"/>
      <c r="C631" s="4"/>
      <c r="D631" s="4"/>
      <c r="E631" s="4"/>
      <c r="F631" s="4"/>
      <c r="G631" s="4"/>
      <c r="H631" s="4"/>
      <c r="I631" s="8"/>
      <c r="J631" s="4"/>
      <c r="K631" s="4"/>
    </row>
    <row r="632">
      <c r="A632" s="4"/>
      <c r="B632" s="9"/>
      <c r="C632" s="4"/>
      <c r="D632" s="4"/>
      <c r="E632" s="4"/>
      <c r="F632" s="4"/>
      <c r="G632" s="4"/>
      <c r="H632" s="4"/>
      <c r="I632" s="8"/>
      <c r="J632" s="4"/>
      <c r="K632" s="4"/>
    </row>
    <row r="633">
      <c r="A633" s="4"/>
      <c r="B633" s="9"/>
      <c r="C633" s="4"/>
      <c r="D633" s="4"/>
      <c r="E633" s="4"/>
      <c r="F633" s="4"/>
      <c r="G633" s="4"/>
      <c r="H633" s="4"/>
      <c r="I633" s="8"/>
      <c r="J633" s="4"/>
      <c r="K633" s="4"/>
    </row>
    <row r="634">
      <c r="A634" s="4"/>
      <c r="B634" s="9"/>
      <c r="C634" s="4"/>
      <c r="D634" s="4"/>
      <c r="E634" s="4"/>
      <c r="F634" s="4"/>
      <c r="G634" s="4"/>
      <c r="H634" s="4"/>
      <c r="I634" s="8"/>
      <c r="J634" s="4"/>
      <c r="K634" s="4"/>
    </row>
    <row r="635">
      <c r="A635" s="4"/>
      <c r="B635" s="9"/>
      <c r="C635" s="4"/>
      <c r="D635" s="4"/>
      <c r="E635" s="4"/>
      <c r="F635" s="4"/>
      <c r="G635" s="4"/>
      <c r="H635" s="4"/>
      <c r="I635" s="8"/>
      <c r="J635" s="4"/>
      <c r="K635" s="4"/>
    </row>
    <row r="636">
      <c r="A636" s="4"/>
      <c r="B636" s="4"/>
      <c r="C636" s="4"/>
      <c r="E636" s="4"/>
      <c r="F636" s="4"/>
      <c r="G636" s="4"/>
      <c r="H636" s="4"/>
      <c r="I636" s="8"/>
      <c r="J636" s="4"/>
      <c r="K636" s="4"/>
    </row>
    <row r="637">
      <c r="A637" s="4"/>
      <c r="B637" s="4"/>
      <c r="C637" s="4"/>
      <c r="E637" s="4"/>
      <c r="F637" s="4"/>
      <c r="G637" s="4"/>
      <c r="H637" s="4"/>
      <c r="I637" s="8"/>
      <c r="J637" s="4"/>
      <c r="K637" s="4"/>
    </row>
    <row r="638">
      <c r="A638" s="4"/>
      <c r="B638" s="4"/>
      <c r="C638" s="4"/>
      <c r="E638" s="4"/>
      <c r="F638" s="4"/>
      <c r="G638" s="4"/>
      <c r="H638" s="4"/>
      <c r="I638" s="8"/>
      <c r="J638" s="4"/>
      <c r="K638" s="4"/>
    </row>
    <row r="639">
      <c r="A639" s="4"/>
      <c r="B639" s="4"/>
      <c r="C639" s="4"/>
      <c r="E639" s="4"/>
      <c r="F639" s="4"/>
      <c r="G639" s="4"/>
      <c r="H639" s="4"/>
      <c r="I639" s="8"/>
      <c r="J639" s="4"/>
      <c r="K639" s="4"/>
    </row>
    <row r="640">
      <c r="A640" s="4"/>
      <c r="B640" s="4"/>
      <c r="C640" s="4"/>
      <c r="E640" s="4"/>
      <c r="F640" s="4"/>
      <c r="G640" s="4"/>
      <c r="H640" s="4"/>
      <c r="I640" s="8"/>
      <c r="J640" s="4"/>
      <c r="K640" s="4"/>
    </row>
    <row r="641">
      <c r="A641" s="4"/>
      <c r="B641" s="9"/>
      <c r="C641" s="4"/>
      <c r="F641" s="4"/>
      <c r="G641" s="4"/>
      <c r="H641" s="4"/>
      <c r="I641" s="8"/>
      <c r="J641" s="4"/>
      <c r="K641" s="4"/>
    </row>
    <row r="642">
      <c r="A642" s="4"/>
      <c r="B642" s="9"/>
      <c r="C642" s="4"/>
      <c r="F642" s="4"/>
      <c r="G642" s="4"/>
      <c r="H642" s="4"/>
      <c r="I642" s="8"/>
      <c r="J642" s="4"/>
      <c r="K642" s="4"/>
    </row>
    <row r="643">
      <c r="A643" s="4"/>
      <c r="B643" s="9"/>
      <c r="C643" s="4"/>
      <c r="E643" s="4"/>
      <c r="F643" s="4"/>
      <c r="G643" s="4"/>
      <c r="H643" s="4"/>
      <c r="I643" s="8"/>
      <c r="J643" s="4"/>
      <c r="K643" s="4"/>
    </row>
    <row r="644">
      <c r="A644" s="4"/>
      <c r="B644" s="9"/>
      <c r="C644" s="4"/>
      <c r="E644" s="4"/>
      <c r="F644" s="4"/>
      <c r="G644" s="4"/>
      <c r="H644" s="4"/>
      <c r="I644" s="8"/>
      <c r="J644" s="4"/>
      <c r="K644" s="4"/>
    </row>
    <row r="645">
      <c r="A645" s="4"/>
      <c r="B645" s="9"/>
      <c r="C645" s="4"/>
      <c r="D645" s="4"/>
      <c r="E645" s="4"/>
      <c r="F645" s="4"/>
      <c r="G645" s="4"/>
      <c r="H645" s="4"/>
      <c r="I645" s="8"/>
      <c r="J645" s="4"/>
      <c r="K645" s="4"/>
    </row>
    <row r="646">
      <c r="A646" s="4"/>
      <c r="B646" s="9"/>
      <c r="C646" s="4"/>
      <c r="D646" s="4"/>
      <c r="E646" s="4"/>
      <c r="F646" s="4"/>
      <c r="G646" s="4"/>
      <c r="H646" s="4"/>
      <c r="I646" s="8"/>
      <c r="J646" s="4"/>
      <c r="K646" s="4"/>
    </row>
    <row r="647">
      <c r="A647" s="4"/>
      <c r="B647" s="9"/>
      <c r="C647" s="4"/>
      <c r="D647" s="4"/>
      <c r="E647" s="4"/>
      <c r="F647" s="4"/>
      <c r="G647" s="4"/>
      <c r="H647" s="4"/>
      <c r="I647" s="8"/>
      <c r="J647" s="4"/>
      <c r="K647" s="4"/>
    </row>
    <row r="648">
      <c r="A648" s="4"/>
      <c r="B648" s="9"/>
      <c r="C648" s="4"/>
      <c r="D648" s="4"/>
      <c r="E648" s="4"/>
      <c r="F648" s="4"/>
      <c r="G648" s="4"/>
      <c r="H648" s="4"/>
      <c r="I648" s="8"/>
      <c r="J648" s="4"/>
      <c r="K648" s="4"/>
    </row>
    <row r="649">
      <c r="A649" s="4"/>
      <c r="B649" s="9"/>
      <c r="C649" s="4"/>
      <c r="D649" s="4"/>
      <c r="E649" s="4"/>
      <c r="F649" s="4"/>
      <c r="G649" s="4"/>
      <c r="H649" s="4"/>
      <c r="I649" s="8"/>
      <c r="J649" s="4"/>
      <c r="K649" s="4"/>
    </row>
    <row r="650">
      <c r="A650" s="4"/>
      <c r="B650" s="4"/>
      <c r="C650" s="4"/>
      <c r="E650" s="4"/>
      <c r="F650" s="4"/>
      <c r="G650" s="4"/>
      <c r="H650" s="4"/>
      <c r="I650" s="8"/>
      <c r="J650" s="4"/>
      <c r="K650" s="4"/>
    </row>
    <row r="651">
      <c r="A651" s="4"/>
      <c r="B651" s="4"/>
      <c r="C651" s="4"/>
      <c r="E651" s="4"/>
      <c r="F651" s="4"/>
      <c r="G651" s="4"/>
      <c r="H651" s="4"/>
      <c r="I651" s="8"/>
      <c r="J651" s="4"/>
      <c r="K651" s="4"/>
    </row>
    <row r="652">
      <c r="A652" s="4"/>
      <c r="B652" s="4"/>
      <c r="C652" s="4"/>
      <c r="E652" s="4"/>
      <c r="F652" s="4"/>
      <c r="G652" s="4"/>
      <c r="H652" s="4"/>
      <c r="I652" s="8"/>
      <c r="J652" s="4"/>
      <c r="K652" s="4"/>
    </row>
    <row r="653">
      <c r="A653" s="4"/>
      <c r="B653" s="4"/>
      <c r="C653" s="4"/>
      <c r="E653" s="4"/>
      <c r="F653" s="4"/>
      <c r="G653" s="4"/>
      <c r="H653" s="4"/>
      <c r="I653" s="8"/>
      <c r="J653" s="4"/>
      <c r="K653" s="4"/>
    </row>
    <row r="654">
      <c r="A654" s="4"/>
      <c r="B654" s="4"/>
      <c r="C654" s="4"/>
      <c r="E654" s="4"/>
      <c r="F654" s="4"/>
      <c r="G654" s="4"/>
      <c r="H654" s="4"/>
      <c r="I654" s="8"/>
      <c r="J654" s="4"/>
      <c r="K654" s="4"/>
    </row>
    <row r="655">
      <c r="A655" s="4"/>
      <c r="B655" s="4"/>
      <c r="C655" s="4"/>
      <c r="E655" s="4"/>
      <c r="F655" s="4"/>
      <c r="G655" s="4"/>
      <c r="H655" s="4"/>
      <c r="I655" s="8"/>
      <c r="J655" s="4"/>
      <c r="K655" s="4"/>
    </row>
    <row r="656">
      <c r="A656" s="4"/>
      <c r="B656" s="9"/>
      <c r="C656" s="4"/>
      <c r="E656" s="4"/>
      <c r="F656" s="4"/>
      <c r="G656" s="4"/>
      <c r="H656" s="4"/>
      <c r="I656" s="8"/>
      <c r="J656" s="4"/>
      <c r="K656" s="4"/>
    </row>
    <row r="657">
      <c r="A657" s="4"/>
      <c r="B657" s="9"/>
      <c r="C657" s="4"/>
      <c r="E657" s="4"/>
      <c r="F657" s="4"/>
      <c r="G657" s="4"/>
      <c r="H657" s="4"/>
      <c r="I657" s="8"/>
      <c r="J657" s="4"/>
      <c r="K657" s="4"/>
    </row>
    <row r="658">
      <c r="A658" s="4"/>
      <c r="B658" s="9"/>
      <c r="C658" s="4"/>
      <c r="E658" s="4"/>
      <c r="F658" s="4"/>
      <c r="G658" s="4"/>
      <c r="H658" s="4"/>
      <c r="I658" s="8"/>
      <c r="J658" s="4"/>
      <c r="K658" s="4"/>
    </row>
    <row r="659">
      <c r="A659" s="4"/>
      <c r="B659" s="9"/>
      <c r="C659" s="4"/>
      <c r="E659" s="4"/>
      <c r="F659" s="4"/>
      <c r="G659" s="4"/>
      <c r="H659" s="4"/>
      <c r="I659" s="8"/>
      <c r="J659" s="4"/>
      <c r="K659" s="4"/>
    </row>
    <row r="660">
      <c r="A660" s="4"/>
      <c r="B660" s="9"/>
      <c r="C660" s="4"/>
      <c r="E660" s="4"/>
      <c r="F660" s="4"/>
      <c r="G660" s="4"/>
      <c r="H660" s="4"/>
      <c r="I660" s="8"/>
      <c r="J660" s="4"/>
      <c r="K660" s="4"/>
    </row>
    <row r="661">
      <c r="A661" s="4"/>
      <c r="B661" s="9"/>
      <c r="C661" s="4"/>
      <c r="E661" s="4"/>
      <c r="F661" s="4"/>
      <c r="G661" s="4"/>
      <c r="H661" s="4"/>
      <c r="I661" s="8"/>
      <c r="J661" s="4"/>
      <c r="K661" s="4"/>
    </row>
    <row r="662">
      <c r="A662" s="4"/>
      <c r="B662" s="9"/>
      <c r="C662" s="4"/>
      <c r="E662" s="4"/>
      <c r="F662" s="4"/>
      <c r="G662" s="4"/>
      <c r="H662" s="4"/>
      <c r="I662" s="8"/>
      <c r="J662" s="4"/>
      <c r="K662" s="4"/>
    </row>
    <row r="663">
      <c r="A663" s="4"/>
      <c r="B663" s="9"/>
      <c r="C663" s="4"/>
      <c r="E663" s="4"/>
      <c r="F663" s="4"/>
      <c r="G663" s="4"/>
      <c r="H663" s="4"/>
      <c r="I663" s="8"/>
      <c r="J663" s="4"/>
      <c r="K663" s="4"/>
    </row>
    <row r="664">
      <c r="A664" s="4"/>
      <c r="B664" s="9"/>
      <c r="C664" s="4"/>
      <c r="E664" s="4"/>
      <c r="F664" s="4"/>
      <c r="G664" s="4"/>
      <c r="H664" s="4"/>
      <c r="I664" s="8"/>
      <c r="J664" s="4"/>
      <c r="K664" s="4"/>
    </row>
    <row r="665">
      <c r="A665" s="4"/>
      <c r="B665" s="9"/>
      <c r="C665" s="4"/>
      <c r="D665" s="4"/>
      <c r="E665" s="4"/>
      <c r="F665" s="4"/>
      <c r="G665" s="4"/>
      <c r="H665" s="4"/>
      <c r="I665" s="8"/>
      <c r="J665" s="4"/>
      <c r="K665" s="4"/>
    </row>
    <row r="666">
      <c r="A666" s="4"/>
      <c r="B666" s="9"/>
      <c r="C666" s="4"/>
      <c r="E666" s="4"/>
      <c r="F666" s="4"/>
      <c r="G666" s="4"/>
      <c r="H666" s="4"/>
      <c r="I666" s="8"/>
      <c r="J666" s="4"/>
      <c r="K666" s="4"/>
    </row>
    <row r="667">
      <c r="A667" s="4"/>
      <c r="B667" s="4"/>
      <c r="C667" s="4"/>
      <c r="E667" s="4"/>
      <c r="F667" s="4"/>
      <c r="G667" s="4"/>
      <c r="H667" s="4"/>
      <c r="I667" s="8"/>
      <c r="J667" s="4"/>
      <c r="K667" s="4"/>
    </row>
    <row r="668">
      <c r="A668" s="4"/>
      <c r="B668" s="4"/>
      <c r="C668" s="4"/>
      <c r="E668" s="4"/>
      <c r="F668" s="4"/>
      <c r="G668" s="4"/>
      <c r="H668" s="4"/>
      <c r="I668" s="8"/>
      <c r="J668" s="4"/>
      <c r="K668" s="4"/>
    </row>
    <row r="669">
      <c r="A669" s="4"/>
      <c r="B669" s="4"/>
      <c r="C669" s="4"/>
      <c r="E669" s="4"/>
      <c r="F669" s="4"/>
      <c r="G669" s="4"/>
      <c r="H669" s="4"/>
      <c r="I669" s="8"/>
      <c r="J669" s="4"/>
      <c r="K669" s="4"/>
    </row>
    <row r="670">
      <c r="A670" s="4"/>
      <c r="B670" s="4"/>
      <c r="C670" s="4"/>
      <c r="E670" s="4"/>
      <c r="F670" s="4"/>
      <c r="G670" s="4"/>
      <c r="H670" s="4"/>
      <c r="I670" s="8"/>
      <c r="J670" s="4"/>
      <c r="K670" s="4"/>
    </row>
    <row r="671">
      <c r="A671" s="4"/>
      <c r="B671" s="4"/>
      <c r="C671" s="4"/>
      <c r="E671" s="4"/>
      <c r="F671" s="4"/>
      <c r="G671" s="4"/>
      <c r="H671" s="4"/>
      <c r="I671" s="8"/>
      <c r="J671" s="4"/>
      <c r="K671" s="4"/>
    </row>
    <row r="672">
      <c r="A672" s="4"/>
      <c r="B672" s="4"/>
      <c r="C672" s="4"/>
      <c r="E672" s="4"/>
      <c r="F672" s="4"/>
      <c r="G672" s="4"/>
      <c r="H672" s="4"/>
      <c r="I672" s="8"/>
      <c r="J672" s="4"/>
      <c r="K672" s="4"/>
    </row>
    <row r="673">
      <c r="A673" s="4"/>
      <c r="B673" s="4"/>
      <c r="C673" s="4"/>
      <c r="E673" s="4"/>
      <c r="F673" s="4"/>
      <c r="G673" s="4"/>
      <c r="H673" s="4"/>
      <c r="I673" s="8"/>
      <c r="J673" s="4"/>
      <c r="K673" s="4"/>
    </row>
    <row r="674">
      <c r="A674" s="4"/>
      <c r="B674" s="4"/>
      <c r="C674" s="4"/>
      <c r="E674" s="4"/>
      <c r="F674" s="4"/>
      <c r="G674" s="4"/>
      <c r="H674" s="4"/>
      <c r="I674" s="8"/>
      <c r="J674" s="4"/>
      <c r="K674" s="4"/>
    </row>
    <row r="675">
      <c r="A675" s="4"/>
      <c r="B675" s="4"/>
      <c r="C675" s="4"/>
      <c r="E675" s="4"/>
      <c r="F675" s="4"/>
      <c r="G675" s="4"/>
      <c r="H675" s="4"/>
      <c r="I675" s="8"/>
      <c r="J675" s="4"/>
      <c r="K675" s="4"/>
    </row>
    <row r="676">
      <c r="A676" s="4"/>
      <c r="B676" s="4"/>
      <c r="C676" s="4"/>
      <c r="E676" s="4"/>
      <c r="F676" s="4"/>
      <c r="G676" s="4"/>
      <c r="H676" s="4"/>
      <c r="I676" s="8"/>
      <c r="J676" s="4"/>
      <c r="K676" s="4"/>
    </row>
    <row r="677">
      <c r="A677" s="4"/>
      <c r="B677" s="9"/>
      <c r="C677" s="4"/>
      <c r="D677" s="4"/>
      <c r="E677" s="4"/>
      <c r="F677" s="4"/>
      <c r="G677" s="4"/>
      <c r="H677" s="4"/>
      <c r="I677" s="8"/>
      <c r="J677" s="4"/>
      <c r="K677" s="4"/>
    </row>
    <row r="678">
      <c r="A678" s="4"/>
      <c r="B678" s="9"/>
      <c r="C678" s="4"/>
      <c r="D678" s="4"/>
      <c r="E678" s="4"/>
      <c r="F678" s="4"/>
      <c r="G678" s="4"/>
      <c r="H678" s="4"/>
      <c r="I678" s="8"/>
      <c r="J678" s="4"/>
      <c r="K678" s="4"/>
    </row>
    <row r="679">
      <c r="A679" s="4"/>
      <c r="B679" s="9"/>
      <c r="C679" s="4"/>
      <c r="D679" s="4"/>
      <c r="E679" s="4"/>
      <c r="F679" s="4"/>
      <c r="G679" s="4"/>
      <c r="H679" s="4"/>
      <c r="I679" s="8"/>
      <c r="J679" s="4"/>
      <c r="K679" s="4"/>
    </row>
    <row r="680">
      <c r="A680" s="4"/>
      <c r="B680" s="9"/>
      <c r="C680" s="4"/>
      <c r="D680" s="4"/>
      <c r="E680" s="4"/>
      <c r="F680" s="4"/>
      <c r="G680" s="4"/>
      <c r="H680" s="4"/>
      <c r="J680" s="4"/>
      <c r="K680" s="4"/>
    </row>
    <row r="681">
      <c r="A681" s="4"/>
      <c r="B681" s="9"/>
      <c r="C681" s="4"/>
      <c r="D681" s="4"/>
      <c r="E681" s="4"/>
      <c r="F681" s="4"/>
      <c r="G681" s="4"/>
      <c r="H681" s="4"/>
      <c r="I681" s="8"/>
      <c r="J681" s="4"/>
      <c r="K681" s="4"/>
    </row>
    <row r="682">
      <c r="A682" s="4"/>
      <c r="B682" s="9"/>
      <c r="C682" s="4"/>
      <c r="D682" s="4"/>
      <c r="E682" s="4"/>
      <c r="F682" s="4"/>
      <c r="G682" s="4"/>
      <c r="H682" s="4"/>
      <c r="I682" s="8"/>
      <c r="J682" s="4"/>
      <c r="K682" s="4"/>
    </row>
    <row r="683">
      <c r="A683" s="4"/>
      <c r="B683" s="4"/>
      <c r="C683" s="4"/>
      <c r="E683" s="4"/>
      <c r="F683" s="4"/>
      <c r="G683" s="4"/>
      <c r="H683" s="4"/>
      <c r="I683" s="8"/>
      <c r="J683" s="4"/>
      <c r="K683" s="4"/>
    </row>
    <row r="684">
      <c r="A684" s="4"/>
      <c r="B684" s="9"/>
      <c r="C684" s="4"/>
      <c r="E684" s="4"/>
      <c r="F684" s="4"/>
      <c r="G684" s="4"/>
      <c r="H684" s="4"/>
      <c r="I684" s="8"/>
      <c r="J684" s="4"/>
      <c r="K684" s="4"/>
    </row>
    <row r="685">
      <c r="A685" s="4"/>
      <c r="B685" s="4"/>
      <c r="C685" s="4"/>
      <c r="D685" s="4"/>
      <c r="E685" s="4"/>
      <c r="F685" s="4"/>
      <c r="G685" s="4"/>
      <c r="H685" s="4"/>
      <c r="J685" s="4"/>
      <c r="K685" s="4"/>
    </row>
    <row r="686">
      <c r="A686" s="4"/>
      <c r="B686" s="9"/>
      <c r="C686" s="4"/>
      <c r="D686" s="4"/>
      <c r="E686" s="4"/>
      <c r="F686" s="4"/>
      <c r="G686" s="4"/>
      <c r="H686" s="4"/>
      <c r="I686" s="8"/>
      <c r="J686" s="4"/>
      <c r="K686" s="4"/>
    </row>
    <row r="687">
      <c r="A687" s="4"/>
      <c r="B687" s="9"/>
      <c r="C687" s="4"/>
      <c r="D687" s="4"/>
      <c r="E687" s="4"/>
      <c r="F687" s="4"/>
      <c r="G687" s="4"/>
      <c r="H687" s="4"/>
      <c r="I687" s="8"/>
      <c r="J687" s="4"/>
      <c r="K687" s="4"/>
    </row>
    <row r="688">
      <c r="A688" s="4"/>
      <c r="B688" s="9"/>
      <c r="C688" s="4"/>
      <c r="E688" s="4"/>
      <c r="F688" s="4"/>
      <c r="G688" s="4"/>
      <c r="H688" s="4"/>
      <c r="I688" s="8"/>
      <c r="J688" s="4"/>
      <c r="K688" s="4"/>
    </row>
    <row r="689">
      <c r="A689" s="4"/>
      <c r="B689" s="9"/>
      <c r="C689" s="4"/>
      <c r="E689" s="4"/>
      <c r="F689" s="4"/>
      <c r="G689" s="4"/>
      <c r="H689" s="4"/>
      <c r="I689" s="8"/>
      <c r="J689" s="4"/>
      <c r="K689" s="4"/>
    </row>
    <row r="690">
      <c r="A690" s="4"/>
      <c r="B690" s="4"/>
      <c r="C690" s="4"/>
      <c r="D690" s="4"/>
      <c r="E690" s="4"/>
      <c r="F690" s="4"/>
      <c r="G690" s="4"/>
      <c r="H690" s="4"/>
      <c r="I690" s="8"/>
      <c r="J690" s="4"/>
      <c r="K690" s="4"/>
    </row>
    <row r="691">
      <c r="A691" s="4"/>
      <c r="B691" s="4"/>
      <c r="C691" s="4"/>
      <c r="D691" s="4"/>
      <c r="E691" s="4"/>
      <c r="F691" s="4"/>
      <c r="G691" s="4"/>
      <c r="H691" s="4"/>
      <c r="I691" s="8"/>
      <c r="J691" s="4"/>
      <c r="K691" s="4"/>
    </row>
    <row r="692">
      <c r="A692" s="4"/>
      <c r="B692" s="4"/>
      <c r="C692" s="4"/>
      <c r="D692" s="4"/>
      <c r="E692" s="4"/>
      <c r="F692" s="4"/>
      <c r="G692" s="4"/>
      <c r="H692" s="4"/>
      <c r="I692" s="8"/>
      <c r="J692" s="4"/>
      <c r="K692" s="4"/>
    </row>
    <row r="693">
      <c r="A693" s="4"/>
      <c r="B693" s="4"/>
      <c r="C693" s="4"/>
      <c r="D693" s="4"/>
      <c r="E693" s="4"/>
      <c r="F693" s="4"/>
      <c r="G693" s="4"/>
      <c r="H693" s="4"/>
      <c r="I693" s="8"/>
      <c r="J693" s="4"/>
      <c r="K693" s="4"/>
    </row>
    <row r="694">
      <c r="A694" s="4"/>
      <c r="B694" s="4"/>
      <c r="C694" s="4"/>
      <c r="D694" s="4"/>
      <c r="E694" s="4"/>
      <c r="F694" s="4"/>
      <c r="G694" s="4"/>
      <c r="H694" s="4"/>
      <c r="I694" s="8"/>
      <c r="J694" s="4"/>
      <c r="K694" s="4"/>
    </row>
    <row r="695">
      <c r="A695" s="4"/>
      <c r="B695" s="4"/>
      <c r="C695" s="4"/>
      <c r="D695" s="4"/>
      <c r="E695" s="4"/>
      <c r="F695" s="4"/>
      <c r="G695" s="4"/>
      <c r="H695" s="4"/>
      <c r="I695" s="8"/>
      <c r="J695" s="4"/>
      <c r="K695" s="4"/>
    </row>
    <row r="696">
      <c r="A696" s="4"/>
      <c r="B696" s="9"/>
      <c r="C696" s="4"/>
      <c r="D696" s="4"/>
      <c r="E696" s="4"/>
      <c r="F696" s="4"/>
      <c r="G696" s="4"/>
      <c r="H696" s="4"/>
      <c r="I696" s="8"/>
      <c r="J696" s="4"/>
      <c r="K696" s="4"/>
    </row>
    <row r="697">
      <c r="A697" s="4"/>
      <c r="B697" s="9"/>
      <c r="C697" s="4"/>
      <c r="E697" s="4"/>
      <c r="F697" s="4"/>
      <c r="G697" s="4"/>
      <c r="H697" s="4"/>
      <c r="I697" s="8"/>
      <c r="J697" s="4"/>
      <c r="K697" s="4"/>
    </row>
    <row r="698">
      <c r="A698" s="4"/>
      <c r="B698" s="9"/>
      <c r="C698" s="4"/>
      <c r="E698" s="4"/>
      <c r="F698" s="4"/>
      <c r="G698" s="4"/>
      <c r="H698" s="4"/>
      <c r="I698" s="8"/>
      <c r="J698" s="4"/>
      <c r="K698" s="4"/>
    </row>
    <row r="699">
      <c r="A699" s="4"/>
      <c r="B699" s="9"/>
      <c r="C699" s="4"/>
      <c r="E699" s="4"/>
      <c r="F699" s="4"/>
      <c r="G699" s="4"/>
      <c r="H699" s="4"/>
      <c r="I699" s="8"/>
      <c r="J699" s="4"/>
      <c r="K699" s="4"/>
    </row>
    <row r="700">
      <c r="A700" s="4"/>
      <c r="B700" s="4"/>
      <c r="C700" s="4"/>
      <c r="D700" s="4"/>
      <c r="E700" s="4"/>
      <c r="F700" s="4"/>
      <c r="G700" s="4"/>
      <c r="H700" s="4"/>
      <c r="I700" s="8"/>
      <c r="J700" s="4"/>
      <c r="K700" s="4"/>
    </row>
    <row r="701">
      <c r="A701" s="4"/>
      <c r="B701" s="4"/>
      <c r="C701" s="4"/>
      <c r="D701" s="4"/>
      <c r="E701" s="4"/>
      <c r="F701" s="4"/>
      <c r="G701" s="4"/>
      <c r="H701" s="4"/>
      <c r="I701" s="8"/>
      <c r="J701" s="4"/>
      <c r="K701" s="4"/>
    </row>
    <row r="702">
      <c r="A702" s="4"/>
      <c r="B702" s="4"/>
      <c r="C702" s="4"/>
      <c r="D702" s="4"/>
      <c r="E702" s="4"/>
      <c r="F702" s="4"/>
      <c r="G702" s="4"/>
      <c r="H702" s="4"/>
      <c r="I702" s="8"/>
      <c r="J702" s="4"/>
      <c r="K702" s="4"/>
    </row>
    <row r="703">
      <c r="A703" s="4"/>
      <c r="B703" s="4"/>
      <c r="C703" s="4"/>
      <c r="D703" s="4"/>
      <c r="E703" s="4"/>
      <c r="F703" s="4"/>
      <c r="G703" s="4"/>
      <c r="H703" s="4"/>
      <c r="I703" s="8"/>
      <c r="J703" s="4"/>
      <c r="K703" s="4"/>
    </row>
    <row r="704">
      <c r="A704" s="4"/>
      <c r="B704" s="4"/>
      <c r="C704" s="4"/>
      <c r="D704" s="4"/>
      <c r="E704" s="4"/>
      <c r="F704" s="4"/>
      <c r="G704" s="4"/>
      <c r="H704" s="4"/>
      <c r="I704" s="8"/>
      <c r="J704" s="4"/>
      <c r="K704" s="4"/>
    </row>
    <row r="705">
      <c r="A705" s="4"/>
      <c r="B705" s="4"/>
      <c r="C705" s="4"/>
      <c r="D705" s="4"/>
      <c r="E705" s="4"/>
      <c r="F705" s="4"/>
      <c r="G705" s="4"/>
      <c r="H705" s="4"/>
      <c r="I705" s="8"/>
      <c r="J705" s="4"/>
      <c r="K705" s="4"/>
    </row>
    <row r="706">
      <c r="A706" s="4"/>
      <c r="B706" s="9"/>
      <c r="C706" s="4"/>
      <c r="E706" s="4"/>
      <c r="F706" s="4"/>
      <c r="G706" s="4"/>
      <c r="H706" s="4"/>
      <c r="I706" s="8"/>
      <c r="J706" s="4"/>
      <c r="K706" s="4"/>
    </row>
    <row r="707">
      <c r="A707" s="4"/>
      <c r="B707" s="4"/>
      <c r="C707" s="4"/>
      <c r="D707" s="4"/>
      <c r="E707" s="4"/>
      <c r="F707" s="4"/>
      <c r="G707" s="4"/>
      <c r="H707" s="4"/>
      <c r="I707" s="8"/>
      <c r="J707" s="4"/>
      <c r="K707" s="4"/>
    </row>
    <row r="708">
      <c r="A708" s="4"/>
      <c r="B708" s="9"/>
      <c r="C708" s="4"/>
      <c r="D708" s="4"/>
      <c r="E708" s="4"/>
      <c r="F708" s="4"/>
      <c r="G708" s="4"/>
      <c r="H708" s="4"/>
      <c r="I708" s="8"/>
      <c r="J708" s="4"/>
      <c r="K708" s="4"/>
    </row>
    <row r="709">
      <c r="A709" s="4"/>
      <c r="B709" s="9"/>
      <c r="C709" s="4"/>
      <c r="D709" s="4"/>
      <c r="E709" s="4"/>
      <c r="F709" s="4"/>
      <c r="G709" s="4"/>
      <c r="H709" s="4"/>
      <c r="I709" s="8"/>
      <c r="J709" s="4"/>
      <c r="K709" s="4"/>
    </row>
    <row r="710">
      <c r="A710" s="4"/>
      <c r="B710" s="4"/>
      <c r="C710" s="4"/>
      <c r="D710" s="4"/>
      <c r="E710" s="4"/>
      <c r="F710" s="4"/>
      <c r="G710" s="4"/>
      <c r="H710" s="4"/>
      <c r="I710" s="8"/>
      <c r="J710" s="4"/>
      <c r="K710" s="4"/>
    </row>
    <row r="711">
      <c r="A711" s="4"/>
      <c r="B711" s="4"/>
      <c r="C711" s="4"/>
      <c r="D711" s="4"/>
      <c r="E711" s="4"/>
      <c r="F711" s="4"/>
      <c r="G711" s="4"/>
      <c r="H711" s="4"/>
      <c r="I711" s="8"/>
      <c r="J711" s="4"/>
      <c r="K711" s="4"/>
    </row>
    <row r="712">
      <c r="A712" s="4"/>
      <c r="B712" s="4"/>
      <c r="C712" s="4"/>
      <c r="D712" s="4"/>
      <c r="E712" s="4"/>
      <c r="F712" s="4"/>
      <c r="G712" s="4"/>
      <c r="H712" s="4"/>
      <c r="I712" s="8"/>
      <c r="J712" s="4"/>
      <c r="K712" s="4"/>
    </row>
    <row r="713">
      <c r="A713" s="4"/>
      <c r="B713" s="4"/>
      <c r="C713" s="4"/>
      <c r="D713" s="4"/>
      <c r="E713" s="4"/>
      <c r="F713" s="4"/>
      <c r="G713" s="4"/>
      <c r="H713" s="4"/>
      <c r="I713" s="8"/>
      <c r="J713" s="4"/>
      <c r="K713" s="4"/>
    </row>
    <row r="714">
      <c r="A714" s="4"/>
      <c r="B714" s="4"/>
      <c r="C714" s="4"/>
      <c r="D714" s="4"/>
      <c r="E714" s="4"/>
      <c r="F714" s="4"/>
      <c r="G714" s="4"/>
      <c r="H714" s="4"/>
      <c r="I714" s="8"/>
      <c r="J714" s="4"/>
      <c r="K714" s="4"/>
    </row>
    <row r="715">
      <c r="A715" s="4"/>
      <c r="B715" s="4"/>
      <c r="C715" s="4"/>
      <c r="D715" s="4"/>
      <c r="E715" s="4"/>
      <c r="F715" s="4"/>
      <c r="G715" s="4"/>
      <c r="H715" s="4"/>
      <c r="I715" s="8"/>
      <c r="J715" s="4"/>
      <c r="K715" s="4"/>
    </row>
    <row r="716">
      <c r="A716" s="4"/>
      <c r="B716" s="9"/>
      <c r="C716" s="4"/>
      <c r="E716" s="4"/>
      <c r="F716" s="4"/>
      <c r="G716" s="4"/>
      <c r="H716" s="4"/>
      <c r="I716" s="8"/>
      <c r="J716" s="4"/>
      <c r="K716" s="4"/>
    </row>
    <row r="717">
      <c r="A717" s="4"/>
      <c r="B717" s="9"/>
      <c r="C717" s="4"/>
      <c r="E717" s="4"/>
      <c r="F717" s="4"/>
      <c r="G717" s="4"/>
      <c r="H717" s="4"/>
      <c r="I717" s="8"/>
      <c r="J717" s="4"/>
      <c r="K717" s="4"/>
    </row>
    <row r="718">
      <c r="A718" s="4"/>
      <c r="B718" s="9"/>
      <c r="C718" s="4"/>
      <c r="E718" s="4"/>
      <c r="F718" s="4"/>
      <c r="G718" s="4"/>
      <c r="H718" s="4"/>
      <c r="I718" s="8"/>
      <c r="J718" s="4"/>
      <c r="K718" s="4"/>
    </row>
    <row r="719">
      <c r="A719" s="4"/>
      <c r="B719" s="9"/>
      <c r="C719" s="4"/>
      <c r="D719" s="4"/>
      <c r="E719" s="4"/>
      <c r="F719" s="4"/>
      <c r="G719" s="4"/>
      <c r="H719" s="4"/>
      <c r="J719" s="4"/>
      <c r="K719" s="4"/>
    </row>
    <row r="720">
      <c r="A720" s="4"/>
      <c r="B720" s="9"/>
      <c r="C720" s="4"/>
      <c r="D720" s="4"/>
      <c r="E720" s="4"/>
      <c r="F720" s="4"/>
      <c r="G720" s="4"/>
      <c r="H720" s="4"/>
      <c r="I720" s="8"/>
      <c r="J720" s="4"/>
      <c r="K720" s="4"/>
    </row>
    <row r="721">
      <c r="A721" s="4"/>
      <c r="B721" s="4"/>
      <c r="C721" s="4"/>
      <c r="E721" s="4"/>
      <c r="F721" s="4"/>
      <c r="G721" s="4"/>
      <c r="H721" s="4"/>
      <c r="I721" s="8"/>
      <c r="J721" s="4"/>
      <c r="K721" s="4"/>
    </row>
    <row r="722">
      <c r="A722" s="4"/>
      <c r="B722" s="9"/>
      <c r="C722" s="4"/>
      <c r="D722" s="4"/>
      <c r="E722" s="4"/>
      <c r="F722" s="4"/>
      <c r="G722" s="4"/>
      <c r="H722" s="4"/>
      <c r="I722" s="8"/>
      <c r="J722" s="4"/>
      <c r="K722" s="4"/>
    </row>
    <row r="723">
      <c r="A723" s="4"/>
      <c r="B723" s="9"/>
      <c r="C723" s="4"/>
      <c r="E723" s="4"/>
      <c r="F723" s="4"/>
      <c r="G723" s="4"/>
      <c r="H723" s="4"/>
      <c r="I723" s="8"/>
      <c r="J723" s="4"/>
      <c r="K723" s="4"/>
    </row>
    <row r="724">
      <c r="A724" s="4"/>
      <c r="B724" s="4"/>
      <c r="C724" s="4"/>
      <c r="E724" s="4"/>
      <c r="F724" s="4"/>
      <c r="G724" s="4"/>
      <c r="H724" s="4"/>
      <c r="I724" s="8"/>
      <c r="J724" s="4"/>
      <c r="K724" s="4"/>
    </row>
    <row r="725">
      <c r="A725" s="4"/>
      <c r="B725" s="4"/>
      <c r="C725" s="4"/>
      <c r="E725" s="4"/>
      <c r="F725" s="4"/>
      <c r="G725" s="4"/>
      <c r="H725" s="4"/>
      <c r="I725" s="8"/>
      <c r="J725" s="4"/>
      <c r="K725" s="4"/>
    </row>
    <row r="726">
      <c r="A726" s="4"/>
      <c r="B726" s="4"/>
      <c r="C726" s="4"/>
      <c r="E726" s="4"/>
      <c r="F726" s="4"/>
      <c r="G726" s="4"/>
      <c r="H726" s="4"/>
      <c r="I726" s="8"/>
      <c r="J726" s="4"/>
      <c r="K726" s="4"/>
    </row>
    <row r="727">
      <c r="A727" s="4"/>
      <c r="B727" s="9"/>
      <c r="C727" s="4"/>
      <c r="E727" s="4"/>
      <c r="F727" s="4"/>
      <c r="G727" s="4"/>
      <c r="H727" s="4"/>
      <c r="I727" s="8"/>
      <c r="J727" s="4"/>
      <c r="K727" s="4"/>
    </row>
    <row r="728">
      <c r="A728" s="4"/>
      <c r="B728" s="9"/>
      <c r="C728" s="4"/>
      <c r="D728" s="4"/>
      <c r="E728" s="4"/>
      <c r="F728" s="4"/>
      <c r="G728" s="4"/>
      <c r="H728" s="4"/>
      <c r="I728" s="8"/>
      <c r="J728" s="4"/>
      <c r="K728" s="4"/>
    </row>
    <row r="729">
      <c r="A729" s="4"/>
      <c r="B729" s="9"/>
      <c r="C729" s="4"/>
      <c r="D729" s="4"/>
      <c r="E729" s="4"/>
      <c r="F729" s="4"/>
      <c r="G729" s="4"/>
      <c r="H729" s="4"/>
      <c r="I729" s="8"/>
      <c r="J729" s="4"/>
      <c r="K729" s="4"/>
    </row>
    <row r="730">
      <c r="A730" s="4"/>
      <c r="B730" s="9"/>
      <c r="C730" s="4"/>
      <c r="D730" s="4"/>
      <c r="E730" s="4"/>
      <c r="F730" s="4"/>
      <c r="G730" s="4"/>
      <c r="H730" s="4"/>
      <c r="I730" s="8"/>
      <c r="J730" s="4"/>
      <c r="K730" s="4"/>
    </row>
    <row r="731">
      <c r="A731" s="4"/>
      <c r="B731" s="9"/>
      <c r="C731" s="4"/>
      <c r="D731" s="4"/>
      <c r="E731" s="4"/>
      <c r="F731" s="4"/>
      <c r="G731" s="4"/>
      <c r="H731" s="4"/>
      <c r="I731" s="8"/>
      <c r="J731" s="4"/>
      <c r="K731" s="4"/>
    </row>
    <row r="732">
      <c r="A732" s="4"/>
      <c r="B732" s="9"/>
      <c r="C732" s="4"/>
      <c r="D732" s="4"/>
      <c r="E732" s="4"/>
      <c r="F732" s="4"/>
      <c r="G732" s="4"/>
      <c r="H732" s="4"/>
      <c r="I732" s="8"/>
      <c r="J732" s="4"/>
      <c r="K732" s="4"/>
    </row>
    <row r="733">
      <c r="A733" s="4"/>
      <c r="B733" s="9"/>
      <c r="C733" s="4"/>
      <c r="D733" s="4"/>
      <c r="E733" s="4"/>
      <c r="F733" s="4"/>
      <c r="G733" s="4"/>
      <c r="H733" s="4"/>
      <c r="I733" s="8"/>
      <c r="J733" s="4"/>
      <c r="K733" s="4"/>
    </row>
    <row r="734">
      <c r="A734" s="4"/>
      <c r="B734" s="9"/>
      <c r="C734" s="4"/>
      <c r="E734" s="4"/>
      <c r="F734" s="4"/>
      <c r="G734" s="4"/>
      <c r="H734" s="4"/>
      <c r="I734" s="8"/>
      <c r="J734" s="4"/>
      <c r="K734" s="4"/>
    </row>
    <row r="735">
      <c r="A735" s="4"/>
      <c r="B735" s="9"/>
      <c r="C735" s="4"/>
      <c r="E735" s="4"/>
      <c r="F735" s="4"/>
      <c r="G735" s="4"/>
      <c r="H735" s="4"/>
      <c r="I735" s="8"/>
      <c r="J735" s="4"/>
      <c r="K735" s="4"/>
    </row>
    <row r="736">
      <c r="A736" s="4"/>
      <c r="B736" s="9"/>
      <c r="C736" s="4"/>
      <c r="E736" s="4"/>
      <c r="F736" s="4"/>
      <c r="G736" s="4"/>
      <c r="H736" s="4"/>
      <c r="I736" s="8"/>
      <c r="J736" s="4"/>
      <c r="K736" s="4"/>
    </row>
    <row r="737">
      <c r="A737" s="4"/>
      <c r="B737" s="9"/>
      <c r="C737" s="4"/>
      <c r="D737" s="4"/>
      <c r="E737" s="4"/>
      <c r="F737" s="4"/>
      <c r="G737" s="4"/>
      <c r="H737" s="4"/>
      <c r="I737" s="8"/>
      <c r="J737" s="4"/>
      <c r="K737" s="4"/>
    </row>
    <row r="738">
      <c r="A738" s="4"/>
      <c r="B738" s="9"/>
      <c r="C738" s="4"/>
      <c r="D738" s="4"/>
      <c r="E738" s="4"/>
      <c r="F738" s="4"/>
      <c r="G738" s="4"/>
      <c r="H738" s="4"/>
      <c r="I738" s="8"/>
      <c r="J738" s="4"/>
      <c r="K738" s="4"/>
    </row>
    <row r="739">
      <c r="A739" s="4"/>
      <c r="B739" s="4"/>
      <c r="C739" s="4"/>
      <c r="D739" s="4"/>
      <c r="E739" s="4"/>
      <c r="F739" s="4"/>
      <c r="G739" s="4"/>
      <c r="H739" s="4"/>
      <c r="I739" s="8"/>
      <c r="J739" s="4"/>
      <c r="K739" s="4"/>
    </row>
    <row r="740">
      <c r="A740" s="4"/>
      <c r="B740" s="4"/>
      <c r="C740" s="4"/>
      <c r="D740" s="4"/>
      <c r="E740" s="4"/>
      <c r="F740" s="4"/>
      <c r="G740" s="4"/>
      <c r="H740" s="4"/>
      <c r="I740" s="8"/>
      <c r="J740" s="4"/>
      <c r="K740" s="4"/>
    </row>
    <row r="741">
      <c r="A741" s="4"/>
      <c r="B741" s="9"/>
      <c r="C741" s="4"/>
      <c r="D741" s="4"/>
      <c r="E741" s="4"/>
      <c r="F741" s="4"/>
      <c r="G741" s="4"/>
      <c r="H741" s="4"/>
      <c r="I741" s="8"/>
      <c r="J741" s="4"/>
      <c r="K741" s="4"/>
    </row>
    <row r="742">
      <c r="A742" s="4"/>
      <c r="B742" s="9"/>
      <c r="C742" s="4"/>
      <c r="D742" s="4"/>
      <c r="E742" s="4"/>
      <c r="F742" s="4"/>
      <c r="G742" s="4"/>
      <c r="H742" s="4"/>
      <c r="I742" s="8"/>
      <c r="J742" s="4"/>
      <c r="K742" s="4"/>
    </row>
    <row r="743">
      <c r="A743" s="4"/>
      <c r="B743" s="9"/>
      <c r="C743" s="4"/>
      <c r="D743" s="4"/>
      <c r="E743" s="4"/>
      <c r="F743" s="4"/>
      <c r="G743" s="4"/>
      <c r="H743" s="4"/>
      <c r="I743" s="8"/>
      <c r="J743" s="4"/>
      <c r="K743" s="4"/>
    </row>
    <row r="744">
      <c r="A744" s="4"/>
      <c r="B744" s="9"/>
      <c r="C744" s="4"/>
      <c r="D744" s="4"/>
      <c r="E744" s="4"/>
      <c r="F744" s="4"/>
      <c r="G744" s="4"/>
      <c r="H744" s="4"/>
      <c r="I744" s="8"/>
      <c r="J744" s="4"/>
      <c r="K744" s="4"/>
    </row>
    <row r="745">
      <c r="A745" s="4"/>
      <c r="B745" s="9"/>
      <c r="C745" s="4"/>
      <c r="D745" s="4"/>
      <c r="E745" s="4"/>
      <c r="F745" s="4"/>
      <c r="G745" s="4"/>
      <c r="H745" s="4"/>
      <c r="I745" s="8"/>
      <c r="J745" s="4"/>
      <c r="K745" s="4"/>
    </row>
    <row r="746">
      <c r="A746" s="4"/>
      <c r="B746" s="9"/>
      <c r="C746" s="4"/>
      <c r="D746" s="4"/>
      <c r="E746" s="4"/>
      <c r="F746" s="4"/>
      <c r="G746" s="4"/>
      <c r="H746" s="4"/>
      <c r="I746" s="8"/>
      <c r="J746" s="4"/>
      <c r="K746" s="4"/>
    </row>
    <row r="747">
      <c r="A747" s="4"/>
      <c r="B747" s="9"/>
      <c r="C747" s="4"/>
      <c r="E747" s="4"/>
      <c r="F747" s="4"/>
      <c r="G747" s="4"/>
      <c r="H747" s="4"/>
      <c r="I747" s="8"/>
      <c r="J747" s="4"/>
      <c r="K747" s="4"/>
    </row>
    <row r="748">
      <c r="A748" s="4"/>
      <c r="B748" s="9"/>
      <c r="C748" s="4"/>
      <c r="E748" s="4"/>
      <c r="F748" s="4"/>
      <c r="G748" s="4"/>
      <c r="H748" s="4"/>
      <c r="I748" s="8"/>
      <c r="J748" s="4"/>
      <c r="K748" s="4"/>
    </row>
    <row r="749">
      <c r="A749" s="4"/>
      <c r="B749" s="9"/>
      <c r="C749" s="4"/>
      <c r="D749" s="4"/>
      <c r="E749" s="4"/>
      <c r="F749" s="4"/>
      <c r="G749" s="4"/>
      <c r="H749" s="4"/>
      <c r="I749" s="8"/>
      <c r="J749" s="4"/>
      <c r="K749" s="4"/>
    </row>
    <row r="750">
      <c r="A750" s="4"/>
      <c r="B750" s="9"/>
      <c r="C750" s="4"/>
      <c r="D750" s="4"/>
      <c r="E750" s="4"/>
      <c r="F750" s="4"/>
      <c r="G750" s="4"/>
      <c r="H750" s="4"/>
      <c r="I750" s="8"/>
      <c r="J750" s="4"/>
      <c r="K750" s="4"/>
    </row>
    <row r="751">
      <c r="A751" s="4"/>
      <c r="B751" s="9"/>
      <c r="C751" s="4"/>
      <c r="D751" s="4"/>
      <c r="E751" s="4"/>
      <c r="F751" s="4"/>
      <c r="G751" s="4"/>
      <c r="H751" s="4"/>
      <c r="I751" s="8"/>
      <c r="J751" s="4"/>
      <c r="K751" s="4"/>
    </row>
    <row r="752">
      <c r="A752" s="4"/>
      <c r="B752" s="9"/>
      <c r="C752" s="4"/>
      <c r="D752" s="4"/>
      <c r="E752" s="4"/>
      <c r="F752" s="4"/>
      <c r="G752" s="4"/>
      <c r="H752" s="4"/>
      <c r="I752" s="8"/>
      <c r="J752" s="4"/>
      <c r="K752" s="4"/>
    </row>
    <row r="753">
      <c r="A753" s="4"/>
      <c r="B753" s="9"/>
      <c r="C753" s="4"/>
      <c r="D753" s="4"/>
      <c r="E753" s="4"/>
      <c r="F753" s="4"/>
      <c r="G753" s="4"/>
      <c r="H753" s="4"/>
      <c r="I753" s="8"/>
      <c r="J753" s="4"/>
      <c r="K753" s="4"/>
    </row>
    <row r="754">
      <c r="A754" s="4"/>
      <c r="B754" s="4"/>
      <c r="C754" s="4"/>
      <c r="E754" s="4"/>
      <c r="F754" s="4"/>
      <c r="G754" s="4"/>
      <c r="H754" s="4"/>
      <c r="I754" s="8"/>
      <c r="J754" s="4"/>
      <c r="K754" s="4"/>
    </row>
    <row r="755">
      <c r="A755" s="4"/>
      <c r="B755" s="9"/>
      <c r="C755" s="4"/>
      <c r="E755" s="4"/>
      <c r="F755" s="4"/>
      <c r="G755" s="4"/>
      <c r="H755" s="4"/>
      <c r="I755" s="8"/>
      <c r="J755" s="4"/>
      <c r="K755" s="4"/>
    </row>
    <row r="756">
      <c r="A756" s="4"/>
      <c r="B756" s="9"/>
      <c r="C756" s="4"/>
      <c r="E756" s="4"/>
      <c r="F756" s="4"/>
      <c r="G756" s="4"/>
      <c r="H756" s="4"/>
      <c r="I756" s="8"/>
      <c r="J756" s="4"/>
      <c r="K756" s="4"/>
    </row>
    <row r="757">
      <c r="A757" s="4"/>
      <c r="B757" s="9"/>
      <c r="C757" s="4"/>
      <c r="D757" s="4"/>
      <c r="E757" s="4"/>
      <c r="F757" s="4"/>
      <c r="G757" s="4"/>
      <c r="H757" s="4"/>
      <c r="I757" s="8"/>
      <c r="J757" s="4"/>
      <c r="K757" s="4"/>
    </row>
    <row r="758">
      <c r="A758" s="4"/>
      <c r="B758" s="9"/>
      <c r="C758" s="4"/>
      <c r="D758" s="4"/>
      <c r="E758" s="4"/>
      <c r="F758" s="4"/>
      <c r="G758" s="4"/>
      <c r="H758" s="4"/>
      <c r="I758" s="8"/>
      <c r="J758" s="4"/>
      <c r="K758" s="4"/>
    </row>
    <row r="759">
      <c r="A759" s="4"/>
      <c r="B759" s="9"/>
      <c r="C759" s="4"/>
      <c r="D759" s="4"/>
      <c r="E759" s="4"/>
      <c r="F759" s="4"/>
      <c r="G759" s="4"/>
      <c r="H759" s="4"/>
      <c r="I759" s="8"/>
      <c r="J759" s="4"/>
      <c r="K759" s="4"/>
    </row>
    <row r="760">
      <c r="A760" s="4"/>
      <c r="B760" s="9"/>
      <c r="C760" s="4"/>
      <c r="D760" s="4"/>
      <c r="E760" s="4"/>
      <c r="F760" s="4"/>
      <c r="G760" s="4"/>
      <c r="H760" s="4"/>
      <c r="I760" s="8"/>
      <c r="J760" s="4"/>
      <c r="K760" s="4"/>
    </row>
    <row r="761">
      <c r="A761" s="4"/>
      <c r="B761" s="9"/>
      <c r="C761" s="4"/>
      <c r="D761" s="4"/>
      <c r="E761" s="4"/>
      <c r="F761" s="4"/>
      <c r="G761" s="4"/>
      <c r="H761" s="4"/>
      <c r="I761" s="8"/>
      <c r="J761" s="4"/>
      <c r="K761" s="4"/>
    </row>
    <row r="762">
      <c r="A762" s="4"/>
      <c r="B762" s="9"/>
      <c r="C762" s="4"/>
      <c r="D762" s="4"/>
      <c r="E762" s="4"/>
      <c r="F762" s="4"/>
      <c r="G762" s="4"/>
      <c r="H762" s="4"/>
      <c r="I762" s="8"/>
      <c r="J762" s="4"/>
      <c r="K762" s="4"/>
    </row>
    <row r="763">
      <c r="A763" s="4"/>
      <c r="B763" s="9"/>
      <c r="C763" s="4"/>
      <c r="E763" s="4"/>
      <c r="F763" s="4"/>
      <c r="G763" s="4"/>
      <c r="H763" s="4"/>
      <c r="J763" s="4"/>
      <c r="K763" s="4"/>
    </row>
    <row r="764">
      <c r="A764" s="4"/>
      <c r="B764" s="9"/>
      <c r="C764" s="4"/>
      <c r="E764" s="4"/>
      <c r="F764" s="4"/>
      <c r="G764" s="4"/>
      <c r="H764" s="4"/>
      <c r="I764" s="8"/>
      <c r="J764" s="4"/>
      <c r="K764" s="4"/>
    </row>
    <row r="765">
      <c r="A765" s="4"/>
      <c r="B765" s="9"/>
      <c r="C765" s="4"/>
      <c r="E765" s="4"/>
      <c r="F765" s="4"/>
      <c r="G765" s="4"/>
      <c r="H765" s="4"/>
      <c r="J765" s="4"/>
      <c r="K765" s="4"/>
    </row>
    <row r="766">
      <c r="A766" s="4"/>
      <c r="B766" s="9"/>
      <c r="C766" s="4"/>
      <c r="E766" s="4"/>
      <c r="F766" s="4"/>
      <c r="G766" s="4"/>
      <c r="H766" s="4"/>
      <c r="J766" s="4"/>
      <c r="K766" s="4"/>
    </row>
    <row r="767">
      <c r="A767" s="4"/>
      <c r="B767" s="9"/>
      <c r="C767" s="4"/>
      <c r="E767" s="4"/>
      <c r="F767" s="4"/>
      <c r="G767" s="4"/>
      <c r="H767" s="4"/>
      <c r="J767" s="4"/>
      <c r="K767" s="4"/>
    </row>
    <row r="768">
      <c r="A768" s="4"/>
      <c r="B768" s="9"/>
      <c r="C768" s="4"/>
      <c r="E768" s="4"/>
      <c r="F768" s="4"/>
      <c r="G768" s="4"/>
      <c r="H768" s="4"/>
      <c r="J768" s="4"/>
      <c r="K768" s="4"/>
    </row>
    <row r="769">
      <c r="A769" s="4"/>
      <c r="B769" s="9"/>
      <c r="C769" s="4"/>
      <c r="E769" s="4"/>
      <c r="F769" s="4"/>
      <c r="G769" s="4"/>
      <c r="H769" s="4"/>
      <c r="I769" s="8"/>
      <c r="J769" s="4"/>
      <c r="K769" s="4"/>
    </row>
    <row r="770">
      <c r="A770" s="4"/>
      <c r="B770" s="4"/>
      <c r="C770" s="4"/>
      <c r="E770" s="4"/>
      <c r="F770" s="4"/>
      <c r="G770" s="4"/>
      <c r="H770" s="4"/>
      <c r="I770" s="8"/>
      <c r="J770" s="4"/>
      <c r="K770" s="4"/>
    </row>
    <row r="771">
      <c r="A771" s="4"/>
      <c r="B771" s="4"/>
      <c r="C771" s="4"/>
      <c r="D771" s="4"/>
      <c r="E771" s="4"/>
      <c r="F771" s="4"/>
      <c r="G771" s="4"/>
      <c r="H771" s="4"/>
      <c r="I771" s="8"/>
      <c r="J771" s="4"/>
      <c r="K771" s="4"/>
    </row>
    <row r="772">
      <c r="A772" s="4"/>
      <c r="B772" s="4"/>
      <c r="C772" s="4"/>
      <c r="D772" s="4"/>
      <c r="E772" s="4"/>
      <c r="F772" s="4"/>
      <c r="G772" s="4"/>
      <c r="H772" s="4"/>
      <c r="I772" s="8"/>
      <c r="J772" s="4"/>
      <c r="K772" s="4"/>
    </row>
    <row r="773">
      <c r="A773" s="4"/>
      <c r="B773" s="4"/>
      <c r="C773" s="4"/>
      <c r="D773" s="4"/>
      <c r="E773" s="4"/>
      <c r="F773" s="4"/>
      <c r="G773" s="4"/>
      <c r="H773" s="4"/>
      <c r="I773" s="8"/>
      <c r="J773" s="4"/>
      <c r="K773" s="4"/>
    </row>
    <row r="774">
      <c r="A774" s="4"/>
      <c r="B774" s="4"/>
      <c r="C774" s="4"/>
      <c r="D774" s="4"/>
      <c r="E774" s="4"/>
      <c r="F774" s="4"/>
      <c r="G774" s="4"/>
      <c r="H774" s="4"/>
      <c r="I774" s="8"/>
      <c r="J774" s="4"/>
      <c r="K774" s="4"/>
    </row>
    <row r="775">
      <c r="A775" s="4"/>
      <c r="B775" s="9"/>
      <c r="C775" s="4"/>
      <c r="D775" s="4"/>
      <c r="E775" s="4"/>
      <c r="F775" s="4"/>
      <c r="G775" s="4"/>
      <c r="H775" s="4"/>
      <c r="I775" s="8"/>
      <c r="J775" s="4"/>
      <c r="K775" s="4"/>
    </row>
    <row r="776">
      <c r="A776" s="4"/>
      <c r="B776" s="9"/>
      <c r="C776" s="4"/>
      <c r="E776" s="4"/>
      <c r="F776" s="4"/>
      <c r="G776" s="4"/>
      <c r="H776" s="4"/>
      <c r="I776" s="8"/>
      <c r="J776" s="4"/>
      <c r="K776" s="4"/>
    </row>
    <row r="777">
      <c r="A777" s="4"/>
      <c r="B777" s="9"/>
      <c r="C777" s="4"/>
      <c r="E777" s="4"/>
      <c r="F777" s="4"/>
      <c r="G777" s="4"/>
      <c r="H777" s="4"/>
      <c r="I777" s="8"/>
      <c r="J777" s="4"/>
      <c r="K777" s="4"/>
    </row>
    <row r="778">
      <c r="A778" s="4"/>
      <c r="B778" s="4"/>
      <c r="C778" s="4"/>
      <c r="D778" s="4"/>
      <c r="E778" s="4"/>
      <c r="F778" s="4"/>
      <c r="G778" s="4"/>
      <c r="H778" s="4"/>
      <c r="I778" s="8"/>
      <c r="J778" s="4"/>
      <c r="K778" s="4"/>
    </row>
    <row r="779">
      <c r="A779" s="4"/>
      <c r="B779" s="4"/>
      <c r="C779" s="4"/>
      <c r="D779" s="4"/>
      <c r="E779" s="4"/>
      <c r="F779" s="4"/>
      <c r="G779" s="4"/>
      <c r="H779" s="4"/>
      <c r="I779" s="8"/>
      <c r="J779" s="4"/>
      <c r="K779" s="4"/>
    </row>
    <row r="780">
      <c r="A780" s="4"/>
      <c r="B780" s="4"/>
      <c r="C780" s="4"/>
      <c r="D780" s="4"/>
      <c r="E780" s="4"/>
      <c r="F780" s="4"/>
      <c r="G780" s="4"/>
      <c r="H780" s="4"/>
      <c r="I780" s="8"/>
      <c r="J780" s="4"/>
      <c r="K780" s="4"/>
    </row>
    <row r="781">
      <c r="A781" s="4"/>
      <c r="B781" s="4"/>
      <c r="C781" s="4"/>
      <c r="D781" s="4"/>
      <c r="E781" s="4"/>
      <c r="F781" s="4"/>
      <c r="G781" s="4"/>
      <c r="H781" s="4"/>
      <c r="I781" s="8"/>
      <c r="J781" s="4"/>
      <c r="K781" s="4"/>
    </row>
    <row r="782">
      <c r="A782" s="4"/>
      <c r="B782" s="4"/>
      <c r="C782" s="4"/>
      <c r="D782" s="4"/>
      <c r="E782" s="4"/>
      <c r="F782" s="4"/>
      <c r="G782" s="4"/>
      <c r="H782" s="4"/>
      <c r="I782" s="8"/>
      <c r="J782" s="4"/>
      <c r="K782" s="4"/>
    </row>
    <row r="783">
      <c r="A783" s="4"/>
      <c r="B783" s="4"/>
      <c r="C783" s="4"/>
      <c r="D783" s="4"/>
      <c r="E783" s="4"/>
      <c r="F783" s="4"/>
      <c r="G783" s="4"/>
      <c r="H783" s="4"/>
      <c r="I783" s="8"/>
      <c r="J783" s="4"/>
      <c r="K783" s="4"/>
    </row>
    <row r="784">
      <c r="A784" s="4"/>
      <c r="B784" s="9"/>
      <c r="C784" s="4"/>
      <c r="E784" s="4"/>
      <c r="F784" s="4"/>
      <c r="G784" s="4"/>
      <c r="H784" s="4"/>
      <c r="I784" s="8"/>
      <c r="J784" s="4"/>
      <c r="K784" s="4"/>
    </row>
    <row r="785">
      <c r="A785" s="4"/>
      <c r="B785" s="9"/>
      <c r="C785" s="4"/>
      <c r="E785" s="4"/>
      <c r="F785" s="4"/>
      <c r="G785" s="4"/>
      <c r="H785" s="4"/>
      <c r="I785" s="8"/>
      <c r="J785" s="4"/>
      <c r="K785" s="4"/>
    </row>
    <row r="786">
      <c r="A786" s="4"/>
      <c r="B786" s="9"/>
      <c r="C786" s="4"/>
      <c r="E786" s="4"/>
      <c r="F786" s="4"/>
      <c r="G786" s="4"/>
      <c r="H786" s="4"/>
      <c r="I786" s="8"/>
      <c r="J786" s="4"/>
      <c r="K786" s="4"/>
    </row>
    <row r="787">
      <c r="A787" s="4"/>
      <c r="B787" s="9"/>
      <c r="C787" s="4"/>
      <c r="D787" s="4"/>
      <c r="E787" s="4"/>
      <c r="F787" s="4"/>
      <c r="G787" s="4"/>
      <c r="H787" s="4"/>
      <c r="I787" s="8"/>
      <c r="J787" s="4"/>
      <c r="K787" s="4"/>
    </row>
    <row r="788">
      <c r="A788" s="4"/>
      <c r="B788" s="4"/>
      <c r="C788" s="4"/>
      <c r="D788" s="4"/>
      <c r="E788" s="4"/>
      <c r="F788" s="4"/>
      <c r="G788" s="4"/>
      <c r="H788" s="4"/>
      <c r="I788" s="8"/>
      <c r="J788" s="4"/>
      <c r="K788" s="4"/>
    </row>
    <row r="789">
      <c r="A789" s="4"/>
      <c r="B789" s="4"/>
      <c r="C789" s="4"/>
      <c r="D789" s="4"/>
      <c r="E789" s="4"/>
      <c r="F789" s="4"/>
      <c r="G789" s="4"/>
      <c r="H789" s="4"/>
      <c r="I789" s="8"/>
      <c r="J789" s="4"/>
      <c r="K789" s="4"/>
    </row>
    <row r="790">
      <c r="A790" s="4"/>
      <c r="B790" s="9"/>
      <c r="C790" s="4"/>
      <c r="D790" s="4"/>
      <c r="E790" s="4"/>
      <c r="F790" s="4"/>
      <c r="G790" s="4"/>
      <c r="H790" s="4"/>
      <c r="I790" s="8"/>
      <c r="J790" s="4"/>
      <c r="K790" s="4"/>
    </row>
    <row r="791">
      <c r="A791" s="4"/>
      <c r="B791" s="4"/>
      <c r="C791" s="4"/>
      <c r="D791" s="4"/>
      <c r="E791" s="4"/>
      <c r="F791" s="4"/>
      <c r="G791" s="4"/>
      <c r="H791" s="4"/>
      <c r="I791" s="8"/>
      <c r="J791" s="4"/>
      <c r="K791" s="4"/>
    </row>
    <row r="792">
      <c r="A792" s="4"/>
      <c r="B792" s="4"/>
      <c r="C792" s="4"/>
      <c r="E792" s="4"/>
      <c r="F792" s="4"/>
      <c r="G792" s="4"/>
      <c r="H792" s="4"/>
      <c r="I792" s="8"/>
      <c r="J792" s="4"/>
      <c r="K792" s="4"/>
    </row>
    <row r="793">
      <c r="A793" s="4"/>
      <c r="B793" s="4"/>
      <c r="C793" s="4"/>
      <c r="E793" s="4"/>
      <c r="F793" s="4"/>
      <c r="G793" s="4"/>
      <c r="H793" s="4"/>
      <c r="I793" s="8"/>
      <c r="J793" s="4"/>
      <c r="K793" s="4"/>
    </row>
    <row r="794">
      <c r="A794" s="4"/>
      <c r="B794" s="4"/>
      <c r="C794" s="4"/>
      <c r="E794" s="4"/>
      <c r="F794" s="4"/>
      <c r="G794" s="4"/>
      <c r="H794" s="4"/>
      <c r="I794" s="8"/>
      <c r="J794" s="4"/>
      <c r="K794" s="4"/>
    </row>
    <row r="795">
      <c r="A795" s="4"/>
      <c r="B795" s="4"/>
      <c r="C795" s="4"/>
      <c r="D795" s="4"/>
      <c r="E795" s="4"/>
      <c r="F795" s="4"/>
      <c r="G795" s="4"/>
      <c r="H795" s="4"/>
      <c r="I795" s="8"/>
      <c r="J795" s="4"/>
      <c r="K795" s="4"/>
    </row>
    <row r="796">
      <c r="A796" s="4"/>
      <c r="B796" s="4"/>
      <c r="C796" s="4"/>
      <c r="D796" s="4"/>
      <c r="E796" s="4"/>
      <c r="F796" s="4"/>
      <c r="G796" s="4"/>
      <c r="H796" s="4"/>
      <c r="I796" s="8"/>
      <c r="J796" s="4"/>
      <c r="K796" s="4"/>
    </row>
    <row r="797">
      <c r="A797" s="4"/>
      <c r="B797" s="4"/>
      <c r="C797" s="4"/>
      <c r="D797" s="4"/>
      <c r="E797" s="4"/>
      <c r="F797" s="4"/>
      <c r="G797" s="4"/>
      <c r="H797" s="4"/>
      <c r="I797" s="8"/>
      <c r="J797" s="4"/>
      <c r="K797" s="4"/>
    </row>
    <row r="798">
      <c r="A798" s="4"/>
      <c r="B798" s="9"/>
      <c r="C798" s="4"/>
      <c r="E798" s="4"/>
      <c r="F798" s="4"/>
      <c r="G798" s="4"/>
      <c r="H798" s="4"/>
      <c r="I798" s="8"/>
      <c r="J798" s="4"/>
      <c r="K798" s="4"/>
    </row>
    <row r="799">
      <c r="A799" s="4"/>
      <c r="B799" s="9"/>
      <c r="C799" s="4"/>
      <c r="E799" s="4"/>
      <c r="F799" s="4"/>
      <c r="G799" s="4"/>
      <c r="H799" s="4"/>
      <c r="I799" s="8"/>
      <c r="J799" s="4"/>
      <c r="K799" s="4"/>
    </row>
    <row r="800">
      <c r="A800" s="4"/>
      <c r="B800" s="4"/>
      <c r="C800" s="4"/>
      <c r="D800" s="4"/>
      <c r="E800" s="4"/>
      <c r="F800" s="4"/>
      <c r="G800" s="4"/>
      <c r="H800" s="4"/>
      <c r="I800" s="8"/>
      <c r="J800" s="4"/>
      <c r="K800" s="4"/>
    </row>
    <row r="801">
      <c r="A801" s="4"/>
      <c r="B801" s="4"/>
      <c r="C801" s="4"/>
      <c r="E801" s="4"/>
      <c r="F801" s="4"/>
      <c r="G801" s="4"/>
      <c r="H801" s="4"/>
      <c r="I801" s="8"/>
      <c r="J801" s="4"/>
      <c r="K801" s="4"/>
    </row>
    <row r="802">
      <c r="A802" s="4"/>
      <c r="B802" s="9"/>
      <c r="C802" s="4"/>
      <c r="E802" s="4"/>
      <c r="F802" s="4"/>
      <c r="G802" s="4"/>
      <c r="H802" s="4"/>
      <c r="I802" s="8"/>
      <c r="J802" s="4"/>
      <c r="K802" s="4"/>
    </row>
    <row r="803">
      <c r="A803" s="4"/>
      <c r="B803" s="9"/>
      <c r="C803" s="4"/>
      <c r="D803" s="4"/>
      <c r="E803" s="4"/>
      <c r="F803" s="4"/>
      <c r="G803" s="4"/>
      <c r="H803" s="4"/>
      <c r="I803" s="8"/>
      <c r="J803" s="4"/>
      <c r="K803" s="4"/>
    </row>
    <row r="804">
      <c r="A804" s="4"/>
      <c r="B804" s="9"/>
      <c r="C804" s="4"/>
      <c r="D804" s="4"/>
      <c r="E804" s="4"/>
      <c r="F804" s="4"/>
      <c r="G804" s="4"/>
      <c r="H804" s="4"/>
      <c r="I804" s="8"/>
      <c r="J804" s="4"/>
      <c r="K804" s="4"/>
    </row>
    <row r="805">
      <c r="A805" s="4"/>
      <c r="B805" s="9"/>
      <c r="C805" s="4"/>
      <c r="D805" s="4"/>
      <c r="E805" s="4"/>
      <c r="F805" s="4"/>
      <c r="G805" s="4"/>
      <c r="H805" s="4"/>
      <c r="I805" s="8"/>
      <c r="J805" s="4"/>
      <c r="K805" s="4"/>
    </row>
    <row r="806">
      <c r="A806" s="4"/>
      <c r="B806" s="9"/>
      <c r="C806" s="4"/>
      <c r="D806" s="4"/>
      <c r="E806" s="4"/>
      <c r="F806" s="4"/>
      <c r="G806" s="4"/>
      <c r="H806" s="4"/>
      <c r="I806" s="8"/>
      <c r="J806" s="4"/>
      <c r="K806" s="4"/>
    </row>
    <row r="807">
      <c r="A807" s="4"/>
      <c r="B807" s="9"/>
      <c r="C807" s="4"/>
      <c r="D807" s="4"/>
      <c r="E807" s="4"/>
      <c r="F807" s="4"/>
      <c r="G807" s="4"/>
      <c r="H807" s="4"/>
      <c r="I807" s="8"/>
      <c r="J807" s="4"/>
      <c r="K807" s="4"/>
    </row>
    <row r="808">
      <c r="A808" s="4"/>
      <c r="B808" s="9"/>
      <c r="C808" s="4"/>
      <c r="D808" s="4"/>
      <c r="E808" s="4"/>
      <c r="F808" s="4"/>
      <c r="G808" s="4"/>
      <c r="H808" s="4"/>
      <c r="I808" s="8"/>
      <c r="J808" s="4"/>
      <c r="K808" s="4"/>
    </row>
    <row r="809">
      <c r="A809" s="4"/>
      <c r="B809" s="9"/>
      <c r="C809" s="4"/>
      <c r="D809" s="4"/>
      <c r="E809" s="4"/>
      <c r="F809" s="4"/>
      <c r="G809" s="4"/>
      <c r="H809" s="4"/>
      <c r="I809" s="8"/>
      <c r="J809" s="4"/>
      <c r="K809" s="4"/>
    </row>
    <row r="810">
      <c r="A810" s="4"/>
      <c r="B810" s="9"/>
      <c r="C810" s="4"/>
      <c r="D810" s="4"/>
      <c r="E810" s="4"/>
      <c r="F810" s="4"/>
      <c r="G810" s="4"/>
      <c r="H810" s="4"/>
      <c r="I810" s="8"/>
      <c r="J810" s="4"/>
      <c r="K810" s="4"/>
    </row>
    <row r="811">
      <c r="A811" s="4"/>
      <c r="B811" s="4"/>
      <c r="C811" s="4"/>
      <c r="D811" s="4"/>
      <c r="E811" s="4"/>
      <c r="F811" s="4"/>
      <c r="G811" s="4"/>
      <c r="H811" s="4"/>
      <c r="I811" s="8"/>
      <c r="J811" s="4"/>
      <c r="K811" s="4"/>
    </row>
    <row r="812">
      <c r="A812" s="4"/>
      <c r="B812" s="4"/>
      <c r="C812" s="4"/>
      <c r="D812" s="4"/>
      <c r="E812" s="4"/>
      <c r="F812" s="4"/>
      <c r="G812" s="4"/>
      <c r="H812" s="4"/>
      <c r="I812" s="8"/>
      <c r="J812" s="4"/>
      <c r="K812" s="4"/>
    </row>
    <row r="813">
      <c r="A813" s="4"/>
      <c r="B813" s="4"/>
      <c r="C813" s="4"/>
      <c r="D813" s="4"/>
      <c r="E813" s="4"/>
      <c r="F813" s="4"/>
      <c r="G813" s="4"/>
      <c r="H813" s="4"/>
      <c r="I813" s="8"/>
      <c r="J813" s="4"/>
      <c r="K813" s="4"/>
    </row>
    <row r="814">
      <c r="A814" s="4"/>
      <c r="B814" s="4"/>
      <c r="C814" s="4"/>
      <c r="D814" s="4"/>
      <c r="E814" s="4"/>
      <c r="F814" s="4"/>
      <c r="G814" s="4"/>
      <c r="H814" s="4"/>
      <c r="I814" s="8"/>
      <c r="J814" s="4"/>
      <c r="K814" s="4"/>
    </row>
    <row r="815">
      <c r="A815" s="4"/>
      <c r="B815" s="4"/>
      <c r="C815" s="4"/>
      <c r="D815" s="4"/>
      <c r="E815" s="4"/>
      <c r="F815" s="4"/>
      <c r="G815" s="4"/>
      <c r="H815" s="4"/>
      <c r="I815" s="8"/>
      <c r="J815" s="4"/>
      <c r="K815" s="4"/>
    </row>
    <row r="816">
      <c r="A816" s="4"/>
      <c r="B816" s="4"/>
      <c r="C816" s="4"/>
      <c r="D816" s="4"/>
      <c r="E816" s="4"/>
      <c r="F816" s="4"/>
      <c r="G816" s="4"/>
      <c r="H816" s="4"/>
      <c r="I816" s="8"/>
      <c r="J816" s="4"/>
      <c r="K816" s="4"/>
    </row>
    <row r="817">
      <c r="A817" s="4"/>
      <c r="B817" s="9"/>
      <c r="C817" s="4"/>
      <c r="D817" s="4"/>
      <c r="E817" s="4"/>
      <c r="F817" s="4"/>
      <c r="G817" s="4"/>
      <c r="H817" s="4"/>
      <c r="I817" s="8"/>
      <c r="J817" s="4"/>
      <c r="K817" s="4"/>
    </row>
    <row r="818">
      <c r="A818" s="4"/>
      <c r="B818" s="9"/>
      <c r="C818" s="4"/>
      <c r="D818" s="4"/>
      <c r="E818" s="4"/>
      <c r="F818" s="4"/>
      <c r="G818" s="4"/>
      <c r="H818" s="4"/>
      <c r="I818" s="8"/>
      <c r="J818" s="4"/>
      <c r="K818" s="4"/>
    </row>
    <row r="819">
      <c r="A819" s="4"/>
      <c r="B819" s="9"/>
      <c r="C819" s="4"/>
      <c r="E819" s="4"/>
      <c r="F819" s="4"/>
      <c r="G819" s="4"/>
      <c r="H819" s="4"/>
      <c r="I819" s="8"/>
      <c r="J819" s="4"/>
      <c r="K819" s="4"/>
    </row>
    <row r="820">
      <c r="A820" s="4"/>
      <c r="B820" s="9"/>
      <c r="C820" s="4"/>
      <c r="E820" s="4"/>
      <c r="F820" s="4"/>
      <c r="G820" s="4"/>
      <c r="H820" s="4"/>
      <c r="I820" s="8"/>
      <c r="J820" s="4"/>
      <c r="K820" s="4"/>
    </row>
    <row r="821">
      <c r="A821" s="4"/>
      <c r="B821" s="9"/>
      <c r="C821" s="4"/>
      <c r="E821" s="4"/>
      <c r="F821" s="4"/>
      <c r="G821" s="4"/>
      <c r="H821" s="4"/>
      <c r="I821" s="8"/>
      <c r="J821" s="4"/>
      <c r="K821" s="4"/>
    </row>
    <row r="822">
      <c r="A822" s="4"/>
      <c r="B822" s="9"/>
      <c r="C822" s="4"/>
      <c r="E822" s="4"/>
      <c r="F822" s="4"/>
      <c r="G822" s="4"/>
      <c r="H822" s="4"/>
      <c r="I822" s="8"/>
      <c r="J822" s="4"/>
      <c r="K822" s="4"/>
    </row>
    <row r="823">
      <c r="A823" s="4"/>
      <c r="B823" s="9"/>
      <c r="C823" s="4"/>
      <c r="E823" s="4"/>
      <c r="F823" s="4"/>
      <c r="G823" s="4"/>
      <c r="H823" s="4"/>
      <c r="I823" s="8"/>
      <c r="J823" s="4"/>
      <c r="K823" s="4"/>
    </row>
    <row r="824">
      <c r="A824" s="4"/>
      <c r="B824" s="9"/>
      <c r="C824" s="4"/>
      <c r="D824" s="4"/>
      <c r="E824" s="4"/>
      <c r="F824" s="4"/>
      <c r="G824" s="4"/>
      <c r="H824" s="4"/>
      <c r="I824" s="8"/>
      <c r="J824" s="4"/>
      <c r="K824" s="4"/>
    </row>
    <row r="825">
      <c r="A825" s="4"/>
      <c r="B825" s="9"/>
      <c r="C825" s="4"/>
      <c r="D825" s="4"/>
      <c r="E825" s="4"/>
      <c r="F825" s="4"/>
      <c r="G825" s="4"/>
      <c r="H825" s="4"/>
      <c r="I825" s="8"/>
      <c r="J825" s="4"/>
      <c r="K825" s="4"/>
    </row>
    <row r="826">
      <c r="A826" s="4"/>
      <c r="B826" s="9"/>
      <c r="C826" s="4"/>
      <c r="D826" s="4"/>
      <c r="E826" s="4"/>
      <c r="F826" s="4"/>
      <c r="G826" s="4"/>
      <c r="H826" s="4"/>
      <c r="I826" s="8"/>
      <c r="J826" s="4"/>
      <c r="K826" s="4"/>
    </row>
    <row r="827">
      <c r="A827" s="4"/>
      <c r="B827" s="9"/>
      <c r="C827" s="4"/>
      <c r="D827" s="4"/>
      <c r="E827" s="4"/>
      <c r="F827" s="4"/>
      <c r="G827" s="4"/>
      <c r="H827" s="4"/>
      <c r="I827" s="8"/>
      <c r="J827" s="4"/>
      <c r="K827" s="4"/>
    </row>
    <row r="828">
      <c r="A828" s="4"/>
      <c r="B828" s="9"/>
      <c r="C828" s="4"/>
      <c r="D828" s="4"/>
      <c r="E828" s="4"/>
      <c r="F828" s="4"/>
      <c r="G828" s="4"/>
      <c r="H828" s="4"/>
      <c r="I828" s="8"/>
      <c r="J828" s="4"/>
      <c r="K828" s="4"/>
    </row>
    <row r="829">
      <c r="A829" s="4"/>
      <c r="B829" s="9"/>
      <c r="C829" s="4"/>
      <c r="D829" s="4"/>
      <c r="E829" s="4"/>
      <c r="F829" s="4"/>
      <c r="G829" s="4"/>
      <c r="H829" s="4"/>
      <c r="I829" s="8"/>
      <c r="J829" s="4"/>
      <c r="K829" s="4"/>
    </row>
    <row r="830">
      <c r="A830" s="4"/>
      <c r="B830" s="9"/>
      <c r="C830" s="4"/>
      <c r="E830" s="4"/>
      <c r="F830" s="4"/>
      <c r="G830" s="4"/>
      <c r="H830" s="4"/>
      <c r="I830" s="8"/>
      <c r="J830" s="4"/>
      <c r="K830" s="4"/>
    </row>
    <row r="831">
      <c r="A831" s="4"/>
      <c r="B831" s="9"/>
      <c r="C831" s="4"/>
      <c r="D831" s="4"/>
      <c r="E831" s="4"/>
      <c r="F831" s="4"/>
      <c r="G831" s="4"/>
      <c r="H831" s="4"/>
      <c r="I831" s="8"/>
      <c r="J831" s="4"/>
      <c r="K831" s="4"/>
    </row>
    <row r="832">
      <c r="A832" s="4"/>
      <c r="B832" s="9"/>
      <c r="C832" s="4"/>
      <c r="D832" s="4"/>
      <c r="E832" s="4"/>
      <c r="F832" s="4"/>
      <c r="G832" s="4"/>
      <c r="H832" s="4"/>
      <c r="I832" s="8"/>
      <c r="J832" s="4"/>
      <c r="K832" s="4"/>
    </row>
    <row r="833">
      <c r="A833" s="4"/>
      <c r="B833" s="9"/>
      <c r="C833" s="4"/>
      <c r="D833" s="4"/>
      <c r="E833" s="4"/>
      <c r="F833" s="4"/>
      <c r="G833" s="4"/>
      <c r="H833" s="4"/>
      <c r="I833" s="8"/>
      <c r="J833" s="4"/>
      <c r="K833" s="4"/>
    </row>
    <row r="834">
      <c r="A834" s="4"/>
      <c r="B834" s="9"/>
      <c r="C834" s="4"/>
      <c r="E834" s="4"/>
      <c r="F834" s="4"/>
      <c r="G834" s="4"/>
      <c r="H834" s="4"/>
      <c r="I834" s="8"/>
      <c r="J834" s="4"/>
      <c r="K834" s="4"/>
    </row>
    <row r="835">
      <c r="A835" s="4"/>
      <c r="B835" s="4"/>
      <c r="C835" s="4"/>
      <c r="D835" s="4"/>
      <c r="E835" s="4"/>
      <c r="F835" s="4"/>
      <c r="G835" s="4"/>
      <c r="H835" s="4"/>
      <c r="I835" s="8"/>
      <c r="J835" s="4"/>
      <c r="K835" s="4"/>
    </row>
    <row r="836">
      <c r="A836" s="4"/>
      <c r="B836" s="4"/>
      <c r="C836" s="4"/>
      <c r="D836" s="4"/>
      <c r="E836" s="4"/>
      <c r="F836" s="4"/>
      <c r="G836" s="4"/>
      <c r="H836" s="4"/>
      <c r="I836" s="8"/>
      <c r="J836" s="4"/>
      <c r="K836" s="4"/>
    </row>
    <row r="837">
      <c r="A837" s="4"/>
      <c r="B837" s="4"/>
      <c r="C837" s="4"/>
      <c r="D837" s="4"/>
      <c r="E837" s="4"/>
      <c r="F837" s="4"/>
      <c r="G837" s="4"/>
      <c r="H837" s="4"/>
      <c r="I837" s="8"/>
      <c r="J837" s="4"/>
      <c r="K837" s="4"/>
    </row>
    <row r="838">
      <c r="A838" s="4"/>
      <c r="B838" s="4"/>
      <c r="C838" s="4"/>
      <c r="D838" s="4"/>
      <c r="E838" s="4"/>
      <c r="F838" s="4"/>
      <c r="G838" s="4"/>
      <c r="H838" s="4"/>
      <c r="I838" s="8"/>
      <c r="J838" s="4"/>
      <c r="K838" s="4"/>
    </row>
    <row r="839">
      <c r="A839" s="4"/>
      <c r="B839" s="4"/>
      <c r="C839" s="4"/>
      <c r="D839" s="4"/>
      <c r="E839" s="4"/>
      <c r="F839" s="4"/>
      <c r="G839" s="4"/>
      <c r="H839" s="4"/>
      <c r="I839" s="8"/>
      <c r="J839" s="4"/>
      <c r="K839" s="4"/>
    </row>
    <row r="840">
      <c r="A840" s="4"/>
      <c r="B840" s="4"/>
      <c r="C840" s="4"/>
      <c r="D840" s="4"/>
      <c r="E840" s="4"/>
      <c r="F840" s="4"/>
      <c r="G840" s="4"/>
      <c r="H840" s="4"/>
      <c r="I840" s="8"/>
      <c r="J840" s="4"/>
      <c r="K840" s="4"/>
    </row>
    <row r="841">
      <c r="A841" s="4"/>
      <c r="B841" s="4"/>
      <c r="C841" s="4"/>
      <c r="D841" s="4"/>
      <c r="E841" s="4"/>
      <c r="F841" s="4"/>
      <c r="G841" s="4"/>
      <c r="H841" s="4"/>
      <c r="I841" s="8"/>
      <c r="J841" s="4"/>
      <c r="K841" s="4"/>
    </row>
    <row r="842">
      <c r="A842" s="4"/>
      <c r="B842" s="9"/>
      <c r="C842" s="4"/>
      <c r="E842" s="4"/>
      <c r="F842" s="4"/>
      <c r="G842" s="4"/>
      <c r="H842" s="4"/>
      <c r="I842" s="8"/>
      <c r="J842" s="4"/>
      <c r="K842" s="4"/>
    </row>
    <row r="843">
      <c r="A843" s="4"/>
      <c r="B843" s="9"/>
      <c r="C843" s="4"/>
      <c r="D843" s="4"/>
      <c r="E843" s="4"/>
      <c r="F843" s="4"/>
      <c r="G843" s="4"/>
      <c r="H843" s="4"/>
      <c r="I843" s="8"/>
      <c r="J843" s="4"/>
      <c r="K843" s="4"/>
    </row>
    <row r="844">
      <c r="A844" s="4"/>
      <c r="B844" s="9"/>
      <c r="C844" s="4"/>
      <c r="D844" s="4"/>
      <c r="E844" s="4"/>
      <c r="F844" s="4"/>
      <c r="G844" s="4"/>
      <c r="H844" s="4"/>
      <c r="I844" s="8"/>
      <c r="J844" s="4"/>
      <c r="K844" s="4"/>
    </row>
    <row r="845">
      <c r="A845" s="4"/>
      <c r="B845" s="9"/>
      <c r="C845" s="4"/>
      <c r="D845" s="4"/>
      <c r="E845" s="4"/>
      <c r="F845" s="4"/>
      <c r="G845" s="4"/>
      <c r="H845" s="4"/>
      <c r="I845" s="8"/>
      <c r="J845" s="4"/>
      <c r="K845" s="4"/>
    </row>
    <row r="846">
      <c r="A846" s="4"/>
      <c r="B846" s="9"/>
      <c r="C846" s="4"/>
      <c r="D846" s="4"/>
      <c r="E846" s="4"/>
      <c r="F846" s="4"/>
      <c r="G846" s="4"/>
      <c r="H846" s="4"/>
      <c r="I846" s="8"/>
      <c r="J846" s="4"/>
      <c r="K846" s="4"/>
    </row>
    <row r="847">
      <c r="A847" s="4"/>
      <c r="B847" s="9"/>
      <c r="C847" s="4"/>
      <c r="E847" s="4"/>
      <c r="F847" s="4"/>
      <c r="G847" s="4"/>
      <c r="H847" s="4"/>
      <c r="I847" s="8"/>
      <c r="J847" s="4"/>
      <c r="K847" s="4"/>
    </row>
    <row r="848">
      <c r="A848" s="4"/>
      <c r="B848" s="9"/>
      <c r="C848" s="4"/>
      <c r="E848" s="4"/>
      <c r="F848" s="4"/>
      <c r="G848" s="4"/>
      <c r="H848" s="4"/>
      <c r="I848" s="8"/>
      <c r="J848" s="4"/>
      <c r="K848" s="4"/>
    </row>
    <row r="849">
      <c r="A849" s="4"/>
      <c r="B849" s="9"/>
      <c r="C849" s="4"/>
      <c r="D849" s="4"/>
      <c r="E849" s="4"/>
      <c r="F849" s="4"/>
      <c r="G849" s="4"/>
      <c r="H849" s="4"/>
      <c r="I849" s="8"/>
      <c r="J849" s="4"/>
      <c r="K849" s="4"/>
    </row>
    <row r="850">
      <c r="A850" s="4"/>
      <c r="B850" s="9"/>
      <c r="C850" s="4"/>
      <c r="D850" s="4"/>
      <c r="E850" s="4"/>
      <c r="F850" s="4"/>
      <c r="G850" s="4"/>
      <c r="H850" s="4"/>
      <c r="I850" s="8"/>
      <c r="J850" s="4"/>
      <c r="K850" s="4"/>
    </row>
    <row r="851">
      <c r="A851" s="4"/>
      <c r="B851" s="9"/>
      <c r="C851" s="4"/>
      <c r="D851" s="4"/>
      <c r="E851" s="4"/>
      <c r="F851" s="4"/>
      <c r="G851" s="4"/>
      <c r="H851" s="4"/>
      <c r="I851" s="8"/>
      <c r="J851" s="4"/>
      <c r="K851" s="4"/>
    </row>
    <row r="852">
      <c r="A852" s="4"/>
      <c r="B852" s="9"/>
      <c r="C852" s="4"/>
      <c r="E852" s="4"/>
      <c r="F852" s="4"/>
      <c r="G852" s="4"/>
      <c r="H852" s="4"/>
      <c r="I852" s="8"/>
      <c r="J852" s="4"/>
      <c r="K852" s="4"/>
    </row>
    <row r="853">
      <c r="A853" s="4"/>
      <c r="B853" s="4"/>
      <c r="C853" s="4"/>
      <c r="E853" s="4"/>
      <c r="F853" s="4"/>
      <c r="G853" s="4"/>
      <c r="H853" s="4"/>
      <c r="I853" s="8"/>
      <c r="J853" s="4"/>
      <c r="K853" s="4"/>
    </row>
    <row r="854">
      <c r="A854" s="4"/>
      <c r="B854" s="4"/>
      <c r="C854" s="4"/>
      <c r="E854" s="4"/>
      <c r="F854" s="4"/>
      <c r="G854" s="4"/>
      <c r="H854" s="4"/>
      <c r="I854" s="8"/>
      <c r="J854" s="4"/>
      <c r="K854" s="4"/>
    </row>
    <row r="855">
      <c r="A855" s="4"/>
      <c r="B855" s="4"/>
      <c r="C855" s="4"/>
      <c r="E855" s="4"/>
      <c r="F855" s="4"/>
      <c r="G855" s="4"/>
      <c r="H855" s="4"/>
      <c r="I855" s="8"/>
      <c r="J855" s="4"/>
      <c r="K855" s="4"/>
    </row>
    <row r="856">
      <c r="A856" s="4"/>
      <c r="B856" s="4"/>
      <c r="C856" s="4"/>
      <c r="E856" s="4"/>
      <c r="F856" s="4"/>
      <c r="G856" s="4"/>
      <c r="H856" s="4"/>
      <c r="I856" s="8"/>
      <c r="J856" s="4"/>
      <c r="K856" s="4"/>
    </row>
    <row r="857">
      <c r="A857" s="4"/>
      <c r="B857" s="4"/>
      <c r="C857" s="4"/>
      <c r="E857" s="4"/>
      <c r="F857" s="4"/>
      <c r="G857" s="4"/>
      <c r="H857" s="4"/>
      <c r="I857" s="8"/>
      <c r="J857" s="4"/>
      <c r="K857" s="4"/>
    </row>
    <row r="858">
      <c r="A858" s="4"/>
      <c r="B858" s="4"/>
      <c r="C858" s="4"/>
      <c r="E858" s="4"/>
      <c r="F858" s="4"/>
      <c r="G858" s="4"/>
      <c r="H858" s="4"/>
      <c r="I858" s="8"/>
      <c r="J858" s="4"/>
      <c r="K858" s="4"/>
    </row>
    <row r="859">
      <c r="A859" s="4"/>
      <c r="B859" s="9"/>
      <c r="C859" s="4"/>
      <c r="E859" s="4"/>
      <c r="F859" s="4"/>
      <c r="G859" s="4"/>
      <c r="H859" s="4"/>
      <c r="I859" s="8"/>
      <c r="J859" s="4"/>
      <c r="K859" s="4"/>
    </row>
    <row r="860">
      <c r="A860" s="4"/>
      <c r="B860" s="4"/>
      <c r="C860" s="4"/>
      <c r="E860" s="4"/>
      <c r="F860" s="4"/>
      <c r="G860" s="4"/>
      <c r="H860" s="4"/>
      <c r="I860" s="8"/>
      <c r="J860" s="4"/>
      <c r="K860" s="4"/>
    </row>
    <row r="861">
      <c r="A861" s="4"/>
      <c r="B861" s="4"/>
      <c r="C861" s="4"/>
      <c r="D861" s="4"/>
      <c r="E861" s="4"/>
      <c r="F861" s="4"/>
      <c r="G861" s="4"/>
      <c r="H861" s="4"/>
      <c r="I861" s="8"/>
      <c r="J861" s="4"/>
      <c r="K861" s="4"/>
    </row>
    <row r="862">
      <c r="A862" s="4"/>
      <c r="B862" s="9"/>
      <c r="C862" s="4"/>
      <c r="D862" s="4"/>
      <c r="E862" s="4"/>
      <c r="F862" s="4"/>
      <c r="G862" s="4"/>
      <c r="H862" s="4"/>
      <c r="I862" s="8"/>
      <c r="J862" s="4"/>
      <c r="K862" s="4"/>
    </row>
    <row r="863">
      <c r="A863" s="4"/>
      <c r="B863" s="9"/>
      <c r="C863" s="4"/>
      <c r="D863" s="4"/>
      <c r="E863" s="4"/>
      <c r="F863" s="4"/>
      <c r="G863" s="4"/>
      <c r="H863" s="4"/>
      <c r="I863" s="8"/>
      <c r="J863" s="4"/>
      <c r="K863" s="4"/>
    </row>
    <row r="864">
      <c r="A864" s="4"/>
      <c r="B864" s="9"/>
      <c r="C864" s="4"/>
      <c r="D864" s="4"/>
      <c r="E864" s="4"/>
      <c r="F864" s="4"/>
      <c r="G864" s="4"/>
      <c r="H864" s="4"/>
      <c r="I864" s="8"/>
      <c r="J864" s="4"/>
      <c r="K864" s="4"/>
    </row>
    <row r="865">
      <c r="A865" s="4"/>
      <c r="B865" s="9"/>
      <c r="C865" s="4"/>
      <c r="D865" s="4"/>
      <c r="E865" s="4"/>
      <c r="F865" s="4"/>
      <c r="G865" s="4"/>
      <c r="H865" s="4"/>
      <c r="I865" s="8"/>
      <c r="J865" s="4"/>
      <c r="K865" s="4"/>
    </row>
    <row r="866">
      <c r="A866" s="4"/>
      <c r="B866" s="9"/>
      <c r="C866" s="4"/>
      <c r="D866" s="4"/>
      <c r="E866" s="4"/>
      <c r="F866" s="4"/>
      <c r="G866" s="4"/>
      <c r="H866" s="4"/>
      <c r="I866" s="8"/>
      <c r="J866" s="4"/>
      <c r="K866" s="4"/>
    </row>
    <row r="867">
      <c r="A867" s="4"/>
      <c r="B867" s="9"/>
      <c r="C867" s="4"/>
      <c r="E867" s="4"/>
      <c r="F867" s="4"/>
      <c r="G867" s="4"/>
      <c r="H867" s="4"/>
      <c r="I867" s="8"/>
      <c r="J867" s="4"/>
      <c r="K867" s="4"/>
    </row>
    <row r="868">
      <c r="A868" s="4"/>
      <c r="B868" s="9"/>
      <c r="C868" s="4"/>
      <c r="E868" s="4"/>
      <c r="F868" s="4"/>
      <c r="G868" s="4"/>
      <c r="H868" s="4"/>
      <c r="I868" s="8"/>
      <c r="J868" s="4"/>
      <c r="K868" s="4"/>
    </row>
    <row r="869">
      <c r="A869" s="4"/>
      <c r="B869" s="9"/>
      <c r="C869" s="4"/>
      <c r="E869" s="4"/>
      <c r="F869" s="4"/>
      <c r="G869" s="4"/>
      <c r="H869" s="4"/>
      <c r="I869" s="8"/>
      <c r="J869" s="4"/>
      <c r="K869" s="4"/>
    </row>
    <row r="870">
      <c r="A870" s="4"/>
      <c r="B870" s="9"/>
      <c r="C870" s="4"/>
      <c r="E870" s="4"/>
      <c r="F870" s="4"/>
      <c r="G870" s="4"/>
      <c r="H870" s="4"/>
      <c r="I870" s="8"/>
      <c r="J870" s="4"/>
      <c r="K870" s="4"/>
    </row>
    <row r="871">
      <c r="A871" s="4"/>
      <c r="B871" s="4"/>
      <c r="C871" s="4"/>
      <c r="D871" s="4"/>
      <c r="E871" s="4"/>
      <c r="F871" s="4"/>
      <c r="G871" s="4"/>
      <c r="H871" s="4"/>
      <c r="I871" s="8"/>
      <c r="J871" s="4"/>
      <c r="K871" s="4"/>
    </row>
    <row r="872">
      <c r="A872" s="4"/>
      <c r="B872" s="4"/>
      <c r="C872" s="4"/>
      <c r="D872" s="4"/>
      <c r="E872" s="4"/>
      <c r="F872" s="4"/>
      <c r="G872" s="4"/>
      <c r="H872" s="4"/>
      <c r="I872" s="8"/>
      <c r="J872" s="4"/>
      <c r="K872" s="4"/>
    </row>
    <row r="873">
      <c r="A873" s="4"/>
      <c r="B873" s="4"/>
      <c r="C873" s="4"/>
      <c r="D873" s="4"/>
      <c r="E873" s="4"/>
      <c r="F873" s="4"/>
      <c r="G873" s="4"/>
      <c r="H873" s="4"/>
      <c r="I873" s="8"/>
      <c r="J873" s="4"/>
      <c r="K873" s="4"/>
    </row>
    <row r="874">
      <c r="A874" s="4"/>
      <c r="B874" s="4"/>
      <c r="C874" s="4"/>
      <c r="D874" s="4"/>
      <c r="E874" s="4"/>
      <c r="F874" s="4"/>
      <c r="G874" s="4"/>
      <c r="H874" s="4"/>
      <c r="I874" s="8"/>
      <c r="J874" s="4"/>
      <c r="K874" s="4"/>
    </row>
    <row r="875">
      <c r="A875" s="4"/>
      <c r="B875" s="9"/>
      <c r="C875" s="4"/>
      <c r="D875" s="4"/>
      <c r="E875" s="4"/>
      <c r="F875" s="4"/>
      <c r="G875" s="4"/>
      <c r="H875" s="4"/>
      <c r="I875" s="8"/>
      <c r="J875" s="4"/>
      <c r="K875" s="4"/>
    </row>
    <row r="876">
      <c r="A876" s="4"/>
      <c r="B876" s="9"/>
      <c r="C876" s="4"/>
      <c r="D876" s="4"/>
      <c r="E876" s="4"/>
      <c r="F876" s="4"/>
      <c r="G876" s="4"/>
      <c r="H876" s="4"/>
      <c r="I876" s="8"/>
      <c r="J876" s="4"/>
      <c r="K876" s="4"/>
    </row>
    <row r="877">
      <c r="A877" s="4"/>
      <c r="B877" s="9"/>
      <c r="C877" s="4"/>
      <c r="D877" s="4"/>
      <c r="E877" s="4"/>
      <c r="F877" s="4"/>
      <c r="G877" s="4"/>
      <c r="H877" s="4"/>
      <c r="I877" s="8"/>
      <c r="J877" s="4"/>
      <c r="K877" s="4"/>
    </row>
    <row r="878">
      <c r="A878" s="4"/>
      <c r="B878" s="9"/>
      <c r="C878" s="4"/>
      <c r="D878" s="4"/>
      <c r="E878" s="4"/>
      <c r="F878" s="4"/>
      <c r="G878" s="4"/>
      <c r="H878" s="4"/>
      <c r="I878" s="8"/>
      <c r="J878" s="4"/>
      <c r="K878" s="4"/>
    </row>
    <row r="879">
      <c r="A879" s="4"/>
      <c r="B879" s="9"/>
      <c r="C879" s="4"/>
      <c r="D879" s="4"/>
      <c r="E879" s="4"/>
      <c r="F879" s="4"/>
      <c r="G879" s="4"/>
      <c r="H879" s="4"/>
      <c r="I879" s="8"/>
      <c r="J879" s="4"/>
      <c r="K879" s="4"/>
    </row>
    <row r="880">
      <c r="A880" s="4"/>
      <c r="B880" s="9"/>
      <c r="C880" s="4"/>
      <c r="E880" s="4"/>
      <c r="F880" s="4"/>
      <c r="G880" s="4"/>
      <c r="H880" s="4"/>
      <c r="I880" s="8"/>
      <c r="J880" s="4"/>
      <c r="K880" s="4"/>
    </row>
    <row r="881">
      <c r="A881" s="4"/>
      <c r="B881" s="9"/>
      <c r="C881" s="4"/>
      <c r="E881" s="4"/>
      <c r="F881" s="4"/>
      <c r="G881" s="4"/>
      <c r="H881" s="4"/>
      <c r="I881" s="8"/>
      <c r="J881" s="4"/>
      <c r="K881" s="4"/>
    </row>
    <row r="882">
      <c r="A882" s="4"/>
      <c r="B882" s="9"/>
      <c r="C882" s="4"/>
      <c r="E882" s="4"/>
      <c r="F882" s="4"/>
      <c r="G882" s="4"/>
      <c r="H882" s="4"/>
      <c r="I882" s="8"/>
      <c r="J882" s="4"/>
      <c r="K882" s="4"/>
    </row>
    <row r="883">
      <c r="A883" s="4"/>
      <c r="B883" s="9"/>
      <c r="C883" s="4"/>
      <c r="E883" s="4"/>
      <c r="F883" s="4"/>
      <c r="G883" s="4"/>
      <c r="H883" s="4"/>
      <c r="I883" s="8"/>
      <c r="J883" s="4"/>
      <c r="K883" s="4"/>
    </row>
    <row r="884">
      <c r="A884" s="4"/>
      <c r="B884" s="9"/>
      <c r="C884" s="4"/>
      <c r="E884" s="4"/>
      <c r="F884" s="4"/>
      <c r="G884" s="4"/>
      <c r="H884" s="4"/>
      <c r="I884" s="8"/>
      <c r="J884" s="4"/>
      <c r="K884" s="4"/>
    </row>
    <row r="885">
      <c r="A885" s="4"/>
      <c r="B885" s="9"/>
      <c r="C885" s="4"/>
      <c r="D885" s="4"/>
      <c r="E885" s="4"/>
      <c r="F885" s="4"/>
      <c r="G885" s="4"/>
      <c r="H885" s="4"/>
      <c r="I885" s="8"/>
      <c r="J885" s="4"/>
      <c r="K885" s="4"/>
    </row>
    <row r="886">
      <c r="A886" s="4"/>
      <c r="B886" s="9"/>
      <c r="C886" s="4"/>
      <c r="D886" s="4"/>
      <c r="E886" s="4"/>
      <c r="F886" s="4"/>
      <c r="G886" s="4"/>
      <c r="H886" s="4"/>
      <c r="I886" s="8"/>
      <c r="J886" s="4"/>
      <c r="K886" s="4"/>
    </row>
    <row r="887">
      <c r="A887" s="4"/>
      <c r="B887" s="9"/>
      <c r="C887" s="4"/>
      <c r="D887" s="4"/>
      <c r="E887" s="4"/>
      <c r="F887" s="4"/>
      <c r="G887" s="4"/>
      <c r="H887" s="4"/>
      <c r="I887" s="8"/>
      <c r="J887" s="4"/>
      <c r="K887" s="4"/>
    </row>
    <row r="888">
      <c r="A888" s="4"/>
      <c r="B888" s="9"/>
      <c r="C888" s="4"/>
      <c r="D888" s="4"/>
      <c r="E888" s="4"/>
      <c r="F888" s="4"/>
      <c r="G888" s="4"/>
      <c r="H888" s="4"/>
      <c r="I888" s="8"/>
      <c r="J888" s="4"/>
      <c r="K888" s="4"/>
    </row>
    <row r="889">
      <c r="A889" s="4"/>
      <c r="B889" s="9"/>
      <c r="C889" s="4"/>
      <c r="D889" s="4"/>
      <c r="E889" s="4"/>
      <c r="F889" s="4"/>
      <c r="G889" s="4"/>
      <c r="H889" s="4"/>
      <c r="I889" s="8"/>
      <c r="J889" s="4"/>
      <c r="K889" s="4"/>
    </row>
    <row r="890">
      <c r="A890" s="4"/>
      <c r="B890" s="9"/>
      <c r="C890" s="4"/>
      <c r="E890" s="4"/>
      <c r="F890" s="4"/>
      <c r="G890" s="4"/>
      <c r="H890" s="4"/>
      <c r="I890" s="8"/>
      <c r="J890" s="4"/>
      <c r="K890" s="4"/>
    </row>
    <row r="891">
      <c r="A891" s="4"/>
      <c r="B891" s="9"/>
      <c r="C891" s="4"/>
      <c r="D891" s="4"/>
      <c r="E891" s="4"/>
      <c r="F891" s="4"/>
      <c r="G891" s="4"/>
      <c r="H891" s="4"/>
      <c r="I891" s="8"/>
      <c r="J891" s="4"/>
      <c r="K891" s="4"/>
    </row>
    <row r="892">
      <c r="A892" s="4"/>
      <c r="B892" s="9"/>
      <c r="C892" s="4"/>
      <c r="D892" s="4"/>
      <c r="E892" s="4"/>
      <c r="F892" s="4"/>
      <c r="G892" s="4"/>
      <c r="H892" s="4"/>
      <c r="I892" s="8"/>
      <c r="J892" s="4"/>
      <c r="K892" s="4"/>
    </row>
    <row r="893">
      <c r="A893" s="4"/>
      <c r="B893" s="9"/>
      <c r="C893" s="4"/>
      <c r="D893" s="4"/>
      <c r="E893" s="4"/>
      <c r="F893" s="4"/>
      <c r="G893" s="4"/>
      <c r="H893" s="4"/>
      <c r="I893" s="8"/>
      <c r="J893" s="4"/>
      <c r="K893" s="4"/>
    </row>
    <row r="894">
      <c r="A894" s="4"/>
      <c r="B894" s="9"/>
      <c r="C894" s="4"/>
      <c r="D894" s="4"/>
      <c r="E894" s="4"/>
      <c r="F894" s="4"/>
      <c r="G894" s="4"/>
      <c r="H894" s="4"/>
      <c r="I894" s="8"/>
      <c r="J894" s="4"/>
      <c r="K894" s="4"/>
    </row>
    <row r="895">
      <c r="A895" s="4"/>
      <c r="B895" s="9"/>
      <c r="C895" s="4"/>
      <c r="D895" s="4"/>
      <c r="E895" s="4"/>
      <c r="F895" s="4"/>
      <c r="G895" s="4"/>
      <c r="H895" s="4"/>
      <c r="I895" s="8"/>
      <c r="J895" s="4"/>
      <c r="K895" s="4"/>
    </row>
    <row r="896">
      <c r="A896" s="4"/>
      <c r="B896" s="9"/>
      <c r="C896" s="4"/>
      <c r="F896" s="4"/>
      <c r="G896" s="4"/>
      <c r="H896" s="4"/>
      <c r="I896" s="8"/>
      <c r="J896" s="4"/>
      <c r="K896" s="4"/>
    </row>
    <row r="897">
      <c r="A897" s="4"/>
      <c r="B897" s="9"/>
      <c r="C897" s="4"/>
      <c r="E897" s="4"/>
      <c r="F897" s="4"/>
      <c r="G897" s="4"/>
      <c r="H897" s="4"/>
      <c r="I897" s="8"/>
      <c r="J897" s="4"/>
      <c r="K897" s="4"/>
    </row>
    <row r="898">
      <c r="A898" s="4"/>
      <c r="B898" s="4"/>
      <c r="C898" s="4"/>
      <c r="E898" s="4"/>
      <c r="F898" s="4"/>
      <c r="G898" s="4"/>
      <c r="H898" s="4"/>
      <c r="I898" s="8"/>
      <c r="J898" s="4"/>
      <c r="K898" s="4"/>
    </row>
    <row r="899">
      <c r="A899" s="4"/>
      <c r="B899" s="4"/>
      <c r="C899" s="4"/>
      <c r="E899" s="4"/>
      <c r="F899" s="4"/>
      <c r="G899" s="4"/>
      <c r="H899" s="4"/>
      <c r="I899" s="8"/>
      <c r="J899" s="4"/>
      <c r="K899" s="4"/>
    </row>
    <row r="900">
      <c r="A900" s="4"/>
      <c r="B900" s="4"/>
      <c r="C900" s="4"/>
      <c r="E900" s="4"/>
      <c r="F900" s="4"/>
      <c r="G900" s="4"/>
      <c r="H900" s="4"/>
      <c r="I900" s="8"/>
      <c r="J900" s="4"/>
      <c r="K900" s="4"/>
    </row>
    <row r="901">
      <c r="A901" s="4"/>
      <c r="B901" s="4"/>
      <c r="C901" s="4"/>
      <c r="E901" s="4"/>
      <c r="F901" s="4"/>
      <c r="G901" s="4"/>
      <c r="H901" s="4"/>
      <c r="I901" s="8"/>
      <c r="J901" s="4"/>
      <c r="K901" s="4"/>
    </row>
    <row r="902">
      <c r="A902" s="4"/>
      <c r="B902" s="4"/>
      <c r="C902" s="4"/>
      <c r="E902" s="4"/>
      <c r="F902" s="4"/>
      <c r="G902" s="4"/>
      <c r="H902" s="4"/>
      <c r="I902" s="8"/>
      <c r="J902" s="4"/>
      <c r="K902" s="4"/>
    </row>
    <row r="903">
      <c r="A903" s="4"/>
      <c r="B903" s="4"/>
      <c r="C903" s="4"/>
      <c r="E903" s="4"/>
      <c r="F903" s="4"/>
      <c r="G903" s="4"/>
      <c r="H903" s="4"/>
      <c r="I903" s="8"/>
      <c r="J903" s="4"/>
      <c r="K903" s="4"/>
    </row>
    <row r="904">
      <c r="A904" s="4"/>
      <c r="B904" s="4"/>
      <c r="C904" s="4"/>
      <c r="E904" s="4"/>
      <c r="F904" s="4"/>
      <c r="G904" s="4"/>
      <c r="H904" s="4"/>
      <c r="I904" s="8"/>
      <c r="J904" s="4"/>
      <c r="K904" s="4"/>
    </row>
    <row r="905">
      <c r="A905" s="4"/>
      <c r="B905" s="4"/>
      <c r="C905" s="4"/>
      <c r="E905" s="4"/>
      <c r="F905" s="4"/>
      <c r="G905" s="4"/>
      <c r="H905" s="4"/>
      <c r="I905" s="8"/>
      <c r="J905" s="4"/>
      <c r="K905" s="4"/>
    </row>
    <row r="906">
      <c r="A906" s="4"/>
      <c r="B906" s="9"/>
      <c r="C906" s="4"/>
      <c r="E906" s="4"/>
      <c r="F906" s="4"/>
      <c r="G906" s="4"/>
      <c r="H906" s="4"/>
      <c r="I906" s="8"/>
      <c r="J906" s="4"/>
      <c r="K906" s="4"/>
    </row>
    <row r="907">
      <c r="A907" s="4"/>
      <c r="B907" s="9"/>
      <c r="C907" s="4"/>
      <c r="E907" s="4"/>
      <c r="F907" s="4"/>
      <c r="G907" s="4"/>
      <c r="H907" s="4"/>
      <c r="I907" s="8"/>
      <c r="J907" s="4"/>
      <c r="K907" s="4"/>
    </row>
    <row r="908">
      <c r="A908" s="4"/>
      <c r="B908" s="9"/>
      <c r="C908" s="4"/>
      <c r="E908" s="4"/>
      <c r="F908" s="4"/>
      <c r="G908" s="4"/>
      <c r="H908" s="4"/>
      <c r="I908" s="8"/>
      <c r="J908" s="4"/>
      <c r="K908" s="4"/>
    </row>
    <row r="909">
      <c r="A909" s="4"/>
      <c r="B909" s="9"/>
      <c r="C909" s="4"/>
      <c r="E909" s="4"/>
      <c r="F909" s="4"/>
      <c r="G909" s="4"/>
      <c r="H909" s="4"/>
      <c r="I909" s="8"/>
      <c r="J909" s="4"/>
      <c r="K909" s="4"/>
    </row>
    <row r="910">
      <c r="A910" s="4"/>
      <c r="B910" s="9"/>
      <c r="C910" s="4"/>
      <c r="E910" s="4"/>
      <c r="F910" s="4"/>
      <c r="G910" s="4"/>
      <c r="H910" s="4"/>
      <c r="I910" s="8"/>
      <c r="J910" s="4"/>
      <c r="K910" s="4"/>
    </row>
    <row r="911">
      <c r="A911" s="4"/>
      <c r="B911" s="9"/>
      <c r="C911" s="4"/>
      <c r="E911" s="4"/>
      <c r="F911" s="4"/>
      <c r="G911" s="4"/>
      <c r="H911" s="4"/>
      <c r="I911" s="8"/>
      <c r="J911" s="4"/>
      <c r="K911" s="4"/>
    </row>
    <row r="912">
      <c r="A912" s="4"/>
      <c r="B912" s="9"/>
      <c r="C912" s="4"/>
      <c r="E912" s="4"/>
      <c r="F912" s="4"/>
      <c r="G912" s="4"/>
      <c r="H912" s="4"/>
      <c r="I912" s="8"/>
      <c r="J912" s="4"/>
      <c r="K912" s="4"/>
    </row>
    <row r="913">
      <c r="A913" s="4"/>
      <c r="B913" s="9"/>
      <c r="C913" s="4"/>
      <c r="D913" s="4"/>
      <c r="E913" s="4"/>
      <c r="F913" s="4"/>
      <c r="G913" s="4"/>
      <c r="H913" s="4"/>
      <c r="I913" s="8"/>
      <c r="J913" s="4"/>
      <c r="K913" s="4"/>
    </row>
    <row r="914">
      <c r="A914" s="4"/>
      <c r="B914" s="9"/>
      <c r="C914" s="4"/>
      <c r="D914" s="4"/>
      <c r="E914" s="4"/>
      <c r="F914" s="4"/>
      <c r="G914" s="4"/>
      <c r="H914" s="4"/>
      <c r="I914" s="8"/>
      <c r="J914" s="4"/>
      <c r="K914" s="4"/>
    </row>
    <row r="915">
      <c r="A915" s="4"/>
      <c r="B915" s="9"/>
      <c r="C915" s="4"/>
      <c r="E915" s="4"/>
      <c r="F915" s="4"/>
      <c r="G915" s="4"/>
      <c r="H915" s="4"/>
      <c r="I915" s="8"/>
      <c r="J915" s="4"/>
      <c r="K915" s="4"/>
    </row>
    <row r="916">
      <c r="A916" s="4"/>
      <c r="B916" s="4"/>
      <c r="C916" s="4"/>
      <c r="D916" s="4"/>
      <c r="E916" s="4"/>
      <c r="F916" s="4"/>
      <c r="G916" s="4"/>
      <c r="H916" s="4"/>
      <c r="I916" s="8"/>
      <c r="J916" s="4"/>
      <c r="K916" s="4"/>
    </row>
    <row r="917">
      <c r="A917" s="4"/>
      <c r="B917" s="4"/>
      <c r="C917" s="4"/>
      <c r="D917" s="4"/>
      <c r="E917" s="4"/>
      <c r="F917" s="4"/>
      <c r="G917" s="4"/>
      <c r="H917" s="4"/>
      <c r="I917" s="8"/>
      <c r="J917" s="4"/>
      <c r="K917" s="4"/>
    </row>
    <row r="918">
      <c r="A918" s="4"/>
      <c r="B918" s="4"/>
      <c r="C918" s="4"/>
      <c r="D918" s="4"/>
      <c r="E918" s="4"/>
      <c r="F918" s="4"/>
      <c r="G918" s="4"/>
      <c r="H918" s="4"/>
      <c r="I918" s="8"/>
      <c r="J918" s="4"/>
      <c r="K918" s="4"/>
    </row>
    <row r="919">
      <c r="A919" s="4"/>
      <c r="B919" s="4"/>
      <c r="C919" s="4"/>
      <c r="D919" s="4"/>
      <c r="E919" s="4"/>
      <c r="F919" s="4"/>
      <c r="G919" s="4"/>
      <c r="H919" s="4"/>
      <c r="I919" s="8"/>
      <c r="J919" s="4"/>
      <c r="K919" s="4"/>
    </row>
    <row r="920">
      <c r="A920" s="4"/>
      <c r="B920" s="9"/>
      <c r="C920" s="4"/>
      <c r="D920" s="4"/>
      <c r="E920" s="4"/>
      <c r="F920" s="4"/>
      <c r="G920" s="4"/>
      <c r="H920" s="4"/>
      <c r="I920" s="8"/>
      <c r="J920" s="4"/>
      <c r="K920" s="4"/>
    </row>
    <row r="921">
      <c r="A921" s="4"/>
      <c r="B921" s="9"/>
      <c r="C921" s="4"/>
      <c r="D921" s="4"/>
      <c r="E921" s="4"/>
      <c r="F921" s="4"/>
      <c r="G921" s="4"/>
      <c r="H921" s="4"/>
      <c r="I921" s="8"/>
      <c r="J921" s="4"/>
      <c r="K921" s="4"/>
    </row>
    <row r="922">
      <c r="A922" s="4"/>
      <c r="B922" s="9"/>
      <c r="C922" s="4"/>
      <c r="D922" s="4"/>
      <c r="E922" s="4"/>
      <c r="F922" s="4"/>
      <c r="G922" s="4"/>
      <c r="H922" s="4"/>
      <c r="I922" s="8"/>
      <c r="J922" s="4"/>
      <c r="K922" s="4"/>
    </row>
    <row r="923">
      <c r="A923" s="4"/>
      <c r="B923" s="9"/>
      <c r="C923" s="4"/>
      <c r="D923" s="4"/>
      <c r="E923" s="4"/>
      <c r="F923" s="4"/>
      <c r="G923" s="4"/>
      <c r="H923" s="4"/>
      <c r="I923" s="8"/>
      <c r="J923" s="4"/>
      <c r="K923" s="4"/>
    </row>
    <row r="924">
      <c r="A924" s="4"/>
      <c r="B924" s="9"/>
      <c r="C924" s="4"/>
      <c r="E924" s="4"/>
      <c r="F924" s="4"/>
      <c r="G924" s="4"/>
      <c r="H924" s="4"/>
      <c r="I924" s="8"/>
      <c r="J924" s="4"/>
      <c r="K924" s="4"/>
    </row>
    <row r="925">
      <c r="A925" s="4"/>
      <c r="B925" s="9"/>
      <c r="C925" s="4"/>
      <c r="E925" s="4"/>
      <c r="F925" s="4"/>
      <c r="G925" s="4"/>
      <c r="H925" s="4"/>
      <c r="I925" s="8"/>
      <c r="J925" s="4"/>
      <c r="K925" s="4"/>
    </row>
    <row r="926">
      <c r="A926" s="4"/>
      <c r="B926" s="4"/>
      <c r="C926" s="4"/>
      <c r="E926" s="4"/>
      <c r="F926" s="4"/>
      <c r="G926" s="4"/>
      <c r="H926" s="4"/>
      <c r="I926" s="8"/>
      <c r="J926" s="4"/>
      <c r="K926" s="4"/>
    </row>
    <row r="927">
      <c r="A927" s="4"/>
      <c r="B927" s="4"/>
      <c r="C927" s="4"/>
      <c r="E927" s="4"/>
      <c r="F927" s="4"/>
      <c r="G927" s="4"/>
      <c r="H927" s="4"/>
      <c r="I927" s="8"/>
      <c r="J927" s="4"/>
      <c r="K927" s="4"/>
    </row>
    <row r="928">
      <c r="A928" s="4"/>
      <c r="B928" s="9"/>
      <c r="C928" s="4"/>
      <c r="D928" s="4"/>
      <c r="E928" s="4"/>
      <c r="F928" s="4"/>
      <c r="G928" s="4"/>
      <c r="H928" s="4"/>
      <c r="I928" s="8"/>
      <c r="J928" s="4"/>
      <c r="K928" s="4"/>
    </row>
    <row r="929">
      <c r="A929" s="4"/>
      <c r="B929" s="9"/>
      <c r="C929" s="4"/>
      <c r="D929" s="4"/>
      <c r="E929" s="4"/>
      <c r="F929" s="4"/>
      <c r="G929" s="4"/>
      <c r="H929" s="4"/>
      <c r="I929" s="8"/>
      <c r="J929" s="4"/>
      <c r="K929" s="4"/>
    </row>
    <row r="930">
      <c r="A930" s="4"/>
      <c r="B930" s="9"/>
      <c r="C930" s="4"/>
      <c r="D930" s="4"/>
      <c r="E930" s="4"/>
      <c r="F930" s="4"/>
      <c r="G930" s="4"/>
      <c r="H930" s="4"/>
      <c r="I930" s="8"/>
      <c r="J930" s="4"/>
      <c r="K930" s="4"/>
    </row>
    <row r="931">
      <c r="A931" s="4"/>
      <c r="B931" s="9"/>
      <c r="C931" s="4"/>
      <c r="E931" s="4"/>
      <c r="F931" s="4"/>
      <c r="G931" s="4"/>
      <c r="H931" s="4"/>
      <c r="I931" s="8"/>
      <c r="J931" s="4"/>
      <c r="K931" s="4"/>
    </row>
    <row r="932">
      <c r="A932" s="4"/>
      <c r="B932" s="9"/>
      <c r="C932" s="4"/>
      <c r="D932" s="4"/>
      <c r="E932" s="4"/>
      <c r="F932" s="4"/>
      <c r="G932" s="4"/>
      <c r="H932" s="4"/>
      <c r="I932" s="8"/>
      <c r="J932" s="4"/>
      <c r="K932" s="4"/>
    </row>
    <row r="933">
      <c r="A933" s="4"/>
      <c r="B933" s="9"/>
      <c r="C933" s="4"/>
      <c r="D933" s="4"/>
      <c r="E933" s="4"/>
      <c r="F933" s="4"/>
      <c r="G933" s="4"/>
      <c r="H933" s="4"/>
      <c r="I933" s="8"/>
      <c r="J933" s="4"/>
      <c r="K933" s="4"/>
    </row>
    <row r="934">
      <c r="A934" s="4"/>
      <c r="B934" s="9"/>
      <c r="C934" s="4"/>
      <c r="D934" s="4"/>
      <c r="E934" s="4"/>
      <c r="F934" s="4"/>
      <c r="G934" s="4"/>
      <c r="H934" s="4"/>
      <c r="I934" s="8"/>
      <c r="J934" s="4"/>
      <c r="K934" s="4"/>
    </row>
    <row r="935">
      <c r="A935" s="4"/>
      <c r="B935" s="9"/>
      <c r="C935" s="4"/>
      <c r="D935" s="4"/>
      <c r="E935" s="4"/>
      <c r="F935" s="4"/>
      <c r="G935" s="4"/>
      <c r="H935" s="4"/>
      <c r="I935" s="8"/>
      <c r="J935" s="4"/>
      <c r="K935" s="4"/>
    </row>
    <row r="936">
      <c r="A936" s="4"/>
      <c r="B936" s="9"/>
      <c r="C936" s="4"/>
      <c r="E936" s="4"/>
      <c r="F936" s="4"/>
      <c r="G936" s="4"/>
      <c r="H936" s="4"/>
      <c r="I936" s="8"/>
      <c r="J936" s="4"/>
      <c r="K936" s="4"/>
    </row>
    <row r="937">
      <c r="A937" s="4"/>
      <c r="B937" s="9"/>
      <c r="C937" s="4"/>
      <c r="D937" s="4"/>
      <c r="E937" s="4"/>
      <c r="F937" s="4"/>
      <c r="G937" s="4"/>
      <c r="H937" s="4"/>
      <c r="I937" s="8"/>
      <c r="J937" s="4"/>
      <c r="K937" s="4"/>
    </row>
    <row r="938">
      <c r="A938" s="4"/>
      <c r="B938" s="9"/>
      <c r="C938" s="4"/>
      <c r="D938" s="4"/>
      <c r="E938" s="4"/>
      <c r="F938" s="4"/>
      <c r="G938" s="4"/>
      <c r="H938" s="4"/>
      <c r="I938" s="8"/>
      <c r="J938" s="4"/>
      <c r="K938" s="4"/>
    </row>
    <row r="939">
      <c r="A939" s="4"/>
      <c r="B939" s="9"/>
      <c r="C939" s="4"/>
      <c r="D939" s="4"/>
      <c r="E939" s="4"/>
      <c r="F939" s="4"/>
      <c r="G939" s="4"/>
      <c r="H939" s="4"/>
      <c r="I939" s="8"/>
      <c r="J939" s="4"/>
      <c r="K939" s="4"/>
    </row>
    <row r="940">
      <c r="A940" s="4"/>
      <c r="B940" s="9"/>
      <c r="C940" s="4"/>
      <c r="D940" s="4"/>
      <c r="E940" s="4"/>
      <c r="F940" s="4"/>
      <c r="G940" s="4"/>
      <c r="H940" s="4"/>
      <c r="I940" s="8"/>
      <c r="J940" s="4"/>
      <c r="K940" s="4"/>
    </row>
    <row r="941">
      <c r="A941" s="4"/>
      <c r="B941" s="9"/>
      <c r="C941" s="4"/>
      <c r="D941" s="4"/>
      <c r="E941" s="4"/>
      <c r="F941" s="4"/>
      <c r="G941" s="4"/>
      <c r="H941" s="4"/>
      <c r="I941" s="8"/>
      <c r="J941" s="4"/>
      <c r="K941" s="4"/>
    </row>
    <row r="942">
      <c r="A942" s="4"/>
      <c r="B942" s="4"/>
      <c r="C942" s="4"/>
      <c r="D942" s="4"/>
      <c r="E942" s="4"/>
      <c r="F942" s="4"/>
      <c r="G942" s="4"/>
      <c r="H942" s="4"/>
      <c r="I942" s="8"/>
      <c r="J942" s="4"/>
      <c r="K942" s="4"/>
    </row>
    <row r="943">
      <c r="A943" s="4"/>
      <c r="B943" s="4"/>
      <c r="C943" s="4"/>
      <c r="D943" s="4"/>
      <c r="E943" s="4"/>
      <c r="F943" s="4"/>
      <c r="G943" s="4"/>
      <c r="H943" s="4"/>
      <c r="I943" s="8"/>
      <c r="J943" s="4"/>
      <c r="K943" s="4"/>
    </row>
    <row r="944">
      <c r="A944" s="4"/>
      <c r="B944" s="4"/>
      <c r="C944" s="4"/>
      <c r="D944" s="4"/>
      <c r="E944" s="4"/>
      <c r="F944" s="4"/>
      <c r="G944" s="4"/>
      <c r="H944" s="4"/>
      <c r="I944" s="8"/>
      <c r="J944" s="4"/>
      <c r="K944" s="4"/>
    </row>
    <row r="945">
      <c r="A945" s="4"/>
      <c r="B945" s="4"/>
      <c r="C945" s="4"/>
      <c r="D945" s="4"/>
      <c r="E945" s="4"/>
      <c r="F945" s="4"/>
      <c r="G945" s="4"/>
      <c r="H945" s="4"/>
      <c r="I945" s="8"/>
      <c r="J945" s="4"/>
      <c r="K945" s="4"/>
    </row>
    <row r="946">
      <c r="A946" s="4"/>
      <c r="B946" s="4"/>
      <c r="C946" s="4"/>
      <c r="D946" s="4"/>
      <c r="E946" s="4"/>
      <c r="F946" s="4"/>
      <c r="G946" s="4"/>
      <c r="H946" s="4"/>
      <c r="I946" s="8"/>
      <c r="J946" s="4"/>
      <c r="K946" s="4"/>
    </row>
    <row r="947">
      <c r="A947" s="4"/>
      <c r="B947" s="4"/>
      <c r="C947" s="4"/>
      <c r="D947" s="4"/>
      <c r="E947" s="4"/>
      <c r="F947" s="4"/>
      <c r="G947" s="4"/>
      <c r="H947" s="4"/>
      <c r="I947" s="8"/>
      <c r="J947" s="4"/>
      <c r="K947" s="4"/>
    </row>
    <row r="948">
      <c r="A948" s="4"/>
      <c r="B948" s="9"/>
      <c r="C948" s="4"/>
      <c r="E948" s="4"/>
      <c r="F948" s="4"/>
      <c r="G948" s="4"/>
      <c r="H948" s="4"/>
      <c r="J948" s="4"/>
      <c r="K948" s="4"/>
    </row>
    <row r="949">
      <c r="A949" s="4"/>
      <c r="B949" s="9"/>
      <c r="C949" s="4"/>
      <c r="E949" s="4"/>
      <c r="F949" s="4"/>
      <c r="G949" s="4"/>
      <c r="H949" s="4"/>
      <c r="J949" s="4"/>
      <c r="K949" s="4"/>
    </row>
    <row r="950">
      <c r="A950" s="4"/>
      <c r="B950" s="9"/>
      <c r="C950" s="4"/>
      <c r="E950" s="4"/>
      <c r="F950" s="4"/>
      <c r="G950" s="4"/>
      <c r="H950" s="4"/>
      <c r="I950" s="8"/>
      <c r="J950" s="4"/>
      <c r="K950" s="4"/>
    </row>
    <row r="951">
      <c r="A951" s="4"/>
      <c r="B951" s="9"/>
      <c r="C951" s="4"/>
      <c r="E951" s="4"/>
      <c r="F951" s="4"/>
      <c r="G951" s="4"/>
      <c r="H951" s="4"/>
      <c r="J951" s="4"/>
      <c r="K951" s="4"/>
    </row>
    <row r="952">
      <c r="A952" s="4"/>
      <c r="B952" s="9"/>
      <c r="C952" s="4"/>
      <c r="E952" s="4"/>
      <c r="F952" s="4"/>
      <c r="G952" s="4"/>
      <c r="H952" s="4"/>
      <c r="J952" s="4"/>
      <c r="K952" s="4"/>
    </row>
    <row r="953">
      <c r="A953" s="4"/>
      <c r="B953" s="9"/>
      <c r="C953" s="4"/>
      <c r="E953" s="4"/>
      <c r="F953" s="4"/>
      <c r="G953" s="4"/>
      <c r="H953" s="4"/>
      <c r="J953" s="4"/>
      <c r="K953" s="4"/>
    </row>
    <row r="954">
      <c r="A954" s="4"/>
      <c r="B954" s="9"/>
      <c r="C954" s="4"/>
      <c r="E954" s="4"/>
      <c r="F954" s="4"/>
      <c r="G954" s="4"/>
      <c r="H954" s="4"/>
      <c r="J954" s="4"/>
      <c r="K954" s="4"/>
    </row>
    <row r="955">
      <c r="A955" s="4"/>
      <c r="B955" s="9"/>
      <c r="C955" s="4"/>
      <c r="E955" s="4"/>
      <c r="F955" s="4"/>
      <c r="G955" s="4"/>
      <c r="H955" s="4"/>
      <c r="J955" s="4"/>
      <c r="K955" s="4"/>
    </row>
    <row r="956">
      <c r="A956" s="4"/>
      <c r="B956" s="9"/>
      <c r="C956" s="4"/>
      <c r="E956" s="4"/>
      <c r="F956" s="4"/>
      <c r="G956" s="4"/>
      <c r="H956" s="4"/>
      <c r="I956" s="8"/>
      <c r="J956" s="4"/>
      <c r="K956" s="4"/>
    </row>
    <row r="957">
      <c r="A957" s="4"/>
      <c r="B957" s="9"/>
      <c r="C957" s="4"/>
      <c r="E957" s="4"/>
      <c r="F957" s="4"/>
      <c r="G957" s="4"/>
      <c r="H957" s="4"/>
      <c r="I957" s="8"/>
      <c r="J957" s="4"/>
      <c r="K957" s="4"/>
    </row>
    <row r="958">
      <c r="A958" s="4"/>
      <c r="B958" s="9"/>
      <c r="C958" s="4"/>
      <c r="E958" s="4"/>
      <c r="F958" s="4"/>
      <c r="G958" s="4"/>
      <c r="H958" s="4"/>
      <c r="I958" s="8"/>
      <c r="J958" s="4"/>
      <c r="K958" s="4"/>
    </row>
    <row r="959">
      <c r="A959" s="4"/>
      <c r="B959" s="4"/>
      <c r="C959" s="4"/>
      <c r="F959" s="4"/>
      <c r="G959" s="4"/>
      <c r="H959" s="4"/>
      <c r="I959" s="8"/>
      <c r="J959" s="4"/>
      <c r="K959" s="4"/>
    </row>
    <row r="960">
      <c r="A960" s="4"/>
      <c r="B960" s="9"/>
      <c r="C960" s="4"/>
      <c r="E960" s="4"/>
      <c r="F960" s="4"/>
      <c r="G960" s="4"/>
      <c r="H960" s="4"/>
      <c r="I960" s="8"/>
      <c r="J960" s="4"/>
      <c r="K960" s="4"/>
    </row>
    <row r="961">
      <c r="A961" s="4"/>
      <c r="B961" s="9"/>
      <c r="C961" s="4"/>
      <c r="D961" s="4"/>
      <c r="E961" s="4"/>
      <c r="F961" s="4"/>
      <c r="G961" s="4"/>
      <c r="H961" s="4"/>
      <c r="I961" s="8"/>
      <c r="J961" s="4"/>
      <c r="K961" s="4"/>
    </row>
    <row r="962">
      <c r="A962" s="4"/>
      <c r="B962" s="9"/>
      <c r="C962" s="4"/>
      <c r="E962" s="4"/>
      <c r="F962" s="4"/>
      <c r="G962" s="4"/>
      <c r="H962" s="4"/>
      <c r="I962" s="8"/>
      <c r="J962" s="4"/>
      <c r="K962" s="4"/>
    </row>
    <row r="963">
      <c r="A963" s="4"/>
      <c r="B963" s="9"/>
      <c r="C963" s="4"/>
      <c r="D963" s="4"/>
      <c r="E963" s="4"/>
      <c r="F963" s="4"/>
      <c r="G963" s="4"/>
      <c r="H963" s="4"/>
      <c r="I963" s="8"/>
      <c r="J963" s="4"/>
      <c r="K963" s="4"/>
    </row>
    <row r="964">
      <c r="A964" s="4"/>
      <c r="B964" s="9"/>
      <c r="C964" s="4"/>
      <c r="E964" s="4"/>
      <c r="F964" s="4"/>
      <c r="G964" s="4"/>
      <c r="H964" s="4"/>
      <c r="I964" s="8"/>
      <c r="J964" s="4"/>
      <c r="K964" s="4"/>
    </row>
    <row r="965">
      <c r="A965" s="4"/>
      <c r="B965" s="9"/>
      <c r="C965" s="4"/>
      <c r="E965" s="4"/>
      <c r="F965" s="4"/>
      <c r="G965" s="4"/>
      <c r="H965" s="4"/>
      <c r="I965" s="8"/>
      <c r="J965" s="4"/>
      <c r="K965" s="4"/>
    </row>
    <row r="966">
      <c r="A966" s="4"/>
      <c r="B966" s="9"/>
      <c r="C966" s="4"/>
      <c r="D966" s="4"/>
      <c r="E966" s="4"/>
      <c r="F966" s="4"/>
      <c r="G966" s="4"/>
      <c r="H966" s="4"/>
      <c r="I966" s="8"/>
      <c r="J966" s="4"/>
      <c r="K966" s="4"/>
    </row>
    <row r="967">
      <c r="A967" s="4"/>
      <c r="B967" s="9"/>
      <c r="C967" s="4"/>
      <c r="D967" s="4"/>
      <c r="E967" s="4"/>
      <c r="F967" s="4"/>
      <c r="G967" s="4"/>
      <c r="H967" s="4"/>
      <c r="I967" s="8"/>
      <c r="J967" s="4"/>
      <c r="K967" s="4"/>
    </row>
    <row r="968">
      <c r="A968" s="4"/>
      <c r="B968" s="4"/>
      <c r="C968" s="4"/>
      <c r="E968" s="4"/>
      <c r="F968" s="4"/>
      <c r="G968" s="4"/>
      <c r="H968" s="4"/>
      <c r="I968" s="8"/>
      <c r="J968" s="4"/>
      <c r="K968" s="4"/>
    </row>
    <row r="969">
      <c r="A969" s="4"/>
      <c r="B969" s="9"/>
      <c r="C969" s="4"/>
      <c r="E969" s="4"/>
      <c r="F969" s="4"/>
      <c r="G969" s="4"/>
      <c r="H969" s="4"/>
      <c r="I969" s="8"/>
      <c r="J969" s="4"/>
      <c r="K969" s="4"/>
    </row>
    <row r="970">
      <c r="A970" s="4"/>
      <c r="B970" s="9"/>
      <c r="C970" s="4"/>
      <c r="E970" s="4"/>
      <c r="F970" s="4"/>
      <c r="G970" s="4"/>
      <c r="H970" s="4"/>
      <c r="I970" s="8"/>
      <c r="J970" s="4"/>
      <c r="K970" s="4"/>
    </row>
    <row r="971">
      <c r="A971" s="4"/>
      <c r="B971" s="9"/>
      <c r="C971" s="4"/>
      <c r="D971" s="4"/>
      <c r="E971" s="4"/>
      <c r="F971" s="4"/>
      <c r="G971" s="4"/>
      <c r="H971" s="4"/>
      <c r="I971" s="8"/>
      <c r="J971" s="4"/>
      <c r="K971" s="4"/>
    </row>
    <row r="972">
      <c r="A972" s="4"/>
      <c r="B972" s="9"/>
      <c r="C972" s="4"/>
      <c r="D972" s="4"/>
      <c r="E972" s="4"/>
      <c r="F972" s="4"/>
      <c r="G972" s="4"/>
      <c r="H972" s="4"/>
      <c r="I972" s="8"/>
      <c r="J972" s="4"/>
      <c r="K972" s="4"/>
    </row>
    <row r="973">
      <c r="A973" s="4"/>
      <c r="B973" s="9"/>
      <c r="C973" s="4"/>
      <c r="D973" s="4"/>
      <c r="E973" s="4"/>
      <c r="F973" s="4"/>
      <c r="G973" s="4"/>
      <c r="H973" s="4"/>
      <c r="I973" s="8"/>
      <c r="J973" s="4"/>
      <c r="K973" s="4"/>
    </row>
    <row r="974">
      <c r="A974" s="4"/>
      <c r="B974" s="9"/>
      <c r="C974" s="4"/>
      <c r="D974" s="4"/>
      <c r="E974" s="4"/>
      <c r="F974" s="4"/>
      <c r="G974" s="4"/>
      <c r="H974" s="4"/>
      <c r="I974" s="8"/>
      <c r="J974" s="4"/>
      <c r="K974" s="4"/>
    </row>
    <row r="975">
      <c r="A975" s="4"/>
      <c r="B975" s="9"/>
      <c r="C975" s="4"/>
      <c r="E975" s="4"/>
      <c r="F975" s="4"/>
      <c r="G975" s="4"/>
      <c r="H975" s="4"/>
      <c r="I975" s="8"/>
      <c r="J975" s="4"/>
      <c r="K975" s="4"/>
    </row>
    <row r="976">
      <c r="A976" s="4"/>
      <c r="B976" s="9"/>
      <c r="C976" s="4"/>
      <c r="E976" s="4"/>
      <c r="F976" s="4"/>
      <c r="G976" s="4"/>
      <c r="H976" s="4"/>
      <c r="I976" s="8"/>
      <c r="J976" s="4"/>
      <c r="K976" s="4"/>
    </row>
    <row r="977">
      <c r="A977" s="4"/>
      <c r="B977" s="4"/>
      <c r="C977" s="4"/>
      <c r="D977" s="4"/>
      <c r="E977" s="4"/>
      <c r="F977" s="4"/>
      <c r="G977" s="4"/>
      <c r="H977" s="4"/>
      <c r="I977" s="8"/>
      <c r="J977" s="4"/>
      <c r="K977" s="4"/>
    </row>
    <row r="978">
      <c r="A978" s="4"/>
      <c r="B978" s="4"/>
      <c r="C978" s="4"/>
      <c r="D978" s="4"/>
      <c r="E978" s="4"/>
      <c r="F978" s="4"/>
      <c r="G978" s="4"/>
      <c r="H978" s="4"/>
      <c r="I978" s="8"/>
      <c r="J978" s="4"/>
      <c r="K978" s="4"/>
    </row>
    <row r="979">
      <c r="A979" s="4"/>
      <c r="B979" s="4"/>
      <c r="C979" s="4"/>
      <c r="D979" s="4"/>
      <c r="E979" s="4"/>
      <c r="F979" s="4"/>
      <c r="G979" s="4"/>
      <c r="H979" s="4"/>
      <c r="I979" s="8"/>
      <c r="J979" s="4"/>
      <c r="K979" s="4"/>
    </row>
    <row r="980">
      <c r="A980" s="4"/>
      <c r="B980" s="4"/>
      <c r="C980" s="4"/>
      <c r="D980" s="4"/>
      <c r="E980" s="4"/>
      <c r="F980" s="4"/>
      <c r="G980" s="4"/>
      <c r="H980" s="4"/>
      <c r="I980" s="8"/>
      <c r="J980" s="4"/>
      <c r="K980" s="4"/>
    </row>
    <row r="981">
      <c r="A981" s="4"/>
      <c r="B981" s="9"/>
      <c r="C981" s="4"/>
      <c r="E981" s="4"/>
      <c r="F981" s="4"/>
      <c r="G981" s="4"/>
      <c r="H981" s="4"/>
      <c r="I981" s="8"/>
      <c r="J981" s="4"/>
      <c r="K981" s="4"/>
    </row>
    <row r="982">
      <c r="A982" s="4"/>
      <c r="B982" s="4"/>
      <c r="C982" s="4"/>
      <c r="D982" s="4"/>
      <c r="E982" s="4"/>
      <c r="F982" s="4"/>
      <c r="G982" s="4"/>
      <c r="H982" s="4"/>
      <c r="I982" s="8"/>
      <c r="J982" s="4"/>
      <c r="K982" s="4"/>
    </row>
    <row r="983">
      <c r="A983" s="4"/>
      <c r="B983" s="4"/>
      <c r="C983" s="4"/>
      <c r="D983" s="4"/>
      <c r="E983" s="4"/>
      <c r="F983" s="4"/>
      <c r="G983" s="4"/>
      <c r="H983" s="4"/>
      <c r="I983" s="8"/>
      <c r="J983" s="4"/>
      <c r="K983" s="4"/>
    </row>
    <row r="984">
      <c r="A984" s="4"/>
      <c r="B984" s="4"/>
      <c r="C984" s="4"/>
      <c r="D984" s="4"/>
      <c r="E984" s="4"/>
      <c r="F984" s="4"/>
      <c r="G984" s="4"/>
      <c r="H984" s="4"/>
      <c r="I984" s="8"/>
      <c r="J984" s="4"/>
      <c r="K984" s="4"/>
    </row>
    <row r="985">
      <c r="A985" s="4"/>
      <c r="B985" s="4"/>
      <c r="C985" s="4"/>
      <c r="D985" s="4"/>
      <c r="E985" s="4"/>
      <c r="F985" s="4"/>
      <c r="G985" s="4"/>
      <c r="H985" s="4"/>
      <c r="I985" s="8"/>
      <c r="J985" s="4"/>
      <c r="K985" s="4"/>
    </row>
    <row r="986">
      <c r="A986" s="4"/>
      <c r="B986" s="9"/>
      <c r="C986" s="4"/>
      <c r="E986" s="4"/>
      <c r="F986" s="4"/>
      <c r="G986" s="4"/>
      <c r="H986" s="4"/>
      <c r="I986" s="8"/>
      <c r="J986" s="4"/>
      <c r="K986" s="4"/>
    </row>
    <row r="987">
      <c r="A987" s="4"/>
      <c r="B987" s="4"/>
      <c r="C987" s="4"/>
      <c r="E987" s="4"/>
      <c r="F987" s="4"/>
      <c r="G987" s="4"/>
      <c r="H987" s="4"/>
      <c r="I987" s="8"/>
      <c r="J987" s="4"/>
      <c r="K987" s="4"/>
    </row>
    <row r="988">
      <c r="A988" s="4"/>
      <c r="B988" s="9"/>
      <c r="C988" s="4"/>
      <c r="E988" s="4"/>
      <c r="F988" s="4"/>
      <c r="G988" s="4"/>
      <c r="H988" s="4"/>
      <c r="I988" s="8"/>
      <c r="J988" s="4"/>
      <c r="K988" s="4"/>
    </row>
    <row r="989">
      <c r="A989" s="4"/>
      <c r="B989" s="4"/>
      <c r="C989" s="4"/>
      <c r="D989" s="4"/>
      <c r="E989" s="4"/>
      <c r="F989" s="4"/>
      <c r="G989" s="4"/>
      <c r="H989" s="4"/>
      <c r="I989" s="8"/>
      <c r="J989" s="4"/>
      <c r="K989" s="4"/>
    </row>
    <row r="990">
      <c r="A990" s="4"/>
      <c r="B990" s="4"/>
      <c r="C990" s="4"/>
      <c r="D990" s="4"/>
      <c r="E990" s="4"/>
      <c r="F990" s="4"/>
      <c r="G990" s="4"/>
      <c r="H990" s="4"/>
      <c r="I990" s="8"/>
      <c r="J990" s="4"/>
      <c r="K990" s="4"/>
    </row>
    <row r="991">
      <c r="A991" s="4"/>
      <c r="B991" s="4"/>
      <c r="C991" s="4"/>
      <c r="D991" s="4"/>
      <c r="E991" s="4"/>
      <c r="F991" s="4"/>
      <c r="G991" s="4"/>
      <c r="H991" s="4"/>
      <c r="I991" s="8"/>
      <c r="J991" s="4"/>
      <c r="K991" s="4"/>
    </row>
    <row r="992">
      <c r="A992" s="4"/>
      <c r="B992" s="4"/>
      <c r="C992" s="4"/>
      <c r="D992" s="4"/>
      <c r="E992" s="4"/>
      <c r="F992" s="4"/>
      <c r="G992" s="4"/>
      <c r="H992" s="4"/>
      <c r="I992" s="8"/>
      <c r="J992" s="4"/>
      <c r="K992" s="4"/>
    </row>
    <row r="993">
      <c r="A993" s="4"/>
      <c r="B993" s="4"/>
      <c r="C993" s="4"/>
      <c r="D993" s="4"/>
      <c r="E993" s="4"/>
      <c r="F993" s="4"/>
      <c r="G993" s="4"/>
      <c r="H993" s="4"/>
      <c r="I993" s="8"/>
      <c r="J993" s="4"/>
      <c r="K993" s="4"/>
    </row>
    <row r="994">
      <c r="A994" s="4"/>
      <c r="B994" s="4"/>
      <c r="C994" s="4"/>
      <c r="E994" s="4"/>
      <c r="F994" s="4"/>
      <c r="G994" s="4"/>
      <c r="H994" s="4"/>
      <c r="I994" s="8"/>
      <c r="J994" s="4"/>
      <c r="K994" s="4"/>
    </row>
    <row r="995">
      <c r="A995" s="4"/>
      <c r="B995" s="9"/>
      <c r="C995" s="4"/>
      <c r="D995" s="4"/>
      <c r="E995" s="4"/>
      <c r="F995" s="4"/>
      <c r="G995" s="4"/>
      <c r="H995" s="4"/>
      <c r="I995" s="8"/>
      <c r="J995" s="4"/>
      <c r="K995" s="4"/>
    </row>
    <row r="996">
      <c r="A996" s="4"/>
      <c r="B996" s="9"/>
      <c r="C996" s="4"/>
      <c r="D996" s="4"/>
      <c r="E996" s="4"/>
      <c r="F996" s="4"/>
      <c r="G996" s="4"/>
      <c r="H996" s="4"/>
      <c r="I996" s="8"/>
      <c r="J996" s="4"/>
      <c r="K996" s="4"/>
    </row>
    <row r="997">
      <c r="A997" s="4"/>
      <c r="B997" s="9"/>
      <c r="C997" s="4"/>
      <c r="D997" s="4"/>
      <c r="E997" s="4"/>
      <c r="F997" s="4"/>
      <c r="G997" s="4"/>
      <c r="H997" s="4"/>
      <c r="I997" s="8"/>
      <c r="J997" s="4"/>
      <c r="K997" s="4"/>
    </row>
    <row r="998">
      <c r="A998" s="4"/>
      <c r="B998" s="9"/>
      <c r="C998" s="4"/>
      <c r="D998" s="4"/>
      <c r="E998" s="4"/>
      <c r="F998" s="4"/>
      <c r="G998" s="4"/>
      <c r="H998" s="4"/>
      <c r="I998" s="8"/>
      <c r="J998" s="4"/>
      <c r="K998" s="4"/>
    </row>
    <row r="999">
      <c r="A999" s="4"/>
      <c r="B999" s="9"/>
      <c r="C999" s="4"/>
      <c r="D999" s="4"/>
      <c r="E999" s="4"/>
      <c r="F999" s="4"/>
      <c r="G999" s="4"/>
      <c r="H999" s="4"/>
      <c r="I999" s="8"/>
      <c r="J999" s="4"/>
      <c r="K999" s="4"/>
    </row>
    <row r="1000">
      <c r="A1000" s="4"/>
      <c r="B1000" s="9"/>
      <c r="C1000" s="4"/>
      <c r="D1000" s="4"/>
      <c r="E1000" s="4"/>
      <c r="F1000" s="4"/>
      <c r="G1000" s="4"/>
      <c r="H1000" s="4"/>
      <c r="I1000" s="8"/>
      <c r="J1000" s="4"/>
      <c r="K1000" s="4"/>
    </row>
    <row r="1001">
      <c r="A1001" s="4"/>
      <c r="B1001" s="9"/>
      <c r="C1001" s="4"/>
      <c r="D1001" s="4"/>
      <c r="E1001" s="4"/>
      <c r="F1001" s="4"/>
      <c r="G1001" s="4"/>
      <c r="H1001" s="4"/>
      <c r="I1001" s="8"/>
      <c r="J1001" s="4"/>
      <c r="K1001" s="4"/>
    </row>
    <row r="1002">
      <c r="A1002" s="4"/>
      <c r="B1002" s="4"/>
      <c r="C1002" s="4"/>
      <c r="E1002" s="4"/>
      <c r="F1002" s="4"/>
      <c r="G1002" s="4"/>
      <c r="H1002" s="4"/>
      <c r="I1002" s="8"/>
      <c r="J1002" s="4"/>
      <c r="K1002" s="4"/>
    </row>
    <row r="1003">
      <c r="A1003" s="4"/>
      <c r="B1003" s="4"/>
      <c r="C1003" s="4"/>
      <c r="E1003" s="4"/>
      <c r="F1003" s="4"/>
      <c r="G1003" s="4"/>
      <c r="H1003" s="4"/>
      <c r="I1003" s="8"/>
      <c r="J1003" s="4"/>
      <c r="K1003" s="4"/>
    </row>
    <row r="1004">
      <c r="A1004" s="4"/>
      <c r="B1004" s="4"/>
      <c r="C1004" s="4"/>
      <c r="E1004" s="4"/>
      <c r="F1004" s="4"/>
      <c r="G1004" s="4"/>
      <c r="H1004" s="4"/>
      <c r="I1004" s="8"/>
      <c r="J1004" s="4"/>
      <c r="K1004" s="4"/>
    </row>
    <row r="1005">
      <c r="A1005" s="4"/>
      <c r="B1005" s="9"/>
      <c r="C1005" s="4"/>
      <c r="E1005" s="4"/>
      <c r="F1005" s="4"/>
      <c r="G1005" s="4"/>
      <c r="H1005" s="4"/>
      <c r="I1005" s="8"/>
      <c r="J1005" s="4"/>
      <c r="K1005" s="4"/>
    </row>
    <row r="1006">
      <c r="A1006" s="4"/>
      <c r="B1006" s="4"/>
      <c r="C1006" s="4"/>
      <c r="E1006" s="4"/>
      <c r="F1006" s="4"/>
      <c r="G1006" s="4"/>
      <c r="H1006" s="4"/>
      <c r="J1006" s="4"/>
      <c r="K1006" s="4"/>
    </row>
    <row r="1007">
      <c r="A1007" s="4"/>
      <c r="B1007" s="9"/>
      <c r="C1007" s="4"/>
      <c r="E1007" s="4"/>
      <c r="F1007" s="4"/>
      <c r="G1007" s="4"/>
      <c r="H1007" s="4"/>
      <c r="I1007" s="8"/>
      <c r="J1007" s="4"/>
      <c r="K1007" s="4"/>
    </row>
    <row r="1008">
      <c r="A1008" s="4"/>
      <c r="B1008" s="9"/>
      <c r="C1008" s="4"/>
      <c r="D1008" s="4"/>
      <c r="E1008" s="4"/>
      <c r="F1008" s="4"/>
      <c r="G1008" s="4"/>
      <c r="H1008" s="4"/>
      <c r="I1008" s="8"/>
      <c r="J1008" s="4"/>
      <c r="K1008" s="4"/>
    </row>
    <row r="1009">
      <c r="A1009" s="4"/>
      <c r="B1009" s="9"/>
      <c r="C1009" s="4"/>
      <c r="D1009" s="4"/>
      <c r="E1009" s="4"/>
      <c r="F1009" s="4"/>
      <c r="G1009" s="4"/>
      <c r="H1009" s="4"/>
      <c r="I1009" s="8"/>
      <c r="J1009" s="4"/>
      <c r="K1009" s="4"/>
    </row>
    <row r="1010">
      <c r="A1010" s="4"/>
      <c r="B1010" s="9"/>
      <c r="C1010" s="4"/>
      <c r="D1010" s="4"/>
      <c r="E1010" s="4"/>
      <c r="F1010" s="4"/>
      <c r="G1010" s="4"/>
      <c r="H1010" s="4"/>
      <c r="I1010" s="8"/>
      <c r="J1010" s="4"/>
      <c r="K1010" s="4"/>
    </row>
    <row r="1011">
      <c r="A1011" s="4"/>
      <c r="B1011" s="9"/>
      <c r="C1011" s="4"/>
      <c r="D1011" s="4"/>
      <c r="E1011" s="4"/>
      <c r="F1011" s="4"/>
      <c r="G1011" s="4"/>
      <c r="H1011" s="4"/>
      <c r="I1011" s="8"/>
      <c r="J1011" s="4"/>
      <c r="K1011" s="4"/>
    </row>
    <row r="1012">
      <c r="A1012" s="4"/>
      <c r="B1012" s="9"/>
      <c r="C1012" s="4"/>
      <c r="D1012" s="4"/>
      <c r="E1012" s="4"/>
      <c r="F1012" s="4"/>
      <c r="G1012" s="4"/>
      <c r="H1012" s="4"/>
      <c r="I1012" s="8"/>
      <c r="J1012" s="4"/>
      <c r="K1012" s="4"/>
    </row>
    <row r="1013">
      <c r="A1013" s="4"/>
      <c r="B1013" s="4"/>
      <c r="C1013" s="4"/>
      <c r="D1013" s="4"/>
      <c r="E1013" s="4"/>
      <c r="F1013" s="4"/>
      <c r="G1013" s="4"/>
      <c r="H1013" s="4"/>
      <c r="I1013" s="8"/>
      <c r="J1013" s="4"/>
      <c r="K1013" s="4"/>
    </row>
    <row r="1014">
      <c r="A1014" s="4"/>
      <c r="B1014" s="4"/>
      <c r="C1014" s="4"/>
      <c r="D1014" s="4"/>
      <c r="E1014" s="4"/>
      <c r="F1014" s="4"/>
      <c r="G1014" s="4"/>
      <c r="H1014" s="4"/>
      <c r="I1014" s="8"/>
      <c r="J1014" s="4"/>
      <c r="K1014" s="4"/>
    </row>
    <row r="1015">
      <c r="A1015" s="4"/>
      <c r="B1015" s="4"/>
      <c r="C1015" s="4"/>
      <c r="D1015" s="4"/>
      <c r="E1015" s="4"/>
      <c r="F1015" s="4"/>
      <c r="G1015" s="4"/>
      <c r="H1015" s="4"/>
      <c r="I1015" s="8"/>
      <c r="J1015" s="4"/>
      <c r="K1015" s="4"/>
    </row>
    <row r="1016">
      <c r="A1016" s="4"/>
      <c r="B1016" s="9"/>
      <c r="C1016" s="4"/>
      <c r="E1016" s="4"/>
      <c r="F1016" s="4"/>
      <c r="G1016" s="4"/>
      <c r="H1016" s="4"/>
      <c r="I1016" s="8"/>
      <c r="J1016" s="4"/>
      <c r="K1016" s="4"/>
    </row>
    <row r="1017">
      <c r="A1017" s="4"/>
      <c r="B1017" s="9"/>
      <c r="C1017" s="4"/>
      <c r="E1017" s="4"/>
      <c r="F1017" s="4"/>
      <c r="G1017" s="4"/>
      <c r="H1017" s="4"/>
      <c r="I1017" s="8"/>
      <c r="J1017" s="4"/>
      <c r="K1017" s="4"/>
    </row>
    <row r="1018">
      <c r="A1018" s="4"/>
      <c r="B1018" s="9"/>
      <c r="C1018" s="4"/>
      <c r="D1018" s="4"/>
      <c r="E1018" s="4"/>
      <c r="F1018" s="4"/>
      <c r="G1018" s="4"/>
      <c r="H1018" s="4"/>
      <c r="I1018" s="8"/>
      <c r="J1018" s="4"/>
      <c r="K1018" s="4"/>
    </row>
    <row r="1019">
      <c r="A1019" s="4"/>
      <c r="B1019" s="4"/>
      <c r="C1019" s="4"/>
      <c r="D1019" s="4"/>
      <c r="E1019" s="4"/>
      <c r="F1019" s="4"/>
      <c r="G1019" s="4"/>
      <c r="H1019" s="4"/>
      <c r="J1019" s="4"/>
      <c r="K1019" s="4"/>
    </row>
    <row r="1020">
      <c r="A1020" s="4"/>
      <c r="B1020" s="4"/>
      <c r="C1020" s="4"/>
      <c r="D1020" s="4"/>
      <c r="E1020" s="4"/>
      <c r="F1020" s="4"/>
      <c r="G1020" s="4"/>
      <c r="H1020" s="4"/>
      <c r="J1020" s="4"/>
      <c r="K1020" s="4"/>
    </row>
    <row r="1021">
      <c r="A1021" s="4"/>
      <c r="B1021" s="4"/>
      <c r="C1021" s="4"/>
      <c r="D1021" s="4"/>
      <c r="E1021" s="4"/>
      <c r="F1021" s="4"/>
      <c r="G1021" s="4"/>
      <c r="H1021" s="4"/>
      <c r="J1021" s="4"/>
      <c r="K1021" s="4"/>
    </row>
    <row r="1022">
      <c r="A1022" s="4"/>
      <c r="B1022" s="4"/>
      <c r="C1022" s="4"/>
      <c r="D1022" s="4"/>
      <c r="E1022" s="4"/>
      <c r="F1022" s="4"/>
      <c r="G1022" s="4"/>
      <c r="H1022" s="4"/>
      <c r="J1022" s="4"/>
      <c r="K1022" s="4"/>
    </row>
    <row r="1023">
      <c r="A1023" s="4"/>
      <c r="B1023" s="4"/>
      <c r="C1023" s="4"/>
      <c r="D1023" s="4"/>
      <c r="E1023" s="4"/>
      <c r="F1023" s="4"/>
      <c r="G1023" s="4"/>
      <c r="H1023" s="4"/>
      <c r="I1023" s="8"/>
      <c r="J1023" s="4"/>
      <c r="K1023" s="4"/>
    </row>
    <row r="1024">
      <c r="A1024" s="4"/>
      <c r="B1024" s="9"/>
      <c r="C1024" s="4"/>
      <c r="E1024" s="4"/>
      <c r="F1024" s="4"/>
      <c r="G1024" s="4"/>
      <c r="H1024" s="4"/>
      <c r="I1024" s="8"/>
      <c r="J1024" s="4"/>
      <c r="K1024" s="4"/>
    </row>
    <row r="1025">
      <c r="A1025" s="4"/>
      <c r="B1025" s="4"/>
      <c r="C1025" s="4"/>
      <c r="E1025" s="4"/>
      <c r="F1025" s="4"/>
      <c r="G1025" s="4"/>
      <c r="H1025" s="4"/>
      <c r="I1025" s="8"/>
      <c r="J1025" s="4"/>
      <c r="K1025" s="4"/>
    </row>
    <row r="1026">
      <c r="A1026" s="4"/>
      <c r="B1026" s="9"/>
      <c r="C1026" s="4"/>
      <c r="E1026" s="4"/>
      <c r="F1026" s="4"/>
      <c r="G1026" s="4"/>
      <c r="H1026" s="4"/>
      <c r="I1026" s="8"/>
      <c r="J1026" s="4"/>
      <c r="K1026" s="4"/>
    </row>
    <row r="1027">
      <c r="A1027" s="4"/>
      <c r="B1027" s="9"/>
      <c r="C1027" s="4"/>
      <c r="E1027" s="4"/>
      <c r="F1027" s="4"/>
      <c r="G1027" s="4"/>
      <c r="H1027" s="4"/>
      <c r="I1027" s="8"/>
      <c r="J1027" s="4"/>
      <c r="K1027" s="4"/>
    </row>
    <row r="1028">
      <c r="A1028" s="4"/>
      <c r="B1028" s="9"/>
      <c r="C1028" s="4"/>
      <c r="E1028" s="4"/>
      <c r="F1028" s="4"/>
      <c r="G1028" s="4"/>
      <c r="H1028" s="4"/>
      <c r="I1028" s="8"/>
      <c r="J1028" s="4"/>
      <c r="K1028" s="4"/>
    </row>
    <row r="1029">
      <c r="A1029" s="4"/>
      <c r="B1029" s="9"/>
      <c r="C1029" s="4"/>
      <c r="D1029" s="4"/>
      <c r="E1029" s="4"/>
      <c r="F1029" s="4"/>
      <c r="G1029" s="4"/>
      <c r="H1029" s="4"/>
      <c r="I1029" s="8"/>
      <c r="J1029" s="4"/>
      <c r="K1029" s="4"/>
    </row>
    <row r="1030">
      <c r="A1030" s="4"/>
      <c r="B1030" s="9"/>
      <c r="C1030" s="4"/>
      <c r="D1030" s="4"/>
      <c r="E1030" s="4"/>
      <c r="F1030" s="4"/>
      <c r="G1030" s="4"/>
      <c r="H1030" s="4"/>
      <c r="I1030" s="8"/>
      <c r="J1030" s="4"/>
      <c r="K1030" s="4"/>
    </row>
    <row r="1031">
      <c r="A1031" s="4"/>
      <c r="B1031" s="9"/>
      <c r="C1031" s="4"/>
      <c r="D1031" s="4"/>
      <c r="E1031" s="4"/>
      <c r="F1031" s="4"/>
      <c r="G1031" s="4"/>
      <c r="H1031" s="4"/>
      <c r="I1031" s="8"/>
      <c r="J1031" s="4"/>
      <c r="K1031" s="4"/>
    </row>
    <row r="1032">
      <c r="A1032" s="4"/>
      <c r="B1032" s="9"/>
      <c r="C1032" s="4"/>
      <c r="D1032" s="4"/>
      <c r="E1032" s="4"/>
      <c r="F1032" s="4"/>
      <c r="G1032" s="4"/>
      <c r="H1032" s="4"/>
      <c r="I1032" s="8"/>
      <c r="J1032" s="4"/>
      <c r="K1032" s="4"/>
    </row>
    <row r="1033">
      <c r="A1033" s="4"/>
      <c r="B1033" s="9"/>
      <c r="C1033" s="4"/>
      <c r="D1033" s="4"/>
      <c r="E1033" s="4"/>
      <c r="F1033" s="4"/>
      <c r="G1033" s="4"/>
      <c r="H1033" s="4"/>
      <c r="I1033" s="8"/>
      <c r="J1033" s="4"/>
      <c r="K1033" s="4"/>
    </row>
    <row r="1034">
      <c r="A1034" s="4"/>
      <c r="B1034" s="9"/>
      <c r="C1034" s="4"/>
      <c r="E1034" s="4"/>
      <c r="F1034" s="4"/>
      <c r="G1034" s="4"/>
      <c r="H1034" s="4"/>
      <c r="I1034" s="8"/>
      <c r="J1034" s="4"/>
      <c r="K1034" s="4"/>
    </row>
    <row r="1035">
      <c r="A1035" s="4"/>
      <c r="B1035" s="4"/>
      <c r="C1035" s="4"/>
      <c r="E1035" s="4"/>
      <c r="F1035" s="4"/>
      <c r="G1035" s="4"/>
      <c r="H1035" s="4"/>
      <c r="I1035" s="8"/>
      <c r="J1035" s="4"/>
      <c r="K1035" s="4"/>
    </row>
    <row r="1036">
      <c r="A1036" s="4"/>
      <c r="B1036" s="4"/>
      <c r="C1036" s="4"/>
      <c r="E1036" s="4"/>
      <c r="F1036" s="4"/>
      <c r="G1036" s="4"/>
      <c r="H1036" s="4"/>
      <c r="I1036" s="8"/>
      <c r="J1036" s="4"/>
      <c r="K1036" s="4"/>
    </row>
    <row r="1037">
      <c r="A1037" s="4"/>
      <c r="B1037" s="4"/>
      <c r="C1037" s="4"/>
      <c r="D1037" s="4"/>
      <c r="E1037" s="4"/>
      <c r="F1037" s="4"/>
      <c r="G1037" s="4"/>
      <c r="H1037" s="4"/>
      <c r="I1037" s="8"/>
      <c r="J1037" s="4"/>
      <c r="K1037" s="4"/>
    </row>
    <row r="1038">
      <c r="A1038" s="4"/>
      <c r="B1038" s="4"/>
      <c r="C1038" s="4"/>
      <c r="D1038" s="4"/>
      <c r="E1038" s="4"/>
      <c r="F1038" s="4"/>
      <c r="G1038" s="4"/>
      <c r="H1038" s="4"/>
      <c r="I1038" s="8"/>
      <c r="J1038" s="4"/>
      <c r="K1038" s="4"/>
    </row>
    <row r="1039">
      <c r="A1039" s="4"/>
      <c r="B1039" s="4"/>
      <c r="C1039" s="4"/>
      <c r="E1039" s="4"/>
      <c r="F1039" s="4"/>
      <c r="G1039" s="4"/>
      <c r="H1039" s="4"/>
      <c r="J1039" s="4"/>
      <c r="K1039" s="4"/>
    </row>
    <row r="1040">
      <c r="A1040" s="4"/>
      <c r="B1040" s="4"/>
      <c r="C1040" s="4"/>
      <c r="E1040" s="4"/>
      <c r="F1040" s="4"/>
      <c r="G1040" s="4"/>
      <c r="H1040" s="4"/>
      <c r="I1040" s="8"/>
      <c r="J1040" s="4"/>
      <c r="K1040" s="4"/>
    </row>
    <row r="1041">
      <c r="A1041" s="4"/>
      <c r="B1041" s="4"/>
      <c r="C1041" s="4"/>
      <c r="E1041" s="4"/>
      <c r="F1041" s="4"/>
      <c r="G1041" s="4"/>
      <c r="H1041" s="4"/>
      <c r="I1041" s="8"/>
      <c r="J1041" s="4"/>
      <c r="K1041" s="4"/>
    </row>
    <row r="1042">
      <c r="A1042" s="4"/>
      <c r="B1042" s="9"/>
      <c r="C1042" s="4"/>
      <c r="E1042" s="4"/>
      <c r="F1042" s="4"/>
      <c r="G1042" s="4"/>
      <c r="H1042" s="4"/>
      <c r="I1042" s="8"/>
      <c r="J1042" s="4"/>
      <c r="K1042" s="4"/>
    </row>
    <row r="1043">
      <c r="A1043" s="4"/>
      <c r="B1043" s="9"/>
      <c r="C1043" s="4"/>
      <c r="D1043" s="4"/>
      <c r="E1043" s="4"/>
      <c r="F1043" s="4"/>
      <c r="G1043" s="4"/>
      <c r="H1043" s="4"/>
      <c r="I1043" s="8"/>
      <c r="J1043" s="4"/>
      <c r="K1043" s="4"/>
    </row>
    <row r="1044">
      <c r="A1044" s="4"/>
      <c r="B1044" s="4"/>
      <c r="C1044" s="4"/>
      <c r="E1044" s="4"/>
      <c r="F1044" s="4"/>
      <c r="G1044" s="4"/>
      <c r="H1044" s="4"/>
      <c r="I1044" s="8"/>
      <c r="J1044" s="4"/>
      <c r="K1044" s="4"/>
    </row>
    <row r="1045">
      <c r="A1045" s="4"/>
      <c r="B1045" s="4"/>
      <c r="C1045" s="4"/>
      <c r="E1045" s="4"/>
      <c r="F1045" s="4"/>
      <c r="G1045" s="4"/>
      <c r="H1045" s="4"/>
      <c r="J1045" s="4"/>
      <c r="K1045" s="4"/>
    </row>
    <row r="1046">
      <c r="A1046" s="4"/>
      <c r="B1046" s="4"/>
      <c r="C1046" s="4"/>
      <c r="E1046" s="4"/>
      <c r="F1046" s="4"/>
      <c r="G1046" s="4"/>
      <c r="H1046" s="4"/>
      <c r="J1046" s="4"/>
      <c r="K1046" s="4"/>
    </row>
    <row r="1047">
      <c r="A1047" s="4"/>
      <c r="B1047" s="4"/>
      <c r="C1047" s="4"/>
      <c r="E1047" s="4"/>
      <c r="F1047" s="4"/>
      <c r="G1047" s="4"/>
      <c r="H1047" s="4"/>
      <c r="J1047" s="4"/>
      <c r="K1047" s="4"/>
    </row>
    <row r="1048">
      <c r="A1048" s="4"/>
      <c r="B1048" s="4"/>
      <c r="C1048" s="4"/>
      <c r="E1048" s="4"/>
      <c r="F1048" s="4"/>
      <c r="G1048" s="4"/>
      <c r="H1048" s="4"/>
      <c r="J1048" s="4"/>
      <c r="K1048" s="4"/>
    </row>
    <row r="1049">
      <c r="A1049" s="4"/>
      <c r="B1049" s="4"/>
      <c r="C1049" s="4"/>
      <c r="D1049" s="4"/>
      <c r="E1049" s="4"/>
      <c r="F1049" s="4"/>
      <c r="G1049" s="4"/>
      <c r="H1049" s="4"/>
      <c r="I1049" s="8"/>
      <c r="J1049" s="4"/>
      <c r="K1049" s="4"/>
    </row>
    <row r="1050">
      <c r="A1050" s="4"/>
      <c r="B1050" s="4"/>
      <c r="C1050" s="4"/>
      <c r="D1050" s="4"/>
      <c r="E1050" s="4"/>
      <c r="F1050" s="4"/>
      <c r="G1050" s="4"/>
      <c r="H1050" s="4"/>
      <c r="I1050" s="8"/>
      <c r="J1050" s="4"/>
      <c r="K1050" s="4"/>
    </row>
    <row r="1051">
      <c r="A1051" s="4"/>
      <c r="B1051" s="9"/>
      <c r="C1051" s="4"/>
      <c r="D1051" s="4"/>
      <c r="E1051" s="4"/>
      <c r="F1051" s="4"/>
      <c r="G1051" s="4"/>
      <c r="H1051" s="4"/>
      <c r="I1051" s="8"/>
      <c r="J1051" s="4"/>
      <c r="K1051" s="4"/>
    </row>
    <row r="1052">
      <c r="A1052" s="4"/>
      <c r="B1052" s="4"/>
      <c r="C1052" s="4"/>
      <c r="E1052" s="4"/>
      <c r="F1052" s="4"/>
      <c r="G1052" s="4"/>
      <c r="H1052" s="4"/>
      <c r="I1052" s="8"/>
      <c r="J1052" s="4"/>
      <c r="K1052" s="4"/>
    </row>
    <row r="1053">
      <c r="A1053" s="4"/>
      <c r="B1053" s="9"/>
      <c r="C1053" s="4"/>
      <c r="E1053" s="4"/>
      <c r="F1053" s="4"/>
      <c r="G1053" s="4"/>
      <c r="H1053" s="4"/>
      <c r="I1053" s="8"/>
      <c r="J1053" s="4"/>
      <c r="K1053" s="4"/>
    </row>
    <row r="1054">
      <c r="A1054" s="4"/>
      <c r="B1054" s="4"/>
      <c r="C1054" s="4"/>
      <c r="D1054" s="4"/>
      <c r="E1054" s="4"/>
      <c r="F1054" s="4"/>
      <c r="G1054" s="4"/>
      <c r="H1054" s="4"/>
      <c r="I1054" s="8"/>
      <c r="J1054" s="4"/>
      <c r="K1054" s="4"/>
    </row>
    <row r="1055">
      <c r="A1055" s="4"/>
      <c r="B1055" s="4"/>
      <c r="C1055" s="4"/>
      <c r="D1055" s="4"/>
      <c r="E1055" s="4"/>
      <c r="F1055" s="4"/>
      <c r="G1055" s="4"/>
      <c r="H1055" s="4"/>
      <c r="I1055" s="8"/>
      <c r="J1055" s="4"/>
      <c r="K1055" s="4"/>
    </row>
    <row r="1056">
      <c r="A1056" s="4"/>
      <c r="B1056" s="4"/>
      <c r="C1056" s="4"/>
      <c r="D1056" s="4"/>
      <c r="E1056" s="4"/>
      <c r="F1056" s="4"/>
      <c r="G1056" s="4"/>
      <c r="H1056" s="4"/>
      <c r="I1056" s="8"/>
      <c r="J1056" s="4"/>
      <c r="K1056" s="4"/>
    </row>
    <row r="1057">
      <c r="A1057" s="4"/>
      <c r="B1057" s="4"/>
      <c r="C1057" s="4"/>
      <c r="D1057" s="4"/>
      <c r="E1057" s="4"/>
      <c r="F1057" s="4"/>
      <c r="G1057" s="4"/>
      <c r="H1057" s="4"/>
      <c r="I1057" s="8"/>
      <c r="J1057" s="4"/>
      <c r="K1057" s="4"/>
    </row>
    <row r="1058">
      <c r="A1058" s="4"/>
      <c r="B1058" s="4"/>
      <c r="C1058" s="4"/>
      <c r="D1058" s="4"/>
      <c r="E1058" s="4"/>
      <c r="F1058" s="4"/>
      <c r="G1058" s="4"/>
      <c r="H1058" s="4"/>
      <c r="I1058" s="8"/>
      <c r="J1058" s="4"/>
      <c r="K1058" s="4"/>
    </row>
    <row r="1059">
      <c r="A1059" s="4"/>
      <c r="B1059" s="4"/>
      <c r="C1059" s="4"/>
      <c r="E1059" s="4"/>
      <c r="F1059" s="4"/>
      <c r="G1059" s="4"/>
      <c r="H1059" s="4"/>
      <c r="I1059" s="8"/>
      <c r="J1059" s="4"/>
      <c r="K1059" s="4"/>
    </row>
    <row r="1060">
      <c r="A1060" s="4"/>
      <c r="B1060" s="9"/>
      <c r="C1060" s="4"/>
      <c r="E1060" s="4"/>
      <c r="F1060" s="4"/>
      <c r="G1060" s="4"/>
      <c r="H1060" s="4"/>
      <c r="I1060" s="8"/>
      <c r="J1060" s="4"/>
      <c r="K1060" s="4"/>
    </row>
    <row r="1061">
      <c r="A1061" s="4"/>
      <c r="B1061" s="9"/>
      <c r="C1061" s="4"/>
      <c r="E1061" s="4"/>
      <c r="F1061" s="4"/>
      <c r="G1061" s="4"/>
      <c r="H1061" s="4"/>
      <c r="I1061" s="8"/>
      <c r="J1061" s="4"/>
      <c r="K1061" s="4"/>
    </row>
    <row r="1062">
      <c r="A1062" s="4"/>
      <c r="B1062" s="9"/>
      <c r="C1062" s="4"/>
      <c r="E1062" s="4"/>
      <c r="F1062" s="4"/>
      <c r="G1062" s="4"/>
      <c r="H1062" s="4"/>
      <c r="I1062" s="8"/>
      <c r="J1062" s="4"/>
      <c r="K1062" s="4"/>
    </row>
    <row r="1063">
      <c r="A1063" s="4"/>
      <c r="B1063" s="9"/>
      <c r="C1063" s="4"/>
      <c r="E1063" s="4"/>
      <c r="F1063" s="4"/>
      <c r="G1063" s="4"/>
      <c r="H1063" s="4"/>
      <c r="I1063" s="8"/>
      <c r="J1063" s="4"/>
      <c r="K1063" s="4"/>
    </row>
    <row r="1064">
      <c r="A1064" s="4"/>
      <c r="B1064" s="9"/>
      <c r="C1064" s="4"/>
      <c r="E1064" s="4"/>
      <c r="F1064" s="4"/>
      <c r="G1064" s="4"/>
      <c r="H1064" s="4"/>
      <c r="I1064" s="8"/>
      <c r="J1064" s="4"/>
      <c r="K1064" s="4"/>
    </row>
    <row r="1065">
      <c r="A1065" s="4"/>
      <c r="B1065" s="9"/>
      <c r="C1065" s="4"/>
      <c r="E1065" s="4"/>
      <c r="F1065" s="4"/>
      <c r="G1065" s="4"/>
      <c r="H1065" s="4"/>
      <c r="I1065" s="8"/>
      <c r="J1065" s="4"/>
      <c r="K1065" s="4"/>
    </row>
    <row r="1066">
      <c r="A1066" s="4"/>
      <c r="B1066" s="4"/>
      <c r="C1066" s="4"/>
      <c r="E1066" s="4"/>
      <c r="F1066" s="4"/>
      <c r="G1066" s="4"/>
      <c r="H1066" s="4"/>
      <c r="J1066" s="4"/>
      <c r="K1066" s="4"/>
    </row>
    <row r="1067">
      <c r="A1067" s="4"/>
      <c r="B1067" s="4"/>
      <c r="C1067" s="4"/>
      <c r="E1067" s="4"/>
      <c r="F1067" s="4"/>
      <c r="G1067" s="4"/>
      <c r="H1067" s="4"/>
      <c r="I1067" s="8"/>
      <c r="J1067" s="4"/>
      <c r="K1067" s="4"/>
    </row>
    <row r="1068">
      <c r="A1068" s="4"/>
      <c r="B1068" s="4"/>
      <c r="C1068" s="4"/>
      <c r="E1068" s="4"/>
      <c r="F1068" s="4"/>
      <c r="G1068" s="4"/>
      <c r="H1068" s="4"/>
      <c r="I1068" s="8"/>
      <c r="J1068" s="4"/>
      <c r="K1068" s="4"/>
    </row>
    <row r="1069">
      <c r="A1069" s="4"/>
      <c r="B1069" s="4"/>
      <c r="C1069" s="4"/>
      <c r="E1069" s="4"/>
      <c r="F1069" s="4"/>
      <c r="G1069" s="4"/>
      <c r="H1069" s="4"/>
      <c r="I1069" s="8"/>
      <c r="J1069" s="4"/>
      <c r="K1069" s="4"/>
    </row>
    <row r="1070">
      <c r="A1070" s="4"/>
      <c r="B1070" s="4"/>
      <c r="C1070" s="4"/>
      <c r="E1070" s="4"/>
      <c r="F1070" s="4"/>
      <c r="G1070" s="4"/>
      <c r="H1070" s="4"/>
      <c r="J1070" s="4"/>
      <c r="K1070" s="4"/>
    </row>
    <row r="1071">
      <c r="A1071" s="4"/>
      <c r="B1071" s="4"/>
      <c r="C1071" s="4"/>
      <c r="E1071" s="4"/>
      <c r="F1071" s="4"/>
      <c r="G1071" s="4"/>
      <c r="H1071" s="4"/>
      <c r="J1071" s="4"/>
      <c r="K1071" s="4"/>
    </row>
    <row r="1072">
      <c r="A1072" s="4"/>
      <c r="B1072" s="4"/>
      <c r="C1072" s="4"/>
      <c r="D1072" s="4"/>
      <c r="E1072" s="4"/>
      <c r="F1072" s="4"/>
      <c r="G1072" s="4"/>
      <c r="H1072" s="4"/>
      <c r="I1072" s="8"/>
      <c r="J1072" s="4"/>
      <c r="K1072" s="4"/>
    </row>
    <row r="1073">
      <c r="A1073" s="4"/>
      <c r="B1073" s="4"/>
      <c r="C1073" s="4"/>
      <c r="D1073" s="4"/>
      <c r="E1073" s="4"/>
      <c r="F1073" s="4"/>
      <c r="G1073" s="4"/>
      <c r="H1073" s="4"/>
      <c r="I1073" s="8"/>
      <c r="J1073" s="4"/>
      <c r="K1073" s="4"/>
    </row>
    <row r="1074">
      <c r="A1074" s="4"/>
      <c r="B1074" s="9"/>
      <c r="C1074" s="4"/>
      <c r="E1074" s="4"/>
      <c r="F1074" s="4"/>
      <c r="G1074" s="4"/>
      <c r="H1074" s="4"/>
      <c r="J1074" s="4"/>
      <c r="K1074" s="4"/>
    </row>
    <row r="1075">
      <c r="A1075" s="4"/>
      <c r="B1075" s="9"/>
      <c r="C1075" s="4"/>
      <c r="E1075" s="4"/>
      <c r="F1075" s="4"/>
      <c r="G1075" s="4"/>
      <c r="H1075" s="4"/>
      <c r="J1075" s="4"/>
      <c r="K1075" s="4"/>
    </row>
    <row r="1076">
      <c r="A1076" s="4"/>
      <c r="B1076" s="9"/>
      <c r="C1076" s="4"/>
      <c r="E1076" s="4"/>
      <c r="F1076" s="4"/>
      <c r="G1076" s="4"/>
      <c r="H1076" s="4"/>
      <c r="J1076" s="4"/>
      <c r="K1076" s="4"/>
    </row>
    <row r="1077">
      <c r="A1077" s="4"/>
      <c r="B1077" s="4"/>
      <c r="C1077" s="4"/>
      <c r="D1077" s="4"/>
      <c r="E1077" s="4"/>
      <c r="F1077" s="4"/>
      <c r="G1077" s="4"/>
      <c r="H1077" s="4"/>
      <c r="I1077" s="8"/>
      <c r="J1077" s="4"/>
      <c r="K1077" s="4"/>
    </row>
    <row r="1078">
      <c r="A1078" s="4"/>
      <c r="B1078" s="9"/>
      <c r="C1078" s="4"/>
      <c r="E1078" s="4"/>
      <c r="F1078" s="4"/>
      <c r="G1078" s="4"/>
      <c r="H1078" s="4"/>
      <c r="I1078" s="8"/>
      <c r="J1078" s="4"/>
      <c r="K1078" s="4"/>
    </row>
    <row r="1079">
      <c r="A1079" s="4"/>
      <c r="B1079" s="4"/>
      <c r="C1079" s="4"/>
      <c r="E1079" s="4"/>
      <c r="F1079" s="4"/>
      <c r="G1079" s="4"/>
      <c r="H1079" s="4"/>
      <c r="I1079" s="8"/>
      <c r="J1079" s="4"/>
      <c r="K1079" s="4"/>
    </row>
    <row r="1080">
      <c r="A1080" s="4"/>
      <c r="B1080" s="4"/>
      <c r="C1080" s="4"/>
      <c r="E1080" s="4"/>
      <c r="F1080" s="4"/>
      <c r="G1080" s="4"/>
      <c r="H1080" s="4"/>
      <c r="I1080" s="8"/>
      <c r="J1080" s="4"/>
      <c r="K1080" s="4"/>
    </row>
    <row r="1081">
      <c r="A1081" s="4"/>
      <c r="B1081" s="9"/>
      <c r="C1081" s="4"/>
      <c r="E1081" s="4"/>
      <c r="F1081" s="4"/>
      <c r="G1081" s="4"/>
      <c r="H1081" s="4"/>
      <c r="I1081" s="8"/>
      <c r="J1081" s="4"/>
      <c r="K1081" s="4"/>
    </row>
    <row r="1082">
      <c r="A1082" s="4"/>
      <c r="B1082" s="9"/>
      <c r="C1082" s="4"/>
      <c r="E1082" s="4"/>
      <c r="F1082" s="4"/>
      <c r="G1082" s="4"/>
      <c r="H1082" s="4"/>
      <c r="I1082" s="8"/>
      <c r="J1082" s="4"/>
      <c r="K1082" s="4"/>
    </row>
    <row r="1083">
      <c r="A1083" s="4"/>
      <c r="B1083" s="4"/>
      <c r="C1083" s="4"/>
      <c r="E1083" s="4"/>
      <c r="F1083" s="4"/>
      <c r="G1083" s="4"/>
      <c r="H1083" s="4"/>
      <c r="I1083" s="8"/>
      <c r="J1083" s="4"/>
      <c r="K1083" s="4"/>
    </row>
    <row r="1084">
      <c r="A1084" s="4"/>
      <c r="B1084" s="9"/>
      <c r="C1084" s="4"/>
      <c r="E1084" s="4"/>
      <c r="F1084" s="4"/>
      <c r="G1084" s="4"/>
      <c r="H1084" s="4"/>
      <c r="I1084" s="8"/>
      <c r="J1084" s="4"/>
      <c r="K1084" s="4"/>
    </row>
    <row r="1085">
      <c r="A1085" s="4"/>
      <c r="B1085" s="4"/>
      <c r="C1085" s="4"/>
      <c r="E1085" s="4"/>
      <c r="F1085" s="4"/>
      <c r="G1085" s="4"/>
      <c r="H1085" s="4"/>
      <c r="I1085" s="8"/>
      <c r="J1085" s="4"/>
      <c r="K1085" s="4"/>
    </row>
    <row r="1086">
      <c r="A1086" s="4"/>
      <c r="B1086" s="4"/>
      <c r="C1086" s="4"/>
      <c r="E1086" s="4"/>
      <c r="F1086" s="4"/>
      <c r="G1086" s="4"/>
      <c r="H1086" s="4"/>
      <c r="I1086" s="8"/>
      <c r="J1086" s="4"/>
      <c r="K1086" s="4"/>
    </row>
    <row r="1087">
      <c r="A1087" s="4"/>
      <c r="B1087" s="4"/>
      <c r="C1087" s="4"/>
      <c r="E1087" s="4"/>
      <c r="F1087" s="4"/>
      <c r="G1087" s="4"/>
      <c r="H1087" s="4"/>
      <c r="I1087" s="8"/>
      <c r="J1087" s="4"/>
      <c r="K1087" s="4"/>
    </row>
    <row r="1088">
      <c r="A1088" s="4"/>
      <c r="B1088" s="4"/>
      <c r="C1088" s="4"/>
      <c r="E1088" s="4"/>
      <c r="F1088" s="4"/>
      <c r="G1088" s="4"/>
      <c r="H1088" s="4"/>
      <c r="I1088" s="8"/>
      <c r="J1088" s="4"/>
      <c r="K1088" s="4"/>
    </row>
    <row r="1089">
      <c r="A1089" s="4"/>
      <c r="B1089" s="4"/>
      <c r="C1089" s="4"/>
      <c r="E1089" s="4"/>
      <c r="F1089" s="4"/>
      <c r="G1089" s="4"/>
      <c r="H1089" s="4"/>
      <c r="I1089" s="8"/>
      <c r="J1089" s="4"/>
      <c r="K1089" s="4"/>
    </row>
    <row r="1090">
      <c r="A1090" s="4"/>
      <c r="B1090" s="4"/>
      <c r="C1090" s="4"/>
      <c r="E1090" s="4"/>
      <c r="F1090" s="4"/>
      <c r="G1090" s="4"/>
      <c r="H1090" s="4"/>
      <c r="I1090" s="8"/>
      <c r="J1090" s="4"/>
      <c r="K1090" s="4"/>
    </row>
    <row r="1091">
      <c r="A1091" s="4"/>
      <c r="B1091" s="4"/>
      <c r="C1091" s="4"/>
      <c r="D1091" s="4"/>
      <c r="E1091" s="4"/>
      <c r="F1091" s="4"/>
      <c r="G1091" s="4"/>
      <c r="H1091" s="4"/>
      <c r="I1091" s="8"/>
      <c r="J1091" s="4"/>
      <c r="K1091" s="4"/>
    </row>
    <row r="1092">
      <c r="A1092" s="4"/>
      <c r="B1092" s="4"/>
      <c r="C1092" s="4"/>
      <c r="D1092" s="4"/>
      <c r="E1092" s="4"/>
      <c r="F1092" s="4"/>
      <c r="G1092" s="4"/>
      <c r="H1092" s="4"/>
      <c r="J1092" s="4"/>
      <c r="K1092" s="4"/>
    </row>
    <row r="1093">
      <c r="A1093" s="4"/>
      <c r="B1093" s="4"/>
      <c r="C1093" s="4"/>
      <c r="D1093" s="4"/>
      <c r="E1093" s="4"/>
      <c r="F1093" s="4"/>
      <c r="G1093" s="4"/>
      <c r="H1093" s="4"/>
      <c r="I1093" s="8"/>
      <c r="J1093" s="4"/>
      <c r="K1093" s="4"/>
    </row>
    <row r="1094">
      <c r="A1094" s="4"/>
      <c r="B1094" s="4"/>
      <c r="C1094" s="4"/>
      <c r="D1094" s="4"/>
      <c r="E1094" s="4"/>
      <c r="F1094" s="4"/>
      <c r="G1094" s="4"/>
      <c r="H1094" s="4"/>
      <c r="J1094" s="4"/>
      <c r="K1094" s="4"/>
    </row>
    <row r="1095">
      <c r="A1095" s="4"/>
      <c r="B1095" s="4"/>
      <c r="C1095" s="4"/>
      <c r="D1095" s="4"/>
      <c r="E1095" s="4"/>
      <c r="F1095" s="4"/>
      <c r="G1095" s="4"/>
      <c r="H1095" s="4"/>
      <c r="J1095" s="4"/>
      <c r="K1095" s="4"/>
    </row>
    <row r="1096">
      <c r="A1096" s="4"/>
      <c r="B1096" s="4"/>
      <c r="C1096" s="4"/>
      <c r="D1096" s="4"/>
      <c r="E1096" s="4"/>
      <c r="F1096" s="4"/>
      <c r="G1096" s="4"/>
      <c r="H1096" s="4"/>
      <c r="I1096" s="8"/>
      <c r="J1096" s="4"/>
      <c r="K1096" s="4"/>
    </row>
    <row r="1097">
      <c r="A1097" s="4"/>
      <c r="B1097" s="4"/>
      <c r="C1097" s="4"/>
      <c r="D1097" s="4"/>
      <c r="E1097" s="4"/>
      <c r="F1097" s="4"/>
      <c r="G1097" s="4"/>
      <c r="H1097" s="4"/>
      <c r="I1097" s="8"/>
      <c r="J1097" s="4"/>
      <c r="K1097" s="4"/>
    </row>
    <row r="1098">
      <c r="A1098" s="4"/>
      <c r="B1098" s="4"/>
      <c r="C1098" s="4"/>
      <c r="D1098" s="4"/>
      <c r="E1098" s="4"/>
      <c r="F1098" s="4"/>
      <c r="G1098" s="4"/>
      <c r="H1098" s="4"/>
      <c r="I1098" s="8"/>
      <c r="J1098" s="4"/>
      <c r="K1098" s="4"/>
    </row>
    <row r="1099">
      <c r="A1099" s="4"/>
      <c r="B1099" s="9"/>
      <c r="C1099" s="4"/>
      <c r="D1099" s="4"/>
      <c r="E1099" s="4"/>
      <c r="F1099" s="4"/>
      <c r="G1099" s="4"/>
      <c r="H1099" s="4"/>
      <c r="I1099" s="8"/>
      <c r="J1099" s="4"/>
      <c r="K1099" s="4"/>
    </row>
    <row r="1100">
      <c r="A1100" s="4"/>
      <c r="B1100" s="9"/>
      <c r="C1100" s="4"/>
      <c r="F1100" s="4"/>
      <c r="G1100" s="4"/>
      <c r="H1100" s="4"/>
      <c r="I1100" s="8"/>
      <c r="J1100" s="4"/>
      <c r="K1100" s="4"/>
    </row>
    <row r="1101">
      <c r="A1101" s="4"/>
      <c r="B1101" s="4"/>
      <c r="C1101" s="4"/>
      <c r="D1101" s="4"/>
      <c r="E1101" s="4"/>
      <c r="F1101" s="4"/>
      <c r="G1101" s="4"/>
      <c r="H1101" s="4"/>
      <c r="I1101" s="8"/>
      <c r="J1101" s="4"/>
      <c r="K1101" s="4"/>
    </row>
    <row r="1102">
      <c r="A1102" s="4"/>
      <c r="B1102" s="4"/>
      <c r="C1102" s="4"/>
      <c r="D1102" s="4"/>
      <c r="E1102" s="4"/>
      <c r="F1102" s="4"/>
      <c r="G1102" s="4"/>
      <c r="H1102" s="4"/>
      <c r="I1102" s="8"/>
      <c r="J1102" s="4"/>
      <c r="K1102" s="4"/>
    </row>
    <row r="1103">
      <c r="A1103" s="4"/>
      <c r="B1103" s="4"/>
      <c r="C1103" s="4"/>
      <c r="D1103" s="4"/>
      <c r="E1103" s="4"/>
      <c r="F1103" s="4"/>
      <c r="G1103" s="4"/>
      <c r="H1103" s="4"/>
      <c r="I1103" s="8"/>
      <c r="J1103" s="4"/>
      <c r="K1103" s="4"/>
    </row>
    <row r="1104">
      <c r="A1104" s="4"/>
      <c r="B1104" s="9"/>
      <c r="C1104" s="4"/>
      <c r="E1104" s="4"/>
      <c r="F1104" s="4"/>
      <c r="G1104" s="4"/>
      <c r="H1104" s="4"/>
      <c r="I1104" s="8"/>
      <c r="J1104" s="4"/>
      <c r="K1104" s="4"/>
    </row>
    <row r="1105">
      <c r="A1105" s="4"/>
      <c r="B1105" s="9"/>
      <c r="C1105" s="4"/>
      <c r="D1105" s="4"/>
      <c r="E1105" s="4"/>
      <c r="F1105" s="4"/>
      <c r="G1105" s="4"/>
      <c r="H1105" s="4"/>
      <c r="I1105" s="8"/>
      <c r="J1105" s="4"/>
      <c r="K1105" s="4"/>
    </row>
    <row r="1106">
      <c r="A1106" s="4"/>
      <c r="B1106" s="9"/>
      <c r="C1106" s="4"/>
      <c r="D1106" s="4"/>
      <c r="E1106" s="4"/>
      <c r="F1106" s="4"/>
      <c r="G1106" s="4"/>
      <c r="H1106" s="4"/>
      <c r="I1106" s="8"/>
      <c r="J1106" s="4"/>
      <c r="K1106" s="4"/>
    </row>
    <row r="1107">
      <c r="A1107" s="4"/>
      <c r="B1107" s="9"/>
      <c r="C1107" s="4"/>
      <c r="D1107" s="4"/>
      <c r="E1107" s="4"/>
      <c r="F1107" s="4"/>
      <c r="G1107" s="4"/>
      <c r="H1107" s="4"/>
      <c r="I1107" s="8"/>
      <c r="J1107" s="4"/>
      <c r="K1107" s="4"/>
    </row>
    <row r="1108">
      <c r="A1108" s="4"/>
      <c r="B1108" s="9"/>
      <c r="C1108" s="4"/>
      <c r="D1108" s="4"/>
      <c r="E1108" s="4"/>
      <c r="F1108" s="4"/>
      <c r="G1108" s="4"/>
      <c r="H1108" s="4"/>
      <c r="J1108" s="4"/>
      <c r="K1108" s="4"/>
    </row>
    <row r="1109">
      <c r="A1109" s="4"/>
      <c r="B1109" s="9"/>
      <c r="C1109" s="4"/>
      <c r="D1109" s="4"/>
      <c r="E1109" s="4"/>
      <c r="F1109" s="4"/>
      <c r="G1109" s="4"/>
      <c r="H1109" s="4"/>
      <c r="J1109" s="4"/>
      <c r="K1109" s="4"/>
    </row>
    <row r="1110">
      <c r="A1110" s="4"/>
      <c r="B1110" s="9"/>
      <c r="C1110" s="4"/>
      <c r="D1110" s="4"/>
      <c r="E1110" s="4"/>
      <c r="F1110" s="4"/>
      <c r="G1110" s="4"/>
      <c r="H1110" s="4"/>
      <c r="I1110" s="8"/>
      <c r="J1110" s="4"/>
      <c r="K1110" s="4"/>
    </row>
    <row r="1111">
      <c r="A1111" s="4"/>
      <c r="B1111" s="9"/>
      <c r="C1111" s="4"/>
      <c r="E1111" s="4"/>
      <c r="F1111" s="4"/>
      <c r="G1111" s="4"/>
      <c r="H1111" s="4"/>
      <c r="I1111" s="8"/>
      <c r="J1111" s="4"/>
      <c r="K1111" s="4"/>
    </row>
    <row r="1112">
      <c r="A1112" s="4"/>
      <c r="B1112" s="9"/>
      <c r="C1112" s="4"/>
      <c r="E1112" s="4"/>
      <c r="F1112" s="4"/>
      <c r="G1112" s="4"/>
      <c r="H1112" s="4"/>
      <c r="J1112" s="4"/>
      <c r="K1112" s="4"/>
    </row>
    <row r="1113">
      <c r="A1113" s="4"/>
      <c r="B1113" s="9"/>
      <c r="C1113" s="4"/>
      <c r="E1113" s="4"/>
      <c r="F1113" s="4"/>
      <c r="G1113" s="4"/>
      <c r="H1113" s="4"/>
      <c r="I1113" s="8"/>
      <c r="J1113" s="4"/>
      <c r="K1113" s="4"/>
    </row>
    <row r="1114">
      <c r="A1114" s="4"/>
      <c r="B1114" s="9"/>
      <c r="C1114" s="4"/>
      <c r="E1114" s="4"/>
      <c r="F1114" s="4"/>
      <c r="G1114" s="4"/>
      <c r="H1114" s="4"/>
      <c r="I1114" s="8"/>
      <c r="J1114" s="4"/>
      <c r="K1114" s="4"/>
    </row>
    <row r="1115">
      <c r="A1115" s="4"/>
      <c r="B1115" s="9"/>
      <c r="C1115" s="4"/>
      <c r="E1115" s="4"/>
      <c r="F1115" s="4"/>
      <c r="G1115" s="4"/>
      <c r="H1115" s="4"/>
      <c r="I1115" s="8"/>
      <c r="J1115" s="4"/>
      <c r="K1115" s="4"/>
    </row>
    <row r="1116">
      <c r="A1116" s="4"/>
      <c r="B1116" s="9"/>
      <c r="C1116" s="4"/>
      <c r="E1116" s="4"/>
      <c r="F1116" s="4"/>
      <c r="G1116" s="4"/>
      <c r="H1116" s="4"/>
      <c r="I1116" s="8"/>
      <c r="J1116" s="4"/>
      <c r="K1116" s="4"/>
    </row>
    <row r="1117">
      <c r="A1117" s="4"/>
      <c r="B1117" s="9"/>
      <c r="C1117" s="4"/>
      <c r="D1117" s="4"/>
      <c r="E1117" s="4"/>
      <c r="F1117" s="4"/>
      <c r="G1117" s="4"/>
      <c r="H1117" s="4"/>
      <c r="I1117" s="8"/>
      <c r="J1117" s="4"/>
      <c r="K1117" s="4"/>
    </row>
    <row r="1118">
      <c r="A1118" s="4"/>
      <c r="B1118" s="9"/>
      <c r="C1118" s="4"/>
      <c r="E1118" s="4"/>
      <c r="F1118" s="4"/>
      <c r="G1118" s="4"/>
      <c r="H1118" s="4"/>
      <c r="I1118" s="8"/>
      <c r="J1118" s="4"/>
      <c r="K1118" s="4"/>
    </row>
    <row r="1119">
      <c r="A1119" s="4"/>
      <c r="B1119" s="9"/>
      <c r="C1119" s="4"/>
      <c r="E1119" s="4"/>
      <c r="F1119" s="4"/>
      <c r="G1119" s="4"/>
      <c r="H1119" s="4"/>
      <c r="I1119" s="8"/>
      <c r="J1119" s="4"/>
      <c r="K1119" s="4"/>
    </row>
    <row r="1120">
      <c r="A1120" s="4"/>
      <c r="B1120" s="9"/>
      <c r="C1120" s="4"/>
      <c r="E1120" s="4"/>
      <c r="F1120" s="4"/>
      <c r="G1120" s="4"/>
      <c r="H1120" s="4"/>
      <c r="I1120" s="8"/>
      <c r="J1120" s="4"/>
      <c r="K1120" s="4"/>
    </row>
    <row r="1121">
      <c r="A1121" s="4"/>
      <c r="B1121" s="9"/>
      <c r="C1121" s="4"/>
      <c r="D1121" s="4"/>
      <c r="E1121" s="4"/>
      <c r="F1121" s="4"/>
      <c r="G1121" s="4"/>
      <c r="H1121" s="4"/>
      <c r="I1121" s="8"/>
      <c r="J1121" s="4"/>
      <c r="K1121" s="4"/>
    </row>
    <row r="1122">
      <c r="A1122" s="4"/>
      <c r="B1122" s="9"/>
      <c r="C1122" s="4"/>
      <c r="D1122" s="4"/>
      <c r="E1122" s="4"/>
      <c r="F1122" s="4"/>
      <c r="G1122" s="4"/>
      <c r="H1122" s="4"/>
      <c r="I1122" s="8"/>
      <c r="J1122" s="4"/>
      <c r="K1122" s="4"/>
    </row>
    <row r="1123">
      <c r="A1123" s="4"/>
      <c r="B1123" s="9"/>
      <c r="C1123" s="4"/>
      <c r="D1123" s="4"/>
      <c r="E1123" s="4"/>
      <c r="F1123" s="4"/>
      <c r="G1123" s="4"/>
      <c r="H1123" s="4"/>
      <c r="I1123" s="8"/>
      <c r="J1123" s="4"/>
      <c r="K1123" s="4"/>
    </row>
    <row r="1124">
      <c r="A1124" s="4"/>
      <c r="B1124" s="9"/>
      <c r="C1124" s="4"/>
      <c r="D1124" s="4"/>
      <c r="E1124" s="4"/>
      <c r="F1124" s="4"/>
      <c r="G1124" s="4"/>
      <c r="H1124" s="4"/>
      <c r="I1124" s="8"/>
      <c r="J1124" s="4"/>
      <c r="K1124" s="4"/>
    </row>
    <row r="1125">
      <c r="A1125" s="4"/>
      <c r="B1125" s="9"/>
      <c r="C1125" s="4"/>
      <c r="E1125" s="4"/>
      <c r="F1125" s="4"/>
      <c r="G1125" s="4"/>
      <c r="H1125" s="4"/>
      <c r="J1125" s="4"/>
      <c r="K1125" s="4"/>
    </row>
    <row r="1126">
      <c r="A1126" s="4"/>
      <c r="B1126" s="9"/>
      <c r="C1126" s="4"/>
      <c r="E1126" s="4"/>
      <c r="F1126" s="4"/>
      <c r="G1126" s="4"/>
      <c r="H1126" s="4"/>
      <c r="I1126" s="8"/>
      <c r="J1126" s="4"/>
      <c r="K1126" s="4"/>
    </row>
    <row r="1127">
      <c r="A1127" s="4"/>
      <c r="B1127" s="9"/>
      <c r="C1127" s="4"/>
      <c r="E1127" s="4"/>
      <c r="F1127" s="4"/>
      <c r="G1127" s="4"/>
      <c r="H1127" s="4"/>
      <c r="I1127" s="8"/>
      <c r="J1127" s="4"/>
      <c r="K1127" s="4"/>
    </row>
    <row r="1128">
      <c r="A1128" s="4"/>
      <c r="B1128" s="9"/>
      <c r="C1128" s="4"/>
      <c r="E1128" s="4"/>
      <c r="F1128" s="4"/>
      <c r="G1128" s="4"/>
      <c r="H1128" s="4"/>
      <c r="I1128" s="8"/>
      <c r="J1128" s="4"/>
      <c r="K1128" s="4"/>
    </row>
    <row r="1129">
      <c r="A1129" s="4"/>
      <c r="B1129" s="9"/>
      <c r="C1129" s="4"/>
      <c r="D1129" s="4"/>
      <c r="E1129" s="4"/>
      <c r="F1129" s="4"/>
      <c r="G1129" s="4"/>
      <c r="H1129" s="4"/>
      <c r="I1129" s="8"/>
      <c r="J1129" s="4"/>
      <c r="K1129" s="4"/>
    </row>
    <row r="1130">
      <c r="A1130" s="4"/>
      <c r="B1130" s="9"/>
      <c r="C1130" s="4"/>
      <c r="D1130" s="4"/>
      <c r="E1130" s="4"/>
      <c r="F1130" s="4"/>
      <c r="G1130" s="4"/>
      <c r="H1130" s="4"/>
      <c r="I1130" s="8"/>
      <c r="J1130" s="4"/>
      <c r="K1130" s="4"/>
    </row>
    <row r="1131">
      <c r="A1131" s="4"/>
      <c r="B1131" s="9"/>
      <c r="C1131" s="4"/>
      <c r="D1131" s="4"/>
      <c r="E1131" s="4"/>
      <c r="F1131" s="4"/>
      <c r="G1131" s="4"/>
      <c r="H1131" s="4"/>
      <c r="I1131" s="8"/>
      <c r="J1131" s="4"/>
      <c r="K1131" s="4"/>
    </row>
    <row r="1132">
      <c r="A1132" s="4"/>
      <c r="B1132" s="9"/>
      <c r="C1132" s="4"/>
      <c r="D1132" s="4"/>
      <c r="E1132" s="4"/>
      <c r="F1132" s="4"/>
      <c r="G1132" s="4"/>
      <c r="H1132" s="4"/>
      <c r="I1132" s="8"/>
      <c r="J1132" s="4"/>
      <c r="K1132" s="4"/>
    </row>
    <row r="1133">
      <c r="A1133" s="4"/>
      <c r="B1133" s="9"/>
      <c r="C1133" s="4"/>
      <c r="D1133" s="4"/>
      <c r="E1133" s="4"/>
      <c r="F1133" s="4"/>
      <c r="G1133" s="4"/>
      <c r="H1133" s="4"/>
      <c r="I1133" s="8"/>
      <c r="J1133" s="4"/>
      <c r="K1133" s="4"/>
    </row>
    <row r="1134">
      <c r="A1134" s="4"/>
      <c r="B1134" s="9"/>
      <c r="C1134" s="4"/>
      <c r="D1134" s="4"/>
      <c r="E1134" s="4"/>
      <c r="F1134" s="4"/>
      <c r="G1134" s="4"/>
      <c r="H1134" s="4"/>
      <c r="I1134" s="8"/>
      <c r="J1134" s="4"/>
      <c r="K1134" s="4"/>
    </row>
    <row r="1135">
      <c r="A1135" s="4"/>
      <c r="B1135" s="9"/>
      <c r="C1135" s="4"/>
      <c r="E1135" s="4"/>
      <c r="F1135" s="4"/>
      <c r="G1135" s="4"/>
      <c r="H1135" s="4"/>
      <c r="I1135" s="8"/>
      <c r="J1135" s="4"/>
      <c r="K1135" s="4"/>
    </row>
    <row r="1136">
      <c r="A1136" s="4"/>
      <c r="B1136" s="9"/>
      <c r="C1136" s="4"/>
      <c r="E1136" s="4"/>
      <c r="F1136" s="4"/>
      <c r="G1136" s="4"/>
      <c r="H1136" s="4"/>
      <c r="I1136" s="8"/>
      <c r="J1136" s="4"/>
      <c r="K1136" s="4"/>
    </row>
    <row r="1137">
      <c r="A1137" s="4"/>
      <c r="B1137" s="9"/>
      <c r="C1137" s="4"/>
      <c r="E1137" s="4"/>
      <c r="F1137" s="4"/>
      <c r="G1137" s="4"/>
      <c r="H1137" s="4"/>
      <c r="I1137" s="8"/>
      <c r="J1137" s="4"/>
      <c r="K1137" s="4"/>
    </row>
    <row r="1138">
      <c r="A1138" s="4"/>
      <c r="B1138" s="9"/>
      <c r="C1138" s="4"/>
      <c r="E1138" s="4"/>
      <c r="F1138" s="4"/>
      <c r="G1138" s="4"/>
      <c r="H1138" s="4"/>
      <c r="I1138" s="8"/>
      <c r="J1138" s="4"/>
      <c r="K1138" s="4"/>
    </row>
    <row r="1139">
      <c r="A1139" s="4"/>
      <c r="B1139" s="9"/>
      <c r="C1139" s="4"/>
      <c r="E1139" s="4"/>
      <c r="F1139" s="4"/>
      <c r="G1139" s="4"/>
      <c r="H1139" s="4"/>
      <c r="I1139" s="8"/>
      <c r="J1139" s="4"/>
      <c r="K1139" s="4"/>
    </row>
    <row r="1140">
      <c r="A1140" s="4"/>
      <c r="B1140" s="9"/>
      <c r="C1140" s="4"/>
      <c r="E1140" s="4"/>
      <c r="F1140" s="4"/>
      <c r="G1140" s="4"/>
      <c r="H1140" s="4"/>
      <c r="I1140" s="8"/>
      <c r="J1140" s="4"/>
      <c r="K1140" s="4"/>
    </row>
    <row r="1141">
      <c r="A1141" s="4"/>
      <c r="B1141" s="9"/>
      <c r="C1141" s="4"/>
      <c r="E1141" s="4"/>
      <c r="F1141" s="4"/>
      <c r="G1141" s="4"/>
      <c r="H1141" s="4"/>
      <c r="I1141" s="8"/>
      <c r="J1141" s="4"/>
      <c r="K1141" s="4"/>
    </row>
    <row r="1142">
      <c r="A1142" s="4"/>
      <c r="B1142" s="9"/>
      <c r="C1142" s="4"/>
      <c r="E1142" s="4"/>
      <c r="F1142" s="4"/>
      <c r="G1142" s="4"/>
      <c r="H1142" s="4"/>
      <c r="I1142" s="8"/>
      <c r="J1142" s="4"/>
      <c r="K1142" s="4"/>
    </row>
    <row r="1143">
      <c r="A1143" s="4"/>
      <c r="B1143" s="9"/>
      <c r="C1143" s="4"/>
      <c r="E1143" s="4"/>
      <c r="F1143" s="4"/>
      <c r="G1143" s="4"/>
      <c r="H1143" s="4"/>
      <c r="I1143" s="8"/>
      <c r="J1143" s="4"/>
      <c r="K1143" s="4"/>
    </row>
    <row r="1144">
      <c r="A1144" s="4"/>
      <c r="B1144" s="9"/>
      <c r="C1144" s="4"/>
      <c r="E1144" s="4"/>
      <c r="F1144" s="4"/>
      <c r="G1144" s="4"/>
      <c r="H1144" s="4"/>
      <c r="I1144" s="8"/>
      <c r="J1144" s="4"/>
      <c r="K1144" s="4"/>
    </row>
    <row r="1145">
      <c r="A1145" s="4"/>
      <c r="B1145" s="9"/>
      <c r="C1145" s="4"/>
      <c r="E1145" s="4"/>
      <c r="F1145" s="4"/>
      <c r="G1145" s="4"/>
      <c r="H1145" s="4"/>
      <c r="I1145" s="8"/>
      <c r="J1145" s="4"/>
      <c r="K1145" s="4"/>
    </row>
    <row r="1146">
      <c r="A1146" s="4"/>
      <c r="B1146" s="9"/>
      <c r="C1146" s="4"/>
      <c r="D1146" s="4"/>
      <c r="E1146" s="4"/>
      <c r="F1146" s="4"/>
      <c r="G1146" s="4"/>
      <c r="H1146" s="4"/>
      <c r="I1146" s="8"/>
      <c r="J1146" s="4"/>
      <c r="K1146" s="4"/>
    </row>
    <row r="1147">
      <c r="A1147" s="4"/>
      <c r="B1147" s="9"/>
      <c r="C1147" s="4"/>
      <c r="E1147" s="4"/>
      <c r="F1147" s="4"/>
      <c r="G1147" s="4"/>
      <c r="H1147" s="4"/>
      <c r="I1147" s="8"/>
      <c r="J1147" s="4"/>
      <c r="K1147" s="4"/>
    </row>
    <row r="1148">
      <c r="A1148" s="4"/>
      <c r="B1148" s="9"/>
      <c r="C1148" s="4"/>
      <c r="D1148" s="4"/>
      <c r="E1148" s="4"/>
      <c r="F1148" s="4"/>
      <c r="G1148" s="4"/>
      <c r="H1148" s="4"/>
      <c r="I1148" s="8"/>
      <c r="J1148" s="4"/>
      <c r="K1148" s="4"/>
    </row>
    <row r="1149">
      <c r="A1149" s="4"/>
      <c r="B1149" s="9"/>
      <c r="C1149" s="4"/>
      <c r="D1149" s="4"/>
      <c r="E1149" s="4"/>
      <c r="F1149" s="4"/>
      <c r="G1149" s="4"/>
      <c r="H1149" s="4"/>
      <c r="I1149" s="8"/>
      <c r="J1149" s="4"/>
      <c r="K1149" s="4"/>
    </row>
    <row r="1150">
      <c r="A1150" s="4"/>
      <c r="B1150" s="9"/>
      <c r="C1150" s="4"/>
      <c r="E1150" s="4"/>
      <c r="F1150" s="4"/>
      <c r="G1150" s="4"/>
      <c r="H1150" s="4"/>
      <c r="I1150" s="8"/>
      <c r="J1150" s="4"/>
      <c r="K1150" s="4"/>
    </row>
    <row r="1151">
      <c r="A1151" s="4"/>
      <c r="B1151" s="9"/>
      <c r="C1151" s="4"/>
      <c r="D1151" s="4"/>
      <c r="E1151" s="4"/>
      <c r="F1151" s="4"/>
      <c r="G1151" s="4"/>
      <c r="H1151" s="4"/>
      <c r="I1151" s="8"/>
      <c r="J1151" s="4"/>
      <c r="K1151" s="4"/>
    </row>
    <row r="1152">
      <c r="A1152" s="4"/>
      <c r="B1152" s="9"/>
      <c r="C1152" s="4"/>
      <c r="D1152" s="4"/>
      <c r="E1152" s="4"/>
      <c r="F1152" s="4"/>
      <c r="G1152" s="4"/>
      <c r="H1152" s="4"/>
      <c r="I1152" s="8"/>
      <c r="J1152" s="4"/>
      <c r="K1152" s="4"/>
    </row>
    <row r="1153">
      <c r="A1153" s="4"/>
      <c r="B1153" s="9"/>
      <c r="C1153" s="4"/>
      <c r="D1153" s="4"/>
      <c r="E1153" s="4"/>
      <c r="F1153" s="4"/>
      <c r="G1153" s="4"/>
      <c r="H1153" s="4"/>
      <c r="I1153" s="8"/>
      <c r="J1153" s="4"/>
      <c r="K1153" s="4"/>
    </row>
    <row r="1154">
      <c r="A1154" s="4"/>
      <c r="B1154" s="9"/>
      <c r="C1154" s="4"/>
      <c r="D1154" s="4"/>
      <c r="E1154" s="4"/>
      <c r="F1154" s="4"/>
      <c r="G1154" s="4"/>
      <c r="H1154" s="4"/>
      <c r="I1154" s="8"/>
      <c r="J1154" s="4"/>
      <c r="K1154" s="4"/>
    </row>
    <row r="1155">
      <c r="A1155" s="4"/>
      <c r="B1155" s="9"/>
      <c r="C1155" s="4"/>
      <c r="E1155" s="4"/>
      <c r="F1155" s="4"/>
      <c r="G1155" s="4"/>
      <c r="H1155" s="4"/>
      <c r="I1155" s="8"/>
      <c r="J1155" s="4"/>
      <c r="K1155" s="4"/>
    </row>
    <row r="1156">
      <c r="A1156" s="4"/>
      <c r="B1156" s="9"/>
      <c r="C1156" s="4"/>
      <c r="E1156" s="4"/>
      <c r="F1156" s="4"/>
      <c r="G1156" s="4"/>
      <c r="H1156" s="4"/>
      <c r="I1156" s="8"/>
      <c r="J1156" s="4"/>
      <c r="K1156" s="4"/>
    </row>
    <row r="1157">
      <c r="A1157" s="4"/>
      <c r="B1157" s="9"/>
      <c r="C1157" s="4"/>
      <c r="E1157" s="4"/>
      <c r="F1157" s="4"/>
      <c r="G1157" s="4"/>
      <c r="H1157" s="4"/>
      <c r="I1157" s="8"/>
      <c r="J1157" s="4"/>
      <c r="K1157" s="4"/>
    </row>
    <row r="1158">
      <c r="A1158" s="4"/>
      <c r="B1158" s="9"/>
      <c r="C1158" s="4"/>
      <c r="E1158" s="4"/>
      <c r="F1158" s="4"/>
      <c r="G1158" s="4"/>
      <c r="H1158" s="4"/>
      <c r="I1158" s="8"/>
      <c r="J1158" s="4"/>
      <c r="K1158" s="4"/>
    </row>
    <row r="1159">
      <c r="A1159" s="4"/>
      <c r="B1159" s="9"/>
      <c r="C1159" s="4"/>
      <c r="D1159" s="4"/>
      <c r="E1159" s="4"/>
      <c r="F1159" s="4"/>
      <c r="G1159" s="4"/>
      <c r="H1159" s="4"/>
      <c r="I1159" s="8"/>
      <c r="J1159" s="4"/>
      <c r="K1159" s="4"/>
    </row>
    <row r="1160">
      <c r="A1160" s="4"/>
      <c r="B1160" s="9"/>
      <c r="C1160" s="4"/>
      <c r="D1160" s="4"/>
      <c r="E1160" s="4"/>
      <c r="F1160" s="4"/>
      <c r="G1160" s="4"/>
      <c r="H1160" s="4"/>
      <c r="I1160" s="8"/>
      <c r="J1160" s="4"/>
      <c r="K1160" s="4"/>
    </row>
    <row r="1161">
      <c r="A1161" s="4"/>
      <c r="B1161" s="9"/>
      <c r="C1161" s="4"/>
      <c r="D1161" s="4"/>
      <c r="E1161" s="4"/>
      <c r="F1161" s="4"/>
      <c r="G1161" s="4"/>
      <c r="H1161" s="4"/>
      <c r="I1161" s="8"/>
      <c r="J1161" s="4"/>
      <c r="K1161" s="4"/>
    </row>
    <row r="1162">
      <c r="A1162" s="4"/>
      <c r="B1162" s="4"/>
      <c r="C1162" s="4"/>
      <c r="D1162" s="4"/>
      <c r="E1162" s="4"/>
      <c r="F1162" s="4"/>
      <c r="G1162" s="4"/>
      <c r="H1162" s="4"/>
      <c r="I1162" s="8"/>
      <c r="J1162" s="4"/>
      <c r="K1162" s="4"/>
    </row>
    <row r="1163">
      <c r="A1163" s="4"/>
      <c r="B1163" s="4"/>
      <c r="C1163" s="4"/>
      <c r="D1163" s="4"/>
      <c r="E1163" s="4"/>
      <c r="F1163" s="4"/>
      <c r="G1163" s="4"/>
      <c r="H1163" s="4"/>
      <c r="I1163" s="8"/>
      <c r="J1163" s="4"/>
      <c r="K1163" s="4"/>
    </row>
    <row r="1164">
      <c r="A1164" s="4"/>
      <c r="B1164" s="4"/>
      <c r="C1164" s="4"/>
      <c r="D1164" s="4"/>
      <c r="E1164" s="4"/>
      <c r="F1164" s="4"/>
      <c r="G1164" s="4"/>
      <c r="H1164" s="4"/>
      <c r="I1164" s="8"/>
      <c r="J1164" s="4"/>
      <c r="K1164" s="4"/>
    </row>
    <row r="1165">
      <c r="A1165" s="4"/>
      <c r="B1165" s="4"/>
      <c r="C1165" s="4"/>
      <c r="D1165" s="4"/>
      <c r="E1165" s="4"/>
      <c r="F1165" s="4"/>
      <c r="G1165" s="4"/>
      <c r="H1165" s="4"/>
      <c r="I1165" s="8"/>
      <c r="J1165" s="4"/>
      <c r="K1165" s="4"/>
    </row>
    <row r="1166">
      <c r="A1166" s="4"/>
      <c r="B1166" s="4"/>
      <c r="C1166" s="4"/>
      <c r="D1166" s="4"/>
      <c r="E1166" s="4"/>
      <c r="F1166" s="4"/>
      <c r="G1166" s="4"/>
      <c r="H1166" s="4"/>
      <c r="I1166" s="8"/>
      <c r="J1166" s="4"/>
      <c r="K1166" s="4"/>
    </row>
    <row r="1167">
      <c r="A1167" s="4"/>
      <c r="B1167" s="4"/>
      <c r="C1167" s="4"/>
      <c r="D1167" s="4"/>
      <c r="E1167" s="4"/>
      <c r="F1167" s="4"/>
      <c r="G1167" s="4"/>
      <c r="H1167" s="4"/>
      <c r="I1167" s="8"/>
      <c r="J1167" s="4"/>
      <c r="K1167" s="4"/>
    </row>
    <row r="1168">
      <c r="A1168" s="4"/>
      <c r="B1168" s="9"/>
      <c r="C1168" s="4"/>
      <c r="E1168" s="4"/>
      <c r="F1168" s="4"/>
      <c r="G1168" s="4"/>
      <c r="H1168" s="4"/>
      <c r="I1168" s="8"/>
      <c r="J1168" s="4"/>
      <c r="K1168" s="4"/>
    </row>
    <row r="1169">
      <c r="A1169" s="4"/>
      <c r="B1169" s="9"/>
      <c r="C1169" s="4"/>
      <c r="E1169" s="4"/>
      <c r="F1169" s="4"/>
      <c r="G1169" s="4"/>
      <c r="H1169" s="4"/>
      <c r="I1169" s="8"/>
      <c r="J1169" s="4"/>
      <c r="K1169" s="4"/>
    </row>
    <row r="1170">
      <c r="A1170" s="4"/>
      <c r="B1170" s="9"/>
      <c r="C1170" s="4"/>
      <c r="D1170" s="4"/>
      <c r="E1170" s="4"/>
      <c r="F1170" s="4"/>
      <c r="G1170" s="4"/>
      <c r="H1170" s="4"/>
      <c r="I1170" s="8"/>
      <c r="J1170" s="4"/>
      <c r="K1170" s="4"/>
    </row>
    <row r="1171">
      <c r="A1171" s="4"/>
      <c r="B1171" s="9"/>
      <c r="C1171" s="4"/>
      <c r="D1171" s="4"/>
      <c r="E1171" s="4"/>
      <c r="F1171" s="4"/>
      <c r="G1171" s="4"/>
      <c r="H1171" s="4"/>
      <c r="I1171" s="8"/>
      <c r="J1171" s="4"/>
      <c r="K1171" s="4"/>
    </row>
    <row r="1172">
      <c r="A1172" s="4"/>
      <c r="B1172" s="9"/>
      <c r="C1172" s="4"/>
      <c r="D1172" s="4"/>
      <c r="E1172" s="4"/>
      <c r="F1172" s="4"/>
      <c r="G1172" s="4"/>
      <c r="H1172" s="4"/>
      <c r="I1172" s="8"/>
      <c r="J1172" s="4"/>
      <c r="K1172" s="4"/>
    </row>
    <row r="1173">
      <c r="A1173" s="4"/>
      <c r="B1173" s="9"/>
      <c r="C1173" s="4"/>
      <c r="D1173" s="4"/>
      <c r="E1173" s="4"/>
      <c r="F1173" s="4"/>
      <c r="G1173" s="4"/>
      <c r="H1173" s="4"/>
      <c r="I1173" s="8"/>
      <c r="J1173" s="4"/>
      <c r="K1173" s="4"/>
    </row>
    <row r="1174">
      <c r="A1174" s="4"/>
      <c r="B1174" s="9"/>
      <c r="C1174" s="4"/>
      <c r="D1174" s="4"/>
      <c r="E1174" s="4"/>
      <c r="F1174" s="4"/>
      <c r="G1174" s="4"/>
      <c r="H1174" s="4"/>
      <c r="I1174" s="8"/>
      <c r="J1174" s="4"/>
      <c r="K1174" s="4"/>
    </row>
    <row r="1175">
      <c r="A1175" s="4"/>
      <c r="B1175" s="9"/>
      <c r="C1175" s="4"/>
      <c r="D1175" s="4"/>
      <c r="E1175" s="4"/>
      <c r="F1175" s="4"/>
      <c r="G1175" s="4"/>
      <c r="H1175" s="4"/>
      <c r="I1175" s="8"/>
      <c r="J1175" s="4"/>
      <c r="K1175" s="4"/>
    </row>
    <row r="1176">
      <c r="A1176" s="4"/>
      <c r="B1176" s="9"/>
      <c r="C1176" s="4"/>
      <c r="E1176" s="4"/>
      <c r="F1176" s="4"/>
      <c r="G1176" s="4"/>
      <c r="H1176" s="4"/>
      <c r="I1176" s="8"/>
      <c r="J1176" s="4"/>
      <c r="K1176" s="4"/>
    </row>
    <row r="1177">
      <c r="A1177" s="4"/>
      <c r="B1177" s="4"/>
      <c r="C1177" s="4"/>
      <c r="E1177" s="4"/>
      <c r="F1177" s="4"/>
      <c r="G1177" s="4"/>
      <c r="H1177" s="4"/>
      <c r="I1177" s="8"/>
      <c r="J1177" s="4"/>
      <c r="K1177" s="4"/>
    </row>
    <row r="1178">
      <c r="A1178" s="4"/>
      <c r="B1178" s="4"/>
      <c r="C1178" s="4"/>
      <c r="D1178" s="4"/>
      <c r="E1178" s="4"/>
      <c r="F1178" s="4"/>
      <c r="G1178" s="4"/>
      <c r="H1178" s="4"/>
      <c r="I1178" s="8"/>
      <c r="J1178" s="4"/>
      <c r="K1178" s="4"/>
    </row>
    <row r="1179">
      <c r="A1179" s="4"/>
      <c r="B1179" s="4"/>
      <c r="C1179" s="4"/>
      <c r="D1179" s="4"/>
      <c r="E1179" s="4"/>
      <c r="F1179" s="4"/>
      <c r="G1179" s="4"/>
      <c r="H1179" s="4"/>
      <c r="I1179" s="8"/>
      <c r="J1179" s="4"/>
      <c r="K1179" s="4"/>
    </row>
    <row r="1180">
      <c r="A1180" s="4"/>
      <c r="B1180" s="4"/>
      <c r="C1180" s="4"/>
      <c r="D1180" s="4"/>
      <c r="E1180" s="4"/>
      <c r="F1180" s="4"/>
      <c r="G1180" s="4"/>
      <c r="H1180" s="4"/>
      <c r="I1180" s="8"/>
      <c r="J1180" s="4"/>
      <c r="K1180" s="4"/>
    </row>
    <row r="1181">
      <c r="A1181" s="4"/>
      <c r="B1181" s="4"/>
      <c r="C1181" s="4"/>
      <c r="D1181" s="4"/>
      <c r="E1181" s="4"/>
      <c r="F1181" s="4"/>
      <c r="G1181" s="4"/>
      <c r="H1181" s="4"/>
      <c r="I1181" s="8"/>
      <c r="J1181" s="4"/>
      <c r="K1181" s="4"/>
    </row>
    <row r="1182">
      <c r="A1182" s="4"/>
      <c r="B1182" s="4"/>
      <c r="C1182" s="4"/>
      <c r="D1182" s="4"/>
      <c r="E1182" s="4"/>
      <c r="F1182" s="4"/>
      <c r="G1182" s="4"/>
      <c r="H1182" s="4"/>
      <c r="I1182" s="8"/>
      <c r="J1182" s="4"/>
      <c r="K1182" s="4"/>
    </row>
    <row r="1183">
      <c r="A1183" s="4"/>
      <c r="B1183" s="4"/>
      <c r="C1183" s="4"/>
      <c r="D1183" s="4"/>
      <c r="E1183" s="4"/>
      <c r="F1183" s="4"/>
      <c r="G1183" s="4"/>
      <c r="H1183" s="4"/>
      <c r="I1183" s="8"/>
      <c r="J1183" s="4"/>
      <c r="K1183" s="4"/>
    </row>
    <row r="1184">
      <c r="A1184" s="4"/>
      <c r="B1184" s="4"/>
      <c r="C1184" s="4"/>
      <c r="E1184" s="4"/>
      <c r="F1184" s="4"/>
      <c r="G1184" s="4"/>
      <c r="H1184" s="4"/>
      <c r="I1184" s="8"/>
      <c r="J1184" s="4"/>
      <c r="K1184" s="4"/>
    </row>
    <row r="1185">
      <c r="A1185" s="4"/>
      <c r="B1185" s="9"/>
      <c r="C1185" s="4"/>
      <c r="D1185" s="4"/>
      <c r="E1185" s="4"/>
      <c r="F1185" s="4"/>
      <c r="G1185" s="4"/>
      <c r="H1185" s="4"/>
      <c r="I1185" s="8"/>
      <c r="J1185" s="4"/>
      <c r="K1185" s="4"/>
    </row>
    <row r="1186">
      <c r="A1186" s="4"/>
      <c r="B1186" s="9"/>
      <c r="C1186" s="4"/>
      <c r="D1186" s="4"/>
      <c r="E1186" s="4"/>
      <c r="F1186" s="4"/>
      <c r="G1186" s="4"/>
      <c r="H1186" s="4"/>
      <c r="J1186" s="4"/>
      <c r="K1186" s="4"/>
    </row>
    <row r="1187">
      <c r="A1187" s="4"/>
      <c r="B1187" s="9"/>
      <c r="C1187" s="4"/>
      <c r="D1187" s="4"/>
      <c r="E1187" s="4"/>
      <c r="F1187" s="4"/>
      <c r="G1187" s="4"/>
      <c r="H1187" s="4"/>
      <c r="I1187" s="8"/>
      <c r="J1187" s="4"/>
      <c r="K1187" s="4"/>
    </row>
    <row r="1188">
      <c r="A1188" s="4"/>
      <c r="B1188" s="9"/>
      <c r="C1188" s="4"/>
      <c r="D1188" s="4"/>
      <c r="E1188" s="4"/>
      <c r="F1188" s="4"/>
      <c r="G1188" s="4"/>
      <c r="H1188" s="4"/>
      <c r="I1188" s="8"/>
      <c r="J1188" s="4"/>
      <c r="K1188" s="4"/>
    </row>
    <row r="1189">
      <c r="A1189" s="4"/>
      <c r="B1189" s="9"/>
      <c r="C1189" s="4"/>
      <c r="D1189" s="4"/>
      <c r="E1189" s="4"/>
      <c r="F1189" s="4"/>
      <c r="G1189" s="4"/>
      <c r="H1189" s="4"/>
      <c r="I1189" s="8"/>
      <c r="J1189" s="4"/>
      <c r="K1189" s="4"/>
    </row>
    <row r="1190">
      <c r="A1190" s="4"/>
      <c r="B1190" s="9"/>
      <c r="C1190" s="4"/>
      <c r="D1190" s="4"/>
      <c r="E1190" s="4"/>
      <c r="F1190" s="4"/>
      <c r="G1190" s="4"/>
      <c r="H1190" s="4"/>
      <c r="I1190" s="8"/>
      <c r="J1190" s="4"/>
      <c r="K1190" s="4"/>
    </row>
    <row r="1191">
      <c r="A1191" s="4"/>
      <c r="B1191" s="9"/>
      <c r="C1191" s="4"/>
      <c r="D1191" s="4"/>
      <c r="E1191" s="4"/>
      <c r="F1191" s="4"/>
      <c r="G1191" s="4"/>
      <c r="H1191" s="4"/>
      <c r="I1191" s="8"/>
      <c r="J1191" s="4"/>
      <c r="K1191" s="4"/>
    </row>
    <row r="1192">
      <c r="A1192" s="4"/>
      <c r="B1192" s="9"/>
      <c r="C1192" s="4"/>
      <c r="D1192" s="4"/>
      <c r="E1192" s="4"/>
      <c r="F1192" s="4"/>
      <c r="G1192" s="4"/>
      <c r="H1192" s="4"/>
      <c r="I1192" s="8"/>
      <c r="J1192" s="4"/>
      <c r="K1192" s="4"/>
    </row>
    <row r="1193">
      <c r="A1193" s="4"/>
      <c r="B1193" s="9"/>
      <c r="C1193" s="4"/>
      <c r="D1193" s="4"/>
      <c r="E1193" s="4"/>
      <c r="F1193" s="4"/>
      <c r="G1193" s="4"/>
      <c r="H1193" s="4"/>
      <c r="I1193" s="8"/>
      <c r="J1193" s="4"/>
      <c r="K1193" s="4"/>
    </row>
    <row r="1194">
      <c r="A1194" s="4"/>
      <c r="B1194" s="4"/>
      <c r="C1194" s="4"/>
      <c r="D1194" s="4"/>
      <c r="E1194" s="4"/>
      <c r="F1194" s="4"/>
      <c r="G1194" s="4"/>
      <c r="H1194" s="4"/>
      <c r="I1194" s="8"/>
      <c r="J1194" s="4"/>
      <c r="K1194" s="4"/>
    </row>
    <row r="1195">
      <c r="A1195" s="4"/>
      <c r="B1195" s="4"/>
      <c r="C1195" s="4"/>
      <c r="D1195" s="4"/>
      <c r="E1195" s="4"/>
      <c r="F1195" s="4"/>
      <c r="G1195" s="4"/>
      <c r="H1195" s="4"/>
      <c r="I1195" s="8"/>
      <c r="J1195" s="4"/>
      <c r="K1195" s="4"/>
    </row>
    <row r="1196">
      <c r="A1196" s="4"/>
      <c r="B1196" s="9"/>
      <c r="C1196" s="4"/>
      <c r="D1196" s="4"/>
      <c r="E1196" s="4"/>
      <c r="F1196" s="4"/>
      <c r="G1196" s="4"/>
      <c r="H1196" s="4"/>
      <c r="I1196" s="8"/>
      <c r="J1196" s="4"/>
      <c r="K1196" s="4"/>
    </row>
    <row r="1197">
      <c r="A1197" s="4"/>
      <c r="B1197" s="4"/>
      <c r="C1197" s="4"/>
      <c r="D1197" s="4"/>
      <c r="E1197" s="4"/>
      <c r="F1197" s="4"/>
      <c r="G1197" s="4"/>
      <c r="H1197" s="4"/>
      <c r="I1197" s="8"/>
      <c r="J1197" s="4"/>
      <c r="K1197" s="4"/>
    </row>
    <row r="1198">
      <c r="A1198" s="4"/>
      <c r="B1198" s="4"/>
      <c r="C1198" s="4"/>
      <c r="D1198" s="4"/>
      <c r="E1198" s="4"/>
      <c r="F1198" s="4"/>
      <c r="G1198" s="4"/>
      <c r="H1198" s="4"/>
      <c r="I1198" s="8"/>
      <c r="J1198" s="4"/>
      <c r="K1198" s="4"/>
    </row>
    <row r="1199">
      <c r="A1199" s="4"/>
      <c r="B1199" s="4"/>
      <c r="C1199" s="4"/>
      <c r="D1199" s="4"/>
      <c r="E1199" s="4"/>
      <c r="F1199" s="4"/>
      <c r="G1199" s="4"/>
      <c r="H1199" s="4"/>
      <c r="I1199" s="8"/>
      <c r="J1199" s="4"/>
      <c r="K1199" s="4"/>
    </row>
    <row r="1200">
      <c r="A1200" s="4"/>
      <c r="B1200" s="4"/>
      <c r="C1200" s="4"/>
      <c r="D1200" s="4"/>
      <c r="E1200" s="4"/>
      <c r="F1200" s="4"/>
      <c r="G1200" s="4"/>
      <c r="H1200" s="4"/>
      <c r="I1200" s="8"/>
      <c r="J1200" s="4"/>
      <c r="K1200" s="4"/>
    </row>
    <row r="1201">
      <c r="A1201" s="4"/>
      <c r="B1201" s="9"/>
      <c r="C1201" s="4"/>
      <c r="D1201" s="4"/>
      <c r="E1201" s="4"/>
      <c r="F1201" s="4"/>
      <c r="G1201" s="4"/>
      <c r="H1201" s="8"/>
      <c r="I1201" s="8"/>
      <c r="J1201" s="4"/>
      <c r="K1201" s="4"/>
    </row>
    <row r="1202">
      <c r="A1202" s="4"/>
      <c r="B1202" s="9"/>
      <c r="C1202" s="4"/>
      <c r="E1202" s="4"/>
      <c r="F1202" s="4"/>
      <c r="G1202" s="4"/>
      <c r="H1202" s="8"/>
      <c r="I1202" s="8"/>
      <c r="J1202" s="4"/>
      <c r="K1202" s="4"/>
    </row>
    <row r="1203">
      <c r="A1203" s="4"/>
      <c r="B1203" s="9"/>
      <c r="C1203" s="4"/>
      <c r="E1203" s="4"/>
      <c r="F1203" s="4"/>
      <c r="G1203" s="4"/>
      <c r="H1203" s="8"/>
      <c r="I1203" s="8"/>
      <c r="J1203" s="4"/>
      <c r="K1203" s="4"/>
    </row>
    <row r="1204">
      <c r="A1204" s="4"/>
      <c r="B1204" s="4"/>
      <c r="C1204" s="4"/>
      <c r="D1204" s="4"/>
      <c r="E1204" s="4"/>
      <c r="F1204" s="4"/>
      <c r="G1204" s="4"/>
      <c r="H1204" s="8"/>
      <c r="I1204" s="8"/>
      <c r="J1204" s="4"/>
      <c r="K1204" s="4"/>
    </row>
    <row r="1205">
      <c r="A1205" s="4"/>
      <c r="B1205" s="4"/>
      <c r="C1205" s="4"/>
      <c r="D1205" s="4"/>
      <c r="E1205" s="4"/>
      <c r="F1205" s="4"/>
      <c r="G1205" s="4"/>
      <c r="H1205" s="8"/>
      <c r="I1205" s="8"/>
      <c r="J1205" s="4"/>
      <c r="K1205" s="4"/>
    </row>
    <row r="1206">
      <c r="A1206" s="4"/>
      <c r="B1206" s="9"/>
      <c r="C1206" s="4"/>
      <c r="D1206" s="4"/>
      <c r="E1206" s="4"/>
      <c r="F1206" s="4"/>
      <c r="G1206" s="4"/>
      <c r="H1206" s="8"/>
      <c r="I1206" s="8"/>
      <c r="J1206" s="4"/>
      <c r="K1206" s="4"/>
    </row>
    <row r="1207">
      <c r="A1207" s="4"/>
      <c r="B1207" s="9"/>
      <c r="C1207" s="4"/>
      <c r="D1207" s="4"/>
      <c r="E1207" s="4"/>
      <c r="F1207" s="4"/>
      <c r="G1207" s="4"/>
      <c r="H1207" s="8"/>
      <c r="I1207" s="8"/>
      <c r="J1207" s="4"/>
      <c r="K1207" s="4"/>
    </row>
    <row r="1208">
      <c r="A1208" s="4"/>
      <c r="B1208" s="9"/>
      <c r="C1208" s="4"/>
      <c r="E1208" s="4"/>
      <c r="F1208" s="4"/>
      <c r="G1208" s="4"/>
      <c r="H1208" s="8"/>
      <c r="I1208" s="8"/>
      <c r="J1208" s="4"/>
      <c r="K1208" s="4"/>
    </row>
    <row r="1209">
      <c r="A1209" s="4"/>
      <c r="B1209" s="9"/>
      <c r="C1209" s="4"/>
      <c r="D1209" s="4"/>
      <c r="E1209" s="4"/>
      <c r="F1209" s="4"/>
      <c r="G1209" s="4"/>
      <c r="H1209" s="8"/>
      <c r="I1209" s="8"/>
      <c r="J1209" s="4"/>
      <c r="K1209" s="4"/>
    </row>
    <row r="1210">
      <c r="A1210" s="4"/>
      <c r="B1210" s="9"/>
      <c r="C1210" s="4"/>
      <c r="E1210" s="4"/>
      <c r="F1210" s="4"/>
      <c r="G1210" s="4"/>
      <c r="H1210" s="8"/>
      <c r="I1210" s="8"/>
      <c r="J1210" s="4"/>
      <c r="K1210" s="4"/>
    </row>
    <row r="1211">
      <c r="A1211" s="4"/>
      <c r="B1211" s="9"/>
      <c r="C1211" s="4"/>
      <c r="D1211" s="4"/>
      <c r="E1211" s="4"/>
      <c r="F1211" s="4"/>
      <c r="G1211" s="4"/>
      <c r="H1211" s="8"/>
      <c r="I1211" s="8"/>
      <c r="J1211" s="4"/>
      <c r="K1211" s="4"/>
    </row>
    <row r="1212">
      <c r="A1212" s="4"/>
      <c r="B1212" s="9"/>
      <c r="C1212" s="4"/>
      <c r="D1212" s="4"/>
      <c r="E1212" s="4"/>
      <c r="F1212" s="4"/>
      <c r="G1212" s="4"/>
      <c r="H1212" s="8"/>
      <c r="I1212" s="8"/>
      <c r="J1212" s="4"/>
      <c r="K1212" s="4"/>
    </row>
    <row r="1213">
      <c r="A1213" s="4"/>
      <c r="B1213" s="9"/>
      <c r="C1213" s="4"/>
      <c r="E1213" s="4"/>
      <c r="F1213" s="4"/>
      <c r="G1213" s="4"/>
      <c r="H1213" s="4"/>
      <c r="I1213" s="8"/>
      <c r="J1213" s="4"/>
      <c r="K1213" s="4"/>
    </row>
    <row r="1214">
      <c r="A1214" s="4"/>
      <c r="B1214" s="9"/>
      <c r="C1214" s="4"/>
      <c r="E1214" s="4"/>
      <c r="F1214" s="4"/>
      <c r="G1214" s="4"/>
      <c r="H1214" s="4"/>
      <c r="I1214" s="8"/>
      <c r="J1214" s="4"/>
      <c r="K1214" s="4"/>
    </row>
    <row r="1215">
      <c r="A1215" s="4"/>
      <c r="B1215" s="9"/>
      <c r="C1215" s="4"/>
      <c r="E1215" s="4"/>
      <c r="F1215" s="4"/>
      <c r="G1215" s="4"/>
      <c r="H1215" s="4"/>
      <c r="I1215" s="8"/>
      <c r="J1215" s="4"/>
      <c r="K1215" s="4"/>
    </row>
    <row r="1216">
      <c r="A1216" s="4"/>
      <c r="B1216" s="9"/>
      <c r="C1216" s="4"/>
      <c r="E1216" s="4"/>
      <c r="F1216" s="4"/>
      <c r="G1216" s="4"/>
      <c r="H1216" s="4"/>
      <c r="I1216" s="8"/>
      <c r="J1216" s="4"/>
      <c r="K1216" s="4"/>
    </row>
    <row r="1217">
      <c r="A1217" s="4"/>
      <c r="B1217" s="9"/>
      <c r="C1217" s="4"/>
      <c r="E1217" s="4"/>
      <c r="F1217" s="4"/>
      <c r="G1217" s="4"/>
      <c r="H1217" s="4"/>
      <c r="I1217" s="8"/>
      <c r="J1217" s="4"/>
      <c r="K1217" s="4"/>
    </row>
    <row r="1218">
      <c r="A1218" s="4"/>
      <c r="B1218" s="9"/>
      <c r="C1218" s="4"/>
      <c r="D1218" s="4"/>
      <c r="E1218" s="4"/>
      <c r="F1218" s="4"/>
      <c r="G1218" s="4"/>
      <c r="H1218" s="8"/>
      <c r="I1218" s="8"/>
      <c r="J1218" s="4"/>
      <c r="K1218" s="4"/>
    </row>
    <row r="1219">
      <c r="A1219" s="4"/>
      <c r="B1219" s="9"/>
      <c r="C1219" s="4"/>
      <c r="D1219" s="4"/>
      <c r="E1219" s="4"/>
      <c r="F1219" s="4"/>
      <c r="G1219" s="4"/>
      <c r="H1219" s="8"/>
      <c r="I1219" s="8"/>
      <c r="J1219" s="4"/>
      <c r="K1219" s="4"/>
    </row>
    <row r="1220">
      <c r="A1220" s="4"/>
      <c r="B1220" s="9"/>
      <c r="C1220" s="4"/>
      <c r="E1220" s="4"/>
      <c r="F1220" s="4"/>
      <c r="G1220" s="4"/>
      <c r="H1220" s="8"/>
      <c r="I1220" s="8"/>
      <c r="J1220" s="4"/>
      <c r="K1220" s="4"/>
    </row>
    <row r="1221">
      <c r="A1221" s="4"/>
      <c r="B1221" s="9"/>
      <c r="C1221" s="4"/>
      <c r="E1221" s="4"/>
      <c r="F1221" s="4"/>
      <c r="G1221" s="4"/>
      <c r="H1221" s="8"/>
      <c r="I1221" s="8"/>
      <c r="J1221" s="4"/>
      <c r="K1221" s="4"/>
    </row>
    <row r="1222">
      <c r="A1222" s="4"/>
      <c r="B1222" s="9"/>
      <c r="C1222" s="4"/>
      <c r="D1222" s="4"/>
      <c r="E1222" s="4"/>
      <c r="F1222" s="4"/>
      <c r="G1222" s="4"/>
      <c r="H1222" s="8"/>
      <c r="I1222" s="8"/>
      <c r="J1222" s="4"/>
      <c r="K1222" s="4"/>
    </row>
    <row r="1223">
      <c r="A1223" s="4"/>
      <c r="B1223" s="9"/>
      <c r="C1223" s="4"/>
      <c r="D1223" s="4"/>
      <c r="E1223" s="4"/>
      <c r="F1223" s="4"/>
      <c r="G1223" s="4"/>
      <c r="H1223" s="8"/>
      <c r="I1223" s="8"/>
      <c r="J1223" s="4"/>
      <c r="K1223" s="4"/>
    </row>
    <row r="1224">
      <c r="A1224" s="4"/>
      <c r="B1224" s="9"/>
      <c r="C1224" s="4"/>
      <c r="D1224" s="4"/>
      <c r="E1224" s="4"/>
      <c r="F1224" s="4"/>
      <c r="G1224" s="4"/>
      <c r="H1224" s="8"/>
      <c r="I1224" s="8"/>
      <c r="J1224" s="4"/>
      <c r="K1224" s="4"/>
    </row>
    <row r="1225">
      <c r="A1225" s="4"/>
      <c r="B1225" s="9"/>
      <c r="C1225" s="4"/>
      <c r="D1225" s="4"/>
      <c r="E1225" s="4"/>
      <c r="F1225" s="4"/>
      <c r="G1225" s="4"/>
      <c r="H1225" s="8"/>
      <c r="I1225" s="8"/>
      <c r="J1225" s="4"/>
      <c r="K1225" s="4"/>
    </row>
    <row r="1226">
      <c r="A1226" s="4"/>
      <c r="B1226" s="4"/>
      <c r="C1226" s="4"/>
      <c r="D1226" s="4"/>
      <c r="E1226" s="4"/>
      <c r="F1226" s="4"/>
      <c r="G1226" s="4"/>
      <c r="H1226" s="8"/>
      <c r="I1226" s="8"/>
      <c r="J1226" s="4"/>
      <c r="K1226" s="4"/>
    </row>
    <row r="1227">
      <c r="A1227" s="4"/>
      <c r="B1227" s="4"/>
      <c r="C1227" s="4"/>
      <c r="D1227" s="4"/>
      <c r="E1227" s="4"/>
      <c r="F1227" s="4"/>
      <c r="G1227" s="4"/>
      <c r="H1227" s="8"/>
      <c r="I1227" s="8"/>
      <c r="J1227" s="4"/>
      <c r="K1227" s="4"/>
    </row>
    <row r="1228">
      <c r="A1228" s="4"/>
      <c r="B1228" s="4"/>
      <c r="C1228" s="4"/>
      <c r="D1228" s="4"/>
      <c r="E1228" s="4"/>
      <c r="F1228" s="4"/>
      <c r="G1228" s="4"/>
      <c r="H1228" s="8"/>
      <c r="I1228" s="8"/>
      <c r="J1228" s="4"/>
      <c r="K1228" s="4"/>
    </row>
    <row r="1229">
      <c r="A1229" s="4"/>
      <c r="B1229" s="9"/>
      <c r="C1229" s="4"/>
      <c r="D1229" s="4"/>
      <c r="E1229" s="4"/>
      <c r="F1229" s="4"/>
      <c r="G1229" s="4"/>
      <c r="H1229" s="8"/>
      <c r="I1229" s="8"/>
      <c r="J1229" s="4"/>
      <c r="K1229" s="4"/>
    </row>
    <row r="1230">
      <c r="A1230" s="4"/>
      <c r="B1230" s="9"/>
      <c r="C1230" s="4"/>
      <c r="D1230" s="4"/>
      <c r="E1230" s="4"/>
      <c r="F1230" s="4"/>
      <c r="G1230" s="4"/>
      <c r="H1230" s="8"/>
      <c r="I1230" s="8"/>
      <c r="J1230" s="4"/>
      <c r="K1230" s="4"/>
    </row>
    <row r="1231">
      <c r="A1231" s="4"/>
      <c r="B1231" s="9"/>
      <c r="C1231" s="4"/>
      <c r="D1231" s="4"/>
      <c r="E1231" s="4"/>
      <c r="F1231" s="4"/>
      <c r="G1231" s="4"/>
      <c r="H1231" s="8"/>
      <c r="I1231" s="8"/>
      <c r="J1231" s="4"/>
      <c r="K1231" s="4"/>
    </row>
    <row r="1232">
      <c r="A1232" s="4"/>
      <c r="B1232" s="9"/>
      <c r="C1232" s="4"/>
      <c r="D1232" s="4"/>
      <c r="E1232" s="4"/>
      <c r="F1232" s="4"/>
      <c r="G1232" s="4"/>
      <c r="H1232" s="8"/>
      <c r="I1232" s="8"/>
      <c r="J1232" s="4"/>
      <c r="K1232" s="4"/>
    </row>
    <row r="1233">
      <c r="A1233" s="4"/>
      <c r="B1233" s="9"/>
      <c r="C1233" s="4"/>
      <c r="D1233" s="4"/>
      <c r="E1233" s="4"/>
      <c r="F1233" s="4"/>
      <c r="G1233" s="4"/>
      <c r="H1233" s="8"/>
      <c r="I1233" s="8"/>
      <c r="J1233" s="4"/>
      <c r="K1233" s="4"/>
    </row>
    <row r="1234">
      <c r="A1234" s="4"/>
      <c r="B1234" s="9"/>
      <c r="C1234" s="4"/>
      <c r="E1234" s="4"/>
      <c r="F1234" s="4"/>
      <c r="G1234" s="4"/>
      <c r="H1234" s="8"/>
      <c r="I1234" s="8"/>
      <c r="J1234" s="4"/>
      <c r="K1234" s="4"/>
    </row>
    <row r="1235">
      <c r="A1235" s="4"/>
      <c r="B1235" s="9"/>
      <c r="C1235" s="4"/>
      <c r="E1235" s="4"/>
      <c r="F1235" s="4"/>
      <c r="G1235" s="4"/>
      <c r="H1235" s="8"/>
      <c r="I1235" s="8"/>
      <c r="J1235" s="4"/>
      <c r="K1235" s="4"/>
    </row>
    <row r="1236">
      <c r="A1236" s="4"/>
      <c r="B1236" s="9"/>
      <c r="C1236" s="4"/>
      <c r="E1236" s="4"/>
      <c r="F1236" s="4"/>
      <c r="G1236" s="4"/>
      <c r="H1236" s="4"/>
      <c r="I1236" s="8"/>
      <c r="J1236" s="4"/>
      <c r="K1236" s="4"/>
    </row>
    <row r="1237">
      <c r="A1237" s="4"/>
      <c r="B1237" s="9"/>
      <c r="C1237" s="4"/>
      <c r="E1237" s="4"/>
      <c r="F1237" s="4"/>
      <c r="G1237" s="4"/>
      <c r="H1237" s="4"/>
      <c r="I1237" s="8"/>
      <c r="J1237" s="4"/>
      <c r="K1237" s="4"/>
    </row>
    <row r="1238">
      <c r="A1238" s="4"/>
      <c r="B1238" s="9"/>
      <c r="C1238" s="4"/>
      <c r="E1238" s="4"/>
      <c r="F1238" s="4"/>
      <c r="G1238" s="4"/>
      <c r="H1238" s="4"/>
      <c r="I1238" s="8"/>
      <c r="J1238" s="4"/>
      <c r="K1238" s="4"/>
    </row>
    <row r="1239">
      <c r="A1239" s="4"/>
      <c r="B1239" s="9"/>
      <c r="C1239" s="4"/>
      <c r="E1239" s="4"/>
      <c r="F1239" s="4"/>
      <c r="G1239" s="4"/>
      <c r="H1239" s="4"/>
      <c r="I1239" s="8"/>
      <c r="J1239" s="4"/>
      <c r="K1239" s="4"/>
    </row>
    <row r="1240">
      <c r="A1240" s="4"/>
      <c r="B1240" s="9"/>
      <c r="C1240" s="4"/>
      <c r="E1240" s="4"/>
      <c r="F1240" s="4"/>
      <c r="G1240" s="4"/>
      <c r="H1240" s="4"/>
      <c r="I1240" s="8"/>
      <c r="J1240" s="4"/>
      <c r="K1240" s="4"/>
    </row>
    <row r="1241">
      <c r="A1241" s="4"/>
      <c r="B1241" s="9"/>
      <c r="C1241" s="4"/>
      <c r="E1241" s="4"/>
      <c r="F1241" s="4"/>
      <c r="G1241" s="4"/>
      <c r="H1241" s="4"/>
      <c r="I1241" s="8"/>
      <c r="J1241" s="4"/>
      <c r="K1241" s="4"/>
    </row>
    <row r="1242">
      <c r="A1242" s="4"/>
      <c r="B1242" s="9"/>
      <c r="C1242" s="4"/>
      <c r="E1242" s="4"/>
      <c r="F1242" s="4"/>
      <c r="G1242" s="4"/>
      <c r="H1242" s="4"/>
      <c r="I1242" s="8"/>
      <c r="J1242" s="4"/>
      <c r="K1242" s="4"/>
    </row>
    <row r="1243">
      <c r="A1243" s="4"/>
      <c r="B1243" s="9"/>
      <c r="C1243" s="4"/>
      <c r="E1243" s="4"/>
      <c r="F1243" s="4"/>
      <c r="G1243" s="4"/>
      <c r="H1243" s="4"/>
      <c r="I1243" s="8"/>
      <c r="J1243" s="4"/>
      <c r="K1243" s="4"/>
    </row>
    <row r="1244">
      <c r="A1244" s="4"/>
      <c r="B1244" s="9"/>
      <c r="C1244" s="4"/>
      <c r="E1244" s="4"/>
      <c r="F1244" s="4"/>
      <c r="G1244" s="4"/>
      <c r="H1244" s="4"/>
      <c r="I1244" s="8"/>
      <c r="J1244" s="4"/>
      <c r="K1244" s="4"/>
    </row>
    <row r="1245">
      <c r="A1245" s="4"/>
      <c r="B1245" s="9"/>
      <c r="C1245" s="4"/>
      <c r="E1245" s="4"/>
      <c r="F1245" s="4"/>
      <c r="G1245" s="4"/>
      <c r="H1245" s="4"/>
      <c r="I1245" s="8"/>
      <c r="J1245" s="4"/>
      <c r="K1245" s="4"/>
    </row>
    <row r="1246">
      <c r="A1246" s="4"/>
      <c r="B1246" s="9"/>
      <c r="C1246" s="4"/>
      <c r="E1246" s="4"/>
      <c r="F1246" s="4"/>
      <c r="G1246" s="4"/>
      <c r="H1246" s="4"/>
      <c r="I1246" s="8"/>
      <c r="J1246" s="4"/>
      <c r="K1246" s="4"/>
    </row>
    <row r="1247">
      <c r="A1247" s="4"/>
      <c r="B1247" s="9"/>
      <c r="C1247" s="4"/>
      <c r="E1247" s="4"/>
      <c r="F1247" s="4"/>
      <c r="G1247" s="4"/>
      <c r="H1247" s="4"/>
      <c r="I1247" s="8"/>
      <c r="J1247" s="4"/>
      <c r="K1247" s="4"/>
    </row>
    <row r="1248">
      <c r="A1248" s="4"/>
      <c r="B1248" s="9"/>
      <c r="C1248" s="4"/>
      <c r="D1248" s="4"/>
      <c r="E1248" s="4"/>
      <c r="F1248" s="4"/>
      <c r="G1248" s="4"/>
      <c r="H1248" s="4"/>
      <c r="I1248" s="8"/>
      <c r="J1248" s="4"/>
      <c r="K1248" s="4"/>
    </row>
    <row r="1249">
      <c r="A1249" s="4"/>
      <c r="B1249" s="9"/>
      <c r="C1249" s="4"/>
      <c r="D1249" s="4"/>
      <c r="E1249" s="4"/>
      <c r="F1249" s="4"/>
      <c r="G1249" s="4"/>
      <c r="H1249" s="4"/>
      <c r="I1249" s="8"/>
      <c r="J1249" s="4"/>
      <c r="K1249" s="4"/>
    </row>
    <row r="1250">
      <c r="A1250" s="4"/>
      <c r="B1250" s="9"/>
      <c r="C1250" s="4"/>
      <c r="D1250" s="4"/>
      <c r="E1250" s="4"/>
      <c r="F1250" s="4"/>
      <c r="G1250" s="4"/>
      <c r="H1250" s="4"/>
      <c r="I1250" s="8"/>
      <c r="J1250" s="4"/>
      <c r="K1250" s="4"/>
    </row>
    <row r="1251">
      <c r="A1251" s="4"/>
      <c r="B1251" s="9"/>
      <c r="C1251" s="4"/>
      <c r="D1251" s="4"/>
      <c r="E1251" s="4"/>
      <c r="F1251" s="4"/>
      <c r="G1251" s="4"/>
      <c r="H1251" s="4"/>
      <c r="I1251" s="8"/>
      <c r="J1251" s="4"/>
      <c r="K1251" s="4"/>
    </row>
    <row r="1252">
      <c r="A1252" s="4"/>
      <c r="B1252" s="9"/>
      <c r="C1252" s="4"/>
      <c r="D1252" s="4"/>
      <c r="E1252" s="4"/>
      <c r="F1252" s="4"/>
      <c r="G1252" s="4"/>
      <c r="H1252" s="4"/>
      <c r="I1252" s="8"/>
      <c r="J1252" s="4"/>
      <c r="K1252" s="4"/>
    </row>
    <row r="1253">
      <c r="A1253" s="4"/>
      <c r="B1253" s="9"/>
      <c r="C1253" s="4"/>
      <c r="E1253" s="4"/>
      <c r="F1253" s="4"/>
      <c r="G1253" s="4"/>
      <c r="H1253" s="4"/>
      <c r="I1253" s="8"/>
      <c r="J1253" s="4"/>
      <c r="K1253" s="4"/>
    </row>
    <row r="1254">
      <c r="A1254" s="4"/>
      <c r="B1254" s="9"/>
      <c r="C1254" s="4"/>
      <c r="E1254" s="4"/>
      <c r="F1254" s="4"/>
      <c r="G1254" s="4"/>
      <c r="H1254" s="4"/>
      <c r="I1254" s="8"/>
      <c r="J1254" s="4"/>
      <c r="K1254" s="4"/>
    </row>
    <row r="1255">
      <c r="A1255" s="4"/>
      <c r="B1255" s="9"/>
      <c r="C1255" s="4"/>
      <c r="E1255" s="4"/>
      <c r="F1255" s="4"/>
      <c r="G1255" s="4"/>
      <c r="H1255" s="4"/>
      <c r="I1255" s="8"/>
      <c r="J1255" s="4"/>
      <c r="K1255" s="4"/>
    </row>
    <row r="1256">
      <c r="A1256" s="4"/>
      <c r="B1256" s="9"/>
      <c r="C1256" s="4"/>
      <c r="E1256" s="4"/>
      <c r="F1256" s="4"/>
      <c r="G1256" s="4"/>
      <c r="H1256" s="4"/>
      <c r="I1256" s="8"/>
      <c r="J1256" s="4"/>
      <c r="K1256" s="4"/>
    </row>
    <row r="1257">
      <c r="A1257" s="4"/>
      <c r="B1257" s="9"/>
      <c r="C1257" s="4"/>
      <c r="E1257" s="4"/>
      <c r="F1257" s="4"/>
      <c r="G1257" s="4"/>
      <c r="H1257" s="4"/>
      <c r="I1257" s="8"/>
      <c r="J1257" s="4"/>
      <c r="K1257" s="4"/>
    </row>
    <row r="1258">
      <c r="A1258" s="4"/>
      <c r="B1258" s="9"/>
      <c r="C1258" s="4"/>
      <c r="E1258" s="4"/>
      <c r="F1258" s="4"/>
      <c r="G1258" s="4"/>
      <c r="H1258" s="4"/>
      <c r="I1258" s="8"/>
      <c r="J1258" s="4"/>
      <c r="K1258" s="4"/>
    </row>
    <row r="1259">
      <c r="A1259" s="4"/>
      <c r="B1259" s="9"/>
      <c r="C1259" s="4"/>
      <c r="E1259" s="4"/>
      <c r="F1259" s="4"/>
      <c r="G1259" s="4"/>
      <c r="H1259" s="4"/>
      <c r="I1259" s="8"/>
      <c r="J1259" s="4"/>
      <c r="K1259" s="4"/>
    </row>
    <row r="1260">
      <c r="A1260" s="4"/>
      <c r="B1260" s="9"/>
      <c r="C1260" s="4"/>
      <c r="E1260" s="4"/>
      <c r="F1260" s="4"/>
      <c r="G1260" s="4"/>
      <c r="H1260" s="4"/>
      <c r="I1260" s="8"/>
      <c r="J1260" s="4"/>
      <c r="K1260" s="4"/>
    </row>
    <row r="1261">
      <c r="A1261" s="4"/>
      <c r="B1261" s="9"/>
      <c r="C1261" s="4"/>
      <c r="E1261" s="4"/>
      <c r="F1261" s="4"/>
      <c r="G1261" s="4"/>
      <c r="H1261" s="4"/>
      <c r="I1261" s="8"/>
      <c r="J1261" s="4"/>
      <c r="K1261" s="4"/>
    </row>
    <row r="1262">
      <c r="A1262" s="4"/>
      <c r="B1262" s="9"/>
      <c r="C1262" s="4"/>
      <c r="D1262" s="4"/>
      <c r="E1262" s="4"/>
      <c r="F1262" s="4"/>
      <c r="G1262" s="4"/>
      <c r="H1262" s="4"/>
      <c r="J1262" s="4"/>
      <c r="K1262" s="4"/>
    </row>
    <row r="1263">
      <c r="A1263" s="4"/>
      <c r="B1263" s="9"/>
      <c r="C1263" s="4"/>
      <c r="D1263" s="4"/>
      <c r="E1263" s="4"/>
      <c r="F1263" s="4"/>
      <c r="G1263" s="4"/>
      <c r="H1263" s="4"/>
      <c r="J1263" s="4"/>
      <c r="K1263" s="4"/>
    </row>
    <row r="1264">
      <c r="A1264" s="4"/>
      <c r="B1264" s="9"/>
      <c r="C1264" s="4"/>
      <c r="D1264" s="4"/>
      <c r="E1264" s="4"/>
      <c r="F1264" s="4"/>
      <c r="G1264" s="4"/>
      <c r="H1264" s="4"/>
      <c r="I1264" s="8"/>
      <c r="J1264" s="4"/>
      <c r="K1264" s="4"/>
    </row>
    <row r="1265">
      <c r="A1265" s="4"/>
      <c r="B1265" s="9"/>
      <c r="C1265" s="4"/>
      <c r="E1265" s="4"/>
      <c r="F1265" s="4"/>
      <c r="G1265" s="4"/>
      <c r="H1265" s="4"/>
      <c r="I1265" s="8"/>
      <c r="J1265" s="4"/>
      <c r="K1265" s="4"/>
    </row>
    <row r="1266">
      <c r="A1266" s="4"/>
      <c r="B1266" s="9"/>
      <c r="C1266" s="4"/>
      <c r="E1266" s="4"/>
      <c r="F1266" s="4"/>
      <c r="G1266" s="4"/>
      <c r="H1266" s="4"/>
      <c r="I1266" s="8"/>
      <c r="J1266" s="4"/>
      <c r="K1266" s="4"/>
    </row>
    <row r="1267">
      <c r="A1267" s="4"/>
      <c r="B1267" s="9"/>
      <c r="C1267" s="4"/>
      <c r="E1267" s="4"/>
      <c r="F1267" s="4"/>
      <c r="G1267" s="4"/>
      <c r="H1267" s="4"/>
      <c r="I1267" s="8"/>
      <c r="J1267" s="4"/>
      <c r="K1267" s="4"/>
    </row>
    <row r="1268">
      <c r="A1268" s="4"/>
      <c r="B1268" s="9"/>
      <c r="C1268" s="4"/>
      <c r="D1268" s="4"/>
      <c r="E1268" s="4"/>
      <c r="F1268" s="4"/>
      <c r="G1268" s="4"/>
      <c r="H1268" s="8"/>
      <c r="I1268" s="8"/>
      <c r="J1268" s="4"/>
      <c r="K1268" s="4"/>
    </row>
    <row r="1269">
      <c r="A1269" s="4"/>
      <c r="B1269" s="4"/>
      <c r="C1269" s="4"/>
      <c r="E1269" s="4"/>
      <c r="F1269" s="4"/>
      <c r="G1269" s="4"/>
      <c r="H1269" s="4"/>
      <c r="I1269" s="8"/>
      <c r="J1269" s="4"/>
      <c r="K1269" s="4"/>
    </row>
    <row r="1270">
      <c r="A1270" s="4"/>
      <c r="B1270" s="4"/>
      <c r="C1270" s="4"/>
      <c r="E1270" s="4"/>
      <c r="F1270" s="4"/>
      <c r="G1270" s="4"/>
      <c r="H1270" s="4"/>
      <c r="I1270" s="8"/>
      <c r="J1270" s="4"/>
      <c r="K1270" s="4"/>
    </row>
    <row r="1271">
      <c r="A1271" s="4"/>
      <c r="B1271" s="9"/>
      <c r="C1271" s="4"/>
      <c r="E1271" s="4"/>
      <c r="F1271" s="4"/>
      <c r="G1271" s="4"/>
      <c r="H1271" s="4"/>
      <c r="I1271" s="8"/>
      <c r="J1271" s="4"/>
      <c r="K1271" s="4"/>
    </row>
    <row r="1272">
      <c r="A1272" s="4"/>
      <c r="B1272" s="9"/>
      <c r="C1272" s="4"/>
      <c r="E1272" s="4"/>
      <c r="F1272" s="4"/>
      <c r="G1272" s="4"/>
      <c r="H1272" s="4"/>
      <c r="I1272" s="8"/>
      <c r="J1272" s="4"/>
      <c r="K1272" s="4"/>
    </row>
    <row r="1273">
      <c r="A1273" s="4"/>
      <c r="B1273" s="9"/>
      <c r="C1273" s="4"/>
      <c r="E1273" s="4"/>
      <c r="F1273" s="4"/>
      <c r="G1273" s="4"/>
      <c r="H1273" s="4"/>
      <c r="I1273" s="8"/>
      <c r="J1273" s="4"/>
      <c r="K1273" s="4"/>
    </row>
    <row r="1274">
      <c r="A1274" s="4"/>
      <c r="B1274" s="9"/>
      <c r="C1274" s="4"/>
      <c r="E1274" s="4"/>
      <c r="F1274" s="4"/>
      <c r="G1274" s="4"/>
      <c r="H1274" s="4"/>
      <c r="I1274" s="8"/>
      <c r="J1274" s="4"/>
      <c r="K1274" s="4"/>
    </row>
    <row r="1275">
      <c r="A1275" s="4"/>
      <c r="B1275" s="4"/>
      <c r="C1275" s="4"/>
      <c r="E1275" s="4"/>
      <c r="F1275" s="4"/>
      <c r="G1275" s="4"/>
      <c r="H1275" s="4"/>
      <c r="I1275" s="8"/>
      <c r="J1275" s="4"/>
      <c r="K1275" s="4"/>
    </row>
    <row r="1276">
      <c r="A1276" s="4"/>
      <c r="B1276" s="4"/>
      <c r="C1276" s="4"/>
      <c r="E1276" s="4"/>
      <c r="F1276" s="4"/>
      <c r="G1276" s="4"/>
      <c r="H1276" s="4"/>
      <c r="I1276" s="8"/>
      <c r="J1276" s="4"/>
      <c r="K1276" s="4"/>
    </row>
    <row r="1277">
      <c r="A1277" s="4"/>
      <c r="B1277" s="4"/>
      <c r="C1277" s="4"/>
      <c r="E1277" s="4"/>
      <c r="F1277" s="4"/>
      <c r="G1277" s="4"/>
      <c r="H1277" s="4"/>
      <c r="I1277" s="8"/>
      <c r="J1277" s="4"/>
      <c r="K1277" s="4"/>
    </row>
    <row r="1278">
      <c r="A1278" s="4"/>
      <c r="B1278" s="9"/>
      <c r="C1278" s="4"/>
      <c r="E1278" s="4"/>
      <c r="F1278" s="4"/>
      <c r="G1278" s="4"/>
      <c r="H1278" s="4"/>
      <c r="I1278" s="8"/>
      <c r="J1278" s="4"/>
      <c r="K1278" s="4"/>
    </row>
    <row r="1279">
      <c r="A1279" s="4"/>
      <c r="B1279" s="9"/>
      <c r="C1279" s="4"/>
      <c r="E1279" s="4"/>
      <c r="F1279" s="4"/>
      <c r="G1279" s="4"/>
      <c r="H1279" s="4"/>
      <c r="I1279" s="8"/>
      <c r="J1279" s="4"/>
      <c r="K1279" s="4"/>
    </row>
    <row r="1280">
      <c r="A1280" s="4"/>
      <c r="B1280" s="9"/>
      <c r="C1280" s="4"/>
      <c r="E1280" s="4"/>
      <c r="F1280" s="4"/>
      <c r="G1280" s="4"/>
      <c r="H1280" s="4"/>
      <c r="I1280" s="8"/>
      <c r="J1280" s="4"/>
      <c r="K1280" s="4"/>
    </row>
    <row r="1281">
      <c r="A1281" s="4"/>
      <c r="B1281" s="9"/>
      <c r="C1281" s="4"/>
      <c r="E1281" s="4"/>
      <c r="F1281" s="4"/>
      <c r="G1281" s="4"/>
      <c r="H1281" s="4"/>
      <c r="I1281" s="8"/>
      <c r="J1281" s="4"/>
      <c r="K1281" s="4"/>
    </row>
    <row r="1282">
      <c r="A1282" s="4"/>
      <c r="B1282" s="4"/>
      <c r="C1282" s="4"/>
      <c r="E1282" s="4"/>
      <c r="F1282" s="4"/>
      <c r="G1282" s="4"/>
      <c r="H1282" s="4"/>
      <c r="I1282" s="8"/>
      <c r="J1282" s="4"/>
      <c r="K1282" s="4"/>
    </row>
    <row r="1283">
      <c r="A1283" s="4"/>
      <c r="B1283" s="9"/>
      <c r="C1283" s="4"/>
      <c r="E1283" s="4"/>
      <c r="F1283" s="4"/>
      <c r="G1283" s="4"/>
      <c r="H1283" s="4"/>
      <c r="I1283" s="8"/>
      <c r="J1283" s="4"/>
      <c r="K1283" s="4"/>
    </row>
    <row r="1284">
      <c r="A1284" s="4"/>
      <c r="B1284" s="9"/>
      <c r="C1284" s="4"/>
      <c r="E1284" s="4"/>
      <c r="F1284" s="4"/>
      <c r="G1284" s="4"/>
      <c r="H1284" s="4"/>
      <c r="I1284" s="8"/>
      <c r="J1284" s="4"/>
      <c r="K1284" s="4"/>
    </row>
    <row r="1285">
      <c r="A1285" s="4"/>
      <c r="B1285" s="9"/>
      <c r="C1285" s="4"/>
      <c r="E1285" s="4"/>
      <c r="F1285" s="4"/>
      <c r="G1285" s="4"/>
      <c r="H1285" s="4"/>
      <c r="I1285" s="8"/>
      <c r="J1285" s="4"/>
      <c r="K1285" s="4"/>
    </row>
    <row r="1286">
      <c r="A1286" s="4"/>
      <c r="B1286" s="9"/>
      <c r="C1286" s="4"/>
      <c r="D1286" s="4"/>
      <c r="E1286" s="4"/>
      <c r="F1286" s="4"/>
      <c r="G1286" s="4"/>
      <c r="H1286" s="4"/>
      <c r="I1286" s="8"/>
      <c r="J1286" s="4"/>
      <c r="K1286" s="4"/>
    </row>
    <row r="1287">
      <c r="A1287" s="4"/>
      <c r="B1287" s="4"/>
      <c r="C1287" s="4"/>
      <c r="E1287" s="4"/>
      <c r="F1287" s="4"/>
      <c r="G1287" s="4"/>
      <c r="H1287" s="4"/>
      <c r="I1287" s="8"/>
      <c r="J1287" s="4"/>
      <c r="K1287" s="4"/>
    </row>
    <row r="1288">
      <c r="A1288" s="4"/>
      <c r="B1288" s="4"/>
      <c r="C1288" s="4"/>
      <c r="E1288" s="4"/>
      <c r="F1288" s="4"/>
      <c r="G1288" s="4"/>
      <c r="H1288" s="4"/>
      <c r="I1288" s="8"/>
      <c r="J1288" s="4"/>
      <c r="K1288" s="4"/>
    </row>
    <row r="1289">
      <c r="A1289" s="4"/>
      <c r="B1289" s="4"/>
      <c r="C1289" s="4"/>
      <c r="E1289" s="4"/>
      <c r="F1289" s="4"/>
      <c r="G1289" s="4"/>
      <c r="H1289" s="4"/>
      <c r="I1289" s="8"/>
      <c r="J1289" s="4"/>
      <c r="K1289" s="4"/>
    </row>
    <row r="1290">
      <c r="A1290" s="4"/>
      <c r="B1290" s="9"/>
      <c r="C1290" s="4"/>
      <c r="E1290" s="4"/>
      <c r="F1290" s="4"/>
      <c r="G1290" s="4"/>
      <c r="H1290" s="4"/>
      <c r="J1290" s="4"/>
      <c r="K1290" s="4"/>
    </row>
    <row r="1291">
      <c r="A1291" s="4"/>
      <c r="B1291" s="9"/>
      <c r="C1291" s="4"/>
      <c r="E1291" s="4"/>
      <c r="F1291" s="4"/>
      <c r="G1291" s="4"/>
      <c r="H1291" s="4"/>
      <c r="I1291" s="8"/>
      <c r="J1291" s="4"/>
      <c r="K1291" s="4"/>
    </row>
    <row r="1292">
      <c r="A1292" s="4"/>
      <c r="B1292" s="9"/>
      <c r="C1292" s="4"/>
      <c r="E1292" s="4"/>
      <c r="F1292" s="4"/>
      <c r="G1292" s="4"/>
      <c r="H1292" s="4"/>
      <c r="I1292" s="8"/>
      <c r="J1292" s="4"/>
      <c r="K1292" s="4"/>
    </row>
    <row r="1293">
      <c r="A1293" s="4"/>
      <c r="B1293" s="9"/>
      <c r="C1293" s="4"/>
      <c r="D1293" s="4"/>
      <c r="E1293" s="4"/>
      <c r="F1293" s="4"/>
      <c r="G1293" s="4"/>
      <c r="H1293" s="4"/>
      <c r="I1293" s="8"/>
      <c r="J1293" s="4"/>
      <c r="K1293" s="4"/>
    </row>
    <row r="1294">
      <c r="A1294" s="4"/>
      <c r="B1294" s="4"/>
      <c r="C1294" s="4"/>
      <c r="D1294" s="4"/>
      <c r="E1294" s="4"/>
      <c r="F1294" s="4"/>
      <c r="G1294" s="4"/>
      <c r="H1294" s="4"/>
      <c r="I1294" s="8"/>
      <c r="J1294" s="4"/>
      <c r="K1294" s="4"/>
    </row>
    <row r="1295">
      <c r="A1295" s="4"/>
      <c r="B1295" s="9"/>
      <c r="C1295" s="4"/>
      <c r="D1295" s="4"/>
      <c r="E1295" s="4"/>
      <c r="F1295" s="4"/>
      <c r="G1295" s="4"/>
      <c r="H1295" s="4"/>
      <c r="I1295" s="8"/>
      <c r="J1295" s="4"/>
      <c r="K1295" s="4"/>
    </row>
    <row r="1296">
      <c r="A1296" s="4"/>
      <c r="B1296" s="9"/>
      <c r="C1296" s="4"/>
      <c r="D1296" s="4"/>
      <c r="E1296" s="4"/>
      <c r="F1296" s="4"/>
      <c r="G1296" s="4"/>
      <c r="H1296" s="4"/>
      <c r="I1296" s="8"/>
      <c r="J1296" s="4"/>
      <c r="K1296" s="4"/>
    </row>
    <row r="1297">
      <c r="A1297" s="4"/>
      <c r="B1297" s="9"/>
      <c r="C1297" s="4"/>
      <c r="D1297" s="4"/>
      <c r="E1297" s="4"/>
      <c r="F1297" s="4"/>
      <c r="G1297" s="4"/>
      <c r="H1297" s="4"/>
      <c r="I1297" s="8"/>
      <c r="J1297" s="4"/>
      <c r="K1297" s="4"/>
    </row>
    <row r="1298">
      <c r="A1298" s="4"/>
      <c r="B1298" s="9"/>
      <c r="C1298" s="4"/>
      <c r="E1298" s="4"/>
      <c r="F1298" s="4"/>
      <c r="G1298" s="4"/>
      <c r="H1298" s="4"/>
      <c r="I1298" s="8"/>
      <c r="J1298" s="4"/>
      <c r="K1298" s="4"/>
    </row>
    <row r="1299">
      <c r="A1299" s="4"/>
      <c r="B1299" s="9"/>
      <c r="C1299" s="4"/>
      <c r="E1299" s="4"/>
      <c r="F1299" s="4"/>
      <c r="G1299" s="4"/>
      <c r="H1299" s="4"/>
      <c r="I1299" s="8"/>
      <c r="J1299" s="4"/>
      <c r="K1299" s="4"/>
    </row>
    <row r="1300">
      <c r="A1300" s="4"/>
      <c r="B1300" s="9"/>
      <c r="C1300" s="4"/>
      <c r="E1300" s="4"/>
      <c r="F1300" s="4"/>
      <c r="G1300" s="4"/>
      <c r="H1300" s="4"/>
      <c r="I1300" s="8"/>
      <c r="J1300" s="4"/>
      <c r="K1300" s="4"/>
    </row>
    <row r="1301">
      <c r="A1301" s="4"/>
      <c r="B1301" s="9"/>
      <c r="C1301" s="4"/>
      <c r="E1301" s="4"/>
      <c r="F1301" s="4"/>
      <c r="G1301" s="4"/>
      <c r="H1301" s="4"/>
      <c r="J1301" s="4"/>
      <c r="K1301" s="4"/>
    </row>
    <row r="1302">
      <c r="A1302" s="4"/>
      <c r="B1302" s="9"/>
      <c r="C1302" s="4"/>
      <c r="E1302" s="4"/>
      <c r="F1302" s="4"/>
      <c r="G1302" s="4"/>
      <c r="H1302" s="4"/>
      <c r="I1302" s="8"/>
      <c r="J1302" s="4"/>
      <c r="K1302" s="4"/>
    </row>
    <row r="1303">
      <c r="A1303" s="4"/>
      <c r="B1303" s="4"/>
      <c r="C1303" s="4"/>
      <c r="E1303" s="4"/>
      <c r="F1303" s="4"/>
      <c r="G1303" s="4"/>
      <c r="H1303" s="4"/>
      <c r="I1303" s="8"/>
      <c r="J1303" s="4"/>
      <c r="K1303" s="4"/>
    </row>
    <row r="1304">
      <c r="A1304" s="4"/>
      <c r="B1304" s="9"/>
      <c r="C1304" s="4"/>
      <c r="E1304" s="4"/>
      <c r="F1304" s="4"/>
      <c r="G1304" s="4"/>
      <c r="H1304" s="4"/>
      <c r="I1304" s="8"/>
      <c r="J1304" s="4"/>
      <c r="K1304" s="4"/>
    </row>
    <row r="1305">
      <c r="A1305" s="4"/>
      <c r="B1305" s="4"/>
      <c r="C1305" s="4"/>
      <c r="E1305" s="4"/>
      <c r="F1305" s="4"/>
      <c r="G1305" s="4"/>
      <c r="H1305" s="4"/>
      <c r="J1305" s="4"/>
      <c r="K1305" s="4"/>
    </row>
    <row r="1306">
      <c r="A1306" s="4"/>
      <c r="B1306" s="4"/>
      <c r="C1306" s="4"/>
      <c r="E1306" s="4"/>
      <c r="F1306" s="4"/>
      <c r="G1306" s="4"/>
      <c r="H1306" s="4"/>
      <c r="J1306" s="4"/>
      <c r="K1306" s="4"/>
    </row>
    <row r="1307">
      <c r="A1307" s="4"/>
      <c r="B1307" s="4"/>
      <c r="C1307" s="4"/>
      <c r="E1307" s="4"/>
      <c r="F1307" s="4"/>
      <c r="G1307" s="4"/>
      <c r="H1307" s="4"/>
      <c r="J1307" s="4"/>
      <c r="K1307" s="4"/>
    </row>
    <row r="1308">
      <c r="A1308" s="4"/>
      <c r="B1308" s="4"/>
      <c r="C1308" s="4"/>
      <c r="E1308" s="4"/>
      <c r="F1308" s="4"/>
      <c r="G1308" s="4"/>
      <c r="H1308" s="4"/>
      <c r="I1308" s="8"/>
      <c r="J1308" s="4"/>
      <c r="K1308" s="4"/>
    </row>
    <row r="1309">
      <c r="A1309" s="4"/>
      <c r="B1309" s="4"/>
      <c r="C1309" s="4"/>
      <c r="E1309" s="4"/>
      <c r="F1309" s="4"/>
      <c r="G1309" s="4"/>
      <c r="H1309" s="4"/>
      <c r="J1309" s="4"/>
      <c r="K1309" s="4"/>
    </row>
    <row r="1310">
      <c r="A1310" s="4"/>
      <c r="B1310" s="4"/>
      <c r="C1310" s="4"/>
      <c r="E1310" s="4"/>
      <c r="F1310" s="4"/>
      <c r="G1310" s="4"/>
      <c r="H1310" s="4"/>
      <c r="J1310" s="4"/>
      <c r="K1310" s="4"/>
    </row>
    <row r="1311">
      <c r="A1311" s="4"/>
      <c r="B1311" s="4"/>
      <c r="C1311" s="4"/>
      <c r="E1311" s="4"/>
      <c r="F1311" s="4"/>
      <c r="G1311" s="4"/>
      <c r="H1311" s="4"/>
      <c r="J1311" s="4"/>
      <c r="K1311" s="4"/>
    </row>
    <row r="1312">
      <c r="A1312" s="4"/>
      <c r="B1312" s="4"/>
      <c r="C1312" s="4"/>
      <c r="E1312" s="4"/>
      <c r="F1312" s="4"/>
      <c r="G1312" s="4"/>
      <c r="H1312" s="4"/>
      <c r="J1312" s="4"/>
      <c r="K1312" s="4"/>
    </row>
    <row r="1313">
      <c r="A1313" s="4"/>
      <c r="B1313" s="4"/>
      <c r="C1313" s="4"/>
      <c r="E1313" s="4"/>
      <c r="F1313" s="4"/>
      <c r="G1313" s="4"/>
      <c r="H1313" s="4"/>
      <c r="J1313" s="4"/>
      <c r="K1313" s="4"/>
    </row>
    <row r="1314">
      <c r="A1314" s="4"/>
      <c r="B1314" s="4"/>
      <c r="C1314" s="4"/>
      <c r="E1314" s="4"/>
      <c r="F1314" s="4"/>
      <c r="G1314" s="4"/>
      <c r="H1314" s="4"/>
      <c r="J1314" s="4"/>
      <c r="K1314" s="4"/>
    </row>
    <row r="1315">
      <c r="A1315" s="4"/>
      <c r="B1315" s="4"/>
      <c r="C1315" s="4"/>
      <c r="E1315" s="4"/>
      <c r="F1315" s="4"/>
      <c r="G1315" s="4"/>
      <c r="H1315" s="4"/>
      <c r="I1315" s="8"/>
      <c r="J1315" s="4"/>
      <c r="K1315" s="4"/>
    </row>
    <row r="1316">
      <c r="A1316" s="4"/>
      <c r="B1316" s="4"/>
      <c r="C1316" s="4"/>
      <c r="E1316" s="4"/>
      <c r="F1316" s="4"/>
      <c r="G1316" s="4"/>
      <c r="H1316" s="4"/>
      <c r="I1316" s="8"/>
      <c r="J1316" s="4"/>
      <c r="K1316" s="4"/>
    </row>
    <row r="1317">
      <c r="A1317" s="4"/>
      <c r="B1317" s="4"/>
      <c r="C1317" s="4"/>
      <c r="D1317" s="4"/>
      <c r="E1317" s="4"/>
      <c r="F1317" s="4"/>
      <c r="G1317" s="4"/>
      <c r="H1317" s="4"/>
      <c r="I1317" s="8"/>
      <c r="J1317" s="4"/>
      <c r="K1317" s="4"/>
    </row>
    <row r="1318">
      <c r="A1318" s="4"/>
      <c r="B1318" s="4"/>
      <c r="C1318" s="4"/>
      <c r="D1318" s="4"/>
      <c r="E1318" s="4"/>
      <c r="F1318" s="4"/>
      <c r="G1318" s="4"/>
      <c r="H1318" s="4"/>
      <c r="I1318" s="8"/>
      <c r="J1318" s="4"/>
      <c r="K1318" s="4"/>
    </row>
    <row r="1319">
      <c r="A1319" s="4"/>
      <c r="B1319" s="4"/>
      <c r="C1319" s="4"/>
      <c r="D1319" s="4"/>
      <c r="E1319" s="4"/>
      <c r="F1319" s="4"/>
      <c r="G1319" s="4"/>
      <c r="H1319" s="4"/>
      <c r="I1319" s="8"/>
      <c r="J1319" s="4"/>
      <c r="K1319" s="4"/>
    </row>
    <row r="1320">
      <c r="A1320" s="4"/>
      <c r="B1320" s="4"/>
      <c r="C1320" s="4"/>
      <c r="E1320" s="4"/>
      <c r="F1320" s="4"/>
      <c r="G1320" s="4"/>
      <c r="H1320" s="4"/>
      <c r="I1320" s="8"/>
      <c r="J1320" s="4"/>
      <c r="K1320" s="4"/>
    </row>
    <row r="1321">
      <c r="A1321" s="4"/>
      <c r="B1321" s="9"/>
      <c r="C1321" s="4"/>
      <c r="E1321" s="4"/>
      <c r="F1321" s="4"/>
      <c r="G1321" s="4"/>
      <c r="H1321" s="4"/>
      <c r="I1321" s="8"/>
      <c r="J1321" s="4"/>
      <c r="K1321" s="4"/>
    </row>
    <row r="1322">
      <c r="A1322" s="4"/>
      <c r="B1322" s="4"/>
      <c r="C1322" s="4"/>
      <c r="E1322" s="4"/>
      <c r="F1322" s="4"/>
      <c r="G1322" s="4"/>
      <c r="H1322" s="4"/>
      <c r="I1322" s="8"/>
      <c r="J1322" s="4"/>
      <c r="K1322" s="4"/>
    </row>
    <row r="1323">
      <c r="A1323" s="4"/>
      <c r="B1323" s="9"/>
      <c r="C1323" s="4"/>
      <c r="E1323" s="4"/>
      <c r="F1323" s="4"/>
      <c r="G1323" s="4"/>
      <c r="H1323" s="4"/>
      <c r="I1323" s="8"/>
      <c r="J1323" s="4"/>
      <c r="K1323" s="4"/>
    </row>
    <row r="1324">
      <c r="A1324" s="4"/>
      <c r="B1324" s="4"/>
      <c r="C1324" s="4"/>
      <c r="E1324" s="4"/>
      <c r="F1324" s="4"/>
      <c r="G1324" s="4"/>
      <c r="H1324" s="4"/>
      <c r="I1324" s="8"/>
      <c r="J1324" s="4"/>
      <c r="K1324" s="4"/>
    </row>
    <row r="1325">
      <c r="A1325" s="4"/>
      <c r="B1325" s="9"/>
      <c r="C1325" s="4"/>
      <c r="E1325" s="4"/>
      <c r="F1325" s="4"/>
      <c r="G1325" s="4"/>
      <c r="H1325" s="4"/>
      <c r="J1325" s="4"/>
      <c r="K1325" s="4"/>
    </row>
    <row r="1326">
      <c r="A1326" s="4"/>
      <c r="B1326" s="9"/>
      <c r="C1326" s="4"/>
      <c r="E1326" s="4"/>
      <c r="F1326" s="4"/>
      <c r="G1326" s="4"/>
      <c r="H1326" s="4"/>
      <c r="J1326" s="4"/>
      <c r="K1326" s="4"/>
    </row>
    <row r="1327">
      <c r="A1327" s="4"/>
      <c r="B1327" s="9"/>
      <c r="C1327" s="4"/>
      <c r="E1327" s="4"/>
      <c r="F1327" s="4"/>
      <c r="G1327" s="4"/>
      <c r="H1327" s="4"/>
      <c r="J1327" s="4"/>
      <c r="K1327" s="4"/>
    </row>
    <row r="1328">
      <c r="A1328" s="4"/>
      <c r="B1328" s="9"/>
      <c r="C1328" s="4"/>
      <c r="E1328" s="4"/>
      <c r="F1328" s="4"/>
      <c r="G1328" s="4"/>
      <c r="H1328" s="4"/>
      <c r="J1328" s="4"/>
      <c r="K1328" s="4"/>
    </row>
    <row r="1329">
      <c r="A1329" s="4"/>
      <c r="B1329" s="9"/>
      <c r="C1329" s="4"/>
      <c r="E1329" s="4"/>
      <c r="F1329" s="4"/>
      <c r="G1329" s="4"/>
      <c r="H1329" s="4"/>
      <c r="J1329" s="4"/>
      <c r="K1329" s="4"/>
    </row>
    <row r="1330">
      <c r="A1330" s="4"/>
      <c r="B1330" s="9"/>
      <c r="C1330" s="4"/>
      <c r="E1330" s="4"/>
      <c r="F1330" s="4"/>
      <c r="G1330" s="4"/>
      <c r="H1330" s="4"/>
      <c r="J1330" s="4"/>
      <c r="K1330" s="4"/>
    </row>
    <row r="1331">
      <c r="A1331" s="4"/>
      <c r="B1331" s="9"/>
      <c r="C1331" s="4"/>
      <c r="E1331" s="4"/>
      <c r="F1331" s="4"/>
      <c r="G1331" s="4"/>
      <c r="H1331" s="4"/>
      <c r="J1331" s="4"/>
      <c r="K1331" s="4"/>
    </row>
    <row r="1332">
      <c r="A1332" s="4"/>
      <c r="B1332" s="9"/>
      <c r="C1332" s="4"/>
      <c r="E1332" s="4"/>
      <c r="F1332" s="4"/>
      <c r="G1332" s="4"/>
      <c r="H1332" s="4"/>
      <c r="J1332" s="4"/>
      <c r="K1332" s="4"/>
    </row>
    <row r="1333">
      <c r="A1333" s="4"/>
      <c r="B1333" s="9"/>
      <c r="C1333" s="4"/>
      <c r="E1333" s="4"/>
      <c r="F1333" s="4"/>
      <c r="G1333" s="4"/>
      <c r="H1333" s="4"/>
      <c r="I1333" s="8"/>
      <c r="J1333" s="4"/>
      <c r="K1333" s="4"/>
    </row>
    <row r="1334">
      <c r="A1334" s="4"/>
      <c r="B1334" s="9"/>
      <c r="C1334" s="4"/>
      <c r="E1334" s="4"/>
      <c r="F1334" s="4"/>
      <c r="G1334" s="4"/>
      <c r="H1334" s="4"/>
      <c r="I1334" s="8"/>
      <c r="J1334" s="4"/>
      <c r="K1334" s="4"/>
    </row>
    <row r="1335">
      <c r="A1335" s="4"/>
      <c r="B1335" s="9"/>
      <c r="C1335" s="4"/>
      <c r="E1335" s="4"/>
      <c r="F1335" s="4"/>
      <c r="G1335" s="4"/>
      <c r="H1335" s="4"/>
      <c r="I1335" s="8"/>
      <c r="J1335" s="4"/>
      <c r="K1335" s="4"/>
    </row>
    <row r="1336">
      <c r="A1336" s="4"/>
      <c r="B1336" s="9"/>
      <c r="C1336" s="4"/>
      <c r="E1336" s="4"/>
      <c r="F1336" s="4"/>
      <c r="G1336" s="4"/>
      <c r="H1336" s="4"/>
      <c r="I1336" s="8"/>
      <c r="J1336" s="4"/>
      <c r="K1336" s="4"/>
    </row>
    <row r="1337">
      <c r="A1337" s="4"/>
      <c r="B1337" s="9"/>
      <c r="C1337" s="4"/>
      <c r="E1337" s="4"/>
      <c r="F1337" s="4"/>
      <c r="G1337" s="4"/>
      <c r="H1337" s="4"/>
      <c r="I1337" s="8"/>
      <c r="J1337" s="4"/>
      <c r="K1337" s="4"/>
    </row>
    <row r="1338">
      <c r="A1338" s="4"/>
      <c r="B1338" s="9"/>
      <c r="C1338" s="4"/>
      <c r="E1338" s="4"/>
      <c r="F1338" s="4"/>
      <c r="G1338" s="4"/>
      <c r="H1338" s="4"/>
      <c r="I1338" s="8"/>
      <c r="J1338" s="4"/>
      <c r="K1338" s="4"/>
    </row>
    <row r="1339">
      <c r="A1339" s="4"/>
      <c r="B1339" s="9"/>
      <c r="C1339" s="4"/>
      <c r="E1339" s="4"/>
      <c r="F1339" s="4"/>
      <c r="G1339" s="4"/>
      <c r="H1339" s="4"/>
      <c r="I1339" s="8"/>
      <c r="J1339" s="4"/>
      <c r="K1339" s="4"/>
    </row>
    <row r="1340">
      <c r="A1340" s="4"/>
      <c r="B1340" s="9"/>
      <c r="C1340" s="4"/>
      <c r="D1340" s="4"/>
      <c r="E1340" s="4"/>
      <c r="F1340" s="4"/>
      <c r="G1340" s="4"/>
      <c r="H1340" s="4"/>
      <c r="I1340" s="8"/>
      <c r="J1340" s="4"/>
      <c r="K1340" s="4"/>
    </row>
    <row r="1341">
      <c r="A1341" s="4"/>
      <c r="B1341" s="9"/>
      <c r="C1341" s="4"/>
      <c r="E1341" s="4"/>
      <c r="F1341" s="4"/>
      <c r="G1341" s="4"/>
      <c r="H1341" s="4"/>
      <c r="I1341" s="8"/>
      <c r="J1341" s="4"/>
      <c r="K1341" s="4"/>
    </row>
    <row r="1342">
      <c r="A1342" s="4"/>
      <c r="B1342" s="9"/>
      <c r="C1342" s="4"/>
      <c r="E1342" s="4"/>
      <c r="F1342" s="4"/>
      <c r="G1342" s="4"/>
      <c r="H1342" s="4"/>
      <c r="I1342" s="8"/>
      <c r="J1342" s="4"/>
      <c r="K1342" s="4"/>
    </row>
    <row r="1343">
      <c r="A1343" s="4"/>
      <c r="B1343" s="9"/>
      <c r="C1343" s="4"/>
      <c r="E1343" s="4"/>
      <c r="F1343" s="4"/>
      <c r="G1343" s="4"/>
      <c r="H1343" s="4"/>
      <c r="I1343" s="8"/>
      <c r="J1343" s="4"/>
      <c r="K1343" s="4"/>
    </row>
    <row r="1344">
      <c r="A1344" s="4"/>
      <c r="B1344" s="9"/>
      <c r="C1344" s="4"/>
      <c r="F1344" s="4"/>
      <c r="G1344" s="4"/>
      <c r="H1344" s="4"/>
      <c r="I1344" s="8"/>
      <c r="J1344" s="4"/>
      <c r="K1344" s="4"/>
    </row>
    <row r="1345">
      <c r="A1345" s="4"/>
      <c r="B1345" s="9"/>
      <c r="C1345" s="4"/>
      <c r="E1345" s="4"/>
      <c r="F1345" s="4"/>
      <c r="G1345" s="4"/>
      <c r="H1345" s="4"/>
      <c r="I1345" s="8"/>
      <c r="J1345" s="4"/>
      <c r="K1345" s="4"/>
    </row>
    <row r="1346">
      <c r="A1346" s="4"/>
      <c r="B1346" s="9"/>
      <c r="C1346" s="4"/>
      <c r="E1346" s="4"/>
      <c r="F1346" s="4"/>
      <c r="G1346" s="4"/>
      <c r="H1346" s="4"/>
      <c r="I1346" s="8"/>
      <c r="J1346" s="4"/>
      <c r="K1346" s="4"/>
    </row>
    <row r="1347">
      <c r="A1347" s="4"/>
      <c r="B1347" s="9"/>
      <c r="C1347" s="4"/>
      <c r="F1347" s="4"/>
      <c r="G1347" s="4"/>
      <c r="H1347" s="4"/>
      <c r="I1347" s="8"/>
      <c r="J1347" s="4"/>
      <c r="K1347" s="4"/>
    </row>
    <row r="1348">
      <c r="A1348" s="4"/>
      <c r="B1348" s="9"/>
      <c r="C1348" s="4"/>
      <c r="E1348" s="4"/>
      <c r="F1348" s="4"/>
      <c r="G1348" s="4"/>
      <c r="H1348" s="4"/>
      <c r="I1348" s="8"/>
      <c r="J1348" s="4"/>
      <c r="K1348" s="4"/>
    </row>
    <row r="1349">
      <c r="A1349" s="4"/>
      <c r="B1349" s="4"/>
      <c r="C1349" s="4"/>
      <c r="E1349" s="4"/>
      <c r="F1349" s="4"/>
      <c r="G1349" s="4"/>
      <c r="H1349" s="4"/>
      <c r="I1349" s="8"/>
      <c r="J1349" s="4"/>
      <c r="K1349" s="4"/>
    </row>
    <row r="1350">
      <c r="A1350" s="4"/>
      <c r="B1350" s="4"/>
      <c r="C1350" s="4"/>
      <c r="E1350" s="4"/>
      <c r="F1350" s="4"/>
      <c r="G1350" s="4"/>
      <c r="H1350" s="4"/>
      <c r="I1350" s="8"/>
      <c r="J1350" s="4"/>
      <c r="K1350" s="4"/>
    </row>
    <row r="1351">
      <c r="A1351" s="4"/>
      <c r="B1351" s="4"/>
      <c r="C1351" s="4"/>
      <c r="E1351" s="4"/>
      <c r="F1351" s="4"/>
      <c r="G1351" s="4"/>
      <c r="H1351" s="4"/>
      <c r="I1351" s="8"/>
      <c r="J1351" s="4"/>
      <c r="K1351" s="4"/>
    </row>
    <row r="1352">
      <c r="A1352" s="4"/>
      <c r="B1352" s="4"/>
      <c r="C1352" s="4"/>
      <c r="E1352" s="4"/>
      <c r="F1352" s="4"/>
      <c r="G1352" s="4"/>
      <c r="H1352" s="4"/>
      <c r="J1352" s="4"/>
      <c r="K1352" s="4"/>
    </row>
    <row r="1353">
      <c r="A1353" s="4"/>
      <c r="B1353" s="4"/>
      <c r="C1353" s="4"/>
      <c r="E1353" s="4"/>
      <c r="F1353" s="4"/>
      <c r="G1353" s="4"/>
      <c r="H1353" s="4"/>
      <c r="I1353" s="8"/>
      <c r="J1353" s="4"/>
      <c r="K1353" s="4"/>
    </row>
    <row r="1354">
      <c r="A1354" s="4"/>
      <c r="B1354" s="4"/>
      <c r="C1354" s="4"/>
      <c r="E1354" s="4"/>
      <c r="F1354" s="4"/>
      <c r="G1354" s="4"/>
      <c r="H1354" s="4"/>
      <c r="I1354" s="8"/>
      <c r="J1354" s="4"/>
      <c r="K1354" s="4"/>
    </row>
    <row r="1355">
      <c r="A1355" s="4"/>
      <c r="B1355" s="9"/>
      <c r="C1355" s="4"/>
      <c r="E1355" s="4"/>
      <c r="F1355" s="4"/>
      <c r="G1355" s="4"/>
      <c r="H1355" s="4"/>
      <c r="I1355" s="8"/>
      <c r="J1355" s="4"/>
      <c r="K1355" s="4"/>
    </row>
    <row r="1356">
      <c r="A1356" s="4"/>
      <c r="B1356" s="9"/>
      <c r="C1356" s="4"/>
      <c r="E1356" s="4"/>
      <c r="F1356" s="4"/>
      <c r="G1356" s="4"/>
      <c r="H1356" s="4"/>
      <c r="I1356" s="8"/>
      <c r="J1356" s="4"/>
      <c r="K1356" s="4"/>
    </row>
    <row r="1357">
      <c r="A1357" s="4"/>
      <c r="B1357" s="4"/>
      <c r="C1357" s="4"/>
      <c r="E1357" s="4"/>
      <c r="F1357" s="4"/>
      <c r="G1357" s="4"/>
      <c r="H1357" s="4"/>
      <c r="I1357" s="8"/>
      <c r="J1357" s="4"/>
      <c r="K1357" s="4"/>
    </row>
    <row r="1358">
      <c r="A1358" s="4"/>
      <c r="B1358" s="4"/>
      <c r="C1358" s="4"/>
      <c r="D1358" s="4"/>
      <c r="E1358" s="4"/>
      <c r="F1358" s="4"/>
      <c r="G1358" s="4"/>
      <c r="H1358" s="4"/>
      <c r="J1358" s="4"/>
      <c r="K1358" s="4"/>
    </row>
    <row r="1359">
      <c r="A1359" s="4"/>
      <c r="B1359" s="4"/>
      <c r="C1359" s="4"/>
      <c r="D1359" s="4"/>
      <c r="E1359" s="4"/>
      <c r="F1359" s="4"/>
      <c r="G1359" s="4"/>
      <c r="H1359" s="4"/>
      <c r="J1359" s="4"/>
      <c r="K1359" s="4"/>
    </row>
    <row r="1360">
      <c r="A1360" s="4"/>
      <c r="B1360" s="4"/>
      <c r="C1360" s="4"/>
      <c r="D1360" s="4"/>
      <c r="E1360" s="4"/>
      <c r="F1360" s="4"/>
      <c r="G1360" s="4"/>
      <c r="H1360" s="4"/>
      <c r="I1360" s="8"/>
      <c r="J1360" s="4"/>
      <c r="K1360" s="4"/>
    </row>
    <row r="1361">
      <c r="A1361" s="4"/>
      <c r="B1361" s="9"/>
      <c r="C1361" s="4"/>
      <c r="D1361" s="4"/>
      <c r="E1361" s="4"/>
      <c r="F1361" s="4"/>
      <c r="G1361" s="4"/>
      <c r="H1361" s="4"/>
      <c r="I1361" s="8"/>
      <c r="J1361" s="4"/>
      <c r="K1361" s="4"/>
    </row>
    <row r="1362">
      <c r="A1362" s="4"/>
      <c r="B1362" s="9"/>
      <c r="C1362" s="4"/>
      <c r="D1362" s="4"/>
      <c r="E1362" s="4"/>
      <c r="F1362" s="4"/>
      <c r="G1362" s="4"/>
      <c r="H1362" s="4"/>
      <c r="I1362" s="8"/>
      <c r="J1362" s="4"/>
      <c r="K1362" s="4"/>
    </row>
    <row r="1363">
      <c r="A1363" s="4"/>
      <c r="B1363" s="9"/>
      <c r="C1363" s="4"/>
      <c r="D1363" s="4"/>
      <c r="E1363" s="4"/>
      <c r="F1363" s="4"/>
      <c r="G1363" s="4"/>
      <c r="H1363" s="4"/>
      <c r="I1363" s="8"/>
      <c r="J1363" s="4"/>
      <c r="K1363" s="4"/>
    </row>
    <row r="1364">
      <c r="A1364" s="4"/>
      <c r="B1364" s="9"/>
      <c r="C1364" s="4"/>
      <c r="D1364" s="4"/>
      <c r="E1364" s="4"/>
      <c r="F1364" s="4"/>
      <c r="G1364" s="4"/>
      <c r="H1364" s="4"/>
      <c r="I1364" s="8"/>
      <c r="J1364" s="4"/>
      <c r="K1364" s="4"/>
    </row>
    <row r="1365">
      <c r="A1365" s="4"/>
      <c r="B1365" s="9"/>
      <c r="C1365" s="4"/>
      <c r="D1365" s="4"/>
      <c r="E1365" s="4"/>
      <c r="F1365" s="4"/>
      <c r="G1365" s="4"/>
      <c r="H1365" s="4"/>
      <c r="I1365" s="8"/>
      <c r="J1365" s="4"/>
      <c r="K1365" s="4"/>
    </row>
    <row r="1366">
      <c r="A1366" s="4"/>
      <c r="B1366" s="9"/>
      <c r="C1366" s="4"/>
      <c r="E1366" s="4"/>
      <c r="F1366" s="4"/>
      <c r="G1366" s="4"/>
      <c r="H1366" s="4"/>
      <c r="I1366" s="8"/>
      <c r="J1366" s="4"/>
      <c r="K1366" s="4"/>
    </row>
    <row r="1367">
      <c r="A1367" s="4"/>
      <c r="B1367" s="9"/>
      <c r="C1367" s="4"/>
      <c r="E1367" s="4"/>
      <c r="F1367" s="4"/>
      <c r="G1367" s="4"/>
      <c r="H1367" s="4"/>
      <c r="I1367" s="8"/>
      <c r="J1367" s="4"/>
      <c r="K1367" s="4"/>
    </row>
    <row r="1368">
      <c r="A1368" s="4"/>
      <c r="B1368" s="4"/>
      <c r="C1368" s="4"/>
      <c r="D1368" s="4"/>
      <c r="E1368" s="4"/>
      <c r="F1368" s="4"/>
      <c r="G1368" s="4"/>
      <c r="H1368" s="4"/>
      <c r="I1368" s="8"/>
      <c r="J1368" s="4"/>
      <c r="K1368" s="4"/>
    </row>
    <row r="1369">
      <c r="A1369" s="4"/>
      <c r="B1369" s="4"/>
      <c r="C1369" s="4"/>
      <c r="D1369" s="4"/>
      <c r="E1369" s="4"/>
      <c r="F1369" s="4"/>
      <c r="G1369" s="4"/>
      <c r="H1369" s="4"/>
      <c r="I1369" s="8"/>
      <c r="J1369" s="4"/>
      <c r="K1369" s="4"/>
    </row>
    <row r="1370">
      <c r="A1370" s="4"/>
      <c r="B1370" s="4"/>
      <c r="C1370" s="4"/>
      <c r="D1370" s="4"/>
      <c r="E1370" s="4"/>
      <c r="F1370" s="4"/>
      <c r="G1370" s="4"/>
      <c r="H1370" s="4"/>
      <c r="I1370" s="8"/>
      <c r="J1370" s="4"/>
      <c r="K1370" s="4"/>
    </row>
    <row r="1371">
      <c r="A1371" s="4"/>
      <c r="B1371" s="4"/>
      <c r="C1371" s="4"/>
      <c r="D1371" s="4"/>
      <c r="E1371" s="4"/>
      <c r="F1371" s="4"/>
      <c r="G1371" s="4"/>
      <c r="H1371" s="4"/>
      <c r="I1371" s="8"/>
      <c r="J1371" s="4"/>
      <c r="K1371" s="4"/>
    </row>
    <row r="1372">
      <c r="A1372" s="4"/>
      <c r="B1372" s="4"/>
      <c r="C1372" s="4"/>
      <c r="D1372" s="4"/>
      <c r="E1372" s="4"/>
      <c r="F1372" s="4"/>
      <c r="G1372" s="4"/>
      <c r="H1372" s="4"/>
      <c r="I1372" s="8"/>
      <c r="J1372" s="4"/>
      <c r="K1372" s="4"/>
    </row>
    <row r="1373">
      <c r="A1373" s="4"/>
      <c r="B1373" s="4"/>
      <c r="C1373" s="4"/>
      <c r="D1373" s="4"/>
      <c r="E1373" s="4"/>
      <c r="F1373" s="4"/>
      <c r="G1373" s="4"/>
      <c r="H1373" s="4"/>
      <c r="J1373" s="4"/>
      <c r="K1373" s="4"/>
    </row>
    <row r="1374">
      <c r="A1374" s="4"/>
      <c r="B1374" s="4"/>
      <c r="C1374" s="4"/>
      <c r="E1374" s="4"/>
      <c r="F1374" s="4"/>
      <c r="G1374" s="4"/>
      <c r="H1374" s="4"/>
      <c r="I1374" s="8"/>
      <c r="J1374" s="4"/>
      <c r="K1374" s="4"/>
    </row>
    <row r="1375">
      <c r="A1375" s="4"/>
      <c r="B1375" s="4"/>
      <c r="C1375" s="4"/>
      <c r="E1375" s="4"/>
      <c r="F1375" s="4"/>
      <c r="G1375" s="4"/>
      <c r="H1375" s="4"/>
      <c r="I1375" s="8"/>
      <c r="J1375" s="4"/>
      <c r="K1375" s="4"/>
    </row>
    <row r="1376">
      <c r="A1376" s="4"/>
      <c r="B1376" s="4"/>
      <c r="C1376" s="4"/>
      <c r="E1376" s="4"/>
      <c r="F1376" s="4"/>
      <c r="G1376" s="4"/>
      <c r="H1376" s="4"/>
      <c r="I1376" s="8"/>
      <c r="J1376" s="4"/>
      <c r="K1376" s="4"/>
    </row>
    <row r="1377">
      <c r="A1377" s="4"/>
      <c r="B1377" s="9"/>
      <c r="C1377" s="4"/>
      <c r="E1377" s="4"/>
      <c r="F1377" s="4"/>
      <c r="G1377" s="4"/>
      <c r="H1377" s="4"/>
      <c r="I1377" s="8"/>
      <c r="J1377" s="4"/>
      <c r="K1377" s="4"/>
    </row>
    <row r="1378">
      <c r="A1378" s="4"/>
      <c r="B1378" s="9"/>
      <c r="C1378" s="4"/>
      <c r="E1378" s="4"/>
      <c r="F1378" s="4"/>
      <c r="G1378" s="4"/>
      <c r="H1378" s="4"/>
      <c r="I1378" s="8"/>
      <c r="J1378" s="4"/>
      <c r="K1378" s="4"/>
    </row>
    <row r="1379">
      <c r="A1379" s="4"/>
      <c r="B1379" s="4"/>
      <c r="C1379" s="4"/>
      <c r="D1379" s="4"/>
      <c r="E1379" s="4"/>
      <c r="F1379" s="4"/>
      <c r="G1379" s="4"/>
      <c r="H1379" s="4"/>
      <c r="J1379" s="4"/>
      <c r="K1379" s="4"/>
    </row>
    <row r="1380">
      <c r="A1380" s="4"/>
      <c r="B1380" s="4"/>
      <c r="C1380" s="4"/>
      <c r="D1380" s="4"/>
      <c r="E1380" s="4"/>
      <c r="F1380" s="4"/>
      <c r="G1380" s="4"/>
      <c r="H1380" s="4"/>
      <c r="J1380" s="4"/>
      <c r="K1380" s="4"/>
    </row>
    <row r="1381">
      <c r="A1381" s="4"/>
      <c r="B1381" s="4"/>
      <c r="C1381" s="4"/>
      <c r="D1381" s="4"/>
      <c r="E1381" s="4"/>
      <c r="F1381" s="4"/>
      <c r="G1381" s="4"/>
      <c r="H1381" s="4"/>
      <c r="I1381" s="8"/>
      <c r="J1381" s="4"/>
      <c r="K1381" s="4"/>
    </row>
    <row r="1382">
      <c r="A1382" s="4"/>
      <c r="B1382" s="4"/>
      <c r="C1382" s="4"/>
      <c r="D1382" s="4"/>
      <c r="E1382" s="4"/>
      <c r="F1382" s="4"/>
      <c r="G1382" s="4"/>
      <c r="H1382" s="4"/>
      <c r="I1382" s="8"/>
      <c r="J1382" s="4"/>
      <c r="K1382" s="4"/>
    </row>
    <row r="1383">
      <c r="A1383" s="4"/>
      <c r="B1383" s="4"/>
      <c r="C1383" s="4"/>
      <c r="D1383" s="4"/>
      <c r="E1383" s="4"/>
      <c r="F1383" s="4"/>
      <c r="G1383" s="4"/>
      <c r="H1383" s="4"/>
      <c r="I1383" s="8"/>
      <c r="J1383" s="4"/>
      <c r="K1383" s="4"/>
    </row>
    <row r="1384">
      <c r="A1384" s="4"/>
      <c r="B1384" s="9"/>
      <c r="C1384" s="4"/>
      <c r="D1384" s="4"/>
      <c r="E1384" s="4"/>
      <c r="F1384" s="4"/>
      <c r="G1384" s="4"/>
      <c r="H1384" s="4"/>
      <c r="I1384" s="8"/>
      <c r="J1384" s="4"/>
      <c r="K1384" s="4"/>
    </row>
    <row r="1385">
      <c r="A1385" s="4"/>
      <c r="B1385" s="9"/>
      <c r="C1385" s="4"/>
      <c r="D1385" s="4"/>
      <c r="E1385" s="4"/>
      <c r="F1385" s="4"/>
      <c r="G1385" s="4"/>
      <c r="H1385" s="4"/>
      <c r="J1385" s="4"/>
      <c r="K1385" s="4"/>
    </row>
    <row r="1386">
      <c r="A1386" s="4"/>
      <c r="B1386" s="4"/>
      <c r="C1386" s="4"/>
      <c r="E1386" s="4"/>
      <c r="F1386" s="4"/>
      <c r="G1386" s="4"/>
      <c r="H1386" s="4"/>
      <c r="I1386" s="8"/>
      <c r="J1386" s="4"/>
      <c r="K1386" s="4"/>
    </row>
    <row r="1387">
      <c r="A1387" s="4"/>
      <c r="B1387" s="4"/>
      <c r="C1387" s="4"/>
      <c r="E1387" s="4"/>
      <c r="F1387" s="4"/>
      <c r="G1387" s="4"/>
      <c r="H1387" s="4"/>
      <c r="I1387" s="8"/>
      <c r="J1387" s="4"/>
      <c r="K1387" s="4"/>
    </row>
    <row r="1388">
      <c r="A1388" s="4"/>
      <c r="B1388" s="4"/>
      <c r="C1388" s="4"/>
      <c r="E1388" s="4"/>
      <c r="F1388" s="4"/>
      <c r="G1388" s="4"/>
      <c r="H1388" s="4"/>
      <c r="I1388" s="8"/>
      <c r="J1388" s="4"/>
      <c r="K1388" s="4"/>
    </row>
    <row r="1389">
      <c r="A1389" s="4"/>
      <c r="B1389" s="4"/>
      <c r="C1389" s="4"/>
      <c r="E1389" s="4"/>
      <c r="F1389" s="4"/>
      <c r="G1389" s="4"/>
      <c r="H1389" s="4"/>
      <c r="I1389" s="8"/>
      <c r="J1389" s="4"/>
      <c r="K1389" s="4"/>
    </row>
    <row r="1390">
      <c r="A1390" s="4"/>
      <c r="B1390" s="4"/>
      <c r="C1390" s="4"/>
      <c r="E1390" s="4"/>
      <c r="F1390" s="4"/>
      <c r="G1390" s="4"/>
      <c r="H1390" s="4"/>
      <c r="I1390" s="8"/>
      <c r="J1390" s="4"/>
      <c r="K1390" s="4"/>
    </row>
    <row r="1391">
      <c r="A1391" s="4"/>
      <c r="B1391" s="4"/>
      <c r="C1391" s="4"/>
      <c r="E1391" s="4"/>
      <c r="F1391" s="4"/>
      <c r="G1391" s="4"/>
      <c r="H1391" s="4"/>
      <c r="I1391" s="8"/>
      <c r="J1391" s="4"/>
      <c r="K1391" s="4"/>
    </row>
    <row r="1392">
      <c r="A1392" s="4"/>
      <c r="B1392" s="4"/>
      <c r="C1392" s="4"/>
      <c r="E1392" s="4"/>
      <c r="F1392" s="4"/>
      <c r="G1392" s="4"/>
      <c r="H1392" s="4"/>
      <c r="I1392" s="8"/>
      <c r="J1392" s="4"/>
      <c r="K1392" s="4"/>
    </row>
    <row r="1393">
      <c r="A1393" s="4"/>
      <c r="B1393" s="4"/>
      <c r="C1393" s="4"/>
      <c r="E1393" s="4"/>
      <c r="F1393" s="4"/>
      <c r="G1393" s="4"/>
      <c r="H1393" s="4"/>
      <c r="J1393" s="4"/>
      <c r="K1393" s="4"/>
    </row>
    <row r="1394">
      <c r="A1394" s="4"/>
      <c r="B1394" s="9"/>
      <c r="C1394" s="4"/>
      <c r="D1394" s="4"/>
      <c r="E1394" s="4"/>
      <c r="F1394" s="4"/>
      <c r="G1394" s="4"/>
      <c r="H1394" s="4"/>
      <c r="I1394" s="8"/>
      <c r="J1394" s="4"/>
      <c r="K1394" s="4"/>
    </row>
    <row r="1395">
      <c r="A1395" s="4"/>
      <c r="B1395" s="4"/>
      <c r="C1395" s="4"/>
      <c r="E1395" s="4"/>
      <c r="F1395" s="4"/>
      <c r="G1395" s="4"/>
      <c r="H1395" s="4"/>
      <c r="I1395" s="8"/>
      <c r="J1395" s="4"/>
      <c r="K1395" s="4"/>
    </row>
    <row r="1396">
      <c r="A1396" s="4"/>
      <c r="B1396" s="4"/>
      <c r="C1396" s="4"/>
      <c r="E1396" s="4"/>
      <c r="F1396" s="4"/>
      <c r="G1396" s="4"/>
      <c r="H1396" s="4"/>
      <c r="I1396" s="8"/>
      <c r="J1396" s="4"/>
      <c r="K1396" s="4"/>
    </row>
    <row r="1397">
      <c r="A1397" s="4"/>
      <c r="B1397" s="9"/>
      <c r="C1397" s="4"/>
      <c r="E1397" s="4"/>
      <c r="F1397" s="4"/>
      <c r="G1397" s="4"/>
      <c r="H1397" s="4"/>
      <c r="I1397" s="8"/>
      <c r="J1397" s="4"/>
      <c r="K1397" s="4"/>
    </row>
    <row r="1398">
      <c r="A1398" s="4"/>
      <c r="B1398" s="4"/>
      <c r="C1398" s="4"/>
      <c r="E1398" s="4"/>
      <c r="F1398" s="4"/>
      <c r="G1398" s="4"/>
      <c r="H1398" s="4"/>
      <c r="I1398" s="8"/>
      <c r="J1398" s="4"/>
      <c r="K1398" s="4"/>
    </row>
    <row r="1399">
      <c r="A1399" s="4"/>
      <c r="B1399" s="4"/>
      <c r="C1399" s="4"/>
      <c r="E1399" s="4"/>
      <c r="F1399" s="4"/>
      <c r="G1399" s="4"/>
      <c r="H1399" s="4"/>
      <c r="I1399" s="8"/>
      <c r="J1399" s="4"/>
      <c r="K1399" s="4"/>
    </row>
    <row r="1400">
      <c r="A1400" s="4"/>
      <c r="B1400" s="9"/>
      <c r="C1400" s="4"/>
      <c r="E1400" s="4"/>
      <c r="F1400" s="4"/>
      <c r="G1400" s="4"/>
      <c r="H1400" s="4"/>
      <c r="I1400" s="8"/>
      <c r="J1400" s="4"/>
      <c r="K1400" s="4"/>
    </row>
    <row r="1401">
      <c r="A1401" s="4"/>
      <c r="B1401" s="9"/>
      <c r="C1401" s="4"/>
      <c r="E1401" s="4"/>
      <c r="F1401" s="4"/>
      <c r="G1401" s="4"/>
      <c r="H1401" s="4"/>
      <c r="I1401" s="8"/>
      <c r="J1401" s="4"/>
      <c r="K1401" s="4"/>
    </row>
    <row r="1402">
      <c r="A1402" s="4"/>
      <c r="B1402" s="9"/>
      <c r="C1402" s="4"/>
      <c r="E1402" s="4"/>
      <c r="F1402" s="4"/>
      <c r="G1402" s="4"/>
      <c r="H1402" s="4"/>
      <c r="I1402" s="8"/>
      <c r="J1402" s="4"/>
      <c r="K1402" s="4"/>
    </row>
    <row r="1403">
      <c r="A1403" s="4"/>
      <c r="B1403" s="9"/>
      <c r="C1403" s="4"/>
      <c r="E1403" s="4"/>
      <c r="F1403" s="4"/>
      <c r="G1403" s="4"/>
      <c r="H1403" s="4"/>
      <c r="I1403" s="8"/>
      <c r="J1403" s="4"/>
      <c r="K1403" s="4"/>
    </row>
    <row r="1404">
      <c r="A1404" s="4"/>
      <c r="B1404" s="9"/>
      <c r="C1404" s="4"/>
      <c r="E1404" s="4"/>
      <c r="F1404" s="4"/>
      <c r="G1404" s="4"/>
      <c r="H1404" s="4"/>
      <c r="I1404" s="8"/>
      <c r="J1404" s="4"/>
      <c r="K1404" s="4"/>
    </row>
    <row r="1405">
      <c r="A1405" s="4"/>
      <c r="B1405" s="9"/>
      <c r="C1405" s="4"/>
      <c r="E1405" s="4"/>
      <c r="F1405" s="4"/>
      <c r="G1405" s="4"/>
      <c r="H1405" s="4"/>
      <c r="I1405" s="8"/>
      <c r="J1405" s="4"/>
      <c r="K1405" s="4"/>
    </row>
    <row r="1406">
      <c r="A1406" s="4"/>
      <c r="B1406" s="4"/>
      <c r="C1406" s="4"/>
      <c r="E1406" s="4"/>
      <c r="F1406" s="4"/>
      <c r="G1406" s="4"/>
      <c r="H1406" s="4"/>
      <c r="I1406" s="8"/>
      <c r="J1406" s="4"/>
      <c r="K1406" s="4"/>
    </row>
    <row r="1407">
      <c r="A1407" s="4"/>
      <c r="B1407" s="4"/>
      <c r="C1407" s="4"/>
      <c r="E1407" s="4"/>
      <c r="F1407" s="4"/>
      <c r="G1407" s="4"/>
      <c r="H1407" s="4"/>
      <c r="I1407" s="8"/>
      <c r="J1407" s="4"/>
      <c r="K1407" s="4"/>
    </row>
    <row r="1408">
      <c r="A1408" s="4"/>
      <c r="B1408" s="4"/>
      <c r="C1408" s="4"/>
      <c r="D1408" s="4"/>
      <c r="E1408" s="4"/>
      <c r="F1408" s="4"/>
      <c r="G1408" s="4"/>
      <c r="H1408" s="4"/>
      <c r="I1408" s="8"/>
      <c r="J1408" s="4"/>
      <c r="K1408" s="4"/>
    </row>
    <row r="1409">
      <c r="A1409" s="4"/>
      <c r="B1409" s="4"/>
      <c r="C1409" s="4"/>
      <c r="D1409" s="4"/>
      <c r="E1409" s="4"/>
      <c r="F1409" s="4"/>
      <c r="G1409" s="4"/>
      <c r="H1409" s="4"/>
      <c r="I1409" s="8"/>
      <c r="J1409" s="4"/>
      <c r="K1409" s="4"/>
    </row>
    <row r="1410">
      <c r="A1410" s="4"/>
      <c r="B1410" s="4"/>
      <c r="C1410" s="4"/>
      <c r="D1410" s="4"/>
      <c r="E1410" s="4"/>
      <c r="F1410" s="4"/>
      <c r="G1410" s="4"/>
      <c r="H1410" s="4"/>
      <c r="I1410" s="8"/>
      <c r="J1410" s="4"/>
      <c r="K1410" s="4"/>
    </row>
    <row r="1411">
      <c r="A1411" s="4"/>
      <c r="B1411" s="4"/>
      <c r="C1411" s="4"/>
      <c r="D1411" s="4"/>
      <c r="E1411" s="4"/>
      <c r="F1411" s="4"/>
      <c r="G1411" s="4"/>
      <c r="H1411" s="4"/>
      <c r="I1411" s="8"/>
      <c r="J1411" s="4"/>
      <c r="K1411" s="4"/>
    </row>
    <row r="1412">
      <c r="A1412" s="4"/>
      <c r="B1412" s="9"/>
      <c r="C1412" s="4"/>
      <c r="D1412" s="4"/>
      <c r="E1412" s="4"/>
      <c r="F1412" s="4"/>
      <c r="G1412" s="4"/>
      <c r="H1412" s="4"/>
      <c r="I1412" s="8"/>
      <c r="J1412" s="4"/>
      <c r="K1412" s="4"/>
    </row>
    <row r="1413">
      <c r="A1413" s="4"/>
      <c r="B1413" s="9"/>
      <c r="C1413" s="4"/>
      <c r="D1413" s="4"/>
      <c r="E1413" s="4"/>
      <c r="F1413" s="4"/>
      <c r="G1413" s="4"/>
      <c r="H1413" s="4"/>
      <c r="I1413" s="8"/>
      <c r="J1413" s="4"/>
      <c r="K1413" s="4"/>
    </row>
    <row r="1414">
      <c r="A1414" s="4"/>
      <c r="B1414" s="9"/>
      <c r="C1414" s="4"/>
      <c r="E1414" s="4"/>
      <c r="F1414" s="4"/>
      <c r="G1414" s="4"/>
      <c r="H1414" s="4"/>
      <c r="I1414" s="8"/>
      <c r="J1414" s="4"/>
      <c r="K1414" s="4"/>
    </row>
    <row r="1415">
      <c r="A1415" s="4"/>
      <c r="B1415" s="9"/>
      <c r="C1415" s="4"/>
      <c r="E1415" s="4"/>
      <c r="F1415" s="4"/>
      <c r="G1415" s="4"/>
      <c r="H1415" s="4"/>
      <c r="J1415" s="4"/>
      <c r="K1415" s="4"/>
    </row>
    <row r="1416">
      <c r="A1416" s="4"/>
      <c r="B1416" s="9"/>
      <c r="C1416" s="4"/>
      <c r="E1416" s="4"/>
      <c r="F1416" s="4"/>
      <c r="G1416" s="4"/>
      <c r="H1416" s="4"/>
      <c r="I1416" s="8"/>
      <c r="J1416" s="4"/>
      <c r="K1416" s="4"/>
    </row>
    <row r="1417">
      <c r="A1417" s="4"/>
      <c r="B1417" s="9"/>
      <c r="C1417" s="4"/>
      <c r="E1417" s="4"/>
      <c r="F1417" s="4"/>
      <c r="G1417" s="4"/>
      <c r="H1417" s="4"/>
      <c r="I1417" s="8"/>
      <c r="J1417" s="4"/>
      <c r="K1417" s="4"/>
    </row>
    <row r="1418">
      <c r="A1418" s="4"/>
      <c r="B1418" s="9"/>
      <c r="C1418" s="4"/>
      <c r="E1418" s="4"/>
      <c r="F1418" s="4"/>
      <c r="G1418" s="4"/>
      <c r="H1418" s="4"/>
      <c r="I1418" s="8"/>
      <c r="J1418" s="4"/>
      <c r="K1418" s="4"/>
    </row>
    <row r="1419">
      <c r="A1419" s="4"/>
      <c r="B1419" s="9"/>
      <c r="C1419" s="4"/>
      <c r="E1419" s="4"/>
      <c r="F1419" s="4"/>
      <c r="G1419" s="4"/>
      <c r="H1419" s="4"/>
      <c r="I1419" s="8"/>
      <c r="J1419" s="4"/>
      <c r="K1419" s="4"/>
    </row>
    <row r="1420">
      <c r="A1420" s="4"/>
      <c r="B1420" s="9"/>
      <c r="C1420" s="4"/>
      <c r="E1420" s="4"/>
      <c r="F1420" s="4"/>
      <c r="G1420" s="4"/>
      <c r="H1420" s="4"/>
      <c r="I1420" s="8"/>
      <c r="J1420" s="4"/>
      <c r="K1420" s="4"/>
    </row>
    <row r="1421">
      <c r="A1421" s="4"/>
      <c r="B1421" s="9"/>
      <c r="C1421" s="4"/>
      <c r="E1421" s="4"/>
      <c r="F1421" s="4"/>
      <c r="G1421" s="4"/>
      <c r="H1421" s="4"/>
      <c r="J1421" s="4"/>
      <c r="K1421" s="4"/>
    </row>
    <row r="1422">
      <c r="A1422" s="4"/>
      <c r="B1422" s="9"/>
      <c r="C1422" s="4"/>
      <c r="E1422" s="4"/>
      <c r="F1422" s="4"/>
      <c r="G1422" s="4"/>
      <c r="H1422" s="4"/>
      <c r="J1422" s="4"/>
      <c r="K1422" s="4"/>
    </row>
    <row r="1423">
      <c r="A1423" s="4"/>
      <c r="B1423" s="9"/>
      <c r="C1423" s="4"/>
      <c r="E1423" s="4"/>
      <c r="F1423" s="4"/>
      <c r="G1423" s="4"/>
      <c r="H1423" s="4"/>
      <c r="I1423" s="8"/>
      <c r="J1423" s="4"/>
      <c r="K1423" s="4"/>
    </row>
    <row r="1424">
      <c r="A1424" s="4"/>
      <c r="B1424" s="4"/>
      <c r="C1424" s="4"/>
      <c r="D1424" s="4"/>
      <c r="E1424" s="4"/>
      <c r="F1424" s="4"/>
      <c r="G1424" s="4"/>
      <c r="H1424" s="4"/>
      <c r="I1424" s="8"/>
      <c r="J1424" s="4"/>
      <c r="K1424" s="4"/>
    </row>
    <row r="1425">
      <c r="A1425" s="4"/>
      <c r="B1425" s="4"/>
      <c r="C1425" s="4"/>
      <c r="D1425" s="4"/>
      <c r="E1425" s="4"/>
      <c r="F1425" s="4"/>
      <c r="G1425" s="4"/>
      <c r="H1425" s="4"/>
      <c r="I1425" s="8"/>
      <c r="J1425" s="4"/>
      <c r="K1425" s="4"/>
    </row>
    <row r="1426">
      <c r="A1426" s="4"/>
      <c r="B1426" s="4"/>
      <c r="C1426" s="4"/>
      <c r="D1426" s="4"/>
      <c r="E1426" s="4"/>
      <c r="F1426" s="4"/>
      <c r="G1426" s="4"/>
      <c r="H1426" s="4"/>
      <c r="I1426" s="8"/>
      <c r="J1426" s="4"/>
      <c r="K1426" s="4"/>
    </row>
    <row r="1427">
      <c r="A1427" s="4"/>
      <c r="B1427" s="4"/>
      <c r="C1427" s="4"/>
      <c r="D1427" s="4"/>
      <c r="E1427" s="4"/>
      <c r="F1427" s="4"/>
      <c r="G1427" s="4"/>
      <c r="H1427" s="4"/>
      <c r="J1427" s="4"/>
      <c r="K1427" s="4"/>
    </row>
    <row r="1428">
      <c r="A1428" s="4"/>
      <c r="B1428" s="4"/>
      <c r="C1428" s="4"/>
      <c r="D1428" s="4"/>
      <c r="E1428" s="4"/>
      <c r="F1428" s="4"/>
      <c r="G1428" s="4"/>
      <c r="H1428" s="4"/>
      <c r="J1428" s="4"/>
      <c r="K1428" s="4"/>
    </row>
    <row r="1429">
      <c r="A1429" s="4"/>
      <c r="B1429" s="4"/>
      <c r="C1429" s="4"/>
      <c r="E1429" s="4"/>
      <c r="F1429" s="4"/>
      <c r="G1429" s="4"/>
      <c r="H1429" s="4"/>
      <c r="I1429" s="8"/>
      <c r="J1429" s="4"/>
      <c r="K1429" s="4"/>
    </row>
    <row r="1430">
      <c r="A1430" s="4"/>
      <c r="B1430" s="4"/>
      <c r="C1430" s="4"/>
      <c r="D1430" s="4"/>
      <c r="E1430" s="4"/>
      <c r="F1430" s="4"/>
      <c r="G1430" s="4"/>
      <c r="H1430" s="4"/>
      <c r="J1430" s="4"/>
      <c r="K1430" s="4"/>
    </row>
    <row r="1431">
      <c r="A1431" s="4"/>
      <c r="B1431" s="4"/>
      <c r="C1431" s="4"/>
      <c r="D1431" s="4"/>
      <c r="E1431" s="4"/>
      <c r="F1431" s="4"/>
      <c r="G1431" s="4"/>
      <c r="H1431" s="4"/>
      <c r="I1431" s="8"/>
      <c r="J1431" s="4"/>
      <c r="K1431" s="4"/>
    </row>
    <row r="1432">
      <c r="A1432" s="4"/>
      <c r="B1432" s="4"/>
      <c r="C1432" s="4"/>
      <c r="D1432" s="4"/>
      <c r="E1432" s="4"/>
      <c r="F1432" s="4"/>
      <c r="G1432" s="4"/>
      <c r="H1432" s="4"/>
      <c r="I1432" s="8"/>
      <c r="J1432" s="4"/>
      <c r="K1432" s="4"/>
    </row>
    <row r="1433">
      <c r="A1433" s="4"/>
      <c r="B1433" s="4"/>
      <c r="C1433" s="4"/>
      <c r="D1433" s="4"/>
      <c r="E1433" s="4"/>
      <c r="F1433" s="4"/>
      <c r="G1433" s="4"/>
      <c r="H1433" s="4"/>
      <c r="I1433" s="8"/>
      <c r="J1433" s="4"/>
      <c r="K1433" s="4"/>
    </row>
    <row r="1434">
      <c r="A1434" s="4"/>
      <c r="B1434" s="4"/>
      <c r="C1434" s="4"/>
      <c r="D1434" s="4"/>
      <c r="E1434" s="4"/>
      <c r="F1434" s="4"/>
      <c r="G1434" s="4"/>
      <c r="H1434" s="4"/>
      <c r="I1434" s="8"/>
      <c r="J1434" s="4"/>
      <c r="K1434" s="4"/>
    </row>
    <row r="1435">
      <c r="A1435" s="4"/>
      <c r="B1435" s="9"/>
      <c r="C1435" s="4"/>
      <c r="D1435" s="4"/>
      <c r="E1435" s="4"/>
      <c r="F1435" s="4"/>
      <c r="G1435" s="4"/>
      <c r="H1435" s="4"/>
      <c r="I1435" s="8"/>
      <c r="J1435" s="4"/>
      <c r="K1435" s="4"/>
    </row>
    <row r="1436">
      <c r="A1436" s="4"/>
      <c r="B1436" s="9"/>
      <c r="C1436" s="4"/>
      <c r="D1436" s="4"/>
      <c r="E1436" s="4"/>
      <c r="F1436" s="4"/>
      <c r="G1436" s="4"/>
      <c r="H1436" s="4"/>
      <c r="I1436" s="8"/>
      <c r="J1436" s="4"/>
      <c r="K1436" s="4"/>
    </row>
    <row r="1437">
      <c r="A1437" s="4"/>
      <c r="B1437" s="9"/>
      <c r="C1437" s="4"/>
      <c r="D1437" s="4"/>
      <c r="E1437" s="4"/>
      <c r="F1437" s="4"/>
      <c r="G1437" s="4"/>
      <c r="H1437" s="4"/>
      <c r="I1437" s="8"/>
      <c r="J1437" s="4"/>
      <c r="K1437" s="4"/>
    </row>
    <row r="1438">
      <c r="A1438" s="4"/>
      <c r="B1438" s="9"/>
      <c r="C1438" s="4"/>
      <c r="D1438" s="4"/>
      <c r="E1438" s="4"/>
      <c r="F1438" s="4"/>
      <c r="G1438" s="4"/>
      <c r="H1438" s="4"/>
      <c r="I1438" s="8"/>
      <c r="J1438" s="4"/>
      <c r="K1438" s="4"/>
    </row>
    <row r="1439">
      <c r="A1439" s="4"/>
      <c r="B1439" s="9"/>
      <c r="C1439" s="4"/>
      <c r="D1439" s="4"/>
      <c r="E1439" s="4"/>
      <c r="F1439" s="4"/>
      <c r="G1439" s="4"/>
      <c r="H1439" s="4"/>
      <c r="I1439" s="8"/>
      <c r="J1439" s="4"/>
      <c r="K1439" s="4"/>
    </row>
    <row r="1440">
      <c r="A1440" s="4"/>
      <c r="B1440" s="9"/>
      <c r="C1440" s="4"/>
      <c r="D1440" s="4"/>
      <c r="E1440" s="4"/>
      <c r="F1440" s="4"/>
      <c r="G1440" s="4"/>
      <c r="H1440" s="4"/>
      <c r="I1440" s="8"/>
      <c r="J1440" s="4"/>
      <c r="K1440" s="4"/>
    </row>
    <row r="1441">
      <c r="A1441" s="4"/>
      <c r="B1441" s="9"/>
      <c r="C1441" s="4"/>
      <c r="D1441" s="4"/>
      <c r="E1441" s="4"/>
      <c r="F1441" s="4"/>
      <c r="G1441" s="4"/>
      <c r="H1441" s="4"/>
      <c r="I1441" s="8"/>
      <c r="J1441" s="4"/>
      <c r="K1441" s="4"/>
    </row>
    <row r="1442">
      <c r="A1442" s="4"/>
      <c r="B1442" s="9"/>
      <c r="C1442" s="4"/>
      <c r="E1442" s="4"/>
      <c r="F1442" s="4"/>
      <c r="G1442" s="4"/>
      <c r="H1442" s="4"/>
      <c r="I1442" s="8"/>
      <c r="J1442" s="4"/>
      <c r="K1442" s="4"/>
    </row>
    <row r="1443">
      <c r="A1443" s="4"/>
      <c r="B1443" s="9"/>
      <c r="C1443" s="4"/>
      <c r="E1443" s="4"/>
      <c r="F1443" s="4"/>
      <c r="G1443" s="4"/>
      <c r="H1443" s="4"/>
      <c r="I1443" s="8"/>
      <c r="J1443" s="4"/>
      <c r="K1443" s="4"/>
    </row>
    <row r="1444">
      <c r="A1444" s="4"/>
      <c r="B1444" s="4"/>
      <c r="C1444" s="4"/>
      <c r="E1444" s="4"/>
      <c r="F1444" s="4"/>
      <c r="G1444" s="4"/>
      <c r="H1444" s="4"/>
      <c r="I1444" s="8"/>
      <c r="J1444" s="4"/>
      <c r="K1444" s="4"/>
    </row>
    <row r="1445">
      <c r="A1445" s="4"/>
      <c r="B1445" s="4"/>
      <c r="C1445" s="4"/>
      <c r="E1445" s="4"/>
      <c r="F1445" s="4"/>
      <c r="G1445" s="4"/>
      <c r="H1445" s="4"/>
      <c r="J1445" s="4"/>
      <c r="K1445" s="4"/>
    </row>
    <row r="1446">
      <c r="A1446" s="4"/>
      <c r="B1446" s="4"/>
      <c r="C1446" s="4"/>
      <c r="E1446" s="4"/>
      <c r="F1446" s="4"/>
      <c r="G1446" s="4"/>
      <c r="H1446" s="4"/>
      <c r="J1446" s="4"/>
      <c r="K1446" s="4"/>
    </row>
    <row r="1447">
      <c r="A1447" s="4"/>
      <c r="B1447" s="4"/>
      <c r="C1447" s="4"/>
      <c r="E1447" s="4"/>
      <c r="F1447" s="4"/>
      <c r="G1447" s="4"/>
      <c r="H1447" s="4"/>
      <c r="J1447" s="4"/>
      <c r="K1447" s="4"/>
    </row>
    <row r="1448">
      <c r="A1448" s="4"/>
      <c r="B1448" s="4"/>
      <c r="C1448" s="4"/>
      <c r="E1448" s="4"/>
      <c r="F1448" s="4"/>
      <c r="G1448" s="4"/>
      <c r="H1448" s="4"/>
      <c r="J1448" s="4"/>
      <c r="K1448" s="4"/>
    </row>
    <row r="1449">
      <c r="A1449" s="4"/>
      <c r="B1449" s="9"/>
      <c r="C1449" s="4"/>
      <c r="D1449" s="4"/>
      <c r="E1449" s="4"/>
      <c r="F1449" s="4"/>
      <c r="G1449" s="4"/>
      <c r="H1449" s="4"/>
      <c r="J1449" s="4"/>
      <c r="K1449" s="4"/>
    </row>
    <row r="1450">
      <c r="A1450" s="4"/>
      <c r="B1450" s="9"/>
      <c r="C1450" s="4"/>
      <c r="D1450" s="4"/>
      <c r="E1450" s="4"/>
      <c r="F1450" s="4"/>
      <c r="G1450" s="4"/>
      <c r="H1450" s="4"/>
      <c r="I1450" s="8"/>
      <c r="J1450" s="4"/>
      <c r="K1450" s="4"/>
    </row>
    <row r="1451">
      <c r="A1451" s="4"/>
      <c r="B1451" s="9"/>
      <c r="C1451" s="4"/>
      <c r="D1451" s="4"/>
      <c r="E1451" s="4"/>
      <c r="F1451" s="4"/>
      <c r="G1451" s="4"/>
      <c r="H1451" s="4"/>
      <c r="I1451" s="8"/>
      <c r="J1451" s="4"/>
      <c r="K1451" s="4"/>
    </row>
    <row r="1452">
      <c r="A1452" s="4"/>
      <c r="B1452" s="9"/>
      <c r="C1452" s="4"/>
      <c r="D1452" s="4"/>
      <c r="E1452" s="4"/>
      <c r="F1452" s="4"/>
      <c r="G1452" s="4"/>
      <c r="H1452" s="4"/>
      <c r="I1452" s="8"/>
      <c r="J1452" s="4"/>
      <c r="K1452" s="4"/>
    </row>
    <row r="1453">
      <c r="A1453" s="4"/>
      <c r="B1453" s="9"/>
      <c r="C1453" s="4"/>
      <c r="D1453" s="4"/>
      <c r="E1453" s="4"/>
      <c r="F1453" s="4"/>
      <c r="G1453" s="4"/>
      <c r="H1453" s="4"/>
      <c r="I1453" s="8"/>
      <c r="J1453" s="4"/>
      <c r="K1453" s="4"/>
    </row>
    <row r="1454">
      <c r="A1454" s="4"/>
      <c r="B1454" s="9"/>
      <c r="C1454" s="4"/>
      <c r="D1454" s="4"/>
      <c r="E1454" s="4"/>
      <c r="F1454" s="4"/>
      <c r="G1454" s="4"/>
      <c r="H1454" s="4"/>
      <c r="I1454" s="8"/>
      <c r="J1454" s="4"/>
      <c r="K1454" s="4"/>
    </row>
    <row r="1455">
      <c r="A1455" s="4"/>
      <c r="B1455" s="9"/>
      <c r="C1455" s="4"/>
      <c r="E1455" s="4"/>
      <c r="F1455" s="4"/>
      <c r="G1455" s="4"/>
      <c r="H1455" s="4"/>
      <c r="I1455" s="8"/>
      <c r="J1455" s="4"/>
      <c r="K1455" s="4"/>
    </row>
    <row r="1456">
      <c r="A1456" s="4"/>
      <c r="B1456" s="9"/>
      <c r="C1456" s="4"/>
      <c r="E1456" s="4"/>
      <c r="F1456" s="4"/>
      <c r="G1456" s="4"/>
      <c r="H1456" s="4"/>
      <c r="I1456" s="8"/>
      <c r="J1456" s="4"/>
      <c r="K1456" s="4"/>
    </row>
    <row r="1457">
      <c r="A1457" s="4"/>
      <c r="B1457" s="9"/>
      <c r="C1457" s="4"/>
      <c r="E1457" s="4"/>
      <c r="F1457" s="4"/>
      <c r="G1457" s="4"/>
      <c r="H1457" s="4"/>
      <c r="I1457" s="8"/>
      <c r="J1457" s="4"/>
      <c r="K1457" s="4"/>
    </row>
    <row r="1458">
      <c r="A1458" s="4"/>
      <c r="B1458" s="9"/>
      <c r="C1458" s="4"/>
      <c r="E1458" s="4"/>
      <c r="F1458" s="4"/>
      <c r="G1458" s="4"/>
      <c r="H1458" s="4"/>
      <c r="I1458" s="8"/>
      <c r="J1458" s="4"/>
      <c r="K1458" s="4"/>
    </row>
    <row r="1459">
      <c r="A1459" s="4"/>
      <c r="B1459" s="9"/>
      <c r="C1459" s="4"/>
      <c r="E1459" s="4"/>
      <c r="F1459" s="4"/>
      <c r="G1459" s="4"/>
      <c r="H1459" s="4"/>
      <c r="I1459" s="8"/>
      <c r="J1459" s="4"/>
      <c r="K1459" s="4"/>
    </row>
    <row r="1460">
      <c r="A1460" s="4"/>
      <c r="B1460" s="9"/>
      <c r="C1460" s="4"/>
      <c r="E1460" s="4"/>
      <c r="F1460" s="4"/>
      <c r="G1460" s="4"/>
      <c r="H1460" s="4"/>
      <c r="J1460" s="4"/>
      <c r="K1460" s="4"/>
    </row>
    <row r="1461">
      <c r="A1461" s="4"/>
      <c r="B1461" s="9"/>
      <c r="C1461" s="4"/>
      <c r="E1461" s="4"/>
      <c r="F1461" s="4"/>
      <c r="G1461" s="4"/>
      <c r="H1461" s="4"/>
      <c r="J1461" s="4"/>
      <c r="K1461" s="4"/>
    </row>
    <row r="1462">
      <c r="A1462" s="4"/>
      <c r="B1462" s="9"/>
      <c r="C1462" s="4"/>
      <c r="E1462" s="4"/>
      <c r="F1462" s="4"/>
      <c r="G1462" s="4"/>
      <c r="H1462" s="4"/>
      <c r="J1462" s="4"/>
      <c r="K1462" s="4"/>
    </row>
    <row r="1463">
      <c r="A1463" s="4"/>
      <c r="B1463" s="9"/>
      <c r="C1463" s="4"/>
      <c r="E1463" s="4"/>
      <c r="F1463" s="4"/>
      <c r="G1463" s="4"/>
      <c r="H1463" s="4"/>
      <c r="J1463" s="4"/>
      <c r="K1463" s="4"/>
    </row>
    <row r="1464">
      <c r="A1464" s="4"/>
      <c r="B1464" s="9"/>
      <c r="C1464" s="4"/>
      <c r="E1464" s="4"/>
      <c r="F1464" s="4"/>
      <c r="G1464" s="4"/>
      <c r="H1464" s="4"/>
      <c r="I1464" s="8"/>
      <c r="J1464" s="4"/>
      <c r="K1464" s="4"/>
    </row>
    <row r="1465">
      <c r="A1465" s="4"/>
      <c r="B1465" s="9"/>
      <c r="C1465" s="4"/>
      <c r="E1465" s="4"/>
      <c r="F1465" s="4"/>
      <c r="G1465" s="4"/>
      <c r="H1465" s="4"/>
      <c r="I1465" s="8"/>
      <c r="J1465" s="4"/>
      <c r="K1465" s="4"/>
    </row>
    <row r="1466">
      <c r="A1466" s="4"/>
      <c r="B1466" s="9"/>
      <c r="C1466" s="4"/>
      <c r="E1466" s="4"/>
      <c r="F1466" s="4"/>
      <c r="G1466" s="4"/>
      <c r="H1466" s="4"/>
      <c r="I1466" s="8"/>
      <c r="J1466" s="4"/>
      <c r="K1466" s="4"/>
    </row>
    <row r="1467">
      <c r="A1467" s="4"/>
      <c r="B1467" s="9"/>
      <c r="C1467" s="4"/>
      <c r="E1467" s="4"/>
      <c r="F1467" s="4"/>
      <c r="G1467" s="4"/>
      <c r="H1467" s="4"/>
      <c r="I1467" s="8"/>
      <c r="J1467" s="4"/>
      <c r="K1467" s="4"/>
    </row>
    <row r="1468">
      <c r="A1468" s="4"/>
      <c r="B1468" s="9"/>
      <c r="C1468" s="4"/>
      <c r="E1468" s="4"/>
      <c r="F1468" s="4"/>
      <c r="G1468" s="4"/>
      <c r="H1468" s="4"/>
      <c r="I1468" s="8"/>
      <c r="J1468" s="4"/>
      <c r="K1468" s="4"/>
    </row>
    <row r="1469">
      <c r="A1469" s="4"/>
      <c r="B1469" s="9"/>
      <c r="C1469" s="4"/>
      <c r="E1469" s="4"/>
      <c r="F1469" s="4"/>
      <c r="G1469" s="4"/>
      <c r="H1469" s="4"/>
      <c r="I1469" s="8"/>
      <c r="J1469" s="4"/>
      <c r="K1469" s="4"/>
    </row>
    <row r="1470">
      <c r="A1470" s="4"/>
      <c r="B1470" s="4"/>
      <c r="C1470" s="4"/>
      <c r="E1470" s="4"/>
      <c r="F1470" s="4"/>
      <c r="G1470" s="4"/>
      <c r="H1470" s="4"/>
      <c r="I1470" s="8"/>
      <c r="J1470" s="4"/>
      <c r="K1470" s="4"/>
    </row>
    <row r="1471">
      <c r="A1471" s="4"/>
      <c r="B1471" s="4"/>
      <c r="C1471" s="4"/>
      <c r="E1471" s="4"/>
      <c r="F1471" s="4"/>
      <c r="G1471" s="4"/>
      <c r="H1471" s="4"/>
      <c r="I1471" s="8"/>
      <c r="J1471" s="4"/>
      <c r="K1471" s="4"/>
    </row>
    <row r="1472">
      <c r="A1472" s="4"/>
      <c r="B1472" s="4"/>
      <c r="C1472" s="4"/>
      <c r="E1472" s="4"/>
      <c r="F1472" s="4"/>
      <c r="G1472" s="4"/>
      <c r="H1472" s="4"/>
      <c r="I1472" s="8"/>
      <c r="J1472" s="4"/>
      <c r="K1472" s="4"/>
    </row>
    <row r="1473">
      <c r="A1473" s="4"/>
      <c r="B1473" s="4"/>
      <c r="C1473" s="4"/>
      <c r="D1473" s="4"/>
      <c r="E1473" s="4"/>
      <c r="F1473" s="4"/>
      <c r="G1473" s="4"/>
      <c r="H1473" s="4"/>
      <c r="I1473" s="8"/>
      <c r="J1473" s="4"/>
      <c r="K1473" s="4"/>
    </row>
    <row r="1474">
      <c r="A1474" s="4"/>
      <c r="B1474" s="4"/>
      <c r="C1474" s="4"/>
      <c r="D1474" s="4"/>
      <c r="E1474" s="4"/>
      <c r="F1474" s="4"/>
      <c r="G1474" s="4"/>
      <c r="H1474" s="4"/>
      <c r="I1474" s="8"/>
      <c r="J1474" s="4"/>
      <c r="K1474" s="4"/>
    </row>
    <row r="1475">
      <c r="A1475" s="4"/>
      <c r="B1475" s="4"/>
      <c r="C1475" s="4"/>
      <c r="E1475" s="4"/>
      <c r="F1475" s="4"/>
      <c r="G1475" s="4"/>
      <c r="H1475" s="4"/>
      <c r="I1475" s="8"/>
      <c r="J1475" s="4"/>
      <c r="K1475" s="4"/>
    </row>
    <row r="1476">
      <c r="A1476" s="4"/>
      <c r="B1476" s="4"/>
      <c r="C1476" s="4"/>
      <c r="E1476" s="4"/>
      <c r="F1476" s="4"/>
      <c r="G1476" s="4"/>
      <c r="H1476" s="4"/>
      <c r="I1476" s="8"/>
      <c r="J1476" s="4"/>
      <c r="K1476" s="4"/>
    </row>
    <row r="1477">
      <c r="A1477" s="4"/>
      <c r="B1477" s="9"/>
      <c r="C1477" s="4"/>
      <c r="E1477" s="4"/>
      <c r="F1477" s="4"/>
      <c r="G1477" s="4"/>
      <c r="H1477" s="4"/>
      <c r="I1477" s="8"/>
      <c r="J1477" s="4"/>
      <c r="K1477" s="4"/>
    </row>
    <row r="1478">
      <c r="A1478" s="4"/>
      <c r="B1478" s="4"/>
      <c r="C1478" s="4"/>
      <c r="D1478" s="4"/>
      <c r="E1478" s="4"/>
      <c r="F1478" s="4"/>
      <c r="G1478" s="4"/>
      <c r="H1478" s="4"/>
      <c r="I1478" s="8"/>
      <c r="J1478" s="4"/>
      <c r="K1478" s="4"/>
    </row>
    <row r="1479">
      <c r="A1479" s="4"/>
      <c r="B1479" s="4"/>
      <c r="C1479" s="4"/>
      <c r="D1479" s="4"/>
      <c r="E1479" s="4"/>
      <c r="F1479" s="4"/>
      <c r="G1479" s="4"/>
      <c r="H1479" s="4"/>
      <c r="I1479" s="8"/>
      <c r="J1479" s="4"/>
      <c r="K1479" s="4"/>
    </row>
    <row r="1480">
      <c r="A1480" s="4"/>
      <c r="B1480" s="4"/>
      <c r="C1480" s="4"/>
      <c r="E1480" s="4"/>
      <c r="F1480" s="4"/>
      <c r="G1480" s="4"/>
      <c r="H1480" s="4"/>
      <c r="I1480" s="8"/>
      <c r="J1480" s="4"/>
      <c r="K1480" s="4"/>
    </row>
    <row r="1481">
      <c r="A1481" s="4"/>
      <c r="B1481" s="4"/>
      <c r="C1481" s="4"/>
      <c r="E1481" s="4"/>
      <c r="F1481" s="4"/>
      <c r="G1481" s="4"/>
      <c r="H1481" s="4"/>
      <c r="I1481" s="8"/>
      <c r="J1481" s="4"/>
      <c r="K1481" s="4"/>
    </row>
    <row r="1482">
      <c r="A1482" s="4"/>
      <c r="B1482" s="4"/>
      <c r="C1482" s="4"/>
      <c r="E1482" s="4"/>
      <c r="F1482" s="4"/>
      <c r="G1482" s="4"/>
      <c r="H1482" s="4"/>
      <c r="I1482" s="8"/>
      <c r="J1482" s="4"/>
      <c r="K1482" s="4"/>
    </row>
    <row r="1483">
      <c r="A1483" s="4"/>
      <c r="B1483" s="4"/>
      <c r="C1483" s="4"/>
      <c r="E1483" s="4"/>
      <c r="F1483" s="4"/>
      <c r="G1483" s="4"/>
      <c r="H1483" s="4"/>
      <c r="I1483" s="8"/>
      <c r="J1483" s="4"/>
      <c r="K1483" s="4"/>
    </row>
    <row r="1484">
      <c r="A1484" s="4"/>
      <c r="B1484" s="4"/>
      <c r="C1484" s="4"/>
      <c r="E1484" s="4"/>
      <c r="F1484" s="4"/>
      <c r="G1484" s="4"/>
      <c r="H1484" s="4"/>
      <c r="I1484" s="8"/>
      <c r="J1484" s="4"/>
      <c r="K1484" s="4"/>
    </row>
    <row r="1485">
      <c r="A1485" s="4"/>
      <c r="B1485" s="4"/>
      <c r="C1485" s="4"/>
      <c r="E1485" s="4"/>
      <c r="F1485" s="4"/>
      <c r="G1485" s="4"/>
      <c r="H1485" s="4"/>
      <c r="I1485" s="8"/>
      <c r="J1485" s="4"/>
      <c r="K1485" s="4"/>
    </row>
    <row r="1486">
      <c r="A1486" s="4"/>
      <c r="B1486" s="4"/>
      <c r="C1486" s="4"/>
      <c r="D1486" s="4"/>
      <c r="E1486" s="4"/>
      <c r="F1486" s="4"/>
      <c r="G1486" s="4"/>
      <c r="H1486" s="4"/>
      <c r="I1486" s="8"/>
      <c r="J1486" s="4"/>
      <c r="K1486" s="4"/>
    </row>
    <row r="1487">
      <c r="A1487" s="4"/>
      <c r="B1487" s="4"/>
      <c r="C1487" s="4"/>
      <c r="D1487" s="4"/>
      <c r="E1487" s="4"/>
      <c r="F1487" s="4"/>
      <c r="G1487" s="4"/>
      <c r="H1487" s="4"/>
      <c r="I1487" s="8"/>
      <c r="J1487" s="4"/>
      <c r="K1487" s="4"/>
    </row>
    <row r="1488">
      <c r="A1488" s="4"/>
      <c r="B1488" s="4"/>
      <c r="C1488" s="4"/>
      <c r="D1488" s="4"/>
      <c r="E1488" s="4"/>
      <c r="F1488" s="4"/>
      <c r="G1488" s="4"/>
      <c r="H1488" s="4"/>
      <c r="I1488" s="8"/>
      <c r="J1488" s="4"/>
      <c r="K1488" s="4"/>
    </row>
    <row r="1489">
      <c r="A1489" s="4"/>
      <c r="B1489" s="4"/>
      <c r="C1489" s="4"/>
      <c r="D1489" s="4"/>
      <c r="E1489" s="4"/>
      <c r="F1489" s="4"/>
      <c r="G1489" s="4"/>
      <c r="H1489" s="4"/>
      <c r="I1489" s="8"/>
      <c r="J1489" s="4"/>
      <c r="K1489" s="4"/>
    </row>
    <row r="1490">
      <c r="A1490" s="4"/>
      <c r="B1490" s="4"/>
      <c r="C1490" s="4"/>
      <c r="D1490" s="4"/>
      <c r="E1490" s="4"/>
      <c r="F1490" s="4"/>
      <c r="G1490" s="4"/>
      <c r="H1490" s="4"/>
      <c r="I1490" s="8"/>
      <c r="J1490" s="4"/>
      <c r="K1490" s="4"/>
    </row>
    <row r="1491">
      <c r="A1491" s="4"/>
      <c r="B1491" s="4"/>
      <c r="C1491" s="4"/>
      <c r="D1491" s="4"/>
      <c r="E1491" s="4"/>
      <c r="F1491" s="4"/>
      <c r="G1491" s="4"/>
      <c r="H1491" s="4"/>
      <c r="I1491" s="8"/>
      <c r="J1491" s="4"/>
      <c r="K1491" s="4"/>
    </row>
    <row r="1492">
      <c r="A1492" s="4"/>
      <c r="B1492" s="4"/>
      <c r="C1492" s="4"/>
      <c r="E1492" s="4"/>
      <c r="F1492" s="4"/>
      <c r="G1492" s="4"/>
      <c r="H1492" s="4"/>
      <c r="I1492" s="8"/>
      <c r="J1492" s="4"/>
      <c r="K1492" s="4"/>
    </row>
    <row r="1493">
      <c r="A1493" s="4"/>
      <c r="B1493" s="9"/>
      <c r="C1493" s="4"/>
      <c r="E1493" s="4"/>
      <c r="F1493" s="4"/>
      <c r="G1493" s="4"/>
      <c r="H1493" s="4"/>
      <c r="J1493" s="4"/>
      <c r="K1493" s="4"/>
    </row>
    <row r="1494">
      <c r="A1494" s="4"/>
      <c r="B1494" s="9"/>
      <c r="C1494" s="4"/>
      <c r="E1494" s="4"/>
      <c r="F1494" s="4"/>
      <c r="G1494" s="4"/>
      <c r="H1494" s="4"/>
      <c r="J1494" s="4"/>
      <c r="K1494" s="4"/>
    </row>
    <row r="1495">
      <c r="A1495" s="4"/>
      <c r="B1495" s="9"/>
      <c r="C1495" s="4"/>
      <c r="D1495" s="4"/>
      <c r="E1495" s="4"/>
      <c r="F1495" s="4"/>
      <c r="G1495" s="4"/>
      <c r="H1495" s="4"/>
      <c r="J1495" s="4"/>
      <c r="K1495" s="4"/>
    </row>
    <row r="1496">
      <c r="A1496" s="4"/>
      <c r="B1496" s="9"/>
      <c r="C1496" s="4"/>
      <c r="D1496" s="4"/>
      <c r="E1496" s="4"/>
      <c r="F1496" s="4"/>
      <c r="G1496" s="4"/>
      <c r="H1496" s="4"/>
      <c r="J1496" s="4"/>
      <c r="K1496" s="4"/>
    </row>
    <row r="1497">
      <c r="A1497" s="4"/>
      <c r="B1497" s="9"/>
      <c r="C1497" s="4"/>
      <c r="D1497" s="4"/>
      <c r="E1497" s="4"/>
      <c r="F1497" s="4"/>
      <c r="G1497" s="4"/>
      <c r="H1497" s="4"/>
      <c r="J1497" s="4"/>
      <c r="K1497" s="4"/>
    </row>
    <row r="1498">
      <c r="A1498" s="4"/>
      <c r="B1498" s="9"/>
      <c r="C1498" s="4"/>
      <c r="D1498" s="4"/>
      <c r="E1498" s="4"/>
      <c r="F1498" s="4"/>
      <c r="G1498" s="4"/>
      <c r="H1498" s="4"/>
      <c r="I1498" s="8"/>
      <c r="J1498" s="4"/>
      <c r="K1498" s="4"/>
    </row>
    <row r="1499">
      <c r="A1499" s="4"/>
      <c r="B1499" s="9"/>
      <c r="C1499" s="4"/>
      <c r="D1499" s="4"/>
      <c r="E1499" s="4"/>
      <c r="F1499" s="4"/>
      <c r="G1499" s="4"/>
      <c r="H1499" s="4"/>
      <c r="I1499" s="8"/>
      <c r="J1499" s="4"/>
      <c r="K1499" s="4"/>
    </row>
    <row r="1500">
      <c r="A1500" s="4"/>
      <c r="B1500" s="4"/>
      <c r="C1500" s="4"/>
      <c r="E1500" s="4"/>
      <c r="F1500" s="4"/>
      <c r="G1500" s="4"/>
      <c r="H1500" s="4"/>
      <c r="J1500" s="4"/>
      <c r="K1500" s="4"/>
    </row>
    <row r="1501">
      <c r="A1501" s="4"/>
      <c r="B1501" s="4"/>
      <c r="C1501" s="4"/>
      <c r="E1501" s="4"/>
      <c r="F1501" s="4"/>
      <c r="G1501" s="4"/>
      <c r="H1501" s="4"/>
      <c r="J1501" s="4"/>
      <c r="K1501" s="4"/>
    </row>
    <row r="1502">
      <c r="A1502" s="4"/>
      <c r="B1502" s="4"/>
      <c r="C1502" s="4"/>
      <c r="E1502" s="4"/>
      <c r="F1502" s="4"/>
      <c r="G1502" s="4"/>
      <c r="H1502" s="4"/>
      <c r="I1502" s="8"/>
      <c r="J1502" s="4"/>
      <c r="K1502" s="4"/>
    </row>
    <row r="1503">
      <c r="A1503" s="4"/>
      <c r="B1503" s="4"/>
      <c r="C1503" s="4"/>
      <c r="E1503" s="4"/>
      <c r="F1503" s="4"/>
      <c r="G1503" s="4"/>
      <c r="H1503" s="4"/>
      <c r="J1503" s="4"/>
      <c r="K1503" s="4"/>
    </row>
    <row r="1504">
      <c r="A1504" s="4"/>
      <c r="B1504" s="4"/>
      <c r="C1504" s="4"/>
      <c r="E1504" s="4"/>
      <c r="F1504" s="4"/>
      <c r="G1504" s="4"/>
      <c r="H1504" s="4"/>
      <c r="J1504" s="4"/>
      <c r="K1504" s="4"/>
    </row>
    <row r="1505">
      <c r="A1505" s="4"/>
      <c r="B1505" s="4"/>
      <c r="C1505" s="4"/>
      <c r="E1505" s="4"/>
      <c r="F1505" s="4"/>
      <c r="G1505" s="4"/>
      <c r="H1505" s="4"/>
      <c r="J1505" s="4"/>
      <c r="K1505" s="4"/>
    </row>
    <row r="1506">
      <c r="A1506" s="4"/>
      <c r="B1506" s="4"/>
      <c r="C1506" s="4"/>
      <c r="E1506" s="4"/>
      <c r="F1506" s="4"/>
      <c r="G1506" s="4"/>
      <c r="H1506" s="4"/>
      <c r="I1506" s="8"/>
      <c r="J1506" s="4"/>
      <c r="K1506" s="4"/>
    </row>
    <row r="1507">
      <c r="A1507" s="4"/>
      <c r="B1507" s="4"/>
      <c r="C1507" s="4"/>
      <c r="E1507" s="4"/>
      <c r="F1507" s="4"/>
      <c r="G1507" s="4"/>
      <c r="H1507" s="4"/>
      <c r="I1507" s="8"/>
      <c r="J1507" s="4"/>
      <c r="K1507" s="4"/>
    </row>
    <row r="1508">
      <c r="A1508" s="4"/>
      <c r="B1508" s="4"/>
      <c r="C1508" s="4"/>
      <c r="E1508" s="4"/>
      <c r="F1508" s="4"/>
      <c r="G1508" s="4"/>
      <c r="H1508" s="4"/>
      <c r="I1508" s="8"/>
      <c r="J1508" s="4"/>
      <c r="K1508" s="4"/>
    </row>
    <row r="1509">
      <c r="A1509" s="4"/>
      <c r="B1509" s="4"/>
      <c r="C1509" s="4"/>
      <c r="E1509" s="4"/>
      <c r="F1509" s="4"/>
      <c r="G1509" s="4"/>
      <c r="H1509" s="4"/>
      <c r="I1509" s="8"/>
      <c r="J1509" s="4"/>
      <c r="K1509" s="4"/>
    </row>
    <row r="1510">
      <c r="A1510" s="4"/>
      <c r="B1510" s="4"/>
      <c r="C1510" s="4"/>
      <c r="E1510" s="4"/>
      <c r="F1510" s="4"/>
      <c r="G1510" s="4"/>
      <c r="H1510" s="4"/>
      <c r="I1510" s="8"/>
      <c r="J1510" s="4"/>
      <c r="K1510" s="4"/>
    </row>
    <row r="1511">
      <c r="A1511" s="4"/>
      <c r="B1511" s="4"/>
      <c r="C1511" s="4"/>
      <c r="E1511" s="4"/>
      <c r="F1511" s="4"/>
      <c r="G1511" s="4"/>
      <c r="H1511" s="4"/>
      <c r="I1511" s="8"/>
      <c r="J1511" s="4"/>
      <c r="K1511" s="4"/>
    </row>
    <row r="1512">
      <c r="A1512" s="4"/>
      <c r="B1512" s="4"/>
      <c r="C1512" s="4"/>
      <c r="E1512" s="4"/>
      <c r="F1512" s="4"/>
      <c r="G1512" s="4"/>
      <c r="H1512" s="4"/>
      <c r="I1512" s="8"/>
      <c r="J1512" s="4"/>
      <c r="K1512" s="4"/>
    </row>
    <row r="1513">
      <c r="A1513" s="4"/>
      <c r="B1513" s="9"/>
      <c r="C1513" s="4"/>
      <c r="E1513" s="4"/>
      <c r="F1513" s="4"/>
      <c r="G1513" s="4"/>
      <c r="H1513" s="4"/>
      <c r="I1513" s="8"/>
      <c r="J1513" s="4"/>
      <c r="K1513" s="4"/>
    </row>
    <row r="1514">
      <c r="A1514" s="4"/>
      <c r="B1514" s="9"/>
      <c r="C1514" s="4"/>
      <c r="E1514" s="4"/>
      <c r="F1514" s="4"/>
      <c r="G1514" s="4"/>
      <c r="H1514" s="4"/>
      <c r="I1514" s="8"/>
      <c r="J1514" s="4"/>
      <c r="K1514" s="4"/>
    </row>
    <row r="1515">
      <c r="A1515" s="4"/>
      <c r="B1515" s="4"/>
      <c r="C1515" s="4"/>
      <c r="E1515" s="4"/>
      <c r="F1515" s="4"/>
      <c r="G1515" s="4"/>
      <c r="H1515" s="4"/>
      <c r="I1515" s="8"/>
      <c r="J1515" s="4"/>
      <c r="K1515" s="4"/>
    </row>
    <row r="1516">
      <c r="A1516" s="4"/>
      <c r="B1516" s="4"/>
      <c r="C1516" s="4"/>
      <c r="E1516" s="4"/>
      <c r="F1516" s="4"/>
      <c r="G1516" s="4"/>
      <c r="H1516" s="4"/>
      <c r="J1516" s="4"/>
      <c r="K1516" s="4"/>
    </row>
    <row r="1517">
      <c r="A1517" s="4"/>
      <c r="B1517" s="4"/>
      <c r="C1517" s="4"/>
      <c r="E1517" s="4"/>
      <c r="F1517" s="4"/>
      <c r="G1517" s="4"/>
      <c r="H1517" s="4"/>
      <c r="I1517" s="8"/>
      <c r="J1517" s="4"/>
      <c r="K1517" s="4"/>
    </row>
    <row r="1518">
      <c r="A1518" s="4"/>
      <c r="B1518" s="4"/>
      <c r="C1518" s="4"/>
      <c r="E1518" s="4"/>
      <c r="F1518" s="4"/>
      <c r="G1518" s="4"/>
      <c r="H1518" s="4"/>
      <c r="J1518" s="4"/>
      <c r="K1518" s="4"/>
    </row>
    <row r="1519">
      <c r="A1519" s="4"/>
      <c r="B1519" s="4"/>
      <c r="C1519" s="4"/>
      <c r="E1519" s="4"/>
      <c r="F1519" s="4"/>
      <c r="G1519" s="4"/>
      <c r="H1519" s="4"/>
      <c r="I1519" s="8"/>
      <c r="J1519" s="4"/>
      <c r="K1519" s="4"/>
    </row>
    <row r="1520">
      <c r="A1520" s="4"/>
      <c r="B1520" s="9"/>
      <c r="C1520" s="4"/>
      <c r="E1520" s="4"/>
      <c r="F1520" s="4"/>
      <c r="G1520" s="4"/>
      <c r="H1520" s="4"/>
      <c r="I1520" s="8"/>
      <c r="J1520" s="4"/>
      <c r="K1520" s="4"/>
    </row>
    <row r="1521">
      <c r="A1521" s="4"/>
      <c r="B1521" s="4"/>
      <c r="C1521" s="4"/>
      <c r="D1521" s="4"/>
      <c r="E1521" s="4"/>
      <c r="F1521" s="4"/>
      <c r="G1521" s="4"/>
      <c r="H1521" s="4"/>
      <c r="I1521" s="8"/>
      <c r="J1521" s="4"/>
      <c r="K1521" s="4"/>
    </row>
    <row r="1522">
      <c r="A1522" s="4"/>
      <c r="B1522" s="4"/>
      <c r="C1522" s="4"/>
      <c r="D1522" s="4"/>
      <c r="E1522" s="4"/>
      <c r="F1522" s="4"/>
      <c r="G1522" s="4"/>
      <c r="H1522" s="4"/>
      <c r="I1522" s="8"/>
      <c r="J1522" s="4"/>
      <c r="K1522" s="4"/>
    </row>
    <row r="1523">
      <c r="A1523" s="4"/>
      <c r="B1523" s="9"/>
      <c r="C1523" s="4"/>
      <c r="D1523" s="4"/>
      <c r="E1523" s="4"/>
      <c r="F1523" s="4"/>
      <c r="G1523" s="4"/>
      <c r="H1523" s="4"/>
      <c r="I1523" s="8"/>
      <c r="J1523" s="4"/>
      <c r="K1523" s="4"/>
    </row>
    <row r="1524">
      <c r="A1524" s="4"/>
      <c r="B1524" s="9"/>
      <c r="C1524" s="4"/>
      <c r="E1524" s="4"/>
      <c r="F1524" s="4"/>
      <c r="G1524" s="4"/>
      <c r="H1524" s="4"/>
      <c r="I1524" s="8"/>
      <c r="J1524" s="4"/>
      <c r="K1524" s="4"/>
    </row>
    <row r="1525">
      <c r="A1525" s="4"/>
      <c r="B1525" s="9"/>
      <c r="C1525" s="4"/>
      <c r="E1525" s="4"/>
      <c r="F1525" s="4"/>
      <c r="G1525" s="4"/>
      <c r="H1525" s="4"/>
      <c r="I1525" s="8"/>
      <c r="J1525" s="4"/>
      <c r="K1525" s="4"/>
    </row>
    <row r="1526">
      <c r="A1526" s="4"/>
      <c r="B1526" s="4"/>
      <c r="C1526" s="4"/>
      <c r="E1526" s="4"/>
      <c r="F1526" s="4"/>
      <c r="G1526" s="4"/>
      <c r="H1526" s="4"/>
      <c r="I1526" s="8"/>
      <c r="J1526" s="4"/>
      <c r="K1526" s="4"/>
    </row>
    <row r="1527">
      <c r="A1527" s="4"/>
      <c r="B1527" s="4"/>
      <c r="C1527" s="4"/>
      <c r="E1527" s="4"/>
      <c r="F1527" s="4"/>
      <c r="G1527" s="4"/>
      <c r="H1527" s="4"/>
      <c r="I1527" s="8"/>
      <c r="J1527" s="4"/>
      <c r="K1527" s="4"/>
    </row>
    <row r="1528">
      <c r="A1528" s="4"/>
      <c r="B1528" s="9"/>
      <c r="C1528" s="4"/>
      <c r="D1528" s="4"/>
      <c r="E1528" s="4"/>
      <c r="F1528" s="4"/>
      <c r="G1528" s="4"/>
      <c r="H1528" s="4"/>
      <c r="I1528" s="8"/>
      <c r="J1528" s="4"/>
      <c r="K1528" s="4"/>
    </row>
    <row r="1529">
      <c r="A1529" s="4"/>
      <c r="B1529" s="9"/>
      <c r="C1529" s="4"/>
      <c r="D1529" s="4"/>
      <c r="E1529" s="4"/>
      <c r="F1529" s="4"/>
      <c r="G1529" s="4"/>
      <c r="H1529" s="4"/>
      <c r="I1529" s="8"/>
      <c r="J1529" s="4"/>
      <c r="K1529" s="4"/>
    </row>
    <row r="1530">
      <c r="A1530" s="4"/>
      <c r="B1530" s="9"/>
      <c r="C1530" s="4"/>
      <c r="D1530" s="4"/>
      <c r="E1530" s="4"/>
      <c r="F1530" s="4"/>
      <c r="G1530" s="4"/>
      <c r="H1530" s="4"/>
      <c r="I1530" s="8"/>
      <c r="J1530" s="4"/>
      <c r="K1530" s="4"/>
    </row>
    <row r="1531">
      <c r="A1531" s="4"/>
      <c r="B1531" s="9"/>
      <c r="C1531" s="4"/>
      <c r="D1531" s="4"/>
      <c r="E1531" s="4"/>
      <c r="F1531" s="4"/>
      <c r="G1531" s="4"/>
      <c r="H1531" s="4"/>
      <c r="I1531" s="8"/>
      <c r="J1531" s="4"/>
      <c r="K1531" s="4"/>
    </row>
    <row r="1532">
      <c r="A1532" s="4"/>
      <c r="B1532" s="9"/>
      <c r="C1532" s="4"/>
      <c r="D1532" s="4"/>
      <c r="E1532" s="4"/>
      <c r="F1532" s="4"/>
      <c r="G1532" s="4"/>
      <c r="H1532" s="4"/>
      <c r="I1532" s="8"/>
      <c r="J1532" s="4"/>
      <c r="K1532" s="4"/>
    </row>
    <row r="1533">
      <c r="A1533" s="4"/>
      <c r="B1533" s="9"/>
      <c r="C1533" s="4"/>
      <c r="E1533" s="4"/>
      <c r="F1533" s="4"/>
      <c r="G1533" s="4"/>
      <c r="H1533" s="4"/>
      <c r="I1533" s="8"/>
      <c r="J1533" s="4"/>
      <c r="K1533" s="4"/>
    </row>
    <row r="1534">
      <c r="A1534" s="4"/>
      <c r="B1534" s="9"/>
      <c r="C1534" s="4"/>
      <c r="E1534" s="4"/>
      <c r="F1534" s="4"/>
      <c r="G1534" s="4"/>
      <c r="H1534" s="4"/>
      <c r="I1534" s="8"/>
      <c r="J1534" s="4"/>
      <c r="K1534" s="4"/>
    </row>
    <row r="1535">
      <c r="A1535" s="4"/>
      <c r="B1535" s="9"/>
      <c r="C1535" s="4"/>
      <c r="D1535" s="4"/>
      <c r="E1535" s="4"/>
      <c r="F1535" s="4"/>
      <c r="G1535" s="4"/>
      <c r="H1535" s="4"/>
      <c r="I1535" s="8"/>
      <c r="J1535" s="4"/>
      <c r="K1535" s="4"/>
    </row>
    <row r="1536">
      <c r="A1536" s="4"/>
      <c r="B1536" s="4"/>
      <c r="C1536" s="4"/>
      <c r="E1536" s="4"/>
      <c r="F1536" s="4"/>
      <c r="G1536" s="4"/>
      <c r="H1536" s="4"/>
      <c r="J1536" s="4"/>
      <c r="K1536" s="4"/>
    </row>
    <row r="1537">
      <c r="A1537" s="4"/>
      <c r="B1537" s="4"/>
      <c r="C1537" s="4"/>
      <c r="E1537" s="4"/>
      <c r="F1537" s="4"/>
      <c r="G1537" s="4"/>
      <c r="H1537" s="4"/>
      <c r="I1537" s="8"/>
      <c r="J1537" s="4"/>
      <c r="K1537" s="4"/>
    </row>
    <row r="1538">
      <c r="A1538" s="4"/>
      <c r="B1538" s="4"/>
      <c r="C1538" s="4"/>
      <c r="E1538" s="4"/>
      <c r="F1538" s="4"/>
      <c r="G1538" s="4"/>
      <c r="H1538" s="4"/>
      <c r="I1538" s="8"/>
      <c r="J1538" s="4"/>
      <c r="K1538" s="4"/>
    </row>
    <row r="1539">
      <c r="A1539" s="4"/>
      <c r="B1539" s="4"/>
      <c r="C1539" s="4"/>
      <c r="E1539" s="4"/>
      <c r="F1539" s="4"/>
      <c r="G1539" s="4"/>
      <c r="H1539" s="4"/>
      <c r="I1539" s="8"/>
      <c r="J1539" s="4"/>
      <c r="K1539" s="4"/>
    </row>
    <row r="1540">
      <c r="A1540" s="4"/>
      <c r="B1540" s="4"/>
      <c r="C1540" s="4"/>
      <c r="E1540" s="4"/>
      <c r="F1540" s="4"/>
      <c r="G1540" s="4"/>
      <c r="H1540" s="4"/>
      <c r="I1540" s="8"/>
      <c r="J1540" s="4"/>
      <c r="K1540" s="4"/>
    </row>
    <row r="1541">
      <c r="A1541" s="4"/>
      <c r="B1541" s="4"/>
      <c r="C1541" s="4"/>
      <c r="E1541" s="4"/>
      <c r="F1541" s="4"/>
      <c r="G1541" s="4"/>
      <c r="H1541" s="4"/>
      <c r="I1541" s="8"/>
      <c r="J1541" s="4"/>
      <c r="K1541" s="4"/>
    </row>
    <row r="1542">
      <c r="A1542" s="4"/>
      <c r="B1542" s="4"/>
      <c r="C1542" s="4"/>
      <c r="E1542" s="4"/>
      <c r="F1542" s="4"/>
      <c r="G1542" s="4"/>
      <c r="H1542" s="4"/>
      <c r="I1542" s="8"/>
      <c r="J1542" s="4"/>
      <c r="K1542" s="4"/>
    </row>
    <row r="1543">
      <c r="A1543" s="4"/>
      <c r="B1543" s="4"/>
      <c r="C1543" s="4"/>
      <c r="E1543" s="4"/>
      <c r="F1543" s="4"/>
      <c r="G1543" s="4"/>
      <c r="H1543" s="4"/>
      <c r="I1543" s="8"/>
      <c r="J1543" s="4"/>
      <c r="K1543" s="4"/>
    </row>
    <row r="1544">
      <c r="A1544" s="4"/>
      <c r="B1544" s="9"/>
      <c r="C1544" s="4"/>
      <c r="E1544" s="4"/>
      <c r="F1544" s="4"/>
      <c r="G1544" s="4"/>
      <c r="H1544" s="4"/>
      <c r="I1544" s="8"/>
      <c r="J1544" s="4"/>
      <c r="K1544" s="4"/>
    </row>
    <row r="1545">
      <c r="A1545" s="4"/>
      <c r="B1545" s="9"/>
      <c r="C1545" s="4"/>
      <c r="E1545" s="4"/>
      <c r="F1545" s="4"/>
      <c r="G1545" s="4"/>
      <c r="H1545" s="4"/>
      <c r="I1545" s="8"/>
      <c r="J1545" s="4"/>
      <c r="K1545" s="4"/>
    </row>
    <row r="1546">
      <c r="A1546" s="4"/>
      <c r="B1546" s="9"/>
      <c r="C1546" s="4"/>
      <c r="E1546" s="4"/>
      <c r="F1546" s="4"/>
      <c r="G1546" s="4"/>
      <c r="H1546" s="4"/>
      <c r="I1546" s="8"/>
      <c r="J1546" s="4"/>
      <c r="K1546" s="4"/>
    </row>
    <row r="1547">
      <c r="A1547" s="4"/>
      <c r="B1547" s="9"/>
      <c r="C1547" s="4"/>
      <c r="E1547" s="4"/>
      <c r="F1547" s="4"/>
      <c r="G1547" s="4"/>
      <c r="H1547" s="4"/>
      <c r="I1547" s="8"/>
      <c r="J1547" s="4"/>
      <c r="K1547" s="4"/>
    </row>
    <row r="1548">
      <c r="A1548" s="4"/>
      <c r="B1548" s="9"/>
      <c r="C1548" s="4"/>
      <c r="D1548" s="4"/>
      <c r="E1548" s="4"/>
      <c r="F1548" s="4"/>
      <c r="G1548" s="4"/>
      <c r="H1548" s="4"/>
      <c r="J1548" s="4"/>
      <c r="K1548" s="4"/>
    </row>
    <row r="1549">
      <c r="A1549" s="4"/>
      <c r="B1549" s="4"/>
      <c r="C1549" s="4"/>
      <c r="D1549" s="4"/>
      <c r="E1549" s="4"/>
      <c r="F1549" s="4"/>
      <c r="G1549" s="4"/>
      <c r="H1549" s="4"/>
      <c r="J1549" s="4"/>
      <c r="K1549" s="4"/>
    </row>
    <row r="1550">
      <c r="A1550" s="4"/>
      <c r="B1550" s="4"/>
      <c r="C1550" s="4"/>
      <c r="D1550" s="4"/>
      <c r="E1550" s="4"/>
      <c r="F1550" s="4"/>
      <c r="G1550" s="4"/>
      <c r="H1550" s="4"/>
      <c r="I1550" s="8"/>
      <c r="J1550" s="4"/>
      <c r="K1550" s="4"/>
    </row>
    <row r="1551">
      <c r="A1551" s="4"/>
      <c r="B1551" s="4"/>
      <c r="C1551" s="4"/>
      <c r="D1551" s="4"/>
      <c r="E1551" s="4"/>
      <c r="F1551" s="4"/>
      <c r="G1551" s="4"/>
      <c r="H1551" s="4"/>
      <c r="I1551" s="8"/>
      <c r="J1551" s="4"/>
      <c r="K1551" s="4"/>
    </row>
    <row r="1552">
      <c r="A1552" s="4"/>
      <c r="B1552" s="9"/>
      <c r="C1552" s="4"/>
      <c r="D1552" s="4"/>
      <c r="E1552" s="4"/>
      <c r="F1552" s="4"/>
      <c r="G1552" s="4"/>
      <c r="H1552" s="4"/>
      <c r="I1552" s="8"/>
      <c r="J1552" s="4"/>
      <c r="K1552" s="4"/>
    </row>
    <row r="1553">
      <c r="A1553" s="4"/>
      <c r="B1553" s="9"/>
      <c r="C1553" s="4"/>
      <c r="D1553" s="4"/>
      <c r="E1553" s="4"/>
      <c r="F1553" s="4"/>
      <c r="G1553" s="4"/>
      <c r="H1553" s="4"/>
      <c r="I1553" s="8"/>
      <c r="J1553" s="4"/>
      <c r="K1553" s="4"/>
    </row>
    <row r="1554">
      <c r="A1554" s="4"/>
      <c r="B1554" s="9"/>
      <c r="C1554" s="4"/>
      <c r="E1554" s="4"/>
      <c r="F1554" s="4"/>
      <c r="G1554" s="4"/>
      <c r="H1554" s="4"/>
      <c r="I1554" s="8"/>
      <c r="J1554" s="4"/>
      <c r="K1554" s="4"/>
    </row>
    <row r="1555">
      <c r="A1555" s="4"/>
      <c r="B1555" s="9"/>
      <c r="C1555" s="4"/>
      <c r="E1555" s="4"/>
      <c r="F1555" s="4"/>
      <c r="G1555" s="4"/>
      <c r="H1555" s="4"/>
      <c r="J1555" s="4"/>
      <c r="K1555" s="4"/>
    </row>
    <row r="1556">
      <c r="A1556" s="4"/>
      <c r="B1556" s="9"/>
      <c r="C1556" s="4"/>
      <c r="D1556" s="4"/>
      <c r="E1556" s="4"/>
      <c r="F1556" s="4"/>
      <c r="G1556" s="4"/>
      <c r="H1556" s="4"/>
      <c r="I1556" s="8"/>
      <c r="J1556" s="4"/>
      <c r="K1556" s="4"/>
    </row>
    <row r="1557">
      <c r="A1557" s="4"/>
      <c r="B1557" s="4"/>
      <c r="C1557" s="4"/>
      <c r="E1557" s="4"/>
      <c r="F1557" s="4"/>
      <c r="G1557" s="4"/>
      <c r="H1557" s="4"/>
      <c r="I1557" s="8"/>
      <c r="J1557" s="4"/>
      <c r="K1557" s="4"/>
    </row>
    <row r="1558">
      <c r="A1558" s="4"/>
      <c r="B1558" s="9"/>
      <c r="C1558" s="4"/>
      <c r="E1558" s="4"/>
      <c r="F1558" s="4"/>
      <c r="G1558" s="4"/>
      <c r="H1558" s="4"/>
      <c r="I1558" s="8"/>
      <c r="J1558" s="4"/>
      <c r="K1558" s="4"/>
    </row>
    <row r="1559">
      <c r="A1559" s="4"/>
      <c r="B1559" s="4"/>
      <c r="C1559" s="4"/>
      <c r="E1559" s="4"/>
      <c r="F1559" s="4"/>
      <c r="G1559" s="4"/>
      <c r="H1559" s="4"/>
      <c r="J1559" s="4"/>
      <c r="K1559" s="4"/>
    </row>
    <row r="1560">
      <c r="A1560" s="4"/>
      <c r="B1560" s="4"/>
      <c r="C1560" s="4"/>
      <c r="E1560" s="4"/>
      <c r="F1560" s="4"/>
      <c r="G1560" s="4"/>
      <c r="H1560" s="4"/>
      <c r="J1560" s="4"/>
      <c r="K1560" s="4"/>
    </row>
    <row r="1561">
      <c r="A1561" s="4"/>
      <c r="B1561" s="4"/>
      <c r="C1561" s="4"/>
      <c r="E1561" s="4"/>
      <c r="F1561" s="4"/>
      <c r="G1561" s="4"/>
      <c r="H1561" s="4"/>
      <c r="J1561" s="4"/>
      <c r="K1561" s="4"/>
    </row>
    <row r="1562">
      <c r="A1562" s="4"/>
      <c r="B1562" s="4"/>
      <c r="C1562" s="4"/>
      <c r="E1562" s="4"/>
      <c r="F1562" s="4"/>
      <c r="G1562" s="4"/>
      <c r="H1562" s="4"/>
      <c r="J1562" s="4"/>
      <c r="K1562" s="4"/>
    </row>
    <row r="1563">
      <c r="A1563" s="4"/>
      <c r="B1563" s="4"/>
      <c r="C1563" s="4"/>
      <c r="E1563" s="4"/>
      <c r="F1563" s="4"/>
      <c r="G1563" s="4"/>
      <c r="H1563" s="4"/>
      <c r="J1563" s="4"/>
      <c r="K1563" s="4"/>
    </row>
    <row r="1564">
      <c r="A1564" s="4"/>
      <c r="B1564" s="4"/>
      <c r="C1564" s="4"/>
      <c r="E1564" s="4"/>
      <c r="F1564" s="4"/>
      <c r="G1564" s="4"/>
      <c r="H1564" s="4"/>
      <c r="I1564" s="8"/>
      <c r="J1564" s="4"/>
      <c r="K1564" s="4"/>
    </row>
    <row r="1565">
      <c r="A1565" s="4"/>
      <c r="B1565" s="4"/>
      <c r="C1565" s="4"/>
      <c r="E1565" s="4"/>
      <c r="F1565" s="4"/>
      <c r="G1565" s="4"/>
      <c r="H1565" s="4"/>
      <c r="J1565" s="4"/>
      <c r="K1565" s="4"/>
    </row>
    <row r="1566">
      <c r="A1566" s="4"/>
      <c r="B1566" s="4"/>
      <c r="C1566" s="4"/>
      <c r="E1566" s="4"/>
      <c r="F1566" s="4"/>
      <c r="G1566" s="4"/>
      <c r="H1566" s="4"/>
      <c r="I1566" s="8"/>
      <c r="J1566" s="4"/>
      <c r="K1566" s="4"/>
    </row>
    <row r="1567">
      <c r="A1567" s="4"/>
      <c r="B1567" s="4"/>
      <c r="C1567" s="4"/>
      <c r="E1567" s="4"/>
      <c r="F1567" s="4"/>
      <c r="G1567" s="4"/>
      <c r="H1567" s="4"/>
      <c r="I1567" s="8"/>
      <c r="J1567" s="4"/>
      <c r="K1567" s="4"/>
    </row>
    <row r="1568">
      <c r="A1568" s="4"/>
      <c r="B1568" s="4"/>
      <c r="C1568" s="4"/>
      <c r="E1568" s="4"/>
      <c r="F1568" s="4"/>
      <c r="G1568" s="4"/>
      <c r="H1568" s="4"/>
      <c r="J1568" s="4"/>
      <c r="K1568" s="4"/>
    </row>
    <row r="1569">
      <c r="A1569" s="4"/>
      <c r="B1569" s="4"/>
      <c r="C1569" s="4"/>
      <c r="E1569" s="4"/>
      <c r="F1569" s="4"/>
      <c r="G1569" s="4"/>
      <c r="H1569" s="4"/>
      <c r="I1569" s="8"/>
      <c r="J1569" s="4"/>
      <c r="K1569" s="4"/>
    </row>
    <row r="1570">
      <c r="A1570" s="4"/>
      <c r="B1570" s="4"/>
      <c r="C1570" s="4"/>
      <c r="E1570" s="4"/>
      <c r="F1570" s="4"/>
      <c r="G1570" s="4"/>
      <c r="H1570" s="4"/>
      <c r="I1570" s="8"/>
      <c r="J1570" s="4"/>
      <c r="K1570" s="4"/>
    </row>
    <row r="1571">
      <c r="A1571" s="4"/>
      <c r="B1571" s="4"/>
      <c r="C1571" s="4"/>
      <c r="E1571" s="4"/>
      <c r="F1571" s="4"/>
      <c r="G1571" s="4"/>
      <c r="H1571" s="4"/>
      <c r="I1571" s="8"/>
      <c r="J1571" s="4"/>
      <c r="K1571" s="4"/>
    </row>
    <row r="1572">
      <c r="A1572" s="4"/>
      <c r="B1572" s="4"/>
      <c r="C1572" s="4"/>
      <c r="E1572" s="4"/>
      <c r="F1572" s="4"/>
      <c r="G1572" s="4"/>
      <c r="H1572" s="4"/>
      <c r="I1572" s="8"/>
      <c r="J1572" s="4"/>
      <c r="K1572" s="4"/>
    </row>
    <row r="1573">
      <c r="A1573" s="4"/>
      <c r="B1573" s="4"/>
      <c r="C1573" s="4"/>
      <c r="E1573" s="4"/>
      <c r="F1573" s="4"/>
      <c r="G1573" s="4"/>
      <c r="H1573" s="4"/>
      <c r="I1573" s="8"/>
      <c r="J1573" s="4"/>
      <c r="K1573" s="4"/>
    </row>
    <row r="1574">
      <c r="A1574" s="4"/>
      <c r="B1574" s="9"/>
      <c r="C1574" s="4"/>
      <c r="E1574" s="4"/>
      <c r="F1574" s="4"/>
      <c r="G1574" s="4"/>
      <c r="H1574" s="4"/>
      <c r="I1574" s="8"/>
      <c r="J1574" s="4"/>
      <c r="K1574" s="4"/>
    </row>
    <row r="1575">
      <c r="A1575" s="4"/>
      <c r="B1575" s="4"/>
      <c r="C1575" s="4"/>
      <c r="E1575" s="4"/>
      <c r="F1575" s="4"/>
      <c r="G1575" s="4"/>
      <c r="H1575" s="4"/>
      <c r="I1575" s="8"/>
      <c r="J1575" s="4"/>
      <c r="K1575" s="4"/>
    </row>
    <row r="1576">
      <c r="A1576" s="4"/>
      <c r="B1576" s="4"/>
      <c r="C1576" s="4"/>
      <c r="E1576" s="4"/>
      <c r="F1576" s="4"/>
      <c r="G1576" s="4"/>
      <c r="H1576" s="4"/>
      <c r="I1576" s="8"/>
      <c r="J1576" s="4"/>
      <c r="K1576" s="4"/>
    </row>
    <row r="1577">
      <c r="A1577" s="4"/>
      <c r="B1577" s="4"/>
      <c r="C1577" s="4"/>
      <c r="D1577" s="4"/>
      <c r="E1577" s="4"/>
      <c r="F1577" s="4"/>
      <c r="G1577" s="4"/>
      <c r="H1577" s="4"/>
      <c r="I1577" s="8"/>
      <c r="J1577" s="4"/>
      <c r="K1577" s="4"/>
    </row>
    <row r="1578">
      <c r="A1578" s="4"/>
      <c r="B1578" s="4"/>
      <c r="C1578" s="4"/>
      <c r="D1578" s="4"/>
      <c r="E1578" s="4"/>
      <c r="F1578" s="4"/>
      <c r="G1578" s="4"/>
      <c r="H1578" s="4"/>
      <c r="I1578" s="8"/>
      <c r="J1578" s="4"/>
      <c r="K1578" s="4"/>
    </row>
    <row r="1579">
      <c r="A1579" s="4"/>
      <c r="B1579" s="4"/>
      <c r="C1579" s="4"/>
      <c r="D1579" s="4"/>
      <c r="E1579" s="4"/>
      <c r="F1579" s="4"/>
      <c r="G1579" s="4"/>
      <c r="H1579" s="4"/>
      <c r="I1579" s="8"/>
      <c r="J1579" s="4"/>
      <c r="K1579" s="4"/>
    </row>
    <row r="1580">
      <c r="A1580" s="4"/>
      <c r="B1580" s="4"/>
      <c r="C1580" s="4"/>
      <c r="D1580" s="4"/>
      <c r="E1580" s="4"/>
      <c r="F1580" s="4"/>
      <c r="G1580" s="4"/>
      <c r="H1580" s="4"/>
      <c r="I1580" s="8"/>
      <c r="J1580" s="4"/>
      <c r="K1580" s="4"/>
    </row>
    <row r="1581">
      <c r="A1581" s="4"/>
      <c r="B1581" s="4"/>
      <c r="C1581" s="4"/>
      <c r="D1581" s="4"/>
      <c r="E1581" s="4"/>
      <c r="F1581" s="4"/>
      <c r="G1581" s="4"/>
      <c r="H1581" s="4"/>
      <c r="J1581" s="4"/>
      <c r="K1581" s="4"/>
    </row>
    <row r="1582">
      <c r="A1582" s="4"/>
      <c r="B1582" s="4"/>
      <c r="C1582" s="4"/>
      <c r="D1582" s="4"/>
      <c r="E1582" s="4"/>
      <c r="F1582" s="4"/>
      <c r="G1582" s="4"/>
      <c r="H1582" s="4"/>
      <c r="I1582" s="8"/>
      <c r="J1582" s="4"/>
      <c r="K1582" s="4"/>
    </row>
    <row r="1583">
      <c r="A1583" s="4"/>
      <c r="B1583" s="4"/>
      <c r="C1583" s="4"/>
      <c r="D1583" s="4"/>
      <c r="E1583" s="4"/>
      <c r="F1583" s="4"/>
      <c r="G1583" s="4"/>
      <c r="H1583" s="4"/>
      <c r="I1583" s="8"/>
      <c r="J1583" s="4"/>
      <c r="K1583" s="4"/>
    </row>
    <row r="1584">
      <c r="A1584" s="4"/>
      <c r="B1584" s="4"/>
      <c r="C1584" s="4"/>
      <c r="D1584" s="4"/>
      <c r="E1584" s="4"/>
      <c r="F1584" s="4"/>
      <c r="G1584" s="4"/>
      <c r="H1584" s="4"/>
      <c r="J1584" s="4"/>
      <c r="K1584" s="4"/>
    </row>
    <row r="1585">
      <c r="A1585" s="4"/>
      <c r="B1585" s="4"/>
      <c r="C1585" s="4"/>
      <c r="D1585" s="4"/>
      <c r="E1585" s="4"/>
      <c r="F1585" s="4"/>
      <c r="G1585" s="4"/>
      <c r="H1585" s="4"/>
      <c r="J1585" s="4"/>
      <c r="K1585" s="4"/>
    </row>
    <row r="1586">
      <c r="A1586" s="4"/>
      <c r="B1586" s="4"/>
      <c r="C1586" s="4"/>
      <c r="D1586" s="4"/>
      <c r="E1586" s="4"/>
      <c r="F1586" s="4"/>
      <c r="G1586" s="4"/>
      <c r="H1586" s="4"/>
      <c r="J1586" s="4"/>
      <c r="K1586" s="4"/>
    </row>
    <row r="1587">
      <c r="A1587" s="4"/>
      <c r="B1587" s="9"/>
      <c r="C1587" s="4"/>
      <c r="D1587" s="4"/>
      <c r="E1587" s="4"/>
      <c r="F1587" s="4"/>
      <c r="G1587" s="4"/>
      <c r="H1587" s="4"/>
      <c r="I1587" s="8"/>
      <c r="J1587" s="4"/>
      <c r="K1587" s="4"/>
    </row>
    <row r="1588">
      <c r="A1588" s="4"/>
      <c r="B1588" s="4"/>
      <c r="C1588" s="4"/>
      <c r="E1588" s="4"/>
      <c r="F1588" s="4"/>
      <c r="G1588" s="4"/>
      <c r="H1588" s="4"/>
      <c r="I1588" s="8"/>
      <c r="J1588" s="4"/>
      <c r="K1588" s="4"/>
    </row>
    <row r="1589">
      <c r="A1589" s="4"/>
      <c r="B1589" s="9"/>
      <c r="C1589" s="4"/>
      <c r="D1589" s="4"/>
      <c r="E1589" s="4"/>
      <c r="F1589" s="4"/>
      <c r="G1589" s="4"/>
      <c r="H1589" s="4"/>
      <c r="I1589" s="8"/>
      <c r="J1589" s="4"/>
      <c r="K1589" s="4"/>
    </row>
    <row r="1590">
      <c r="A1590" s="4"/>
      <c r="B1590" s="9"/>
      <c r="C1590" s="4"/>
      <c r="D1590" s="4"/>
      <c r="E1590" s="4"/>
      <c r="F1590" s="4"/>
      <c r="G1590" s="4"/>
      <c r="H1590" s="4"/>
      <c r="I1590" s="8"/>
      <c r="J1590" s="4"/>
      <c r="K1590" s="4"/>
    </row>
    <row r="1591">
      <c r="A1591" s="4"/>
      <c r="B1591" s="9"/>
      <c r="C1591" s="4"/>
      <c r="D1591" s="4"/>
      <c r="E1591" s="4"/>
      <c r="F1591" s="4"/>
      <c r="G1591" s="4"/>
      <c r="H1591" s="4"/>
      <c r="I1591" s="8"/>
      <c r="J1591" s="4"/>
      <c r="K1591" s="4"/>
    </row>
    <row r="1592">
      <c r="A1592" s="4"/>
      <c r="B1592" s="9"/>
      <c r="C1592" s="4"/>
      <c r="D1592" s="4"/>
      <c r="E1592" s="4"/>
      <c r="F1592" s="4"/>
      <c r="G1592" s="4"/>
      <c r="H1592" s="4"/>
      <c r="I1592" s="8"/>
      <c r="J1592" s="4"/>
      <c r="K1592" s="4"/>
    </row>
    <row r="1593">
      <c r="A1593" s="4"/>
      <c r="B1593" s="9"/>
      <c r="C1593" s="4"/>
      <c r="D1593" s="4"/>
      <c r="E1593" s="4"/>
      <c r="F1593" s="4"/>
      <c r="G1593" s="4"/>
      <c r="H1593" s="4"/>
      <c r="I1593" s="8"/>
      <c r="J1593" s="4"/>
      <c r="K1593" s="4"/>
    </row>
    <row r="1594">
      <c r="A1594" s="4"/>
      <c r="B1594" s="9"/>
      <c r="C1594" s="4"/>
      <c r="D1594" s="4"/>
      <c r="E1594" s="4"/>
      <c r="F1594" s="4"/>
      <c r="G1594" s="4"/>
      <c r="H1594" s="4"/>
      <c r="I1594" s="8"/>
      <c r="J1594" s="4"/>
      <c r="K1594" s="4"/>
    </row>
    <row r="1595">
      <c r="A1595" s="4"/>
      <c r="B1595" s="9"/>
      <c r="C1595" s="4"/>
      <c r="D1595" s="4"/>
      <c r="E1595" s="4"/>
      <c r="F1595" s="4"/>
      <c r="G1595" s="4"/>
      <c r="H1595" s="4"/>
      <c r="I1595" s="8"/>
      <c r="J1595" s="4"/>
      <c r="K1595" s="4"/>
    </row>
    <row r="1596">
      <c r="A1596" s="4"/>
      <c r="B1596" s="4"/>
      <c r="C1596" s="4"/>
      <c r="E1596" s="4"/>
      <c r="F1596" s="4"/>
      <c r="G1596" s="4"/>
      <c r="H1596" s="4"/>
      <c r="I1596" s="8"/>
      <c r="J1596" s="4"/>
      <c r="K1596" s="4"/>
    </row>
    <row r="1597">
      <c r="A1597" s="4"/>
      <c r="B1597" s="9"/>
      <c r="C1597" s="4"/>
      <c r="E1597" s="4"/>
      <c r="F1597" s="4"/>
      <c r="G1597" s="4"/>
      <c r="H1597" s="4"/>
      <c r="I1597" s="8"/>
      <c r="J1597" s="4"/>
      <c r="K1597" s="4"/>
    </row>
    <row r="1598">
      <c r="A1598" s="4"/>
      <c r="B1598" s="9"/>
      <c r="C1598" s="4"/>
      <c r="E1598" s="4"/>
      <c r="F1598" s="4"/>
      <c r="G1598" s="4"/>
      <c r="H1598" s="4"/>
      <c r="I1598" s="8"/>
      <c r="J1598" s="4"/>
      <c r="K1598" s="4"/>
    </row>
    <row r="1599">
      <c r="A1599" s="4"/>
      <c r="B1599" s="9"/>
      <c r="C1599" s="4"/>
      <c r="E1599" s="4"/>
      <c r="F1599" s="4"/>
      <c r="G1599" s="4"/>
      <c r="H1599" s="4"/>
      <c r="I1599" s="8"/>
      <c r="J1599" s="4"/>
      <c r="K1599" s="4"/>
    </row>
    <row r="1600">
      <c r="A1600" s="4"/>
      <c r="B1600" s="9"/>
      <c r="C1600" s="4"/>
      <c r="D1600" s="4"/>
      <c r="E1600" s="4"/>
      <c r="F1600" s="4"/>
      <c r="G1600" s="4"/>
      <c r="H1600" s="4"/>
      <c r="J1600" s="4"/>
      <c r="K1600" s="4"/>
    </row>
    <row r="1601">
      <c r="A1601" s="4"/>
      <c r="B1601" s="9"/>
      <c r="C1601" s="4"/>
      <c r="D1601" s="4"/>
      <c r="E1601" s="4"/>
      <c r="F1601" s="4"/>
      <c r="G1601" s="4"/>
      <c r="H1601" s="4"/>
      <c r="J1601" s="4"/>
      <c r="K1601" s="4"/>
    </row>
    <row r="1602">
      <c r="A1602" s="4"/>
      <c r="B1602" s="9"/>
      <c r="C1602" s="4"/>
      <c r="D1602" s="4"/>
      <c r="E1602" s="4"/>
      <c r="F1602" s="4"/>
      <c r="G1602" s="4"/>
      <c r="H1602" s="4"/>
      <c r="J1602" s="4"/>
      <c r="K1602" s="4"/>
    </row>
    <row r="1603">
      <c r="A1603" s="4"/>
      <c r="B1603" s="9"/>
      <c r="C1603" s="4"/>
      <c r="D1603" s="4"/>
      <c r="E1603" s="4"/>
      <c r="F1603" s="4"/>
      <c r="G1603" s="4"/>
      <c r="H1603" s="4"/>
      <c r="J1603" s="4"/>
      <c r="K1603" s="4"/>
    </row>
    <row r="1604">
      <c r="A1604" s="4"/>
      <c r="B1604" s="9"/>
      <c r="C1604" s="4"/>
      <c r="D1604" s="4"/>
      <c r="E1604" s="4"/>
      <c r="F1604" s="4"/>
      <c r="G1604" s="4"/>
      <c r="H1604" s="4"/>
      <c r="J1604" s="4"/>
      <c r="K1604" s="4"/>
    </row>
    <row r="1605">
      <c r="A1605" s="4"/>
      <c r="B1605" s="9"/>
      <c r="C1605" s="4"/>
      <c r="E1605" s="4"/>
      <c r="F1605" s="4"/>
      <c r="G1605" s="4"/>
      <c r="H1605" s="4"/>
      <c r="I1605" s="8"/>
      <c r="J1605" s="4"/>
      <c r="K1605" s="4"/>
    </row>
    <row r="1606">
      <c r="A1606" s="4"/>
      <c r="B1606" s="9"/>
      <c r="C1606" s="4"/>
      <c r="E1606" s="4"/>
      <c r="F1606" s="4"/>
      <c r="G1606" s="4"/>
      <c r="H1606" s="4"/>
      <c r="I1606" s="8"/>
      <c r="J1606" s="4"/>
      <c r="K1606" s="4"/>
    </row>
    <row r="1607">
      <c r="A1607" s="4"/>
      <c r="B1607" s="9"/>
      <c r="C1607" s="4"/>
      <c r="E1607" s="4"/>
      <c r="F1607" s="4"/>
      <c r="G1607" s="4"/>
      <c r="H1607" s="4"/>
      <c r="I1607" s="8"/>
      <c r="J1607" s="4"/>
      <c r="K1607" s="4"/>
    </row>
    <row r="1608">
      <c r="A1608" s="4"/>
      <c r="B1608" s="9"/>
      <c r="C1608" s="4"/>
      <c r="E1608" s="4"/>
      <c r="F1608" s="4"/>
      <c r="G1608" s="4"/>
      <c r="H1608" s="4"/>
      <c r="I1608" s="8"/>
      <c r="J1608" s="4"/>
      <c r="K1608" s="4"/>
    </row>
    <row r="1609">
      <c r="A1609" s="4"/>
      <c r="B1609" s="9"/>
      <c r="C1609" s="4"/>
      <c r="E1609" s="4"/>
      <c r="F1609" s="4"/>
      <c r="G1609" s="4"/>
      <c r="H1609" s="4"/>
      <c r="I1609" s="8"/>
      <c r="J1609" s="4"/>
      <c r="K1609" s="4"/>
    </row>
    <row r="1610">
      <c r="A1610" s="4"/>
      <c r="B1610" s="9"/>
      <c r="C1610" s="4"/>
      <c r="E1610" s="4"/>
      <c r="F1610" s="4"/>
      <c r="G1610" s="4"/>
      <c r="H1610" s="4"/>
      <c r="I1610" s="8"/>
      <c r="J1610" s="4"/>
      <c r="K1610" s="4"/>
    </row>
    <row r="1611">
      <c r="A1611" s="4"/>
      <c r="B1611" s="9"/>
      <c r="C1611" s="4"/>
      <c r="E1611" s="4"/>
      <c r="F1611" s="4"/>
      <c r="G1611" s="4"/>
      <c r="H1611" s="4"/>
      <c r="I1611" s="8"/>
      <c r="J1611" s="4"/>
      <c r="K1611" s="4"/>
    </row>
    <row r="1612">
      <c r="A1612" s="4"/>
      <c r="B1612" s="4"/>
      <c r="C1612" s="4"/>
      <c r="E1612" s="4"/>
      <c r="F1612" s="4"/>
      <c r="G1612" s="4"/>
      <c r="H1612" s="4"/>
      <c r="J1612" s="4"/>
      <c r="K1612" s="4"/>
    </row>
    <row r="1613">
      <c r="A1613" s="4"/>
      <c r="B1613" s="4"/>
      <c r="C1613" s="4"/>
      <c r="E1613" s="4"/>
      <c r="F1613" s="4"/>
      <c r="G1613" s="4"/>
      <c r="H1613" s="4"/>
      <c r="I1613" s="8"/>
      <c r="J1613" s="4"/>
      <c r="K1613" s="4"/>
    </row>
    <row r="1614">
      <c r="A1614" s="4"/>
      <c r="B1614" s="4"/>
      <c r="C1614" s="4"/>
      <c r="E1614" s="4"/>
      <c r="F1614" s="4"/>
      <c r="G1614" s="4"/>
      <c r="H1614" s="4"/>
      <c r="I1614" s="8"/>
      <c r="J1614" s="4"/>
      <c r="K1614" s="4"/>
    </row>
    <row r="1615">
      <c r="A1615" s="4"/>
      <c r="B1615" s="4"/>
      <c r="C1615" s="4"/>
      <c r="E1615" s="4"/>
      <c r="F1615" s="4"/>
      <c r="G1615" s="4"/>
      <c r="H1615" s="4"/>
      <c r="I1615" s="8"/>
      <c r="J1615" s="4"/>
      <c r="K1615" s="4"/>
    </row>
    <row r="1616">
      <c r="A1616" s="4"/>
      <c r="B1616" s="4"/>
      <c r="C1616" s="4"/>
      <c r="E1616" s="4"/>
      <c r="F1616" s="4"/>
      <c r="G1616" s="4"/>
      <c r="H1616" s="4"/>
      <c r="I1616" s="8"/>
      <c r="J1616" s="4"/>
      <c r="K1616" s="4"/>
    </row>
    <row r="1617">
      <c r="A1617" s="4"/>
      <c r="B1617" s="4"/>
      <c r="C1617" s="4"/>
      <c r="E1617" s="4"/>
      <c r="F1617" s="4"/>
      <c r="G1617" s="4"/>
      <c r="H1617" s="4"/>
      <c r="J1617" s="4"/>
      <c r="K1617" s="4"/>
    </row>
    <row r="1618">
      <c r="A1618" s="4"/>
      <c r="B1618" s="4"/>
      <c r="C1618" s="4"/>
      <c r="E1618" s="4"/>
      <c r="F1618" s="4"/>
      <c r="G1618" s="4"/>
      <c r="H1618" s="4"/>
      <c r="J1618" s="4"/>
      <c r="K1618" s="4"/>
    </row>
    <row r="1619">
      <c r="A1619" s="4"/>
      <c r="B1619" s="4"/>
      <c r="C1619" s="4"/>
      <c r="E1619" s="4"/>
      <c r="F1619" s="4"/>
      <c r="G1619" s="4"/>
      <c r="H1619" s="4"/>
      <c r="J1619" s="4"/>
      <c r="K1619" s="4"/>
    </row>
    <row r="1620">
      <c r="A1620" s="4"/>
      <c r="B1620" s="9"/>
      <c r="C1620" s="4"/>
      <c r="E1620" s="4"/>
      <c r="F1620" s="4"/>
      <c r="G1620" s="4"/>
      <c r="H1620" s="4"/>
      <c r="I1620" s="8"/>
      <c r="J1620" s="4"/>
      <c r="K1620" s="4"/>
    </row>
    <row r="1621">
      <c r="A1621" s="4"/>
      <c r="B1621" s="9"/>
      <c r="C1621" s="4"/>
      <c r="E1621" s="4"/>
      <c r="F1621" s="4"/>
      <c r="G1621" s="4"/>
      <c r="H1621" s="4"/>
      <c r="I1621" s="8"/>
      <c r="J1621" s="4"/>
      <c r="K1621" s="4"/>
    </row>
    <row r="1622">
      <c r="A1622" s="4"/>
      <c r="B1622" s="4"/>
      <c r="C1622" s="4"/>
      <c r="E1622" s="4"/>
      <c r="F1622" s="4"/>
      <c r="G1622" s="4"/>
      <c r="H1622" s="4"/>
      <c r="I1622" s="8"/>
      <c r="J1622" s="4"/>
      <c r="K1622" s="4"/>
    </row>
    <row r="1623">
      <c r="A1623" s="4"/>
      <c r="B1623" s="4"/>
      <c r="C1623" s="4"/>
      <c r="E1623" s="4"/>
      <c r="F1623" s="4"/>
      <c r="G1623" s="4"/>
      <c r="H1623" s="4"/>
      <c r="I1623" s="8"/>
      <c r="J1623" s="4"/>
      <c r="K1623" s="4"/>
    </row>
    <row r="1624">
      <c r="A1624" s="4"/>
      <c r="B1624" s="4"/>
      <c r="C1624" s="4"/>
      <c r="E1624" s="4"/>
      <c r="F1624" s="4"/>
      <c r="G1624" s="4"/>
      <c r="H1624" s="4"/>
      <c r="I1624" s="8"/>
      <c r="J1624" s="4"/>
      <c r="K1624" s="4"/>
    </row>
    <row r="1625">
      <c r="A1625" s="4"/>
      <c r="B1625" s="9"/>
      <c r="C1625" s="4"/>
      <c r="E1625" s="4"/>
      <c r="F1625" s="4"/>
      <c r="G1625" s="4"/>
      <c r="H1625" s="4"/>
      <c r="I1625" s="8"/>
      <c r="J1625" s="4"/>
      <c r="K1625" s="4"/>
    </row>
    <row r="1626">
      <c r="A1626" s="4"/>
      <c r="B1626" s="9"/>
      <c r="C1626" s="4"/>
      <c r="E1626" s="4"/>
      <c r="F1626" s="4"/>
      <c r="G1626" s="4"/>
      <c r="H1626" s="4"/>
      <c r="I1626" s="8"/>
      <c r="J1626" s="4"/>
      <c r="K1626" s="4"/>
    </row>
    <row r="1627">
      <c r="A1627" s="4"/>
      <c r="B1627" s="9"/>
      <c r="C1627" s="4"/>
      <c r="E1627" s="4"/>
      <c r="F1627" s="4"/>
      <c r="G1627" s="4"/>
      <c r="H1627" s="4"/>
      <c r="J1627" s="4"/>
      <c r="K1627" s="4"/>
    </row>
    <row r="1628">
      <c r="A1628" s="4"/>
      <c r="B1628" s="9"/>
      <c r="C1628" s="4"/>
      <c r="E1628" s="4"/>
      <c r="F1628" s="4"/>
      <c r="G1628" s="4"/>
      <c r="H1628" s="4"/>
      <c r="I1628" s="8"/>
      <c r="J1628" s="4"/>
      <c r="K1628" s="4"/>
    </row>
    <row r="1629">
      <c r="A1629" s="4"/>
      <c r="B1629" s="9"/>
      <c r="C1629" s="4"/>
      <c r="E1629" s="4"/>
      <c r="F1629" s="4"/>
      <c r="G1629" s="4"/>
      <c r="H1629" s="4"/>
      <c r="I1629" s="8"/>
      <c r="J1629" s="4"/>
      <c r="K1629" s="4"/>
    </row>
    <row r="1630">
      <c r="A1630" s="4"/>
      <c r="B1630" s="9"/>
      <c r="C1630" s="4"/>
      <c r="E1630" s="4"/>
      <c r="F1630" s="4"/>
      <c r="G1630" s="4"/>
      <c r="H1630" s="4"/>
      <c r="J1630" s="4"/>
      <c r="K1630" s="4"/>
    </row>
    <row r="1631">
      <c r="A1631" s="4"/>
      <c r="B1631" s="4"/>
      <c r="C1631" s="4"/>
      <c r="E1631" s="4"/>
      <c r="F1631" s="4"/>
      <c r="G1631" s="4"/>
      <c r="H1631" s="4"/>
      <c r="I1631" s="8"/>
      <c r="J1631" s="4"/>
      <c r="K1631" s="4"/>
    </row>
    <row r="1632">
      <c r="A1632" s="4"/>
      <c r="B1632" s="4"/>
      <c r="C1632" s="4"/>
      <c r="E1632" s="4"/>
      <c r="F1632" s="4"/>
      <c r="G1632" s="4"/>
      <c r="H1632" s="4"/>
      <c r="I1632" s="8"/>
      <c r="J1632" s="4"/>
      <c r="K1632" s="4"/>
    </row>
    <row r="1633">
      <c r="A1633" s="4"/>
      <c r="B1633" s="4"/>
      <c r="C1633" s="4"/>
      <c r="E1633" s="4"/>
      <c r="F1633" s="4"/>
      <c r="G1633" s="4"/>
      <c r="H1633" s="4"/>
      <c r="I1633" s="8"/>
      <c r="J1633" s="4"/>
      <c r="K1633" s="4"/>
    </row>
    <row r="1634">
      <c r="A1634" s="4"/>
      <c r="B1634" s="4"/>
      <c r="C1634" s="4"/>
      <c r="E1634" s="4"/>
      <c r="F1634" s="4"/>
      <c r="G1634" s="4"/>
      <c r="H1634" s="4"/>
      <c r="J1634" s="4"/>
      <c r="K1634" s="4"/>
    </row>
    <row r="1635">
      <c r="A1635" s="4"/>
      <c r="B1635" s="4"/>
      <c r="C1635" s="4"/>
      <c r="E1635" s="4"/>
      <c r="F1635" s="4"/>
      <c r="G1635" s="4"/>
      <c r="H1635" s="4"/>
      <c r="J1635" s="4"/>
      <c r="K1635" s="4"/>
    </row>
    <row r="1636">
      <c r="A1636" s="4"/>
      <c r="B1636" s="4"/>
      <c r="C1636" s="4"/>
      <c r="E1636" s="4"/>
      <c r="F1636" s="4"/>
      <c r="G1636" s="4"/>
      <c r="H1636" s="4"/>
      <c r="J1636" s="4"/>
      <c r="K1636" s="4"/>
    </row>
    <row r="1637">
      <c r="A1637" s="4"/>
      <c r="B1637" s="4"/>
      <c r="C1637" s="4"/>
      <c r="E1637" s="4"/>
      <c r="F1637" s="4"/>
      <c r="G1637" s="4"/>
      <c r="H1637" s="4"/>
      <c r="I1637" s="8"/>
      <c r="J1637" s="4"/>
      <c r="K1637" s="4"/>
    </row>
    <row r="1638">
      <c r="A1638" s="4"/>
      <c r="B1638" s="4"/>
      <c r="C1638" s="4"/>
      <c r="E1638" s="4"/>
      <c r="F1638" s="4"/>
      <c r="G1638" s="4"/>
      <c r="H1638" s="4"/>
      <c r="I1638" s="8"/>
      <c r="J1638" s="4"/>
      <c r="K1638" s="4"/>
    </row>
    <row r="1639">
      <c r="A1639" s="4"/>
      <c r="B1639" s="4"/>
      <c r="C1639" s="4"/>
      <c r="D1639" s="4"/>
      <c r="E1639" s="4"/>
      <c r="F1639" s="4"/>
      <c r="G1639" s="4"/>
      <c r="H1639" s="4"/>
      <c r="I1639" s="8"/>
      <c r="J1639" s="4"/>
      <c r="K1639" s="4"/>
    </row>
    <row r="1640">
      <c r="A1640" s="4"/>
      <c r="B1640" s="9"/>
      <c r="C1640" s="4"/>
      <c r="D1640" s="4"/>
      <c r="E1640" s="4"/>
      <c r="F1640" s="4"/>
      <c r="G1640" s="4"/>
      <c r="H1640" s="4"/>
      <c r="I1640" s="8"/>
      <c r="J1640" s="4"/>
      <c r="K1640" s="4"/>
    </row>
    <row r="1641">
      <c r="A1641" s="4"/>
      <c r="B1641" s="9"/>
      <c r="C1641" s="4"/>
      <c r="D1641" s="4"/>
      <c r="E1641" s="4"/>
      <c r="F1641" s="4"/>
      <c r="G1641" s="4"/>
      <c r="H1641" s="4"/>
      <c r="I1641" s="8"/>
      <c r="J1641" s="4"/>
      <c r="K1641" s="4"/>
    </row>
    <row r="1642">
      <c r="A1642" s="4"/>
      <c r="B1642" s="9"/>
      <c r="C1642" s="4"/>
      <c r="D1642" s="4"/>
      <c r="E1642" s="4"/>
      <c r="F1642" s="4"/>
      <c r="G1642" s="4"/>
      <c r="H1642" s="4"/>
      <c r="I1642" s="8"/>
      <c r="J1642" s="4"/>
      <c r="K1642" s="4"/>
    </row>
    <row r="1643">
      <c r="A1643" s="4"/>
      <c r="B1643" s="9"/>
      <c r="C1643" s="4"/>
      <c r="D1643" s="4"/>
      <c r="E1643" s="4"/>
      <c r="F1643" s="4"/>
      <c r="G1643" s="4"/>
      <c r="H1643" s="4"/>
      <c r="I1643" s="8"/>
      <c r="J1643" s="4"/>
      <c r="K1643" s="4"/>
    </row>
    <row r="1644">
      <c r="A1644" s="4"/>
      <c r="B1644" s="9"/>
      <c r="C1644" s="4"/>
      <c r="D1644" s="4"/>
      <c r="E1644" s="4"/>
      <c r="F1644" s="4"/>
      <c r="G1644" s="4"/>
      <c r="H1644" s="4"/>
      <c r="I1644" s="8"/>
      <c r="J1644" s="4"/>
      <c r="K1644" s="4"/>
    </row>
    <row r="1645">
      <c r="A1645" s="4"/>
      <c r="B1645" s="4"/>
      <c r="C1645" s="4"/>
      <c r="D1645" s="4"/>
      <c r="E1645" s="4"/>
      <c r="F1645" s="4"/>
      <c r="G1645" s="4"/>
      <c r="H1645" s="4"/>
      <c r="I1645" s="8"/>
      <c r="J1645" s="4"/>
      <c r="K1645" s="4"/>
    </row>
    <row r="1646">
      <c r="A1646" s="4"/>
      <c r="B1646" s="4"/>
      <c r="C1646" s="4"/>
      <c r="D1646" s="4"/>
      <c r="E1646" s="4"/>
      <c r="F1646" s="4"/>
      <c r="G1646" s="4"/>
      <c r="H1646" s="4"/>
      <c r="I1646" s="8"/>
      <c r="J1646" s="4"/>
      <c r="K1646" s="4"/>
    </row>
    <row r="1647">
      <c r="A1647" s="4"/>
      <c r="B1647" s="4"/>
      <c r="C1647" s="4"/>
      <c r="D1647" s="4"/>
      <c r="E1647" s="4"/>
      <c r="F1647" s="4"/>
      <c r="G1647" s="4"/>
      <c r="H1647" s="4"/>
      <c r="I1647" s="8"/>
      <c r="J1647" s="4"/>
      <c r="K1647" s="4"/>
    </row>
    <row r="1648">
      <c r="A1648" s="4"/>
      <c r="B1648" s="4"/>
      <c r="C1648" s="4"/>
      <c r="D1648" s="4"/>
      <c r="E1648" s="4"/>
      <c r="F1648" s="4"/>
      <c r="G1648" s="4"/>
      <c r="H1648" s="4"/>
      <c r="I1648" s="8"/>
      <c r="J1648" s="4"/>
      <c r="K1648" s="4"/>
    </row>
    <row r="1649">
      <c r="A1649" s="4"/>
      <c r="B1649" s="4"/>
      <c r="C1649" s="4"/>
      <c r="D1649" s="4"/>
      <c r="E1649" s="4"/>
      <c r="F1649" s="4"/>
      <c r="G1649" s="4"/>
      <c r="H1649" s="4"/>
      <c r="I1649" s="8"/>
      <c r="J1649" s="4"/>
      <c r="K1649" s="4"/>
    </row>
    <row r="1650">
      <c r="A1650" s="4"/>
      <c r="B1650" s="4"/>
      <c r="C1650" s="4"/>
      <c r="D1650" s="4"/>
      <c r="E1650" s="4"/>
      <c r="F1650" s="4"/>
      <c r="G1650" s="4"/>
      <c r="H1650" s="4"/>
      <c r="I1650" s="8"/>
      <c r="J1650" s="4"/>
      <c r="K1650" s="4"/>
    </row>
    <row r="1651">
      <c r="A1651" s="4"/>
      <c r="B1651" s="4"/>
      <c r="C1651" s="4"/>
      <c r="D1651" s="4"/>
      <c r="E1651" s="4"/>
      <c r="F1651" s="4"/>
      <c r="G1651" s="4"/>
      <c r="H1651" s="4"/>
      <c r="I1651" s="8"/>
      <c r="J1651" s="4"/>
      <c r="K1651" s="4"/>
    </row>
    <row r="1652">
      <c r="A1652" s="4"/>
      <c r="B1652" s="4"/>
      <c r="C1652" s="4"/>
      <c r="E1652" s="4"/>
      <c r="F1652" s="4"/>
      <c r="G1652" s="4"/>
      <c r="H1652" s="4"/>
      <c r="I1652" s="8"/>
      <c r="J1652" s="4"/>
      <c r="K1652" s="4"/>
    </row>
    <row r="1653">
      <c r="A1653" s="4"/>
      <c r="B1653" s="4"/>
      <c r="C1653" s="4"/>
      <c r="E1653" s="4"/>
      <c r="F1653" s="4"/>
      <c r="G1653" s="4"/>
      <c r="H1653" s="4"/>
      <c r="I1653" s="8"/>
      <c r="J1653" s="4"/>
      <c r="K1653" s="4"/>
    </row>
    <row r="1654">
      <c r="A1654" s="4"/>
      <c r="B1654" s="9"/>
      <c r="C1654" s="4"/>
      <c r="E1654" s="4"/>
      <c r="F1654" s="4"/>
      <c r="G1654" s="4"/>
      <c r="H1654" s="4"/>
      <c r="I1654" s="8"/>
      <c r="J1654" s="4"/>
      <c r="K1654" s="4"/>
    </row>
    <row r="1655">
      <c r="A1655" s="4"/>
      <c r="B1655" s="9"/>
      <c r="C1655" s="4"/>
      <c r="E1655" s="4"/>
      <c r="F1655" s="4"/>
      <c r="G1655" s="4"/>
      <c r="H1655" s="4"/>
      <c r="I1655" s="8"/>
      <c r="J1655" s="4"/>
      <c r="K1655" s="4"/>
    </row>
    <row r="1656">
      <c r="A1656" s="4"/>
      <c r="B1656" s="9"/>
      <c r="C1656" s="4"/>
      <c r="F1656" s="4"/>
      <c r="G1656" s="4"/>
      <c r="H1656" s="4"/>
      <c r="I1656" s="8"/>
      <c r="J1656" s="4"/>
      <c r="K1656" s="4"/>
    </row>
    <row r="1657">
      <c r="A1657" s="4"/>
      <c r="B1657" s="9"/>
      <c r="C1657" s="4"/>
      <c r="F1657" s="4"/>
      <c r="G1657" s="4"/>
      <c r="H1657" s="4"/>
      <c r="I1657" s="8"/>
      <c r="J1657" s="4"/>
      <c r="K1657" s="4"/>
    </row>
    <row r="1658">
      <c r="A1658" s="4"/>
      <c r="B1658" s="9"/>
      <c r="C1658" s="4"/>
      <c r="E1658" s="4"/>
      <c r="F1658" s="4"/>
      <c r="G1658" s="4"/>
      <c r="H1658" s="4"/>
      <c r="I1658" s="8"/>
      <c r="J1658" s="4"/>
      <c r="K1658" s="4"/>
    </row>
    <row r="1659">
      <c r="A1659" s="4"/>
      <c r="B1659" s="9"/>
      <c r="C1659" s="4"/>
      <c r="E1659" s="4"/>
      <c r="F1659" s="4"/>
      <c r="G1659" s="4"/>
      <c r="H1659" s="4"/>
      <c r="I1659" s="8"/>
      <c r="J1659" s="4"/>
      <c r="K1659" s="4"/>
    </row>
    <row r="1660">
      <c r="A1660" s="4"/>
      <c r="B1660" s="9"/>
      <c r="C1660" s="4"/>
      <c r="E1660" s="4"/>
      <c r="F1660" s="4"/>
      <c r="G1660" s="4"/>
      <c r="H1660" s="4"/>
      <c r="I1660" s="8"/>
      <c r="J1660" s="4"/>
      <c r="K1660" s="4"/>
    </row>
    <row r="1661">
      <c r="A1661" s="4"/>
      <c r="B1661" s="9"/>
      <c r="C1661" s="4"/>
      <c r="E1661" s="4"/>
      <c r="F1661" s="4"/>
      <c r="G1661" s="4"/>
      <c r="H1661" s="4"/>
      <c r="I1661" s="8"/>
      <c r="J1661" s="4"/>
      <c r="K1661" s="4"/>
    </row>
    <row r="1662">
      <c r="A1662" s="4"/>
      <c r="B1662" s="4"/>
      <c r="C1662" s="4"/>
      <c r="E1662" s="4"/>
      <c r="F1662" s="4"/>
      <c r="G1662" s="4"/>
      <c r="H1662" s="4"/>
      <c r="I1662" s="8"/>
      <c r="J1662" s="4"/>
      <c r="K1662" s="4"/>
    </row>
    <row r="1663">
      <c r="A1663" s="4"/>
      <c r="B1663" s="9"/>
      <c r="C1663" s="4"/>
      <c r="D1663" s="4"/>
      <c r="E1663" s="4"/>
      <c r="F1663" s="4"/>
      <c r="G1663" s="4"/>
      <c r="H1663" s="4"/>
      <c r="I1663" s="8"/>
      <c r="J1663" s="4"/>
      <c r="K1663" s="4"/>
    </row>
    <row r="1664">
      <c r="A1664" s="4"/>
      <c r="B1664" s="9"/>
      <c r="C1664" s="4"/>
      <c r="D1664" s="4"/>
      <c r="E1664" s="4"/>
      <c r="F1664" s="4"/>
      <c r="G1664" s="4"/>
      <c r="H1664" s="4"/>
      <c r="I1664" s="8"/>
      <c r="J1664" s="4"/>
      <c r="K1664" s="4"/>
    </row>
    <row r="1665">
      <c r="A1665" s="4"/>
      <c r="B1665" s="9"/>
      <c r="C1665" s="4"/>
      <c r="D1665" s="4"/>
      <c r="E1665" s="4"/>
      <c r="F1665" s="4"/>
      <c r="G1665" s="4"/>
      <c r="H1665" s="4"/>
      <c r="I1665" s="8"/>
      <c r="J1665" s="4"/>
      <c r="K1665" s="4"/>
    </row>
    <row r="1666">
      <c r="A1666" s="4"/>
      <c r="B1666" s="9"/>
      <c r="C1666" s="4"/>
      <c r="D1666" s="4"/>
      <c r="E1666" s="4"/>
      <c r="F1666" s="4"/>
      <c r="G1666" s="4"/>
      <c r="H1666" s="4"/>
      <c r="I1666" s="8"/>
      <c r="J1666" s="4"/>
      <c r="K1666" s="4"/>
    </row>
    <row r="1667">
      <c r="A1667" s="4"/>
      <c r="B1667" s="9"/>
      <c r="C1667" s="4"/>
      <c r="D1667" s="4"/>
      <c r="E1667" s="4"/>
      <c r="F1667" s="4"/>
      <c r="G1667" s="4"/>
      <c r="H1667" s="4"/>
      <c r="I1667" s="8"/>
      <c r="J1667" s="4"/>
      <c r="K1667" s="4"/>
    </row>
    <row r="1668">
      <c r="A1668" s="4"/>
      <c r="B1668" s="4"/>
      <c r="C1668" s="4"/>
      <c r="E1668" s="4"/>
      <c r="F1668" s="4"/>
      <c r="G1668" s="4"/>
      <c r="H1668" s="4"/>
      <c r="I1668" s="8"/>
      <c r="J1668" s="4"/>
      <c r="K1668" s="4"/>
    </row>
    <row r="1669">
      <c r="A1669" s="4"/>
      <c r="B1669" s="4"/>
      <c r="C1669" s="4"/>
      <c r="E1669" s="4"/>
      <c r="F1669" s="4"/>
      <c r="G1669" s="4"/>
      <c r="H1669" s="4"/>
      <c r="I1669" s="8"/>
      <c r="J1669" s="4"/>
      <c r="K1669" s="4"/>
    </row>
    <row r="1670">
      <c r="A1670" s="4"/>
      <c r="B1670" s="4"/>
      <c r="C1670" s="4"/>
      <c r="E1670" s="4"/>
      <c r="F1670" s="4"/>
      <c r="G1670" s="4"/>
      <c r="H1670" s="4"/>
      <c r="I1670" s="8"/>
      <c r="J1670" s="4"/>
      <c r="K1670" s="4"/>
    </row>
    <row r="1671">
      <c r="A1671" s="4"/>
      <c r="B1671" s="4"/>
      <c r="C1671" s="4"/>
      <c r="E1671" s="4"/>
      <c r="F1671" s="4"/>
      <c r="G1671" s="4"/>
      <c r="H1671" s="4"/>
      <c r="I1671" s="8"/>
      <c r="J1671" s="4"/>
      <c r="K1671" s="4"/>
    </row>
    <row r="1672">
      <c r="A1672" s="4"/>
      <c r="B1672" s="4"/>
      <c r="C1672" s="4"/>
      <c r="D1672" s="4"/>
      <c r="E1672" s="4"/>
      <c r="F1672" s="4"/>
      <c r="G1672" s="4"/>
      <c r="H1672" s="4"/>
      <c r="J1672" s="4"/>
      <c r="K1672" s="4"/>
    </row>
    <row r="1673">
      <c r="A1673" s="4"/>
      <c r="B1673" s="4"/>
      <c r="C1673" s="4"/>
      <c r="D1673" s="4"/>
      <c r="E1673" s="4"/>
      <c r="F1673" s="4"/>
      <c r="G1673" s="4"/>
      <c r="H1673" s="4"/>
      <c r="I1673" s="8"/>
      <c r="J1673" s="4"/>
      <c r="K1673" s="4"/>
    </row>
    <row r="1674">
      <c r="A1674" s="4"/>
      <c r="B1674" s="4"/>
      <c r="C1674" s="4"/>
      <c r="D1674" s="4"/>
      <c r="E1674" s="4"/>
      <c r="F1674" s="4"/>
      <c r="G1674" s="4"/>
      <c r="H1674" s="4"/>
      <c r="I1674" s="8"/>
      <c r="J1674" s="4"/>
      <c r="K1674" s="4"/>
    </row>
    <row r="1675">
      <c r="A1675" s="4"/>
      <c r="B1675" s="4"/>
      <c r="C1675" s="4"/>
      <c r="E1675" s="4"/>
      <c r="F1675" s="4"/>
      <c r="G1675" s="4"/>
      <c r="H1675" s="4"/>
      <c r="J1675" s="4"/>
      <c r="K1675" s="4"/>
    </row>
    <row r="1676">
      <c r="A1676" s="4"/>
      <c r="B1676" s="9"/>
      <c r="C1676" s="4"/>
      <c r="E1676" s="4"/>
      <c r="F1676" s="4"/>
      <c r="G1676" s="4"/>
      <c r="H1676" s="4"/>
      <c r="I1676" s="8"/>
      <c r="J1676" s="4"/>
      <c r="K1676" s="4"/>
    </row>
    <row r="1677">
      <c r="A1677" s="4"/>
      <c r="B1677" s="9"/>
      <c r="C1677" s="4"/>
      <c r="E1677" s="4"/>
      <c r="F1677" s="4"/>
      <c r="G1677" s="4"/>
      <c r="H1677" s="4"/>
      <c r="I1677" s="8"/>
      <c r="J1677" s="4"/>
      <c r="K1677" s="4"/>
    </row>
    <row r="1678">
      <c r="A1678" s="4"/>
      <c r="B1678" s="9"/>
      <c r="C1678" s="4"/>
      <c r="E1678" s="4"/>
      <c r="F1678" s="4"/>
      <c r="G1678" s="4"/>
      <c r="H1678" s="4"/>
      <c r="J1678" s="4"/>
      <c r="K1678" s="4"/>
    </row>
    <row r="1679">
      <c r="A1679" s="4"/>
      <c r="B1679" s="9"/>
      <c r="C1679" s="4"/>
      <c r="E1679" s="4"/>
      <c r="F1679" s="4"/>
      <c r="G1679" s="4"/>
      <c r="H1679" s="4"/>
      <c r="J1679" s="4"/>
      <c r="K1679" s="4"/>
    </row>
    <row r="1680">
      <c r="A1680" s="4"/>
      <c r="B1680" s="9"/>
      <c r="C1680" s="4"/>
      <c r="E1680" s="4"/>
      <c r="F1680" s="4"/>
      <c r="G1680" s="4"/>
      <c r="H1680" s="4"/>
      <c r="J1680" s="4"/>
      <c r="K1680" s="4"/>
    </row>
    <row r="1681">
      <c r="A1681" s="4"/>
      <c r="B1681" s="9"/>
      <c r="C1681" s="4"/>
      <c r="E1681" s="4"/>
      <c r="F1681" s="4"/>
      <c r="G1681" s="4"/>
      <c r="H1681" s="4"/>
      <c r="J1681" s="4"/>
      <c r="K1681" s="4"/>
    </row>
    <row r="1682">
      <c r="A1682" s="4"/>
      <c r="B1682" s="4"/>
      <c r="C1682" s="4"/>
      <c r="E1682" s="4"/>
      <c r="F1682" s="4"/>
      <c r="G1682" s="4"/>
      <c r="H1682" s="4"/>
      <c r="I1682" s="8"/>
      <c r="J1682" s="4"/>
      <c r="K1682" s="4"/>
    </row>
    <row r="1683">
      <c r="A1683" s="4"/>
      <c r="B1683" s="9"/>
      <c r="C1683" s="4"/>
      <c r="D1683" s="4"/>
      <c r="E1683" s="4"/>
      <c r="F1683" s="4"/>
      <c r="G1683" s="4"/>
      <c r="H1683" s="4"/>
      <c r="I1683" s="8"/>
      <c r="J1683" s="4"/>
      <c r="K1683" s="4"/>
    </row>
    <row r="1684">
      <c r="A1684" s="4"/>
      <c r="B1684" s="9"/>
      <c r="C1684" s="4"/>
      <c r="D1684" s="4"/>
      <c r="E1684" s="4"/>
      <c r="F1684" s="4"/>
      <c r="G1684" s="4"/>
      <c r="H1684" s="4"/>
      <c r="I1684" s="8"/>
      <c r="J1684" s="4"/>
      <c r="K1684" s="4"/>
    </row>
    <row r="1685">
      <c r="A1685" s="4"/>
      <c r="B1685" s="4"/>
      <c r="C1685" s="4"/>
      <c r="D1685" s="4"/>
      <c r="E1685" s="4"/>
      <c r="F1685" s="4"/>
      <c r="G1685" s="4"/>
      <c r="H1685" s="4"/>
      <c r="J1685" s="4"/>
      <c r="K1685" s="4"/>
    </row>
    <row r="1686">
      <c r="A1686" s="4"/>
      <c r="B1686" s="4"/>
      <c r="C1686" s="4"/>
      <c r="D1686" s="4"/>
      <c r="E1686" s="4"/>
      <c r="F1686" s="4"/>
      <c r="G1686" s="4"/>
      <c r="H1686" s="4"/>
      <c r="J1686" s="4"/>
      <c r="K1686" s="4"/>
    </row>
    <row r="1687">
      <c r="A1687" s="4"/>
      <c r="B1687" s="4"/>
      <c r="C1687" s="4"/>
      <c r="D1687" s="4"/>
      <c r="E1687" s="4"/>
      <c r="F1687" s="4"/>
      <c r="G1687" s="4"/>
      <c r="H1687" s="4"/>
      <c r="J1687" s="4"/>
      <c r="K1687" s="4"/>
    </row>
    <row r="1688">
      <c r="A1688" s="4"/>
      <c r="B1688" s="4"/>
      <c r="C1688" s="4"/>
      <c r="D1688" s="4"/>
      <c r="E1688" s="4"/>
      <c r="F1688" s="4"/>
      <c r="G1688" s="4"/>
      <c r="H1688" s="4"/>
      <c r="I1688" s="8"/>
      <c r="J1688" s="4"/>
      <c r="K1688" s="4"/>
    </row>
    <row r="1689">
      <c r="A1689" s="4"/>
      <c r="B1689" s="9"/>
      <c r="C1689" s="4"/>
      <c r="D1689" s="4"/>
      <c r="E1689" s="4"/>
      <c r="F1689" s="4"/>
      <c r="G1689" s="4"/>
      <c r="H1689" s="4"/>
      <c r="I1689" s="8"/>
      <c r="J1689" s="4"/>
      <c r="K1689" s="4"/>
    </row>
    <row r="1690">
      <c r="A1690" s="4"/>
      <c r="B1690" s="9"/>
      <c r="C1690" s="4"/>
      <c r="E1690" s="4"/>
      <c r="F1690" s="4"/>
      <c r="G1690" s="4"/>
      <c r="H1690" s="4"/>
      <c r="J1690" s="4"/>
      <c r="K1690" s="4"/>
    </row>
    <row r="1691">
      <c r="A1691" s="4"/>
      <c r="B1691" s="4"/>
      <c r="C1691" s="4"/>
      <c r="D1691" s="4"/>
      <c r="E1691" s="4"/>
      <c r="F1691" s="4"/>
      <c r="G1691" s="4"/>
      <c r="H1691" s="4"/>
      <c r="I1691" s="8"/>
      <c r="J1691" s="4"/>
      <c r="K1691" s="4"/>
    </row>
    <row r="1692">
      <c r="A1692" s="4"/>
      <c r="B1692" s="4"/>
      <c r="C1692" s="4"/>
      <c r="D1692" s="4"/>
      <c r="E1692" s="4"/>
      <c r="F1692" s="4"/>
      <c r="G1692" s="4"/>
      <c r="H1692" s="4"/>
      <c r="J1692" s="4"/>
      <c r="K1692" s="4"/>
    </row>
    <row r="1693">
      <c r="A1693" s="4"/>
      <c r="B1693" s="4"/>
      <c r="C1693" s="4"/>
      <c r="D1693" s="4"/>
      <c r="E1693" s="4"/>
      <c r="F1693" s="4"/>
      <c r="G1693" s="4"/>
      <c r="H1693" s="4"/>
      <c r="J1693" s="4"/>
      <c r="K1693" s="4"/>
    </row>
    <row r="1694">
      <c r="A1694" s="4"/>
      <c r="B1694" s="4"/>
      <c r="C1694" s="4"/>
      <c r="D1694" s="4"/>
      <c r="E1694" s="4"/>
      <c r="F1694" s="4"/>
      <c r="G1694" s="4"/>
      <c r="H1694" s="4"/>
      <c r="J1694" s="4"/>
      <c r="K1694" s="4"/>
    </row>
    <row r="1695">
      <c r="A1695" s="4"/>
      <c r="B1695" s="4"/>
      <c r="C1695" s="4"/>
      <c r="D1695" s="4"/>
      <c r="E1695" s="4"/>
      <c r="F1695" s="4"/>
      <c r="G1695" s="4"/>
      <c r="H1695" s="4"/>
      <c r="J1695" s="4"/>
      <c r="K1695" s="4"/>
    </row>
    <row r="1696">
      <c r="A1696" s="4"/>
      <c r="B1696" s="4"/>
      <c r="C1696" s="4"/>
      <c r="D1696" s="4"/>
      <c r="E1696" s="4"/>
      <c r="F1696" s="4"/>
      <c r="G1696" s="4"/>
      <c r="H1696" s="4"/>
      <c r="J1696" s="4"/>
      <c r="K1696" s="4"/>
    </row>
    <row r="1697">
      <c r="A1697" s="4"/>
      <c r="B1697" s="4"/>
      <c r="C1697" s="4"/>
      <c r="D1697" s="4"/>
      <c r="E1697" s="4"/>
      <c r="F1697" s="4"/>
      <c r="G1697" s="4"/>
      <c r="H1697" s="4"/>
      <c r="I1697" s="8"/>
      <c r="J1697" s="4"/>
      <c r="K1697" s="4"/>
    </row>
    <row r="1698">
      <c r="A1698" s="4"/>
      <c r="B1698" s="4"/>
      <c r="C1698" s="4"/>
      <c r="D1698" s="4"/>
      <c r="E1698" s="4"/>
      <c r="F1698" s="4"/>
      <c r="G1698" s="4"/>
      <c r="H1698" s="4"/>
      <c r="J1698" s="4"/>
      <c r="K1698" s="4"/>
    </row>
    <row r="1699">
      <c r="A1699" s="4"/>
      <c r="B1699" s="4"/>
      <c r="C1699" s="4"/>
      <c r="E1699" s="4"/>
      <c r="F1699" s="4"/>
      <c r="G1699" s="4"/>
      <c r="H1699" s="4"/>
      <c r="J1699" s="4"/>
      <c r="K1699" s="4"/>
    </row>
    <row r="1700">
      <c r="A1700" s="4"/>
      <c r="B1700" s="4"/>
      <c r="C1700" s="4"/>
      <c r="E1700" s="4"/>
      <c r="F1700" s="4"/>
      <c r="G1700" s="4"/>
      <c r="H1700" s="4"/>
      <c r="J1700" s="4"/>
      <c r="K1700" s="4"/>
    </row>
    <row r="1701">
      <c r="A1701" s="4"/>
      <c r="B1701" s="4"/>
      <c r="C1701" s="4"/>
      <c r="E1701" s="4"/>
      <c r="F1701" s="4"/>
      <c r="G1701" s="4"/>
      <c r="H1701" s="4"/>
      <c r="J1701" s="4"/>
      <c r="K1701" s="4"/>
    </row>
    <row r="1702">
      <c r="A1702" s="4"/>
      <c r="B1702" s="4"/>
      <c r="C1702" s="4"/>
      <c r="E1702" s="4"/>
      <c r="F1702" s="4"/>
      <c r="G1702" s="4"/>
      <c r="H1702" s="4"/>
      <c r="I1702" s="8"/>
      <c r="J1702" s="4"/>
      <c r="K1702" s="4"/>
    </row>
    <row r="1703">
      <c r="A1703" s="4"/>
      <c r="B1703" s="4"/>
      <c r="C1703" s="4"/>
      <c r="E1703" s="4"/>
      <c r="F1703" s="4"/>
      <c r="G1703" s="4"/>
      <c r="H1703" s="4"/>
      <c r="I1703" s="8"/>
      <c r="J1703" s="4"/>
      <c r="K1703" s="4"/>
    </row>
    <row r="1704">
      <c r="A1704" s="4"/>
      <c r="B1704" s="4"/>
      <c r="C1704" s="4"/>
      <c r="E1704" s="4"/>
      <c r="F1704" s="4"/>
      <c r="G1704" s="4"/>
      <c r="H1704" s="4"/>
      <c r="I1704" s="8"/>
      <c r="J1704" s="4"/>
      <c r="K1704" s="4"/>
    </row>
    <row r="1705">
      <c r="A1705" s="4"/>
      <c r="B1705" s="4"/>
      <c r="C1705" s="4"/>
      <c r="E1705" s="4"/>
      <c r="F1705" s="4"/>
      <c r="G1705" s="4"/>
      <c r="H1705" s="4"/>
      <c r="I1705" s="8"/>
      <c r="J1705" s="4"/>
      <c r="K1705" s="4"/>
    </row>
    <row r="1706">
      <c r="A1706" s="4"/>
      <c r="B1706" s="4"/>
      <c r="C1706" s="4"/>
      <c r="D1706" s="4"/>
      <c r="E1706" s="4"/>
      <c r="F1706" s="4"/>
      <c r="G1706" s="4"/>
      <c r="H1706" s="4"/>
      <c r="I1706" s="8"/>
      <c r="J1706" s="4"/>
      <c r="K1706" s="4"/>
    </row>
    <row r="1707">
      <c r="A1707" s="4"/>
      <c r="B1707" s="9"/>
      <c r="C1707" s="4"/>
      <c r="E1707" s="4"/>
      <c r="F1707" s="4"/>
      <c r="G1707" s="4"/>
      <c r="H1707" s="4"/>
      <c r="I1707" s="8"/>
      <c r="J1707" s="4"/>
      <c r="K1707" s="4"/>
    </row>
    <row r="1708">
      <c r="A1708" s="4"/>
      <c r="B1708" s="4"/>
      <c r="C1708" s="4"/>
      <c r="D1708" s="4"/>
      <c r="E1708" s="4"/>
      <c r="F1708" s="4"/>
      <c r="G1708" s="4"/>
      <c r="H1708" s="4"/>
      <c r="I1708" s="8"/>
      <c r="J1708" s="4"/>
      <c r="K1708" s="4"/>
    </row>
    <row r="1709">
      <c r="A1709" s="4"/>
      <c r="B1709" s="9"/>
      <c r="C1709" s="4"/>
      <c r="E1709" s="4"/>
      <c r="F1709" s="4"/>
      <c r="G1709" s="4"/>
      <c r="H1709" s="4"/>
      <c r="I1709" s="8"/>
      <c r="J1709" s="4"/>
      <c r="K1709" s="4"/>
    </row>
    <row r="1710">
      <c r="A1710" s="4"/>
      <c r="B1710" s="4"/>
      <c r="C1710" s="4"/>
      <c r="E1710" s="4"/>
      <c r="F1710" s="4"/>
      <c r="G1710" s="4"/>
      <c r="H1710" s="4"/>
      <c r="I1710" s="8"/>
      <c r="J1710" s="4"/>
      <c r="K1710" s="4"/>
    </row>
    <row r="1711">
      <c r="A1711" s="4"/>
      <c r="B1711" s="9"/>
      <c r="C1711" s="4"/>
      <c r="D1711" s="4"/>
      <c r="E1711" s="4"/>
      <c r="F1711" s="4"/>
      <c r="G1711" s="4"/>
      <c r="H1711" s="4"/>
      <c r="I1711" s="8"/>
      <c r="J1711" s="4"/>
      <c r="K1711" s="4"/>
    </row>
    <row r="1712">
      <c r="A1712" s="4"/>
      <c r="B1712" s="9"/>
      <c r="C1712" s="4"/>
      <c r="D1712" s="4"/>
      <c r="E1712" s="4"/>
      <c r="F1712" s="4"/>
      <c r="G1712" s="4"/>
      <c r="H1712" s="4"/>
      <c r="I1712" s="8"/>
      <c r="J1712" s="4"/>
      <c r="K1712" s="4"/>
    </row>
    <row r="1713">
      <c r="A1713" s="4"/>
      <c r="B1713" s="9"/>
      <c r="C1713" s="4"/>
      <c r="D1713" s="4"/>
      <c r="E1713" s="4"/>
      <c r="F1713" s="4"/>
      <c r="G1713" s="4"/>
      <c r="H1713" s="4"/>
      <c r="I1713" s="8"/>
      <c r="J1713" s="4"/>
      <c r="K1713" s="4"/>
    </row>
    <row r="1714">
      <c r="A1714" s="4"/>
      <c r="B1714" s="9"/>
      <c r="C1714" s="4"/>
      <c r="D1714" s="4"/>
      <c r="E1714" s="4"/>
      <c r="F1714" s="4"/>
      <c r="G1714" s="4"/>
      <c r="H1714" s="4"/>
      <c r="I1714" s="8"/>
      <c r="J1714" s="4"/>
      <c r="K1714" s="4"/>
    </row>
    <row r="1715">
      <c r="A1715" s="4"/>
      <c r="B1715" s="9"/>
      <c r="C1715" s="4"/>
      <c r="D1715" s="4"/>
      <c r="E1715" s="4"/>
      <c r="F1715" s="4"/>
      <c r="G1715" s="4"/>
      <c r="H1715" s="4"/>
      <c r="I1715" s="8"/>
      <c r="J1715" s="4"/>
      <c r="K1715" s="4"/>
    </row>
    <row r="1716">
      <c r="A1716" s="4"/>
      <c r="B1716" s="9"/>
      <c r="C1716" s="4"/>
      <c r="D1716" s="4"/>
      <c r="E1716" s="4"/>
      <c r="F1716" s="4"/>
      <c r="G1716" s="4"/>
      <c r="H1716" s="4"/>
      <c r="I1716" s="8"/>
      <c r="J1716" s="4"/>
      <c r="K1716" s="4"/>
    </row>
    <row r="1717">
      <c r="A1717" s="4"/>
      <c r="B1717" s="9"/>
      <c r="C1717" s="4"/>
      <c r="D1717" s="4"/>
      <c r="E1717" s="4"/>
      <c r="F1717" s="4"/>
      <c r="G1717" s="4"/>
      <c r="H1717" s="4"/>
      <c r="I1717" s="8"/>
      <c r="J1717" s="4"/>
      <c r="K1717" s="4"/>
    </row>
    <row r="1718">
      <c r="A1718" s="4"/>
      <c r="B1718" s="9"/>
      <c r="C1718" s="4"/>
      <c r="D1718" s="4"/>
      <c r="E1718" s="4"/>
      <c r="F1718" s="4"/>
      <c r="G1718" s="4"/>
      <c r="H1718" s="4"/>
      <c r="I1718" s="8"/>
      <c r="J1718" s="4"/>
      <c r="K1718" s="4"/>
    </row>
    <row r="1719">
      <c r="A1719" s="4"/>
      <c r="B1719" s="9"/>
      <c r="C1719" s="4"/>
      <c r="D1719" s="4"/>
      <c r="E1719" s="4"/>
      <c r="F1719" s="4"/>
      <c r="G1719" s="4"/>
      <c r="H1719" s="4"/>
      <c r="J1719" s="4"/>
      <c r="K1719" s="4"/>
    </row>
    <row r="1720">
      <c r="A1720" s="4"/>
      <c r="B1720" s="9"/>
      <c r="C1720" s="4"/>
      <c r="E1720" s="4"/>
      <c r="F1720" s="4"/>
      <c r="G1720" s="4"/>
      <c r="H1720" s="4"/>
      <c r="I1720" s="8"/>
      <c r="J1720" s="4"/>
      <c r="K1720" s="4"/>
    </row>
    <row r="1721">
      <c r="A1721" s="4"/>
      <c r="B1721" s="9"/>
      <c r="C1721" s="4"/>
      <c r="E1721" s="4"/>
      <c r="F1721" s="4"/>
      <c r="G1721" s="4"/>
      <c r="H1721" s="4"/>
      <c r="I1721" s="8"/>
      <c r="J1721" s="4"/>
      <c r="K1721" s="4"/>
    </row>
    <row r="1722">
      <c r="A1722" s="4"/>
      <c r="B1722" s="9"/>
      <c r="C1722" s="4"/>
      <c r="E1722" s="4"/>
      <c r="F1722" s="4"/>
      <c r="G1722" s="4"/>
      <c r="H1722" s="4"/>
      <c r="I1722" s="8"/>
      <c r="J1722" s="4"/>
      <c r="K1722" s="4"/>
    </row>
    <row r="1723">
      <c r="A1723" s="4"/>
      <c r="B1723" s="9"/>
      <c r="C1723" s="4"/>
      <c r="E1723" s="4"/>
      <c r="F1723" s="4"/>
      <c r="G1723" s="4"/>
      <c r="H1723" s="4"/>
      <c r="I1723" s="8"/>
      <c r="J1723" s="4"/>
      <c r="K1723" s="4"/>
    </row>
    <row r="1724">
      <c r="A1724" s="4"/>
      <c r="B1724" s="9"/>
      <c r="C1724" s="4"/>
      <c r="E1724" s="4"/>
      <c r="F1724" s="4"/>
      <c r="G1724" s="4"/>
      <c r="H1724" s="4"/>
      <c r="I1724" s="8"/>
      <c r="J1724" s="4"/>
      <c r="K1724" s="4"/>
    </row>
    <row r="1725">
      <c r="A1725" s="4"/>
      <c r="B1725" s="4"/>
      <c r="C1725" s="4"/>
      <c r="D1725" s="4"/>
      <c r="E1725" s="4"/>
      <c r="F1725" s="4"/>
      <c r="G1725" s="4"/>
      <c r="H1725" s="4"/>
      <c r="I1725" s="8"/>
      <c r="J1725" s="4"/>
      <c r="K1725" s="4"/>
    </row>
    <row r="1726">
      <c r="A1726" s="4"/>
      <c r="B1726" s="9"/>
      <c r="C1726" s="4"/>
      <c r="E1726" s="4"/>
      <c r="F1726" s="4"/>
      <c r="G1726" s="4"/>
      <c r="H1726" s="4"/>
      <c r="I1726" s="8"/>
      <c r="J1726" s="4"/>
      <c r="K1726" s="4"/>
    </row>
    <row r="1727">
      <c r="A1727" s="4"/>
      <c r="B1727" s="9"/>
      <c r="C1727" s="4"/>
      <c r="E1727" s="4"/>
      <c r="F1727" s="4"/>
      <c r="G1727" s="4"/>
      <c r="H1727" s="4"/>
      <c r="I1727" s="8"/>
      <c r="J1727" s="4"/>
      <c r="K1727" s="4"/>
    </row>
    <row r="1728">
      <c r="A1728" s="4"/>
      <c r="B1728" s="9"/>
      <c r="C1728" s="4"/>
      <c r="E1728" s="4"/>
      <c r="F1728" s="4"/>
      <c r="G1728" s="4"/>
      <c r="H1728" s="4"/>
      <c r="I1728" s="8"/>
      <c r="J1728" s="4"/>
      <c r="K1728" s="4"/>
    </row>
    <row r="1729">
      <c r="A1729" s="4"/>
      <c r="B1729" s="9"/>
      <c r="C1729" s="4"/>
      <c r="E1729" s="4"/>
      <c r="F1729" s="4"/>
      <c r="G1729" s="4"/>
      <c r="H1729" s="4"/>
      <c r="I1729" s="8"/>
      <c r="J1729" s="4"/>
      <c r="K1729" s="4"/>
    </row>
    <row r="1730">
      <c r="A1730" s="4"/>
      <c r="B1730" s="9"/>
      <c r="C1730" s="4"/>
      <c r="E1730" s="4"/>
      <c r="F1730" s="4"/>
      <c r="G1730" s="4"/>
      <c r="H1730" s="4"/>
      <c r="I1730" s="8"/>
      <c r="J1730" s="4"/>
      <c r="K1730" s="4"/>
    </row>
    <row r="1731">
      <c r="A1731" s="4"/>
      <c r="B1731" s="9"/>
      <c r="C1731" s="4"/>
      <c r="E1731" s="4"/>
      <c r="F1731" s="4"/>
      <c r="G1731" s="4"/>
      <c r="H1731" s="4"/>
      <c r="I1731" s="8"/>
      <c r="J1731" s="4"/>
      <c r="K1731" s="4"/>
    </row>
    <row r="1732">
      <c r="A1732" s="4"/>
      <c r="B1732" s="9"/>
      <c r="C1732" s="4"/>
      <c r="E1732" s="4"/>
      <c r="F1732" s="4"/>
      <c r="G1732" s="4"/>
      <c r="H1732" s="4"/>
      <c r="I1732" s="8"/>
      <c r="J1732" s="4"/>
      <c r="K1732" s="4"/>
    </row>
    <row r="1733">
      <c r="A1733" s="4"/>
      <c r="B1733" s="9"/>
      <c r="C1733" s="4"/>
      <c r="E1733" s="4"/>
      <c r="F1733" s="4"/>
      <c r="G1733" s="4"/>
      <c r="H1733" s="4"/>
      <c r="I1733" s="8"/>
      <c r="J1733" s="4"/>
      <c r="K1733" s="4"/>
    </row>
    <row r="1734">
      <c r="A1734" s="4"/>
      <c r="B1734" s="4"/>
      <c r="C1734" s="4"/>
      <c r="D1734" s="4"/>
      <c r="E1734" s="4"/>
      <c r="F1734" s="4"/>
      <c r="G1734" s="4"/>
      <c r="H1734" s="4"/>
      <c r="I1734" s="8"/>
      <c r="J1734" s="4"/>
      <c r="K1734" s="4"/>
    </row>
    <row r="1735">
      <c r="A1735" s="4"/>
      <c r="B1735" s="4"/>
      <c r="C1735" s="4"/>
      <c r="D1735" s="4"/>
      <c r="E1735" s="4"/>
      <c r="F1735" s="4"/>
      <c r="G1735" s="4"/>
      <c r="H1735" s="4"/>
      <c r="I1735" s="8"/>
      <c r="J1735" s="4"/>
      <c r="K1735" s="4"/>
    </row>
    <row r="1736">
      <c r="A1736" s="4"/>
      <c r="B1736" s="4"/>
      <c r="C1736" s="4"/>
      <c r="D1736" s="4"/>
      <c r="E1736" s="4"/>
      <c r="F1736" s="4"/>
      <c r="G1736" s="4"/>
      <c r="H1736" s="4"/>
      <c r="I1736" s="8"/>
      <c r="J1736" s="4"/>
      <c r="K1736" s="4"/>
    </row>
    <row r="1737">
      <c r="A1737" s="4"/>
      <c r="B1737" s="4"/>
      <c r="C1737" s="4"/>
      <c r="D1737" s="4"/>
      <c r="E1737" s="4"/>
      <c r="F1737" s="4"/>
      <c r="G1737" s="4"/>
      <c r="H1737" s="4"/>
      <c r="I1737" s="8"/>
      <c r="J1737" s="4"/>
      <c r="K1737" s="4"/>
    </row>
    <row r="1738">
      <c r="A1738" s="4"/>
      <c r="B1738" s="4"/>
      <c r="C1738" s="4"/>
      <c r="D1738" s="4"/>
      <c r="E1738" s="4"/>
      <c r="F1738" s="4"/>
      <c r="G1738" s="4"/>
      <c r="H1738" s="4"/>
      <c r="I1738" s="8"/>
      <c r="J1738" s="4"/>
      <c r="K1738" s="4"/>
    </row>
    <row r="1739">
      <c r="A1739" s="4"/>
      <c r="B1739" s="9"/>
      <c r="C1739" s="4"/>
      <c r="D1739" s="4"/>
      <c r="E1739" s="4"/>
      <c r="F1739" s="4"/>
      <c r="G1739" s="4"/>
      <c r="H1739" s="4"/>
      <c r="I1739" s="8"/>
      <c r="J1739" s="4"/>
      <c r="K1739" s="4"/>
    </row>
    <row r="1740">
      <c r="A1740" s="4"/>
      <c r="B1740" s="9"/>
      <c r="C1740" s="4"/>
      <c r="D1740" s="4"/>
      <c r="E1740" s="4"/>
      <c r="F1740" s="4"/>
      <c r="G1740" s="4"/>
      <c r="H1740" s="4"/>
      <c r="I1740" s="8"/>
      <c r="J1740" s="4"/>
      <c r="K1740" s="4"/>
    </row>
    <row r="1741">
      <c r="A1741" s="4"/>
      <c r="B1741" s="9"/>
      <c r="C1741" s="4"/>
      <c r="D1741" s="4"/>
      <c r="E1741" s="4"/>
      <c r="F1741" s="4"/>
      <c r="G1741" s="4"/>
      <c r="H1741" s="4"/>
      <c r="I1741" s="8"/>
      <c r="J1741" s="4"/>
      <c r="K1741" s="4"/>
    </row>
    <row r="1742">
      <c r="A1742" s="4"/>
      <c r="B1742" s="9"/>
      <c r="C1742" s="4"/>
      <c r="D1742" s="4"/>
      <c r="E1742" s="4"/>
      <c r="F1742" s="4"/>
      <c r="G1742" s="4"/>
      <c r="H1742" s="4"/>
      <c r="I1742" s="8"/>
      <c r="J1742" s="4"/>
      <c r="K1742" s="4"/>
    </row>
    <row r="1743">
      <c r="A1743" s="4"/>
      <c r="B1743" s="9"/>
      <c r="C1743" s="4"/>
      <c r="D1743" s="4"/>
      <c r="E1743" s="4"/>
      <c r="F1743" s="4"/>
      <c r="G1743" s="4"/>
      <c r="H1743" s="4"/>
      <c r="I1743" s="8"/>
      <c r="J1743" s="4"/>
      <c r="K1743" s="4"/>
    </row>
    <row r="1744">
      <c r="A1744" s="4"/>
      <c r="B1744" s="9"/>
      <c r="C1744" s="4"/>
      <c r="E1744" s="4"/>
      <c r="F1744" s="4"/>
      <c r="G1744" s="4"/>
      <c r="H1744" s="4"/>
      <c r="I1744" s="8"/>
      <c r="J1744" s="4"/>
      <c r="K1744" s="4"/>
    </row>
    <row r="1745">
      <c r="A1745" s="4"/>
      <c r="B1745" s="9"/>
      <c r="C1745" s="4"/>
      <c r="D1745" s="4"/>
      <c r="E1745" s="4"/>
      <c r="F1745" s="4"/>
      <c r="G1745" s="4"/>
      <c r="H1745" s="4"/>
      <c r="I1745" s="8"/>
      <c r="J1745" s="4"/>
      <c r="K1745" s="4"/>
    </row>
    <row r="1746">
      <c r="A1746" s="4"/>
      <c r="B1746" s="9"/>
      <c r="C1746" s="4"/>
      <c r="D1746" s="4"/>
      <c r="E1746" s="4"/>
      <c r="F1746" s="4"/>
      <c r="G1746" s="4"/>
      <c r="H1746" s="4"/>
      <c r="I1746" s="8"/>
      <c r="J1746" s="4"/>
      <c r="K1746" s="4"/>
    </row>
    <row r="1747">
      <c r="A1747" s="4"/>
      <c r="B1747" s="9"/>
      <c r="C1747" s="4"/>
      <c r="E1747" s="4"/>
      <c r="F1747" s="4"/>
      <c r="G1747" s="4"/>
      <c r="H1747" s="4"/>
      <c r="I1747" s="8"/>
      <c r="J1747" s="4"/>
      <c r="K1747" s="4"/>
    </row>
    <row r="1748">
      <c r="A1748" s="4"/>
      <c r="B1748" s="9"/>
      <c r="C1748" s="4"/>
      <c r="E1748" s="4"/>
      <c r="F1748" s="4"/>
      <c r="G1748" s="4"/>
      <c r="H1748" s="4"/>
      <c r="I1748" s="8"/>
      <c r="J1748" s="4"/>
      <c r="K1748" s="4"/>
    </row>
    <row r="1749">
      <c r="A1749" s="4"/>
      <c r="B1749" s="9"/>
      <c r="C1749" s="4"/>
      <c r="E1749" s="4"/>
      <c r="F1749" s="4"/>
      <c r="G1749" s="4"/>
      <c r="H1749" s="4"/>
      <c r="I1749" s="8"/>
      <c r="J1749" s="4"/>
      <c r="K1749" s="4"/>
    </row>
    <row r="1750">
      <c r="A1750" s="4"/>
      <c r="B1750" s="9"/>
      <c r="C1750" s="4"/>
      <c r="E1750" s="4"/>
      <c r="F1750" s="4"/>
      <c r="G1750" s="4"/>
      <c r="H1750" s="4"/>
      <c r="I1750" s="8"/>
      <c r="J1750" s="4"/>
      <c r="K1750" s="4"/>
    </row>
    <row r="1751">
      <c r="A1751" s="4"/>
      <c r="B1751" s="4"/>
      <c r="C1751" s="4"/>
      <c r="D1751" s="4"/>
      <c r="E1751" s="4"/>
      <c r="F1751" s="4"/>
      <c r="G1751" s="4"/>
      <c r="H1751" s="4"/>
      <c r="I1751" s="8"/>
      <c r="J1751" s="4"/>
      <c r="K1751" s="4"/>
    </row>
    <row r="1752">
      <c r="A1752" s="4"/>
      <c r="B1752" s="9"/>
      <c r="C1752" s="4"/>
      <c r="D1752" s="4"/>
      <c r="E1752" s="4"/>
      <c r="F1752" s="4"/>
      <c r="G1752" s="4"/>
      <c r="H1752" s="4"/>
      <c r="J1752" s="4"/>
      <c r="K1752" s="4"/>
    </row>
    <row r="1753">
      <c r="A1753" s="4"/>
      <c r="B1753" s="9"/>
      <c r="C1753" s="4"/>
      <c r="D1753" s="4"/>
      <c r="E1753" s="4"/>
      <c r="F1753" s="4"/>
      <c r="G1753" s="4"/>
      <c r="H1753" s="4"/>
      <c r="J1753" s="4"/>
      <c r="K1753" s="4"/>
    </row>
    <row r="1754">
      <c r="A1754" s="4"/>
      <c r="B1754" s="4"/>
      <c r="C1754" s="4"/>
      <c r="E1754" s="4"/>
      <c r="F1754" s="4"/>
      <c r="G1754" s="4"/>
      <c r="H1754" s="4"/>
      <c r="I1754" s="8"/>
      <c r="J1754" s="4"/>
      <c r="K1754" s="4"/>
    </row>
    <row r="1755">
      <c r="A1755" s="4"/>
      <c r="B1755" s="4"/>
      <c r="C1755" s="4"/>
      <c r="F1755" s="4"/>
      <c r="G1755" s="4"/>
      <c r="H1755" s="4"/>
      <c r="I1755" s="8"/>
      <c r="J1755" s="4"/>
      <c r="K1755" s="4"/>
    </row>
    <row r="1756">
      <c r="A1756" s="4"/>
      <c r="B1756" s="4"/>
      <c r="C1756" s="4"/>
      <c r="E1756" s="4"/>
      <c r="F1756" s="4"/>
      <c r="G1756" s="4"/>
      <c r="H1756" s="4"/>
      <c r="I1756" s="8"/>
      <c r="J1756" s="4"/>
      <c r="K1756" s="4"/>
    </row>
    <row r="1757">
      <c r="A1757" s="4"/>
      <c r="B1757" s="4"/>
      <c r="C1757" s="4"/>
      <c r="D1757" s="4"/>
      <c r="E1757" s="4"/>
      <c r="F1757" s="4"/>
      <c r="G1757" s="4"/>
      <c r="H1757" s="4"/>
      <c r="I1757" s="8"/>
      <c r="J1757" s="4"/>
      <c r="K1757" s="4"/>
    </row>
    <row r="1758">
      <c r="A1758" s="4"/>
      <c r="B1758" s="4"/>
      <c r="C1758" s="4"/>
      <c r="D1758" s="4"/>
      <c r="E1758" s="4"/>
      <c r="F1758" s="4"/>
      <c r="G1758" s="4"/>
      <c r="H1758" s="4"/>
      <c r="I1758" s="8"/>
      <c r="J1758" s="4"/>
      <c r="K1758" s="4"/>
    </row>
    <row r="1759">
      <c r="A1759" s="4"/>
      <c r="B1759" s="4"/>
      <c r="C1759" s="4"/>
      <c r="D1759" s="4"/>
      <c r="E1759" s="4"/>
      <c r="F1759" s="4"/>
      <c r="G1759" s="4"/>
      <c r="H1759" s="4"/>
      <c r="I1759" s="8"/>
      <c r="J1759" s="4"/>
      <c r="K1759" s="4"/>
    </row>
    <row r="1760">
      <c r="A1760" s="4"/>
      <c r="B1760" s="4"/>
      <c r="C1760" s="4"/>
      <c r="E1760" s="4"/>
      <c r="F1760" s="4"/>
      <c r="G1760" s="4"/>
      <c r="H1760" s="4"/>
      <c r="J1760" s="4"/>
      <c r="K1760" s="4"/>
    </row>
    <row r="1761">
      <c r="A1761" s="4"/>
      <c r="B1761" s="4"/>
      <c r="C1761" s="4"/>
      <c r="E1761" s="4"/>
      <c r="F1761" s="4"/>
      <c r="G1761" s="4"/>
      <c r="H1761" s="4"/>
      <c r="J1761" s="4"/>
      <c r="K1761" s="4"/>
    </row>
    <row r="1762">
      <c r="A1762" s="4"/>
      <c r="B1762" s="4"/>
      <c r="C1762" s="4"/>
      <c r="E1762" s="4"/>
      <c r="F1762" s="4"/>
      <c r="G1762" s="4"/>
      <c r="H1762" s="4"/>
      <c r="I1762" s="8"/>
      <c r="J1762" s="4"/>
      <c r="K1762" s="4"/>
    </row>
    <row r="1763">
      <c r="A1763" s="4"/>
      <c r="B1763" s="4"/>
      <c r="C1763" s="4"/>
      <c r="E1763" s="4"/>
      <c r="F1763" s="4"/>
      <c r="G1763" s="4"/>
      <c r="H1763" s="4"/>
      <c r="I1763" s="8"/>
      <c r="J1763" s="4"/>
      <c r="K1763" s="4"/>
    </row>
    <row r="1764">
      <c r="A1764" s="4"/>
      <c r="B1764" s="4"/>
      <c r="C1764" s="4"/>
      <c r="E1764" s="4"/>
      <c r="F1764" s="4"/>
      <c r="G1764" s="4"/>
      <c r="H1764" s="4"/>
      <c r="I1764" s="8"/>
      <c r="J1764" s="4"/>
      <c r="K1764" s="4"/>
    </row>
    <row r="1765">
      <c r="A1765" s="4"/>
      <c r="B1765" s="4"/>
      <c r="C1765" s="4"/>
      <c r="D1765" s="4"/>
      <c r="E1765" s="4"/>
      <c r="F1765" s="4"/>
      <c r="G1765" s="4"/>
      <c r="H1765" s="4"/>
      <c r="J1765" s="4"/>
      <c r="K1765" s="4"/>
    </row>
    <row r="1766">
      <c r="A1766" s="4"/>
      <c r="B1766" s="4"/>
      <c r="C1766" s="4"/>
      <c r="D1766" s="4"/>
      <c r="E1766" s="4"/>
      <c r="F1766" s="4"/>
      <c r="G1766" s="4"/>
      <c r="H1766" s="4"/>
      <c r="J1766" s="4"/>
      <c r="K1766" s="4"/>
    </row>
    <row r="1767">
      <c r="A1767" s="4"/>
      <c r="B1767" s="4"/>
      <c r="C1767" s="4"/>
      <c r="D1767" s="4"/>
      <c r="E1767" s="4"/>
      <c r="F1767" s="4"/>
      <c r="G1767" s="4"/>
      <c r="H1767" s="4"/>
      <c r="J1767" s="4"/>
      <c r="K1767" s="4"/>
    </row>
    <row r="1768">
      <c r="A1768" s="4"/>
      <c r="B1768" s="4"/>
      <c r="C1768" s="4"/>
      <c r="D1768" s="4"/>
      <c r="E1768" s="4"/>
      <c r="F1768" s="4"/>
      <c r="G1768" s="4"/>
      <c r="H1768" s="4"/>
      <c r="J1768" s="4"/>
      <c r="K1768" s="4"/>
    </row>
    <row r="1769">
      <c r="A1769" s="4"/>
      <c r="B1769" s="4"/>
      <c r="C1769" s="4"/>
      <c r="D1769" s="4"/>
      <c r="E1769" s="4"/>
      <c r="F1769" s="4"/>
      <c r="G1769" s="4"/>
      <c r="H1769" s="4"/>
      <c r="J1769" s="4"/>
      <c r="K1769" s="4"/>
    </row>
    <row r="1770">
      <c r="A1770" s="4"/>
      <c r="B1770" s="4"/>
      <c r="C1770" s="4"/>
      <c r="D1770" s="4"/>
      <c r="E1770" s="4"/>
      <c r="F1770" s="4"/>
      <c r="G1770" s="4"/>
      <c r="H1770" s="4"/>
      <c r="J1770" s="4"/>
      <c r="K1770" s="4"/>
    </row>
    <row r="1771">
      <c r="A1771" s="4"/>
      <c r="B1771" s="4"/>
      <c r="C1771" s="4"/>
      <c r="D1771" s="4"/>
      <c r="E1771" s="4"/>
      <c r="F1771" s="4"/>
      <c r="G1771" s="4"/>
      <c r="H1771" s="4"/>
      <c r="J1771" s="4"/>
      <c r="K1771" s="4"/>
    </row>
    <row r="1772">
      <c r="A1772" s="4"/>
      <c r="B1772" s="4"/>
      <c r="C1772" s="4"/>
      <c r="D1772" s="4"/>
      <c r="E1772" s="4"/>
      <c r="F1772" s="4"/>
      <c r="G1772" s="4"/>
      <c r="H1772" s="4"/>
      <c r="J1772" s="4"/>
      <c r="K1772" s="4"/>
    </row>
    <row r="1773">
      <c r="A1773" s="4"/>
      <c r="B1773" s="9"/>
      <c r="C1773" s="4"/>
      <c r="E1773" s="4"/>
      <c r="F1773" s="4"/>
      <c r="G1773" s="4"/>
      <c r="H1773" s="4"/>
      <c r="I1773" s="8"/>
      <c r="J1773" s="4"/>
      <c r="K1773" s="4"/>
    </row>
    <row r="1774">
      <c r="A1774" s="4"/>
      <c r="B1774" s="9"/>
      <c r="C1774" s="4"/>
      <c r="E1774" s="4"/>
      <c r="F1774" s="4"/>
      <c r="G1774" s="4"/>
      <c r="H1774" s="4"/>
      <c r="I1774" s="8"/>
      <c r="J1774" s="4"/>
      <c r="K1774" s="4"/>
    </row>
    <row r="1775">
      <c r="A1775" s="4"/>
      <c r="B1775" s="9"/>
      <c r="C1775" s="4"/>
      <c r="E1775" s="4"/>
      <c r="F1775" s="4"/>
      <c r="G1775" s="4"/>
      <c r="H1775" s="4"/>
      <c r="I1775" s="8"/>
      <c r="J1775" s="4"/>
      <c r="K1775" s="4"/>
    </row>
    <row r="1776">
      <c r="A1776" s="4"/>
      <c r="B1776" s="4"/>
      <c r="C1776" s="4"/>
      <c r="E1776" s="4"/>
      <c r="F1776" s="4"/>
      <c r="G1776" s="4"/>
      <c r="H1776" s="4"/>
      <c r="J1776" s="4"/>
      <c r="K1776" s="4"/>
    </row>
    <row r="1777">
      <c r="A1777" s="4"/>
      <c r="B1777" s="9"/>
      <c r="C1777" s="4"/>
      <c r="E1777" s="4"/>
      <c r="F1777" s="4"/>
      <c r="G1777" s="4"/>
      <c r="H1777" s="4"/>
      <c r="J1777" s="4"/>
      <c r="K1777" s="4"/>
    </row>
    <row r="1778">
      <c r="A1778" s="4"/>
      <c r="B1778" s="9"/>
      <c r="C1778" s="4"/>
      <c r="E1778" s="4"/>
      <c r="F1778" s="4"/>
      <c r="G1778" s="4"/>
      <c r="H1778" s="4"/>
      <c r="I1778" s="8"/>
      <c r="J1778" s="4"/>
      <c r="K1778" s="4"/>
    </row>
    <row r="1779">
      <c r="A1779" s="4"/>
      <c r="B1779" s="9"/>
      <c r="C1779" s="4"/>
      <c r="E1779" s="4"/>
      <c r="F1779" s="4"/>
      <c r="G1779" s="4"/>
      <c r="H1779" s="4"/>
      <c r="J1779" s="4"/>
      <c r="K1779" s="4"/>
    </row>
    <row r="1780">
      <c r="A1780" s="4"/>
      <c r="B1780" s="9"/>
      <c r="C1780" s="4"/>
      <c r="E1780" s="4"/>
      <c r="F1780" s="4"/>
      <c r="G1780" s="4"/>
      <c r="H1780" s="4"/>
      <c r="J1780" s="4"/>
      <c r="K1780" s="4"/>
    </row>
    <row r="1781">
      <c r="A1781" s="4"/>
      <c r="B1781" s="9"/>
      <c r="C1781" s="4"/>
      <c r="E1781" s="4"/>
      <c r="F1781" s="4"/>
      <c r="G1781" s="4"/>
      <c r="H1781" s="4"/>
      <c r="J1781" s="4"/>
      <c r="K1781" s="4"/>
    </row>
    <row r="1782">
      <c r="A1782" s="4"/>
      <c r="B1782" s="9"/>
      <c r="C1782" s="4"/>
      <c r="E1782" s="4"/>
      <c r="F1782" s="4"/>
      <c r="G1782" s="4"/>
      <c r="H1782" s="4"/>
      <c r="J1782" s="4"/>
      <c r="K1782" s="4"/>
    </row>
    <row r="1783">
      <c r="A1783" s="4"/>
      <c r="B1783" s="9"/>
      <c r="C1783" s="4"/>
      <c r="E1783" s="4"/>
      <c r="F1783" s="4"/>
      <c r="G1783" s="4"/>
      <c r="H1783" s="4"/>
      <c r="I1783" s="8"/>
      <c r="J1783" s="4"/>
      <c r="K1783" s="4"/>
    </row>
    <row r="1784">
      <c r="A1784" s="4"/>
      <c r="B1784" s="9"/>
      <c r="C1784" s="4"/>
      <c r="E1784" s="4"/>
      <c r="F1784" s="4"/>
      <c r="G1784" s="4"/>
      <c r="H1784" s="4"/>
      <c r="I1784" s="8"/>
      <c r="J1784" s="4"/>
      <c r="K1784" s="4"/>
    </row>
    <row r="1785">
      <c r="A1785" s="4"/>
      <c r="B1785" s="4"/>
      <c r="C1785" s="4"/>
      <c r="E1785" s="4"/>
      <c r="F1785" s="4"/>
      <c r="G1785" s="4"/>
      <c r="H1785" s="4"/>
      <c r="I1785" s="8"/>
      <c r="J1785" s="4"/>
      <c r="K1785" s="4"/>
    </row>
    <row r="1786">
      <c r="A1786" s="4"/>
      <c r="B1786" s="4"/>
      <c r="C1786" s="4"/>
      <c r="E1786" s="4"/>
      <c r="F1786" s="4"/>
      <c r="G1786" s="4"/>
      <c r="H1786" s="4"/>
      <c r="I1786" s="8"/>
      <c r="J1786" s="4"/>
      <c r="K1786" s="4"/>
    </row>
    <row r="1787">
      <c r="A1787" s="4"/>
      <c r="B1787" s="4"/>
      <c r="C1787" s="4"/>
      <c r="E1787" s="4"/>
      <c r="F1787" s="4"/>
      <c r="G1787" s="4"/>
      <c r="H1787" s="4"/>
      <c r="I1787" s="8"/>
      <c r="J1787" s="4"/>
      <c r="K1787" s="4"/>
    </row>
    <row r="1788">
      <c r="A1788" s="4"/>
      <c r="B1788" s="4"/>
      <c r="C1788" s="4"/>
      <c r="E1788" s="4"/>
      <c r="F1788" s="4"/>
      <c r="G1788" s="4"/>
      <c r="H1788" s="4"/>
      <c r="I1788" s="8"/>
      <c r="J1788" s="4"/>
      <c r="K1788" s="4"/>
    </row>
    <row r="1789">
      <c r="A1789" s="4"/>
      <c r="B1789" s="4"/>
      <c r="C1789" s="4"/>
      <c r="E1789" s="4"/>
      <c r="F1789" s="4"/>
      <c r="G1789" s="4"/>
      <c r="H1789" s="4"/>
      <c r="I1789" s="8"/>
      <c r="J1789" s="4"/>
      <c r="K1789" s="4"/>
    </row>
    <row r="1790">
      <c r="A1790" s="4"/>
      <c r="B1790" s="4"/>
      <c r="C1790" s="4"/>
      <c r="F1790" s="4"/>
      <c r="G1790" s="4"/>
      <c r="H1790" s="4"/>
      <c r="I1790" s="8"/>
      <c r="J1790" s="4"/>
      <c r="K1790" s="4"/>
    </row>
    <row r="1791">
      <c r="A1791" s="4"/>
      <c r="B1791" s="4"/>
      <c r="C1791" s="4"/>
      <c r="E1791" s="4"/>
      <c r="F1791" s="4"/>
      <c r="G1791" s="4"/>
      <c r="H1791" s="4"/>
      <c r="I1791" s="8"/>
      <c r="J1791" s="4"/>
      <c r="K1791" s="4"/>
    </row>
    <row r="1792">
      <c r="A1792" s="4"/>
      <c r="B1792" s="9"/>
      <c r="C1792" s="4"/>
      <c r="E1792" s="4"/>
      <c r="F1792" s="4"/>
      <c r="G1792" s="4"/>
      <c r="H1792" s="4"/>
      <c r="I1792" s="8"/>
      <c r="J1792" s="4"/>
      <c r="K1792" s="4"/>
    </row>
    <row r="1793">
      <c r="A1793" s="4"/>
      <c r="B1793" s="9"/>
      <c r="C1793" s="4"/>
      <c r="E1793" s="4"/>
      <c r="F1793" s="4"/>
      <c r="G1793" s="4"/>
      <c r="H1793" s="4"/>
      <c r="I1793" s="8"/>
      <c r="J1793" s="4"/>
      <c r="K1793" s="4"/>
    </row>
    <row r="1794">
      <c r="A1794" s="4"/>
      <c r="B1794" s="9"/>
      <c r="C1794" s="4"/>
      <c r="E1794" s="4"/>
      <c r="F1794" s="4"/>
      <c r="G1794" s="4"/>
      <c r="H1794" s="4"/>
      <c r="I1794" s="8"/>
      <c r="J1794" s="4"/>
      <c r="K1794" s="4"/>
    </row>
    <row r="1795">
      <c r="A1795" s="4"/>
      <c r="B1795" s="9"/>
      <c r="C1795" s="4"/>
      <c r="E1795" s="4"/>
      <c r="F1795" s="4"/>
      <c r="G1795" s="4"/>
      <c r="H1795" s="4"/>
      <c r="I1795" s="8"/>
      <c r="J1795" s="4"/>
      <c r="K1795" s="4"/>
    </row>
    <row r="1796">
      <c r="A1796" s="4"/>
      <c r="B1796" s="9"/>
      <c r="C1796" s="4"/>
      <c r="E1796" s="4"/>
      <c r="F1796" s="4"/>
      <c r="G1796" s="4"/>
      <c r="H1796" s="4"/>
      <c r="I1796" s="8"/>
      <c r="J1796" s="4"/>
      <c r="K1796" s="4"/>
    </row>
    <row r="1797">
      <c r="A1797" s="4"/>
      <c r="B1797" s="9"/>
      <c r="C1797" s="4"/>
      <c r="E1797" s="4"/>
      <c r="F1797" s="4"/>
      <c r="G1797" s="4"/>
      <c r="H1797" s="4"/>
      <c r="I1797" s="8"/>
      <c r="J1797" s="4"/>
      <c r="K1797" s="4"/>
    </row>
    <row r="1798">
      <c r="A1798" s="4"/>
      <c r="B1798" s="9"/>
      <c r="C1798" s="4"/>
      <c r="E1798" s="4"/>
      <c r="F1798" s="4"/>
      <c r="G1798" s="4"/>
      <c r="H1798" s="4"/>
      <c r="I1798" s="8"/>
      <c r="J1798" s="4"/>
      <c r="K1798" s="4"/>
    </row>
    <row r="1799">
      <c r="A1799" s="4"/>
      <c r="B1799" s="9"/>
      <c r="C1799" s="4"/>
      <c r="E1799" s="4"/>
      <c r="F1799" s="4"/>
      <c r="G1799" s="4"/>
      <c r="H1799" s="4"/>
      <c r="I1799" s="8"/>
      <c r="J1799" s="4"/>
      <c r="K1799" s="4"/>
    </row>
    <row r="1800">
      <c r="A1800" s="4"/>
      <c r="B1800" s="9"/>
      <c r="C1800" s="4"/>
      <c r="E1800" s="4"/>
      <c r="F1800" s="4"/>
      <c r="G1800" s="4"/>
      <c r="H1800" s="4"/>
      <c r="I1800" s="8"/>
      <c r="J1800" s="4"/>
      <c r="K1800" s="4"/>
    </row>
    <row r="1801">
      <c r="A1801" s="4"/>
      <c r="B1801" s="9"/>
      <c r="C1801" s="4"/>
      <c r="E1801" s="4"/>
      <c r="F1801" s="4"/>
      <c r="G1801" s="4"/>
      <c r="H1801" s="4"/>
      <c r="I1801" s="8"/>
      <c r="J1801" s="4"/>
      <c r="K1801" s="4"/>
    </row>
    <row r="1802">
      <c r="A1802" s="4"/>
      <c r="B1802" s="9"/>
      <c r="C1802" s="4"/>
      <c r="D1802" s="4"/>
      <c r="E1802" s="4"/>
      <c r="F1802" s="4"/>
      <c r="G1802" s="4"/>
      <c r="H1802" s="4"/>
      <c r="I1802" s="8"/>
      <c r="J1802" s="4"/>
      <c r="K1802" s="4"/>
    </row>
    <row r="1803">
      <c r="A1803" s="4"/>
      <c r="B1803" s="9"/>
      <c r="C1803" s="4"/>
      <c r="D1803" s="4"/>
      <c r="E1803" s="4"/>
      <c r="F1803" s="4"/>
      <c r="G1803" s="4"/>
      <c r="H1803" s="4"/>
      <c r="I1803" s="8"/>
      <c r="J1803" s="4"/>
      <c r="K1803" s="4"/>
    </row>
    <row r="1804">
      <c r="A1804" s="4"/>
      <c r="B1804" s="4"/>
      <c r="C1804" s="4"/>
      <c r="D1804" s="4"/>
      <c r="E1804" s="4"/>
      <c r="F1804" s="4"/>
      <c r="G1804" s="4"/>
      <c r="H1804" s="4"/>
      <c r="I1804" s="8"/>
      <c r="J1804" s="4"/>
      <c r="K1804" s="4"/>
    </row>
    <row r="1805">
      <c r="A1805" s="4"/>
      <c r="B1805" s="4"/>
      <c r="C1805" s="4"/>
      <c r="D1805" s="4"/>
      <c r="E1805" s="4"/>
      <c r="F1805" s="4"/>
      <c r="G1805" s="4"/>
      <c r="H1805" s="4"/>
      <c r="I1805" s="8"/>
      <c r="J1805" s="4"/>
      <c r="K1805" s="4"/>
    </row>
    <row r="1806">
      <c r="A1806" s="4"/>
      <c r="B1806" s="4"/>
      <c r="C1806" s="4"/>
      <c r="E1806" s="4"/>
      <c r="F1806" s="4"/>
      <c r="G1806" s="4"/>
      <c r="H1806" s="4"/>
      <c r="I1806" s="8"/>
      <c r="J1806" s="4"/>
      <c r="K1806" s="4"/>
    </row>
    <row r="1807">
      <c r="A1807" s="4"/>
      <c r="B1807" s="4"/>
      <c r="C1807" s="4"/>
      <c r="E1807" s="4"/>
      <c r="F1807" s="4"/>
      <c r="G1807" s="4"/>
      <c r="H1807" s="4"/>
      <c r="J1807" s="4"/>
      <c r="K1807" s="4"/>
    </row>
    <row r="1808">
      <c r="A1808" s="4"/>
      <c r="B1808" s="4"/>
      <c r="C1808" s="4"/>
      <c r="E1808" s="4"/>
      <c r="F1808" s="4"/>
      <c r="G1808" s="4"/>
      <c r="H1808" s="4"/>
      <c r="J1808" s="4"/>
      <c r="K1808" s="4"/>
    </row>
    <row r="1809">
      <c r="A1809" s="4"/>
      <c r="B1809" s="4"/>
      <c r="C1809" s="4"/>
      <c r="E1809" s="4"/>
      <c r="F1809" s="4"/>
      <c r="G1809" s="4"/>
      <c r="H1809" s="4"/>
      <c r="J1809" s="4"/>
      <c r="K1809" s="4"/>
    </row>
    <row r="1810">
      <c r="A1810" s="4"/>
      <c r="B1810" s="4"/>
      <c r="C1810" s="4"/>
      <c r="E1810" s="4"/>
      <c r="F1810" s="4"/>
      <c r="G1810" s="4"/>
      <c r="H1810" s="4"/>
      <c r="J1810" s="4"/>
      <c r="K1810" s="4"/>
    </row>
    <row r="1811">
      <c r="A1811" s="4"/>
      <c r="B1811" s="4"/>
      <c r="C1811" s="4"/>
      <c r="E1811" s="4"/>
      <c r="F1811" s="4"/>
      <c r="G1811" s="4"/>
      <c r="H1811" s="4"/>
      <c r="I1811" s="8"/>
      <c r="J1811" s="4"/>
      <c r="K1811" s="4"/>
    </row>
    <row r="1812">
      <c r="A1812" s="4"/>
      <c r="B1812" s="9"/>
      <c r="C1812" s="4"/>
      <c r="E1812" s="4"/>
      <c r="F1812" s="4"/>
      <c r="G1812" s="4"/>
      <c r="H1812" s="4"/>
      <c r="I1812" s="8"/>
      <c r="J1812" s="4"/>
      <c r="K1812" s="4"/>
    </row>
    <row r="1813">
      <c r="A1813" s="4"/>
      <c r="B1813" s="9"/>
      <c r="C1813" s="4"/>
      <c r="E1813" s="4"/>
      <c r="F1813" s="4"/>
      <c r="G1813" s="4"/>
      <c r="H1813" s="4"/>
      <c r="I1813" s="8"/>
      <c r="J1813" s="4"/>
      <c r="K1813" s="4"/>
    </row>
    <row r="1814">
      <c r="A1814" s="4"/>
      <c r="B1814" s="9"/>
      <c r="C1814" s="4"/>
      <c r="E1814" s="4"/>
      <c r="F1814" s="4"/>
      <c r="G1814" s="4"/>
      <c r="H1814" s="4"/>
      <c r="I1814" s="8"/>
      <c r="J1814" s="4"/>
      <c r="K1814" s="4"/>
    </row>
    <row r="1815">
      <c r="A1815" s="4"/>
      <c r="B1815" s="4"/>
      <c r="C1815" s="4"/>
      <c r="E1815" s="4"/>
      <c r="F1815" s="4"/>
      <c r="G1815" s="4"/>
      <c r="H1815" s="4"/>
      <c r="I1815" s="8"/>
      <c r="J1815" s="4"/>
      <c r="K1815" s="4"/>
    </row>
    <row r="1816">
      <c r="A1816" s="4"/>
      <c r="B1816" s="9"/>
      <c r="C1816" s="4"/>
      <c r="E1816" s="4"/>
      <c r="F1816" s="4"/>
      <c r="G1816" s="4"/>
      <c r="H1816" s="4"/>
      <c r="J1816" s="4"/>
      <c r="K1816" s="4"/>
    </row>
    <row r="1817">
      <c r="A1817" s="4"/>
      <c r="B1817" s="9"/>
      <c r="C1817" s="4"/>
      <c r="E1817" s="4"/>
      <c r="F1817" s="4"/>
      <c r="G1817" s="4"/>
      <c r="H1817" s="4"/>
      <c r="I1817" s="8"/>
      <c r="J1817" s="4"/>
      <c r="K1817" s="4"/>
    </row>
    <row r="1818">
      <c r="A1818" s="4"/>
      <c r="B1818" s="9"/>
      <c r="C1818" s="4"/>
      <c r="E1818" s="4"/>
      <c r="F1818" s="4"/>
      <c r="G1818" s="4"/>
      <c r="H1818" s="4"/>
      <c r="I1818" s="8"/>
      <c r="J1818" s="4"/>
      <c r="K1818" s="4"/>
    </row>
    <row r="1819">
      <c r="A1819" s="4"/>
      <c r="B1819" s="9"/>
      <c r="C1819" s="4"/>
      <c r="E1819" s="4"/>
      <c r="F1819" s="4"/>
      <c r="G1819" s="4"/>
      <c r="H1819" s="4"/>
      <c r="I1819" s="8"/>
      <c r="J1819" s="4"/>
      <c r="K1819" s="4"/>
    </row>
    <row r="1820">
      <c r="A1820" s="4"/>
      <c r="B1820" s="9"/>
      <c r="C1820" s="4"/>
      <c r="E1820" s="4"/>
      <c r="F1820" s="4"/>
      <c r="G1820" s="4"/>
      <c r="H1820" s="4"/>
      <c r="I1820" s="8"/>
      <c r="J1820" s="4"/>
      <c r="K1820" s="4"/>
    </row>
    <row r="1821">
      <c r="A1821" s="4"/>
      <c r="B1821" s="9"/>
      <c r="C1821" s="4"/>
      <c r="E1821" s="4"/>
      <c r="F1821" s="4"/>
      <c r="G1821" s="4"/>
      <c r="H1821" s="4"/>
      <c r="I1821" s="8"/>
      <c r="J1821" s="4"/>
      <c r="K1821" s="4"/>
    </row>
    <row r="1822">
      <c r="A1822" s="4"/>
      <c r="B1822" s="9"/>
      <c r="C1822" s="4"/>
      <c r="D1822" s="4"/>
      <c r="E1822" s="4"/>
      <c r="F1822" s="4"/>
      <c r="G1822" s="4"/>
      <c r="H1822" s="4"/>
      <c r="I1822" s="8"/>
      <c r="J1822" s="4"/>
      <c r="K1822" s="4"/>
    </row>
    <row r="1823">
      <c r="A1823" s="4"/>
      <c r="B1823" s="9"/>
      <c r="C1823" s="4"/>
      <c r="D1823" s="4"/>
      <c r="E1823" s="4"/>
      <c r="F1823" s="4"/>
      <c r="G1823" s="4"/>
      <c r="H1823" s="4"/>
      <c r="I1823" s="8"/>
      <c r="J1823" s="4"/>
      <c r="K1823" s="4"/>
    </row>
    <row r="1824">
      <c r="A1824" s="4"/>
      <c r="B1824" s="4"/>
      <c r="C1824" s="4"/>
      <c r="D1824" s="4"/>
      <c r="E1824" s="4"/>
      <c r="F1824" s="4"/>
      <c r="G1824" s="4"/>
      <c r="H1824" s="4"/>
      <c r="I1824" s="8"/>
      <c r="J1824" s="4"/>
      <c r="K1824" s="4"/>
    </row>
    <row r="1825">
      <c r="A1825" s="4"/>
      <c r="B1825" s="4"/>
      <c r="C1825" s="4"/>
      <c r="E1825" s="4"/>
      <c r="F1825" s="4"/>
      <c r="G1825" s="4"/>
      <c r="H1825" s="4"/>
      <c r="I1825" s="8"/>
      <c r="J1825" s="4"/>
      <c r="K1825" s="4"/>
    </row>
    <row r="1826">
      <c r="A1826" s="4"/>
      <c r="B1826" s="9"/>
      <c r="C1826" s="4"/>
      <c r="E1826" s="4"/>
      <c r="F1826" s="4"/>
      <c r="G1826" s="4"/>
      <c r="H1826" s="4"/>
      <c r="I1826" s="8"/>
      <c r="J1826" s="4"/>
      <c r="K1826" s="4"/>
    </row>
    <row r="1827">
      <c r="A1827" s="4"/>
      <c r="B1827" s="9"/>
      <c r="C1827" s="4"/>
      <c r="D1827" s="4"/>
      <c r="E1827" s="4"/>
      <c r="F1827" s="4"/>
      <c r="G1827" s="4"/>
      <c r="H1827" s="4"/>
      <c r="I1827" s="8"/>
      <c r="J1827" s="4"/>
      <c r="K1827" s="4"/>
    </row>
    <row r="1828">
      <c r="A1828" s="4"/>
      <c r="B1828" s="9"/>
      <c r="C1828" s="4"/>
      <c r="E1828" s="4"/>
      <c r="F1828" s="4"/>
      <c r="G1828" s="4"/>
      <c r="H1828" s="4"/>
      <c r="I1828" s="8"/>
      <c r="J1828" s="4"/>
      <c r="K1828" s="4"/>
    </row>
    <row r="1829">
      <c r="A1829" s="4"/>
      <c r="B1829" s="9"/>
      <c r="C1829" s="4"/>
      <c r="E1829" s="4"/>
      <c r="F1829" s="4"/>
      <c r="G1829" s="4"/>
      <c r="H1829" s="4"/>
      <c r="I1829" s="8"/>
      <c r="J1829" s="4"/>
      <c r="K1829" s="4"/>
    </row>
    <row r="1830">
      <c r="A1830" s="4"/>
      <c r="B1830" s="9"/>
      <c r="C1830" s="4"/>
      <c r="E1830" s="4"/>
      <c r="F1830" s="4"/>
      <c r="G1830" s="4"/>
      <c r="H1830" s="4"/>
      <c r="I1830" s="8"/>
      <c r="J1830" s="4"/>
      <c r="K1830" s="4"/>
    </row>
    <row r="1831">
      <c r="A1831" s="4"/>
      <c r="B1831" s="9"/>
      <c r="C1831" s="4"/>
      <c r="E1831" s="4"/>
      <c r="F1831" s="4"/>
      <c r="G1831" s="4"/>
      <c r="H1831" s="4"/>
      <c r="I1831" s="8"/>
      <c r="J1831" s="4"/>
      <c r="K1831" s="4"/>
    </row>
    <row r="1832">
      <c r="A1832" s="4"/>
      <c r="B1832" s="9"/>
      <c r="C1832" s="4"/>
      <c r="E1832" s="4"/>
      <c r="F1832" s="4"/>
      <c r="G1832" s="4"/>
      <c r="H1832" s="4"/>
      <c r="I1832" s="8"/>
      <c r="J1832" s="4"/>
      <c r="K1832" s="4"/>
    </row>
    <row r="1833">
      <c r="A1833" s="4"/>
      <c r="B1833" s="9"/>
      <c r="C1833" s="4"/>
      <c r="E1833" s="4"/>
      <c r="F1833" s="4"/>
      <c r="G1833" s="4"/>
      <c r="H1833" s="4"/>
      <c r="I1833" s="8"/>
      <c r="J1833" s="4"/>
      <c r="K1833" s="4"/>
    </row>
    <row r="1834">
      <c r="A1834" s="4"/>
      <c r="B1834" s="9"/>
      <c r="C1834" s="4"/>
      <c r="E1834" s="4"/>
      <c r="F1834" s="4"/>
      <c r="G1834" s="4"/>
      <c r="H1834" s="4"/>
      <c r="I1834" s="8"/>
      <c r="J1834" s="4"/>
      <c r="K1834" s="4"/>
    </row>
    <row r="1835">
      <c r="A1835" s="4"/>
      <c r="B1835" s="9"/>
      <c r="C1835" s="4"/>
      <c r="E1835" s="4"/>
      <c r="F1835" s="4"/>
      <c r="G1835" s="4"/>
      <c r="H1835" s="4"/>
      <c r="I1835" s="8"/>
      <c r="J1835" s="4"/>
      <c r="K1835" s="4"/>
    </row>
    <row r="1836">
      <c r="A1836" s="4"/>
      <c r="B1836" s="9"/>
      <c r="C1836" s="4"/>
      <c r="E1836" s="4"/>
      <c r="F1836" s="4"/>
      <c r="G1836" s="4"/>
      <c r="H1836" s="4"/>
      <c r="J1836" s="4"/>
      <c r="K1836" s="4"/>
    </row>
    <row r="1837">
      <c r="A1837" s="4"/>
      <c r="B1837" s="4"/>
      <c r="C1837" s="4"/>
      <c r="D1837" s="4"/>
      <c r="E1837" s="4"/>
      <c r="F1837" s="4"/>
      <c r="G1837" s="4"/>
      <c r="H1837" s="4"/>
      <c r="I1837" s="8"/>
      <c r="J1837" s="4"/>
      <c r="K1837" s="4"/>
    </row>
    <row r="1838">
      <c r="A1838" s="4"/>
      <c r="B1838" s="4"/>
      <c r="C1838" s="4"/>
      <c r="D1838" s="4"/>
      <c r="E1838" s="4"/>
      <c r="F1838" s="4"/>
      <c r="G1838" s="4"/>
      <c r="H1838" s="4"/>
      <c r="I1838" s="8"/>
      <c r="J1838" s="4"/>
      <c r="K1838" s="4"/>
    </row>
    <row r="1839">
      <c r="A1839" s="4"/>
      <c r="B1839" s="4"/>
      <c r="C1839" s="4"/>
      <c r="D1839" s="4"/>
      <c r="E1839" s="4"/>
      <c r="F1839" s="4"/>
      <c r="G1839" s="4"/>
      <c r="H1839" s="4"/>
      <c r="I1839" s="8"/>
      <c r="J1839" s="4"/>
      <c r="K1839" s="4"/>
    </row>
    <row r="1840">
      <c r="A1840" s="4"/>
      <c r="B1840" s="4"/>
      <c r="C1840" s="4"/>
      <c r="D1840" s="4"/>
      <c r="E1840" s="4"/>
      <c r="F1840" s="4"/>
      <c r="G1840" s="4"/>
      <c r="H1840" s="4"/>
      <c r="I1840" s="8"/>
      <c r="J1840" s="4"/>
      <c r="K1840" s="4"/>
    </row>
    <row r="1841">
      <c r="A1841" s="4"/>
      <c r="B1841" s="4"/>
      <c r="C1841" s="4"/>
      <c r="D1841" s="4"/>
      <c r="E1841" s="4"/>
      <c r="F1841" s="4"/>
      <c r="G1841" s="4"/>
      <c r="H1841" s="4"/>
      <c r="I1841" s="8"/>
      <c r="J1841" s="4"/>
      <c r="K1841" s="4"/>
    </row>
    <row r="1842">
      <c r="A1842" s="4"/>
      <c r="B1842" s="4"/>
      <c r="C1842" s="4"/>
      <c r="D1842" s="4"/>
      <c r="E1842" s="4"/>
      <c r="F1842" s="4"/>
      <c r="G1842" s="4"/>
      <c r="H1842" s="4"/>
      <c r="I1842" s="8"/>
      <c r="J1842" s="4"/>
      <c r="K1842" s="4"/>
    </row>
    <row r="1843">
      <c r="A1843" s="4"/>
      <c r="B1843" s="4"/>
      <c r="C1843" s="4"/>
      <c r="D1843" s="4"/>
      <c r="E1843" s="4"/>
      <c r="F1843" s="4"/>
      <c r="G1843" s="4"/>
      <c r="H1843" s="4"/>
      <c r="I1843" s="8"/>
      <c r="J1843" s="4"/>
      <c r="K1843" s="4"/>
    </row>
    <row r="1844">
      <c r="A1844" s="4"/>
      <c r="B1844" s="4"/>
      <c r="C1844" s="4"/>
      <c r="E1844" s="4"/>
      <c r="F1844" s="4"/>
      <c r="G1844" s="4"/>
      <c r="H1844" s="4"/>
      <c r="I1844" s="8"/>
      <c r="J1844" s="4"/>
      <c r="K1844" s="4"/>
    </row>
    <row r="1845">
      <c r="A1845" s="4"/>
      <c r="B1845" s="9"/>
      <c r="C1845" s="4"/>
      <c r="D1845" s="4"/>
      <c r="E1845" s="4"/>
      <c r="F1845" s="4"/>
      <c r="G1845" s="4"/>
      <c r="H1845" s="4"/>
      <c r="I1845" s="8"/>
      <c r="J1845" s="4"/>
      <c r="K1845" s="4"/>
    </row>
    <row r="1846">
      <c r="A1846" s="4"/>
      <c r="B1846" s="9"/>
      <c r="C1846" s="4"/>
      <c r="E1846" s="4"/>
      <c r="F1846" s="4"/>
      <c r="G1846" s="4"/>
      <c r="H1846" s="4"/>
      <c r="I1846" s="8"/>
      <c r="J1846" s="4"/>
      <c r="K1846" s="4"/>
    </row>
    <row r="1847">
      <c r="A1847" s="4"/>
      <c r="B1847" s="9"/>
      <c r="C1847" s="4"/>
      <c r="E1847" s="4"/>
      <c r="F1847" s="4"/>
      <c r="G1847" s="4"/>
      <c r="H1847" s="4"/>
      <c r="I1847" s="8"/>
      <c r="J1847" s="4"/>
      <c r="K1847" s="4"/>
    </row>
    <row r="1848">
      <c r="A1848" s="4"/>
      <c r="B1848" s="9"/>
      <c r="C1848" s="4"/>
      <c r="E1848" s="4"/>
      <c r="F1848" s="4"/>
      <c r="G1848" s="4"/>
      <c r="H1848" s="4"/>
      <c r="I1848" s="8"/>
      <c r="J1848" s="4"/>
      <c r="K1848" s="4"/>
    </row>
    <row r="1849">
      <c r="A1849" s="4"/>
      <c r="B1849" s="9"/>
      <c r="C1849" s="4"/>
      <c r="D1849" s="4"/>
      <c r="E1849" s="4"/>
      <c r="F1849" s="4"/>
      <c r="G1849" s="4"/>
      <c r="H1849" s="4"/>
      <c r="I1849" s="8"/>
      <c r="J1849" s="4"/>
      <c r="K1849" s="4"/>
    </row>
    <row r="1850">
      <c r="A1850" s="4"/>
      <c r="B1850" s="9"/>
      <c r="C1850" s="4"/>
      <c r="E1850" s="4"/>
      <c r="F1850" s="4"/>
      <c r="G1850" s="4"/>
      <c r="H1850" s="4"/>
      <c r="I1850" s="8"/>
      <c r="J1850" s="4"/>
      <c r="K1850" s="4"/>
    </row>
    <row r="1851">
      <c r="A1851" s="4"/>
      <c r="B1851" s="4"/>
      <c r="C1851" s="4"/>
      <c r="E1851" s="4"/>
      <c r="F1851" s="4"/>
      <c r="G1851" s="4"/>
      <c r="H1851" s="4"/>
      <c r="I1851" s="8"/>
      <c r="J1851" s="4"/>
      <c r="K1851" s="4"/>
    </row>
    <row r="1852">
      <c r="A1852" s="4"/>
      <c r="B1852" s="4"/>
      <c r="C1852" s="4"/>
      <c r="E1852" s="4"/>
      <c r="F1852" s="4"/>
      <c r="G1852" s="4"/>
      <c r="H1852" s="4"/>
      <c r="I1852" s="8"/>
      <c r="J1852" s="4"/>
      <c r="K1852" s="4"/>
    </row>
    <row r="1853">
      <c r="A1853" s="4"/>
      <c r="B1853" s="4"/>
      <c r="C1853" s="4"/>
      <c r="E1853" s="4"/>
      <c r="F1853" s="4"/>
      <c r="G1853" s="4"/>
      <c r="H1853" s="4"/>
      <c r="I1853" s="8"/>
      <c r="J1853" s="4"/>
      <c r="K1853" s="4"/>
    </row>
    <row r="1854">
      <c r="A1854" s="4"/>
      <c r="B1854" s="4"/>
      <c r="C1854" s="4"/>
      <c r="E1854" s="4"/>
      <c r="F1854" s="4"/>
      <c r="G1854" s="4"/>
      <c r="H1854" s="4"/>
      <c r="I1854" s="8"/>
      <c r="J1854" s="4"/>
      <c r="K1854" s="4"/>
    </row>
    <row r="1855">
      <c r="A1855" s="4"/>
      <c r="B1855" s="4"/>
      <c r="C1855" s="4"/>
      <c r="E1855" s="4"/>
      <c r="F1855" s="4"/>
      <c r="G1855" s="4"/>
      <c r="H1855" s="4"/>
      <c r="J1855" s="4"/>
      <c r="K1855" s="4"/>
    </row>
    <row r="1856">
      <c r="A1856" s="4"/>
      <c r="B1856" s="4"/>
      <c r="C1856" s="4"/>
      <c r="E1856" s="4"/>
      <c r="F1856" s="4"/>
      <c r="G1856" s="4"/>
      <c r="H1856" s="4"/>
      <c r="J1856" s="4"/>
      <c r="K1856" s="4"/>
    </row>
    <row r="1857">
      <c r="A1857" s="4"/>
      <c r="B1857" s="4"/>
      <c r="C1857" s="4"/>
      <c r="E1857" s="4"/>
      <c r="F1857" s="4"/>
      <c r="G1857" s="4"/>
      <c r="H1857" s="4"/>
      <c r="I1857" s="8"/>
      <c r="J1857" s="4"/>
      <c r="K1857" s="4"/>
    </row>
    <row r="1858">
      <c r="A1858" s="4"/>
      <c r="B1858" s="4"/>
      <c r="C1858" s="4"/>
      <c r="E1858" s="4"/>
      <c r="F1858" s="4"/>
      <c r="G1858" s="4"/>
      <c r="H1858" s="4"/>
      <c r="I1858" s="8"/>
      <c r="J1858" s="4"/>
      <c r="K1858" s="4"/>
    </row>
    <row r="1859">
      <c r="A1859" s="4"/>
      <c r="B1859" s="9"/>
      <c r="C1859" s="4"/>
      <c r="E1859" s="4"/>
      <c r="F1859" s="4"/>
      <c r="G1859" s="4"/>
      <c r="H1859" s="4"/>
      <c r="I1859" s="8"/>
      <c r="J1859" s="4"/>
      <c r="K1859" s="4"/>
    </row>
    <row r="1860">
      <c r="A1860" s="4"/>
      <c r="B1860" s="4"/>
      <c r="C1860" s="4"/>
      <c r="D1860" s="4"/>
      <c r="E1860" s="4"/>
      <c r="F1860" s="4"/>
      <c r="G1860" s="4"/>
      <c r="H1860" s="4"/>
      <c r="I1860" s="8"/>
      <c r="J1860" s="4"/>
      <c r="K1860" s="4"/>
    </row>
    <row r="1861">
      <c r="A1861" s="4"/>
      <c r="B1861" s="9"/>
      <c r="C1861" s="4"/>
      <c r="E1861" s="4"/>
      <c r="F1861" s="4"/>
      <c r="G1861" s="4"/>
      <c r="H1861" s="4"/>
      <c r="I1861" s="8"/>
      <c r="J1861" s="4"/>
      <c r="K1861" s="4"/>
    </row>
    <row r="1862">
      <c r="A1862" s="4"/>
      <c r="B1862" s="9"/>
      <c r="C1862" s="4"/>
      <c r="D1862" s="4"/>
      <c r="E1862" s="4"/>
      <c r="F1862" s="4"/>
      <c r="G1862" s="4"/>
      <c r="H1862" s="4"/>
      <c r="I1862" s="8"/>
      <c r="J1862" s="4"/>
      <c r="K1862" s="4"/>
    </row>
    <row r="1863">
      <c r="A1863" s="4"/>
      <c r="B1863" s="9"/>
      <c r="C1863" s="4"/>
      <c r="D1863" s="4"/>
      <c r="E1863" s="4"/>
      <c r="F1863" s="4"/>
      <c r="G1863" s="4"/>
      <c r="H1863" s="4"/>
      <c r="I1863" s="8"/>
      <c r="J1863" s="4"/>
      <c r="K1863" s="4"/>
    </row>
    <row r="1864">
      <c r="A1864" s="4"/>
      <c r="B1864" s="4"/>
      <c r="C1864" s="4"/>
      <c r="E1864" s="4"/>
      <c r="F1864" s="4"/>
      <c r="G1864" s="4"/>
      <c r="H1864" s="4"/>
      <c r="I1864" s="8"/>
      <c r="J1864" s="4"/>
      <c r="K1864" s="4"/>
    </row>
    <row r="1865">
      <c r="A1865" s="4"/>
      <c r="B1865" s="4"/>
      <c r="C1865" s="4"/>
      <c r="E1865" s="4"/>
      <c r="F1865" s="4"/>
      <c r="G1865" s="4"/>
      <c r="H1865" s="4"/>
      <c r="I1865" s="8"/>
      <c r="J1865" s="4"/>
      <c r="K1865" s="4"/>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3</v>
      </c>
      <c r="C1" s="1" t="s">
        <v>5</v>
      </c>
      <c r="D1" s="1" t="s">
        <v>7</v>
      </c>
      <c r="E1" s="1" t="s">
        <v>8</v>
      </c>
      <c r="F1" s="1" t="s">
        <v>11</v>
      </c>
      <c r="G1" s="1" t="s">
        <v>14</v>
      </c>
      <c r="H1" s="1" t="s">
        <v>15</v>
      </c>
      <c r="I1" s="1" t="s">
        <v>16</v>
      </c>
      <c r="J1" s="1" t="s">
        <v>19</v>
      </c>
      <c r="K1" s="1" t="s">
        <v>20</v>
      </c>
      <c r="L1" s="1" t="s">
        <v>23</v>
      </c>
      <c r="M1" s="1" t="s">
        <v>24</v>
      </c>
      <c r="N1" s="1" t="s">
        <v>27</v>
      </c>
      <c r="O1" s="1" t="s">
        <v>28</v>
      </c>
      <c r="P1" s="1" t="s">
        <v>30</v>
      </c>
    </row>
    <row r="2">
      <c r="A2" s="1" t="s">
        <v>31</v>
      </c>
      <c r="B2" s="1" t="s">
        <v>33</v>
      </c>
      <c r="C2" s="1" t="s">
        <v>35</v>
      </c>
      <c r="D2" s="1" t="s">
        <v>36</v>
      </c>
      <c r="E2" s="1" t="s">
        <v>39</v>
      </c>
      <c r="F2" s="1" t="s">
        <v>41</v>
      </c>
      <c r="G2" s="1" t="s">
        <v>42</v>
      </c>
      <c r="H2" s="1" t="s">
        <v>43</v>
      </c>
      <c r="I2" s="1" t="s">
        <v>45</v>
      </c>
      <c r="J2" s="1" t="s">
        <v>46</v>
      </c>
      <c r="K2" s="1" t="s">
        <v>47</v>
      </c>
      <c r="L2" s="3">
        <v>46218.0</v>
      </c>
      <c r="M2" s="3">
        <v>46220.0</v>
      </c>
      <c r="N2" s="1" t="s">
        <v>51</v>
      </c>
      <c r="O2" s="1" t="s">
        <v>51</v>
      </c>
      <c r="P2" s="3">
        <v>46232.0</v>
      </c>
    </row>
    <row r="3">
      <c r="A3" s="1" t="s">
        <v>53</v>
      </c>
      <c r="B3" s="1" t="s">
        <v>55</v>
      </c>
      <c r="C3" s="1" t="s">
        <v>56</v>
      </c>
      <c r="D3" s="1" t="s">
        <v>36</v>
      </c>
      <c r="E3" s="1" t="s">
        <v>59</v>
      </c>
      <c r="F3" s="1" t="s">
        <v>41</v>
      </c>
      <c r="G3" s="1" t="s">
        <v>63</v>
      </c>
      <c r="H3" s="1" t="s">
        <v>66</v>
      </c>
      <c r="I3" s="1" t="s">
        <v>45</v>
      </c>
      <c r="J3" s="1" t="s">
        <v>68</v>
      </c>
      <c r="K3" s="1" t="s">
        <v>47</v>
      </c>
      <c r="L3" s="3">
        <v>46230.0</v>
      </c>
      <c r="M3" s="1" t="s">
        <v>51</v>
      </c>
      <c r="N3" s="1" t="s">
        <v>51</v>
      </c>
      <c r="O3" s="1" t="s">
        <v>51</v>
      </c>
      <c r="P3" s="3">
        <v>46232.0</v>
      </c>
    </row>
    <row r="4">
      <c r="A4" s="1" t="s">
        <v>31</v>
      </c>
      <c r="B4" s="1" t="s">
        <v>33</v>
      </c>
      <c r="C4" s="1" t="s">
        <v>35</v>
      </c>
      <c r="D4" s="1" t="s">
        <v>36</v>
      </c>
      <c r="E4" s="1" t="s">
        <v>39</v>
      </c>
      <c r="F4" s="1" t="s">
        <v>41</v>
      </c>
      <c r="G4" s="1" t="s">
        <v>85</v>
      </c>
      <c r="H4" s="1" t="s">
        <v>87</v>
      </c>
      <c r="I4" s="1" t="s">
        <v>89</v>
      </c>
      <c r="J4" s="1" t="s">
        <v>46</v>
      </c>
      <c r="K4" s="1" t="s">
        <v>47</v>
      </c>
      <c r="L4" s="3">
        <v>46230.0</v>
      </c>
      <c r="M4" s="3">
        <v>46230.0</v>
      </c>
      <c r="N4" s="1" t="s">
        <v>51</v>
      </c>
      <c r="O4" s="1" t="s">
        <v>51</v>
      </c>
      <c r="P4" s="3">
        <v>46232.0</v>
      </c>
    </row>
    <row r="5">
      <c r="A5" s="1" t="s">
        <v>102</v>
      </c>
      <c r="B5" s="1" t="s">
        <v>105</v>
      </c>
      <c r="C5" s="1" t="s">
        <v>107</v>
      </c>
      <c r="D5" s="1" t="s">
        <v>109</v>
      </c>
      <c r="E5" s="1" t="s">
        <v>39</v>
      </c>
      <c r="F5" s="1" t="s">
        <v>41</v>
      </c>
      <c r="G5" s="1" t="s">
        <v>112</v>
      </c>
      <c r="H5" s="1" t="s">
        <v>115</v>
      </c>
      <c r="I5" s="1" t="s">
        <v>89</v>
      </c>
      <c r="J5" s="1" t="s">
        <v>46</v>
      </c>
      <c r="K5" s="1" t="s">
        <v>47</v>
      </c>
      <c r="L5" s="3">
        <v>46230.0</v>
      </c>
      <c r="M5" s="3">
        <v>46231.0</v>
      </c>
      <c r="N5" s="1" t="s">
        <v>51</v>
      </c>
      <c r="O5" s="1" t="s">
        <v>51</v>
      </c>
      <c r="P5" s="3">
        <v>46232.0</v>
      </c>
    </row>
    <row r="6">
      <c r="A6" s="1" t="s">
        <v>121</v>
      </c>
      <c r="B6" s="1" t="s">
        <v>122</v>
      </c>
      <c r="C6" s="1" t="s">
        <v>125</v>
      </c>
      <c r="D6" s="1" t="s">
        <v>36</v>
      </c>
      <c r="E6" s="1" t="s">
        <v>128</v>
      </c>
      <c r="F6" s="1" t="s">
        <v>130</v>
      </c>
      <c r="G6" s="1" t="s">
        <v>133</v>
      </c>
      <c r="H6" s="1" t="s">
        <v>136</v>
      </c>
      <c r="I6" s="1" t="s">
        <v>45</v>
      </c>
      <c r="J6" s="1" t="s">
        <v>140</v>
      </c>
      <c r="K6" s="1" t="s">
        <v>47</v>
      </c>
      <c r="L6" s="3">
        <v>46239.0</v>
      </c>
      <c r="M6" s="3">
        <v>46240.0</v>
      </c>
      <c r="N6" s="3">
        <v>46240.0</v>
      </c>
      <c r="O6" s="3">
        <v>46240.0</v>
      </c>
      <c r="P6" s="3">
        <v>46260.0</v>
      </c>
    </row>
    <row r="7">
      <c r="A7" s="1" t="s">
        <v>148</v>
      </c>
      <c r="B7" s="1" t="s">
        <v>151</v>
      </c>
      <c r="C7" s="1" t="s">
        <v>154</v>
      </c>
      <c r="D7" s="1" t="s">
        <v>109</v>
      </c>
      <c r="E7" s="1" t="s">
        <v>39</v>
      </c>
      <c r="F7" s="1" t="s">
        <v>41</v>
      </c>
      <c r="G7" s="1" t="s">
        <v>159</v>
      </c>
      <c r="H7" s="1" t="s">
        <v>161</v>
      </c>
      <c r="I7" s="1" t="s">
        <v>89</v>
      </c>
      <c r="K7" s="1" t="s">
        <v>163</v>
      </c>
      <c r="L7" s="3">
        <v>46239.0</v>
      </c>
      <c r="M7" s="3">
        <v>46239.0</v>
      </c>
      <c r="N7" s="1" t="s">
        <v>51</v>
      </c>
      <c r="O7" s="1" t="s">
        <v>51</v>
      </c>
      <c r="P7" s="3">
        <v>46260.0</v>
      </c>
    </row>
    <row r="8">
      <c r="A8" s="1" t="s">
        <v>170</v>
      </c>
      <c r="B8" s="1" t="s">
        <v>173</v>
      </c>
      <c r="C8" s="1" t="s">
        <v>176</v>
      </c>
      <c r="D8" s="1" t="s">
        <v>109</v>
      </c>
      <c r="E8" s="1" t="s">
        <v>59</v>
      </c>
      <c r="F8" s="1" t="s">
        <v>41</v>
      </c>
      <c r="G8" s="1" t="s">
        <v>179</v>
      </c>
      <c r="H8" s="1" t="s">
        <v>181</v>
      </c>
      <c r="I8" s="1" t="s">
        <v>45</v>
      </c>
      <c r="K8" s="1" t="s">
        <v>184</v>
      </c>
      <c r="L8" s="3">
        <v>46246.0</v>
      </c>
      <c r="M8" s="1" t="s">
        <v>51</v>
      </c>
      <c r="N8" s="1" t="s">
        <v>51</v>
      </c>
      <c r="O8" s="1" t="s">
        <v>51</v>
      </c>
      <c r="P8" s="3">
        <v>46260.0</v>
      </c>
    </row>
    <row r="9">
      <c r="A9" s="1" t="s">
        <v>170</v>
      </c>
      <c r="B9" s="1" t="s">
        <v>173</v>
      </c>
      <c r="C9" s="1" t="s">
        <v>176</v>
      </c>
      <c r="D9" s="1" t="s">
        <v>109</v>
      </c>
      <c r="E9" s="1" t="s">
        <v>196</v>
      </c>
      <c r="F9" s="1" t="s">
        <v>41</v>
      </c>
      <c r="G9" s="1" t="s">
        <v>199</v>
      </c>
      <c r="H9" s="1" t="s">
        <v>201</v>
      </c>
      <c r="I9" s="1" t="s">
        <v>89</v>
      </c>
      <c r="K9" s="1" t="s">
        <v>184</v>
      </c>
      <c r="L9" s="3">
        <v>46246.0</v>
      </c>
      <c r="M9" s="1" t="s">
        <v>51</v>
      </c>
      <c r="N9" s="1" t="s">
        <v>51</v>
      </c>
      <c r="O9" s="1" t="s">
        <v>51</v>
      </c>
      <c r="P9" s="3">
        <v>46260.0</v>
      </c>
    </row>
    <row r="10">
      <c r="A10" s="1" t="s">
        <v>170</v>
      </c>
      <c r="B10" s="1" t="s">
        <v>173</v>
      </c>
      <c r="C10" s="1" t="s">
        <v>176</v>
      </c>
      <c r="D10" s="1" t="s">
        <v>109</v>
      </c>
      <c r="E10" s="1" t="s">
        <v>59</v>
      </c>
      <c r="F10" s="1" t="s">
        <v>41</v>
      </c>
      <c r="G10" s="1" t="s">
        <v>213</v>
      </c>
      <c r="H10" s="1" t="s">
        <v>214</v>
      </c>
      <c r="I10" s="1" t="s">
        <v>45</v>
      </c>
      <c r="K10" s="1" t="s">
        <v>184</v>
      </c>
      <c r="L10" s="3">
        <v>46246.0</v>
      </c>
      <c r="M10" s="1" t="s">
        <v>51</v>
      </c>
      <c r="N10" s="1" t="s">
        <v>51</v>
      </c>
      <c r="O10" s="1" t="s">
        <v>51</v>
      </c>
      <c r="P10" s="3">
        <v>46260.0</v>
      </c>
    </row>
    <row r="11">
      <c r="A11" s="1" t="s">
        <v>220</v>
      </c>
      <c r="B11" s="1" t="s">
        <v>223</v>
      </c>
      <c r="C11" s="1" t="s">
        <v>225</v>
      </c>
      <c r="D11" s="1" t="s">
        <v>109</v>
      </c>
      <c r="E11" s="1" t="s">
        <v>39</v>
      </c>
      <c r="F11" s="1" t="s">
        <v>41</v>
      </c>
      <c r="G11" s="1" t="s">
        <v>229</v>
      </c>
      <c r="H11" s="1" t="s">
        <v>231</v>
      </c>
      <c r="I11" s="1" t="s">
        <v>89</v>
      </c>
      <c r="J11" s="1" t="s">
        <v>234</v>
      </c>
      <c r="K11" s="1" t="s">
        <v>47</v>
      </c>
      <c r="L11" s="3">
        <v>46246.0</v>
      </c>
      <c r="M11" s="3">
        <v>46246.0</v>
      </c>
      <c r="N11" s="1" t="s">
        <v>51</v>
      </c>
      <c r="O11" s="1" t="s">
        <v>51</v>
      </c>
      <c r="P11" s="3">
        <v>46260.0</v>
      </c>
    </row>
    <row r="12">
      <c r="A12" s="1" t="s">
        <v>220</v>
      </c>
      <c r="B12" s="1" t="s">
        <v>223</v>
      </c>
      <c r="C12" s="1" t="s">
        <v>225</v>
      </c>
      <c r="D12" s="1" t="s">
        <v>109</v>
      </c>
      <c r="E12" s="1" t="s">
        <v>39</v>
      </c>
      <c r="F12" s="1" t="s">
        <v>41</v>
      </c>
      <c r="G12" s="1" t="s">
        <v>249</v>
      </c>
      <c r="H12" s="1" t="s">
        <v>250</v>
      </c>
      <c r="I12" s="1" t="s">
        <v>89</v>
      </c>
      <c r="J12" s="1" t="s">
        <v>234</v>
      </c>
      <c r="K12" s="1" t="s">
        <v>47</v>
      </c>
      <c r="L12" s="3">
        <v>46246.0</v>
      </c>
      <c r="M12" s="3">
        <v>46247.0</v>
      </c>
      <c r="N12" s="1" t="s">
        <v>51</v>
      </c>
      <c r="O12" s="1" t="s">
        <v>51</v>
      </c>
      <c r="P12" s="3">
        <v>46260.0</v>
      </c>
    </row>
    <row r="13">
      <c r="A13" s="1" t="s">
        <v>258</v>
      </c>
      <c r="B13" s="1" t="s">
        <v>259</v>
      </c>
      <c r="C13" s="1" t="s">
        <v>261</v>
      </c>
      <c r="D13" s="1" t="s">
        <v>109</v>
      </c>
      <c r="E13" s="1" t="s">
        <v>59</v>
      </c>
      <c r="F13" s="1" t="s">
        <v>41</v>
      </c>
      <c r="G13" s="1" t="s">
        <v>263</v>
      </c>
      <c r="H13" s="1" t="s">
        <v>264</v>
      </c>
      <c r="I13" s="1" t="s">
        <v>89</v>
      </c>
      <c r="K13" s="1" t="s">
        <v>267</v>
      </c>
      <c r="L13" s="3">
        <v>46246.0</v>
      </c>
      <c r="M13" s="1" t="s">
        <v>51</v>
      </c>
      <c r="N13" s="1" t="s">
        <v>51</v>
      </c>
      <c r="O13" s="1" t="s">
        <v>51</v>
      </c>
      <c r="P13" s="3">
        <v>46260.0</v>
      </c>
    </row>
    <row r="14">
      <c r="A14" s="1" t="s">
        <v>220</v>
      </c>
      <c r="B14" s="1" t="s">
        <v>223</v>
      </c>
      <c r="C14" s="1" t="s">
        <v>225</v>
      </c>
      <c r="D14" s="1" t="s">
        <v>109</v>
      </c>
      <c r="E14" s="1" t="s">
        <v>59</v>
      </c>
      <c r="F14" s="1" t="s">
        <v>41</v>
      </c>
      <c r="G14" s="1" t="s">
        <v>280</v>
      </c>
      <c r="H14" s="1" t="s">
        <v>283</v>
      </c>
      <c r="I14" s="1" t="s">
        <v>45</v>
      </c>
      <c r="J14" s="1" t="s">
        <v>234</v>
      </c>
      <c r="K14" s="1" t="s">
        <v>47</v>
      </c>
      <c r="L14" s="3">
        <v>46246.0</v>
      </c>
      <c r="M14" s="1" t="s">
        <v>51</v>
      </c>
      <c r="N14" s="1" t="s">
        <v>51</v>
      </c>
      <c r="O14" s="1" t="s">
        <v>51</v>
      </c>
      <c r="P14" s="3">
        <v>46260.0</v>
      </c>
    </row>
    <row r="15">
      <c r="A15" s="1" t="s">
        <v>148</v>
      </c>
      <c r="B15" s="1" t="s">
        <v>151</v>
      </c>
      <c r="C15" s="1" t="s">
        <v>154</v>
      </c>
      <c r="D15" s="1" t="s">
        <v>109</v>
      </c>
      <c r="E15" s="1" t="s">
        <v>59</v>
      </c>
      <c r="F15" s="1" t="s">
        <v>41</v>
      </c>
      <c r="G15" s="1" t="s">
        <v>302</v>
      </c>
      <c r="H15" s="1" t="s">
        <v>303</v>
      </c>
      <c r="I15" s="1" t="s">
        <v>45</v>
      </c>
      <c r="K15" s="1" t="s">
        <v>163</v>
      </c>
      <c r="L15" s="3">
        <v>46246.0</v>
      </c>
      <c r="M15" s="1" t="s">
        <v>51</v>
      </c>
      <c r="N15" s="1" t="s">
        <v>51</v>
      </c>
      <c r="O15" s="1" t="s">
        <v>51</v>
      </c>
      <c r="P15" s="3">
        <v>46260.0</v>
      </c>
    </row>
    <row r="16">
      <c r="A16" s="1" t="s">
        <v>314</v>
      </c>
      <c r="B16" s="1" t="s">
        <v>315</v>
      </c>
      <c r="C16" s="1" t="s">
        <v>317</v>
      </c>
      <c r="D16" s="1" t="s">
        <v>109</v>
      </c>
      <c r="E16" s="1" t="s">
        <v>59</v>
      </c>
      <c r="F16" s="1" t="s">
        <v>41</v>
      </c>
      <c r="G16" s="1" t="s">
        <v>321</v>
      </c>
      <c r="H16" s="1" t="s">
        <v>322</v>
      </c>
      <c r="I16" s="1" t="s">
        <v>45</v>
      </c>
      <c r="J16" s="1" t="s">
        <v>323</v>
      </c>
      <c r="K16" s="1" t="s">
        <v>47</v>
      </c>
      <c r="L16" s="3">
        <v>46246.0</v>
      </c>
      <c r="M16" s="1" t="s">
        <v>51</v>
      </c>
      <c r="N16" s="1" t="s">
        <v>51</v>
      </c>
      <c r="O16" s="1" t="s">
        <v>51</v>
      </c>
      <c r="P16" s="3">
        <v>46260.0</v>
      </c>
    </row>
    <row r="17">
      <c r="A17" s="1" t="s">
        <v>314</v>
      </c>
      <c r="B17" s="1" t="s">
        <v>315</v>
      </c>
      <c r="C17" s="1" t="s">
        <v>317</v>
      </c>
      <c r="D17" s="1" t="s">
        <v>109</v>
      </c>
      <c r="E17" s="1" t="s">
        <v>59</v>
      </c>
      <c r="F17" s="1" t="s">
        <v>41</v>
      </c>
      <c r="G17" s="1" t="s">
        <v>339</v>
      </c>
      <c r="H17" s="1" t="s">
        <v>340</v>
      </c>
      <c r="I17" s="1" t="s">
        <v>89</v>
      </c>
      <c r="J17" s="1" t="s">
        <v>323</v>
      </c>
      <c r="K17" s="1" t="s">
        <v>47</v>
      </c>
      <c r="L17" s="3">
        <v>46246.0</v>
      </c>
      <c r="M17" s="1" t="s">
        <v>51</v>
      </c>
      <c r="N17" s="1" t="s">
        <v>51</v>
      </c>
      <c r="O17" s="1" t="s">
        <v>51</v>
      </c>
      <c r="P17" s="3">
        <v>46260.0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1</v>
      </c>
      <c r="B1" s="2" t="s">
        <v>12</v>
      </c>
      <c r="C1" s="2" t="s">
        <v>17</v>
      </c>
      <c r="D1" s="2" t="s">
        <v>22</v>
      </c>
      <c r="E1" s="2" t="s">
        <v>25</v>
      </c>
      <c r="F1" s="2" t="s">
        <v>29</v>
      </c>
    </row>
    <row r="2">
      <c r="A2" s="1" t="s">
        <v>32</v>
      </c>
      <c r="B2" s="1" t="s">
        <v>34</v>
      </c>
      <c r="C2" s="1" t="s">
        <v>37</v>
      </c>
      <c r="D2" s="1" t="s">
        <v>38</v>
      </c>
      <c r="E2" s="3">
        <v>46444.0</v>
      </c>
    </row>
    <row r="3">
      <c r="A3" s="1" t="s">
        <v>49</v>
      </c>
      <c r="B3" s="1" t="s">
        <v>50</v>
      </c>
      <c r="C3" s="1" t="s">
        <v>37</v>
      </c>
      <c r="D3" s="1" t="s">
        <v>38</v>
      </c>
      <c r="E3" s="3">
        <v>46296.0</v>
      </c>
    </row>
    <row r="4">
      <c r="A4" s="1" t="s">
        <v>52</v>
      </c>
      <c r="B4" s="1" t="s">
        <v>54</v>
      </c>
      <c r="C4" s="1" t="s">
        <v>37</v>
      </c>
      <c r="D4" s="1" t="s">
        <v>38</v>
      </c>
      <c r="E4" s="3">
        <v>46297.0</v>
      </c>
    </row>
    <row r="5">
      <c r="A5" s="1" t="s">
        <v>62</v>
      </c>
      <c r="B5" s="1" t="s">
        <v>65</v>
      </c>
      <c r="C5" s="1" t="s">
        <v>37</v>
      </c>
      <c r="D5" s="1" t="s">
        <v>38</v>
      </c>
      <c r="E5" s="3">
        <v>46189.0</v>
      </c>
      <c r="F5" s="3">
        <v>46189.0</v>
      </c>
    </row>
    <row r="6">
      <c r="A6" s="1" t="s">
        <v>74</v>
      </c>
      <c r="B6" s="1" t="s">
        <v>76</v>
      </c>
      <c r="C6" s="1" t="s">
        <v>77</v>
      </c>
      <c r="D6" s="1" t="s">
        <v>79</v>
      </c>
      <c r="E6" s="3">
        <v>45705.0</v>
      </c>
      <c r="F6" s="3">
        <v>45712.0</v>
      </c>
    </row>
    <row r="7">
      <c r="A7" s="1" t="s">
        <v>81</v>
      </c>
      <c r="B7" s="1" t="s">
        <v>83</v>
      </c>
      <c r="C7" s="1" t="s">
        <v>37</v>
      </c>
      <c r="D7" s="1" t="s">
        <v>38</v>
      </c>
      <c r="E7" s="3">
        <v>46478.0</v>
      </c>
    </row>
    <row r="8">
      <c r="A8" s="1" t="s">
        <v>88</v>
      </c>
      <c r="B8" s="1" t="s">
        <v>92</v>
      </c>
      <c r="C8" s="1" t="s">
        <v>93</v>
      </c>
      <c r="D8" s="1" t="s">
        <v>79</v>
      </c>
      <c r="E8" s="3">
        <v>46376.0</v>
      </c>
    </row>
    <row r="9">
      <c r="A9" s="1" t="s">
        <v>99</v>
      </c>
      <c r="B9" s="1" t="s">
        <v>103</v>
      </c>
      <c r="C9" s="1" t="s">
        <v>93</v>
      </c>
      <c r="D9" s="1" t="s">
        <v>79</v>
      </c>
      <c r="E9" s="3">
        <v>46489.0</v>
      </c>
    </row>
    <row r="10">
      <c r="A10" s="1" t="s">
        <v>108</v>
      </c>
      <c r="B10" s="1" t="s">
        <v>111</v>
      </c>
      <c r="C10" s="1" t="s">
        <v>93</v>
      </c>
      <c r="D10" s="1" t="s">
        <v>79</v>
      </c>
      <c r="E10" s="3">
        <v>45887.0</v>
      </c>
      <c r="F10" s="3">
        <v>45887.0</v>
      </c>
    </row>
    <row r="11">
      <c r="A11" s="1" t="s">
        <v>123</v>
      </c>
      <c r="B11" s="1" t="s">
        <v>127</v>
      </c>
      <c r="C11" s="1" t="s">
        <v>93</v>
      </c>
      <c r="D11" s="1" t="s">
        <v>79</v>
      </c>
      <c r="E11" s="3">
        <v>46081.0</v>
      </c>
    </row>
    <row r="12">
      <c r="A12" s="1" t="s">
        <v>135</v>
      </c>
      <c r="B12" s="1" t="s">
        <v>139</v>
      </c>
      <c r="C12" s="1" t="s">
        <v>37</v>
      </c>
      <c r="D12" s="1" t="s">
        <v>38</v>
      </c>
      <c r="E12" s="3">
        <v>46080.0</v>
      </c>
    </row>
    <row r="13">
      <c r="A13" s="1" t="s">
        <v>143</v>
      </c>
      <c r="B13" s="1" t="s">
        <v>139</v>
      </c>
      <c r="C13" s="1" t="s">
        <v>37</v>
      </c>
      <c r="D13" s="1" t="s">
        <v>150</v>
      </c>
      <c r="E13" s="3">
        <v>46080.0</v>
      </c>
    </row>
    <row r="14">
      <c r="A14" s="1" t="s">
        <v>156</v>
      </c>
      <c r="B14" s="1" t="s">
        <v>158</v>
      </c>
      <c r="C14" s="1" t="s">
        <v>37</v>
      </c>
      <c r="D14" s="1" t="s">
        <v>38</v>
      </c>
      <c r="E14" s="3">
        <v>46132.0</v>
      </c>
      <c r="F14" s="3">
        <v>46132.0</v>
      </c>
    </row>
    <row r="15">
      <c r="A15" s="1" t="s">
        <v>165</v>
      </c>
      <c r="B15" s="1" t="s">
        <v>166</v>
      </c>
      <c r="C15" s="1" t="s">
        <v>93</v>
      </c>
      <c r="D15" s="1" t="s">
        <v>79</v>
      </c>
      <c r="E15" s="3">
        <v>46335.0</v>
      </c>
    </row>
    <row r="16">
      <c r="A16" s="1" t="s">
        <v>169</v>
      </c>
      <c r="B16" s="1" t="s">
        <v>174</v>
      </c>
      <c r="C16" s="1" t="s">
        <v>93</v>
      </c>
      <c r="D16" s="1" t="s">
        <v>79</v>
      </c>
      <c r="E16" s="3">
        <v>46237.0</v>
      </c>
      <c r="F16" s="3">
        <v>46237.0</v>
      </c>
    </row>
    <row r="17">
      <c r="A17" s="1" t="s">
        <v>182</v>
      </c>
      <c r="B17" s="1" t="s">
        <v>174</v>
      </c>
      <c r="C17" s="1" t="s">
        <v>93</v>
      </c>
      <c r="D17" s="1" t="s">
        <v>185</v>
      </c>
      <c r="E17" s="3">
        <v>46237.0</v>
      </c>
      <c r="F17" s="3">
        <v>46237.0</v>
      </c>
    </row>
    <row r="18">
      <c r="A18" s="1" t="s">
        <v>188</v>
      </c>
      <c r="B18" s="1" t="s">
        <v>189</v>
      </c>
      <c r="C18" s="1" t="s">
        <v>37</v>
      </c>
      <c r="D18" s="1" t="s">
        <v>38</v>
      </c>
      <c r="E18" s="3">
        <v>46454.0</v>
      </c>
    </row>
    <row r="19">
      <c r="A19" s="1" t="s">
        <v>193</v>
      </c>
      <c r="B19" s="1" t="s">
        <v>195</v>
      </c>
      <c r="C19" s="1" t="s">
        <v>37</v>
      </c>
      <c r="D19" s="1" t="s">
        <v>38</v>
      </c>
      <c r="E19" s="3">
        <v>46311.0</v>
      </c>
    </row>
    <row r="20">
      <c r="A20" s="1" t="s">
        <v>202</v>
      </c>
      <c r="B20" s="1" t="s">
        <v>203</v>
      </c>
      <c r="C20" s="1" t="s">
        <v>37</v>
      </c>
      <c r="D20" s="1" t="s">
        <v>150</v>
      </c>
      <c r="E20" s="3">
        <v>46433.0</v>
      </c>
    </row>
    <row r="21">
      <c r="A21" s="1" t="s">
        <v>206</v>
      </c>
      <c r="B21" s="1" t="s">
        <v>207</v>
      </c>
      <c r="C21" s="1" t="s">
        <v>37</v>
      </c>
      <c r="D21" s="1" t="s">
        <v>38</v>
      </c>
      <c r="E21" s="3">
        <v>46388.0</v>
      </c>
    </row>
    <row r="22">
      <c r="A22" s="1" t="s">
        <v>212</v>
      </c>
      <c r="B22" s="1" t="s">
        <v>207</v>
      </c>
      <c r="C22" s="1" t="s">
        <v>37</v>
      </c>
      <c r="D22" s="1" t="s">
        <v>150</v>
      </c>
      <c r="E22" s="3">
        <v>46388.0</v>
      </c>
    </row>
    <row r="23">
      <c r="A23" s="1" t="s">
        <v>218</v>
      </c>
      <c r="B23" s="1" t="s">
        <v>219</v>
      </c>
      <c r="C23" s="1" t="s">
        <v>187</v>
      </c>
      <c r="D23" s="1" t="s">
        <v>222</v>
      </c>
      <c r="E23" s="3">
        <v>46278.0</v>
      </c>
    </row>
    <row r="24">
      <c r="A24" s="1" t="s">
        <v>226</v>
      </c>
      <c r="B24" s="1" t="s">
        <v>219</v>
      </c>
      <c r="C24" s="1" t="s">
        <v>217</v>
      </c>
      <c r="D24" s="1" t="s">
        <v>230</v>
      </c>
      <c r="E24" s="3">
        <v>46278.0</v>
      </c>
    </row>
    <row r="25">
      <c r="A25" s="1" t="s">
        <v>233</v>
      </c>
      <c r="B25" s="1" t="s">
        <v>219</v>
      </c>
      <c r="C25" s="1" t="s">
        <v>236</v>
      </c>
      <c r="D25" s="1" t="s">
        <v>237</v>
      </c>
      <c r="E25" s="3">
        <v>46295.0</v>
      </c>
    </row>
    <row r="26">
      <c r="A26" s="1" t="s">
        <v>238</v>
      </c>
      <c r="B26" s="1" t="s">
        <v>219</v>
      </c>
      <c r="C26" s="1" t="s">
        <v>100</v>
      </c>
      <c r="D26" s="1" t="s">
        <v>242</v>
      </c>
      <c r="E26" s="3">
        <v>46278.0</v>
      </c>
    </row>
    <row r="27">
      <c r="A27" s="1" t="s">
        <v>246</v>
      </c>
      <c r="B27" s="1" t="s">
        <v>219</v>
      </c>
      <c r="C27" s="1" t="s">
        <v>187</v>
      </c>
      <c r="D27" s="1" t="s">
        <v>252</v>
      </c>
      <c r="E27" s="3">
        <v>46278.0</v>
      </c>
    </row>
    <row r="28">
      <c r="A28" s="1" t="s">
        <v>255</v>
      </c>
      <c r="B28" s="1" t="s">
        <v>219</v>
      </c>
      <c r="C28" s="1" t="s">
        <v>232</v>
      </c>
      <c r="D28" s="1" t="s">
        <v>257</v>
      </c>
      <c r="E28" s="3">
        <v>46278.0</v>
      </c>
    </row>
    <row r="29">
      <c r="A29" s="1" t="s">
        <v>260</v>
      </c>
      <c r="B29" s="1" t="s">
        <v>219</v>
      </c>
      <c r="C29" s="1" t="s">
        <v>149</v>
      </c>
      <c r="D29" s="1" t="s">
        <v>262</v>
      </c>
      <c r="E29" s="3">
        <v>46295.0</v>
      </c>
    </row>
    <row r="30">
      <c r="A30" s="1" t="s">
        <v>265</v>
      </c>
      <c r="B30" s="1" t="s">
        <v>219</v>
      </c>
      <c r="C30" s="1" t="s">
        <v>149</v>
      </c>
      <c r="D30" s="1" t="s">
        <v>269</v>
      </c>
      <c r="E30" s="3">
        <v>46295.0</v>
      </c>
    </row>
    <row r="31">
      <c r="A31" s="1" t="s">
        <v>272</v>
      </c>
      <c r="B31" s="1" t="s">
        <v>219</v>
      </c>
      <c r="C31" s="1" t="s">
        <v>149</v>
      </c>
      <c r="D31" s="1" t="s">
        <v>275</v>
      </c>
      <c r="E31" s="3">
        <v>46295.0</v>
      </c>
    </row>
    <row r="32">
      <c r="A32" s="1" t="s">
        <v>277</v>
      </c>
      <c r="B32" s="1" t="s">
        <v>219</v>
      </c>
      <c r="C32" s="1" t="s">
        <v>149</v>
      </c>
      <c r="D32" s="1" t="s">
        <v>278</v>
      </c>
      <c r="E32" s="3">
        <v>46295.0</v>
      </c>
    </row>
    <row r="33">
      <c r="A33" s="1" t="s">
        <v>282</v>
      </c>
      <c r="B33" s="1" t="s">
        <v>219</v>
      </c>
      <c r="C33" s="1" t="s">
        <v>149</v>
      </c>
      <c r="D33" s="1" t="s">
        <v>286</v>
      </c>
      <c r="E33" s="3">
        <v>46295.0</v>
      </c>
    </row>
    <row r="34">
      <c r="A34" s="1" t="s">
        <v>289</v>
      </c>
      <c r="B34" s="1" t="s">
        <v>219</v>
      </c>
      <c r="C34" s="1" t="s">
        <v>149</v>
      </c>
      <c r="D34" s="1" t="s">
        <v>294</v>
      </c>
      <c r="E34" s="3">
        <v>46295.0</v>
      </c>
    </row>
    <row r="35">
      <c r="A35" s="1" t="s">
        <v>297</v>
      </c>
      <c r="B35" s="1" t="s">
        <v>219</v>
      </c>
      <c r="C35" s="1" t="s">
        <v>149</v>
      </c>
      <c r="D35" s="1" t="s">
        <v>301</v>
      </c>
      <c r="E35" s="3">
        <v>46295.0</v>
      </c>
    </row>
    <row r="36">
      <c r="A36" s="1" t="s">
        <v>305</v>
      </c>
      <c r="B36" s="1" t="s">
        <v>219</v>
      </c>
      <c r="C36" s="1" t="s">
        <v>100</v>
      </c>
      <c r="D36" s="1" t="s">
        <v>307</v>
      </c>
      <c r="E36" s="3">
        <v>46278.0</v>
      </c>
    </row>
    <row r="37">
      <c r="A37" s="1" t="s">
        <v>312</v>
      </c>
      <c r="B37" s="1" t="s">
        <v>219</v>
      </c>
      <c r="C37" s="1" t="s">
        <v>217</v>
      </c>
      <c r="D37" s="1" t="s">
        <v>318</v>
      </c>
      <c r="E37" s="3">
        <v>46278.0</v>
      </c>
    </row>
    <row r="38">
      <c r="A38" s="1" t="s">
        <v>319</v>
      </c>
      <c r="B38" s="1" t="s">
        <v>219</v>
      </c>
      <c r="C38" s="1" t="s">
        <v>37</v>
      </c>
      <c r="D38" s="1" t="s">
        <v>38</v>
      </c>
      <c r="E38" s="3">
        <v>46083.0</v>
      </c>
      <c r="F38" s="3">
        <v>46083.0</v>
      </c>
    </row>
    <row r="39">
      <c r="A39" s="1" t="s">
        <v>324</v>
      </c>
      <c r="B39" s="1" t="s">
        <v>219</v>
      </c>
      <c r="C39" s="1" t="s">
        <v>149</v>
      </c>
      <c r="D39" s="1" t="s">
        <v>328</v>
      </c>
      <c r="E39" s="3">
        <v>46295.0</v>
      </c>
    </row>
    <row r="40">
      <c r="A40" s="1" t="s">
        <v>332</v>
      </c>
      <c r="B40" s="1" t="s">
        <v>219</v>
      </c>
      <c r="C40" s="1" t="s">
        <v>171</v>
      </c>
      <c r="D40" s="1" t="s">
        <v>334</v>
      </c>
      <c r="E40" s="3">
        <v>46295.0</v>
      </c>
    </row>
    <row r="41">
      <c r="A41" s="1" t="s">
        <v>336</v>
      </c>
      <c r="B41" s="1" t="s">
        <v>219</v>
      </c>
      <c r="C41" s="1" t="s">
        <v>171</v>
      </c>
      <c r="D41" s="1" t="s">
        <v>338</v>
      </c>
      <c r="E41" s="3">
        <v>46295.0</v>
      </c>
    </row>
    <row r="42">
      <c r="A42" s="1" t="s">
        <v>342</v>
      </c>
      <c r="B42" s="1" t="s">
        <v>219</v>
      </c>
      <c r="C42" s="1" t="s">
        <v>149</v>
      </c>
      <c r="D42" s="1" t="s">
        <v>345</v>
      </c>
      <c r="E42" s="3">
        <v>46295.0</v>
      </c>
    </row>
    <row r="43">
      <c r="A43" s="1" t="s">
        <v>346</v>
      </c>
      <c r="B43" s="1" t="s">
        <v>219</v>
      </c>
      <c r="C43" s="1" t="s">
        <v>149</v>
      </c>
      <c r="D43" s="1" t="s">
        <v>347</v>
      </c>
      <c r="E43" s="3">
        <v>46295.0</v>
      </c>
    </row>
    <row r="44">
      <c r="A44" s="1" t="s">
        <v>348</v>
      </c>
      <c r="B44" s="1" t="s">
        <v>349</v>
      </c>
      <c r="C44" s="1" t="s">
        <v>93</v>
      </c>
      <c r="D44" s="1" t="s">
        <v>79</v>
      </c>
      <c r="E44" s="3">
        <v>46262.0</v>
      </c>
    </row>
    <row r="45">
      <c r="A45" s="1" t="s">
        <v>351</v>
      </c>
      <c r="B45" s="1" t="s">
        <v>353</v>
      </c>
      <c r="C45" s="1" t="s">
        <v>93</v>
      </c>
      <c r="D45" s="1" t="s">
        <v>79</v>
      </c>
      <c r="E45" s="3">
        <v>46265.0</v>
      </c>
    </row>
    <row r="46">
      <c r="A46" s="1" t="s">
        <v>357</v>
      </c>
      <c r="B46" s="1" t="s">
        <v>360</v>
      </c>
      <c r="C46" s="1" t="s">
        <v>37</v>
      </c>
      <c r="D46" s="1" t="s">
        <v>38</v>
      </c>
      <c r="E46" s="3">
        <v>46295.0</v>
      </c>
    </row>
    <row r="47">
      <c r="A47" s="1" t="s">
        <v>364</v>
      </c>
      <c r="B47" s="1" t="s">
        <v>366</v>
      </c>
      <c r="C47" s="1" t="s">
        <v>37</v>
      </c>
      <c r="D47" s="1" t="s">
        <v>38</v>
      </c>
      <c r="E47" s="3">
        <v>46188.0</v>
      </c>
      <c r="F47" s="3">
        <v>46188.0</v>
      </c>
    </row>
    <row r="48">
      <c r="A48" s="1" t="s">
        <v>371</v>
      </c>
      <c r="B48" s="1" t="s">
        <v>373</v>
      </c>
      <c r="C48" s="1" t="s">
        <v>149</v>
      </c>
      <c r="D48" s="1" t="s">
        <v>286</v>
      </c>
      <c r="E48" s="3">
        <v>46288.0</v>
      </c>
    </row>
    <row r="49">
      <c r="A49" s="1" t="s">
        <v>375</v>
      </c>
      <c r="B49" s="1" t="s">
        <v>373</v>
      </c>
      <c r="C49" s="1" t="s">
        <v>171</v>
      </c>
      <c r="D49" s="1" t="s">
        <v>334</v>
      </c>
      <c r="E49" s="3">
        <v>46288.0</v>
      </c>
    </row>
    <row r="50">
      <c r="A50" s="1" t="s">
        <v>379</v>
      </c>
      <c r="B50" s="1" t="s">
        <v>373</v>
      </c>
      <c r="C50" s="1" t="s">
        <v>100</v>
      </c>
      <c r="D50" s="1" t="s">
        <v>383</v>
      </c>
      <c r="E50" s="3">
        <v>46288.0</v>
      </c>
    </row>
    <row r="51">
      <c r="A51" s="1" t="s">
        <v>385</v>
      </c>
      <c r="B51" s="1" t="s">
        <v>373</v>
      </c>
      <c r="C51" s="1" t="s">
        <v>100</v>
      </c>
      <c r="D51" s="1" t="s">
        <v>307</v>
      </c>
      <c r="E51" s="3">
        <v>46288.0</v>
      </c>
    </row>
    <row r="52">
      <c r="A52" s="1" t="s">
        <v>390</v>
      </c>
      <c r="B52" s="1" t="s">
        <v>373</v>
      </c>
      <c r="C52" s="1" t="s">
        <v>100</v>
      </c>
      <c r="D52" s="1" t="s">
        <v>242</v>
      </c>
      <c r="E52" s="3">
        <v>46288.0</v>
      </c>
    </row>
    <row r="53">
      <c r="A53" s="1" t="s">
        <v>391</v>
      </c>
      <c r="B53" s="1" t="s">
        <v>373</v>
      </c>
      <c r="C53" s="1" t="s">
        <v>232</v>
      </c>
      <c r="D53" s="1" t="s">
        <v>257</v>
      </c>
      <c r="E53" s="3">
        <v>46288.0</v>
      </c>
    </row>
    <row r="54">
      <c r="A54" s="1" t="s">
        <v>394</v>
      </c>
      <c r="B54" s="1" t="s">
        <v>373</v>
      </c>
      <c r="C54" s="1" t="s">
        <v>149</v>
      </c>
      <c r="D54" s="1" t="s">
        <v>397</v>
      </c>
      <c r="E54" s="3">
        <v>46288.0</v>
      </c>
    </row>
    <row r="55">
      <c r="A55" s="1" t="s">
        <v>400</v>
      </c>
      <c r="B55" s="1" t="s">
        <v>373</v>
      </c>
      <c r="C55" s="1" t="s">
        <v>187</v>
      </c>
      <c r="D55" s="1" t="s">
        <v>252</v>
      </c>
      <c r="E55" s="3">
        <v>46288.0</v>
      </c>
    </row>
    <row r="56">
      <c r="A56" s="1" t="s">
        <v>401</v>
      </c>
      <c r="B56" s="1" t="s">
        <v>373</v>
      </c>
      <c r="C56" s="1" t="s">
        <v>187</v>
      </c>
      <c r="D56" s="1" t="s">
        <v>222</v>
      </c>
      <c r="E56" s="3">
        <v>46288.0</v>
      </c>
    </row>
    <row r="57">
      <c r="A57" s="1" t="s">
        <v>407</v>
      </c>
      <c r="B57" s="1" t="s">
        <v>373</v>
      </c>
      <c r="C57" s="1" t="s">
        <v>149</v>
      </c>
      <c r="D57" s="1" t="s">
        <v>278</v>
      </c>
      <c r="E57" s="3">
        <v>46288.0</v>
      </c>
    </row>
    <row r="58">
      <c r="A58" s="1" t="s">
        <v>409</v>
      </c>
      <c r="B58" s="1" t="s">
        <v>410</v>
      </c>
      <c r="C58" s="1" t="s">
        <v>37</v>
      </c>
      <c r="D58" s="1" t="s">
        <v>150</v>
      </c>
      <c r="E58" s="3">
        <v>46295.0</v>
      </c>
    </row>
    <row r="59">
      <c r="A59" s="1" t="s">
        <v>412</v>
      </c>
      <c r="B59" s="1" t="s">
        <v>410</v>
      </c>
      <c r="C59" s="1" t="s">
        <v>37</v>
      </c>
      <c r="D59" s="1" t="s">
        <v>38</v>
      </c>
      <c r="E59" s="3">
        <v>46295.0</v>
      </c>
    </row>
    <row r="60">
      <c r="A60" s="1" t="s">
        <v>416</v>
      </c>
      <c r="B60" s="1" t="s">
        <v>418</v>
      </c>
      <c r="C60" s="1" t="s">
        <v>37</v>
      </c>
      <c r="D60" s="1" t="s">
        <v>150</v>
      </c>
      <c r="E60" s="3">
        <v>46318.0</v>
      </c>
    </row>
    <row r="61">
      <c r="A61" s="1" t="s">
        <v>419</v>
      </c>
      <c r="B61" s="1" t="s">
        <v>418</v>
      </c>
      <c r="C61" s="1" t="s">
        <v>37</v>
      </c>
      <c r="D61" s="1" t="s">
        <v>421</v>
      </c>
      <c r="E61" s="3">
        <v>46318.0</v>
      </c>
    </row>
    <row r="62">
      <c r="A62" s="1" t="s">
        <v>422</v>
      </c>
      <c r="B62" s="1" t="s">
        <v>418</v>
      </c>
      <c r="C62" s="1" t="s">
        <v>37</v>
      </c>
      <c r="D62" s="1" t="s">
        <v>38</v>
      </c>
      <c r="E62" s="3">
        <v>46318.0</v>
      </c>
    </row>
    <row r="63">
      <c r="A63" s="1" t="s">
        <v>427</v>
      </c>
      <c r="B63" s="1" t="s">
        <v>428</v>
      </c>
      <c r="C63" s="1" t="s">
        <v>93</v>
      </c>
      <c r="D63" s="1" t="s">
        <v>79</v>
      </c>
      <c r="E63" s="3">
        <v>46363.0</v>
      </c>
    </row>
    <row r="64">
      <c r="A64" s="1" t="s">
        <v>430</v>
      </c>
      <c r="B64" s="1" t="s">
        <v>431</v>
      </c>
      <c r="C64" s="1" t="s">
        <v>37</v>
      </c>
      <c r="D64" s="1" t="s">
        <v>38</v>
      </c>
      <c r="E64" s="3">
        <v>46477.0</v>
      </c>
    </row>
    <row r="65">
      <c r="A65" s="1" t="s">
        <v>434</v>
      </c>
      <c r="B65" s="1" t="s">
        <v>352</v>
      </c>
      <c r="C65" s="1" t="s">
        <v>37</v>
      </c>
      <c r="D65" s="1" t="s">
        <v>38</v>
      </c>
      <c r="E65" s="3">
        <v>46325.0</v>
      </c>
    </row>
    <row r="66">
      <c r="A66" s="1" t="s">
        <v>439</v>
      </c>
      <c r="B66" s="1" t="s">
        <v>352</v>
      </c>
      <c r="C66" s="1" t="s">
        <v>171</v>
      </c>
      <c r="D66" s="1" t="s">
        <v>442</v>
      </c>
      <c r="E66" s="3">
        <v>46325.0</v>
      </c>
    </row>
    <row r="67">
      <c r="A67" s="1" t="s">
        <v>443</v>
      </c>
      <c r="B67" s="1" t="s">
        <v>445</v>
      </c>
      <c r="C67" s="1" t="s">
        <v>37</v>
      </c>
      <c r="D67" s="1" t="s">
        <v>38</v>
      </c>
      <c r="E67" s="3">
        <v>46255.0</v>
      </c>
      <c r="F67" s="3">
        <v>46248.0</v>
      </c>
    </row>
    <row r="68">
      <c r="A68" s="1" t="s">
        <v>451</v>
      </c>
      <c r="B68" s="1" t="s">
        <v>453</v>
      </c>
      <c r="C68" s="1" t="s">
        <v>37</v>
      </c>
      <c r="D68" s="1" t="s">
        <v>38</v>
      </c>
      <c r="E68" s="3">
        <v>46237.0</v>
      </c>
    </row>
    <row r="69">
      <c r="A69" s="1" t="s">
        <v>458</v>
      </c>
      <c r="B69" s="1" t="s">
        <v>459</v>
      </c>
      <c r="C69" s="1" t="s">
        <v>37</v>
      </c>
      <c r="D69" s="1" t="s">
        <v>38</v>
      </c>
      <c r="E69" s="3">
        <v>46251.0</v>
      </c>
    </row>
    <row r="70">
      <c r="A70" s="1" t="s">
        <v>463</v>
      </c>
      <c r="B70" s="1" t="s">
        <v>464</v>
      </c>
      <c r="C70" s="1" t="s">
        <v>93</v>
      </c>
      <c r="D70" s="1" t="s">
        <v>79</v>
      </c>
      <c r="E70" s="3">
        <v>46388.0</v>
      </c>
    </row>
    <row r="71">
      <c r="A71" s="1" t="s">
        <v>466</v>
      </c>
      <c r="B71" s="1" t="s">
        <v>464</v>
      </c>
      <c r="C71" s="1" t="s">
        <v>37</v>
      </c>
      <c r="D71" s="1" t="s">
        <v>38</v>
      </c>
      <c r="E71" s="3">
        <v>46388.0</v>
      </c>
    </row>
    <row r="72">
      <c r="A72" s="1" t="s">
        <v>469</v>
      </c>
      <c r="B72" s="1" t="s">
        <v>471</v>
      </c>
      <c r="C72" s="1" t="s">
        <v>37</v>
      </c>
      <c r="D72" s="1" t="s">
        <v>38</v>
      </c>
      <c r="E72" s="3">
        <v>46022.0</v>
      </c>
      <c r="F72" s="3">
        <v>46024.0</v>
      </c>
    </row>
    <row r="73">
      <c r="A73" s="1" t="s">
        <v>473</v>
      </c>
      <c r="B73" s="1" t="s">
        <v>475</v>
      </c>
      <c r="C73" s="1" t="s">
        <v>37</v>
      </c>
      <c r="D73" s="1" t="s">
        <v>38</v>
      </c>
      <c r="E73" s="3">
        <v>45978.0</v>
      </c>
      <c r="F73" s="3">
        <v>45978.0</v>
      </c>
    </row>
    <row r="74">
      <c r="A74" s="1" t="s">
        <v>479</v>
      </c>
      <c r="B74" s="1" t="s">
        <v>482</v>
      </c>
      <c r="C74" s="1" t="s">
        <v>93</v>
      </c>
      <c r="D74" s="1" t="s">
        <v>185</v>
      </c>
      <c r="E74" s="3">
        <v>46266.0</v>
      </c>
    </row>
    <row r="75">
      <c r="A75" s="1" t="s">
        <v>484</v>
      </c>
      <c r="B75" s="1" t="s">
        <v>482</v>
      </c>
      <c r="C75" s="1" t="s">
        <v>93</v>
      </c>
      <c r="D75" s="1" t="s">
        <v>79</v>
      </c>
      <c r="E75" s="3">
        <v>46266.0</v>
      </c>
    </row>
    <row r="76">
      <c r="A76" s="1" t="s">
        <v>486</v>
      </c>
      <c r="B76" s="1" t="s">
        <v>487</v>
      </c>
      <c r="C76" s="1" t="s">
        <v>37</v>
      </c>
      <c r="D76" s="1" t="s">
        <v>38</v>
      </c>
      <c r="E76" s="3">
        <v>46234.0</v>
      </c>
    </row>
    <row r="77">
      <c r="A77" s="1" t="s">
        <v>493</v>
      </c>
      <c r="B77" s="1" t="s">
        <v>495</v>
      </c>
      <c r="C77" s="1" t="s">
        <v>37</v>
      </c>
      <c r="D77" s="1" t="s">
        <v>38</v>
      </c>
      <c r="E77" s="3">
        <v>45793.0</v>
      </c>
      <c r="F77" s="3">
        <v>45814.0</v>
      </c>
    </row>
    <row r="78">
      <c r="A78" s="1" t="s">
        <v>497</v>
      </c>
      <c r="B78" s="1" t="s">
        <v>498</v>
      </c>
      <c r="C78" s="1" t="s">
        <v>93</v>
      </c>
      <c r="D78" s="1" t="s">
        <v>185</v>
      </c>
      <c r="F78" s="3">
        <v>45231.0</v>
      </c>
    </row>
    <row r="79">
      <c r="A79" s="1" t="s">
        <v>500</v>
      </c>
      <c r="B79" s="1" t="s">
        <v>498</v>
      </c>
      <c r="C79" s="1" t="s">
        <v>93</v>
      </c>
      <c r="D79" s="1" t="s">
        <v>79</v>
      </c>
      <c r="F79" s="3">
        <v>45231.0</v>
      </c>
    </row>
    <row r="80">
      <c r="A80" s="1" t="s">
        <v>506</v>
      </c>
      <c r="B80" s="1" t="s">
        <v>507</v>
      </c>
      <c r="C80" s="1" t="s">
        <v>149</v>
      </c>
      <c r="D80" s="1" t="s">
        <v>262</v>
      </c>
      <c r="E80" s="3">
        <v>46477.0</v>
      </c>
    </row>
    <row r="81">
      <c r="A81" s="1" t="s">
        <v>511</v>
      </c>
      <c r="B81" s="1" t="s">
        <v>507</v>
      </c>
      <c r="C81" s="1" t="s">
        <v>100</v>
      </c>
      <c r="D81" s="1" t="s">
        <v>252</v>
      </c>
      <c r="E81" s="3">
        <v>46477.0</v>
      </c>
    </row>
    <row r="82">
      <c r="A82" s="1" t="s">
        <v>514</v>
      </c>
      <c r="B82" s="1" t="s">
        <v>507</v>
      </c>
      <c r="C82" s="1" t="s">
        <v>100</v>
      </c>
      <c r="D82" s="1" t="s">
        <v>519</v>
      </c>
      <c r="E82" s="3">
        <v>46477.0</v>
      </c>
    </row>
    <row r="83">
      <c r="A83" s="1" t="s">
        <v>523</v>
      </c>
      <c r="B83" s="1" t="s">
        <v>507</v>
      </c>
      <c r="C83" s="1" t="s">
        <v>100</v>
      </c>
      <c r="D83" s="1" t="s">
        <v>242</v>
      </c>
      <c r="E83" s="3">
        <v>46477.0</v>
      </c>
    </row>
    <row r="84">
      <c r="A84" s="1" t="s">
        <v>527</v>
      </c>
      <c r="B84" s="1" t="s">
        <v>507</v>
      </c>
      <c r="C84" s="1" t="s">
        <v>187</v>
      </c>
      <c r="D84" s="1" t="s">
        <v>222</v>
      </c>
      <c r="E84" s="3">
        <v>46477.0</v>
      </c>
    </row>
    <row r="85">
      <c r="A85" s="1" t="s">
        <v>534</v>
      </c>
      <c r="B85" s="1" t="s">
        <v>507</v>
      </c>
      <c r="C85" s="1" t="s">
        <v>100</v>
      </c>
      <c r="D85" s="1" t="s">
        <v>537</v>
      </c>
      <c r="E85" s="3">
        <v>46477.0</v>
      </c>
    </row>
    <row r="86">
      <c r="A86" s="1" t="s">
        <v>538</v>
      </c>
      <c r="B86" s="1" t="s">
        <v>507</v>
      </c>
      <c r="C86" s="1" t="s">
        <v>217</v>
      </c>
      <c r="D86" s="1" t="s">
        <v>230</v>
      </c>
      <c r="E86" s="3">
        <v>46477.0</v>
      </c>
    </row>
    <row r="87">
      <c r="A87" s="1" t="s">
        <v>542</v>
      </c>
      <c r="B87" s="1" t="s">
        <v>507</v>
      </c>
      <c r="C87" s="1" t="s">
        <v>100</v>
      </c>
      <c r="D87" s="1" t="s">
        <v>545</v>
      </c>
      <c r="E87" s="3">
        <v>46477.0</v>
      </c>
    </row>
    <row r="88">
      <c r="A88" s="1" t="s">
        <v>549</v>
      </c>
      <c r="B88" s="1" t="s">
        <v>507</v>
      </c>
      <c r="C88" s="1" t="s">
        <v>232</v>
      </c>
      <c r="D88" s="1" t="s">
        <v>257</v>
      </c>
      <c r="E88" s="3">
        <v>46477.0</v>
      </c>
    </row>
    <row r="89">
      <c r="A89" s="1" t="s">
        <v>551</v>
      </c>
      <c r="B89" s="1" t="s">
        <v>507</v>
      </c>
      <c r="C89" s="1" t="s">
        <v>244</v>
      </c>
      <c r="D89" s="1" t="s">
        <v>553</v>
      </c>
      <c r="E89" s="3">
        <v>46477.0</v>
      </c>
    </row>
    <row r="90">
      <c r="A90" s="1" t="s">
        <v>555</v>
      </c>
      <c r="B90" s="1" t="s">
        <v>507</v>
      </c>
      <c r="C90" s="1" t="s">
        <v>187</v>
      </c>
      <c r="D90" s="1" t="s">
        <v>559</v>
      </c>
      <c r="E90" s="3">
        <v>46477.0</v>
      </c>
    </row>
    <row r="91">
      <c r="A91" s="1" t="s">
        <v>560</v>
      </c>
      <c r="B91" s="1" t="s">
        <v>507</v>
      </c>
      <c r="C91" s="1" t="s">
        <v>236</v>
      </c>
      <c r="D91" s="1" t="s">
        <v>562</v>
      </c>
      <c r="E91" s="3">
        <v>46477.0</v>
      </c>
    </row>
    <row r="92">
      <c r="A92" s="1" t="s">
        <v>563</v>
      </c>
      <c r="B92" s="1" t="s">
        <v>507</v>
      </c>
      <c r="C92" s="1" t="s">
        <v>149</v>
      </c>
      <c r="D92" s="1" t="s">
        <v>564</v>
      </c>
      <c r="E92" s="3">
        <v>46477.0</v>
      </c>
    </row>
    <row r="93">
      <c r="A93" s="1" t="s">
        <v>567</v>
      </c>
      <c r="B93" s="1" t="s">
        <v>507</v>
      </c>
      <c r="C93" s="1" t="s">
        <v>149</v>
      </c>
      <c r="D93" s="1" t="s">
        <v>269</v>
      </c>
      <c r="E93" s="3">
        <v>46477.0</v>
      </c>
    </row>
    <row r="94">
      <c r="A94" s="1" t="s">
        <v>571</v>
      </c>
      <c r="B94" s="1" t="s">
        <v>507</v>
      </c>
      <c r="C94" s="1" t="s">
        <v>149</v>
      </c>
      <c r="D94" s="1" t="s">
        <v>275</v>
      </c>
      <c r="E94" s="3">
        <v>46477.0</v>
      </c>
    </row>
    <row r="95">
      <c r="A95" s="1" t="s">
        <v>587</v>
      </c>
      <c r="B95" s="1" t="s">
        <v>507</v>
      </c>
      <c r="C95" s="1" t="s">
        <v>149</v>
      </c>
      <c r="D95" s="1" t="s">
        <v>347</v>
      </c>
      <c r="E95" s="3">
        <v>46477.0</v>
      </c>
    </row>
    <row r="96">
      <c r="A96" s="1" t="s">
        <v>591</v>
      </c>
      <c r="B96" s="1" t="s">
        <v>507</v>
      </c>
      <c r="C96" s="1" t="s">
        <v>100</v>
      </c>
      <c r="D96" s="1" t="s">
        <v>594</v>
      </c>
      <c r="E96" s="3">
        <v>46477.0</v>
      </c>
    </row>
    <row r="97">
      <c r="A97" s="1" t="s">
        <v>595</v>
      </c>
      <c r="B97" s="1" t="s">
        <v>507</v>
      </c>
      <c r="C97" s="1" t="s">
        <v>100</v>
      </c>
      <c r="D97" s="1" t="s">
        <v>307</v>
      </c>
      <c r="E97" s="3">
        <v>46477.0</v>
      </c>
    </row>
    <row r="98">
      <c r="A98" s="1" t="s">
        <v>598</v>
      </c>
      <c r="B98" s="1" t="s">
        <v>507</v>
      </c>
      <c r="C98" s="1" t="s">
        <v>171</v>
      </c>
      <c r="D98" s="1" t="s">
        <v>334</v>
      </c>
      <c r="E98" s="3">
        <v>46477.0</v>
      </c>
    </row>
    <row r="99">
      <c r="A99" s="1" t="s">
        <v>601</v>
      </c>
      <c r="B99" s="1" t="s">
        <v>507</v>
      </c>
      <c r="C99" s="1" t="s">
        <v>171</v>
      </c>
      <c r="D99" s="1" t="s">
        <v>602</v>
      </c>
      <c r="E99" s="3">
        <v>46477.0</v>
      </c>
    </row>
    <row r="100">
      <c r="A100" s="1" t="s">
        <v>604</v>
      </c>
      <c r="B100" s="1" t="s">
        <v>507</v>
      </c>
      <c r="C100" s="1" t="s">
        <v>149</v>
      </c>
      <c r="D100" s="1" t="s">
        <v>605</v>
      </c>
      <c r="E100" s="3">
        <v>46477.0</v>
      </c>
    </row>
    <row r="101">
      <c r="A101" s="1" t="s">
        <v>608</v>
      </c>
      <c r="B101" s="1" t="s">
        <v>507</v>
      </c>
      <c r="C101" s="1" t="s">
        <v>149</v>
      </c>
      <c r="D101" s="1" t="s">
        <v>611</v>
      </c>
      <c r="E101" s="3">
        <v>46477.0</v>
      </c>
    </row>
    <row r="102">
      <c r="A102" s="1" t="s">
        <v>614</v>
      </c>
      <c r="B102" s="1" t="s">
        <v>507</v>
      </c>
      <c r="C102" s="1" t="s">
        <v>149</v>
      </c>
      <c r="D102" s="1" t="s">
        <v>397</v>
      </c>
      <c r="E102" s="3">
        <v>46477.0</v>
      </c>
    </row>
    <row r="103">
      <c r="A103" s="1" t="s">
        <v>616</v>
      </c>
      <c r="B103" s="1" t="s">
        <v>507</v>
      </c>
      <c r="C103" s="1" t="s">
        <v>171</v>
      </c>
      <c r="D103" s="1" t="s">
        <v>618</v>
      </c>
      <c r="E103" s="3">
        <v>46477.0</v>
      </c>
    </row>
    <row r="104">
      <c r="A104" s="1" t="s">
        <v>619</v>
      </c>
      <c r="B104" s="1" t="s">
        <v>507</v>
      </c>
      <c r="C104" s="1" t="s">
        <v>149</v>
      </c>
      <c r="D104" s="1" t="s">
        <v>286</v>
      </c>
      <c r="E104" s="3">
        <v>46477.0</v>
      </c>
    </row>
    <row r="105">
      <c r="A105" s="1" t="s">
        <v>620</v>
      </c>
      <c r="B105" s="1" t="s">
        <v>507</v>
      </c>
      <c r="C105" s="1" t="s">
        <v>621</v>
      </c>
      <c r="D105" s="1" t="s">
        <v>622</v>
      </c>
      <c r="E105" s="3">
        <v>46477.0</v>
      </c>
    </row>
    <row r="106">
      <c r="A106" s="1" t="s">
        <v>625</v>
      </c>
      <c r="B106" s="1" t="s">
        <v>507</v>
      </c>
      <c r="C106" s="1" t="s">
        <v>149</v>
      </c>
      <c r="D106" s="1" t="s">
        <v>627</v>
      </c>
      <c r="E106" s="3">
        <v>46477.0</v>
      </c>
    </row>
    <row r="107">
      <c r="A107" s="1" t="s">
        <v>628</v>
      </c>
      <c r="B107" s="1" t="s">
        <v>507</v>
      </c>
      <c r="C107" s="1" t="s">
        <v>37</v>
      </c>
      <c r="D107" s="1" t="s">
        <v>38</v>
      </c>
      <c r="E107" s="3">
        <v>46477.0</v>
      </c>
    </row>
    <row r="108">
      <c r="A108" s="1" t="s">
        <v>633</v>
      </c>
      <c r="B108" s="1" t="s">
        <v>634</v>
      </c>
      <c r="C108" s="1" t="s">
        <v>37</v>
      </c>
      <c r="D108" s="1" t="s">
        <v>38</v>
      </c>
      <c r="E108" s="3">
        <v>46387.0</v>
      </c>
    </row>
    <row r="109">
      <c r="A109" s="1" t="s">
        <v>639</v>
      </c>
      <c r="B109" s="1" t="s">
        <v>515</v>
      </c>
      <c r="C109" s="1" t="s">
        <v>217</v>
      </c>
      <c r="D109" s="1" t="s">
        <v>318</v>
      </c>
      <c r="E109" s="3">
        <v>46478.0</v>
      </c>
    </row>
    <row r="110">
      <c r="A110" s="1" t="s">
        <v>641</v>
      </c>
      <c r="B110" s="1" t="s">
        <v>515</v>
      </c>
      <c r="C110" s="1" t="s">
        <v>100</v>
      </c>
      <c r="D110" s="1" t="s">
        <v>519</v>
      </c>
      <c r="E110" s="3">
        <v>46478.0</v>
      </c>
    </row>
    <row r="111">
      <c r="A111" s="1" t="s">
        <v>649</v>
      </c>
      <c r="B111" s="1" t="s">
        <v>515</v>
      </c>
      <c r="C111" s="1" t="s">
        <v>100</v>
      </c>
      <c r="D111" s="1" t="s">
        <v>307</v>
      </c>
      <c r="E111" s="3">
        <v>46478.0</v>
      </c>
    </row>
    <row r="112">
      <c r="A112" s="1" t="s">
        <v>653</v>
      </c>
      <c r="B112" s="1" t="s">
        <v>515</v>
      </c>
      <c r="C112" s="1" t="s">
        <v>149</v>
      </c>
      <c r="D112" s="1" t="s">
        <v>275</v>
      </c>
      <c r="E112" s="3">
        <v>46478.0</v>
      </c>
    </row>
    <row r="113">
      <c r="A113" s="1" t="s">
        <v>662</v>
      </c>
      <c r="B113" s="1" t="s">
        <v>515</v>
      </c>
      <c r="C113" s="1" t="s">
        <v>232</v>
      </c>
      <c r="D113" s="1" t="s">
        <v>257</v>
      </c>
      <c r="E113" s="3">
        <v>46478.0</v>
      </c>
    </row>
    <row r="114">
      <c r="A114" s="1" t="s">
        <v>668</v>
      </c>
      <c r="B114" s="1" t="s">
        <v>515</v>
      </c>
      <c r="C114" s="1" t="s">
        <v>149</v>
      </c>
      <c r="D114" s="1" t="s">
        <v>301</v>
      </c>
      <c r="E114" s="3">
        <v>46478.0</v>
      </c>
    </row>
    <row r="115">
      <c r="A115" s="1" t="s">
        <v>673</v>
      </c>
      <c r="B115" s="1" t="s">
        <v>515</v>
      </c>
      <c r="C115" s="1" t="s">
        <v>217</v>
      </c>
      <c r="D115" s="1" t="s">
        <v>230</v>
      </c>
      <c r="E115" s="3">
        <v>46478.0</v>
      </c>
    </row>
    <row r="116">
      <c r="A116" s="1" t="s">
        <v>676</v>
      </c>
      <c r="B116" s="1" t="s">
        <v>515</v>
      </c>
      <c r="C116" s="1" t="s">
        <v>171</v>
      </c>
      <c r="D116" s="1" t="s">
        <v>679</v>
      </c>
      <c r="E116" s="3">
        <v>46478.0</v>
      </c>
    </row>
    <row r="117">
      <c r="A117" s="1" t="s">
        <v>681</v>
      </c>
      <c r="B117" s="1" t="s">
        <v>515</v>
      </c>
      <c r="C117" s="1" t="s">
        <v>149</v>
      </c>
      <c r="D117" s="1" t="s">
        <v>345</v>
      </c>
      <c r="E117" s="3">
        <v>46478.0</v>
      </c>
    </row>
    <row r="118">
      <c r="A118" s="1" t="s">
        <v>686</v>
      </c>
      <c r="B118" s="1" t="s">
        <v>515</v>
      </c>
      <c r="C118" s="1" t="s">
        <v>149</v>
      </c>
      <c r="D118" s="1" t="s">
        <v>262</v>
      </c>
      <c r="E118" s="3">
        <v>46478.0</v>
      </c>
    </row>
    <row r="119">
      <c r="A119" s="1" t="s">
        <v>687</v>
      </c>
      <c r="B119" s="1" t="s">
        <v>515</v>
      </c>
      <c r="C119" s="1" t="s">
        <v>171</v>
      </c>
      <c r="D119" s="1" t="s">
        <v>334</v>
      </c>
      <c r="E119" s="3">
        <v>46478.0</v>
      </c>
    </row>
    <row r="120">
      <c r="A120" s="1" t="s">
        <v>694</v>
      </c>
      <c r="B120" s="1" t="s">
        <v>515</v>
      </c>
      <c r="C120" s="1" t="s">
        <v>171</v>
      </c>
      <c r="D120" s="1" t="s">
        <v>602</v>
      </c>
      <c r="E120" s="3">
        <v>46478.0</v>
      </c>
    </row>
    <row r="121">
      <c r="A121" s="1" t="s">
        <v>695</v>
      </c>
      <c r="B121" s="1" t="s">
        <v>515</v>
      </c>
      <c r="C121" s="1" t="s">
        <v>149</v>
      </c>
      <c r="D121" s="1" t="s">
        <v>347</v>
      </c>
      <c r="E121" s="3">
        <v>46478.0</v>
      </c>
    </row>
    <row r="122">
      <c r="A122" s="1" t="s">
        <v>699</v>
      </c>
      <c r="B122" s="1" t="s">
        <v>515</v>
      </c>
      <c r="C122" s="1" t="s">
        <v>149</v>
      </c>
      <c r="D122" s="1" t="s">
        <v>397</v>
      </c>
      <c r="E122" s="3">
        <v>46478.0</v>
      </c>
    </row>
    <row r="123">
      <c r="A123" s="1" t="s">
        <v>704</v>
      </c>
      <c r="B123" s="1" t="s">
        <v>515</v>
      </c>
      <c r="C123" s="1" t="s">
        <v>149</v>
      </c>
      <c r="D123" s="1" t="s">
        <v>611</v>
      </c>
      <c r="E123" s="3">
        <v>46478.0</v>
      </c>
    </row>
    <row r="124">
      <c r="A124" s="1" t="s">
        <v>709</v>
      </c>
      <c r="B124" s="1" t="s">
        <v>515</v>
      </c>
      <c r="C124" s="1" t="s">
        <v>711</v>
      </c>
      <c r="D124" s="1" t="s">
        <v>711</v>
      </c>
      <c r="E124" s="3">
        <v>46478.0</v>
      </c>
    </row>
    <row r="125">
      <c r="A125" s="1" t="s">
        <v>714</v>
      </c>
      <c r="B125" s="1" t="s">
        <v>515</v>
      </c>
      <c r="C125" s="1" t="s">
        <v>100</v>
      </c>
      <c r="D125" s="1" t="s">
        <v>719</v>
      </c>
      <c r="E125" s="3">
        <v>46478.0</v>
      </c>
    </row>
    <row r="126">
      <c r="A126" s="1" t="s">
        <v>723</v>
      </c>
      <c r="B126" s="1" t="s">
        <v>515</v>
      </c>
      <c r="C126" s="1" t="s">
        <v>187</v>
      </c>
      <c r="D126" s="1" t="s">
        <v>252</v>
      </c>
      <c r="E126" s="3">
        <v>46478.0</v>
      </c>
    </row>
    <row r="127">
      <c r="A127" s="1" t="s">
        <v>732</v>
      </c>
      <c r="B127" s="1" t="s">
        <v>515</v>
      </c>
      <c r="C127" s="1" t="s">
        <v>100</v>
      </c>
      <c r="D127" s="1" t="s">
        <v>242</v>
      </c>
      <c r="E127" s="3">
        <v>46478.0</v>
      </c>
    </row>
    <row r="128">
      <c r="A128" s="1" t="s">
        <v>740</v>
      </c>
      <c r="B128" s="1" t="s">
        <v>515</v>
      </c>
      <c r="C128" s="1" t="s">
        <v>187</v>
      </c>
      <c r="D128" s="1" t="s">
        <v>222</v>
      </c>
      <c r="E128" s="3">
        <v>46478.0</v>
      </c>
    </row>
    <row r="129">
      <c r="A129" s="1" t="s">
        <v>751</v>
      </c>
      <c r="B129" s="1" t="s">
        <v>515</v>
      </c>
      <c r="C129" s="1" t="s">
        <v>244</v>
      </c>
      <c r="D129" s="1" t="s">
        <v>553</v>
      </c>
      <c r="E129" s="3">
        <v>46478.0</v>
      </c>
    </row>
    <row r="130">
      <c r="A130" s="1" t="s">
        <v>768</v>
      </c>
      <c r="B130" s="1" t="s">
        <v>769</v>
      </c>
      <c r="C130" s="1" t="s">
        <v>37</v>
      </c>
      <c r="D130" s="1" t="s">
        <v>38</v>
      </c>
      <c r="E130" s="3">
        <v>46265.0</v>
      </c>
    </row>
    <row r="131">
      <c r="A131" s="1" t="s">
        <v>781</v>
      </c>
      <c r="B131" s="1" t="s">
        <v>769</v>
      </c>
      <c r="C131" s="1" t="s">
        <v>37</v>
      </c>
      <c r="D131" s="1" t="s">
        <v>150</v>
      </c>
      <c r="E131" s="3">
        <v>46265.0</v>
      </c>
      <c r="F131" s="3">
        <v>46202.0</v>
      </c>
    </row>
    <row r="132">
      <c r="A132" s="1" t="s">
        <v>785</v>
      </c>
      <c r="B132" s="1" t="s">
        <v>786</v>
      </c>
      <c r="C132" s="1" t="s">
        <v>93</v>
      </c>
      <c r="D132" s="1" t="s">
        <v>79</v>
      </c>
      <c r="E132" s="3">
        <v>46279.0</v>
      </c>
    </row>
    <row r="133">
      <c r="A133" s="1" t="s">
        <v>793</v>
      </c>
      <c r="B133" s="1" t="s">
        <v>795</v>
      </c>
      <c r="C133" s="1" t="s">
        <v>37</v>
      </c>
      <c r="D133" s="1" t="s">
        <v>150</v>
      </c>
      <c r="E133" s="3">
        <v>46066.0</v>
      </c>
      <c r="F133" s="3">
        <v>46080.0</v>
      </c>
    </row>
    <row r="134">
      <c r="A134" s="1" t="s">
        <v>800</v>
      </c>
      <c r="B134" s="1" t="s">
        <v>795</v>
      </c>
      <c r="C134" s="1" t="s">
        <v>37</v>
      </c>
      <c r="D134" s="1" t="s">
        <v>38</v>
      </c>
      <c r="E134" s="3">
        <v>46227.0</v>
      </c>
    </row>
    <row r="135">
      <c r="A135" s="1" t="s">
        <v>805</v>
      </c>
      <c r="B135" s="1" t="s">
        <v>806</v>
      </c>
      <c r="C135" s="1" t="s">
        <v>37</v>
      </c>
      <c r="D135" s="1" t="s">
        <v>150</v>
      </c>
      <c r="E135" s="3">
        <v>46559.0</v>
      </c>
    </row>
    <row r="136">
      <c r="A136" s="1" t="s">
        <v>811</v>
      </c>
      <c r="B136" s="1" t="s">
        <v>806</v>
      </c>
      <c r="C136" s="1" t="s">
        <v>37</v>
      </c>
      <c r="D136" s="1" t="s">
        <v>38</v>
      </c>
      <c r="E136" s="3">
        <v>46559.0</v>
      </c>
    </row>
    <row r="137">
      <c r="A137" s="1" t="s">
        <v>815</v>
      </c>
      <c r="B137" s="1" t="s">
        <v>816</v>
      </c>
      <c r="C137" s="1" t="s">
        <v>37</v>
      </c>
      <c r="D137" s="1" t="s">
        <v>38</v>
      </c>
      <c r="E137" s="3">
        <v>46370.0</v>
      </c>
    </row>
    <row r="138">
      <c r="A138" s="1" t="s">
        <v>820</v>
      </c>
      <c r="B138" s="1" t="s">
        <v>816</v>
      </c>
      <c r="C138" s="1" t="s">
        <v>37</v>
      </c>
      <c r="D138" s="1" t="s">
        <v>150</v>
      </c>
      <c r="E138" s="3">
        <v>46370.0</v>
      </c>
    </row>
    <row r="139">
      <c r="A139" s="1" t="s">
        <v>824</v>
      </c>
      <c r="B139" s="1" t="s">
        <v>826</v>
      </c>
      <c r="C139" s="1" t="s">
        <v>93</v>
      </c>
      <c r="D139" s="1" t="s">
        <v>79</v>
      </c>
      <c r="E139" s="3">
        <v>46087.0</v>
      </c>
      <c r="F139" s="3">
        <v>46087.0</v>
      </c>
    </row>
    <row r="140">
      <c r="A140" s="1" t="s">
        <v>833</v>
      </c>
      <c r="B140" s="1" t="s">
        <v>424</v>
      </c>
      <c r="C140" s="1" t="s">
        <v>37</v>
      </c>
      <c r="D140" s="1" t="s">
        <v>38</v>
      </c>
      <c r="E140" s="3">
        <v>46478.0</v>
      </c>
    </row>
    <row r="141">
      <c r="A141" s="1" t="s">
        <v>838</v>
      </c>
      <c r="B141" s="1" t="s">
        <v>424</v>
      </c>
      <c r="C141" s="1" t="s">
        <v>37</v>
      </c>
      <c r="D141" s="1" t="s">
        <v>150</v>
      </c>
      <c r="E141" s="3">
        <v>46478.0</v>
      </c>
    </row>
    <row r="142">
      <c r="A142" s="1" t="s">
        <v>841</v>
      </c>
      <c r="B142" s="1" t="s">
        <v>843</v>
      </c>
      <c r="C142" s="1" t="s">
        <v>37</v>
      </c>
      <c r="D142" s="1" t="s">
        <v>38</v>
      </c>
      <c r="E142" s="3">
        <v>46661.0</v>
      </c>
    </row>
    <row r="143">
      <c r="A143" s="1" t="s">
        <v>848</v>
      </c>
      <c r="B143" s="1" t="s">
        <v>850</v>
      </c>
      <c r="C143" s="1" t="s">
        <v>171</v>
      </c>
      <c r="D143" s="1" t="s">
        <v>851</v>
      </c>
      <c r="E143" s="3">
        <v>46157.0</v>
      </c>
      <c r="F143" s="3">
        <v>46245.0</v>
      </c>
    </row>
    <row r="144">
      <c r="A144" s="1" t="s">
        <v>854</v>
      </c>
      <c r="B144" s="1" t="s">
        <v>850</v>
      </c>
      <c r="C144" s="1" t="s">
        <v>37</v>
      </c>
      <c r="D144" s="1" t="s">
        <v>150</v>
      </c>
      <c r="E144" s="3">
        <v>46197.0</v>
      </c>
      <c r="F144" s="3">
        <v>46230.0</v>
      </c>
    </row>
    <row r="145">
      <c r="A145" s="1" t="s">
        <v>862</v>
      </c>
      <c r="B145" s="1" t="s">
        <v>850</v>
      </c>
      <c r="C145" s="1" t="s">
        <v>171</v>
      </c>
      <c r="D145" s="1" t="s">
        <v>865</v>
      </c>
      <c r="E145" s="3">
        <v>46157.0</v>
      </c>
      <c r="F145" s="3">
        <v>46245.0</v>
      </c>
    </row>
    <row r="146">
      <c r="A146" s="1" t="s">
        <v>867</v>
      </c>
      <c r="B146" s="1" t="s">
        <v>850</v>
      </c>
      <c r="C146" s="1" t="s">
        <v>171</v>
      </c>
      <c r="D146" s="1" t="s">
        <v>679</v>
      </c>
      <c r="E146" s="3">
        <v>46157.0</v>
      </c>
      <c r="F146" s="3">
        <v>46245.0</v>
      </c>
    </row>
    <row r="147">
      <c r="A147" s="1" t="s">
        <v>874</v>
      </c>
      <c r="B147" s="1" t="s">
        <v>850</v>
      </c>
      <c r="C147" s="1" t="s">
        <v>37</v>
      </c>
      <c r="D147" s="1" t="s">
        <v>38</v>
      </c>
      <c r="E147" s="3">
        <v>46197.0</v>
      </c>
      <c r="F147" s="3">
        <v>46230.0</v>
      </c>
    </row>
    <row r="148">
      <c r="A148" s="1" t="s">
        <v>879</v>
      </c>
      <c r="B148" s="1" t="s">
        <v>880</v>
      </c>
      <c r="C148" s="1" t="s">
        <v>93</v>
      </c>
      <c r="D148" s="1" t="s">
        <v>79</v>
      </c>
      <c r="E148" s="3">
        <v>46321.0</v>
      </c>
    </row>
    <row r="149">
      <c r="A149" s="1" t="s">
        <v>885</v>
      </c>
      <c r="B149" s="1" t="s">
        <v>887</v>
      </c>
      <c r="C149" s="1" t="s">
        <v>37</v>
      </c>
      <c r="D149" s="1" t="s">
        <v>38</v>
      </c>
      <c r="E149" s="3">
        <v>46388.0</v>
      </c>
    </row>
    <row r="150">
      <c r="A150" s="1" t="s">
        <v>891</v>
      </c>
      <c r="B150" s="1" t="s">
        <v>887</v>
      </c>
      <c r="C150" s="1" t="s">
        <v>100</v>
      </c>
      <c r="D150" s="1" t="s">
        <v>893</v>
      </c>
      <c r="E150" s="3">
        <v>46388.0</v>
      </c>
    </row>
    <row r="151">
      <c r="A151" s="1" t="s">
        <v>894</v>
      </c>
      <c r="B151" s="1" t="s">
        <v>887</v>
      </c>
      <c r="C151" s="1" t="s">
        <v>290</v>
      </c>
      <c r="D151" s="1" t="s">
        <v>898</v>
      </c>
      <c r="E151" s="3">
        <v>46388.0</v>
      </c>
    </row>
    <row r="152">
      <c r="A152" s="1" t="s">
        <v>902</v>
      </c>
      <c r="B152" s="1" t="s">
        <v>887</v>
      </c>
      <c r="C152" s="1" t="s">
        <v>290</v>
      </c>
      <c r="D152" s="1" t="s">
        <v>903</v>
      </c>
      <c r="E152" s="3">
        <v>46388.0</v>
      </c>
    </row>
    <row r="153">
      <c r="A153" s="1" t="s">
        <v>905</v>
      </c>
      <c r="B153" s="1" t="s">
        <v>887</v>
      </c>
      <c r="C153" s="1" t="s">
        <v>100</v>
      </c>
      <c r="D153" s="1" t="s">
        <v>906</v>
      </c>
      <c r="E153" s="3">
        <v>46388.0</v>
      </c>
    </row>
    <row r="154">
      <c r="A154" s="1" t="s">
        <v>907</v>
      </c>
      <c r="B154" s="1" t="s">
        <v>887</v>
      </c>
      <c r="C154" s="1" t="s">
        <v>171</v>
      </c>
      <c r="D154" s="1" t="s">
        <v>338</v>
      </c>
      <c r="E154" s="3">
        <v>46388.0</v>
      </c>
    </row>
    <row r="155">
      <c r="A155" s="1" t="s">
        <v>909</v>
      </c>
      <c r="B155" s="1" t="s">
        <v>887</v>
      </c>
      <c r="C155" s="1" t="s">
        <v>171</v>
      </c>
      <c r="D155" s="1" t="s">
        <v>851</v>
      </c>
      <c r="E155" s="3">
        <v>46388.0</v>
      </c>
    </row>
    <row r="156">
      <c r="A156" s="1" t="s">
        <v>914</v>
      </c>
      <c r="B156" s="1" t="s">
        <v>887</v>
      </c>
      <c r="C156" s="1" t="s">
        <v>100</v>
      </c>
      <c r="D156" s="1" t="s">
        <v>519</v>
      </c>
      <c r="E156" s="3">
        <v>46692.0</v>
      </c>
    </row>
    <row r="157">
      <c r="A157" s="1" t="s">
        <v>920</v>
      </c>
      <c r="B157" s="1" t="s">
        <v>921</v>
      </c>
      <c r="C157" s="1" t="s">
        <v>37</v>
      </c>
      <c r="D157" s="1" t="s">
        <v>38</v>
      </c>
      <c r="E157" s="3">
        <v>46458.0</v>
      </c>
    </row>
    <row r="158">
      <c r="A158" s="1" t="s">
        <v>924</v>
      </c>
      <c r="B158" s="1" t="s">
        <v>325</v>
      </c>
      <c r="C158" s="1" t="s">
        <v>37</v>
      </c>
      <c r="D158" s="1" t="s">
        <v>38</v>
      </c>
      <c r="E158" s="3">
        <v>46295.0</v>
      </c>
    </row>
    <row r="159">
      <c r="A159" s="1" t="s">
        <v>927</v>
      </c>
      <c r="B159" s="1" t="s">
        <v>325</v>
      </c>
      <c r="C159" s="1" t="s">
        <v>37</v>
      </c>
      <c r="D159" s="1" t="s">
        <v>150</v>
      </c>
      <c r="E159" s="3">
        <v>46213.0</v>
      </c>
      <c r="F159" s="3">
        <v>46203.0</v>
      </c>
    </row>
    <row r="160">
      <c r="A160" s="1" t="s">
        <v>933</v>
      </c>
      <c r="B160" s="1" t="s">
        <v>817</v>
      </c>
      <c r="C160" s="1" t="s">
        <v>236</v>
      </c>
      <c r="D160" s="1" t="s">
        <v>936</v>
      </c>
      <c r="E160" s="3">
        <v>46539.0</v>
      </c>
    </row>
    <row r="161">
      <c r="A161" s="1" t="s">
        <v>938</v>
      </c>
      <c r="B161" s="1" t="s">
        <v>817</v>
      </c>
      <c r="C161" s="1" t="s">
        <v>244</v>
      </c>
      <c r="D161" s="1" t="s">
        <v>72</v>
      </c>
      <c r="E161" s="3">
        <v>46539.0</v>
      </c>
    </row>
    <row r="162">
      <c r="A162" s="1" t="s">
        <v>944</v>
      </c>
      <c r="B162" s="1" t="s">
        <v>817</v>
      </c>
      <c r="C162" s="1" t="s">
        <v>244</v>
      </c>
      <c r="D162" s="1" t="s">
        <v>553</v>
      </c>
      <c r="E162" s="3">
        <v>46539.0</v>
      </c>
    </row>
    <row r="163">
      <c r="A163" s="1" t="s">
        <v>949</v>
      </c>
      <c r="B163" s="1" t="s">
        <v>817</v>
      </c>
      <c r="C163" s="1" t="s">
        <v>149</v>
      </c>
      <c r="D163" s="1" t="s">
        <v>397</v>
      </c>
      <c r="E163" s="3">
        <v>46539.0</v>
      </c>
    </row>
    <row r="164">
      <c r="A164" s="1" t="s">
        <v>952</v>
      </c>
      <c r="B164" s="1" t="s">
        <v>817</v>
      </c>
      <c r="C164" s="1" t="s">
        <v>37</v>
      </c>
      <c r="D164" s="1" t="s">
        <v>38</v>
      </c>
      <c r="E164" s="3">
        <v>46539.0</v>
      </c>
    </row>
    <row r="165">
      <c r="A165" s="1" t="s">
        <v>956</v>
      </c>
      <c r="B165" s="1" t="s">
        <v>817</v>
      </c>
      <c r="C165" s="1" t="s">
        <v>171</v>
      </c>
      <c r="D165" s="1" t="s">
        <v>338</v>
      </c>
      <c r="E165" s="3">
        <v>46539.0</v>
      </c>
    </row>
    <row r="166">
      <c r="A166" s="1" t="s">
        <v>961</v>
      </c>
      <c r="B166" s="1" t="s">
        <v>817</v>
      </c>
      <c r="C166" s="1" t="s">
        <v>187</v>
      </c>
      <c r="D166" s="1" t="s">
        <v>559</v>
      </c>
      <c r="E166" s="3">
        <v>46539.0</v>
      </c>
    </row>
    <row r="167">
      <c r="A167" s="1" t="s">
        <v>967</v>
      </c>
      <c r="B167" s="1" t="s">
        <v>817</v>
      </c>
      <c r="C167" s="1" t="s">
        <v>149</v>
      </c>
      <c r="D167" s="1" t="s">
        <v>286</v>
      </c>
      <c r="E167" s="3">
        <v>46539.0</v>
      </c>
    </row>
    <row r="168">
      <c r="A168" s="1" t="s">
        <v>973</v>
      </c>
      <c r="B168" s="1" t="s">
        <v>817</v>
      </c>
      <c r="C168" s="1" t="s">
        <v>149</v>
      </c>
      <c r="D168" s="1" t="s">
        <v>278</v>
      </c>
      <c r="E168" s="3">
        <v>46539.0</v>
      </c>
    </row>
    <row r="169">
      <c r="A169" s="1" t="s">
        <v>977</v>
      </c>
      <c r="B169" s="1" t="s">
        <v>817</v>
      </c>
      <c r="C169" s="1" t="s">
        <v>236</v>
      </c>
      <c r="D169" s="1" t="s">
        <v>237</v>
      </c>
      <c r="E169" s="3">
        <v>46539.0</v>
      </c>
    </row>
    <row r="170">
      <c r="A170" s="1" t="s">
        <v>982</v>
      </c>
      <c r="B170" s="1" t="s">
        <v>817</v>
      </c>
      <c r="C170" s="1" t="s">
        <v>232</v>
      </c>
      <c r="D170" s="1" t="s">
        <v>257</v>
      </c>
      <c r="E170" s="3">
        <v>46539.0</v>
      </c>
    </row>
    <row r="171">
      <c r="A171" s="1" t="s">
        <v>986</v>
      </c>
      <c r="B171" s="1" t="s">
        <v>817</v>
      </c>
      <c r="C171" s="1" t="s">
        <v>100</v>
      </c>
      <c r="D171" s="1" t="s">
        <v>242</v>
      </c>
      <c r="E171" s="3">
        <v>46539.0</v>
      </c>
    </row>
    <row r="172">
      <c r="A172" s="1" t="s">
        <v>988</v>
      </c>
      <c r="B172" s="1" t="s">
        <v>817</v>
      </c>
      <c r="C172" s="1" t="s">
        <v>100</v>
      </c>
      <c r="D172" s="1" t="s">
        <v>594</v>
      </c>
      <c r="E172" s="3">
        <v>46539.0</v>
      </c>
    </row>
    <row r="173">
      <c r="A173" s="1" t="s">
        <v>990</v>
      </c>
      <c r="B173" s="1" t="s">
        <v>817</v>
      </c>
      <c r="C173" s="1" t="s">
        <v>187</v>
      </c>
      <c r="D173" s="1" t="s">
        <v>252</v>
      </c>
      <c r="E173" s="3">
        <v>46539.0</v>
      </c>
    </row>
    <row r="174">
      <c r="A174" s="1" t="s">
        <v>995</v>
      </c>
      <c r="B174" s="1" t="s">
        <v>817</v>
      </c>
      <c r="C174" s="1" t="s">
        <v>100</v>
      </c>
      <c r="D174" s="1" t="s">
        <v>307</v>
      </c>
      <c r="E174" s="3">
        <v>46539.0</v>
      </c>
    </row>
    <row r="175">
      <c r="A175" s="1" t="s">
        <v>1000</v>
      </c>
      <c r="B175" s="1" t="s">
        <v>817</v>
      </c>
      <c r="C175" s="1" t="s">
        <v>187</v>
      </c>
      <c r="D175" s="1" t="s">
        <v>222</v>
      </c>
      <c r="E175" s="3">
        <v>46539.0</v>
      </c>
    </row>
    <row r="176">
      <c r="A176" s="1" t="s">
        <v>1004</v>
      </c>
      <c r="B176" s="1" t="s">
        <v>817</v>
      </c>
      <c r="C176" s="1" t="s">
        <v>171</v>
      </c>
      <c r="D176" s="1" t="s">
        <v>334</v>
      </c>
      <c r="E176" s="3">
        <v>46539.0</v>
      </c>
    </row>
    <row r="177">
      <c r="A177" s="1" t="s">
        <v>1012</v>
      </c>
      <c r="B177" s="1" t="s">
        <v>817</v>
      </c>
      <c r="C177" s="1" t="s">
        <v>149</v>
      </c>
      <c r="D177" s="1" t="s">
        <v>301</v>
      </c>
      <c r="E177" s="3">
        <v>46539.0</v>
      </c>
    </row>
    <row r="178">
      <c r="A178" s="1" t="s">
        <v>1016</v>
      </c>
      <c r="B178" s="1" t="s">
        <v>817</v>
      </c>
      <c r="C178" s="1" t="s">
        <v>149</v>
      </c>
      <c r="D178" s="1" t="s">
        <v>262</v>
      </c>
      <c r="E178" s="3">
        <v>46539.0</v>
      </c>
    </row>
    <row r="179">
      <c r="A179" s="1" t="s">
        <v>1020</v>
      </c>
      <c r="B179" s="1" t="s">
        <v>817</v>
      </c>
      <c r="C179" s="1" t="s">
        <v>149</v>
      </c>
      <c r="D179" s="1" t="s">
        <v>275</v>
      </c>
      <c r="E179" s="3">
        <v>46539.0</v>
      </c>
    </row>
    <row r="180">
      <c r="A180" s="1" t="s">
        <v>1024</v>
      </c>
      <c r="B180" s="1" t="s">
        <v>817</v>
      </c>
      <c r="C180" s="1" t="s">
        <v>149</v>
      </c>
      <c r="D180" s="1" t="s">
        <v>269</v>
      </c>
      <c r="E180" s="3">
        <v>46539.0</v>
      </c>
    </row>
    <row r="181">
      <c r="A181" s="1" t="s">
        <v>1027</v>
      </c>
      <c r="B181" s="1" t="s">
        <v>770</v>
      </c>
      <c r="C181" s="1" t="s">
        <v>37</v>
      </c>
      <c r="D181" s="1" t="s">
        <v>38</v>
      </c>
      <c r="E181" s="3">
        <v>46692.0</v>
      </c>
    </row>
    <row r="182">
      <c r="A182" s="1" t="s">
        <v>1031</v>
      </c>
      <c r="B182" s="1" t="s">
        <v>1035</v>
      </c>
      <c r="C182" s="1" t="s">
        <v>37</v>
      </c>
      <c r="D182" s="1" t="s">
        <v>1037</v>
      </c>
      <c r="E182" s="3">
        <v>46369.0</v>
      </c>
    </row>
    <row r="183">
      <c r="A183" s="1" t="s">
        <v>1040</v>
      </c>
      <c r="B183" s="1" t="s">
        <v>1042</v>
      </c>
      <c r="C183" s="1" t="s">
        <v>93</v>
      </c>
      <c r="D183" s="1" t="s">
        <v>79</v>
      </c>
      <c r="E183" s="3">
        <v>46822.0</v>
      </c>
    </row>
    <row r="184">
      <c r="A184" s="1" t="s">
        <v>1046</v>
      </c>
      <c r="B184" s="1" t="s">
        <v>1042</v>
      </c>
      <c r="C184" s="1" t="s">
        <v>37</v>
      </c>
      <c r="D184" s="1" t="s">
        <v>421</v>
      </c>
      <c r="E184" s="3">
        <v>46822.0</v>
      </c>
    </row>
    <row r="185">
      <c r="A185" s="1" t="s">
        <v>1049</v>
      </c>
      <c r="B185" s="1" t="s">
        <v>1050</v>
      </c>
      <c r="C185" s="1" t="s">
        <v>100</v>
      </c>
      <c r="D185" s="1" t="s">
        <v>242</v>
      </c>
      <c r="E185" s="3">
        <v>46374.0</v>
      </c>
    </row>
    <row r="186">
      <c r="A186" s="1" t="s">
        <v>1051</v>
      </c>
      <c r="B186" s="1" t="s">
        <v>1050</v>
      </c>
      <c r="C186" s="1" t="s">
        <v>100</v>
      </c>
      <c r="D186" s="1" t="s">
        <v>519</v>
      </c>
      <c r="E186" s="3">
        <v>46374.0</v>
      </c>
    </row>
    <row r="187">
      <c r="A187" s="1" t="s">
        <v>1055</v>
      </c>
      <c r="B187" s="1" t="s">
        <v>1050</v>
      </c>
      <c r="C187" s="1" t="s">
        <v>171</v>
      </c>
      <c r="D187" s="1" t="s">
        <v>602</v>
      </c>
      <c r="E187" s="3">
        <v>46374.0</v>
      </c>
    </row>
    <row r="188">
      <c r="A188" s="1" t="s">
        <v>1059</v>
      </c>
      <c r="B188" s="1" t="s">
        <v>1050</v>
      </c>
      <c r="C188" s="1" t="s">
        <v>149</v>
      </c>
      <c r="D188" s="1" t="s">
        <v>397</v>
      </c>
      <c r="E188" s="3">
        <v>46374.0</v>
      </c>
    </row>
    <row r="189">
      <c r="A189" s="1" t="s">
        <v>1066</v>
      </c>
      <c r="B189" s="1" t="s">
        <v>1050</v>
      </c>
      <c r="C189" s="1" t="s">
        <v>171</v>
      </c>
      <c r="D189" s="1" t="s">
        <v>334</v>
      </c>
      <c r="E189" s="3">
        <v>46374.0</v>
      </c>
    </row>
    <row r="190">
      <c r="A190" s="1" t="s">
        <v>1070</v>
      </c>
      <c r="B190" s="1" t="s">
        <v>1050</v>
      </c>
      <c r="C190" s="1" t="s">
        <v>244</v>
      </c>
      <c r="D190" s="1" t="s">
        <v>72</v>
      </c>
      <c r="E190" s="3">
        <v>46374.0</v>
      </c>
    </row>
    <row r="191">
      <c r="A191" s="1" t="s">
        <v>1078</v>
      </c>
      <c r="B191" s="1" t="s">
        <v>1050</v>
      </c>
      <c r="C191" s="1" t="s">
        <v>217</v>
      </c>
      <c r="D191" s="1" t="s">
        <v>1081</v>
      </c>
      <c r="E191" s="3">
        <v>46374.0</v>
      </c>
    </row>
    <row r="192">
      <c r="A192" s="1" t="s">
        <v>1084</v>
      </c>
      <c r="B192" s="1" t="s">
        <v>1050</v>
      </c>
      <c r="C192" s="1" t="s">
        <v>149</v>
      </c>
      <c r="D192" s="1" t="s">
        <v>347</v>
      </c>
      <c r="E192" s="3">
        <v>46374.0</v>
      </c>
    </row>
    <row r="193">
      <c r="A193" s="1" t="s">
        <v>1090</v>
      </c>
      <c r="B193" s="1" t="s">
        <v>1050</v>
      </c>
      <c r="C193" s="1" t="s">
        <v>100</v>
      </c>
      <c r="D193" s="1" t="s">
        <v>545</v>
      </c>
      <c r="E193" s="3">
        <v>46374.0</v>
      </c>
    </row>
    <row r="194">
      <c r="A194" s="1" t="s">
        <v>1095</v>
      </c>
      <c r="B194" s="1" t="s">
        <v>1050</v>
      </c>
      <c r="C194" s="1" t="s">
        <v>217</v>
      </c>
      <c r="D194" s="1" t="s">
        <v>230</v>
      </c>
      <c r="E194" s="3">
        <v>46374.0</v>
      </c>
    </row>
    <row r="195">
      <c r="A195" s="1" t="s">
        <v>1102</v>
      </c>
      <c r="B195" s="1" t="s">
        <v>1050</v>
      </c>
      <c r="C195" s="1" t="s">
        <v>149</v>
      </c>
      <c r="D195" s="1" t="s">
        <v>278</v>
      </c>
      <c r="E195" s="3">
        <v>46374.0</v>
      </c>
    </row>
    <row r="196">
      <c r="A196" s="1" t="s">
        <v>1104</v>
      </c>
      <c r="B196" s="1" t="s">
        <v>1050</v>
      </c>
      <c r="C196" s="1" t="s">
        <v>290</v>
      </c>
      <c r="D196" s="1" t="s">
        <v>1107</v>
      </c>
      <c r="E196" s="3">
        <v>46458.0</v>
      </c>
    </row>
    <row r="197">
      <c r="A197" s="1" t="s">
        <v>1110</v>
      </c>
      <c r="B197" s="1" t="s">
        <v>1050</v>
      </c>
      <c r="C197" s="1" t="s">
        <v>149</v>
      </c>
      <c r="D197" s="1" t="s">
        <v>286</v>
      </c>
      <c r="E197" s="3">
        <v>46374.0</v>
      </c>
    </row>
    <row r="198">
      <c r="A198" s="1" t="s">
        <v>1117</v>
      </c>
      <c r="B198" s="1" t="s">
        <v>1050</v>
      </c>
      <c r="C198" s="1" t="s">
        <v>149</v>
      </c>
      <c r="D198" s="1" t="s">
        <v>262</v>
      </c>
      <c r="E198" s="3">
        <v>46374.0</v>
      </c>
    </row>
    <row r="199">
      <c r="A199" s="1" t="s">
        <v>1121</v>
      </c>
      <c r="B199" s="1" t="s">
        <v>1050</v>
      </c>
      <c r="C199" s="1" t="s">
        <v>217</v>
      </c>
      <c r="D199" s="1" t="s">
        <v>1124</v>
      </c>
      <c r="E199" s="3">
        <v>46374.0</v>
      </c>
    </row>
    <row r="200">
      <c r="A200" s="1" t="s">
        <v>1128</v>
      </c>
      <c r="B200" s="1" t="s">
        <v>1050</v>
      </c>
      <c r="C200" s="1" t="s">
        <v>217</v>
      </c>
      <c r="D200" s="1" t="s">
        <v>318</v>
      </c>
      <c r="E200" s="3">
        <v>46374.0</v>
      </c>
    </row>
    <row r="201">
      <c r="A201" s="1" t="s">
        <v>1131</v>
      </c>
      <c r="B201" s="1" t="s">
        <v>1050</v>
      </c>
      <c r="C201" s="1" t="s">
        <v>232</v>
      </c>
      <c r="D201" s="1" t="s">
        <v>257</v>
      </c>
      <c r="E201" s="3">
        <v>46374.0</v>
      </c>
    </row>
    <row r="202">
      <c r="A202" s="1" t="s">
        <v>1137</v>
      </c>
      <c r="B202" s="1" t="s">
        <v>1050</v>
      </c>
      <c r="C202" s="1" t="s">
        <v>100</v>
      </c>
      <c r="D202" s="1" t="s">
        <v>307</v>
      </c>
      <c r="E202" s="3">
        <v>46374.0</v>
      </c>
    </row>
    <row r="203">
      <c r="A203" s="1" t="s">
        <v>1140</v>
      </c>
      <c r="B203" s="1" t="s">
        <v>1050</v>
      </c>
      <c r="C203" s="1" t="s">
        <v>37</v>
      </c>
      <c r="D203" s="1" t="s">
        <v>38</v>
      </c>
      <c r="E203" s="3">
        <v>46374.0</v>
      </c>
    </row>
    <row r="204">
      <c r="A204" s="1" t="s">
        <v>1144</v>
      </c>
      <c r="B204" s="1" t="s">
        <v>1050</v>
      </c>
      <c r="C204" s="1" t="s">
        <v>100</v>
      </c>
      <c r="D204" s="1" t="s">
        <v>537</v>
      </c>
      <c r="E204" s="3">
        <v>46374.0</v>
      </c>
    </row>
    <row r="205">
      <c r="A205" s="1" t="s">
        <v>1148</v>
      </c>
      <c r="B205" s="1" t="s">
        <v>755</v>
      </c>
      <c r="C205" s="1" t="s">
        <v>232</v>
      </c>
      <c r="D205" s="1" t="s">
        <v>1151</v>
      </c>
      <c r="E205" s="3">
        <v>46565.0</v>
      </c>
    </row>
    <row r="206">
      <c r="A206" s="1" t="s">
        <v>1155</v>
      </c>
      <c r="B206" s="1" t="s">
        <v>755</v>
      </c>
      <c r="C206" s="1" t="s">
        <v>149</v>
      </c>
      <c r="D206" s="1" t="s">
        <v>275</v>
      </c>
      <c r="E206" s="3">
        <v>46565.0</v>
      </c>
    </row>
    <row r="207">
      <c r="A207" s="1" t="s">
        <v>1158</v>
      </c>
      <c r="B207" s="1" t="s">
        <v>755</v>
      </c>
      <c r="C207" s="1" t="s">
        <v>217</v>
      </c>
      <c r="D207" s="1" t="s">
        <v>1161</v>
      </c>
      <c r="E207" s="3">
        <v>46467.0</v>
      </c>
    </row>
    <row r="208">
      <c r="A208" s="1" t="s">
        <v>1162</v>
      </c>
      <c r="B208" s="1" t="s">
        <v>755</v>
      </c>
      <c r="C208" s="1" t="s">
        <v>217</v>
      </c>
      <c r="D208" s="1" t="s">
        <v>318</v>
      </c>
      <c r="E208" s="3">
        <v>46467.0</v>
      </c>
    </row>
    <row r="209">
      <c r="A209" s="1" t="s">
        <v>1168</v>
      </c>
      <c r="B209" s="1" t="s">
        <v>755</v>
      </c>
      <c r="C209" s="1" t="s">
        <v>100</v>
      </c>
      <c r="D209" s="1" t="s">
        <v>242</v>
      </c>
      <c r="E209" s="3">
        <v>46467.0</v>
      </c>
    </row>
    <row r="210">
      <c r="A210" s="1" t="s">
        <v>1171</v>
      </c>
      <c r="B210" s="1" t="s">
        <v>755</v>
      </c>
      <c r="C210" s="1" t="s">
        <v>37</v>
      </c>
      <c r="D210" s="1" t="s">
        <v>38</v>
      </c>
      <c r="E210" s="3">
        <v>46565.0</v>
      </c>
    </row>
    <row r="211">
      <c r="A211" s="1" t="s">
        <v>1175</v>
      </c>
      <c r="B211" s="1" t="s">
        <v>755</v>
      </c>
      <c r="C211" s="1" t="s">
        <v>149</v>
      </c>
      <c r="D211" s="1" t="s">
        <v>262</v>
      </c>
      <c r="E211" s="3">
        <v>46565.0</v>
      </c>
    </row>
    <row r="212">
      <c r="A212" s="1" t="s">
        <v>1181</v>
      </c>
      <c r="B212" s="1" t="s">
        <v>755</v>
      </c>
      <c r="C212" s="1" t="s">
        <v>171</v>
      </c>
      <c r="D212" s="1" t="s">
        <v>338</v>
      </c>
      <c r="E212" s="3">
        <v>46565.0</v>
      </c>
    </row>
    <row r="213">
      <c r="A213" s="1" t="s">
        <v>1184</v>
      </c>
      <c r="B213" s="1" t="s">
        <v>755</v>
      </c>
      <c r="C213" s="1" t="s">
        <v>171</v>
      </c>
      <c r="D213" s="1" t="s">
        <v>679</v>
      </c>
      <c r="E213" s="3">
        <v>46565.0</v>
      </c>
    </row>
    <row r="214">
      <c r="A214" s="1" t="s">
        <v>1189</v>
      </c>
      <c r="B214" s="1" t="s">
        <v>755</v>
      </c>
      <c r="C214" s="1" t="s">
        <v>171</v>
      </c>
      <c r="D214" s="1" t="s">
        <v>334</v>
      </c>
      <c r="E214" s="3">
        <v>46565.0</v>
      </c>
    </row>
    <row r="215">
      <c r="A215" s="1" t="s">
        <v>1192</v>
      </c>
      <c r="B215" s="1" t="s">
        <v>755</v>
      </c>
      <c r="C215" s="1" t="s">
        <v>171</v>
      </c>
      <c r="D215" s="1" t="s">
        <v>602</v>
      </c>
      <c r="E215" s="3">
        <v>46565.0</v>
      </c>
    </row>
    <row r="216">
      <c r="A216" s="1" t="s">
        <v>1196</v>
      </c>
      <c r="B216" s="1" t="s">
        <v>755</v>
      </c>
      <c r="C216" s="1" t="s">
        <v>149</v>
      </c>
      <c r="D216" s="1" t="s">
        <v>269</v>
      </c>
      <c r="E216" s="3">
        <v>46565.0</v>
      </c>
    </row>
    <row r="217">
      <c r="A217" s="1" t="s">
        <v>1202</v>
      </c>
      <c r="B217" s="1" t="s">
        <v>755</v>
      </c>
      <c r="C217" s="1" t="s">
        <v>232</v>
      </c>
      <c r="D217" s="1" t="s">
        <v>1203</v>
      </c>
      <c r="E217" s="3">
        <v>46565.0</v>
      </c>
    </row>
    <row r="218">
      <c r="A218" s="1" t="s">
        <v>1206</v>
      </c>
      <c r="B218" s="1" t="s">
        <v>755</v>
      </c>
      <c r="C218" s="1" t="s">
        <v>149</v>
      </c>
      <c r="D218" s="1" t="s">
        <v>611</v>
      </c>
      <c r="E218" s="3">
        <v>46565.0</v>
      </c>
    </row>
    <row r="219">
      <c r="A219" s="1" t="s">
        <v>1210</v>
      </c>
      <c r="B219" s="1" t="s">
        <v>755</v>
      </c>
      <c r="C219" s="1" t="s">
        <v>149</v>
      </c>
      <c r="D219" s="1" t="s">
        <v>1212</v>
      </c>
      <c r="E219" s="3">
        <v>46565.0</v>
      </c>
    </row>
    <row r="220">
      <c r="A220" s="1" t="s">
        <v>1216</v>
      </c>
      <c r="B220" s="1" t="s">
        <v>755</v>
      </c>
      <c r="C220" s="1" t="s">
        <v>149</v>
      </c>
      <c r="D220" s="1" t="s">
        <v>397</v>
      </c>
      <c r="E220" s="3">
        <v>46565.0</v>
      </c>
    </row>
    <row r="221">
      <c r="A221" s="1" t="s">
        <v>1219</v>
      </c>
      <c r="B221" s="1" t="s">
        <v>755</v>
      </c>
      <c r="C221" s="1" t="s">
        <v>149</v>
      </c>
      <c r="D221" s="1" t="s">
        <v>347</v>
      </c>
      <c r="E221" s="3">
        <v>46565.0</v>
      </c>
    </row>
    <row r="222">
      <c r="A222" s="1" t="s">
        <v>1224</v>
      </c>
      <c r="B222" s="1" t="s">
        <v>755</v>
      </c>
      <c r="C222" s="1" t="s">
        <v>149</v>
      </c>
      <c r="D222" s="1" t="s">
        <v>286</v>
      </c>
      <c r="E222" s="3">
        <v>46565.0</v>
      </c>
    </row>
    <row r="223">
      <c r="A223" s="1" t="s">
        <v>1230</v>
      </c>
      <c r="B223" s="1" t="s">
        <v>755</v>
      </c>
      <c r="C223" s="1" t="s">
        <v>100</v>
      </c>
      <c r="D223" s="1" t="s">
        <v>307</v>
      </c>
      <c r="E223" s="3">
        <v>46467.0</v>
      </c>
    </row>
    <row r="224">
      <c r="A224" s="1" t="s">
        <v>1232</v>
      </c>
      <c r="B224" s="1" t="s">
        <v>755</v>
      </c>
      <c r="C224" s="1" t="s">
        <v>187</v>
      </c>
      <c r="D224" s="1" t="s">
        <v>222</v>
      </c>
      <c r="E224" s="3">
        <v>46467.0</v>
      </c>
    </row>
    <row r="225">
      <c r="A225" s="1" t="s">
        <v>1239</v>
      </c>
      <c r="B225" s="1" t="s">
        <v>755</v>
      </c>
      <c r="C225" s="1" t="s">
        <v>100</v>
      </c>
      <c r="D225" s="1" t="s">
        <v>252</v>
      </c>
      <c r="E225" s="3">
        <v>46467.0</v>
      </c>
    </row>
    <row r="226">
      <c r="A226" s="1" t="s">
        <v>1245</v>
      </c>
      <c r="B226" s="1" t="s">
        <v>755</v>
      </c>
      <c r="C226" s="1" t="s">
        <v>217</v>
      </c>
      <c r="D226" s="1" t="s">
        <v>230</v>
      </c>
      <c r="E226" s="3">
        <v>46467.0</v>
      </c>
    </row>
    <row r="227">
      <c r="A227" s="1" t="s">
        <v>1267</v>
      </c>
      <c r="B227" s="1" t="s">
        <v>755</v>
      </c>
      <c r="C227" s="1" t="s">
        <v>100</v>
      </c>
      <c r="D227" s="1" t="s">
        <v>545</v>
      </c>
      <c r="E227" s="3">
        <v>46467.0</v>
      </c>
    </row>
    <row r="228">
      <c r="A228" s="1" t="s">
        <v>1274</v>
      </c>
      <c r="B228" s="1" t="s">
        <v>755</v>
      </c>
      <c r="C228" s="1" t="s">
        <v>232</v>
      </c>
      <c r="D228" s="1" t="s">
        <v>257</v>
      </c>
      <c r="E228" s="3">
        <v>46467.0</v>
      </c>
    </row>
    <row r="229">
      <c r="A229" s="1" t="s">
        <v>1278</v>
      </c>
      <c r="B229" s="1" t="s">
        <v>755</v>
      </c>
      <c r="C229" s="1" t="s">
        <v>217</v>
      </c>
      <c r="D229" s="1" t="s">
        <v>1280</v>
      </c>
      <c r="E229" s="3">
        <v>46467.0</v>
      </c>
    </row>
    <row r="230">
      <c r="A230" s="1" t="s">
        <v>1285</v>
      </c>
      <c r="B230" s="1" t="s">
        <v>1287</v>
      </c>
      <c r="C230" s="1" t="s">
        <v>37</v>
      </c>
      <c r="D230" s="1" t="s">
        <v>150</v>
      </c>
      <c r="E230" s="3">
        <v>46203.0</v>
      </c>
      <c r="F230" s="3">
        <v>46203.0</v>
      </c>
    </row>
    <row r="231">
      <c r="A231" s="1" t="s">
        <v>1297</v>
      </c>
      <c r="B231" s="1" t="s">
        <v>1287</v>
      </c>
      <c r="C231" s="1" t="s">
        <v>37</v>
      </c>
      <c r="D231" s="1" t="s">
        <v>38</v>
      </c>
      <c r="E231" s="3">
        <v>46295.0</v>
      </c>
    </row>
    <row r="232">
      <c r="A232" s="1" t="s">
        <v>1305</v>
      </c>
      <c r="B232" s="1" t="s">
        <v>929</v>
      </c>
      <c r="C232" s="1" t="s">
        <v>37</v>
      </c>
      <c r="D232" s="1" t="s">
        <v>150</v>
      </c>
      <c r="E232" s="3">
        <v>46085.0</v>
      </c>
    </row>
    <row r="233">
      <c r="A233" s="1" t="s">
        <v>1309</v>
      </c>
      <c r="B233" s="1" t="s">
        <v>929</v>
      </c>
      <c r="C233" s="1" t="s">
        <v>37</v>
      </c>
      <c r="D233" s="1" t="s">
        <v>38</v>
      </c>
      <c r="E233" s="3">
        <v>46163.0</v>
      </c>
    </row>
    <row r="234">
      <c r="A234" s="1" t="s">
        <v>1313</v>
      </c>
      <c r="B234" s="1" t="s">
        <v>1316</v>
      </c>
      <c r="C234" s="1" t="s">
        <v>149</v>
      </c>
      <c r="D234" s="1" t="s">
        <v>275</v>
      </c>
      <c r="E234" s="3">
        <v>46204.0</v>
      </c>
      <c r="F234" s="3">
        <v>46203.0</v>
      </c>
    </row>
    <row r="235">
      <c r="A235" s="1" t="s">
        <v>1318</v>
      </c>
      <c r="B235" s="1" t="s">
        <v>1316</v>
      </c>
      <c r="C235" s="1" t="s">
        <v>149</v>
      </c>
      <c r="D235" s="1" t="s">
        <v>328</v>
      </c>
      <c r="E235" s="3">
        <v>46296.0</v>
      </c>
    </row>
    <row r="236">
      <c r="A236" s="1" t="s">
        <v>1322</v>
      </c>
      <c r="B236" s="1" t="s">
        <v>1316</v>
      </c>
      <c r="C236" s="1" t="s">
        <v>149</v>
      </c>
      <c r="D236" s="1" t="s">
        <v>345</v>
      </c>
      <c r="E236" s="3">
        <v>46204.0</v>
      </c>
      <c r="F236" s="3">
        <v>46203.0</v>
      </c>
    </row>
    <row r="237">
      <c r="A237" s="1" t="s">
        <v>1329</v>
      </c>
      <c r="B237" s="1" t="s">
        <v>1316</v>
      </c>
      <c r="C237" s="1" t="s">
        <v>149</v>
      </c>
      <c r="D237" s="1" t="s">
        <v>301</v>
      </c>
      <c r="E237" s="3">
        <v>46204.0</v>
      </c>
      <c r="F237" s="3">
        <v>46203.0</v>
      </c>
    </row>
    <row r="238">
      <c r="A238" s="1" t="s">
        <v>1332</v>
      </c>
      <c r="B238" s="1" t="s">
        <v>1316</v>
      </c>
      <c r="C238" s="1" t="s">
        <v>149</v>
      </c>
      <c r="D238" s="1" t="s">
        <v>278</v>
      </c>
      <c r="E238" s="3">
        <v>46204.0</v>
      </c>
      <c r="F238" s="3">
        <v>46203.0</v>
      </c>
    </row>
    <row r="239">
      <c r="A239" s="1" t="s">
        <v>1341</v>
      </c>
      <c r="B239" s="1" t="s">
        <v>1316</v>
      </c>
      <c r="C239" s="1" t="s">
        <v>149</v>
      </c>
      <c r="D239" s="1" t="s">
        <v>269</v>
      </c>
      <c r="E239" s="3">
        <v>46204.0</v>
      </c>
      <c r="F239" s="3">
        <v>46203.0</v>
      </c>
    </row>
    <row r="240">
      <c r="A240" s="1" t="s">
        <v>1347</v>
      </c>
      <c r="B240" s="1" t="s">
        <v>1316</v>
      </c>
      <c r="C240" s="1" t="s">
        <v>149</v>
      </c>
      <c r="D240" s="1" t="s">
        <v>286</v>
      </c>
      <c r="E240" s="3">
        <v>46296.0</v>
      </c>
    </row>
    <row r="241">
      <c r="A241" s="1" t="s">
        <v>1352</v>
      </c>
      <c r="B241" s="1" t="s">
        <v>1316</v>
      </c>
      <c r="C241" s="1" t="s">
        <v>37</v>
      </c>
      <c r="D241" s="1" t="s">
        <v>38</v>
      </c>
      <c r="E241" s="3">
        <v>46204.0</v>
      </c>
      <c r="F241" s="3">
        <v>46143.0</v>
      </c>
    </row>
    <row r="242">
      <c r="A242" s="1" t="s">
        <v>1353</v>
      </c>
      <c r="B242" s="1" t="s">
        <v>1316</v>
      </c>
      <c r="C242" s="1" t="s">
        <v>149</v>
      </c>
      <c r="D242" s="1" t="s">
        <v>262</v>
      </c>
      <c r="E242" s="3">
        <v>46204.0</v>
      </c>
      <c r="F242" s="3">
        <v>46203.0</v>
      </c>
    </row>
    <row r="243">
      <c r="A243" s="1" t="s">
        <v>1359</v>
      </c>
      <c r="B243" s="1" t="s">
        <v>1361</v>
      </c>
      <c r="C243" s="1" t="s">
        <v>37</v>
      </c>
      <c r="D243" s="1" t="s">
        <v>38</v>
      </c>
      <c r="E243" s="3">
        <v>46142.0</v>
      </c>
    </row>
    <row r="244">
      <c r="A244" s="1" t="s">
        <v>1363</v>
      </c>
      <c r="B244" s="1" t="s">
        <v>1361</v>
      </c>
      <c r="C244" s="1" t="s">
        <v>37</v>
      </c>
      <c r="D244" s="1" t="s">
        <v>150</v>
      </c>
      <c r="E244" s="3">
        <v>46142.0</v>
      </c>
    </row>
    <row r="245">
      <c r="A245" s="1" t="s">
        <v>1366</v>
      </c>
      <c r="B245" s="1" t="s">
        <v>1368</v>
      </c>
      <c r="C245" s="1" t="s">
        <v>37</v>
      </c>
      <c r="D245" s="1" t="s">
        <v>38</v>
      </c>
      <c r="E245" s="3">
        <v>46295.0</v>
      </c>
    </row>
    <row r="246">
      <c r="A246" s="1" t="s">
        <v>1371</v>
      </c>
      <c r="B246" s="1" t="s">
        <v>1373</v>
      </c>
      <c r="C246" s="1" t="s">
        <v>37</v>
      </c>
      <c r="D246" s="1" t="s">
        <v>38</v>
      </c>
      <c r="E246" s="3">
        <v>46935.0</v>
      </c>
    </row>
    <row r="247">
      <c r="A247" s="1" t="s">
        <v>1376</v>
      </c>
      <c r="B247" s="1" t="s">
        <v>1377</v>
      </c>
      <c r="C247" s="1" t="s">
        <v>217</v>
      </c>
      <c r="D247" s="1" t="s">
        <v>318</v>
      </c>
      <c r="E247" s="3">
        <v>46220.0</v>
      </c>
    </row>
    <row r="248">
      <c r="A248" s="1" t="s">
        <v>1378</v>
      </c>
      <c r="B248" s="1" t="s">
        <v>1379</v>
      </c>
      <c r="C248" s="1" t="s">
        <v>93</v>
      </c>
      <c r="D248" s="1" t="s">
        <v>79</v>
      </c>
      <c r="E248" s="3">
        <v>46235.0</v>
      </c>
    </row>
    <row r="249">
      <c r="A249" s="1" t="s">
        <v>1386</v>
      </c>
      <c r="B249" s="1" t="s">
        <v>1387</v>
      </c>
      <c r="C249" s="1" t="s">
        <v>93</v>
      </c>
      <c r="D249" s="1" t="s">
        <v>185</v>
      </c>
      <c r="E249" s="3">
        <v>46265.0</v>
      </c>
    </row>
    <row r="250">
      <c r="A250" s="1" t="s">
        <v>1388</v>
      </c>
      <c r="B250" s="1" t="s">
        <v>1387</v>
      </c>
      <c r="C250" s="1" t="s">
        <v>93</v>
      </c>
      <c r="D250" s="1" t="s">
        <v>79</v>
      </c>
      <c r="E250" s="3">
        <v>46265.0</v>
      </c>
    </row>
    <row r="251">
      <c r="A251" s="1" t="s">
        <v>1395</v>
      </c>
      <c r="B251" s="1" t="s">
        <v>1396</v>
      </c>
      <c r="C251" s="1" t="s">
        <v>93</v>
      </c>
      <c r="D251" s="1" t="s">
        <v>79</v>
      </c>
      <c r="E251" s="3">
        <v>46524.0</v>
      </c>
    </row>
    <row r="252">
      <c r="A252" s="1" t="s">
        <v>1399</v>
      </c>
      <c r="B252" s="1" t="s">
        <v>1002</v>
      </c>
      <c r="C252" s="1" t="s">
        <v>37</v>
      </c>
      <c r="D252" s="1" t="s">
        <v>38</v>
      </c>
      <c r="E252" s="3">
        <v>46537.0</v>
      </c>
    </row>
    <row r="253">
      <c r="A253" s="1" t="s">
        <v>1403</v>
      </c>
      <c r="B253" s="1" t="s">
        <v>1405</v>
      </c>
      <c r="C253" s="1" t="s">
        <v>217</v>
      </c>
      <c r="D253" s="1" t="s">
        <v>1161</v>
      </c>
      <c r="E253" s="3">
        <v>46569.0</v>
      </c>
    </row>
    <row r="254">
      <c r="A254" s="1" t="s">
        <v>1408</v>
      </c>
      <c r="B254" s="1" t="s">
        <v>1405</v>
      </c>
      <c r="C254" s="1" t="s">
        <v>187</v>
      </c>
      <c r="D254" s="1" t="s">
        <v>222</v>
      </c>
      <c r="E254" s="3">
        <v>46376.0</v>
      </c>
    </row>
    <row r="255">
      <c r="A255" s="1" t="s">
        <v>1412</v>
      </c>
      <c r="B255" s="1" t="s">
        <v>1405</v>
      </c>
      <c r="C255" s="1" t="s">
        <v>100</v>
      </c>
      <c r="D255" s="1" t="s">
        <v>252</v>
      </c>
      <c r="E255" s="3">
        <v>46376.0</v>
      </c>
    </row>
    <row r="256">
      <c r="A256" s="1" t="s">
        <v>1415</v>
      </c>
      <c r="B256" s="1" t="s">
        <v>1405</v>
      </c>
      <c r="C256" s="1" t="s">
        <v>149</v>
      </c>
      <c r="D256" s="1" t="s">
        <v>294</v>
      </c>
      <c r="E256" s="3">
        <v>46569.0</v>
      </c>
    </row>
    <row r="257">
      <c r="A257" s="1" t="s">
        <v>1419</v>
      </c>
      <c r="B257" s="1" t="s">
        <v>1405</v>
      </c>
      <c r="C257" s="1" t="s">
        <v>149</v>
      </c>
      <c r="D257" s="1" t="s">
        <v>269</v>
      </c>
      <c r="E257" s="3">
        <v>46569.0</v>
      </c>
    </row>
    <row r="258">
      <c r="A258" s="1" t="s">
        <v>1423</v>
      </c>
      <c r="B258" s="1" t="s">
        <v>1405</v>
      </c>
      <c r="C258" s="1" t="s">
        <v>149</v>
      </c>
      <c r="D258" s="1" t="s">
        <v>275</v>
      </c>
      <c r="E258" s="3">
        <v>46569.0</v>
      </c>
    </row>
    <row r="259">
      <c r="A259" s="1" t="s">
        <v>1430</v>
      </c>
      <c r="B259" s="1" t="s">
        <v>1405</v>
      </c>
      <c r="C259" s="1" t="s">
        <v>100</v>
      </c>
      <c r="D259" s="1" t="s">
        <v>519</v>
      </c>
      <c r="E259" s="3">
        <v>46569.0</v>
      </c>
    </row>
    <row r="260">
      <c r="A260" s="1" t="s">
        <v>1431</v>
      </c>
      <c r="B260" s="1" t="s">
        <v>1405</v>
      </c>
      <c r="C260" s="1" t="s">
        <v>149</v>
      </c>
      <c r="D260" s="1" t="s">
        <v>262</v>
      </c>
      <c r="E260" s="3">
        <v>46569.0</v>
      </c>
    </row>
    <row r="261">
      <c r="A261" s="1" t="s">
        <v>1438</v>
      </c>
      <c r="B261" s="1" t="s">
        <v>1405</v>
      </c>
      <c r="C261" s="1" t="s">
        <v>100</v>
      </c>
      <c r="D261" s="1" t="s">
        <v>242</v>
      </c>
      <c r="E261" s="3">
        <v>46569.0</v>
      </c>
    </row>
    <row r="262">
      <c r="A262" s="1" t="s">
        <v>1442</v>
      </c>
      <c r="B262" s="1" t="s">
        <v>1405</v>
      </c>
      <c r="C262" s="1" t="s">
        <v>149</v>
      </c>
      <c r="D262" s="1" t="s">
        <v>347</v>
      </c>
      <c r="E262" s="3">
        <v>46569.0</v>
      </c>
    </row>
    <row r="263">
      <c r="A263" s="1" t="s">
        <v>1444</v>
      </c>
      <c r="B263" s="1" t="s">
        <v>1405</v>
      </c>
      <c r="C263" s="1" t="s">
        <v>149</v>
      </c>
      <c r="D263" s="1" t="s">
        <v>345</v>
      </c>
      <c r="E263" s="3">
        <v>46569.0</v>
      </c>
    </row>
    <row r="264">
      <c r="A264" s="1" t="s">
        <v>1446</v>
      </c>
      <c r="B264" s="1" t="s">
        <v>1405</v>
      </c>
      <c r="C264" s="1" t="s">
        <v>100</v>
      </c>
      <c r="D264" s="1" t="s">
        <v>537</v>
      </c>
      <c r="E264" s="3">
        <v>46569.0</v>
      </c>
    </row>
    <row r="265">
      <c r="A265" s="1" t="s">
        <v>1451</v>
      </c>
      <c r="B265" s="1" t="s">
        <v>1405</v>
      </c>
      <c r="C265" s="1" t="s">
        <v>100</v>
      </c>
      <c r="D265" s="1" t="s">
        <v>307</v>
      </c>
      <c r="E265" s="3">
        <v>46376.0</v>
      </c>
    </row>
    <row r="266">
      <c r="A266" s="1" t="s">
        <v>1455</v>
      </c>
      <c r="B266" s="1" t="s">
        <v>1405</v>
      </c>
      <c r="C266" s="1" t="s">
        <v>171</v>
      </c>
      <c r="D266" s="1" t="s">
        <v>338</v>
      </c>
      <c r="E266" s="3">
        <v>46569.0</v>
      </c>
    </row>
    <row r="267">
      <c r="A267" s="1" t="s">
        <v>1460</v>
      </c>
      <c r="B267" s="1" t="s">
        <v>1405</v>
      </c>
      <c r="C267" s="1" t="s">
        <v>217</v>
      </c>
      <c r="D267" s="1" t="s">
        <v>230</v>
      </c>
      <c r="E267" s="3">
        <v>46569.0</v>
      </c>
    </row>
    <row r="268">
      <c r="A268" s="1" t="s">
        <v>1465</v>
      </c>
      <c r="B268" s="1" t="s">
        <v>1405</v>
      </c>
      <c r="C268" s="1" t="s">
        <v>236</v>
      </c>
      <c r="D268" s="1" t="s">
        <v>237</v>
      </c>
      <c r="E268" s="3">
        <v>46569.0</v>
      </c>
    </row>
    <row r="269">
      <c r="A269" s="1" t="s">
        <v>1470</v>
      </c>
      <c r="B269" s="1" t="s">
        <v>1405</v>
      </c>
      <c r="C269" s="1" t="s">
        <v>232</v>
      </c>
      <c r="D269" s="1" t="s">
        <v>257</v>
      </c>
      <c r="E269" s="3">
        <v>46569.0</v>
      </c>
    </row>
    <row r="270">
      <c r="A270" s="1" t="s">
        <v>1475</v>
      </c>
      <c r="B270" s="1" t="s">
        <v>1405</v>
      </c>
      <c r="C270" s="1" t="s">
        <v>244</v>
      </c>
      <c r="D270" s="1" t="s">
        <v>553</v>
      </c>
      <c r="E270" s="3">
        <v>46569.0</v>
      </c>
    </row>
    <row r="271">
      <c r="A271" s="1" t="s">
        <v>1481</v>
      </c>
      <c r="B271" s="1" t="s">
        <v>1405</v>
      </c>
      <c r="C271" s="1" t="s">
        <v>244</v>
      </c>
      <c r="D271" s="1" t="s">
        <v>72</v>
      </c>
      <c r="E271" s="3">
        <v>46569.0</v>
      </c>
    </row>
    <row r="272">
      <c r="A272" s="1" t="s">
        <v>1488</v>
      </c>
      <c r="B272" s="1" t="s">
        <v>1405</v>
      </c>
      <c r="C272" s="1" t="s">
        <v>171</v>
      </c>
      <c r="D272" s="1" t="s">
        <v>334</v>
      </c>
      <c r="E272" s="3">
        <v>46569.0</v>
      </c>
    </row>
    <row r="273">
      <c r="A273" s="1" t="s">
        <v>1492</v>
      </c>
      <c r="B273" s="1" t="s">
        <v>1405</v>
      </c>
      <c r="C273" s="1" t="s">
        <v>149</v>
      </c>
      <c r="D273" s="1" t="s">
        <v>397</v>
      </c>
      <c r="E273" s="3">
        <v>46569.0</v>
      </c>
    </row>
    <row r="274">
      <c r="A274" s="1" t="s">
        <v>1498</v>
      </c>
      <c r="B274" s="1" t="s">
        <v>1405</v>
      </c>
      <c r="C274" s="1" t="s">
        <v>149</v>
      </c>
      <c r="D274" s="1" t="s">
        <v>611</v>
      </c>
      <c r="E274" s="3">
        <v>46569.0</v>
      </c>
    </row>
    <row r="275">
      <c r="A275" s="1" t="s">
        <v>1502</v>
      </c>
      <c r="B275" s="1" t="s">
        <v>1405</v>
      </c>
      <c r="C275" s="1" t="s">
        <v>171</v>
      </c>
      <c r="D275" s="1" t="s">
        <v>618</v>
      </c>
      <c r="E275" s="3">
        <v>46569.0</v>
      </c>
    </row>
    <row r="276">
      <c r="A276" s="1" t="s">
        <v>1510</v>
      </c>
      <c r="B276" s="1" t="s">
        <v>1405</v>
      </c>
      <c r="C276" s="1" t="s">
        <v>217</v>
      </c>
      <c r="D276" s="1" t="s">
        <v>318</v>
      </c>
      <c r="E276" s="3">
        <v>46569.0</v>
      </c>
    </row>
    <row r="277">
      <c r="A277" s="1" t="s">
        <v>1515</v>
      </c>
      <c r="B277" s="1" t="s">
        <v>1405</v>
      </c>
      <c r="C277" s="1" t="s">
        <v>149</v>
      </c>
      <c r="D277" s="1" t="s">
        <v>286</v>
      </c>
      <c r="E277" s="3">
        <v>46569.0</v>
      </c>
    </row>
    <row r="278">
      <c r="A278" s="1" t="s">
        <v>1519</v>
      </c>
      <c r="B278" s="1" t="s">
        <v>1405</v>
      </c>
      <c r="C278" s="1" t="s">
        <v>149</v>
      </c>
      <c r="D278" s="1" t="s">
        <v>301</v>
      </c>
      <c r="E278" s="3">
        <v>46569.0</v>
      </c>
    </row>
    <row r="279">
      <c r="A279" s="1" t="s">
        <v>1525</v>
      </c>
      <c r="B279" s="1" t="s">
        <v>1527</v>
      </c>
      <c r="C279" s="1" t="s">
        <v>37</v>
      </c>
      <c r="D279" s="1" t="s">
        <v>38</v>
      </c>
      <c r="E279" s="3">
        <v>46369.0</v>
      </c>
    </row>
    <row r="280">
      <c r="A280" s="1" t="s">
        <v>1530</v>
      </c>
      <c r="B280" s="1" t="s">
        <v>1531</v>
      </c>
      <c r="C280" s="1" t="s">
        <v>93</v>
      </c>
      <c r="D280" s="1" t="s">
        <v>185</v>
      </c>
      <c r="E280" s="3">
        <v>46741.0</v>
      </c>
    </row>
    <row r="281">
      <c r="A281" s="1" t="s">
        <v>1532</v>
      </c>
      <c r="B281" s="1" t="s">
        <v>1531</v>
      </c>
      <c r="C281" s="1" t="s">
        <v>37</v>
      </c>
      <c r="D281" s="1" t="s">
        <v>38</v>
      </c>
      <c r="E281" s="3">
        <v>46741.0</v>
      </c>
    </row>
    <row r="282">
      <c r="A282" s="1" t="s">
        <v>1544</v>
      </c>
      <c r="B282" s="1" t="s">
        <v>1531</v>
      </c>
      <c r="C282" s="1" t="s">
        <v>93</v>
      </c>
      <c r="D282" s="1" t="s">
        <v>79</v>
      </c>
      <c r="E282" s="3">
        <v>46741.0</v>
      </c>
    </row>
    <row r="283">
      <c r="A283" s="1" t="s">
        <v>1554</v>
      </c>
      <c r="B283" s="1" t="s">
        <v>743</v>
      </c>
      <c r="C283" s="1" t="s">
        <v>93</v>
      </c>
      <c r="D283" s="1" t="s">
        <v>185</v>
      </c>
      <c r="E283" s="3">
        <v>46139.0</v>
      </c>
      <c r="F283" s="3">
        <v>46142.0</v>
      </c>
    </row>
    <row r="284">
      <c r="A284" s="1" t="s">
        <v>1559</v>
      </c>
      <c r="B284" s="1" t="s">
        <v>1561</v>
      </c>
      <c r="C284" s="1" t="s">
        <v>93</v>
      </c>
      <c r="D284" s="1" t="s">
        <v>79</v>
      </c>
      <c r="E284" s="3">
        <v>46238.0</v>
      </c>
    </row>
    <row r="285">
      <c r="A285" s="1" t="s">
        <v>1564</v>
      </c>
      <c r="B285" s="1" t="s">
        <v>1561</v>
      </c>
      <c r="C285" s="1" t="s">
        <v>93</v>
      </c>
      <c r="D285" s="1" t="s">
        <v>185</v>
      </c>
      <c r="E285" s="3">
        <v>46238.0</v>
      </c>
    </row>
    <row r="286">
      <c r="A286" s="1" t="s">
        <v>1569</v>
      </c>
      <c r="B286" s="1" t="s">
        <v>1299</v>
      </c>
      <c r="C286" s="1" t="s">
        <v>37</v>
      </c>
      <c r="D286" s="1" t="s">
        <v>38</v>
      </c>
      <c r="E286" s="3">
        <v>46631.0</v>
      </c>
    </row>
    <row r="287">
      <c r="A287" s="1" t="s">
        <v>1574</v>
      </c>
      <c r="B287" s="1" t="s">
        <v>1575</v>
      </c>
      <c r="C287" s="1" t="s">
        <v>1577</v>
      </c>
      <c r="D287" s="1" t="s">
        <v>1579</v>
      </c>
      <c r="E287" s="3">
        <v>46223.0</v>
      </c>
    </row>
    <row r="288">
      <c r="A288" s="1" t="s">
        <v>1583</v>
      </c>
      <c r="B288" s="1" t="s">
        <v>1585</v>
      </c>
      <c r="C288" s="1" t="s">
        <v>217</v>
      </c>
      <c r="D288" s="1" t="s">
        <v>318</v>
      </c>
      <c r="E288" s="3">
        <v>46563.0</v>
      </c>
    </row>
    <row r="289">
      <c r="A289" s="1" t="s">
        <v>1589</v>
      </c>
      <c r="B289" s="1" t="s">
        <v>1585</v>
      </c>
      <c r="C289" s="1" t="s">
        <v>37</v>
      </c>
      <c r="D289" s="1" t="s">
        <v>38</v>
      </c>
      <c r="E289" s="3">
        <v>46563.0</v>
      </c>
    </row>
    <row r="290">
      <c r="A290" s="1" t="s">
        <v>1594</v>
      </c>
      <c r="B290" s="1" t="s">
        <v>1585</v>
      </c>
      <c r="C290" s="1" t="s">
        <v>37</v>
      </c>
      <c r="D290" s="1" t="s">
        <v>150</v>
      </c>
      <c r="E290" s="3">
        <v>46563.0</v>
      </c>
    </row>
    <row r="291">
      <c r="A291" s="1" t="s">
        <v>1598</v>
      </c>
      <c r="B291" s="1" t="s">
        <v>1585</v>
      </c>
      <c r="C291" s="1" t="s">
        <v>171</v>
      </c>
      <c r="D291" s="1" t="s">
        <v>618</v>
      </c>
      <c r="E291" s="3">
        <v>46563.0</v>
      </c>
    </row>
    <row r="292">
      <c r="A292" s="1" t="s">
        <v>1604</v>
      </c>
      <c r="B292" s="1" t="s">
        <v>1585</v>
      </c>
      <c r="C292" s="1" t="s">
        <v>100</v>
      </c>
      <c r="D292" s="1" t="s">
        <v>252</v>
      </c>
      <c r="E292" s="3">
        <v>46563.0</v>
      </c>
    </row>
    <row r="293">
      <c r="A293" s="1" t="s">
        <v>1609</v>
      </c>
      <c r="B293" s="1" t="s">
        <v>1585</v>
      </c>
      <c r="C293" s="1" t="s">
        <v>1610</v>
      </c>
      <c r="D293" s="1" t="s">
        <v>1612</v>
      </c>
      <c r="E293" s="3">
        <v>46563.0</v>
      </c>
    </row>
    <row r="294">
      <c r="A294" s="1" t="s">
        <v>1614</v>
      </c>
      <c r="B294" s="1" t="s">
        <v>1585</v>
      </c>
      <c r="C294" s="1" t="s">
        <v>244</v>
      </c>
      <c r="D294" s="1" t="s">
        <v>72</v>
      </c>
      <c r="E294" s="3">
        <v>46563.0</v>
      </c>
    </row>
    <row r="295">
      <c r="A295" s="1" t="s">
        <v>1619</v>
      </c>
      <c r="B295" s="1" t="s">
        <v>1585</v>
      </c>
      <c r="C295" s="1" t="s">
        <v>217</v>
      </c>
      <c r="D295" s="1" t="s">
        <v>1620</v>
      </c>
      <c r="E295" s="3">
        <v>46563.0</v>
      </c>
    </row>
    <row r="296">
      <c r="A296" s="1" t="s">
        <v>1624</v>
      </c>
      <c r="B296" s="1" t="s">
        <v>1585</v>
      </c>
      <c r="C296" s="1" t="s">
        <v>100</v>
      </c>
      <c r="D296" s="1" t="s">
        <v>307</v>
      </c>
      <c r="E296" s="3">
        <v>46563.0</v>
      </c>
    </row>
    <row r="297">
      <c r="A297" s="1" t="s">
        <v>1630</v>
      </c>
      <c r="B297" s="1" t="s">
        <v>1585</v>
      </c>
      <c r="C297" s="1" t="s">
        <v>100</v>
      </c>
      <c r="D297" s="1" t="s">
        <v>545</v>
      </c>
      <c r="E297" s="3">
        <v>46563.0</v>
      </c>
    </row>
    <row r="298">
      <c r="A298" s="1" t="s">
        <v>1634</v>
      </c>
      <c r="B298" s="1" t="s">
        <v>1585</v>
      </c>
      <c r="C298" s="1" t="s">
        <v>100</v>
      </c>
      <c r="D298" s="1" t="s">
        <v>719</v>
      </c>
      <c r="E298" s="3">
        <v>46563.0</v>
      </c>
    </row>
    <row r="299">
      <c r="A299" s="1" t="s">
        <v>1638</v>
      </c>
      <c r="B299" s="1" t="s">
        <v>1585</v>
      </c>
      <c r="C299" s="1" t="s">
        <v>711</v>
      </c>
      <c r="D299" s="1" t="s">
        <v>711</v>
      </c>
      <c r="E299" s="3">
        <v>46563.0</v>
      </c>
    </row>
    <row r="300">
      <c r="A300" s="1" t="s">
        <v>1643</v>
      </c>
      <c r="B300" s="1" t="s">
        <v>1585</v>
      </c>
      <c r="C300" s="1" t="s">
        <v>100</v>
      </c>
      <c r="D300" s="1" t="s">
        <v>594</v>
      </c>
      <c r="E300" s="3">
        <v>46563.0</v>
      </c>
    </row>
    <row r="301">
      <c r="A301" s="1" t="s">
        <v>1650</v>
      </c>
      <c r="B301" s="1" t="s">
        <v>1585</v>
      </c>
      <c r="C301" s="1" t="s">
        <v>100</v>
      </c>
      <c r="D301" s="1" t="s">
        <v>242</v>
      </c>
      <c r="E301" s="3">
        <v>46563.0</v>
      </c>
    </row>
    <row r="302">
      <c r="A302" s="1" t="s">
        <v>1655</v>
      </c>
      <c r="B302" s="1" t="s">
        <v>1585</v>
      </c>
      <c r="C302" s="1" t="s">
        <v>100</v>
      </c>
      <c r="D302" s="1" t="s">
        <v>519</v>
      </c>
      <c r="E302" s="3">
        <v>46563.0</v>
      </c>
    </row>
    <row r="303">
      <c r="A303" s="1" t="s">
        <v>1659</v>
      </c>
      <c r="B303" s="1" t="s">
        <v>1585</v>
      </c>
      <c r="C303" s="1" t="s">
        <v>100</v>
      </c>
      <c r="D303" s="1" t="s">
        <v>537</v>
      </c>
      <c r="E303" s="3">
        <v>46563.0</v>
      </c>
    </row>
    <row r="304">
      <c r="A304" s="1" t="s">
        <v>1663</v>
      </c>
      <c r="B304" s="1" t="s">
        <v>1585</v>
      </c>
      <c r="C304" s="1" t="s">
        <v>232</v>
      </c>
      <c r="D304" s="1" t="s">
        <v>257</v>
      </c>
      <c r="E304" s="3">
        <v>46563.0</v>
      </c>
    </row>
    <row r="305">
      <c r="A305" s="1" t="s">
        <v>1665</v>
      </c>
      <c r="B305" s="1" t="s">
        <v>1585</v>
      </c>
      <c r="C305" s="1" t="s">
        <v>171</v>
      </c>
      <c r="D305" s="1" t="s">
        <v>338</v>
      </c>
      <c r="E305" s="3">
        <v>46563.0</v>
      </c>
    </row>
    <row r="306">
      <c r="A306" s="1" t="s">
        <v>1670</v>
      </c>
      <c r="B306" s="1" t="s">
        <v>1585</v>
      </c>
      <c r="C306" s="1" t="s">
        <v>171</v>
      </c>
      <c r="D306" s="1" t="s">
        <v>334</v>
      </c>
      <c r="E306" s="3">
        <v>46563.0</v>
      </c>
    </row>
    <row r="307">
      <c r="A307" s="1" t="s">
        <v>1676</v>
      </c>
      <c r="B307" s="1" t="s">
        <v>1585</v>
      </c>
      <c r="C307" s="1" t="s">
        <v>290</v>
      </c>
      <c r="D307" s="1" t="s">
        <v>898</v>
      </c>
      <c r="E307" s="3">
        <v>46563.0</v>
      </c>
    </row>
    <row r="308">
      <c r="A308" s="1" t="s">
        <v>1677</v>
      </c>
      <c r="B308" s="1" t="s">
        <v>1585</v>
      </c>
      <c r="C308" s="1" t="s">
        <v>149</v>
      </c>
      <c r="D308" s="1" t="s">
        <v>397</v>
      </c>
      <c r="E308" s="3">
        <v>46563.0</v>
      </c>
    </row>
    <row r="309">
      <c r="A309" s="1" t="s">
        <v>1682</v>
      </c>
      <c r="B309" s="1" t="s">
        <v>1585</v>
      </c>
      <c r="C309" s="1" t="s">
        <v>149</v>
      </c>
      <c r="D309" s="1" t="s">
        <v>262</v>
      </c>
      <c r="E309" s="3">
        <v>46563.0</v>
      </c>
    </row>
    <row r="310">
      <c r="A310" s="1" t="s">
        <v>1685</v>
      </c>
      <c r="B310" s="1" t="s">
        <v>1585</v>
      </c>
      <c r="C310" s="1" t="s">
        <v>149</v>
      </c>
      <c r="D310" s="1" t="s">
        <v>286</v>
      </c>
      <c r="E310" s="3">
        <v>46563.0</v>
      </c>
    </row>
    <row r="311">
      <c r="A311" s="1" t="s">
        <v>1688</v>
      </c>
      <c r="B311" s="1" t="s">
        <v>1585</v>
      </c>
      <c r="C311" s="1" t="s">
        <v>149</v>
      </c>
      <c r="D311" s="1" t="s">
        <v>345</v>
      </c>
      <c r="E311" s="3">
        <v>46563.0</v>
      </c>
    </row>
    <row r="312">
      <c r="A312" s="1" t="s">
        <v>1693</v>
      </c>
      <c r="B312" s="1" t="s">
        <v>1585</v>
      </c>
      <c r="C312" s="1" t="s">
        <v>171</v>
      </c>
      <c r="D312" s="1" t="s">
        <v>602</v>
      </c>
      <c r="E312" s="3">
        <v>46563.0</v>
      </c>
    </row>
    <row r="313">
      <c r="A313" s="1" t="s">
        <v>1696</v>
      </c>
      <c r="B313" s="1" t="s">
        <v>1585</v>
      </c>
      <c r="C313" s="1" t="s">
        <v>149</v>
      </c>
      <c r="D313" s="1" t="s">
        <v>347</v>
      </c>
      <c r="E313" s="3">
        <v>46563.0</v>
      </c>
    </row>
    <row r="314">
      <c r="A314" s="1" t="s">
        <v>1700</v>
      </c>
      <c r="B314" s="1" t="s">
        <v>1585</v>
      </c>
      <c r="C314" s="1" t="s">
        <v>149</v>
      </c>
      <c r="D314" s="1" t="s">
        <v>301</v>
      </c>
      <c r="E314" s="3">
        <v>46563.0</v>
      </c>
    </row>
    <row r="315">
      <c r="A315" s="1" t="s">
        <v>1702</v>
      </c>
      <c r="B315" s="1" t="s">
        <v>1585</v>
      </c>
      <c r="C315" s="1" t="s">
        <v>149</v>
      </c>
      <c r="D315" s="1" t="s">
        <v>275</v>
      </c>
      <c r="E315" s="3">
        <v>46563.0</v>
      </c>
    </row>
    <row r="316">
      <c r="A316" s="1" t="s">
        <v>1705</v>
      </c>
      <c r="B316" s="1" t="s">
        <v>1585</v>
      </c>
      <c r="C316" s="1" t="s">
        <v>149</v>
      </c>
      <c r="D316" s="1" t="s">
        <v>269</v>
      </c>
      <c r="E316" s="3">
        <v>46563.0</v>
      </c>
    </row>
    <row r="317">
      <c r="A317" s="1" t="s">
        <v>1709</v>
      </c>
      <c r="B317" s="1" t="s">
        <v>1585</v>
      </c>
      <c r="C317" s="1" t="s">
        <v>236</v>
      </c>
      <c r="D317" s="1" t="s">
        <v>237</v>
      </c>
      <c r="E317" s="3">
        <v>46563.0</v>
      </c>
    </row>
    <row r="318">
      <c r="A318" s="1" t="s">
        <v>1713</v>
      </c>
      <c r="B318" s="1" t="s">
        <v>1585</v>
      </c>
      <c r="C318" s="1" t="s">
        <v>217</v>
      </c>
      <c r="D318" s="1" t="s">
        <v>230</v>
      </c>
      <c r="E318" s="3">
        <v>46563.0</v>
      </c>
    </row>
    <row r="319">
      <c r="A319" s="1" t="s">
        <v>1715</v>
      </c>
      <c r="B319" s="1" t="s">
        <v>1585</v>
      </c>
      <c r="C319" s="1" t="s">
        <v>100</v>
      </c>
      <c r="D319" s="1" t="s">
        <v>893</v>
      </c>
      <c r="E319" s="3">
        <v>46563.0</v>
      </c>
    </row>
    <row r="320">
      <c r="A320" s="1" t="s">
        <v>1717</v>
      </c>
      <c r="B320" s="1" t="s">
        <v>1718</v>
      </c>
      <c r="C320" s="1" t="s">
        <v>37</v>
      </c>
      <c r="D320" s="1" t="s">
        <v>38</v>
      </c>
      <c r="E320" s="3">
        <v>46370.0</v>
      </c>
    </row>
    <row r="321">
      <c r="A321" s="1" t="s">
        <v>1722</v>
      </c>
      <c r="B321" s="1" t="s">
        <v>1254</v>
      </c>
      <c r="C321" s="1" t="s">
        <v>37</v>
      </c>
      <c r="D321" s="1" t="s">
        <v>38</v>
      </c>
      <c r="E321" s="3">
        <v>46377.0</v>
      </c>
    </row>
    <row r="322">
      <c r="A322" s="1" t="s">
        <v>1728</v>
      </c>
      <c r="B322" s="1" t="s">
        <v>1729</v>
      </c>
      <c r="C322" s="1" t="s">
        <v>93</v>
      </c>
      <c r="D322" s="1" t="s">
        <v>79</v>
      </c>
      <c r="E322" s="3">
        <v>46258.0</v>
      </c>
    </row>
    <row r="323">
      <c r="A323" s="1" t="s">
        <v>1734</v>
      </c>
      <c r="B323" s="1" t="s">
        <v>1735</v>
      </c>
      <c r="C323" s="1" t="s">
        <v>37</v>
      </c>
      <c r="D323" s="1" t="s">
        <v>150</v>
      </c>
      <c r="E323" s="3">
        <v>46143.0</v>
      </c>
    </row>
    <row r="324">
      <c r="A324" s="1" t="s">
        <v>1738</v>
      </c>
      <c r="B324" s="1" t="s">
        <v>1739</v>
      </c>
      <c r="C324" s="1" t="s">
        <v>37</v>
      </c>
      <c r="D324" s="1" t="s">
        <v>38</v>
      </c>
      <c r="E324" s="3">
        <v>46295.0</v>
      </c>
    </row>
    <row r="325">
      <c r="A325" s="1" t="s">
        <v>1740</v>
      </c>
      <c r="B325" s="1" t="s">
        <v>1741</v>
      </c>
      <c r="C325" s="1" t="s">
        <v>93</v>
      </c>
      <c r="D325" s="1" t="s">
        <v>79</v>
      </c>
      <c r="E325" s="3">
        <v>46258.0</v>
      </c>
    </row>
    <row r="326">
      <c r="A326" s="1" t="s">
        <v>1743</v>
      </c>
      <c r="B326" s="1" t="s">
        <v>1512</v>
      </c>
      <c r="C326" s="1" t="s">
        <v>37</v>
      </c>
      <c r="D326" s="1" t="s">
        <v>38</v>
      </c>
      <c r="E326" s="3">
        <v>46383.0</v>
      </c>
    </row>
    <row r="327">
      <c r="A327" s="1" t="s">
        <v>1744</v>
      </c>
      <c r="B327" s="1" t="s">
        <v>1570</v>
      </c>
      <c r="C327" s="1" t="s">
        <v>37</v>
      </c>
      <c r="D327" s="1" t="s">
        <v>38</v>
      </c>
      <c r="E327" s="3">
        <v>46446.0</v>
      </c>
    </row>
    <row r="328">
      <c r="A328" s="1" t="s">
        <v>1747</v>
      </c>
      <c r="B328" s="1" t="s">
        <v>1749</v>
      </c>
      <c r="C328" s="1" t="s">
        <v>37</v>
      </c>
      <c r="D328" s="1" t="s">
        <v>38</v>
      </c>
      <c r="E328" s="3">
        <v>46132.0</v>
      </c>
    </row>
    <row r="329">
      <c r="A329" s="1" t="s">
        <v>1751</v>
      </c>
      <c r="B329" s="1" t="s">
        <v>659</v>
      </c>
      <c r="C329" s="1" t="s">
        <v>217</v>
      </c>
      <c r="D329" s="1" t="s">
        <v>1161</v>
      </c>
      <c r="E329" s="3">
        <v>46559.0</v>
      </c>
    </row>
    <row r="330">
      <c r="A330" s="1" t="s">
        <v>1752</v>
      </c>
      <c r="B330" s="1" t="s">
        <v>659</v>
      </c>
      <c r="C330" s="1" t="s">
        <v>149</v>
      </c>
      <c r="D330" s="1" t="s">
        <v>262</v>
      </c>
      <c r="E330" s="3">
        <v>46559.0</v>
      </c>
    </row>
    <row r="331">
      <c r="A331" s="1" t="s">
        <v>1753</v>
      </c>
      <c r="B331" s="1" t="s">
        <v>659</v>
      </c>
      <c r="C331" s="1" t="s">
        <v>149</v>
      </c>
      <c r="D331" s="1" t="s">
        <v>347</v>
      </c>
      <c r="E331" s="3">
        <v>46559.0</v>
      </c>
    </row>
    <row r="332">
      <c r="A332" s="1" t="s">
        <v>1757</v>
      </c>
      <c r="B332" s="1" t="s">
        <v>659</v>
      </c>
      <c r="C332" s="1" t="s">
        <v>149</v>
      </c>
      <c r="D332" s="1" t="s">
        <v>286</v>
      </c>
      <c r="E332" s="3">
        <v>46559.0</v>
      </c>
    </row>
    <row r="333">
      <c r="A333" s="1" t="s">
        <v>1759</v>
      </c>
      <c r="B333" s="1" t="s">
        <v>659</v>
      </c>
      <c r="C333" s="1" t="s">
        <v>149</v>
      </c>
      <c r="D333" s="1" t="s">
        <v>397</v>
      </c>
      <c r="E333" s="3">
        <v>46559.0</v>
      </c>
    </row>
    <row r="334">
      <c r="A334" s="1" t="s">
        <v>1761</v>
      </c>
      <c r="B334" s="1" t="s">
        <v>659</v>
      </c>
      <c r="C334" s="1" t="s">
        <v>100</v>
      </c>
      <c r="D334" s="1" t="s">
        <v>893</v>
      </c>
      <c r="E334" s="3">
        <v>46559.0</v>
      </c>
    </row>
    <row r="335">
      <c r="A335" s="1" t="s">
        <v>1766</v>
      </c>
      <c r="B335" s="1" t="s">
        <v>659</v>
      </c>
      <c r="C335" s="1" t="s">
        <v>149</v>
      </c>
      <c r="D335" s="1" t="s">
        <v>275</v>
      </c>
      <c r="E335" s="3">
        <v>46559.0</v>
      </c>
    </row>
    <row r="336">
      <c r="A336" s="1" t="s">
        <v>1769</v>
      </c>
      <c r="B336" s="1" t="s">
        <v>659</v>
      </c>
      <c r="C336" s="1" t="s">
        <v>149</v>
      </c>
      <c r="D336" s="1" t="s">
        <v>269</v>
      </c>
      <c r="E336" s="3">
        <v>46559.0</v>
      </c>
    </row>
    <row r="337">
      <c r="A337" s="1" t="s">
        <v>1770</v>
      </c>
      <c r="B337" s="1" t="s">
        <v>659</v>
      </c>
      <c r="C337" s="1" t="s">
        <v>171</v>
      </c>
      <c r="D337" s="1" t="s">
        <v>334</v>
      </c>
      <c r="E337" s="3">
        <v>46559.0</v>
      </c>
    </row>
    <row r="338">
      <c r="A338" s="1" t="s">
        <v>1772</v>
      </c>
      <c r="B338" s="1" t="s">
        <v>659</v>
      </c>
      <c r="C338" s="1" t="s">
        <v>217</v>
      </c>
      <c r="D338" s="1" t="s">
        <v>318</v>
      </c>
      <c r="E338" s="3">
        <v>46559.0</v>
      </c>
    </row>
    <row r="339">
      <c r="A339" s="1" t="s">
        <v>1777</v>
      </c>
      <c r="B339" s="1" t="s">
        <v>659</v>
      </c>
      <c r="C339" s="1" t="s">
        <v>149</v>
      </c>
      <c r="D339" s="1" t="s">
        <v>278</v>
      </c>
      <c r="E339" s="3">
        <v>46559.0</v>
      </c>
    </row>
    <row r="340">
      <c r="A340" s="1" t="s">
        <v>1779</v>
      </c>
      <c r="B340" s="1" t="s">
        <v>659</v>
      </c>
      <c r="C340" s="1" t="s">
        <v>232</v>
      </c>
      <c r="D340" s="1" t="s">
        <v>257</v>
      </c>
      <c r="E340" s="3">
        <v>46559.0</v>
      </c>
    </row>
    <row r="341">
      <c r="A341" s="1" t="s">
        <v>1782</v>
      </c>
      <c r="B341" s="1" t="s">
        <v>659</v>
      </c>
      <c r="C341" s="1" t="s">
        <v>187</v>
      </c>
      <c r="D341" s="1" t="s">
        <v>252</v>
      </c>
      <c r="E341" s="3">
        <v>46559.0</v>
      </c>
    </row>
    <row r="342">
      <c r="A342" s="1" t="s">
        <v>1785</v>
      </c>
      <c r="B342" s="1" t="s">
        <v>659</v>
      </c>
      <c r="C342" s="1" t="s">
        <v>100</v>
      </c>
      <c r="D342" s="1" t="s">
        <v>242</v>
      </c>
      <c r="E342" s="3">
        <v>46559.0</v>
      </c>
    </row>
    <row r="343">
      <c r="A343" s="1" t="s">
        <v>1787</v>
      </c>
      <c r="B343" s="1" t="s">
        <v>659</v>
      </c>
      <c r="C343" s="1" t="s">
        <v>149</v>
      </c>
      <c r="D343" s="1" t="s">
        <v>301</v>
      </c>
      <c r="E343" s="3">
        <v>46559.0</v>
      </c>
    </row>
    <row r="344">
      <c r="A344" s="1" t="s">
        <v>1790</v>
      </c>
      <c r="B344" s="1" t="s">
        <v>659</v>
      </c>
      <c r="C344" s="1" t="s">
        <v>187</v>
      </c>
      <c r="D344" s="1" t="s">
        <v>559</v>
      </c>
      <c r="E344" s="3">
        <v>46559.0</v>
      </c>
    </row>
    <row r="345">
      <c r="A345" s="1" t="s">
        <v>1793</v>
      </c>
      <c r="B345" s="1" t="s">
        <v>659</v>
      </c>
      <c r="C345" s="1" t="s">
        <v>187</v>
      </c>
      <c r="D345" s="1" t="s">
        <v>222</v>
      </c>
      <c r="E345" s="3">
        <v>46559.0</v>
      </c>
    </row>
    <row r="346">
      <c r="A346" s="1" t="s">
        <v>1796</v>
      </c>
      <c r="B346" s="1" t="s">
        <v>659</v>
      </c>
      <c r="C346" s="1" t="s">
        <v>171</v>
      </c>
      <c r="D346" s="1" t="s">
        <v>338</v>
      </c>
      <c r="E346" s="3">
        <v>46559.0</v>
      </c>
    </row>
    <row r="347">
      <c r="A347" s="1" t="s">
        <v>1799</v>
      </c>
      <c r="B347" s="1" t="s">
        <v>659</v>
      </c>
      <c r="C347" s="1" t="s">
        <v>149</v>
      </c>
      <c r="D347" s="1" t="s">
        <v>345</v>
      </c>
      <c r="E347" s="3">
        <v>46559.0</v>
      </c>
    </row>
    <row r="348">
      <c r="A348" s="1" t="s">
        <v>1800</v>
      </c>
      <c r="B348" s="1" t="s">
        <v>659</v>
      </c>
      <c r="C348" s="1" t="s">
        <v>100</v>
      </c>
      <c r="D348" s="1" t="s">
        <v>307</v>
      </c>
      <c r="E348" s="3">
        <v>46559.0</v>
      </c>
    </row>
    <row r="349">
      <c r="A349" s="1" t="s">
        <v>1803</v>
      </c>
      <c r="B349" s="1" t="s">
        <v>1804</v>
      </c>
      <c r="C349" s="1" t="s">
        <v>93</v>
      </c>
      <c r="D349" s="1" t="s">
        <v>79</v>
      </c>
      <c r="E349" s="3">
        <v>46740.0</v>
      </c>
    </row>
    <row r="350">
      <c r="A350" s="1" t="s">
        <v>1806</v>
      </c>
      <c r="B350" s="1" t="s">
        <v>1804</v>
      </c>
      <c r="C350" s="1" t="s">
        <v>37</v>
      </c>
      <c r="D350" s="1" t="s">
        <v>38</v>
      </c>
      <c r="E350" s="3">
        <v>46367.0</v>
      </c>
    </row>
    <row r="351">
      <c r="A351" s="1" t="s">
        <v>1809</v>
      </c>
      <c r="B351" s="1" t="s">
        <v>1810</v>
      </c>
      <c r="C351" s="1" t="s">
        <v>37</v>
      </c>
      <c r="D351" s="1" t="s">
        <v>150</v>
      </c>
      <c r="E351" s="3">
        <v>46748.0</v>
      </c>
    </row>
    <row r="352">
      <c r="A352" s="1" t="s">
        <v>1815</v>
      </c>
      <c r="B352" s="1" t="s">
        <v>1810</v>
      </c>
      <c r="C352" s="1" t="s">
        <v>93</v>
      </c>
      <c r="D352" s="1" t="s">
        <v>79</v>
      </c>
      <c r="E352" s="3">
        <v>46748.0</v>
      </c>
    </row>
    <row r="353">
      <c r="A353" s="1" t="s">
        <v>1816</v>
      </c>
      <c r="B353" s="1" t="s">
        <v>1810</v>
      </c>
      <c r="C353" s="1" t="s">
        <v>37</v>
      </c>
      <c r="D353" s="1" t="s">
        <v>38</v>
      </c>
      <c r="E353" s="3">
        <v>46748.0</v>
      </c>
    </row>
    <row r="354">
      <c r="A354" s="1" t="s">
        <v>1818</v>
      </c>
      <c r="B354" s="1" t="s">
        <v>1223</v>
      </c>
      <c r="C354" s="1" t="s">
        <v>100</v>
      </c>
      <c r="D354" s="1" t="s">
        <v>307</v>
      </c>
      <c r="E354" s="3">
        <v>46524.0</v>
      </c>
    </row>
    <row r="355">
      <c r="A355" s="1" t="s">
        <v>1820</v>
      </c>
      <c r="B355" s="1" t="s">
        <v>1223</v>
      </c>
      <c r="C355" s="1" t="s">
        <v>100</v>
      </c>
      <c r="D355" s="1" t="s">
        <v>545</v>
      </c>
      <c r="E355" s="3">
        <v>46524.0</v>
      </c>
    </row>
    <row r="356">
      <c r="A356" s="1" t="s">
        <v>1824</v>
      </c>
      <c r="B356" s="1" t="s">
        <v>1223</v>
      </c>
      <c r="C356" s="1" t="s">
        <v>149</v>
      </c>
      <c r="D356" s="1" t="s">
        <v>301</v>
      </c>
      <c r="E356" s="3">
        <v>46539.0</v>
      </c>
    </row>
    <row r="357">
      <c r="A357" s="1" t="s">
        <v>1826</v>
      </c>
      <c r="B357" s="1" t="s">
        <v>1223</v>
      </c>
      <c r="C357" s="1" t="s">
        <v>149</v>
      </c>
      <c r="D357" s="1" t="s">
        <v>286</v>
      </c>
      <c r="E357" s="3">
        <v>46539.0</v>
      </c>
    </row>
    <row r="358">
      <c r="A358" s="1" t="s">
        <v>1827</v>
      </c>
      <c r="B358" s="1" t="s">
        <v>1223</v>
      </c>
      <c r="C358" s="1" t="s">
        <v>149</v>
      </c>
      <c r="D358" s="1" t="s">
        <v>1829</v>
      </c>
      <c r="E358" s="3">
        <v>46539.0</v>
      </c>
    </row>
    <row r="359">
      <c r="A359" s="1" t="s">
        <v>1830</v>
      </c>
      <c r="B359" s="1" t="s">
        <v>1223</v>
      </c>
      <c r="C359" s="1" t="s">
        <v>149</v>
      </c>
      <c r="D359" s="1" t="s">
        <v>275</v>
      </c>
      <c r="E359" s="3">
        <v>46539.0</v>
      </c>
    </row>
    <row r="360">
      <c r="A360" s="1" t="s">
        <v>1833</v>
      </c>
      <c r="B360" s="1" t="s">
        <v>1223</v>
      </c>
      <c r="C360" s="1" t="s">
        <v>149</v>
      </c>
      <c r="D360" s="1" t="s">
        <v>269</v>
      </c>
      <c r="E360" s="3">
        <v>46539.0</v>
      </c>
    </row>
    <row r="361">
      <c r="A361" s="1" t="s">
        <v>1834</v>
      </c>
      <c r="B361" s="1" t="s">
        <v>1223</v>
      </c>
      <c r="C361" s="1" t="s">
        <v>171</v>
      </c>
      <c r="D361" s="1" t="s">
        <v>334</v>
      </c>
      <c r="E361" s="3">
        <v>46539.0</v>
      </c>
    </row>
    <row r="362">
      <c r="A362" s="1" t="s">
        <v>1835</v>
      </c>
      <c r="B362" s="1" t="s">
        <v>1223</v>
      </c>
      <c r="C362" s="1" t="s">
        <v>149</v>
      </c>
      <c r="D362" s="1" t="s">
        <v>262</v>
      </c>
      <c r="E362" s="3">
        <v>46539.0</v>
      </c>
    </row>
    <row r="363">
      <c r="A363" s="1" t="s">
        <v>1837</v>
      </c>
      <c r="B363" s="1" t="s">
        <v>1223</v>
      </c>
      <c r="C363" s="1" t="s">
        <v>236</v>
      </c>
      <c r="D363" s="1" t="s">
        <v>237</v>
      </c>
      <c r="E363" s="3">
        <v>46524.0</v>
      </c>
    </row>
    <row r="364">
      <c r="A364" s="1" t="s">
        <v>1841</v>
      </c>
      <c r="B364" s="1" t="s">
        <v>1223</v>
      </c>
      <c r="C364" s="1" t="s">
        <v>217</v>
      </c>
      <c r="D364" s="1" t="s">
        <v>1081</v>
      </c>
      <c r="E364" s="3">
        <v>46524.0</v>
      </c>
    </row>
    <row r="365">
      <c r="A365" s="1" t="s">
        <v>1843</v>
      </c>
      <c r="B365" s="1" t="s">
        <v>1223</v>
      </c>
      <c r="C365" s="1" t="s">
        <v>217</v>
      </c>
      <c r="D365" s="1" t="s">
        <v>230</v>
      </c>
      <c r="E365" s="3">
        <v>46524.0</v>
      </c>
    </row>
    <row r="366">
      <c r="A366" s="1" t="s">
        <v>1846</v>
      </c>
      <c r="B366" s="1" t="s">
        <v>1223</v>
      </c>
      <c r="C366" s="1" t="s">
        <v>217</v>
      </c>
      <c r="D366" s="1" t="s">
        <v>318</v>
      </c>
      <c r="E366" s="3">
        <v>46524.0</v>
      </c>
    </row>
    <row r="367">
      <c r="A367" s="1" t="s">
        <v>1848</v>
      </c>
      <c r="B367" s="1" t="s">
        <v>1223</v>
      </c>
      <c r="C367" s="1" t="s">
        <v>232</v>
      </c>
      <c r="D367" s="1" t="s">
        <v>257</v>
      </c>
      <c r="E367" s="3">
        <v>46524.0</v>
      </c>
    </row>
    <row r="368">
      <c r="A368" s="1" t="s">
        <v>1849</v>
      </c>
      <c r="B368" s="1" t="s">
        <v>1223</v>
      </c>
      <c r="C368" s="1" t="s">
        <v>187</v>
      </c>
      <c r="D368" s="1" t="s">
        <v>222</v>
      </c>
      <c r="E368" s="3">
        <v>46524.0</v>
      </c>
    </row>
    <row r="369">
      <c r="A369" s="1" t="s">
        <v>1852</v>
      </c>
      <c r="B369" s="1" t="s">
        <v>1223</v>
      </c>
      <c r="C369" s="1" t="s">
        <v>100</v>
      </c>
      <c r="D369" s="1" t="s">
        <v>537</v>
      </c>
      <c r="E369" s="3">
        <v>46524.0</v>
      </c>
    </row>
    <row r="370">
      <c r="A370" s="1" t="s">
        <v>1854</v>
      </c>
      <c r="B370" s="1" t="s">
        <v>1223</v>
      </c>
      <c r="C370" s="1" t="s">
        <v>100</v>
      </c>
      <c r="D370" s="1" t="s">
        <v>242</v>
      </c>
      <c r="E370" s="3">
        <v>46524.0</v>
      </c>
    </row>
    <row r="371">
      <c r="A371" s="1" t="s">
        <v>1857</v>
      </c>
      <c r="B371" s="1" t="s">
        <v>1223</v>
      </c>
      <c r="C371" s="1" t="s">
        <v>187</v>
      </c>
      <c r="D371" s="1" t="s">
        <v>252</v>
      </c>
      <c r="E371" s="3">
        <v>46524.0</v>
      </c>
    </row>
    <row r="372">
      <c r="A372" s="1" t="s">
        <v>1859</v>
      </c>
      <c r="B372" s="1" t="s">
        <v>1223</v>
      </c>
      <c r="C372" s="1" t="s">
        <v>100</v>
      </c>
      <c r="D372" s="1" t="s">
        <v>594</v>
      </c>
      <c r="E372" s="3">
        <v>46524.0</v>
      </c>
    </row>
    <row r="373">
      <c r="A373" s="1" t="s">
        <v>1860</v>
      </c>
      <c r="B373" s="1" t="s">
        <v>1223</v>
      </c>
      <c r="C373" s="1" t="s">
        <v>217</v>
      </c>
      <c r="D373" s="1" t="s">
        <v>1124</v>
      </c>
      <c r="E373" s="3">
        <v>46524.0</v>
      </c>
    </row>
    <row r="374">
      <c r="A374" s="1" t="s">
        <v>1862</v>
      </c>
      <c r="B374" s="1" t="s">
        <v>1863</v>
      </c>
      <c r="C374" s="1" t="s">
        <v>93</v>
      </c>
      <c r="D374" s="1" t="s">
        <v>79</v>
      </c>
      <c r="E374" s="3">
        <v>46113.0</v>
      </c>
    </row>
    <row r="375">
      <c r="A375" s="1" t="s">
        <v>1864</v>
      </c>
      <c r="B375" s="1" t="s">
        <v>1865</v>
      </c>
      <c r="C375" s="1" t="s">
        <v>149</v>
      </c>
      <c r="D375" s="1" t="s">
        <v>269</v>
      </c>
      <c r="E375" s="3">
        <v>46569.0</v>
      </c>
    </row>
    <row r="376">
      <c r="A376" s="1" t="s">
        <v>1868</v>
      </c>
      <c r="B376" s="1" t="s">
        <v>1865</v>
      </c>
      <c r="C376" s="1" t="s">
        <v>149</v>
      </c>
      <c r="D376" s="1" t="s">
        <v>275</v>
      </c>
      <c r="E376" s="3">
        <v>46569.0</v>
      </c>
    </row>
    <row r="377">
      <c r="A377" s="1" t="s">
        <v>1869</v>
      </c>
      <c r="B377" s="1" t="s">
        <v>1865</v>
      </c>
      <c r="C377" s="1" t="s">
        <v>149</v>
      </c>
      <c r="D377" s="1" t="s">
        <v>611</v>
      </c>
      <c r="E377" s="3">
        <v>46569.0</v>
      </c>
    </row>
    <row r="378">
      <c r="A378" s="1" t="s">
        <v>1871</v>
      </c>
      <c r="B378" s="1" t="s">
        <v>1865</v>
      </c>
      <c r="C378" s="1" t="s">
        <v>149</v>
      </c>
      <c r="D378" s="1" t="s">
        <v>397</v>
      </c>
      <c r="E378" s="3">
        <v>46569.0</v>
      </c>
    </row>
    <row r="379">
      <c r="A379" s="1" t="s">
        <v>1872</v>
      </c>
      <c r="B379" s="1" t="s">
        <v>1865</v>
      </c>
      <c r="C379" s="1" t="s">
        <v>149</v>
      </c>
      <c r="D379" s="1" t="s">
        <v>1873</v>
      </c>
      <c r="E379" s="3">
        <v>46569.0</v>
      </c>
    </row>
    <row r="380">
      <c r="A380" s="1" t="s">
        <v>1876</v>
      </c>
      <c r="B380" s="1" t="s">
        <v>1865</v>
      </c>
      <c r="C380" s="1" t="s">
        <v>149</v>
      </c>
      <c r="D380" s="1" t="s">
        <v>301</v>
      </c>
      <c r="E380" s="3">
        <v>46569.0</v>
      </c>
    </row>
    <row r="381">
      <c r="A381" s="1" t="s">
        <v>1878</v>
      </c>
      <c r="B381" s="1" t="s">
        <v>1865</v>
      </c>
      <c r="C381" s="1" t="s">
        <v>149</v>
      </c>
      <c r="D381" s="1" t="s">
        <v>286</v>
      </c>
      <c r="E381" s="3">
        <v>46569.0</v>
      </c>
    </row>
    <row r="382">
      <c r="A382" s="1" t="s">
        <v>1879</v>
      </c>
      <c r="B382" s="1" t="s">
        <v>1865</v>
      </c>
      <c r="C382" s="1" t="s">
        <v>100</v>
      </c>
      <c r="D382" s="1" t="s">
        <v>307</v>
      </c>
      <c r="E382" s="3">
        <v>46296.0</v>
      </c>
    </row>
    <row r="383">
      <c r="A383" s="1" t="s">
        <v>1882</v>
      </c>
      <c r="B383" s="1" t="s">
        <v>1865</v>
      </c>
      <c r="C383" s="1" t="s">
        <v>100</v>
      </c>
      <c r="D383" s="1" t="s">
        <v>537</v>
      </c>
      <c r="E383" s="3">
        <v>46296.0</v>
      </c>
    </row>
    <row r="384">
      <c r="A384" s="1" t="s">
        <v>1885</v>
      </c>
      <c r="B384" s="1" t="s">
        <v>1865</v>
      </c>
      <c r="C384" s="1" t="s">
        <v>100</v>
      </c>
      <c r="D384" s="1" t="s">
        <v>242</v>
      </c>
      <c r="E384" s="3">
        <v>46296.0</v>
      </c>
    </row>
    <row r="385">
      <c r="A385" s="1" t="s">
        <v>1886</v>
      </c>
      <c r="B385" s="1" t="s">
        <v>1865</v>
      </c>
      <c r="C385" s="1" t="s">
        <v>149</v>
      </c>
      <c r="D385" s="1" t="s">
        <v>262</v>
      </c>
      <c r="E385" s="3">
        <v>46569.0</v>
      </c>
    </row>
    <row r="386">
      <c r="A386" s="1" t="s">
        <v>1888</v>
      </c>
      <c r="B386" s="1" t="s">
        <v>1865</v>
      </c>
      <c r="C386" s="1" t="s">
        <v>100</v>
      </c>
      <c r="D386" s="1" t="s">
        <v>519</v>
      </c>
      <c r="E386" s="3">
        <v>46296.0</v>
      </c>
    </row>
    <row r="387">
      <c r="A387" s="1" t="s">
        <v>1891</v>
      </c>
      <c r="B387" s="1" t="s">
        <v>1865</v>
      </c>
      <c r="C387" s="1" t="s">
        <v>232</v>
      </c>
      <c r="D387" s="1" t="s">
        <v>1203</v>
      </c>
      <c r="E387" s="3">
        <v>46391.0</v>
      </c>
    </row>
    <row r="388">
      <c r="A388" s="1" t="s">
        <v>1892</v>
      </c>
      <c r="B388" s="1" t="s">
        <v>1865</v>
      </c>
      <c r="C388" s="1" t="s">
        <v>187</v>
      </c>
      <c r="D388" s="1" t="s">
        <v>252</v>
      </c>
      <c r="E388" s="3">
        <v>46296.0</v>
      </c>
    </row>
    <row r="389">
      <c r="A389" s="1" t="s">
        <v>1893</v>
      </c>
      <c r="B389" s="1" t="s">
        <v>1894</v>
      </c>
      <c r="C389" s="1" t="s">
        <v>93</v>
      </c>
      <c r="D389" s="1" t="s">
        <v>185</v>
      </c>
      <c r="E389" s="3">
        <v>46237.0</v>
      </c>
    </row>
    <row r="390">
      <c r="A390" s="1" t="s">
        <v>1896</v>
      </c>
      <c r="B390" s="1" t="s">
        <v>1894</v>
      </c>
      <c r="C390" s="1" t="s">
        <v>93</v>
      </c>
      <c r="D390" s="1" t="s">
        <v>79</v>
      </c>
      <c r="E390" s="3">
        <v>46237.0</v>
      </c>
    </row>
    <row r="391">
      <c r="A391" s="1" t="s">
        <v>1899</v>
      </c>
      <c r="B391" s="1" t="s">
        <v>1900</v>
      </c>
      <c r="C391" s="1" t="s">
        <v>93</v>
      </c>
      <c r="D391" s="1" t="s">
        <v>185</v>
      </c>
      <c r="E391" s="3">
        <v>46279.0</v>
      </c>
    </row>
    <row r="392">
      <c r="A392" s="1" t="s">
        <v>1901</v>
      </c>
      <c r="B392" s="1" t="s">
        <v>1900</v>
      </c>
      <c r="C392" s="1" t="s">
        <v>93</v>
      </c>
      <c r="D392" s="1" t="s">
        <v>79</v>
      </c>
      <c r="E392" s="3">
        <v>46279.0</v>
      </c>
    </row>
    <row r="393">
      <c r="A393" s="1" t="s">
        <v>1904</v>
      </c>
      <c r="B393" s="1" t="s">
        <v>1905</v>
      </c>
      <c r="C393" s="1" t="s">
        <v>93</v>
      </c>
      <c r="D393" s="1" t="s">
        <v>185</v>
      </c>
      <c r="E393" s="3">
        <v>46426.0</v>
      </c>
    </row>
    <row r="394">
      <c r="A394" s="1" t="s">
        <v>1907</v>
      </c>
      <c r="B394" s="1" t="s">
        <v>1905</v>
      </c>
      <c r="C394" s="1" t="s">
        <v>93</v>
      </c>
      <c r="D394" s="1" t="s">
        <v>79</v>
      </c>
      <c r="E394" s="3">
        <v>46426.0</v>
      </c>
    </row>
    <row r="395">
      <c r="A395" s="1" t="s">
        <v>1908</v>
      </c>
      <c r="B395" s="1" t="s">
        <v>1909</v>
      </c>
      <c r="C395" s="1" t="s">
        <v>93</v>
      </c>
      <c r="D395" s="1" t="s">
        <v>185</v>
      </c>
      <c r="E395" s="3">
        <v>46391.0</v>
      </c>
    </row>
    <row r="396">
      <c r="A396" s="1" t="s">
        <v>1911</v>
      </c>
      <c r="B396" s="1" t="s">
        <v>1909</v>
      </c>
      <c r="C396" s="1" t="s">
        <v>93</v>
      </c>
      <c r="D396" s="1" t="s">
        <v>79</v>
      </c>
      <c r="E396" s="3">
        <v>46391.0</v>
      </c>
    </row>
    <row r="397">
      <c r="A397" s="1" t="s">
        <v>1914</v>
      </c>
      <c r="B397" s="1" t="s">
        <v>1915</v>
      </c>
      <c r="C397" s="1" t="s">
        <v>93</v>
      </c>
      <c r="D397" s="1" t="s">
        <v>79</v>
      </c>
      <c r="E397" s="3">
        <v>46255.0</v>
      </c>
      <c r="F397" s="3">
        <v>46244.0</v>
      </c>
    </row>
    <row r="398">
      <c r="A398" s="1" t="s">
        <v>1916</v>
      </c>
      <c r="B398" s="1" t="s">
        <v>1915</v>
      </c>
      <c r="C398" s="1" t="s">
        <v>93</v>
      </c>
      <c r="D398" s="1" t="s">
        <v>185</v>
      </c>
      <c r="E398" s="3">
        <v>46255.0</v>
      </c>
      <c r="F398" s="3">
        <v>46244.0</v>
      </c>
    </row>
    <row r="399">
      <c r="A399" s="1" t="s">
        <v>1918</v>
      </c>
      <c r="B399" s="1" t="s">
        <v>1919</v>
      </c>
      <c r="C399" s="1" t="s">
        <v>93</v>
      </c>
      <c r="D399" s="1" t="s">
        <v>79</v>
      </c>
      <c r="E399" s="3">
        <v>46244.0</v>
      </c>
    </row>
    <row r="400">
      <c r="A400" s="1" t="s">
        <v>1921</v>
      </c>
      <c r="B400" s="1" t="s">
        <v>1919</v>
      </c>
      <c r="C400" s="1" t="s">
        <v>93</v>
      </c>
      <c r="D400" s="1" t="s">
        <v>185</v>
      </c>
      <c r="E400" s="3">
        <v>46244.0</v>
      </c>
    </row>
    <row r="401">
      <c r="A401" s="1" t="s">
        <v>1923</v>
      </c>
      <c r="B401" s="1" t="s">
        <v>1924</v>
      </c>
      <c r="C401" s="1" t="s">
        <v>93</v>
      </c>
      <c r="D401" s="1" t="s">
        <v>79</v>
      </c>
      <c r="E401" s="3">
        <v>46225.0</v>
      </c>
      <c r="F401" s="3">
        <v>46225.0</v>
      </c>
    </row>
    <row r="402">
      <c r="A402" s="1" t="s">
        <v>1925</v>
      </c>
      <c r="B402" s="1" t="s">
        <v>1926</v>
      </c>
      <c r="C402" s="1" t="s">
        <v>93</v>
      </c>
      <c r="D402" s="1" t="s">
        <v>185</v>
      </c>
      <c r="E402" s="3">
        <v>46342.0</v>
      </c>
    </row>
    <row r="403">
      <c r="A403" s="1" t="s">
        <v>1928</v>
      </c>
      <c r="B403" s="1" t="s">
        <v>1926</v>
      </c>
      <c r="C403" s="1" t="s">
        <v>93</v>
      </c>
      <c r="D403" s="1" t="s">
        <v>79</v>
      </c>
      <c r="E403" s="3">
        <v>46342.0</v>
      </c>
    </row>
    <row r="404">
      <c r="A404" s="1" t="s">
        <v>1933</v>
      </c>
      <c r="B404" s="1" t="s">
        <v>1934</v>
      </c>
      <c r="C404" s="1" t="s">
        <v>100</v>
      </c>
      <c r="D404" s="1" t="s">
        <v>307</v>
      </c>
      <c r="E404" s="3">
        <v>46293.0</v>
      </c>
    </row>
    <row r="405">
      <c r="A405" s="1" t="s">
        <v>1935</v>
      </c>
      <c r="B405" s="1" t="s">
        <v>1934</v>
      </c>
      <c r="C405" s="1" t="s">
        <v>100</v>
      </c>
      <c r="D405" s="1" t="s">
        <v>252</v>
      </c>
      <c r="E405" s="3">
        <v>46293.0</v>
      </c>
    </row>
    <row r="406">
      <c r="A406" s="1" t="s">
        <v>1936</v>
      </c>
      <c r="B406" s="1" t="s">
        <v>1934</v>
      </c>
      <c r="C406" s="1" t="s">
        <v>100</v>
      </c>
      <c r="D406" s="1" t="s">
        <v>545</v>
      </c>
      <c r="E406" s="3">
        <v>46293.0</v>
      </c>
    </row>
    <row r="407">
      <c r="A407" s="1" t="s">
        <v>1939</v>
      </c>
      <c r="B407" s="1" t="s">
        <v>1934</v>
      </c>
      <c r="C407" s="1" t="s">
        <v>217</v>
      </c>
      <c r="D407" s="1" t="s">
        <v>318</v>
      </c>
      <c r="E407" s="3">
        <v>46293.0</v>
      </c>
    </row>
    <row r="408">
      <c r="A408" s="1" t="s">
        <v>1941</v>
      </c>
      <c r="B408" s="1" t="s">
        <v>1934</v>
      </c>
      <c r="C408" s="1" t="s">
        <v>100</v>
      </c>
      <c r="D408" s="1" t="s">
        <v>537</v>
      </c>
      <c r="E408" s="3">
        <v>46293.0</v>
      </c>
    </row>
    <row r="409">
      <c r="A409" s="1" t="s">
        <v>1943</v>
      </c>
      <c r="B409" s="1" t="s">
        <v>1944</v>
      </c>
      <c r="C409" s="1" t="s">
        <v>93</v>
      </c>
      <c r="D409" s="1" t="s">
        <v>185</v>
      </c>
      <c r="E409" s="3">
        <v>46223.0</v>
      </c>
      <c r="F409" s="3">
        <v>46223.0</v>
      </c>
    </row>
    <row r="410">
      <c r="A410" s="1" t="s">
        <v>1946</v>
      </c>
      <c r="B410" s="1" t="s">
        <v>1947</v>
      </c>
      <c r="C410" s="1" t="s">
        <v>93</v>
      </c>
      <c r="D410" s="1" t="s">
        <v>79</v>
      </c>
      <c r="E410" s="3">
        <v>46251.0</v>
      </c>
    </row>
    <row r="411">
      <c r="A411" s="1" t="s">
        <v>1952</v>
      </c>
      <c r="B411" s="1" t="s">
        <v>1954</v>
      </c>
      <c r="C411" s="1" t="s">
        <v>93</v>
      </c>
      <c r="D411" s="1" t="s">
        <v>185</v>
      </c>
      <c r="E411" s="3">
        <v>46258.0</v>
      </c>
    </row>
    <row r="412">
      <c r="A412" s="1" t="s">
        <v>1957</v>
      </c>
      <c r="B412" s="1" t="s">
        <v>1954</v>
      </c>
      <c r="C412" s="1" t="s">
        <v>93</v>
      </c>
      <c r="D412" s="1" t="s">
        <v>79</v>
      </c>
      <c r="E412" s="3">
        <v>46258.0</v>
      </c>
    </row>
    <row r="413">
      <c r="A413" s="1" t="s">
        <v>1958</v>
      </c>
      <c r="B413" s="1" t="s">
        <v>1959</v>
      </c>
      <c r="C413" s="1" t="s">
        <v>93</v>
      </c>
      <c r="D413" s="1" t="s">
        <v>79</v>
      </c>
      <c r="E413" s="3">
        <v>46224.0</v>
      </c>
      <c r="F413" s="3">
        <v>46224.0</v>
      </c>
    </row>
    <row r="414">
      <c r="A414" s="1" t="s">
        <v>1960</v>
      </c>
      <c r="B414" s="1" t="s">
        <v>1961</v>
      </c>
      <c r="C414" s="1" t="s">
        <v>93</v>
      </c>
      <c r="D414" s="1" t="s">
        <v>79</v>
      </c>
      <c r="E414" s="3">
        <v>46356.0</v>
      </c>
    </row>
    <row r="415">
      <c r="A415" s="1" t="s">
        <v>1964</v>
      </c>
      <c r="B415" s="1" t="s">
        <v>1961</v>
      </c>
      <c r="C415" s="1" t="s">
        <v>93</v>
      </c>
      <c r="D415" s="1" t="s">
        <v>185</v>
      </c>
      <c r="E415" s="3">
        <v>46356.0</v>
      </c>
    </row>
    <row r="416">
      <c r="A416" s="1" t="s">
        <v>1967</v>
      </c>
      <c r="B416" s="1" t="s">
        <v>1968</v>
      </c>
      <c r="C416" s="1" t="s">
        <v>93</v>
      </c>
      <c r="D416" s="1" t="s">
        <v>79</v>
      </c>
      <c r="E416" s="3">
        <v>46279.0</v>
      </c>
    </row>
    <row r="417">
      <c r="A417" s="1" t="s">
        <v>1970</v>
      </c>
      <c r="B417" s="1" t="s">
        <v>1968</v>
      </c>
      <c r="C417" s="1" t="s">
        <v>93</v>
      </c>
      <c r="D417" s="1" t="s">
        <v>185</v>
      </c>
      <c r="E417" s="3">
        <v>46279.0</v>
      </c>
    </row>
    <row r="418">
      <c r="A418" s="1" t="s">
        <v>1971</v>
      </c>
      <c r="B418" s="1" t="s">
        <v>544</v>
      </c>
      <c r="C418" s="1" t="s">
        <v>37</v>
      </c>
      <c r="D418" s="1" t="s">
        <v>38</v>
      </c>
      <c r="E418" s="3">
        <v>46234.0</v>
      </c>
    </row>
    <row r="419">
      <c r="A419" s="1" t="s">
        <v>1974</v>
      </c>
      <c r="B419" s="1" t="s">
        <v>544</v>
      </c>
      <c r="C419" s="1" t="s">
        <v>37</v>
      </c>
      <c r="D419" s="1" t="s">
        <v>150</v>
      </c>
      <c r="E419" s="3">
        <v>46234.0</v>
      </c>
    </row>
    <row r="420">
      <c r="A420" s="1" t="s">
        <v>1976</v>
      </c>
      <c r="B420" s="1" t="s">
        <v>1977</v>
      </c>
      <c r="C420" s="1" t="s">
        <v>37</v>
      </c>
      <c r="D420" s="1" t="s">
        <v>38</v>
      </c>
      <c r="E420" s="3">
        <v>46265.0</v>
      </c>
    </row>
    <row r="421">
      <c r="A421" s="1" t="s">
        <v>1978</v>
      </c>
      <c r="B421" s="1" t="s">
        <v>1977</v>
      </c>
      <c r="C421" s="1" t="s">
        <v>37</v>
      </c>
      <c r="D421" s="1" t="s">
        <v>150</v>
      </c>
      <c r="E421" s="3">
        <v>46265.0</v>
      </c>
    </row>
    <row r="422">
      <c r="A422" s="1" t="s">
        <v>1981</v>
      </c>
      <c r="B422" s="1" t="s">
        <v>1402</v>
      </c>
      <c r="C422" s="1" t="s">
        <v>37</v>
      </c>
      <c r="D422" s="1" t="s">
        <v>38</v>
      </c>
      <c r="E422" s="3">
        <v>46569.0</v>
      </c>
    </row>
    <row r="423">
      <c r="A423" s="1" t="s">
        <v>1985</v>
      </c>
      <c r="B423" s="1" t="s">
        <v>1986</v>
      </c>
      <c r="C423" s="1" t="s">
        <v>37</v>
      </c>
      <c r="D423" s="1" t="s">
        <v>38</v>
      </c>
      <c r="E423" s="3">
        <v>46265.0</v>
      </c>
    </row>
    <row r="424">
      <c r="A424" s="1" t="s">
        <v>1987</v>
      </c>
      <c r="B424" s="1" t="s">
        <v>1988</v>
      </c>
      <c r="C424" s="1" t="s">
        <v>1577</v>
      </c>
      <c r="D424" s="1" t="s">
        <v>1991</v>
      </c>
      <c r="E424" s="3">
        <v>46417.0</v>
      </c>
    </row>
    <row r="425">
      <c r="A425" s="1" t="s">
        <v>1993</v>
      </c>
      <c r="B425" s="1" t="s">
        <v>1988</v>
      </c>
      <c r="C425" s="1" t="s">
        <v>1577</v>
      </c>
      <c r="D425" s="1" t="s">
        <v>1579</v>
      </c>
      <c r="E425" s="3">
        <v>46417.0</v>
      </c>
    </row>
    <row r="426">
      <c r="A426" s="1" t="s">
        <v>1994</v>
      </c>
      <c r="B426" s="1" t="s">
        <v>1988</v>
      </c>
      <c r="C426" s="1" t="s">
        <v>1577</v>
      </c>
      <c r="D426" s="1" t="s">
        <v>1995</v>
      </c>
      <c r="E426" s="3">
        <v>46417.0</v>
      </c>
    </row>
    <row r="427">
      <c r="A427" s="1" t="s">
        <v>1998</v>
      </c>
      <c r="B427" s="1" t="s">
        <v>1988</v>
      </c>
      <c r="C427" s="1" t="s">
        <v>1577</v>
      </c>
      <c r="D427" s="1" t="s">
        <v>2000</v>
      </c>
      <c r="E427" s="3">
        <v>46417.0</v>
      </c>
    </row>
    <row r="428">
      <c r="A428" s="1" t="s">
        <v>2001</v>
      </c>
      <c r="B428" s="1" t="s">
        <v>1988</v>
      </c>
      <c r="C428" s="1" t="s">
        <v>1577</v>
      </c>
      <c r="D428" s="1" t="s">
        <v>2002</v>
      </c>
      <c r="E428" s="3">
        <v>46417.0</v>
      </c>
    </row>
    <row r="429">
      <c r="A429" s="1" t="s">
        <v>2003</v>
      </c>
      <c r="B429" s="1" t="s">
        <v>1988</v>
      </c>
      <c r="C429" s="1" t="s">
        <v>93</v>
      </c>
      <c r="D429" s="1" t="s">
        <v>79</v>
      </c>
      <c r="E429" s="3">
        <v>46417.0</v>
      </c>
    </row>
    <row r="430">
      <c r="A430" s="1" t="s">
        <v>2006</v>
      </c>
      <c r="B430" s="1" t="s">
        <v>1988</v>
      </c>
      <c r="C430" s="1" t="s">
        <v>93</v>
      </c>
      <c r="D430" s="1" t="s">
        <v>185</v>
      </c>
      <c r="E430" s="3">
        <v>46417.0</v>
      </c>
    </row>
    <row r="431">
      <c r="A431" s="1" t="s">
        <v>2008</v>
      </c>
      <c r="B431" s="1" t="s">
        <v>2009</v>
      </c>
      <c r="C431" s="1" t="s">
        <v>37</v>
      </c>
      <c r="D431" s="1" t="s">
        <v>38</v>
      </c>
      <c r="E431" s="3">
        <v>46295.0</v>
      </c>
    </row>
    <row r="432">
      <c r="A432" s="1" t="s">
        <v>2010</v>
      </c>
      <c r="B432" s="1" t="s">
        <v>2011</v>
      </c>
      <c r="C432" s="1" t="s">
        <v>1577</v>
      </c>
      <c r="D432" s="1" t="s">
        <v>1579</v>
      </c>
      <c r="E432" s="3">
        <v>46356.0</v>
      </c>
    </row>
    <row r="433">
      <c r="A433" s="1" t="s">
        <v>2013</v>
      </c>
      <c r="B433" s="1" t="s">
        <v>1156</v>
      </c>
      <c r="C433" s="1" t="s">
        <v>93</v>
      </c>
      <c r="D433" s="1" t="s">
        <v>185</v>
      </c>
      <c r="E433" s="3">
        <v>46384.0</v>
      </c>
    </row>
    <row r="434">
      <c r="A434" s="1" t="s">
        <v>2016</v>
      </c>
      <c r="B434" s="1" t="s">
        <v>1156</v>
      </c>
      <c r="C434" s="1" t="s">
        <v>93</v>
      </c>
      <c r="D434" s="1" t="s">
        <v>79</v>
      </c>
      <c r="E434" s="3">
        <v>46384.0</v>
      </c>
    </row>
    <row r="435">
      <c r="A435" s="1" t="s">
        <v>2019</v>
      </c>
      <c r="B435" s="1" t="s">
        <v>2020</v>
      </c>
      <c r="C435" s="1" t="s">
        <v>37</v>
      </c>
      <c r="D435" s="1" t="s">
        <v>38</v>
      </c>
      <c r="E435" s="3">
        <v>46090.0</v>
      </c>
    </row>
    <row r="436">
      <c r="A436" s="1" t="s">
        <v>2021</v>
      </c>
      <c r="B436" s="1" t="s">
        <v>2020</v>
      </c>
      <c r="C436" s="1" t="s">
        <v>100</v>
      </c>
      <c r="D436" s="1" t="s">
        <v>719</v>
      </c>
      <c r="E436" s="3">
        <v>46090.0</v>
      </c>
    </row>
    <row r="437">
      <c r="A437" s="1" t="s">
        <v>2022</v>
      </c>
      <c r="B437" s="1" t="s">
        <v>2023</v>
      </c>
      <c r="C437" s="1" t="s">
        <v>37</v>
      </c>
      <c r="D437" s="1" t="s">
        <v>38</v>
      </c>
      <c r="E437" s="3">
        <v>46262.0</v>
      </c>
    </row>
    <row r="438">
      <c r="A438" s="1" t="s">
        <v>2025</v>
      </c>
      <c r="B438" s="1" t="s">
        <v>2026</v>
      </c>
      <c r="C438" s="1" t="s">
        <v>37</v>
      </c>
      <c r="D438" s="1" t="s">
        <v>150</v>
      </c>
      <c r="E438" s="3">
        <v>46227.0</v>
      </c>
    </row>
    <row r="439">
      <c r="A439" s="1" t="s">
        <v>2029</v>
      </c>
      <c r="B439" s="1" t="s">
        <v>1875</v>
      </c>
      <c r="C439" s="1" t="s">
        <v>37</v>
      </c>
      <c r="D439" s="1" t="s">
        <v>38</v>
      </c>
      <c r="E439" s="3">
        <v>46265.0</v>
      </c>
    </row>
    <row r="440">
      <c r="A440" s="1" t="s">
        <v>2031</v>
      </c>
      <c r="B440" s="1" t="s">
        <v>2032</v>
      </c>
      <c r="C440" s="1" t="s">
        <v>37</v>
      </c>
      <c r="D440" s="1" t="s">
        <v>150</v>
      </c>
      <c r="E440" s="3">
        <v>46283.0</v>
      </c>
    </row>
    <row r="441">
      <c r="A441" s="1" t="s">
        <v>2033</v>
      </c>
      <c r="B441" s="1" t="s">
        <v>268</v>
      </c>
      <c r="C441" s="1" t="s">
        <v>37</v>
      </c>
      <c r="D441" s="1" t="s">
        <v>150</v>
      </c>
      <c r="E441" s="3">
        <v>46244.0</v>
      </c>
    </row>
    <row r="442">
      <c r="A442" s="1" t="s">
        <v>2036</v>
      </c>
      <c r="B442" s="1" t="s">
        <v>2038</v>
      </c>
      <c r="C442" s="1" t="s">
        <v>1577</v>
      </c>
      <c r="D442" s="1" t="s">
        <v>1579</v>
      </c>
      <c r="E442" s="3">
        <v>46265.0</v>
      </c>
    </row>
    <row r="443">
      <c r="A443" s="1" t="s">
        <v>2040</v>
      </c>
      <c r="B443" s="1" t="s">
        <v>2041</v>
      </c>
      <c r="C443" s="1" t="s">
        <v>93</v>
      </c>
      <c r="D443" s="1" t="s">
        <v>79</v>
      </c>
      <c r="E443" s="3">
        <v>46314.0</v>
      </c>
    </row>
    <row r="444">
      <c r="A444" s="1" t="s">
        <v>2047</v>
      </c>
      <c r="B444" s="1" t="s">
        <v>2041</v>
      </c>
      <c r="C444" s="1" t="s">
        <v>93</v>
      </c>
      <c r="D444" s="1" t="s">
        <v>185</v>
      </c>
      <c r="E444" s="3">
        <v>46447.0</v>
      </c>
    </row>
    <row r="445">
      <c r="A445" s="1" t="s">
        <v>2049</v>
      </c>
      <c r="B445" s="1" t="s">
        <v>2051</v>
      </c>
      <c r="C445" s="1" t="s">
        <v>37</v>
      </c>
      <c r="D445" s="1" t="s">
        <v>38</v>
      </c>
      <c r="E445" s="3">
        <v>46218.0</v>
      </c>
    </row>
    <row r="446">
      <c r="A446" s="1" t="s">
        <v>2055</v>
      </c>
      <c r="B446" s="1" t="s">
        <v>2051</v>
      </c>
      <c r="C446" s="1" t="s">
        <v>37</v>
      </c>
      <c r="D446" s="1" t="s">
        <v>150</v>
      </c>
      <c r="E446" s="3">
        <v>46218.0</v>
      </c>
    </row>
    <row r="447">
      <c r="A447" s="1" t="s">
        <v>2056</v>
      </c>
      <c r="B447" s="1" t="s">
        <v>913</v>
      </c>
      <c r="C447" s="1" t="s">
        <v>37</v>
      </c>
      <c r="D447" s="1" t="s">
        <v>38</v>
      </c>
      <c r="E447" s="3">
        <v>46233.0</v>
      </c>
    </row>
    <row r="448">
      <c r="A448" s="1" t="s">
        <v>2058</v>
      </c>
      <c r="B448" s="1" t="s">
        <v>913</v>
      </c>
      <c r="C448" s="1" t="s">
        <v>37</v>
      </c>
      <c r="D448" s="1" t="s">
        <v>150</v>
      </c>
      <c r="E448" s="3">
        <v>46233.0</v>
      </c>
    </row>
    <row r="449">
      <c r="A449" s="1" t="s">
        <v>2060</v>
      </c>
      <c r="B449" s="1" t="s">
        <v>2061</v>
      </c>
      <c r="C449" s="1" t="s">
        <v>37</v>
      </c>
      <c r="D449" s="1" t="s">
        <v>38</v>
      </c>
      <c r="E449" s="3">
        <v>46363.0</v>
      </c>
    </row>
    <row r="450">
      <c r="A450" s="1" t="s">
        <v>2063</v>
      </c>
      <c r="B450" s="1" t="s">
        <v>2064</v>
      </c>
      <c r="C450" s="1" t="s">
        <v>37</v>
      </c>
      <c r="D450" s="1" t="s">
        <v>38</v>
      </c>
      <c r="E450" s="3">
        <v>46265.0</v>
      </c>
    </row>
    <row r="451">
      <c r="A451" s="1" t="s">
        <v>2067</v>
      </c>
      <c r="B451" s="1" t="s">
        <v>1565</v>
      </c>
      <c r="C451" s="1" t="s">
        <v>1577</v>
      </c>
      <c r="D451" s="1" t="s">
        <v>1579</v>
      </c>
      <c r="E451" s="3">
        <v>46241.0</v>
      </c>
    </row>
    <row r="452">
      <c r="A452" s="1" t="s">
        <v>2072</v>
      </c>
      <c r="B452" s="1" t="s">
        <v>2073</v>
      </c>
      <c r="C452" s="1" t="s">
        <v>1577</v>
      </c>
      <c r="D452" s="1" t="s">
        <v>2002</v>
      </c>
      <c r="E452" s="3">
        <v>46307.0</v>
      </c>
    </row>
    <row r="453">
      <c r="A453" s="1" t="s">
        <v>2078</v>
      </c>
      <c r="B453" s="1" t="s">
        <v>2079</v>
      </c>
      <c r="C453" s="1" t="s">
        <v>1577</v>
      </c>
      <c r="D453" s="1" t="s">
        <v>1991</v>
      </c>
      <c r="E453" s="3">
        <v>46227.0</v>
      </c>
    </row>
    <row r="454">
      <c r="A454" s="1" t="s">
        <v>2083</v>
      </c>
      <c r="B454" s="1" t="s">
        <v>2079</v>
      </c>
      <c r="C454" s="1" t="s">
        <v>1577</v>
      </c>
      <c r="D454" s="1" t="s">
        <v>1995</v>
      </c>
      <c r="E454" s="3">
        <v>46227.0</v>
      </c>
    </row>
    <row r="455">
      <c r="A455" s="1" t="s">
        <v>2084</v>
      </c>
      <c r="B455" s="1" t="s">
        <v>599</v>
      </c>
      <c r="C455" s="1" t="s">
        <v>93</v>
      </c>
      <c r="D455" s="1" t="s">
        <v>79</v>
      </c>
      <c r="E455" s="3">
        <v>46300.0</v>
      </c>
    </row>
    <row r="456">
      <c r="A456" s="1" t="s">
        <v>2089</v>
      </c>
      <c r="B456" s="1" t="s">
        <v>2090</v>
      </c>
      <c r="C456" s="1" t="s">
        <v>93</v>
      </c>
      <c r="D456" s="1" t="s">
        <v>79</v>
      </c>
      <c r="E456" s="3">
        <v>46293.0</v>
      </c>
    </row>
    <row r="457">
      <c r="A457" s="1" t="s">
        <v>2092</v>
      </c>
      <c r="B457" s="1" t="s">
        <v>2090</v>
      </c>
      <c r="C457" s="1" t="s">
        <v>93</v>
      </c>
      <c r="D457" s="1" t="s">
        <v>185</v>
      </c>
      <c r="E457" s="3">
        <v>46293.0</v>
      </c>
    </row>
    <row r="458">
      <c r="A458" s="1" t="s">
        <v>2095</v>
      </c>
      <c r="B458" s="1" t="s">
        <v>2096</v>
      </c>
      <c r="C458" s="1" t="s">
        <v>37</v>
      </c>
      <c r="D458" s="1" t="s">
        <v>150</v>
      </c>
      <c r="E458" s="3">
        <v>46304.0</v>
      </c>
    </row>
    <row r="459">
      <c r="A459" s="1" t="s">
        <v>2098</v>
      </c>
      <c r="B459" s="1" t="s">
        <v>2096</v>
      </c>
      <c r="C459" s="1" t="s">
        <v>37</v>
      </c>
      <c r="D459" s="1" t="s">
        <v>38</v>
      </c>
      <c r="E459" s="3">
        <v>46304.0</v>
      </c>
    </row>
    <row r="460">
      <c r="A460" s="1" t="s">
        <v>2100</v>
      </c>
      <c r="B460" s="1" t="s">
        <v>2101</v>
      </c>
      <c r="C460" s="1" t="s">
        <v>37</v>
      </c>
      <c r="D460" s="1" t="s">
        <v>38</v>
      </c>
      <c r="E460" s="3">
        <v>46260.0</v>
      </c>
    </row>
    <row r="461">
      <c r="A461" s="1" t="s">
        <v>2105</v>
      </c>
      <c r="B461" s="1" t="s">
        <v>1447</v>
      </c>
      <c r="C461" s="1" t="s">
        <v>37</v>
      </c>
      <c r="D461" s="1" t="s">
        <v>38</v>
      </c>
      <c r="E461" s="3">
        <v>46283.0</v>
      </c>
    </row>
    <row r="462">
      <c r="A462" s="1" t="s">
        <v>2106</v>
      </c>
      <c r="B462" s="1" t="s">
        <v>2107</v>
      </c>
      <c r="C462" s="1" t="s">
        <v>37</v>
      </c>
      <c r="D462" s="1" t="s">
        <v>38</v>
      </c>
      <c r="E462" s="3">
        <v>46265.0</v>
      </c>
    </row>
    <row r="463">
      <c r="A463" s="1" t="s">
        <v>2111</v>
      </c>
      <c r="B463" s="1" t="s">
        <v>1457</v>
      </c>
      <c r="C463" s="1" t="s">
        <v>37</v>
      </c>
      <c r="D463" s="1" t="s">
        <v>38</v>
      </c>
      <c r="E463" s="3">
        <v>46234.0</v>
      </c>
      <c r="F463" s="3">
        <v>46232.0</v>
      </c>
    </row>
    <row r="464">
      <c r="A464" s="1" t="s">
        <v>2112</v>
      </c>
      <c r="B464" s="1" t="s">
        <v>1495</v>
      </c>
      <c r="C464" s="1" t="s">
        <v>1577</v>
      </c>
      <c r="D464" s="1" t="s">
        <v>1579</v>
      </c>
      <c r="E464" s="3">
        <v>46273.0</v>
      </c>
    </row>
    <row r="465">
      <c r="A465" s="1" t="s">
        <v>2116</v>
      </c>
      <c r="B465" s="1" t="s">
        <v>2118</v>
      </c>
      <c r="C465" s="1" t="s">
        <v>37</v>
      </c>
      <c r="D465" s="1" t="s">
        <v>38</v>
      </c>
      <c r="E465" s="3">
        <v>46286.0</v>
      </c>
    </row>
    <row r="466">
      <c r="A466" s="1" t="s">
        <v>2119</v>
      </c>
      <c r="B466" s="1" t="s">
        <v>1789</v>
      </c>
      <c r="C466" s="1" t="s">
        <v>217</v>
      </c>
      <c r="D466" s="1" t="s">
        <v>1620</v>
      </c>
      <c r="E466" s="3">
        <v>46398.0</v>
      </c>
    </row>
    <row r="467">
      <c r="A467" s="1" t="s">
        <v>2122</v>
      </c>
      <c r="B467" s="1" t="s">
        <v>2124</v>
      </c>
      <c r="C467" s="1" t="s">
        <v>93</v>
      </c>
      <c r="D467" s="1" t="s">
        <v>79</v>
      </c>
      <c r="E467" s="3">
        <v>46234.0</v>
      </c>
    </row>
    <row r="468">
      <c r="A468" s="1" t="s">
        <v>2126</v>
      </c>
      <c r="B468" s="1" t="s">
        <v>2127</v>
      </c>
      <c r="C468" s="1" t="s">
        <v>217</v>
      </c>
      <c r="D468" s="1" t="s">
        <v>318</v>
      </c>
      <c r="E468" s="3">
        <v>46363.0</v>
      </c>
    </row>
    <row r="469">
      <c r="A469" s="1" t="s">
        <v>2128</v>
      </c>
      <c r="B469" s="1" t="s">
        <v>2127</v>
      </c>
      <c r="C469" s="1" t="s">
        <v>93</v>
      </c>
      <c r="D469" s="1" t="s">
        <v>79</v>
      </c>
      <c r="E469" s="3">
        <v>46537.0</v>
      </c>
    </row>
    <row r="470">
      <c r="A470" s="1" t="s">
        <v>2132</v>
      </c>
      <c r="B470" s="1" t="s">
        <v>2127</v>
      </c>
      <c r="C470" s="1" t="s">
        <v>1577</v>
      </c>
      <c r="D470" s="1" t="s">
        <v>2000</v>
      </c>
      <c r="E470" s="3">
        <v>46537.0</v>
      </c>
    </row>
    <row r="471">
      <c r="A471" s="1" t="s">
        <v>2134</v>
      </c>
      <c r="B471" s="1" t="s">
        <v>2136</v>
      </c>
      <c r="C471" s="1" t="s">
        <v>93</v>
      </c>
      <c r="D471" s="1" t="s">
        <v>79</v>
      </c>
      <c r="E471" s="3">
        <v>46202.0</v>
      </c>
    </row>
    <row r="472">
      <c r="A472" s="1" t="s">
        <v>2139</v>
      </c>
      <c r="B472" s="1" t="s">
        <v>2141</v>
      </c>
      <c r="C472" s="1" t="s">
        <v>1577</v>
      </c>
      <c r="D472" s="1" t="s">
        <v>1579</v>
      </c>
      <c r="E472" s="3">
        <v>46478.0</v>
      </c>
    </row>
    <row r="473">
      <c r="A473" s="1" t="s">
        <v>2142</v>
      </c>
      <c r="B473" s="1" t="s">
        <v>2094</v>
      </c>
      <c r="C473" s="1" t="s">
        <v>1577</v>
      </c>
      <c r="D473" s="1" t="s">
        <v>2000</v>
      </c>
      <c r="E473" s="3">
        <v>46246.0</v>
      </c>
    </row>
    <row r="474">
      <c r="A474" s="1" t="s">
        <v>2145</v>
      </c>
      <c r="B474" s="1" t="s">
        <v>2094</v>
      </c>
      <c r="C474" s="1" t="s">
        <v>1577</v>
      </c>
      <c r="D474" s="1" t="s">
        <v>2002</v>
      </c>
      <c r="E474" s="3">
        <v>46246.0</v>
      </c>
    </row>
    <row r="475">
      <c r="A475" s="1" t="s">
        <v>2147</v>
      </c>
      <c r="B475" s="1" t="s">
        <v>2094</v>
      </c>
      <c r="C475" s="1" t="s">
        <v>1577</v>
      </c>
      <c r="D475" s="1" t="s">
        <v>1579</v>
      </c>
      <c r="E475" s="3">
        <v>46246.0</v>
      </c>
    </row>
    <row r="476">
      <c r="A476" s="1" t="s">
        <v>2148</v>
      </c>
      <c r="B476" s="1" t="s">
        <v>2150</v>
      </c>
      <c r="C476" s="1" t="s">
        <v>1577</v>
      </c>
      <c r="D476" s="1" t="s">
        <v>1579</v>
      </c>
      <c r="E476" s="3">
        <v>46258.0</v>
      </c>
    </row>
    <row r="477">
      <c r="A477" s="1" t="s">
        <v>2151</v>
      </c>
      <c r="B477" s="1" t="s">
        <v>2152</v>
      </c>
      <c r="C477" s="1" t="s">
        <v>37</v>
      </c>
      <c r="D477" s="1" t="s">
        <v>38</v>
      </c>
      <c r="E477" s="3">
        <v>46265.0</v>
      </c>
    </row>
    <row r="478">
      <c r="A478" s="1" t="s">
        <v>2153</v>
      </c>
      <c r="B478" s="1" t="s">
        <v>2155</v>
      </c>
      <c r="C478" s="1" t="s">
        <v>1577</v>
      </c>
      <c r="D478" s="1" t="s">
        <v>1579</v>
      </c>
      <c r="E478" s="3">
        <v>46251.0</v>
      </c>
    </row>
    <row r="479">
      <c r="A479" s="1" t="s">
        <v>2164</v>
      </c>
      <c r="B479" s="1" t="s">
        <v>1074</v>
      </c>
      <c r="C479" s="1" t="s">
        <v>37</v>
      </c>
      <c r="D479" s="1" t="s">
        <v>38</v>
      </c>
      <c r="E479" s="3">
        <v>46244.0</v>
      </c>
      <c r="F479" s="3">
        <v>46244.0</v>
      </c>
    </row>
    <row r="480">
      <c r="A480" s="1" t="s">
        <v>2167</v>
      </c>
      <c r="B480" s="1" t="s">
        <v>2168</v>
      </c>
      <c r="C480" s="1" t="s">
        <v>1577</v>
      </c>
      <c r="D480" s="1" t="s">
        <v>2002</v>
      </c>
      <c r="E480" s="3">
        <v>46255.0</v>
      </c>
    </row>
    <row r="481">
      <c r="A481" s="1" t="s">
        <v>2169</v>
      </c>
      <c r="B481" s="1" t="s">
        <v>2168</v>
      </c>
      <c r="C481" s="1" t="s">
        <v>1577</v>
      </c>
      <c r="D481" s="1" t="s">
        <v>2000</v>
      </c>
      <c r="E481" s="3">
        <v>46255.0</v>
      </c>
    </row>
    <row r="482">
      <c r="A482" s="1" t="s">
        <v>2172</v>
      </c>
      <c r="B482" s="1" t="s">
        <v>2168</v>
      </c>
      <c r="C482" s="1" t="s">
        <v>1577</v>
      </c>
      <c r="D482" s="1" t="s">
        <v>1995</v>
      </c>
      <c r="E482" s="3">
        <v>46255.0</v>
      </c>
    </row>
    <row r="483">
      <c r="A483" s="1" t="s">
        <v>2175</v>
      </c>
      <c r="B483" s="1" t="s">
        <v>2176</v>
      </c>
      <c r="C483" s="1" t="s">
        <v>37</v>
      </c>
      <c r="D483" s="1" t="s">
        <v>150</v>
      </c>
      <c r="E483" s="3">
        <v>46230.0</v>
      </c>
      <c r="F483" s="3">
        <v>46231.0</v>
      </c>
    </row>
    <row r="484">
      <c r="A484" s="1" t="s">
        <v>2177</v>
      </c>
      <c r="B484" s="1" t="s">
        <v>579</v>
      </c>
      <c r="C484" s="1" t="s">
        <v>37</v>
      </c>
      <c r="D484" s="1" t="s">
        <v>38</v>
      </c>
      <c r="E484" s="3">
        <v>46265.0</v>
      </c>
    </row>
    <row r="485">
      <c r="A485" s="1" t="s">
        <v>2181</v>
      </c>
      <c r="B485" s="1" t="s">
        <v>2182</v>
      </c>
      <c r="C485" s="1" t="s">
        <v>217</v>
      </c>
      <c r="D485" s="1" t="s">
        <v>1620</v>
      </c>
      <c r="E485" s="3">
        <v>46254.0</v>
      </c>
    </row>
    <row r="486">
      <c r="A486" s="1" t="s">
        <v>2183</v>
      </c>
      <c r="B486" s="1" t="s">
        <v>2184</v>
      </c>
      <c r="C486" s="1" t="s">
        <v>37</v>
      </c>
      <c r="D486" s="1" t="s">
        <v>150</v>
      </c>
      <c r="E486" s="3">
        <v>46231.0</v>
      </c>
      <c r="F486" s="3">
        <v>46234.0</v>
      </c>
    </row>
    <row r="487">
      <c r="A487" s="1" t="s">
        <v>2185</v>
      </c>
      <c r="B487" s="1" t="s">
        <v>2186</v>
      </c>
      <c r="C487" s="1" t="s">
        <v>1577</v>
      </c>
      <c r="D487" s="1" t="s">
        <v>1579</v>
      </c>
      <c r="E487" s="3">
        <v>46262.0</v>
      </c>
    </row>
    <row r="488">
      <c r="A488" s="1" t="s">
        <v>2190</v>
      </c>
      <c r="B488" s="1" t="s">
        <v>1851</v>
      </c>
      <c r="C488" s="1" t="s">
        <v>37</v>
      </c>
      <c r="D488" s="1" t="s">
        <v>150</v>
      </c>
      <c r="E488" s="3">
        <v>46296.0</v>
      </c>
    </row>
    <row r="489">
      <c r="A489" s="1" t="s">
        <v>2191</v>
      </c>
      <c r="B489" s="1" t="s">
        <v>1851</v>
      </c>
      <c r="C489" s="1" t="s">
        <v>37</v>
      </c>
      <c r="D489" s="1" t="s">
        <v>38</v>
      </c>
      <c r="E489" s="3">
        <v>46296.0</v>
      </c>
    </row>
    <row r="490">
      <c r="A490" s="1" t="s">
        <v>2192</v>
      </c>
      <c r="B490" s="1" t="s">
        <v>1851</v>
      </c>
      <c r="C490" s="1" t="s">
        <v>37</v>
      </c>
      <c r="D490" s="1" t="s">
        <v>421</v>
      </c>
      <c r="E490" s="3">
        <v>46296.0</v>
      </c>
    </row>
    <row r="491">
      <c r="A491" s="1" t="s">
        <v>2195</v>
      </c>
      <c r="B491" s="1" t="s">
        <v>2197</v>
      </c>
      <c r="C491" s="1" t="s">
        <v>37</v>
      </c>
      <c r="D491" s="1" t="s">
        <v>38</v>
      </c>
      <c r="E491" s="3">
        <v>46265.0</v>
      </c>
    </row>
    <row r="492">
      <c r="A492" s="1" t="s">
        <v>2200</v>
      </c>
      <c r="B492" s="1" t="s">
        <v>2197</v>
      </c>
      <c r="C492" s="1" t="s">
        <v>37</v>
      </c>
      <c r="D492" s="1" t="s">
        <v>150</v>
      </c>
      <c r="E492" s="3">
        <v>46265.0</v>
      </c>
    </row>
    <row r="493">
      <c r="A493" s="1" t="s">
        <v>2202</v>
      </c>
      <c r="B493" s="1" t="s">
        <v>2081</v>
      </c>
      <c r="C493" s="1" t="s">
        <v>1577</v>
      </c>
      <c r="D493" s="1" t="s">
        <v>1579</v>
      </c>
      <c r="E493" s="3">
        <v>46293.0</v>
      </c>
    </row>
    <row r="494">
      <c r="A494" s="1" t="s">
        <v>2206</v>
      </c>
      <c r="B494" s="1" t="s">
        <v>830</v>
      </c>
      <c r="C494" s="1" t="s">
        <v>100</v>
      </c>
      <c r="D494" s="1" t="s">
        <v>307</v>
      </c>
      <c r="E494" s="3">
        <v>46373.0</v>
      </c>
    </row>
    <row r="495">
      <c r="A495" s="1" t="s">
        <v>2208</v>
      </c>
      <c r="B495" s="1" t="s">
        <v>830</v>
      </c>
      <c r="C495" s="1" t="s">
        <v>149</v>
      </c>
      <c r="D495" s="1" t="s">
        <v>301</v>
      </c>
      <c r="E495" s="3">
        <v>46373.0</v>
      </c>
    </row>
    <row r="496">
      <c r="A496" s="1" t="s">
        <v>2210</v>
      </c>
      <c r="B496" s="1" t="s">
        <v>830</v>
      </c>
      <c r="C496" s="1" t="s">
        <v>149</v>
      </c>
      <c r="D496" s="1" t="s">
        <v>345</v>
      </c>
      <c r="E496" s="3">
        <v>46373.0</v>
      </c>
    </row>
    <row r="497">
      <c r="A497" s="1" t="s">
        <v>2213</v>
      </c>
      <c r="B497" s="1" t="s">
        <v>830</v>
      </c>
      <c r="C497" s="1" t="s">
        <v>149</v>
      </c>
      <c r="D497" s="1" t="s">
        <v>347</v>
      </c>
      <c r="E497" s="3">
        <v>46373.0</v>
      </c>
    </row>
    <row r="498">
      <c r="A498" s="1" t="s">
        <v>2215</v>
      </c>
      <c r="B498" s="1" t="s">
        <v>830</v>
      </c>
      <c r="C498" s="1" t="s">
        <v>149</v>
      </c>
      <c r="D498" s="1" t="s">
        <v>262</v>
      </c>
      <c r="E498" s="3">
        <v>46373.0</v>
      </c>
    </row>
    <row r="499">
      <c r="A499" s="1" t="s">
        <v>2216</v>
      </c>
      <c r="B499" s="1" t="s">
        <v>830</v>
      </c>
      <c r="C499" s="1" t="s">
        <v>149</v>
      </c>
      <c r="D499" s="1" t="s">
        <v>269</v>
      </c>
      <c r="E499" s="3">
        <v>46373.0</v>
      </c>
    </row>
    <row r="500">
      <c r="A500" s="1" t="s">
        <v>2217</v>
      </c>
      <c r="B500" s="1" t="s">
        <v>830</v>
      </c>
      <c r="C500" s="1" t="s">
        <v>149</v>
      </c>
      <c r="D500" s="1" t="s">
        <v>275</v>
      </c>
      <c r="E500" s="3">
        <v>46373.0</v>
      </c>
    </row>
    <row r="501">
      <c r="A501" s="1" t="s">
        <v>2219</v>
      </c>
      <c r="B501" s="1" t="s">
        <v>830</v>
      </c>
      <c r="C501" s="1" t="s">
        <v>171</v>
      </c>
      <c r="D501" s="1" t="s">
        <v>334</v>
      </c>
      <c r="E501" s="3">
        <v>46373.0</v>
      </c>
    </row>
    <row r="502">
      <c r="A502" s="1" t="s">
        <v>2223</v>
      </c>
      <c r="B502" s="1" t="s">
        <v>830</v>
      </c>
      <c r="C502" s="1" t="s">
        <v>149</v>
      </c>
      <c r="D502" s="1" t="s">
        <v>286</v>
      </c>
      <c r="E502" s="3">
        <v>46373.0</v>
      </c>
    </row>
    <row r="503">
      <c r="A503" s="1" t="s">
        <v>2224</v>
      </c>
      <c r="B503" s="1" t="s">
        <v>830</v>
      </c>
      <c r="C503" s="1" t="s">
        <v>149</v>
      </c>
      <c r="D503" s="1" t="s">
        <v>397</v>
      </c>
      <c r="E503" s="3">
        <v>46373.0</v>
      </c>
    </row>
    <row r="504">
      <c r="A504" s="1" t="s">
        <v>2225</v>
      </c>
      <c r="B504" s="1" t="s">
        <v>830</v>
      </c>
      <c r="C504" s="1" t="s">
        <v>187</v>
      </c>
      <c r="D504" s="1" t="s">
        <v>222</v>
      </c>
      <c r="E504" s="3">
        <v>46373.0</v>
      </c>
    </row>
    <row r="505">
      <c r="A505" s="1" t="s">
        <v>2226</v>
      </c>
      <c r="B505" s="1" t="s">
        <v>830</v>
      </c>
      <c r="C505" s="1" t="s">
        <v>100</v>
      </c>
      <c r="D505" s="1" t="s">
        <v>252</v>
      </c>
      <c r="E505" s="3">
        <v>46373.0</v>
      </c>
    </row>
    <row r="506">
      <c r="A506" s="1" t="s">
        <v>2228</v>
      </c>
      <c r="B506" s="1" t="s">
        <v>830</v>
      </c>
      <c r="C506" s="1" t="s">
        <v>232</v>
      </c>
      <c r="D506" s="1" t="s">
        <v>257</v>
      </c>
      <c r="E506" s="3">
        <v>46373.0</v>
      </c>
    </row>
    <row r="507">
      <c r="A507" s="1" t="s">
        <v>2231</v>
      </c>
      <c r="B507" s="1" t="s">
        <v>830</v>
      </c>
      <c r="C507" s="1" t="s">
        <v>217</v>
      </c>
      <c r="D507" s="1" t="s">
        <v>318</v>
      </c>
      <c r="E507" s="3">
        <v>46373.0</v>
      </c>
    </row>
    <row r="508">
      <c r="A508" s="1" t="s">
        <v>2232</v>
      </c>
      <c r="B508" s="1" t="s">
        <v>830</v>
      </c>
      <c r="C508" s="1" t="s">
        <v>100</v>
      </c>
      <c r="D508" s="1" t="s">
        <v>242</v>
      </c>
      <c r="E508" s="3">
        <v>46373.0</v>
      </c>
    </row>
    <row r="509">
      <c r="A509" s="1" t="s">
        <v>2234</v>
      </c>
      <c r="B509" s="1" t="s">
        <v>830</v>
      </c>
      <c r="C509" s="1" t="s">
        <v>100</v>
      </c>
      <c r="D509" s="1" t="s">
        <v>537</v>
      </c>
      <c r="E509" s="3">
        <v>46373.0</v>
      </c>
    </row>
    <row r="510">
      <c r="A510" s="1" t="s">
        <v>2236</v>
      </c>
      <c r="B510" s="1" t="s">
        <v>830</v>
      </c>
      <c r="C510" s="1" t="s">
        <v>171</v>
      </c>
      <c r="D510" s="1" t="s">
        <v>679</v>
      </c>
      <c r="E510" s="3">
        <v>46373.0</v>
      </c>
    </row>
    <row r="511">
      <c r="A511" s="1" t="s">
        <v>2238</v>
      </c>
      <c r="B511" s="1" t="s">
        <v>2239</v>
      </c>
      <c r="C511" s="1" t="s">
        <v>1577</v>
      </c>
      <c r="D511" s="1" t="s">
        <v>1579</v>
      </c>
      <c r="E511" s="3">
        <v>46336.0</v>
      </c>
    </row>
    <row r="512">
      <c r="A512" s="1" t="s">
        <v>2240</v>
      </c>
      <c r="B512" s="1" t="s">
        <v>2239</v>
      </c>
      <c r="C512" s="1" t="s">
        <v>1577</v>
      </c>
      <c r="D512" s="1" t="s">
        <v>2000</v>
      </c>
      <c r="E512" s="3">
        <v>46336.0</v>
      </c>
    </row>
    <row r="513">
      <c r="A513" s="1" t="s">
        <v>2241</v>
      </c>
      <c r="B513" s="1" t="s">
        <v>2242</v>
      </c>
      <c r="C513" s="1" t="s">
        <v>93</v>
      </c>
      <c r="D513" s="1" t="s">
        <v>79</v>
      </c>
      <c r="E513" s="3">
        <v>46266.0</v>
      </c>
    </row>
    <row r="514">
      <c r="A514" s="1" t="s">
        <v>2244</v>
      </c>
      <c r="B514" s="1" t="s">
        <v>2109</v>
      </c>
      <c r="C514" s="1" t="s">
        <v>93</v>
      </c>
      <c r="D514" s="1" t="s">
        <v>79</v>
      </c>
      <c r="E514" s="3">
        <v>46274.0</v>
      </c>
    </row>
    <row r="515">
      <c r="A515" s="1" t="s">
        <v>2246</v>
      </c>
      <c r="B515" s="1" t="s">
        <v>2247</v>
      </c>
      <c r="C515" s="1" t="s">
        <v>1577</v>
      </c>
      <c r="D515" s="1" t="s">
        <v>1995</v>
      </c>
      <c r="E515" s="3">
        <v>46296.0</v>
      </c>
    </row>
    <row r="516">
      <c r="A516" s="1" t="s">
        <v>2248</v>
      </c>
      <c r="B516" s="1" t="s">
        <v>2247</v>
      </c>
      <c r="C516" s="1" t="s">
        <v>1577</v>
      </c>
      <c r="D516" s="1" t="s">
        <v>2000</v>
      </c>
      <c r="E516" s="3">
        <v>46296.0</v>
      </c>
    </row>
    <row r="517">
      <c r="A517" s="1" t="s">
        <v>2252</v>
      </c>
      <c r="B517" s="1" t="s">
        <v>2247</v>
      </c>
      <c r="C517" s="1" t="s">
        <v>1577</v>
      </c>
      <c r="D517" s="1" t="s">
        <v>1579</v>
      </c>
      <c r="E517" s="3">
        <v>46296.0</v>
      </c>
    </row>
    <row r="518">
      <c r="A518" s="1" t="s">
        <v>2253</v>
      </c>
      <c r="B518" s="1" t="s">
        <v>449</v>
      </c>
      <c r="C518" s="1" t="s">
        <v>1577</v>
      </c>
      <c r="D518" s="1" t="s">
        <v>1579</v>
      </c>
      <c r="E518" s="3">
        <v>46260.0</v>
      </c>
    </row>
    <row r="519">
      <c r="A519" s="1" t="s">
        <v>2254</v>
      </c>
      <c r="B519" s="1" t="s">
        <v>2255</v>
      </c>
      <c r="C519" s="1" t="s">
        <v>1577</v>
      </c>
      <c r="D519" s="1" t="s">
        <v>1995</v>
      </c>
      <c r="E519" s="3">
        <v>46290.0</v>
      </c>
    </row>
    <row r="520">
      <c r="A520" s="1" t="s">
        <v>2256</v>
      </c>
      <c r="B520" s="1" t="s">
        <v>2255</v>
      </c>
      <c r="C520" s="1" t="s">
        <v>1577</v>
      </c>
      <c r="D520" s="1" t="s">
        <v>2000</v>
      </c>
      <c r="E520" s="3">
        <v>46290.0</v>
      </c>
    </row>
    <row r="521">
      <c r="A521" s="1" t="s">
        <v>2259</v>
      </c>
      <c r="B521" s="1" t="s">
        <v>2255</v>
      </c>
      <c r="C521" s="1" t="s">
        <v>1577</v>
      </c>
      <c r="D521" s="1" t="s">
        <v>1991</v>
      </c>
      <c r="E521" s="3">
        <v>46290.0</v>
      </c>
    </row>
    <row r="522">
      <c r="A522" s="1" t="s">
        <v>2261</v>
      </c>
      <c r="B522" s="1" t="s">
        <v>2262</v>
      </c>
      <c r="C522" s="1" t="s">
        <v>1577</v>
      </c>
      <c r="D522" s="1" t="s">
        <v>1579</v>
      </c>
      <c r="E522" s="3">
        <v>46258.0</v>
      </c>
    </row>
    <row r="523">
      <c r="A523" s="1" t="s">
        <v>2263</v>
      </c>
      <c r="B523" s="1" t="s">
        <v>1781</v>
      </c>
      <c r="C523" s="1" t="s">
        <v>1577</v>
      </c>
      <c r="D523" s="1" t="s">
        <v>1579</v>
      </c>
      <c r="E523" s="3">
        <v>46264.0</v>
      </c>
    </row>
    <row r="524">
      <c r="A524" s="1" t="s">
        <v>2267</v>
      </c>
      <c r="B524" s="1" t="s">
        <v>2269</v>
      </c>
      <c r="C524" s="1" t="s">
        <v>37</v>
      </c>
      <c r="D524" s="1" t="s">
        <v>150</v>
      </c>
      <c r="E524" s="3">
        <v>46295.0</v>
      </c>
    </row>
    <row r="525">
      <c r="A525" s="1" t="s">
        <v>2270</v>
      </c>
      <c r="B525" s="1" t="s">
        <v>2271</v>
      </c>
      <c r="C525" s="1" t="s">
        <v>93</v>
      </c>
      <c r="D525" s="1" t="s">
        <v>79</v>
      </c>
      <c r="E525" s="3">
        <v>46273.0</v>
      </c>
    </row>
    <row r="526">
      <c r="A526" s="1" t="s">
        <v>2273</v>
      </c>
      <c r="B526" s="1" t="s">
        <v>1425</v>
      </c>
      <c r="C526" s="1" t="s">
        <v>93</v>
      </c>
      <c r="D526" s="1" t="s">
        <v>79</v>
      </c>
      <c r="E526" s="3">
        <v>46293.0</v>
      </c>
    </row>
    <row r="527">
      <c r="A527" s="1" t="s">
        <v>2275</v>
      </c>
      <c r="B527" s="1" t="s">
        <v>1425</v>
      </c>
      <c r="C527" s="1" t="s">
        <v>93</v>
      </c>
      <c r="D527" s="1" t="s">
        <v>185</v>
      </c>
      <c r="E527" s="3">
        <v>46293.0</v>
      </c>
    </row>
    <row r="528">
      <c r="A528" s="1" t="s">
        <v>2277</v>
      </c>
      <c r="B528" s="1" t="s">
        <v>2279</v>
      </c>
      <c r="C528" s="1" t="s">
        <v>93</v>
      </c>
      <c r="D528" s="1" t="s">
        <v>79</v>
      </c>
      <c r="E528" s="3">
        <v>46328.0</v>
      </c>
    </row>
    <row r="529">
      <c r="A529" s="1" t="s">
        <v>2280</v>
      </c>
      <c r="B529" s="1" t="s">
        <v>2281</v>
      </c>
      <c r="C529" s="1" t="s">
        <v>93</v>
      </c>
      <c r="D529" s="1" t="s">
        <v>79</v>
      </c>
      <c r="E529" s="3">
        <v>46548.0</v>
      </c>
    </row>
    <row r="530">
      <c r="A530" s="1" t="s">
        <v>2282</v>
      </c>
      <c r="B530" s="1" t="s">
        <v>590</v>
      </c>
      <c r="C530" s="1" t="s">
        <v>1577</v>
      </c>
      <c r="D530" s="1" t="s">
        <v>1579</v>
      </c>
      <c r="E530" s="3">
        <v>46237.0</v>
      </c>
    </row>
    <row r="531">
      <c r="A531" s="1" t="s">
        <v>2285</v>
      </c>
      <c r="B531" s="1" t="s">
        <v>1139</v>
      </c>
      <c r="C531" s="1" t="s">
        <v>1577</v>
      </c>
      <c r="D531" s="1" t="s">
        <v>1991</v>
      </c>
      <c r="E531" s="3">
        <v>46304.0</v>
      </c>
    </row>
    <row r="532">
      <c r="A532" s="1" t="s">
        <v>2286</v>
      </c>
      <c r="B532" s="1" t="s">
        <v>1139</v>
      </c>
      <c r="C532" s="1" t="s">
        <v>1577</v>
      </c>
      <c r="D532" s="1" t="s">
        <v>2000</v>
      </c>
      <c r="E532" s="3">
        <v>46304.0</v>
      </c>
    </row>
    <row r="533">
      <c r="A533" s="1" t="s">
        <v>2287</v>
      </c>
      <c r="B533" s="1" t="s">
        <v>1139</v>
      </c>
      <c r="C533" s="1" t="s">
        <v>1577</v>
      </c>
      <c r="D533" s="1" t="s">
        <v>1995</v>
      </c>
      <c r="E533" s="3">
        <v>46304.0</v>
      </c>
    </row>
    <row r="534">
      <c r="A534" s="1" t="s">
        <v>2288</v>
      </c>
      <c r="B534" s="1" t="s">
        <v>2290</v>
      </c>
      <c r="C534" s="1" t="s">
        <v>1577</v>
      </c>
      <c r="D534" s="1" t="s">
        <v>1579</v>
      </c>
      <c r="E534" s="3">
        <v>46280.0</v>
      </c>
    </row>
    <row r="535">
      <c r="A535" s="1" t="s">
        <v>2292</v>
      </c>
      <c r="B535" s="1" t="s">
        <v>2294</v>
      </c>
      <c r="C535" s="1" t="s">
        <v>1577</v>
      </c>
      <c r="D535" s="1" t="s">
        <v>1579</v>
      </c>
      <c r="E535" s="3">
        <v>46339.0</v>
      </c>
    </row>
    <row r="536">
      <c r="A536" s="1" t="s">
        <v>2296</v>
      </c>
      <c r="B536" s="1" t="s">
        <v>2298</v>
      </c>
      <c r="C536" s="1" t="s">
        <v>1577</v>
      </c>
      <c r="D536" s="1" t="s">
        <v>2002</v>
      </c>
      <c r="E536" s="3">
        <v>46328.0</v>
      </c>
    </row>
    <row r="537">
      <c r="A537" s="1" t="s">
        <v>2300</v>
      </c>
      <c r="B537" s="1" t="s">
        <v>2301</v>
      </c>
      <c r="C537" s="1" t="s">
        <v>1577</v>
      </c>
      <c r="D537" s="1" t="s">
        <v>2302</v>
      </c>
      <c r="E537" s="3">
        <v>46262.0</v>
      </c>
    </row>
    <row r="538">
      <c r="A538" s="1" t="s">
        <v>2303</v>
      </c>
      <c r="B538" s="1" t="s">
        <v>167</v>
      </c>
      <c r="C538" s="1" t="s">
        <v>1577</v>
      </c>
      <c r="D538" s="1" t="s">
        <v>1579</v>
      </c>
      <c r="E538" s="3">
        <v>46325.0</v>
      </c>
    </row>
    <row r="539">
      <c r="A539" s="1" t="s">
        <v>2305</v>
      </c>
      <c r="B539" s="1" t="s">
        <v>167</v>
      </c>
      <c r="C539" s="1" t="s">
        <v>1577</v>
      </c>
      <c r="D539" s="1" t="s">
        <v>2002</v>
      </c>
      <c r="E539" s="3">
        <v>46325.0</v>
      </c>
    </row>
    <row r="540">
      <c r="A540" s="1" t="s">
        <v>2307</v>
      </c>
      <c r="B540" s="1" t="s">
        <v>167</v>
      </c>
      <c r="C540" s="1" t="s">
        <v>1577</v>
      </c>
      <c r="D540" s="1" t="s">
        <v>2000</v>
      </c>
      <c r="E540" s="3">
        <v>46325.0</v>
      </c>
    </row>
    <row r="541">
      <c r="A541" s="1" t="s">
        <v>2309</v>
      </c>
      <c r="B541" s="1" t="s">
        <v>478</v>
      </c>
      <c r="C541" s="1" t="s">
        <v>1577</v>
      </c>
      <c r="D541" s="1" t="s">
        <v>2002</v>
      </c>
      <c r="E541" s="3">
        <v>46318.0</v>
      </c>
    </row>
    <row r="542">
      <c r="A542" s="1" t="s">
        <v>2310</v>
      </c>
      <c r="B542" s="1" t="s">
        <v>478</v>
      </c>
      <c r="C542" s="1" t="s">
        <v>1577</v>
      </c>
      <c r="D542" s="1" t="s">
        <v>1579</v>
      </c>
      <c r="E542" s="3">
        <v>46318.0</v>
      </c>
    </row>
    <row r="543">
      <c r="A543" s="1" t="s">
        <v>2311</v>
      </c>
      <c r="B543" s="1" t="s">
        <v>1256</v>
      </c>
      <c r="C543" s="1" t="s">
        <v>1577</v>
      </c>
      <c r="D543" s="1" t="s">
        <v>1995</v>
      </c>
      <c r="E543" s="3">
        <v>46300.0</v>
      </c>
    </row>
    <row r="544">
      <c r="A544" s="1" t="s">
        <v>2313</v>
      </c>
      <c r="B544" s="1" t="s">
        <v>1256</v>
      </c>
      <c r="C544" s="1" t="s">
        <v>1577</v>
      </c>
      <c r="D544" s="1" t="s">
        <v>2002</v>
      </c>
      <c r="E544" s="3">
        <v>46300.0</v>
      </c>
    </row>
    <row r="545">
      <c r="A545" s="1" t="s">
        <v>2315</v>
      </c>
      <c r="B545" s="1" t="s">
        <v>1256</v>
      </c>
      <c r="C545" s="1" t="s">
        <v>1577</v>
      </c>
      <c r="D545" s="1" t="s">
        <v>1991</v>
      </c>
      <c r="E545" s="3">
        <v>46300.0</v>
      </c>
    </row>
    <row r="546">
      <c r="A546" s="1" t="s">
        <v>2317</v>
      </c>
      <c r="B546" s="1" t="s">
        <v>583</v>
      </c>
      <c r="C546" s="1" t="s">
        <v>1577</v>
      </c>
      <c r="D546" s="1" t="s">
        <v>1579</v>
      </c>
      <c r="E546" s="3">
        <v>46321.0</v>
      </c>
    </row>
    <row r="547">
      <c r="A547" s="1" t="s">
        <v>2318</v>
      </c>
      <c r="B547" s="1" t="s">
        <v>790</v>
      </c>
      <c r="C547" s="1" t="s">
        <v>1577</v>
      </c>
      <c r="D547" s="1" t="s">
        <v>1579</v>
      </c>
      <c r="E547" s="3">
        <v>46366.0</v>
      </c>
    </row>
    <row r="548">
      <c r="A548" s="1" t="s">
        <v>2319</v>
      </c>
      <c r="B548" s="1" t="s">
        <v>827</v>
      </c>
      <c r="C548" s="1" t="s">
        <v>1577</v>
      </c>
      <c r="D548" s="1" t="s">
        <v>1579</v>
      </c>
      <c r="E548" s="3">
        <v>46297.0</v>
      </c>
    </row>
    <row r="549">
      <c r="A549" s="1" t="s">
        <v>2320</v>
      </c>
      <c r="B549" s="1" t="s">
        <v>827</v>
      </c>
      <c r="C549" s="1" t="s">
        <v>1577</v>
      </c>
      <c r="D549" s="1" t="s">
        <v>2000</v>
      </c>
      <c r="E549" s="3">
        <v>46297.0</v>
      </c>
    </row>
    <row r="550">
      <c r="A550" s="1" t="s">
        <v>2323</v>
      </c>
      <c r="B550" s="1" t="s">
        <v>2325</v>
      </c>
      <c r="C550" s="1" t="s">
        <v>1577</v>
      </c>
      <c r="D550" s="1" t="s">
        <v>1579</v>
      </c>
      <c r="E550" s="3">
        <v>46209.0</v>
      </c>
    </row>
    <row r="551">
      <c r="A551" s="1" t="s">
        <v>2326</v>
      </c>
      <c r="B551" s="1" t="s">
        <v>2327</v>
      </c>
      <c r="C551" s="1" t="s">
        <v>1577</v>
      </c>
      <c r="D551" s="1" t="s">
        <v>1579</v>
      </c>
      <c r="E551" s="3">
        <v>46335.0</v>
      </c>
    </row>
    <row r="552">
      <c r="A552" s="1" t="s">
        <v>2328</v>
      </c>
      <c r="B552" s="1" t="s">
        <v>1473</v>
      </c>
      <c r="C552" s="1" t="s">
        <v>1577</v>
      </c>
      <c r="D552" s="1" t="s">
        <v>1579</v>
      </c>
      <c r="E552" s="3">
        <v>46353.0</v>
      </c>
    </row>
    <row r="553">
      <c r="A553" s="1" t="s">
        <v>2329</v>
      </c>
      <c r="B553" s="1" t="s">
        <v>1582</v>
      </c>
      <c r="C553" s="1" t="s">
        <v>1577</v>
      </c>
      <c r="D553" s="1" t="s">
        <v>1579</v>
      </c>
      <c r="E553" s="3">
        <v>46339.0</v>
      </c>
    </row>
    <row r="554">
      <c r="A554" s="1" t="s">
        <v>2332</v>
      </c>
      <c r="B554" s="1" t="s">
        <v>1550</v>
      </c>
      <c r="C554" s="1" t="s">
        <v>1577</v>
      </c>
      <c r="D554" s="1" t="s">
        <v>1579</v>
      </c>
      <c r="E554" s="3">
        <v>46248.0</v>
      </c>
    </row>
    <row r="555">
      <c r="A555" s="1" t="s">
        <v>2333</v>
      </c>
      <c r="B555" s="1" t="s">
        <v>2334</v>
      </c>
      <c r="C555" s="1" t="s">
        <v>1577</v>
      </c>
      <c r="D555" s="1" t="s">
        <v>1579</v>
      </c>
      <c r="E555" s="3">
        <v>46183.0</v>
      </c>
      <c r="F555" s="3">
        <v>46185.0</v>
      </c>
    </row>
    <row r="556">
      <c r="A556" s="1" t="s">
        <v>2335</v>
      </c>
      <c r="B556" s="1" t="s">
        <v>2337</v>
      </c>
      <c r="C556" s="1" t="s">
        <v>1577</v>
      </c>
      <c r="D556" s="1" t="s">
        <v>1579</v>
      </c>
      <c r="E556" s="3">
        <v>46253.0</v>
      </c>
    </row>
    <row r="557">
      <c r="A557" s="1" t="s">
        <v>2338</v>
      </c>
      <c r="B557" s="1" t="s">
        <v>2339</v>
      </c>
      <c r="C557" s="1" t="s">
        <v>1577</v>
      </c>
      <c r="D557" s="1" t="s">
        <v>2000</v>
      </c>
      <c r="E557" s="3">
        <v>46315.0</v>
      </c>
    </row>
    <row r="558">
      <c r="A558" s="1" t="s">
        <v>2340</v>
      </c>
      <c r="B558" s="1" t="s">
        <v>2341</v>
      </c>
      <c r="C558" s="1" t="s">
        <v>1577</v>
      </c>
      <c r="D558" s="1" t="s">
        <v>1579</v>
      </c>
      <c r="E558" s="3">
        <v>46321.0</v>
      </c>
    </row>
    <row r="559">
      <c r="A559" s="1" t="s">
        <v>2342</v>
      </c>
      <c r="B559" s="1" t="s">
        <v>2075</v>
      </c>
      <c r="C559" s="1" t="s">
        <v>1577</v>
      </c>
      <c r="D559" s="1" t="s">
        <v>1579</v>
      </c>
      <c r="E559" s="3">
        <v>46434.0</v>
      </c>
    </row>
    <row r="560">
      <c r="A560" s="1" t="s">
        <v>2345</v>
      </c>
      <c r="B560" s="1" t="s">
        <v>2138</v>
      </c>
      <c r="C560" s="1" t="s">
        <v>1577</v>
      </c>
      <c r="D560" s="1" t="s">
        <v>2000</v>
      </c>
      <c r="E560" s="3">
        <v>46265.0</v>
      </c>
    </row>
    <row r="561">
      <c r="A561" s="1" t="s">
        <v>2348</v>
      </c>
      <c r="B561" s="1" t="s">
        <v>2138</v>
      </c>
      <c r="C561" s="1" t="s">
        <v>1577</v>
      </c>
      <c r="D561" s="1" t="s">
        <v>2002</v>
      </c>
      <c r="E561" s="3">
        <v>46265.0</v>
      </c>
    </row>
    <row r="562">
      <c r="A562" s="1" t="s">
        <v>2349</v>
      </c>
      <c r="B562" s="1" t="s">
        <v>2350</v>
      </c>
      <c r="C562" s="1" t="s">
        <v>1577</v>
      </c>
      <c r="D562" s="1" t="s">
        <v>2000</v>
      </c>
      <c r="E562" s="3">
        <v>46359.0</v>
      </c>
    </row>
    <row r="563">
      <c r="A563" s="1" t="s">
        <v>2351</v>
      </c>
      <c r="B563" s="1" t="s">
        <v>1721</v>
      </c>
      <c r="C563" s="1" t="s">
        <v>1577</v>
      </c>
      <c r="D563" s="1" t="s">
        <v>1579</v>
      </c>
      <c r="E563" s="3">
        <v>46296.0</v>
      </c>
    </row>
    <row r="564">
      <c r="A564" s="1" t="s">
        <v>2353</v>
      </c>
      <c r="B564" s="1" t="s">
        <v>1912</v>
      </c>
      <c r="C564" s="1" t="s">
        <v>1577</v>
      </c>
      <c r="D564" s="1" t="s">
        <v>1579</v>
      </c>
      <c r="E564" s="3">
        <v>46349.0</v>
      </c>
    </row>
    <row r="565">
      <c r="A565" s="1" t="s">
        <v>2357</v>
      </c>
      <c r="B565" s="1" t="s">
        <v>2359</v>
      </c>
      <c r="C565" s="1" t="s">
        <v>621</v>
      </c>
      <c r="D565" s="1" t="s">
        <v>2360</v>
      </c>
      <c r="E565" s="3">
        <v>46297.0</v>
      </c>
    </row>
    <row r="566">
      <c r="A566" s="1" t="s">
        <v>2361</v>
      </c>
      <c r="B566" s="1" t="s">
        <v>2362</v>
      </c>
      <c r="C566" s="1" t="s">
        <v>217</v>
      </c>
      <c r="D566" s="1" t="s">
        <v>318</v>
      </c>
      <c r="E566" s="3">
        <v>46342.0</v>
      </c>
    </row>
    <row r="567">
      <c r="A567" s="1" t="s">
        <v>2363</v>
      </c>
      <c r="B567" s="1" t="s">
        <v>2035</v>
      </c>
      <c r="C567" s="1" t="s">
        <v>1577</v>
      </c>
      <c r="D567" s="1" t="s">
        <v>1579</v>
      </c>
      <c r="E567" s="3">
        <v>46346.0</v>
      </c>
    </row>
    <row r="568">
      <c r="A568" s="1" t="s">
        <v>2364</v>
      </c>
      <c r="B568" s="1" t="s">
        <v>2365</v>
      </c>
      <c r="C568" s="1" t="s">
        <v>1577</v>
      </c>
      <c r="D568" s="1" t="s">
        <v>1579</v>
      </c>
      <c r="E568" s="3">
        <v>46295.0</v>
      </c>
    </row>
    <row r="569">
      <c r="A569" s="1" t="s">
        <v>2368</v>
      </c>
      <c r="B569" s="1" t="s">
        <v>2331</v>
      </c>
      <c r="C569" s="1" t="s">
        <v>1577</v>
      </c>
      <c r="D569" s="1" t="s">
        <v>1579</v>
      </c>
      <c r="E569" s="3">
        <v>46325.0</v>
      </c>
    </row>
    <row r="570">
      <c r="A570" s="1" t="s">
        <v>2370</v>
      </c>
      <c r="B570" s="1" t="s">
        <v>2371</v>
      </c>
      <c r="C570" s="1" t="s">
        <v>1577</v>
      </c>
      <c r="D570" s="1" t="s">
        <v>1579</v>
      </c>
      <c r="E570" s="3">
        <v>46209.0</v>
      </c>
    </row>
    <row r="571">
      <c r="A571" s="1" t="s">
        <v>2372</v>
      </c>
      <c r="B571" s="1" t="s">
        <v>2373</v>
      </c>
      <c r="C571" s="1" t="s">
        <v>1577</v>
      </c>
      <c r="D571" s="1" t="s">
        <v>1579</v>
      </c>
      <c r="E571" s="3">
        <v>46276.0</v>
      </c>
    </row>
    <row r="572">
      <c r="A572" s="1" t="s">
        <v>2375</v>
      </c>
      <c r="B572" s="1" t="s">
        <v>2376</v>
      </c>
      <c r="C572" s="1" t="s">
        <v>1577</v>
      </c>
      <c r="D572" s="1" t="s">
        <v>2000</v>
      </c>
      <c r="E572" s="3">
        <v>46380.0</v>
      </c>
    </row>
    <row r="573">
      <c r="A573" s="1" t="s">
        <v>2378</v>
      </c>
      <c r="B573" s="1" t="s">
        <v>2376</v>
      </c>
      <c r="C573" s="1" t="s">
        <v>1577</v>
      </c>
      <c r="D573" s="1" t="s">
        <v>1579</v>
      </c>
      <c r="E573" s="3">
        <v>46380.0</v>
      </c>
    </row>
    <row r="574">
      <c r="A574" s="1" t="s">
        <v>2384</v>
      </c>
      <c r="B574" s="1" t="s">
        <v>2376</v>
      </c>
      <c r="C574" s="1" t="s">
        <v>1577</v>
      </c>
      <c r="D574" s="1" t="s">
        <v>2002</v>
      </c>
      <c r="E574" s="3">
        <v>46380.0</v>
      </c>
    </row>
    <row r="575">
      <c r="A575" s="1" t="s">
        <v>2387</v>
      </c>
      <c r="B575" s="1" t="s">
        <v>2388</v>
      </c>
      <c r="C575" s="1" t="s">
        <v>217</v>
      </c>
      <c r="D575" s="1" t="s">
        <v>318</v>
      </c>
      <c r="E575" s="3">
        <v>46290.0</v>
      </c>
    </row>
    <row r="576">
      <c r="A576" s="1" t="s">
        <v>2389</v>
      </c>
      <c r="B576" s="1" t="s">
        <v>2390</v>
      </c>
      <c r="C576" s="1" t="s">
        <v>1577</v>
      </c>
      <c r="D576" s="1" t="s">
        <v>1579</v>
      </c>
      <c r="E576" s="3">
        <v>46279.0</v>
      </c>
    </row>
    <row r="577">
      <c r="A577" s="1" t="s">
        <v>2392</v>
      </c>
      <c r="B577" s="1" t="s">
        <v>2393</v>
      </c>
      <c r="C577" s="1" t="s">
        <v>1577</v>
      </c>
      <c r="D577" s="1" t="s">
        <v>2002</v>
      </c>
      <c r="E577" s="3">
        <v>46356.0</v>
      </c>
    </row>
    <row r="578">
      <c r="A578" s="1" t="s">
        <v>2395</v>
      </c>
      <c r="B578" s="1" t="s">
        <v>2393</v>
      </c>
      <c r="C578" s="1" t="s">
        <v>1577</v>
      </c>
      <c r="D578" s="1" t="s">
        <v>2000</v>
      </c>
      <c r="E578" s="3">
        <v>46356.0</v>
      </c>
    </row>
    <row r="579">
      <c r="A579" s="1" t="s">
        <v>2398</v>
      </c>
      <c r="B579" s="1" t="s">
        <v>2393</v>
      </c>
      <c r="C579" s="1" t="s">
        <v>1577</v>
      </c>
      <c r="D579" s="1" t="s">
        <v>1579</v>
      </c>
      <c r="E579" s="3">
        <v>46356.0</v>
      </c>
    </row>
    <row r="580">
      <c r="A580" s="1" t="s">
        <v>2401</v>
      </c>
      <c r="B580" s="1" t="s">
        <v>2402</v>
      </c>
      <c r="C580" s="1" t="s">
        <v>93</v>
      </c>
      <c r="D580" s="1" t="s">
        <v>79</v>
      </c>
      <c r="E580" s="3">
        <v>46132.0</v>
      </c>
    </row>
    <row r="581">
      <c r="A581" s="1" t="s">
        <v>2403</v>
      </c>
      <c r="B581" s="1" t="s">
        <v>2402</v>
      </c>
      <c r="C581" s="1" t="s">
        <v>93</v>
      </c>
      <c r="D581" s="1" t="s">
        <v>2405</v>
      </c>
      <c r="E581" s="3">
        <v>46132.0</v>
      </c>
    </row>
    <row r="582">
      <c r="A582" s="1" t="s">
        <v>2407</v>
      </c>
      <c r="B582" s="1" t="s">
        <v>983</v>
      </c>
      <c r="C582" s="1" t="s">
        <v>93</v>
      </c>
      <c r="D582" s="1" t="s">
        <v>185</v>
      </c>
      <c r="E582" s="3">
        <v>46334.0</v>
      </c>
    </row>
    <row r="583">
      <c r="A583" s="1" t="s">
        <v>2408</v>
      </c>
      <c r="B583" s="1" t="s">
        <v>983</v>
      </c>
      <c r="C583" s="1" t="s">
        <v>93</v>
      </c>
      <c r="D583" s="1" t="s">
        <v>79</v>
      </c>
      <c r="E583" s="3">
        <v>46334.0</v>
      </c>
    </row>
    <row r="584">
      <c r="A584" s="1" t="s">
        <v>2411</v>
      </c>
      <c r="B584" s="1" t="s">
        <v>2412</v>
      </c>
      <c r="C584" s="1" t="s">
        <v>93</v>
      </c>
      <c r="D584" s="1" t="s">
        <v>2405</v>
      </c>
      <c r="E584" s="3">
        <v>46478.0</v>
      </c>
    </row>
    <row r="585">
      <c r="A585" s="1" t="s">
        <v>2415</v>
      </c>
      <c r="B585" s="1" t="s">
        <v>1268</v>
      </c>
      <c r="C585" s="1" t="s">
        <v>37</v>
      </c>
      <c r="D585" s="1" t="s">
        <v>38</v>
      </c>
      <c r="E585" s="3">
        <v>46265.0</v>
      </c>
    </row>
    <row r="586">
      <c r="A586" s="1" t="s">
        <v>2416</v>
      </c>
      <c r="B586" s="1" t="s">
        <v>2417</v>
      </c>
      <c r="C586" s="1" t="s">
        <v>37</v>
      </c>
      <c r="D586" s="1" t="s">
        <v>38</v>
      </c>
      <c r="E586" s="3">
        <v>46295.0</v>
      </c>
    </row>
    <row r="587">
      <c r="A587" s="1" t="s">
        <v>2420</v>
      </c>
      <c r="B587" s="1" t="s">
        <v>2160</v>
      </c>
      <c r="C587" s="1" t="s">
        <v>1577</v>
      </c>
      <c r="D587" s="1" t="s">
        <v>1579</v>
      </c>
      <c r="E587" s="3">
        <v>46287.0</v>
      </c>
    </row>
    <row r="588">
      <c r="A588" s="1" t="s">
        <v>2423</v>
      </c>
      <c r="B588" s="1" t="s">
        <v>2424</v>
      </c>
      <c r="C588" s="1" t="s">
        <v>93</v>
      </c>
      <c r="D588" s="1" t="s">
        <v>79</v>
      </c>
      <c r="E588" s="3">
        <v>46230.0</v>
      </c>
      <c r="F588" s="3">
        <v>46233.0</v>
      </c>
    </row>
    <row r="589">
      <c r="A589" s="1" t="s">
        <v>2425</v>
      </c>
      <c r="B589" s="1" t="s">
        <v>2426</v>
      </c>
      <c r="C589" s="1" t="s">
        <v>217</v>
      </c>
      <c r="D589" s="1" t="s">
        <v>318</v>
      </c>
      <c r="E589" s="3">
        <v>46272.0</v>
      </c>
    </row>
    <row r="590">
      <c r="A590" s="1" t="s">
        <v>2429</v>
      </c>
      <c r="B590" s="1" t="s">
        <v>2431</v>
      </c>
      <c r="C590" s="1" t="s">
        <v>93</v>
      </c>
      <c r="D590" s="1" t="s">
        <v>79</v>
      </c>
      <c r="E590" s="3">
        <v>46245.0</v>
      </c>
    </row>
    <row r="591">
      <c r="A591" s="1" t="s">
        <v>2432</v>
      </c>
      <c r="B591" s="1" t="s">
        <v>2433</v>
      </c>
      <c r="C591" s="1" t="s">
        <v>37</v>
      </c>
      <c r="D591" s="1" t="s">
        <v>38</v>
      </c>
      <c r="E591" s="3">
        <v>46265.0</v>
      </c>
    </row>
    <row r="592">
      <c r="A592" s="1" t="s">
        <v>2434</v>
      </c>
      <c r="B592" s="1" t="s">
        <v>2433</v>
      </c>
      <c r="C592" s="1" t="s">
        <v>37</v>
      </c>
      <c r="D592" s="1" t="s">
        <v>150</v>
      </c>
      <c r="E592" s="3">
        <v>46265.0</v>
      </c>
    </row>
    <row r="593">
      <c r="A593" s="1" t="s">
        <v>2437</v>
      </c>
      <c r="B593" s="1" t="s">
        <v>2438</v>
      </c>
      <c r="C593" s="1" t="s">
        <v>187</v>
      </c>
      <c r="D593" s="1" t="s">
        <v>252</v>
      </c>
      <c r="E593" s="3">
        <v>46377.0</v>
      </c>
    </row>
    <row r="594">
      <c r="A594" s="1" t="s">
        <v>2441</v>
      </c>
      <c r="B594" s="1" t="s">
        <v>2438</v>
      </c>
      <c r="C594" s="1" t="s">
        <v>232</v>
      </c>
      <c r="D594" s="1" t="s">
        <v>257</v>
      </c>
      <c r="E594" s="3">
        <v>46377.0</v>
      </c>
    </row>
    <row r="595">
      <c r="A595" s="1" t="s">
        <v>2442</v>
      </c>
      <c r="B595" s="1" t="s">
        <v>2438</v>
      </c>
      <c r="C595" s="1" t="s">
        <v>100</v>
      </c>
      <c r="D595" s="1" t="s">
        <v>242</v>
      </c>
      <c r="E595" s="3">
        <v>46286.0</v>
      </c>
    </row>
    <row r="596">
      <c r="A596" s="1" t="s">
        <v>2446</v>
      </c>
      <c r="B596" s="1" t="s">
        <v>2438</v>
      </c>
      <c r="C596" s="1" t="s">
        <v>100</v>
      </c>
      <c r="D596" s="1" t="s">
        <v>537</v>
      </c>
      <c r="E596" s="3">
        <v>46286.0</v>
      </c>
    </row>
    <row r="597">
      <c r="A597" s="1" t="s">
        <v>2447</v>
      </c>
      <c r="B597" s="1" t="s">
        <v>2438</v>
      </c>
      <c r="C597" s="1" t="s">
        <v>217</v>
      </c>
      <c r="D597" s="1" t="s">
        <v>1161</v>
      </c>
      <c r="E597" s="3">
        <v>46377.0</v>
      </c>
    </row>
    <row r="598">
      <c r="A598" s="1" t="s">
        <v>2448</v>
      </c>
      <c r="B598" s="1" t="s">
        <v>2438</v>
      </c>
      <c r="C598" s="1" t="s">
        <v>187</v>
      </c>
      <c r="D598" s="1" t="s">
        <v>222</v>
      </c>
      <c r="E598" s="3">
        <v>46377.0</v>
      </c>
    </row>
    <row r="599">
      <c r="A599" s="1" t="s">
        <v>2451</v>
      </c>
      <c r="B599" s="1" t="s">
        <v>2438</v>
      </c>
      <c r="C599" s="1" t="s">
        <v>100</v>
      </c>
      <c r="D599" s="1" t="s">
        <v>307</v>
      </c>
      <c r="E599" s="3">
        <v>46286.0</v>
      </c>
    </row>
    <row r="600">
      <c r="A600" s="1" t="s">
        <v>2453</v>
      </c>
      <c r="B600" s="1" t="s">
        <v>2291</v>
      </c>
      <c r="C600" s="1" t="s">
        <v>1577</v>
      </c>
      <c r="D600" s="1" t="s">
        <v>1579</v>
      </c>
      <c r="E600" s="3">
        <v>46286.0</v>
      </c>
    </row>
    <row r="601">
      <c r="A601" s="1" t="s">
        <v>2457</v>
      </c>
      <c r="B601" s="1" t="s">
        <v>1706</v>
      </c>
      <c r="C601" s="1" t="s">
        <v>37</v>
      </c>
      <c r="D601" s="1" t="s">
        <v>38</v>
      </c>
      <c r="E601" s="3">
        <v>46293.0</v>
      </c>
    </row>
    <row r="602">
      <c r="A602" s="1" t="s">
        <v>2458</v>
      </c>
      <c r="B602" s="1" t="s">
        <v>1706</v>
      </c>
      <c r="C602" s="1" t="s">
        <v>37</v>
      </c>
      <c r="D602" s="1" t="s">
        <v>150</v>
      </c>
      <c r="E602" s="3">
        <v>46265.0</v>
      </c>
    </row>
    <row r="603">
      <c r="A603" s="1" t="s">
        <v>2460</v>
      </c>
      <c r="B603" s="1" t="s">
        <v>2461</v>
      </c>
      <c r="C603" s="1" t="s">
        <v>37</v>
      </c>
      <c r="D603" s="1" t="s">
        <v>150</v>
      </c>
      <c r="E603" s="3">
        <v>46314.0</v>
      </c>
    </row>
    <row r="604">
      <c r="A604" s="1" t="s">
        <v>2462</v>
      </c>
      <c r="B604" s="1" t="s">
        <v>2461</v>
      </c>
      <c r="C604" s="1" t="s">
        <v>37</v>
      </c>
      <c r="D604" s="1" t="s">
        <v>38</v>
      </c>
      <c r="E604" s="3">
        <v>46314.0</v>
      </c>
    </row>
    <row r="605">
      <c r="A605" s="1" t="s">
        <v>2463</v>
      </c>
      <c r="B605" s="1" t="s">
        <v>2465</v>
      </c>
      <c r="C605" s="1" t="s">
        <v>37</v>
      </c>
      <c r="D605" s="1" t="s">
        <v>38</v>
      </c>
      <c r="E605" s="3">
        <v>46237.0</v>
      </c>
    </row>
    <row r="606">
      <c r="A606" s="1" t="s">
        <v>2467</v>
      </c>
      <c r="B606" s="1" t="s">
        <v>2465</v>
      </c>
      <c r="C606" s="1" t="s">
        <v>37</v>
      </c>
      <c r="D606" s="1" t="s">
        <v>150</v>
      </c>
      <c r="E606" s="3">
        <v>46307.0</v>
      </c>
    </row>
    <row r="607">
      <c r="A607" s="1" t="s">
        <v>2469</v>
      </c>
      <c r="B607" s="1" t="s">
        <v>2470</v>
      </c>
      <c r="C607" s="1" t="s">
        <v>37</v>
      </c>
      <c r="D607" s="1" t="s">
        <v>38</v>
      </c>
      <c r="E607" s="3">
        <v>46508.0</v>
      </c>
    </row>
    <row r="608">
      <c r="A608" s="1" t="s">
        <v>2473</v>
      </c>
      <c r="B608" s="1" t="s">
        <v>2475</v>
      </c>
      <c r="C608" s="1" t="s">
        <v>37</v>
      </c>
      <c r="D608" s="1" t="s">
        <v>150</v>
      </c>
      <c r="E608" s="3">
        <v>46273.0</v>
      </c>
    </row>
    <row r="609">
      <c r="A609" s="1" t="s">
        <v>2476</v>
      </c>
      <c r="B609" s="1" t="s">
        <v>2475</v>
      </c>
      <c r="C609" s="1" t="s">
        <v>37</v>
      </c>
      <c r="D609" s="1" t="s">
        <v>38</v>
      </c>
      <c r="E609" s="3">
        <v>46314.0</v>
      </c>
    </row>
    <row r="610">
      <c r="A610" s="1" t="s">
        <v>2480</v>
      </c>
      <c r="B610" s="1" t="s">
        <v>2481</v>
      </c>
      <c r="C610" s="1" t="s">
        <v>1577</v>
      </c>
      <c r="D610" s="1" t="s">
        <v>1579</v>
      </c>
      <c r="E610" s="3">
        <v>46308.0</v>
      </c>
    </row>
    <row r="611">
      <c r="A611" s="1" t="s">
        <v>2483</v>
      </c>
      <c r="B611" s="1" t="s">
        <v>2481</v>
      </c>
      <c r="C611" s="1" t="s">
        <v>1577</v>
      </c>
      <c r="D611" s="1" t="s">
        <v>2002</v>
      </c>
      <c r="E611" s="3">
        <v>46308.0</v>
      </c>
    </row>
    <row r="612">
      <c r="A612" s="1" t="s">
        <v>2486</v>
      </c>
      <c r="B612" s="1" t="s">
        <v>2487</v>
      </c>
      <c r="C612" s="1" t="s">
        <v>1577</v>
      </c>
      <c r="D612" s="1" t="s">
        <v>1579</v>
      </c>
      <c r="E612" s="3">
        <v>46301.0</v>
      </c>
    </row>
    <row r="613">
      <c r="A613" s="1" t="s">
        <v>2491</v>
      </c>
      <c r="B613" s="1" t="s">
        <v>2492</v>
      </c>
      <c r="C613" s="1" t="s">
        <v>1577</v>
      </c>
      <c r="D613" s="1" t="s">
        <v>2002</v>
      </c>
      <c r="E613" s="3">
        <v>46310.0</v>
      </c>
    </row>
    <row r="614">
      <c r="A614" s="1" t="s">
        <v>2493</v>
      </c>
      <c r="B614" s="1" t="s">
        <v>2494</v>
      </c>
      <c r="C614" s="1" t="s">
        <v>93</v>
      </c>
      <c r="D614" s="1" t="s">
        <v>79</v>
      </c>
      <c r="E614" s="3">
        <v>46328.0</v>
      </c>
    </row>
    <row r="615">
      <c r="A615" s="1" t="s">
        <v>2497</v>
      </c>
      <c r="B615" s="1" t="s">
        <v>2494</v>
      </c>
      <c r="C615" s="1" t="s">
        <v>93</v>
      </c>
      <c r="D615" s="1" t="s">
        <v>185</v>
      </c>
      <c r="E615" s="3">
        <v>46328.0</v>
      </c>
    </row>
    <row r="616">
      <c r="A616" s="1" t="s">
        <v>2498</v>
      </c>
      <c r="B616" s="1" t="s">
        <v>2500</v>
      </c>
      <c r="C616" s="1" t="s">
        <v>37</v>
      </c>
      <c r="D616" s="1" t="s">
        <v>150</v>
      </c>
      <c r="E616" s="3">
        <v>46295.0</v>
      </c>
    </row>
    <row r="617">
      <c r="A617" s="1" t="s">
        <v>2504</v>
      </c>
      <c r="B617" s="1" t="s">
        <v>2500</v>
      </c>
      <c r="C617" s="1" t="s">
        <v>37</v>
      </c>
      <c r="D617" s="1" t="s">
        <v>38</v>
      </c>
      <c r="E617" s="3">
        <v>46295.0</v>
      </c>
    </row>
    <row r="618">
      <c r="A618" s="1" t="s">
        <v>2506</v>
      </c>
      <c r="B618" s="1" t="s">
        <v>2507</v>
      </c>
      <c r="C618" s="1" t="s">
        <v>1577</v>
      </c>
      <c r="D618" s="1" t="s">
        <v>1579</v>
      </c>
      <c r="E618" s="3">
        <v>46290.0</v>
      </c>
    </row>
    <row r="619">
      <c r="A619" s="1" t="s">
        <v>2511</v>
      </c>
      <c r="B619" s="1" t="s">
        <v>683</v>
      </c>
      <c r="C619" s="1" t="s">
        <v>37</v>
      </c>
      <c r="D619" s="1" t="s">
        <v>38</v>
      </c>
      <c r="E619" s="3">
        <v>46237.0</v>
      </c>
    </row>
    <row r="620">
      <c r="A620" s="1" t="s">
        <v>2512</v>
      </c>
      <c r="B620" s="1" t="s">
        <v>683</v>
      </c>
      <c r="C620" s="1" t="s">
        <v>37</v>
      </c>
      <c r="D620" s="1" t="s">
        <v>150</v>
      </c>
      <c r="E620" s="3">
        <v>46237.0</v>
      </c>
    </row>
    <row r="621">
      <c r="A621" s="1" t="s">
        <v>2513</v>
      </c>
      <c r="B621" s="1" t="s">
        <v>2514</v>
      </c>
      <c r="C621" s="1" t="s">
        <v>100</v>
      </c>
      <c r="D621" s="1" t="s">
        <v>537</v>
      </c>
      <c r="E621" s="3">
        <v>46204.0</v>
      </c>
      <c r="F621" s="3">
        <v>46204.0</v>
      </c>
    </row>
    <row r="622">
      <c r="A622" s="1" t="s">
        <v>2516</v>
      </c>
      <c r="B622" s="1" t="s">
        <v>2514</v>
      </c>
      <c r="C622" s="1" t="s">
        <v>232</v>
      </c>
      <c r="D622" s="1" t="s">
        <v>1203</v>
      </c>
      <c r="E622" s="3">
        <v>46296.0</v>
      </c>
    </row>
    <row r="623">
      <c r="A623" s="1" t="s">
        <v>2518</v>
      </c>
      <c r="B623" s="1" t="s">
        <v>2514</v>
      </c>
      <c r="C623" s="1" t="s">
        <v>232</v>
      </c>
      <c r="D623" s="1" t="s">
        <v>257</v>
      </c>
      <c r="E623" s="3">
        <v>46296.0</v>
      </c>
    </row>
    <row r="624">
      <c r="A624" s="1" t="s">
        <v>2521</v>
      </c>
      <c r="B624" s="1" t="s">
        <v>2514</v>
      </c>
      <c r="C624" s="1" t="s">
        <v>187</v>
      </c>
      <c r="D624" s="1" t="s">
        <v>222</v>
      </c>
      <c r="E624" s="3">
        <v>46296.0</v>
      </c>
    </row>
    <row r="625">
      <c r="A625" s="1" t="s">
        <v>2523</v>
      </c>
      <c r="B625" s="1" t="s">
        <v>2514</v>
      </c>
      <c r="C625" s="1" t="s">
        <v>100</v>
      </c>
      <c r="D625" s="1" t="s">
        <v>307</v>
      </c>
      <c r="E625" s="3">
        <v>46204.0</v>
      </c>
      <c r="F625" s="3">
        <v>46204.0</v>
      </c>
    </row>
    <row r="626">
      <c r="A626" s="1" t="s">
        <v>2526</v>
      </c>
      <c r="B626" s="1" t="s">
        <v>2514</v>
      </c>
      <c r="C626" s="1" t="s">
        <v>100</v>
      </c>
      <c r="D626" s="1" t="s">
        <v>242</v>
      </c>
      <c r="E626" s="3">
        <v>46266.0</v>
      </c>
    </row>
    <row r="627">
      <c r="A627" s="1" t="s">
        <v>2528</v>
      </c>
      <c r="B627" s="1" t="s">
        <v>2514</v>
      </c>
      <c r="C627" s="1" t="s">
        <v>187</v>
      </c>
      <c r="D627" s="1" t="s">
        <v>252</v>
      </c>
      <c r="E627" s="3">
        <v>46296.0</v>
      </c>
    </row>
    <row r="628">
      <c r="A628" s="1" t="s">
        <v>2532</v>
      </c>
      <c r="B628" s="1" t="s">
        <v>2514</v>
      </c>
      <c r="C628" s="1" t="s">
        <v>100</v>
      </c>
      <c r="D628" s="1" t="s">
        <v>2534</v>
      </c>
      <c r="E628" s="3">
        <v>46204.0</v>
      </c>
      <c r="F628" s="3">
        <v>46204.0</v>
      </c>
    </row>
    <row r="629">
      <c r="A629" s="1" t="s">
        <v>2536</v>
      </c>
      <c r="B629" s="1" t="s">
        <v>1464</v>
      </c>
      <c r="C629" s="1" t="s">
        <v>93</v>
      </c>
      <c r="D629" s="1" t="s">
        <v>79</v>
      </c>
      <c r="E629" s="3">
        <v>46398.0</v>
      </c>
    </row>
    <row r="630">
      <c r="A630" s="1" t="s">
        <v>2537</v>
      </c>
      <c r="B630" s="1" t="s">
        <v>1464</v>
      </c>
      <c r="C630" s="1" t="s">
        <v>93</v>
      </c>
      <c r="D630" s="1" t="s">
        <v>185</v>
      </c>
      <c r="E630" s="3">
        <v>46398.0</v>
      </c>
    </row>
    <row r="631">
      <c r="A631" s="1" t="s">
        <v>2539</v>
      </c>
      <c r="B631" s="1" t="s">
        <v>2540</v>
      </c>
      <c r="C631" s="1" t="s">
        <v>171</v>
      </c>
      <c r="D631" s="1" t="s">
        <v>602</v>
      </c>
      <c r="E631" s="3">
        <v>46295.0</v>
      </c>
    </row>
    <row r="632">
      <c r="A632" s="1" t="s">
        <v>2542</v>
      </c>
      <c r="B632" s="1" t="s">
        <v>2540</v>
      </c>
      <c r="C632" s="1" t="s">
        <v>37</v>
      </c>
      <c r="D632" s="1" t="s">
        <v>1037</v>
      </c>
      <c r="E632" s="3">
        <v>46295.0</v>
      </c>
    </row>
    <row r="633">
      <c r="A633" s="1" t="s">
        <v>2543</v>
      </c>
      <c r="B633" s="1" t="s">
        <v>2540</v>
      </c>
      <c r="C633" s="1" t="s">
        <v>149</v>
      </c>
      <c r="D633" s="1" t="s">
        <v>269</v>
      </c>
      <c r="E633" s="3">
        <v>46295.0</v>
      </c>
    </row>
    <row r="634">
      <c r="A634" s="1" t="s">
        <v>2546</v>
      </c>
      <c r="B634" s="1" t="s">
        <v>2540</v>
      </c>
      <c r="C634" s="1" t="s">
        <v>171</v>
      </c>
      <c r="D634" s="1" t="s">
        <v>679</v>
      </c>
      <c r="E634" s="3">
        <v>46295.0</v>
      </c>
    </row>
    <row r="635">
      <c r="A635" s="1" t="s">
        <v>2548</v>
      </c>
      <c r="B635" s="1" t="s">
        <v>2540</v>
      </c>
      <c r="C635" s="1" t="s">
        <v>171</v>
      </c>
      <c r="D635" s="1" t="s">
        <v>865</v>
      </c>
      <c r="E635" s="3">
        <v>46295.0</v>
      </c>
    </row>
    <row r="636">
      <c r="A636" s="1" t="s">
        <v>2549</v>
      </c>
      <c r="B636" s="1" t="s">
        <v>2540</v>
      </c>
      <c r="C636" s="1" t="s">
        <v>171</v>
      </c>
      <c r="D636" s="1" t="s">
        <v>851</v>
      </c>
      <c r="E636" s="3">
        <v>46295.0</v>
      </c>
    </row>
    <row r="637">
      <c r="A637" s="1" t="s">
        <v>2553</v>
      </c>
      <c r="B637" s="1" t="s">
        <v>2540</v>
      </c>
      <c r="C637" s="1" t="s">
        <v>171</v>
      </c>
      <c r="D637" s="1" t="s">
        <v>618</v>
      </c>
      <c r="E637" s="3">
        <v>46295.0</v>
      </c>
    </row>
    <row r="638">
      <c r="A638" s="1" t="s">
        <v>2555</v>
      </c>
      <c r="B638" s="1" t="s">
        <v>2540</v>
      </c>
      <c r="C638" s="1" t="s">
        <v>37</v>
      </c>
      <c r="D638" s="1" t="s">
        <v>2557</v>
      </c>
      <c r="E638" s="3">
        <v>46295.0</v>
      </c>
    </row>
    <row r="639">
      <c r="A639" s="1" t="s">
        <v>2559</v>
      </c>
      <c r="B639" s="1" t="s">
        <v>2540</v>
      </c>
      <c r="C639" s="1" t="s">
        <v>171</v>
      </c>
      <c r="D639" s="1" t="s">
        <v>334</v>
      </c>
      <c r="E639" s="3">
        <v>46295.0</v>
      </c>
    </row>
    <row r="640">
      <c r="A640" s="1" t="s">
        <v>2560</v>
      </c>
      <c r="B640" s="1" t="s">
        <v>2561</v>
      </c>
      <c r="C640" s="1" t="s">
        <v>93</v>
      </c>
      <c r="D640" s="1" t="s">
        <v>185</v>
      </c>
      <c r="E640" s="3">
        <v>46342.0</v>
      </c>
    </row>
    <row r="641">
      <c r="A641" s="1" t="s">
        <v>2564</v>
      </c>
      <c r="B641" s="1" t="s">
        <v>2561</v>
      </c>
      <c r="C641" s="1" t="s">
        <v>93</v>
      </c>
      <c r="D641" s="1" t="s">
        <v>79</v>
      </c>
      <c r="E641" s="3">
        <v>46342.0</v>
      </c>
    </row>
    <row r="642">
      <c r="A642" s="1" t="s">
        <v>2565</v>
      </c>
      <c r="B642" s="1" t="s">
        <v>2567</v>
      </c>
      <c r="C642" s="1" t="s">
        <v>37</v>
      </c>
      <c r="D642" s="1" t="s">
        <v>38</v>
      </c>
      <c r="E642" s="3">
        <v>46218.0</v>
      </c>
      <c r="F642" s="3">
        <v>46218.0</v>
      </c>
    </row>
    <row r="643">
      <c r="A643" s="1" t="s">
        <v>2571</v>
      </c>
      <c r="B643" s="1" t="s">
        <v>2572</v>
      </c>
      <c r="C643" s="1" t="s">
        <v>93</v>
      </c>
      <c r="D643" s="1" t="s">
        <v>79</v>
      </c>
      <c r="E643" s="3">
        <v>46286.0</v>
      </c>
    </row>
    <row r="644">
      <c r="A644" s="1" t="s">
        <v>2575</v>
      </c>
      <c r="B644" s="1" t="s">
        <v>2577</v>
      </c>
      <c r="C644" s="1" t="s">
        <v>37</v>
      </c>
      <c r="D644" s="1" t="s">
        <v>38</v>
      </c>
      <c r="E644" s="3">
        <v>46374.0</v>
      </c>
    </row>
    <row r="645">
      <c r="A645" s="1" t="s">
        <v>2578</v>
      </c>
      <c r="B645" s="1" t="s">
        <v>2579</v>
      </c>
      <c r="C645" s="1" t="s">
        <v>37</v>
      </c>
      <c r="D645" s="1" t="s">
        <v>150</v>
      </c>
      <c r="E645" s="3">
        <v>46755.0</v>
      </c>
    </row>
    <row r="646">
      <c r="A646" s="1" t="s">
        <v>2580</v>
      </c>
      <c r="B646" s="1" t="s">
        <v>2579</v>
      </c>
      <c r="C646" s="1" t="s">
        <v>149</v>
      </c>
      <c r="D646" s="1" t="s">
        <v>275</v>
      </c>
      <c r="E646" s="3">
        <v>46755.0</v>
      </c>
    </row>
    <row r="647">
      <c r="A647" s="1" t="s">
        <v>2582</v>
      </c>
      <c r="B647" s="1" t="s">
        <v>2579</v>
      </c>
      <c r="C647" s="1" t="s">
        <v>149</v>
      </c>
      <c r="D647" s="1" t="s">
        <v>262</v>
      </c>
      <c r="E647" s="3">
        <v>46755.0</v>
      </c>
    </row>
    <row r="648">
      <c r="A648" s="1" t="s">
        <v>2584</v>
      </c>
      <c r="B648" s="1" t="s">
        <v>2579</v>
      </c>
      <c r="C648" s="1" t="s">
        <v>100</v>
      </c>
      <c r="D648" s="1" t="s">
        <v>906</v>
      </c>
      <c r="E648" s="3">
        <v>46755.0</v>
      </c>
    </row>
    <row r="649">
      <c r="A649" s="1" t="s">
        <v>2586</v>
      </c>
      <c r="B649" s="1" t="s">
        <v>2579</v>
      </c>
      <c r="C649" s="1" t="s">
        <v>149</v>
      </c>
      <c r="D649" s="1" t="s">
        <v>345</v>
      </c>
      <c r="E649" s="3">
        <v>46755.0</v>
      </c>
    </row>
    <row r="650">
      <c r="A650" s="1" t="s">
        <v>2591</v>
      </c>
      <c r="B650" s="1" t="s">
        <v>2579</v>
      </c>
      <c r="C650" s="1" t="s">
        <v>149</v>
      </c>
      <c r="D650" s="1" t="s">
        <v>269</v>
      </c>
      <c r="E650" s="3">
        <v>46755.0</v>
      </c>
    </row>
    <row r="651">
      <c r="A651" s="1" t="s">
        <v>2594</v>
      </c>
      <c r="B651" s="1" t="s">
        <v>2579</v>
      </c>
      <c r="C651" s="1" t="s">
        <v>37</v>
      </c>
      <c r="D651" s="1" t="s">
        <v>38</v>
      </c>
      <c r="E651" s="3">
        <v>46755.0</v>
      </c>
    </row>
    <row r="652">
      <c r="A652" s="1" t="s">
        <v>2596</v>
      </c>
      <c r="B652" s="1" t="s">
        <v>2579</v>
      </c>
      <c r="C652" s="1" t="s">
        <v>149</v>
      </c>
      <c r="D652" s="1" t="s">
        <v>286</v>
      </c>
      <c r="E652" s="3">
        <v>46755.0</v>
      </c>
    </row>
    <row r="653">
      <c r="A653" s="1" t="s">
        <v>2599</v>
      </c>
      <c r="B653" s="1" t="s">
        <v>2579</v>
      </c>
      <c r="C653" s="1" t="s">
        <v>149</v>
      </c>
      <c r="D653" s="1" t="s">
        <v>301</v>
      </c>
      <c r="E653" s="3">
        <v>46755.0</v>
      </c>
    </row>
    <row r="654">
      <c r="A654" s="1" t="s">
        <v>2602</v>
      </c>
      <c r="B654" s="1" t="s">
        <v>2579</v>
      </c>
      <c r="C654" s="1" t="s">
        <v>217</v>
      </c>
      <c r="D654" s="1" t="s">
        <v>318</v>
      </c>
      <c r="E654" s="3">
        <v>46631.0</v>
      </c>
    </row>
    <row r="655">
      <c r="A655" s="1" t="s">
        <v>2606</v>
      </c>
      <c r="B655" s="1" t="s">
        <v>2579</v>
      </c>
      <c r="C655" s="1" t="s">
        <v>217</v>
      </c>
      <c r="D655" s="1" t="s">
        <v>230</v>
      </c>
      <c r="E655" s="3">
        <v>46631.0</v>
      </c>
    </row>
    <row r="656">
      <c r="A656" s="1" t="s">
        <v>2608</v>
      </c>
      <c r="B656" s="1" t="s">
        <v>2579</v>
      </c>
      <c r="C656" s="1" t="s">
        <v>100</v>
      </c>
      <c r="D656" s="1" t="s">
        <v>537</v>
      </c>
      <c r="E656" s="3">
        <v>46631.0</v>
      </c>
    </row>
    <row r="657">
      <c r="A657" s="1" t="s">
        <v>2609</v>
      </c>
      <c r="B657" s="1" t="s">
        <v>2579</v>
      </c>
      <c r="C657" s="1" t="s">
        <v>100</v>
      </c>
      <c r="D657" s="1" t="s">
        <v>252</v>
      </c>
      <c r="E657" s="3">
        <v>46631.0</v>
      </c>
    </row>
    <row r="658">
      <c r="A658" s="1" t="s">
        <v>2613</v>
      </c>
      <c r="B658" s="1" t="s">
        <v>2579</v>
      </c>
      <c r="C658" s="1" t="s">
        <v>149</v>
      </c>
      <c r="D658" s="1" t="s">
        <v>278</v>
      </c>
      <c r="E658" s="3">
        <v>46755.0</v>
      </c>
    </row>
    <row r="659">
      <c r="A659" s="1" t="s">
        <v>2616</v>
      </c>
      <c r="B659" s="1" t="s">
        <v>2579</v>
      </c>
      <c r="C659" s="1" t="s">
        <v>171</v>
      </c>
      <c r="D659" s="1" t="s">
        <v>334</v>
      </c>
      <c r="E659" s="3">
        <v>46755.0</v>
      </c>
    </row>
    <row r="660">
      <c r="A660" s="1" t="s">
        <v>2618</v>
      </c>
      <c r="B660" s="1" t="s">
        <v>2579</v>
      </c>
      <c r="C660" s="1" t="s">
        <v>149</v>
      </c>
      <c r="D660" s="1" t="s">
        <v>611</v>
      </c>
      <c r="E660" s="3">
        <v>46755.0</v>
      </c>
    </row>
    <row r="661">
      <c r="A661" s="1" t="s">
        <v>2624</v>
      </c>
      <c r="B661" s="1" t="s">
        <v>2579</v>
      </c>
      <c r="C661" s="1" t="s">
        <v>149</v>
      </c>
      <c r="D661" s="1" t="s">
        <v>397</v>
      </c>
      <c r="E661" s="3">
        <v>46755.0</v>
      </c>
    </row>
    <row r="662">
      <c r="A662" s="1" t="s">
        <v>2627</v>
      </c>
      <c r="B662" s="1" t="s">
        <v>2579</v>
      </c>
      <c r="C662" s="1" t="s">
        <v>171</v>
      </c>
      <c r="D662" s="1" t="s">
        <v>618</v>
      </c>
      <c r="E662" s="3">
        <v>46755.0</v>
      </c>
    </row>
    <row r="663">
      <c r="A663" s="1" t="s">
        <v>2629</v>
      </c>
      <c r="B663" s="1" t="s">
        <v>2579</v>
      </c>
      <c r="C663" s="1" t="s">
        <v>244</v>
      </c>
      <c r="D663" s="1" t="s">
        <v>72</v>
      </c>
      <c r="E663" s="3">
        <v>46755.0</v>
      </c>
    </row>
    <row r="664">
      <c r="A664" s="1" t="s">
        <v>2633</v>
      </c>
      <c r="B664" s="1" t="s">
        <v>2579</v>
      </c>
      <c r="C664" s="1" t="s">
        <v>100</v>
      </c>
      <c r="D664" s="1" t="s">
        <v>307</v>
      </c>
      <c r="E664" s="3">
        <v>46631.0</v>
      </c>
    </row>
    <row r="665">
      <c r="A665" s="1" t="s">
        <v>2634</v>
      </c>
      <c r="B665" s="1" t="s">
        <v>2579</v>
      </c>
      <c r="C665" s="1" t="s">
        <v>100</v>
      </c>
      <c r="D665" s="1" t="s">
        <v>242</v>
      </c>
      <c r="E665" s="3">
        <v>46631.0</v>
      </c>
    </row>
    <row r="666">
      <c r="A666" s="1" t="s">
        <v>2637</v>
      </c>
      <c r="B666" s="1" t="s">
        <v>2579</v>
      </c>
      <c r="C666" s="1" t="s">
        <v>232</v>
      </c>
      <c r="D666" s="1" t="s">
        <v>1203</v>
      </c>
      <c r="E666" s="3">
        <v>46631.0</v>
      </c>
    </row>
    <row r="667">
      <c r="A667" s="1" t="s">
        <v>2640</v>
      </c>
      <c r="B667" s="1" t="s">
        <v>2579</v>
      </c>
      <c r="C667" s="1" t="s">
        <v>187</v>
      </c>
      <c r="D667" s="1" t="s">
        <v>222</v>
      </c>
      <c r="E667" s="3">
        <v>46631.0</v>
      </c>
    </row>
    <row r="668">
      <c r="A668" s="1" t="s">
        <v>2641</v>
      </c>
      <c r="B668" s="1" t="s">
        <v>2533</v>
      </c>
      <c r="C668" s="1" t="s">
        <v>37</v>
      </c>
      <c r="D668" s="1" t="s">
        <v>38</v>
      </c>
      <c r="E668" s="3">
        <v>46262.0</v>
      </c>
    </row>
    <row r="669">
      <c r="A669" s="1" t="s">
        <v>2645</v>
      </c>
      <c r="B669" s="1" t="s">
        <v>2646</v>
      </c>
      <c r="C669" s="1" t="s">
        <v>93</v>
      </c>
      <c r="D669" s="1" t="s">
        <v>79</v>
      </c>
      <c r="E669" s="3">
        <v>46335.0</v>
      </c>
    </row>
    <row r="670">
      <c r="A670" s="1" t="s">
        <v>2647</v>
      </c>
      <c r="B670" s="1" t="s">
        <v>2646</v>
      </c>
      <c r="C670" s="1" t="s">
        <v>93</v>
      </c>
      <c r="D670" s="1" t="s">
        <v>185</v>
      </c>
      <c r="E670" s="3">
        <v>46335.0</v>
      </c>
    </row>
    <row r="671">
      <c r="A671" s="1" t="s">
        <v>2651</v>
      </c>
      <c r="B671" s="1" t="s">
        <v>2344</v>
      </c>
      <c r="C671" s="1" t="s">
        <v>93</v>
      </c>
      <c r="D671" s="1" t="s">
        <v>79</v>
      </c>
      <c r="E671" s="3">
        <v>46328.0</v>
      </c>
    </row>
    <row r="672">
      <c r="A672" s="1" t="s">
        <v>2653</v>
      </c>
      <c r="B672" s="1" t="s">
        <v>2655</v>
      </c>
      <c r="C672" s="1" t="s">
        <v>93</v>
      </c>
      <c r="D672" s="1" t="s">
        <v>79</v>
      </c>
      <c r="E672" s="3">
        <v>46391.0</v>
      </c>
    </row>
    <row r="673">
      <c r="A673" s="1" t="s">
        <v>2657</v>
      </c>
      <c r="B673" s="1" t="s">
        <v>846</v>
      </c>
      <c r="C673" s="1" t="s">
        <v>93</v>
      </c>
      <c r="D673" s="1" t="s">
        <v>79</v>
      </c>
      <c r="E673" s="3">
        <v>46363.0</v>
      </c>
    </row>
    <row r="674">
      <c r="A674" s="1" t="s">
        <v>2658</v>
      </c>
      <c r="B674" s="1" t="s">
        <v>846</v>
      </c>
      <c r="C674" s="1" t="s">
        <v>93</v>
      </c>
      <c r="D674" s="1" t="s">
        <v>185</v>
      </c>
      <c r="E674" s="3">
        <v>46363.0</v>
      </c>
    </row>
    <row r="675">
      <c r="A675" s="1" t="s">
        <v>2661</v>
      </c>
      <c r="B675" s="1" t="s">
        <v>2165</v>
      </c>
      <c r="C675" s="1" t="s">
        <v>93</v>
      </c>
      <c r="D675" s="1" t="s">
        <v>79</v>
      </c>
      <c r="E675" s="3">
        <v>46314.0</v>
      </c>
    </row>
    <row r="676">
      <c r="A676" s="1" t="s">
        <v>2663</v>
      </c>
      <c r="B676" s="1" t="s">
        <v>2165</v>
      </c>
      <c r="C676" s="1" t="s">
        <v>93</v>
      </c>
      <c r="D676" s="1" t="s">
        <v>185</v>
      </c>
      <c r="E676" s="3">
        <v>46314.0</v>
      </c>
    </row>
    <row r="677">
      <c r="A677" s="1" t="s">
        <v>2666</v>
      </c>
      <c r="B677" s="1" t="s">
        <v>2667</v>
      </c>
      <c r="C677" s="1" t="s">
        <v>37</v>
      </c>
      <c r="D677" s="1" t="s">
        <v>2668</v>
      </c>
      <c r="E677" s="3">
        <v>46296.0</v>
      </c>
    </row>
    <row r="678">
      <c r="A678" s="1" t="s">
        <v>2669</v>
      </c>
      <c r="B678" s="1" t="s">
        <v>2667</v>
      </c>
      <c r="C678" s="1" t="s">
        <v>37</v>
      </c>
      <c r="D678" s="1" t="s">
        <v>1037</v>
      </c>
      <c r="E678" s="3">
        <v>46296.0</v>
      </c>
    </row>
    <row r="679">
      <c r="A679" s="1" t="s">
        <v>2672</v>
      </c>
      <c r="B679" s="1" t="s">
        <v>2455</v>
      </c>
      <c r="C679" s="1" t="s">
        <v>37</v>
      </c>
      <c r="D679" s="1" t="s">
        <v>38</v>
      </c>
      <c r="E679" s="3">
        <v>46295.0</v>
      </c>
    </row>
    <row r="680">
      <c r="A680" s="1" t="s">
        <v>2674</v>
      </c>
      <c r="B680" s="1" t="s">
        <v>2212</v>
      </c>
      <c r="C680" s="1" t="s">
        <v>1577</v>
      </c>
      <c r="D680" s="1" t="s">
        <v>2000</v>
      </c>
      <c r="E680" s="3">
        <v>46339.0</v>
      </c>
    </row>
    <row r="681">
      <c r="A681" s="1" t="s">
        <v>2675</v>
      </c>
      <c r="B681" s="1" t="s">
        <v>2212</v>
      </c>
      <c r="C681" s="1" t="s">
        <v>1577</v>
      </c>
      <c r="D681" s="1" t="s">
        <v>1579</v>
      </c>
      <c r="E681" s="3">
        <v>46339.0</v>
      </c>
    </row>
    <row r="682">
      <c r="A682" s="1" t="s">
        <v>2678</v>
      </c>
      <c r="B682" s="1" t="s">
        <v>2212</v>
      </c>
      <c r="C682" s="1" t="s">
        <v>1577</v>
      </c>
      <c r="D682" s="1" t="s">
        <v>1991</v>
      </c>
      <c r="E682" s="3">
        <v>46339.0</v>
      </c>
    </row>
    <row r="683">
      <c r="A683" s="1" t="s">
        <v>2679</v>
      </c>
      <c r="B683" s="1" t="s">
        <v>731</v>
      </c>
      <c r="C683" s="1" t="s">
        <v>171</v>
      </c>
      <c r="D683" s="1" t="s">
        <v>865</v>
      </c>
      <c r="E683" s="3">
        <v>46339.0</v>
      </c>
    </row>
    <row r="684">
      <c r="A684" s="1" t="s">
        <v>2682</v>
      </c>
      <c r="B684" s="1" t="s">
        <v>731</v>
      </c>
      <c r="C684" s="1" t="s">
        <v>37</v>
      </c>
      <c r="D684" s="1" t="s">
        <v>150</v>
      </c>
      <c r="E684" s="3">
        <v>46339.0</v>
      </c>
    </row>
    <row r="685">
      <c r="A685" s="1" t="s">
        <v>2685</v>
      </c>
      <c r="B685" s="1" t="s">
        <v>696</v>
      </c>
      <c r="C685" s="1" t="s">
        <v>37</v>
      </c>
      <c r="D685" s="1" t="s">
        <v>2668</v>
      </c>
      <c r="E685" s="3">
        <v>46297.0</v>
      </c>
    </row>
    <row r="686">
      <c r="A686" s="1" t="s">
        <v>2686</v>
      </c>
      <c r="B686" s="1" t="s">
        <v>696</v>
      </c>
      <c r="C686" s="1" t="s">
        <v>37</v>
      </c>
      <c r="D686" s="1" t="s">
        <v>1037</v>
      </c>
      <c r="E686" s="3">
        <v>46297.0</v>
      </c>
    </row>
    <row r="687">
      <c r="A687" s="1" t="s">
        <v>2688</v>
      </c>
      <c r="B687" s="1" t="s">
        <v>2066</v>
      </c>
      <c r="C687" s="1" t="s">
        <v>1577</v>
      </c>
      <c r="D687" s="1" t="s">
        <v>2000</v>
      </c>
      <c r="E687" s="3">
        <v>46367.0</v>
      </c>
    </row>
    <row r="688">
      <c r="A688" s="1" t="s">
        <v>2691</v>
      </c>
      <c r="B688" s="1" t="s">
        <v>2692</v>
      </c>
      <c r="C688" s="1" t="s">
        <v>93</v>
      </c>
      <c r="D688" s="1" t="s">
        <v>2693</v>
      </c>
      <c r="E688" s="3">
        <v>46370.0</v>
      </c>
    </row>
    <row r="689">
      <c r="A689" s="1" t="s">
        <v>2695</v>
      </c>
      <c r="B689" s="1" t="s">
        <v>2696</v>
      </c>
      <c r="C689" s="1" t="s">
        <v>93</v>
      </c>
      <c r="D689" s="1" t="s">
        <v>2405</v>
      </c>
      <c r="E689" s="3">
        <v>46308.0</v>
      </c>
    </row>
    <row r="690">
      <c r="A690" s="1" t="s">
        <v>2700</v>
      </c>
      <c r="B690" s="1" t="s">
        <v>2701</v>
      </c>
      <c r="C690" s="1" t="s">
        <v>37</v>
      </c>
      <c r="D690" s="1" t="s">
        <v>38</v>
      </c>
      <c r="E690" s="3">
        <v>46631.0</v>
      </c>
    </row>
    <row r="691">
      <c r="A691" s="1" t="s">
        <v>2702</v>
      </c>
      <c r="B691" s="1" t="s">
        <v>2501</v>
      </c>
      <c r="C691" s="1" t="s">
        <v>1577</v>
      </c>
      <c r="D691" s="1" t="s">
        <v>2302</v>
      </c>
      <c r="E691" s="3">
        <v>46300.0</v>
      </c>
    </row>
    <row r="692">
      <c r="A692" s="1" t="s">
        <v>2704</v>
      </c>
      <c r="B692" s="1" t="s">
        <v>2705</v>
      </c>
      <c r="C692" s="1" t="s">
        <v>1577</v>
      </c>
      <c r="D692" s="1" t="s">
        <v>1579</v>
      </c>
      <c r="E692" s="3">
        <v>46349.0</v>
      </c>
    </row>
    <row r="693">
      <c r="A693" s="1" t="s">
        <v>2709</v>
      </c>
      <c r="B693" s="1" t="s">
        <v>2710</v>
      </c>
      <c r="C693" s="1" t="s">
        <v>93</v>
      </c>
      <c r="D693" s="1" t="s">
        <v>79</v>
      </c>
      <c r="E693" s="3">
        <v>46269.0</v>
      </c>
    </row>
    <row r="694">
      <c r="A694" s="1" t="s">
        <v>2711</v>
      </c>
      <c r="B694" s="1" t="s">
        <v>2712</v>
      </c>
      <c r="C694" s="1" t="s">
        <v>1577</v>
      </c>
      <c r="D694" s="1" t="s">
        <v>2000</v>
      </c>
      <c r="E694" s="3">
        <v>46363.0</v>
      </c>
    </row>
    <row r="695">
      <c r="A695" s="1" t="s">
        <v>2714</v>
      </c>
      <c r="B695" s="1" t="s">
        <v>2712</v>
      </c>
      <c r="C695" s="1" t="s">
        <v>1577</v>
      </c>
      <c r="D695" s="1" t="s">
        <v>1995</v>
      </c>
      <c r="E695" s="3">
        <v>46363.0</v>
      </c>
    </row>
    <row r="696">
      <c r="A696" s="1" t="s">
        <v>2717</v>
      </c>
      <c r="B696" s="1" t="s">
        <v>2718</v>
      </c>
      <c r="C696" s="1" t="s">
        <v>37</v>
      </c>
      <c r="D696" s="1" t="s">
        <v>150</v>
      </c>
      <c r="E696" s="3">
        <v>46279.0</v>
      </c>
    </row>
    <row r="697">
      <c r="A697" s="1" t="s">
        <v>2719</v>
      </c>
      <c r="B697" s="1" t="s">
        <v>2194</v>
      </c>
      <c r="C697" s="1" t="s">
        <v>1577</v>
      </c>
      <c r="D697" s="1" t="s">
        <v>1579</v>
      </c>
      <c r="E697" s="3">
        <v>46374.0</v>
      </c>
    </row>
    <row r="698">
      <c r="A698" s="1" t="s">
        <v>2721</v>
      </c>
      <c r="B698" s="1" t="s">
        <v>2722</v>
      </c>
      <c r="C698" s="1" t="s">
        <v>37</v>
      </c>
      <c r="D698" s="1" t="s">
        <v>38</v>
      </c>
      <c r="E698" s="3">
        <v>46266.0</v>
      </c>
    </row>
    <row r="699">
      <c r="A699" s="1" t="s">
        <v>2724</v>
      </c>
      <c r="B699" s="1" t="s">
        <v>2725</v>
      </c>
      <c r="C699" s="1" t="s">
        <v>1577</v>
      </c>
      <c r="D699" s="1" t="s">
        <v>1579</v>
      </c>
      <c r="E699" s="3">
        <v>46387.0</v>
      </c>
    </row>
    <row r="700">
      <c r="A700" s="1" t="s">
        <v>2727</v>
      </c>
      <c r="B700" s="1" t="s">
        <v>1485</v>
      </c>
      <c r="C700" s="1" t="s">
        <v>1577</v>
      </c>
      <c r="D700" s="1" t="s">
        <v>1579</v>
      </c>
      <c r="E700" s="3">
        <v>46342.0</v>
      </c>
    </row>
    <row r="701">
      <c r="A701" s="1" t="s">
        <v>2729</v>
      </c>
      <c r="B701" s="1" t="s">
        <v>2730</v>
      </c>
      <c r="C701" s="1" t="s">
        <v>37</v>
      </c>
      <c r="D701" s="1" t="s">
        <v>38</v>
      </c>
      <c r="E701" s="3">
        <v>46508.0</v>
      </c>
    </row>
    <row r="702">
      <c r="A702" s="1" t="s">
        <v>2733</v>
      </c>
      <c r="B702" s="1" t="s">
        <v>2734</v>
      </c>
      <c r="C702" s="1" t="s">
        <v>37</v>
      </c>
      <c r="D702" s="1" t="s">
        <v>150</v>
      </c>
      <c r="E702" s="3">
        <v>46290.0</v>
      </c>
    </row>
    <row r="703">
      <c r="A703" s="1" t="s">
        <v>2736</v>
      </c>
      <c r="B703" s="1" t="s">
        <v>2734</v>
      </c>
      <c r="C703" s="1" t="s">
        <v>37</v>
      </c>
      <c r="D703" s="1" t="s">
        <v>38</v>
      </c>
      <c r="E703" s="3">
        <v>46290.0</v>
      </c>
    </row>
    <row r="704">
      <c r="A704" s="1" t="s">
        <v>2738</v>
      </c>
      <c r="B704" s="1" t="s">
        <v>2739</v>
      </c>
      <c r="C704" s="1" t="s">
        <v>1577</v>
      </c>
      <c r="D704" s="1" t="s">
        <v>1579</v>
      </c>
      <c r="E704" s="3">
        <v>46374.0</v>
      </c>
    </row>
    <row r="705">
      <c r="A705" s="1" t="s">
        <v>2742</v>
      </c>
      <c r="B705" s="1" t="s">
        <v>2743</v>
      </c>
      <c r="C705" s="1" t="s">
        <v>93</v>
      </c>
      <c r="D705" s="1" t="s">
        <v>79</v>
      </c>
      <c r="E705" s="3">
        <v>46341.0</v>
      </c>
    </row>
    <row r="706">
      <c r="A706" s="1" t="s">
        <v>2744</v>
      </c>
      <c r="B706" s="1" t="s">
        <v>2745</v>
      </c>
      <c r="C706" s="1" t="s">
        <v>93</v>
      </c>
      <c r="D706" s="1" t="s">
        <v>79</v>
      </c>
      <c r="E706" s="3">
        <v>46314.0</v>
      </c>
    </row>
    <row r="707">
      <c r="A707" s="1" t="s">
        <v>2746</v>
      </c>
      <c r="B707" s="1" t="s">
        <v>2747</v>
      </c>
      <c r="C707" s="1" t="s">
        <v>93</v>
      </c>
      <c r="D707" s="1" t="s">
        <v>185</v>
      </c>
      <c r="E707" s="3">
        <v>46391.0</v>
      </c>
    </row>
    <row r="708">
      <c r="A708" s="1" t="s">
        <v>2750</v>
      </c>
      <c r="B708" s="1" t="s">
        <v>2747</v>
      </c>
      <c r="C708" s="1" t="s">
        <v>93</v>
      </c>
      <c r="D708" s="1" t="s">
        <v>79</v>
      </c>
      <c r="E708" s="3">
        <v>46391.0</v>
      </c>
    </row>
    <row r="709">
      <c r="A709" s="1" t="s">
        <v>2752</v>
      </c>
      <c r="B709" s="1" t="s">
        <v>2753</v>
      </c>
      <c r="C709" s="1" t="s">
        <v>93</v>
      </c>
      <c r="D709" s="1" t="s">
        <v>79</v>
      </c>
      <c r="E709" s="3">
        <v>46293.0</v>
      </c>
    </row>
    <row r="710">
      <c r="A710" s="1" t="s">
        <v>2754</v>
      </c>
      <c r="B710" s="1" t="s">
        <v>689</v>
      </c>
      <c r="C710" s="1" t="s">
        <v>93</v>
      </c>
      <c r="D710" s="1" t="s">
        <v>79</v>
      </c>
      <c r="E710" s="3">
        <v>46391.0</v>
      </c>
    </row>
    <row r="711">
      <c r="A711" s="1" t="s">
        <v>2755</v>
      </c>
      <c r="B711" s="1" t="s">
        <v>2756</v>
      </c>
      <c r="C711" s="1" t="s">
        <v>93</v>
      </c>
      <c r="D711" s="1" t="s">
        <v>79</v>
      </c>
      <c r="E711" s="3">
        <v>46335.0</v>
      </c>
    </row>
    <row r="712">
      <c r="A712" s="1" t="s">
        <v>2757</v>
      </c>
      <c r="B712" s="1" t="s">
        <v>2758</v>
      </c>
      <c r="C712" s="1" t="s">
        <v>93</v>
      </c>
      <c r="D712" s="1" t="s">
        <v>79</v>
      </c>
      <c r="E712" s="3">
        <v>46417.0</v>
      </c>
    </row>
    <row r="713">
      <c r="A713" s="1" t="s">
        <v>2761</v>
      </c>
      <c r="B713" s="1" t="s">
        <v>2763</v>
      </c>
      <c r="C713" s="1" t="s">
        <v>93</v>
      </c>
      <c r="D713" s="1" t="s">
        <v>79</v>
      </c>
      <c r="E713" s="3">
        <v>46387.0</v>
      </c>
    </row>
    <row r="714">
      <c r="A714" s="1" t="s">
        <v>2764</v>
      </c>
      <c r="B714" s="1" t="s">
        <v>2763</v>
      </c>
      <c r="C714" s="1" t="s">
        <v>93</v>
      </c>
      <c r="D714" s="1" t="s">
        <v>185</v>
      </c>
      <c r="E714" s="3">
        <v>46387.0</v>
      </c>
    </row>
    <row r="715">
      <c r="A715" s="1" t="s">
        <v>2765</v>
      </c>
      <c r="B715" s="1" t="s">
        <v>2766</v>
      </c>
      <c r="C715" s="1" t="s">
        <v>93</v>
      </c>
      <c r="D715" s="1" t="s">
        <v>79</v>
      </c>
      <c r="E715" s="3">
        <v>46307.0</v>
      </c>
    </row>
    <row r="716">
      <c r="A716" s="1" t="s">
        <v>2767</v>
      </c>
      <c r="B716" s="1" t="s">
        <v>404</v>
      </c>
      <c r="C716" s="1" t="s">
        <v>93</v>
      </c>
      <c r="D716" s="1" t="s">
        <v>79</v>
      </c>
      <c r="E716" s="3">
        <v>46267.0</v>
      </c>
    </row>
    <row r="717">
      <c r="A717" s="1" t="s">
        <v>2769</v>
      </c>
      <c r="B717" s="1" t="s">
        <v>2771</v>
      </c>
      <c r="C717" s="1" t="s">
        <v>171</v>
      </c>
      <c r="D717" s="1" t="s">
        <v>679</v>
      </c>
      <c r="E717" s="3">
        <v>46279.0</v>
      </c>
    </row>
    <row r="718">
      <c r="A718" s="1" t="s">
        <v>2773</v>
      </c>
      <c r="B718" s="1" t="s">
        <v>2771</v>
      </c>
      <c r="C718" s="1" t="s">
        <v>171</v>
      </c>
      <c r="D718" s="1" t="s">
        <v>334</v>
      </c>
      <c r="E718" s="3">
        <v>46279.0</v>
      </c>
    </row>
    <row r="719">
      <c r="A719" s="1" t="s">
        <v>2774</v>
      </c>
      <c r="B719" s="1" t="s">
        <v>2771</v>
      </c>
      <c r="C719" s="1" t="s">
        <v>37</v>
      </c>
      <c r="D719" s="1" t="s">
        <v>38</v>
      </c>
      <c r="E719" s="3">
        <v>46279.0</v>
      </c>
    </row>
    <row r="720">
      <c r="A720" s="1" t="s">
        <v>2775</v>
      </c>
      <c r="B720" s="1" t="s">
        <v>2776</v>
      </c>
      <c r="C720" s="1" t="s">
        <v>93</v>
      </c>
      <c r="D720" s="1" t="s">
        <v>2405</v>
      </c>
      <c r="E720" s="3">
        <v>46309.0</v>
      </c>
    </row>
    <row r="721">
      <c r="A721" s="1" t="s">
        <v>2777</v>
      </c>
      <c r="B721" s="1" t="s">
        <v>2778</v>
      </c>
      <c r="C721" s="1" t="s">
        <v>1577</v>
      </c>
      <c r="D721" s="1" t="s">
        <v>1579</v>
      </c>
      <c r="E721" s="3">
        <v>46328.0</v>
      </c>
    </row>
    <row r="722">
      <c r="A722" s="1" t="s">
        <v>2780</v>
      </c>
      <c r="B722" s="1" t="s">
        <v>2525</v>
      </c>
      <c r="C722" s="1" t="s">
        <v>1577</v>
      </c>
      <c r="D722" s="1" t="s">
        <v>1579</v>
      </c>
      <c r="E722" s="3">
        <v>46321.0</v>
      </c>
    </row>
    <row r="723">
      <c r="A723" s="1" t="s">
        <v>2784</v>
      </c>
      <c r="B723" s="1" t="s">
        <v>2786</v>
      </c>
      <c r="C723" s="1" t="s">
        <v>37</v>
      </c>
      <c r="D723" s="1" t="s">
        <v>38</v>
      </c>
      <c r="E723" s="3">
        <v>46327.0</v>
      </c>
    </row>
    <row r="724">
      <c r="A724" s="1" t="s">
        <v>2787</v>
      </c>
      <c r="B724" s="1" t="s">
        <v>2786</v>
      </c>
      <c r="C724" s="1" t="s">
        <v>37</v>
      </c>
      <c r="D724" s="1" t="s">
        <v>150</v>
      </c>
      <c r="E724" s="3">
        <v>46327.0</v>
      </c>
    </row>
    <row r="725">
      <c r="A725" s="1" t="s">
        <v>2788</v>
      </c>
      <c r="B725" s="1" t="s">
        <v>2789</v>
      </c>
      <c r="C725" s="1" t="s">
        <v>290</v>
      </c>
      <c r="D725" s="1" t="s">
        <v>2790</v>
      </c>
      <c r="E725" s="3">
        <v>46276.0</v>
      </c>
    </row>
    <row r="726">
      <c r="A726" s="1" t="s">
        <v>2791</v>
      </c>
      <c r="B726" s="1" t="s">
        <v>2789</v>
      </c>
      <c r="C726" s="1" t="s">
        <v>290</v>
      </c>
      <c r="D726" s="1" t="s">
        <v>2792</v>
      </c>
      <c r="E726" s="3">
        <v>46276.0</v>
      </c>
    </row>
    <row r="727">
      <c r="A727" s="1" t="s">
        <v>2793</v>
      </c>
      <c r="B727" s="1" t="s">
        <v>2794</v>
      </c>
      <c r="C727" s="1" t="s">
        <v>37</v>
      </c>
      <c r="D727" s="1" t="s">
        <v>38</v>
      </c>
      <c r="E727" s="3">
        <v>46373.0</v>
      </c>
    </row>
    <row r="728">
      <c r="A728" s="1" t="s">
        <v>2797</v>
      </c>
      <c r="B728" s="1" t="s">
        <v>2794</v>
      </c>
      <c r="C728" s="1" t="s">
        <v>37</v>
      </c>
      <c r="D728" s="1" t="s">
        <v>150</v>
      </c>
      <c r="E728" s="3">
        <v>46275.0</v>
      </c>
    </row>
    <row r="729">
      <c r="A729" s="1" t="s">
        <v>2799</v>
      </c>
      <c r="B729" s="1" t="s">
        <v>2800</v>
      </c>
      <c r="C729" s="1" t="s">
        <v>37</v>
      </c>
      <c r="D729" s="1" t="s">
        <v>38</v>
      </c>
      <c r="E729" s="3">
        <v>46458.0</v>
      </c>
    </row>
    <row r="730">
      <c r="A730" s="1" t="s">
        <v>2804</v>
      </c>
      <c r="B730" s="1" t="s">
        <v>2800</v>
      </c>
      <c r="C730" s="1" t="s">
        <v>37</v>
      </c>
      <c r="D730" s="1" t="s">
        <v>150</v>
      </c>
      <c r="E730" s="3">
        <v>46458.0</v>
      </c>
    </row>
    <row r="731">
      <c r="A731" s="1" t="s">
        <v>2806</v>
      </c>
      <c r="B731" s="1" t="s">
        <v>2807</v>
      </c>
      <c r="C731" s="1" t="s">
        <v>37</v>
      </c>
      <c r="D731" s="1" t="s">
        <v>1037</v>
      </c>
      <c r="E731" s="3">
        <v>46660.0</v>
      </c>
    </row>
    <row r="732">
      <c r="A732" s="1" t="s">
        <v>2808</v>
      </c>
      <c r="B732" s="1" t="s">
        <v>2810</v>
      </c>
      <c r="C732" s="1" t="s">
        <v>93</v>
      </c>
      <c r="D732" s="1" t="s">
        <v>79</v>
      </c>
      <c r="E732" s="3">
        <v>46405.0</v>
      </c>
    </row>
    <row r="733">
      <c r="A733" s="1" t="s">
        <v>2812</v>
      </c>
      <c r="B733" s="1" t="s">
        <v>2810</v>
      </c>
      <c r="C733" s="1" t="s">
        <v>93</v>
      </c>
      <c r="D733" s="1" t="s">
        <v>185</v>
      </c>
      <c r="E733" s="3">
        <v>46405.0</v>
      </c>
    </row>
    <row r="734">
      <c r="A734" s="1" t="s">
        <v>2816</v>
      </c>
      <c r="B734" s="1" t="s">
        <v>2817</v>
      </c>
      <c r="C734" s="1" t="s">
        <v>1577</v>
      </c>
      <c r="D734" s="1" t="s">
        <v>1579</v>
      </c>
      <c r="E734" s="3">
        <v>46363.0</v>
      </c>
    </row>
    <row r="735">
      <c r="A735" s="1" t="s">
        <v>2819</v>
      </c>
      <c r="B735" s="1" t="s">
        <v>669</v>
      </c>
      <c r="C735" s="1" t="s">
        <v>217</v>
      </c>
      <c r="D735" s="1" t="s">
        <v>318</v>
      </c>
      <c r="E735" s="3">
        <v>46342.0</v>
      </c>
    </row>
    <row r="736">
      <c r="A736" s="1" t="s">
        <v>2822</v>
      </c>
      <c r="B736" s="1" t="s">
        <v>669</v>
      </c>
      <c r="C736" s="1" t="s">
        <v>1577</v>
      </c>
      <c r="D736" s="1" t="s">
        <v>1579</v>
      </c>
      <c r="E736" s="3">
        <v>46342.0</v>
      </c>
    </row>
    <row r="737">
      <c r="A737" s="1" t="s">
        <v>2823</v>
      </c>
      <c r="B737" s="1" t="s">
        <v>2824</v>
      </c>
      <c r="C737" s="1" t="s">
        <v>93</v>
      </c>
      <c r="D737" s="1" t="s">
        <v>79</v>
      </c>
      <c r="E737" s="3">
        <v>46300.0</v>
      </c>
    </row>
    <row r="738">
      <c r="A738" s="1" t="s">
        <v>2827</v>
      </c>
      <c r="B738" s="1" t="s">
        <v>2399</v>
      </c>
      <c r="C738" s="1" t="s">
        <v>37</v>
      </c>
      <c r="D738" s="1" t="s">
        <v>150</v>
      </c>
      <c r="E738" s="3">
        <v>46265.0</v>
      </c>
    </row>
    <row r="739">
      <c r="A739" s="1" t="s">
        <v>2829</v>
      </c>
      <c r="B739" s="1" t="s">
        <v>2830</v>
      </c>
      <c r="C739" s="1" t="s">
        <v>149</v>
      </c>
      <c r="D739" s="1" t="s">
        <v>347</v>
      </c>
      <c r="E739" s="3">
        <v>46296.0</v>
      </c>
    </row>
    <row r="740">
      <c r="A740" s="1" t="s">
        <v>2834</v>
      </c>
      <c r="B740" s="1" t="s">
        <v>2830</v>
      </c>
      <c r="C740" s="1" t="s">
        <v>149</v>
      </c>
      <c r="D740" s="1" t="s">
        <v>2836</v>
      </c>
      <c r="E740" s="3">
        <v>46296.0</v>
      </c>
    </row>
    <row r="741">
      <c r="A741" s="1" t="s">
        <v>2838</v>
      </c>
      <c r="B741" s="1" t="s">
        <v>2830</v>
      </c>
      <c r="C741" s="1" t="s">
        <v>149</v>
      </c>
      <c r="D741" s="1" t="s">
        <v>262</v>
      </c>
      <c r="E741" s="3">
        <v>46296.0</v>
      </c>
    </row>
    <row r="742">
      <c r="A742" s="1" t="s">
        <v>2840</v>
      </c>
      <c r="B742" s="1" t="s">
        <v>2830</v>
      </c>
      <c r="C742" s="1" t="s">
        <v>149</v>
      </c>
      <c r="D742" s="1" t="s">
        <v>269</v>
      </c>
      <c r="E742" s="3">
        <v>46296.0</v>
      </c>
    </row>
    <row r="743">
      <c r="A743" s="1" t="s">
        <v>2841</v>
      </c>
      <c r="B743" s="1" t="s">
        <v>2830</v>
      </c>
      <c r="C743" s="1" t="s">
        <v>149</v>
      </c>
      <c r="D743" s="1" t="s">
        <v>275</v>
      </c>
      <c r="E743" s="3">
        <v>46296.0</v>
      </c>
    </row>
    <row r="744">
      <c r="A744" s="1" t="s">
        <v>2843</v>
      </c>
      <c r="B744" s="1" t="s">
        <v>2830</v>
      </c>
      <c r="C744" s="1" t="s">
        <v>149</v>
      </c>
      <c r="D744" s="1" t="s">
        <v>345</v>
      </c>
      <c r="E744" s="3">
        <v>46296.0</v>
      </c>
    </row>
    <row r="745">
      <c r="A745" s="1" t="s">
        <v>2847</v>
      </c>
      <c r="B745" s="1" t="s">
        <v>1053</v>
      </c>
      <c r="C745" s="1" t="s">
        <v>1577</v>
      </c>
      <c r="D745" s="1" t="s">
        <v>1991</v>
      </c>
      <c r="E745" s="3">
        <v>46279.0</v>
      </c>
    </row>
    <row r="746">
      <c r="A746" s="1" t="s">
        <v>2849</v>
      </c>
      <c r="B746" s="1" t="s">
        <v>1047</v>
      </c>
      <c r="C746" s="1" t="s">
        <v>37</v>
      </c>
      <c r="D746" s="1" t="s">
        <v>150</v>
      </c>
      <c r="E746" s="3">
        <v>46127.0</v>
      </c>
    </row>
    <row r="747">
      <c r="A747" s="1" t="s">
        <v>2852</v>
      </c>
      <c r="B747" s="1" t="s">
        <v>2853</v>
      </c>
      <c r="C747" s="1" t="s">
        <v>1577</v>
      </c>
      <c r="D747" s="1" t="s">
        <v>2000</v>
      </c>
      <c r="E747" s="3">
        <v>46478.0</v>
      </c>
    </row>
    <row r="748">
      <c r="A748" s="1" t="s">
        <v>2854</v>
      </c>
      <c r="B748" s="1" t="s">
        <v>2853</v>
      </c>
      <c r="C748" s="1" t="s">
        <v>1577</v>
      </c>
      <c r="D748" s="1" t="s">
        <v>2002</v>
      </c>
      <c r="E748" s="3">
        <v>46478.0</v>
      </c>
    </row>
    <row r="749">
      <c r="A749" s="1" t="s">
        <v>2858</v>
      </c>
      <c r="B749" s="1" t="s">
        <v>2853</v>
      </c>
      <c r="C749" s="1" t="s">
        <v>1577</v>
      </c>
      <c r="D749" s="1" t="s">
        <v>1579</v>
      </c>
      <c r="E749" s="3">
        <v>46478.0</v>
      </c>
    </row>
    <row r="750">
      <c r="A750" s="1" t="s">
        <v>2860</v>
      </c>
      <c r="B750" s="1" t="s">
        <v>2005</v>
      </c>
      <c r="C750" s="1" t="s">
        <v>37</v>
      </c>
      <c r="D750" s="1" t="s">
        <v>38</v>
      </c>
      <c r="E750" s="3">
        <v>46539.0</v>
      </c>
    </row>
    <row r="751">
      <c r="A751" s="1" t="s">
        <v>2864</v>
      </c>
      <c r="B751" s="1" t="s">
        <v>635</v>
      </c>
      <c r="C751" s="1" t="s">
        <v>93</v>
      </c>
      <c r="D751" s="1" t="s">
        <v>2405</v>
      </c>
      <c r="E751" s="3">
        <v>46335.0</v>
      </c>
    </row>
    <row r="752">
      <c r="A752" s="1" t="s">
        <v>2865</v>
      </c>
      <c r="B752" s="1" t="s">
        <v>2866</v>
      </c>
      <c r="C752" s="1" t="s">
        <v>93</v>
      </c>
      <c r="D752" s="1" t="s">
        <v>79</v>
      </c>
      <c r="E752" s="3">
        <v>46348.0</v>
      </c>
    </row>
    <row r="753">
      <c r="A753" s="1" t="s">
        <v>2869</v>
      </c>
      <c r="B753" s="1" t="s">
        <v>646</v>
      </c>
      <c r="C753" s="1" t="s">
        <v>621</v>
      </c>
      <c r="D753" s="1" t="s">
        <v>38</v>
      </c>
      <c r="E753" s="3">
        <v>46319.0</v>
      </c>
    </row>
    <row r="754">
      <c r="A754" s="1" t="s">
        <v>2872</v>
      </c>
      <c r="B754" s="1" t="s">
        <v>646</v>
      </c>
      <c r="C754" s="1" t="s">
        <v>621</v>
      </c>
      <c r="D754" s="1" t="s">
        <v>150</v>
      </c>
      <c r="E754" s="3">
        <v>46258.0</v>
      </c>
    </row>
    <row r="755">
      <c r="A755" s="1" t="s">
        <v>2875</v>
      </c>
      <c r="B755" s="1" t="s">
        <v>2114</v>
      </c>
      <c r="C755" s="1" t="s">
        <v>171</v>
      </c>
      <c r="D755" s="1" t="s">
        <v>679</v>
      </c>
      <c r="E755" s="3">
        <v>46296.0</v>
      </c>
    </row>
    <row r="756">
      <c r="A756" s="1" t="s">
        <v>2880</v>
      </c>
      <c r="B756" s="1" t="s">
        <v>2114</v>
      </c>
      <c r="C756" s="1" t="s">
        <v>37</v>
      </c>
      <c r="D756" s="1" t="s">
        <v>38</v>
      </c>
      <c r="E756" s="3">
        <v>46296.0</v>
      </c>
    </row>
    <row r="757">
      <c r="A757" s="1" t="s">
        <v>2881</v>
      </c>
      <c r="B757" s="1" t="s">
        <v>2114</v>
      </c>
      <c r="C757" s="1" t="s">
        <v>37</v>
      </c>
      <c r="D757" s="1" t="s">
        <v>150</v>
      </c>
      <c r="E757" s="3">
        <v>46296.0</v>
      </c>
    </row>
    <row r="758">
      <c r="A758" s="1" t="s">
        <v>2884</v>
      </c>
      <c r="B758" s="1" t="s">
        <v>2885</v>
      </c>
      <c r="C758" s="1" t="s">
        <v>37</v>
      </c>
      <c r="D758" s="1" t="s">
        <v>150</v>
      </c>
      <c r="E758" s="3">
        <v>46291.0</v>
      </c>
    </row>
    <row r="759">
      <c r="A759" s="1" t="s">
        <v>2887</v>
      </c>
      <c r="B759" s="1" t="s">
        <v>2885</v>
      </c>
      <c r="C759" s="1" t="s">
        <v>37</v>
      </c>
      <c r="D759" s="1" t="s">
        <v>38</v>
      </c>
      <c r="E759" s="3">
        <v>46291.0</v>
      </c>
    </row>
    <row r="760">
      <c r="A760" s="1" t="s">
        <v>2888</v>
      </c>
      <c r="B760" s="1" t="s">
        <v>2889</v>
      </c>
      <c r="C760" s="1" t="s">
        <v>37</v>
      </c>
      <c r="D760" s="1" t="s">
        <v>38</v>
      </c>
      <c r="E760" s="3">
        <v>46318.0</v>
      </c>
    </row>
    <row r="761">
      <c r="A761" s="1" t="s">
        <v>2892</v>
      </c>
      <c r="B761" s="1" t="s">
        <v>2893</v>
      </c>
      <c r="C761" s="1" t="s">
        <v>93</v>
      </c>
      <c r="D761" s="1" t="s">
        <v>79</v>
      </c>
      <c r="E761" s="3">
        <v>46706.0</v>
      </c>
    </row>
    <row r="762">
      <c r="A762" s="1" t="s">
        <v>2895</v>
      </c>
      <c r="B762" s="1" t="s">
        <v>2896</v>
      </c>
      <c r="C762" s="1" t="s">
        <v>149</v>
      </c>
      <c r="D762" s="1" t="s">
        <v>301</v>
      </c>
      <c r="E762" s="3">
        <v>46385.0</v>
      </c>
    </row>
    <row r="763">
      <c r="A763" s="1" t="s">
        <v>2897</v>
      </c>
      <c r="B763" s="1" t="s">
        <v>2896</v>
      </c>
      <c r="C763" s="1" t="s">
        <v>149</v>
      </c>
      <c r="D763" s="1" t="s">
        <v>345</v>
      </c>
      <c r="E763" s="3">
        <v>46385.0</v>
      </c>
    </row>
    <row r="764">
      <c r="A764" s="1" t="s">
        <v>2900</v>
      </c>
      <c r="B764" s="1" t="s">
        <v>2896</v>
      </c>
      <c r="C764" s="1" t="s">
        <v>149</v>
      </c>
      <c r="D764" s="1" t="s">
        <v>2836</v>
      </c>
      <c r="E764" s="3">
        <v>46385.0</v>
      </c>
    </row>
    <row r="765">
      <c r="A765" s="1" t="s">
        <v>2902</v>
      </c>
      <c r="B765" s="1" t="s">
        <v>2896</v>
      </c>
      <c r="C765" s="1" t="s">
        <v>37</v>
      </c>
      <c r="D765" s="1" t="s">
        <v>2557</v>
      </c>
      <c r="E765" s="3">
        <v>46385.0</v>
      </c>
    </row>
    <row r="766">
      <c r="A766" s="1" t="s">
        <v>2903</v>
      </c>
      <c r="B766" s="1" t="s">
        <v>2896</v>
      </c>
      <c r="C766" s="1" t="s">
        <v>37</v>
      </c>
      <c r="D766" s="1" t="s">
        <v>1037</v>
      </c>
      <c r="E766" s="3">
        <v>46385.0</v>
      </c>
    </row>
    <row r="767">
      <c r="A767" s="1" t="s">
        <v>2904</v>
      </c>
      <c r="B767" s="1" t="s">
        <v>2896</v>
      </c>
      <c r="C767" s="1" t="s">
        <v>149</v>
      </c>
      <c r="D767" s="1" t="s">
        <v>262</v>
      </c>
      <c r="E767" s="3">
        <v>46385.0</v>
      </c>
    </row>
    <row r="768">
      <c r="A768" s="1" t="s">
        <v>2906</v>
      </c>
      <c r="B768" s="1" t="s">
        <v>2907</v>
      </c>
      <c r="C768" s="1" t="s">
        <v>37</v>
      </c>
      <c r="D768" s="1" t="s">
        <v>150</v>
      </c>
      <c r="E768" s="3">
        <v>46356.0</v>
      </c>
    </row>
    <row r="769">
      <c r="A769" s="1" t="s">
        <v>2908</v>
      </c>
      <c r="B769" s="1" t="s">
        <v>2909</v>
      </c>
      <c r="C769" s="1" t="s">
        <v>93</v>
      </c>
      <c r="D769" s="1" t="s">
        <v>79</v>
      </c>
      <c r="E769" s="3">
        <v>46321.0</v>
      </c>
    </row>
    <row r="770">
      <c r="A770" s="1" t="s">
        <v>2910</v>
      </c>
      <c r="B770" s="1" t="s">
        <v>2911</v>
      </c>
      <c r="C770" s="1" t="s">
        <v>93</v>
      </c>
      <c r="D770" s="1" t="s">
        <v>79</v>
      </c>
      <c r="E770" s="3">
        <v>46328.0</v>
      </c>
    </row>
    <row r="771">
      <c r="A771" s="1" t="s">
        <v>2915</v>
      </c>
      <c r="B771" s="1" t="s">
        <v>2916</v>
      </c>
      <c r="C771" s="1" t="s">
        <v>93</v>
      </c>
      <c r="D771" s="1" t="s">
        <v>79</v>
      </c>
      <c r="E771" s="3">
        <v>46328.0</v>
      </c>
    </row>
    <row r="772">
      <c r="A772" s="1" t="s">
        <v>2917</v>
      </c>
      <c r="B772" s="1" t="s">
        <v>2918</v>
      </c>
      <c r="C772" s="1" t="s">
        <v>37</v>
      </c>
      <c r="D772" s="1" t="s">
        <v>2668</v>
      </c>
      <c r="E772" s="3">
        <v>46269.0</v>
      </c>
    </row>
    <row r="773">
      <c r="A773" s="1" t="s">
        <v>2919</v>
      </c>
      <c r="B773" s="1" t="s">
        <v>2918</v>
      </c>
      <c r="C773" s="1" t="s">
        <v>37</v>
      </c>
      <c r="D773" s="1" t="s">
        <v>1037</v>
      </c>
      <c r="E773" s="3">
        <v>46269.0</v>
      </c>
    </row>
    <row r="774">
      <c r="A774" s="1" t="s">
        <v>2920</v>
      </c>
      <c r="B774" s="1" t="s">
        <v>2052</v>
      </c>
      <c r="C774" s="1" t="s">
        <v>93</v>
      </c>
      <c r="D774" s="1" t="s">
        <v>79</v>
      </c>
      <c r="E774" s="3">
        <v>46349.0</v>
      </c>
    </row>
    <row r="775">
      <c r="A775" s="1" t="s">
        <v>2923</v>
      </c>
      <c r="B775" s="1" t="s">
        <v>2925</v>
      </c>
      <c r="C775" s="1" t="s">
        <v>37</v>
      </c>
      <c r="D775" s="1" t="s">
        <v>38</v>
      </c>
      <c r="E775" s="3">
        <v>46555.0</v>
      </c>
    </row>
    <row r="776">
      <c r="A776" s="1" t="s">
        <v>2926</v>
      </c>
      <c r="B776" s="1" t="s">
        <v>2925</v>
      </c>
      <c r="C776" s="1" t="s">
        <v>37</v>
      </c>
      <c r="D776" s="1" t="s">
        <v>150</v>
      </c>
      <c r="E776" s="3">
        <v>46555.0</v>
      </c>
    </row>
    <row r="777">
      <c r="A777" s="1" t="s">
        <v>2927</v>
      </c>
      <c r="B777" s="1" t="s">
        <v>2928</v>
      </c>
      <c r="C777" s="1" t="s">
        <v>1577</v>
      </c>
      <c r="D777" s="1" t="s">
        <v>1579</v>
      </c>
      <c r="E777" s="3">
        <v>46296.0</v>
      </c>
    </row>
    <row r="778">
      <c r="A778" s="1" t="s">
        <v>2930</v>
      </c>
      <c r="B778" s="1" t="s">
        <v>2149</v>
      </c>
      <c r="C778" s="1" t="s">
        <v>1577</v>
      </c>
      <c r="D778" s="1" t="s">
        <v>1579</v>
      </c>
      <c r="E778" s="3">
        <v>46374.0</v>
      </c>
    </row>
    <row r="779">
      <c r="A779" s="1" t="s">
        <v>2932</v>
      </c>
      <c r="B779" s="1" t="s">
        <v>2933</v>
      </c>
      <c r="C779" s="1" t="s">
        <v>1577</v>
      </c>
      <c r="D779" s="1" t="s">
        <v>1579</v>
      </c>
      <c r="E779" s="3">
        <v>46342.0</v>
      </c>
    </row>
    <row r="780">
      <c r="A780" s="1" t="s">
        <v>2934</v>
      </c>
      <c r="B780" s="1" t="s">
        <v>2933</v>
      </c>
      <c r="C780" s="1" t="s">
        <v>1610</v>
      </c>
      <c r="D780" s="1" t="s">
        <v>2935</v>
      </c>
      <c r="E780" s="3">
        <v>46342.0</v>
      </c>
    </row>
    <row r="781">
      <c r="A781" s="1" t="s">
        <v>2937</v>
      </c>
      <c r="B781" s="1" t="s">
        <v>2933</v>
      </c>
      <c r="C781" s="1" t="s">
        <v>1610</v>
      </c>
      <c r="D781" s="1" t="s">
        <v>1612</v>
      </c>
      <c r="E781" s="3">
        <v>46342.0</v>
      </c>
    </row>
    <row r="782">
      <c r="A782" s="1" t="s">
        <v>2940</v>
      </c>
      <c r="B782" s="1" t="s">
        <v>414</v>
      </c>
      <c r="C782" s="1" t="s">
        <v>93</v>
      </c>
      <c r="D782" s="1" t="s">
        <v>185</v>
      </c>
      <c r="E782" s="3">
        <v>46524.0</v>
      </c>
    </row>
    <row r="783">
      <c r="A783" s="1" t="s">
        <v>2941</v>
      </c>
      <c r="B783" s="1" t="s">
        <v>414</v>
      </c>
      <c r="C783" s="1" t="s">
        <v>93</v>
      </c>
      <c r="D783" s="1" t="s">
        <v>79</v>
      </c>
      <c r="E783" s="3">
        <v>46356.0</v>
      </c>
    </row>
    <row r="784">
      <c r="A784" s="1" t="s">
        <v>2943</v>
      </c>
      <c r="B784" s="1" t="s">
        <v>2681</v>
      </c>
      <c r="C784" s="1" t="s">
        <v>93</v>
      </c>
      <c r="D784" s="1" t="s">
        <v>79</v>
      </c>
      <c r="E784" s="3">
        <v>46363.0</v>
      </c>
    </row>
    <row r="785">
      <c r="A785" s="1" t="s">
        <v>2945</v>
      </c>
      <c r="B785" s="1" t="s">
        <v>2283</v>
      </c>
      <c r="C785" s="1" t="s">
        <v>93</v>
      </c>
      <c r="D785" s="1" t="s">
        <v>79</v>
      </c>
      <c r="E785" s="3">
        <v>46370.0</v>
      </c>
    </row>
    <row r="786">
      <c r="A786" s="1" t="s">
        <v>2947</v>
      </c>
      <c r="B786" s="1" t="s">
        <v>2574</v>
      </c>
      <c r="C786" s="1" t="s">
        <v>93</v>
      </c>
      <c r="D786" s="1" t="s">
        <v>79</v>
      </c>
      <c r="E786" s="3">
        <v>46388.0</v>
      </c>
    </row>
    <row r="787">
      <c r="A787" s="1" t="s">
        <v>2949</v>
      </c>
      <c r="B787" s="1" t="s">
        <v>2950</v>
      </c>
      <c r="C787" s="1" t="s">
        <v>93</v>
      </c>
      <c r="D787" s="1" t="s">
        <v>79</v>
      </c>
      <c r="E787" s="3">
        <v>46349.0</v>
      </c>
    </row>
    <row r="788">
      <c r="A788" s="1" t="s">
        <v>2953</v>
      </c>
      <c r="B788" s="1" t="s">
        <v>2954</v>
      </c>
      <c r="C788" s="1" t="s">
        <v>1577</v>
      </c>
      <c r="D788" s="1" t="s">
        <v>1579</v>
      </c>
      <c r="E788" s="3">
        <v>46413.0</v>
      </c>
    </row>
    <row r="789">
      <c r="A789" s="1" t="s">
        <v>2958</v>
      </c>
      <c r="B789" s="1" t="s">
        <v>2664</v>
      </c>
      <c r="C789" s="1" t="s">
        <v>93</v>
      </c>
      <c r="D789" s="1" t="s">
        <v>79</v>
      </c>
      <c r="E789" s="3">
        <v>46461.0</v>
      </c>
    </row>
    <row r="790">
      <c r="A790" s="1" t="s">
        <v>2960</v>
      </c>
      <c r="B790" s="1" t="s">
        <v>2664</v>
      </c>
      <c r="C790" s="1" t="s">
        <v>93</v>
      </c>
      <c r="D790" s="1" t="s">
        <v>185</v>
      </c>
      <c r="E790" s="3">
        <v>46461.0</v>
      </c>
    </row>
    <row r="791">
      <c r="A791" s="1" t="s">
        <v>2961</v>
      </c>
      <c r="B791" s="1" t="s">
        <v>2962</v>
      </c>
      <c r="C791" s="1" t="s">
        <v>1577</v>
      </c>
      <c r="D791" s="1" t="s">
        <v>1579</v>
      </c>
      <c r="E791" s="3">
        <v>46409.0</v>
      </c>
    </row>
    <row r="792">
      <c r="A792" s="1" t="s">
        <v>2966</v>
      </c>
      <c r="B792" s="1" t="s">
        <v>2967</v>
      </c>
      <c r="C792" s="1" t="s">
        <v>1577</v>
      </c>
      <c r="D792" s="1" t="s">
        <v>1579</v>
      </c>
      <c r="E792" s="3">
        <v>46370.0</v>
      </c>
    </row>
    <row r="793">
      <c r="A793" s="1" t="s">
        <v>2968</v>
      </c>
      <c r="B793" s="1" t="s">
        <v>2969</v>
      </c>
      <c r="C793" s="1" t="s">
        <v>171</v>
      </c>
      <c r="D793" s="1" t="s">
        <v>679</v>
      </c>
      <c r="E793" s="3">
        <v>46477.0</v>
      </c>
    </row>
    <row r="794">
      <c r="A794" s="1" t="s">
        <v>2970</v>
      </c>
      <c r="B794" s="1" t="s">
        <v>2969</v>
      </c>
      <c r="C794" s="1" t="s">
        <v>37</v>
      </c>
      <c r="D794" s="1" t="s">
        <v>38</v>
      </c>
      <c r="E794" s="3">
        <v>46444.0</v>
      </c>
    </row>
    <row r="795">
      <c r="A795" s="1" t="s">
        <v>2974</v>
      </c>
      <c r="B795" s="1" t="s">
        <v>2969</v>
      </c>
      <c r="C795" s="1" t="s">
        <v>37</v>
      </c>
      <c r="D795" s="1" t="s">
        <v>150</v>
      </c>
      <c r="E795" s="3">
        <v>46290.0</v>
      </c>
    </row>
    <row r="796">
      <c r="A796" s="1" t="s">
        <v>2975</v>
      </c>
      <c r="B796" s="1" t="s">
        <v>2969</v>
      </c>
      <c r="C796" s="1" t="s">
        <v>171</v>
      </c>
      <c r="D796" s="1" t="s">
        <v>865</v>
      </c>
      <c r="E796" s="3">
        <v>46477.0</v>
      </c>
    </row>
    <row r="797">
      <c r="A797" s="1" t="s">
        <v>2979</v>
      </c>
      <c r="B797" s="1" t="s">
        <v>2969</v>
      </c>
      <c r="C797" s="1" t="s">
        <v>171</v>
      </c>
      <c r="D797" s="1" t="s">
        <v>2980</v>
      </c>
      <c r="E797" s="3">
        <v>46477.0</v>
      </c>
    </row>
    <row r="798">
      <c r="A798" s="1" t="s">
        <v>2981</v>
      </c>
      <c r="B798" s="1" t="s">
        <v>2969</v>
      </c>
      <c r="C798" s="1" t="s">
        <v>171</v>
      </c>
      <c r="D798" s="1" t="s">
        <v>618</v>
      </c>
      <c r="E798" s="3">
        <v>46477.0</v>
      </c>
    </row>
    <row r="799">
      <c r="A799" s="1" t="s">
        <v>2984</v>
      </c>
      <c r="B799" s="1" t="s">
        <v>2969</v>
      </c>
      <c r="C799" s="1" t="s">
        <v>244</v>
      </c>
      <c r="D799" s="1" t="s">
        <v>553</v>
      </c>
      <c r="E799" s="3">
        <v>46353.0</v>
      </c>
    </row>
    <row r="800">
      <c r="A800" s="1" t="s">
        <v>2985</v>
      </c>
      <c r="B800" s="1" t="s">
        <v>2643</v>
      </c>
      <c r="C800" s="1" t="s">
        <v>1577</v>
      </c>
      <c r="D800" s="1" t="s">
        <v>1579</v>
      </c>
      <c r="E800" s="3">
        <v>46419.0</v>
      </c>
    </row>
    <row r="801">
      <c r="A801" s="1" t="s">
        <v>2987</v>
      </c>
      <c r="B801" s="1" t="s">
        <v>1838</v>
      </c>
      <c r="C801" s="1" t="s">
        <v>37</v>
      </c>
      <c r="D801" s="1" t="s">
        <v>38</v>
      </c>
      <c r="E801" s="3">
        <v>46295.0</v>
      </c>
    </row>
    <row r="802">
      <c r="A802" s="1" t="s">
        <v>2989</v>
      </c>
      <c r="B802" s="1" t="s">
        <v>1534</v>
      </c>
      <c r="C802" s="1" t="s">
        <v>93</v>
      </c>
      <c r="D802" s="1" t="s">
        <v>79</v>
      </c>
      <c r="E802" s="3">
        <v>46377.0</v>
      </c>
    </row>
    <row r="803">
      <c r="A803" s="1" t="s">
        <v>2990</v>
      </c>
      <c r="B803" s="1" t="s">
        <v>1997</v>
      </c>
      <c r="C803" s="1" t="s">
        <v>1577</v>
      </c>
      <c r="D803" s="1" t="s">
        <v>1579</v>
      </c>
      <c r="E803" s="3">
        <v>46391.0</v>
      </c>
    </row>
    <row r="804">
      <c r="A804" s="1" t="s">
        <v>2991</v>
      </c>
      <c r="B804" s="1" t="s">
        <v>2992</v>
      </c>
      <c r="C804" s="1" t="s">
        <v>1577</v>
      </c>
      <c r="D804" s="1" t="s">
        <v>1579</v>
      </c>
      <c r="E804" s="3">
        <v>46391.0</v>
      </c>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1</v>
      </c>
      <c r="B1" s="2" t="s">
        <v>4</v>
      </c>
      <c r="C1" s="5" t="s">
        <v>10</v>
      </c>
      <c r="D1" s="2" t="s">
        <v>58</v>
      </c>
      <c r="E1" s="2" t="s">
        <v>61</v>
      </c>
      <c r="F1" s="2" t="s">
        <v>67</v>
      </c>
      <c r="G1" s="2" t="s">
        <v>70</v>
      </c>
      <c r="H1" s="2" t="s">
        <v>73</v>
      </c>
      <c r="I1" s="2" t="s">
        <v>75</v>
      </c>
      <c r="J1" s="2" t="s">
        <v>78</v>
      </c>
      <c r="K1" s="2" t="s">
        <v>80</v>
      </c>
      <c r="L1" s="2" t="s">
        <v>82</v>
      </c>
      <c r="M1" s="2" t="s">
        <v>84</v>
      </c>
      <c r="N1" s="2" t="s">
        <v>86</v>
      </c>
      <c r="O1" s="2" t="s">
        <v>91</v>
      </c>
      <c r="P1" s="2" t="s">
        <v>94</v>
      </c>
      <c r="Q1" s="2" t="s">
        <v>97</v>
      </c>
      <c r="R1" s="2" t="s">
        <v>101</v>
      </c>
      <c r="S1" s="2" t="s">
        <v>104</v>
      </c>
      <c r="T1" s="2" t="s">
        <v>106</v>
      </c>
      <c r="U1" s="2" t="s">
        <v>110</v>
      </c>
    </row>
    <row r="2">
      <c r="A2" s="1" t="s">
        <v>113</v>
      </c>
      <c r="B2" s="1" t="s">
        <v>116</v>
      </c>
      <c r="C2" s="1" t="s">
        <v>117</v>
      </c>
      <c r="D2" s="1" t="s">
        <v>118</v>
      </c>
      <c r="E2" s="1" t="s">
        <v>119</v>
      </c>
      <c r="F2" s="1" t="s">
        <v>120</v>
      </c>
      <c r="G2" s="1" t="s">
        <v>120</v>
      </c>
      <c r="H2" s="3">
        <v>46237.0</v>
      </c>
      <c r="I2" s="3">
        <v>46579.0</v>
      </c>
      <c r="K2" s="1" t="s">
        <v>124</v>
      </c>
      <c r="L2" s="1" t="s">
        <v>71</v>
      </c>
      <c r="M2" s="1" t="s">
        <v>129</v>
      </c>
      <c r="N2" s="1" t="s">
        <v>131</v>
      </c>
      <c r="P2" s="1" t="s">
        <v>134</v>
      </c>
      <c r="R2" s="1" t="s">
        <v>137</v>
      </c>
      <c r="S2" s="1" t="s">
        <v>137</v>
      </c>
      <c r="T2" s="1" t="s">
        <v>47</v>
      </c>
      <c r="U2" s="1" t="s">
        <v>142</v>
      </c>
    </row>
    <row r="3">
      <c r="A3" s="1" t="s">
        <v>144</v>
      </c>
      <c r="B3" s="1" t="s">
        <v>146</v>
      </c>
      <c r="C3" s="1" t="s">
        <v>147</v>
      </c>
      <c r="D3" s="1" t="s">
        <v>152</v>
      </c>
      <c r="E3" s="1" t="s">
        <v>153</v>
      </c>
      <c r="F3" s="1" t="s">
        <v>155</v>
      </c>
      <c r="G3" s="1" t="s">
        <v>157</v>
      </c>
      <c r="H3" s="3">
        <v>46128.0</v>
      </c>
      <c r="K3" s="1" t="s">
        <v>124</v>
      </c>
      <c r="L3" s="1" t="s">
        <v>160</v>
      </c>
      <c r="M3" s="1" t="s">
        <v>162</v>
      </c>
      <c r="N3" s="1" t="s">
        <v>131</v>
      </c>
      <c r="P3" s="1" t="s">
        <v>164</v>
      </c>
      <c r="R3" s="1" t="s">
        <v>137</v>
      </c>
      <c r="S3" s="1" t="s">
        <v>137</v>
      </c>
      <c r="T3" s="1" t="s">
        <v>47</v>
      </c>
    </row>
    <row r="4">
      <c r="A4" s="1" t="s">
        <v>167</v>
      </c>
      <c r="B4" s="1" t="s">
        <v>116</v>
      </c>
      <c r="C4" s="1" t="s">
        <v>168</v>
      </c>
      <c r="D4" s="1" t="s">
        <v>172</v>
      </c>
      <c r="E4" s="1" t="s">
        <v>175</v>
      </c>
      <c r="F4" s="1" t="s">
        <v>177</v>
      </c>
      <c r="G4" s="1" t="s">
        <v>178</v>
      </c>
      <c r="H4" s="3">
        <v>46258.0</v>
      </c>
      <c r="K4" s="1" t="s">
        <v>124</v>
      </c>
      <c r="L4" s="1" t="s">
        <v>160</v>
      </c>
      <c r="M4" s="1" t="s">
        <v>162</v>
      </c>
      <c r="N4" s="1" t="s">
        <v>131</v>
      </c>
      <c r="P4" s="1" t="s">
        <v>186</v>
      </c>
      <c r="R4" s="1" t="s">
        <v>137</v>
      </c>
      <c r="S4" s="1" t="s">
        <v>137</v>
      </c>
      <c r="T4" s="1" t="s">
        <v>47</v>
      </c>
    </row>
    <row r="5">
      <c r="A5" s="1" t="s">
        <v>190</v>
      </c>
      <c r="B5" s="1" t="s">
        <v>191</v>
      </c>
      <c r="C5" s="1" t="s">
        <v>192</v>
      </c>
      <c r="D5" s="1" t="s">
        <v>194</v>
      </c>
      <c r="E5" s="1" t="s">
        <v>197</v>
      </c>
      <c r="F5" s="1" t="s">
        <v>198</v>
      </c>
      <c r="G5" s="1" t="s">
        <v>200</v>
      </c>
      <c r="H5" s="3">
        <v>46244.0</v>
      </c>
      <c r="K5" s="1" t="s">
        <v>124</v>
      </c>
      <c r="L5" s="1" t="s">
        <v>160</v>
      </c>
      <c r="M5" s="1" t="s">
        <v>162</v>
      </c>
      <c r="N5" s="1" t="s">
        <v>131</v>
      </c>
      <c r="P5" s="1" t="s">
        <v>204</v>
      </c>
      <c r="R5" s="1" t="s">
        <v>137</v>
      </c>
      <c r="S5" s="1" t="s">
        <v>137</v>
      </c>
      <c r="T5" s="1" t="s">
        <v>47</v>
      </c>
    </row>
    <row r="6">
      <c r="A6" s="1" t="s">
        <v>205</v>
      </c>
      <c r="B6" s="1" t="s">
        <v>191</v>
      </c>
      <c r="C6" s="1" t="s">
        <v>208</v>
      </c>
      <c r="D6" s="1" t="s">
        <v>172</v>
      </c>
      <c r="E6" s="1" t="s">
        <v>209</v>
      </c>
      <c r="F6" s="1" t="s">
        <v>210</v>
      </c>
      <c r="G6" s="1" t="s">
        <v>211</v>
      </c>
      <c r="H6" s="3">
        <v>46107.0</v>
      </c>
      <c r="I6" s="3">
        <v>46220.0</v>
      </c>
      <c r="J6" s="3">
        <v>46220.0</v>
      </c>
      <c r="K6" s="1" t="s">
        <v>215</v>
      </c>
      <c r="L6" s="1" t="s">
        <v>98</v>
      </c>
      <c r="M6" s="1" t="s">
        <v>216</v>
      </c>
      <c r="N6" s="1" t="s">
        <v>131</v>
      </c>
      <c r="O6" s="3">
        <v>46220.0</v>
      </c>
      <c r="R6" s="1" t="s">
        <v>137</v>
      </c>
      <c r="S6" s="1" t="s">
        <v>137</v>
      </c>
      <c r="T6" s="1" t="s">
        <v>47</v>
      </c>
      <c r="U6" s="1" t="s">
        <v>221</v>
      </c>
    </row>
    <row r="7">
      <c r="A7" s="1" t="s">
        <v>224</v>
      </c>
      <c r="B7" s="1" t="s">
        <v>116</v>
      </c>
      <c r="C7" s="1" t="s">
        <v>227</v>
      </c>
      <c r="F7" s="1" t="s">
        <v>228</v>
      </c>
      <c r="H7" s="3">
        <v>46246.0</v>
      </c>
      <c r="K7" s="1" t="s">
        <v>124</v>
      </c>
      <c r="L7" s="1" t="s">
        <v>98</v>
      </c>
      <c r="M7" s="1" t="s">
        <v>162</v>
      </c>
      <c r="N7" s="1" t="s">
        <v>131</v>
      </c>
      <c r="P7" s="1" t="s">
        <v>235</v>
      </c>
      <c r="R7" s="1" t="s">
        <v>137</v>
      </c>
      <c r="S7" s="1" t="s">
        <v>137</v>
      </c>
      <c r="T7" s="1" t="s">
        <v>47</v>
      </c>
    </row>
    <row r="8">
      <c r="A8" s="1" t="s">
        <v>239</v>
      </c>
      <c r="B8" s="1" t="s">
        <v>240</v>
      </c>
      <c r="C8" s="1" t="s">
        <v>241</v>
      </c>
      <c r="D8" s="1" t="s">
        <v>243</v>
      </c>
      <c r="E8" s="1" t="s">
        <v>175</v>
      </c>
      <c r="F8" s="1" t="s">
        <v>245</v>
      </c>
      <c r="G8" s="1" t="s">
        <v>247</v>
      </c>
      <c r="H8" s="3">
        <v>46141.0</v>
      </c>
      <c r="I8" s="3">
        <v>46234.0</v>
      </c>
      <c r="K8" s="1" t="s">
        <v>215</v>
      </c>
      <c r="L8" s="1" t="s">
        <v>251</v>
      </c>
      <c r="M8" s="1" t="s">
        <v>253</v>
      </c>
      <c r="N8" s="1" t="s">
        <v>131</v>
      </c>
      <c r="O8" s="3">
        <v>46241.0</v>
      </c>
      <c r="R8" s="1" t="s">
        <v>256</v>
      </c>
      <c r="S8" s="1" t="s">
        <v>256</v>
      </c>
      <c r="T8" s="1" t="s">
        <v>266</v>
      </c>
      <c r="U8" s="1" t="s">
        <v>215</v>
      </c>
    </row>
    <row r="9">
      <c r="A9" s="1" t="s">
        <v>268</v>
      </c>
      <c r="B9" s="1" t="s">
        <v>270</v>
      </c>
      <c r="C9" s="1" t="s">
        <v>271</v>
      </c>
      <c r="D9" s="1" t="s">
        <v>273</v>
      </c>
      <c r="E9" s="1" t="s">
        <v>153</v>
      </c>
      <c r="F9" s="1" t="s">
        <v>274</v>
      </c>
      <c r="G9" s="1" t="s">
        <v>276</v>
      </c>
      <c r="H9" s="3">
        <v>46065.0</v>
      </c>
      <c r="I9" s="3">
        <v>46244.0</v>
      </c>
      <c r="K9" s="1" t="s">
        <v>124</v>
      </c>
      <c r="L9" s="1" t="s">
        <v>71</v>
      </c>
      <c r="M9" s="1" t="s">
        <v>253</v>
      </c>
      <c r="N9" s="1" t="s">
        <v>131</v>
      </c>
      <c r="P9" s="1" t="s">
        <v>279</v>
      </c>
      <c r="R9" s="1" t="s">
        <v>137</v>
      </c>
      <c r="S9" s="1" t="s">
        <v>137</v>
      </c>
      <c r="T9" s="1" t="s">
        <v>47</v>
      </c>
      <c r="U9" s="1" t="s">
        <v>284</v>
      </c>
    </row>
    <row r="10">
      <c r="A10" s="1" t="s">
        <v>285</v>
      </c>
      <c r="B10" s="1" t="s">
        <v>191</v>
      </c>
      <c r="C10" s="1" t="s">
        <v>288</v>
      </c>
      <c r="D10" s="1" t="s">
        <v>291</v>
      </c>
      <c r="E10" s="1" t="s">
        <v>292</v>
      </c>
      <c r="F10" s="1" t="s">
        <v>293</v>
      </c>
      <c r="G10" s="1" t="s">
        <v>295</v>
      </c>
      <c r="H10" s="3">
        <v>46286.0</v>
      </c>
      <c r="K10" s="1" t="s">
        <v>124</v>
      </c>
      <c r="L10" s="1" t="s">
        <v>251</v>
      </c>
      <c r="M10" s="1" t="s">
        <v>300</v>
      </c>
      <c r="N10" s="1" t="s">
        <v>131</v>
      </c>
      <c r="P10" s="1" t="s">
        <v>304</v>
      </c>
      <c r="R10" s="1" t="s">
        <v>137</v>
      </c>
      <c r="S10" s="1" t="s">
        <v>137</v>
      </c>
      <c r="T10" s="1" t="s">
        <v>47</v>
      </c>
    </row>
    <row r="11">
      <c r="A11" s="1" t="s">
        <v>308</v>
      </c>
      <c r="B11" s="1" t="s">
        <v>309</v>
      </c>
      <c r="C11" s="1" t="s">
        <v>311</v>
      </c>
      <c r="D11" s="1" t="s">
        <v>313</v>
      </c>
      <c r="E11" s="1" t="s">
        <v>292</v>
      </c>
      <c r="F11" s="1" t="s">
        <v>293</v>
      </c>
      <c r="G11" s="1" t="s">
        <v>316</v>
      </c>
      <c r="H11" s="3">
        <v>46286.0</v>
      </c>
      <c r="K11" s="1" t="s">
        <v>124</v>
      </c>
      <c r="L11" s="1" t="s">
        <v>251</v>
      </c>
      <c r="M11" s="1" t="s">
        <v>162</v>
      </c>
      <c r="N11" s="1" t="s">
        <v>131</v>
      </c>
      <c r="P11" s="1" t="s">
        <v>204</v>
      </c>
      <c r="R11" s="1" t="s">
        <v>137</v>
      </c>
      <c r="S11" s="1" t="s">
        <v>137</v>
      </c>
      <c r="T11" s="1" t="s">
        <v>47</v>
      </c>
    </row>
    <row r="12">
      <c r="A12" s="1" t="s">
        <v>325</v>
      </c>
      <c r="B12" s="1" t="s">
        <v>326</v>
      </c>
      <c r="C12" s="1" t="s">
        <v>327</v>
      </c>
      <c r="D12" s="1" t="s">
        <v>273</v>
      </c>
      <c r="E12" s="1" t="s">
        <v>330</v>
      </c>
      <c r="F12" s="1" t="s">
        <v>331</v>
      </c>
      <c r="G12" s="1" t="s">
        <v>333</v>
      </c>
      <c r="H12" s="3">
        <v>45961.0</v>
      </c>
      <c r="I12" s="3">
        <v>46203.0</v>
      </c>
      <c r="J12" s="3">
        <v>46203.0</v>
      </c>
      <c r="K12" s="1" t="s">
        <v>124</v>
      </c>
      <c r="L12" s="1" t="s">
        <v>98</v>
      </c>
      <c r="M12" s="1" t="s">
        <v>335</v>
      </c>
      <c r="N12" s="1" t="s">
        <v>131</v>
      </c>
      <c r="P12" s="1" t="s">
        <v>337</v>
      </c>
      <c r="R12" s="1" t="s">
        <v>137</v>
      </c>
      <c r="S12" s="1" t="s">
        <v>137</v>
      </c>
      <c r="T12" s="1" t="s">
        <v>47</v>
      </c>
      <c r="U12" s="1" t="s">
        <v>341</v>
      </c>
    </row>
    <row r="13">
      <c r="A13" s="1" t="s">
        <v>343</v>
      </c>
      <c r="B13" s="1" t="s">
        <v>344</v>
      </c>
      <c r="C13" s="1" t="s">
        <v>327</v>
      </c>
      <c r="D13" s="1" t="s">
        <v>273</v>
      </c>
      <c r="E13" s="1" t="s">
        <v>330</v>
      </c>
      <c r="F13" s="1" t="s">
        <v>331</v>
      </c>
      <c r="G13" s="1" t="s">
        <v>333</v>
      </c>
      <c r="H13" s="3">
        <v>45887.0</v>
      </c>
      <c r="I13" s="3">
        <v>46049.0</v>
      </c>
      <c r="J13" s="3">
        <v>46049.0</v>
      </c>
      <c r="K13" s="1" t="s">
        <v>215</v>
      </c>
      <c r="L13" s="1" t="s">
        <v>98</v>
      </c>
      <c r="M13" s="1" t="s">
        <v>216</v>
      </c>
      <c r="N13" s="1" t="s">
        <v>131</v>
      </c>
      <c r="O13" s="3">
        <v>46049.0</v>
      </c>
      <c r="R13" s="1" t="s">
        <v>137</v>
      </c>
      <c r="S13" s="1" t="s">
        <v>137</v>
      </c>
      <c r="T13" s="1" t="s">
        <v>47</v>
      </c>
      <c r="U13" s="1" t="s">
        <v>350</v>
      </c>
    </row>
    <row r="14">
      <c r="A14" s="1" t="s">
        <v>352</v>
      </c>
      <c r="B14" s="1" t="s">
        <v>354</v>
      </c>
      <c r="C14" s="1" t="s">
        <v>355</v>
      </c>
      <c r="D14" s="1" t="s">
        <v>273</v>
      </c>
      <c r="E14" s="1" t="s">
        <v>330</v>
      </c>
      <c r="F14" s="1" t="s">
        <v>356</v>
      </c>
      <c r="G14" s="1" t="s">
        <v>359</v>
      </c>
      <c r="H14" s="3">
        <v>45943.0</v>
      </c>
      <c r="I14" s="3">
        <v>46160.0</v>
      </c>
      <c r="K14" s="1" t="s">
        <v>124</v>
      </c>
      <c r="L14" s="1" t="s">
        <v>251</v>
      </c>
      <c r="M14" s="1" t="s">
        <v>363</v>
      </c>
      <c r="N14" s="1" t="s">
        <v>365</v>
      </c>
      <c r="P14" s="1" t="s">
        <v>367</v>
      </c>
      <c r="R14" s="1" t="s">
        <v>137</v>
      </c>
      <c r="S14" s="1" t="s">
        <v>137</v>
      </c>
      <c r="T14" s="1" t="s">
        <v>47</v>
      </c>
      <c r="U14" s="1" t="s">
        <v>369</v>
      </c>
    </row>
    <row r="15">
      <c r="A15" s="1" t="s">
        <v>370</v>
      </c>
      <c r="B15" s="1" t="s">
        <v>372</v>
      </c>
      <c r="C15" s="1" t="s">
        <v>374</v>
      </c>
      <c r="D15" s="1" t="s">
        <v>273</v>
      </c>
      <c r="E15" s="1" t="s">
        <v>330</v>
      </c>
      <c r="F15" s="1" t="s">
        <v>356</v>
      </c>
      <c r="G15" s="1" t="s">
        <v>333</v>
      </c>
      <c r="H15" s="3">
        <v>46187.0</v>
      </c>
      <c r="K15" s="1" t="s">
        <v>124</v>
      </c>
      <c r="L15" s="1" t="s">
        <v>98</v>
      </c>
      <c r="M15" s="1" t="s">
        <v>162</v>
      </c>
      <c r="N15" s="1" t="s">
        <v>131</v>
      </c>
      <c r="R15" s="1" t="s">
        <v>378</v>
      </c>
      <c r="S15" s="1" t="s">
        <v>378</v>
      </c>
      <c r="T15" s="1" t="s">
        <v>381</v>
      </c>
      <c r="U15" s="1" t="s">
        <v>382</v>
      </c>
    </row>
    <row r="16">
      <c r="A16" s="1" t="s">
        <v>384</v>
      </c>
      <c r="B16" s="1" t="s">
        <v>191</v>
      </c>
      <c r="C16" s="1" t="s">
        <v>387</v>
      </c>
      <c r="D16" s="1" t="s">
        <v>388</v>
      </c>
      <c r="E16" s="1" t="s">
        <v>119</v>
      </c>
      <c r="F16" s="1" t="s">
        <v>389</v>
      </c>
      <c r="G16" s="1" t="s">
        <v>389</v>
      </c>
      <c r="H16" s="3">
        <v>45635.0</v>
      </c>
      <c r="I16" s="3">
        <v>45754.0</v>
      </c>
      <c r="J16" s="3">
        <v>45754.0</v>
      </c>
      <c r="K16" s="1" t="s">
        <v>215</v>
      </c>
      <c r="L16" s="1" t="s">
        <v>251</v>
      </c>
      <c r="M16" s="1" t="s">
        <v>216</v>
      </c>
      <c r="N16" s="1" t="s">
        <v>131</v>
      </c>
      <c r="O16" s="3">
        <v>45754.0</v>
      </c>
      <c r="R16" s="1" t="s">
        <v>137</v>
      </c>
      <c r="S16" s="1" t="s">
        <v>137</v>
      </c>
      <c r="T16" s="1" t="s">
        <v>47</v>
      </c>
      <c r="U16" s="1" t="s">
        <v>392</v>
      </c>
    </row>
    <row r="17">
      <c r="A17" s="1" t="s">
        <v>393</v>
      </c>
      <c r="B17" s="1" t="s">
        <v>191</v>
      </c>
      <c r="C17" s="1" t="s">
        <v>395</v>
      </c>
      <c r="D17" s="1" t="s">
        <v>396</v>
      </c>
      <c r="E17" s="1" t="s">
        <v>209</v>
      </c>
      <c r="F17" s="1" t="s">
        <v>398</v>
      </c>
      <c r="G17" s="1" t="s">
        <v>399</v>
      </c>
      <c r="H17" s="3">
        <v>45926.0</v>
      </c>
      <c r="I17" s="3">
        <v>46062.0</v>
      </c>
      <c r="J17" s="3">
        <v>46062.0</v>
      </c>
      <c r="K17" s="1" t="s">
        <v>215</v>
      </c>
      <c r="L17" s="1" t="s">
        <v>251</v>
      </c>
      <c r="M17" s="1" t="s">
        <v>216</v>
      </c>
      <c r="N17" s="1" t="s">
        <v>131</v>
      </c>
      <c r="O17" s="3">
        <v>46087.0</v>
      </c>
      <c r="R17" s="1" t="s">
        <v>137</v>
      </c>
      <c r="S17" s="1" t="s">
        <v>137</v>
      </c>
      <c r="T17" s="1" t="s">
        <v>47</v>
      </c>
      <c r="U17" s="1" t="s">
        <v>403</v>
      </c>
    </row>
    <row r="18">
      <c r="A18" s="1" t="s">
        <v>404</v>
      </c>
      <c r="B18" s="1" t="s">
        <v>406</v>
      </c>
      <c r="C18" s="1" t="s">
        <v>395</v>
      </c>
      <c r="D18" s="1" t="s">
        <v>396</v>
      </c>
      <c r="E18" s="1" t="s">
        <v>209</v>
      </c>
      <c r="F18" s="1" t="s">
        <v>398</v>
      </c>
      <c r="G18" s="1" t="s">
        <v>399</v>
      </c>
      <c r="H18" s="3">
        <v>46225.0</v>
      </c>
      <c r="I18" s="3">
        <v>46267.0</v>
      </c>
      <c r="K18" s="1" t="s">
        <v>124</v>
      </c>
      <c r="L18" s="1" t="s">
        <v>160</v>
      </c>
      <c r="M18" s="1" t="s">
        <v>162</v>
      </c>
      <c r="N18" s="1" t="s">
        <v>131</v>
      </c>
      <c r="P18" s="1" t="s">
        <v>411</v>
      </c>
      <c r="R18" s="1" t="s">
        <v>137</v>
      </c>
      <c r="S18" s="1" t="s">
        <v>137</v>
      </c>
      <c r="T18" s="1" t="s">
        <v>47</v>
      </c>
      <c r="U18" s="1" t="s">
        <v>413</v>
      </c>
    </row>
    <row r="19">
      <c r="A19" s="1" t="s">
        <v>414</v>
      </c>
      <c r="B19" s="1" t="s">
        <v>191</v>
      </c>
      <c r="C19" s="1" t="s">
        <v>415</v>
      </c>
      <c r="D19" s="1" t="s">
        <v>417</v>
      </c>
      <c r="E19" s="1" t="s">
        <v>209</v>
      </c>
      <c r="F19" s="1" t="s">
        <v>398</v>
      </c>
      <c r="G19" s="1" t="s">
        <v>399</v>
      </c>
      <c r="H19" s="3">
        <v>46244.0</v>
      </c>
      <c r="K19" s="1" t="s">
        <v>124</v>
      </c>
      <c r="L19" s="1" t="s">
        <v>251</v>
      </c>
      <c r="M19" s="1" t="s">
        <v>162</v>
      </c>
      <c r="N19" s="1" t="s">
        <v>131</v>
      </c>
      <c r="P19" s="1" t="s">
        <v>420</v>
      </c>
      <c r="R19" s="1" t="s">
        <v>137</v>
      </c>
      <c r="S19" s="1" t="s">
        <v>137</v>
      </c>
      <c r="T19" s="1" t="s">
        <v>47</v>
      </c>
      <c r="U19" s="1" t="s">
        <v>423</v>
      </c>
    </row>
    <row r="20">
      <c r="A20" s="1" t="s">
        <v>424</v>
      </c>
      <c r="B20" s="1" t="s">
        <v>425</v>
      </c>
      <c r="C20" s="1" t="s">
        <v>426</v>
      </c>
      <c r="D20" s="1" t="s">
        <v>273</v>
      </c>
      <c r="E20" s="1" t="s">
        <v>330</v>
      </c>
      <c r="F20" s="1" t="s">
        <v>356</v>
      </c>
      <c r="G20" s="1" t="s">
        <v>429</v>
      </c>
      <c r="H20" s="3">
        <v>46076.0</v>
      </c>
      <c r="I20" s="3">
        <v>46255.0</v>
      </c>
      <c r="K20" s="1" t="s">
        <v>124</v>
      </c>
      <c r="L20" s="1" t="s">
        <v>98</v>
      </c>
      <c r="M20" s="1" t="s">
        <v>162</v>
      </c>
      <c r="N20" s="1" t="s">
        <v>131</v>
      </c>
      <c r="P20" s="1" t="s">
        <v>432</v>
      </c>
      <c r="R20" s="1" t="s">
        <v>137</v>
      </c>
      <c r="S20" s="1" t="s">
        <v>137</v>
      </c>
      <c r="T20" s="1" t="s">
        <v>47</v>
      </c>
      <c r="U20" s="1" t="s">
        <v>433</v>
      </c>
    </row>
    <row r="21">
      <c r="A21" s="1" t="s">
        <v>436</v>
      </c>
      <c r="B21" s="1" t="s">
        <v>191</v>
      </c>
      <c r="C21" s="1" t="s">
        <v>437</v>
      </c>
      <c r="D21" s="1" t="s">
        <v>152</v>
      </c>
      <c r="E21" s="1" t="s">
        <v>438</v>
      </c>
      <c r="F21" s="1" t="s">
        <v>440</v>
      </c>
      <c r="G21" s="1" t="s">
        <v>441</v>
      </c>
      <c r="H21" s="3">
        <v>46272.0</v>
      </c>
      <c r="K21" s="1" t="s">
        <v>124</v>
      </c>
      <c r="L21" s="1" t="s">
        <v>98</v>
      </c>
      <c r="M21" s="1" t="s">
        <v>162</v>
      </c>
      <c r="N21" s="1" t="s">
        <v>131</v>
      </c>
      <c r="P21" s="1" t="s">
        <v>444</v>
      </c>
      <c r="R21" s="1" t="s">
        <v>137</v>
      </c>
      <c r="S21" s="1" t="s">
        <v>137</v>
      </c>
      <c r="T21" s="1" t="s">
        <v>47</v>
      </c>
      <c r="U21" s="1" t="s">
        <v>447</v>
      </c>
    </row>
    <row r="22">
      <c r="A22" s="1" t="s">
        <v>449</v>
      </c>
      <c r="B22" s="1" t="s">
        <v>116</v>
      </c>
      <c r="C22" s="1" t="s">
        <v>452</v>
      </c>
      <c r="D22" s="1" t="s">
        <v>194</v>
      </c>
      <c r="E22" s="1" t="s">
        <v>454</v>
      </c>
      <c r="F22" s="1" t="s">
        <v>455</v>
      </c>
      <c r="G22" s="1" t="s">
        <v>456</v>
      </c>
      <c r="H22" s="3">
        <v>46125.0</v>
      </c>
      <c r="I22" s="3">
        <v>46260.0</v>
      </c>
      <c r="K22" s="1" t="s">
        <v>124</v>
      </c>
      <c r="L22" s="1" t="s">
        <v>98</v>
      </c>
      <c r="M22" s="1" t="s">
        <v>460</v>
      </c>
      <c r="N22" s="1" t="s">
        <v>131</v>
      </c>
      <c r="P22" s="1" t="s">
        <v>462</v>
      </c>
      <c r="R22" s="1" t="s">
        <v>137</v>
      </c>
      <c r="S22" s="1" t="s">
        <v>137</v>
      </c>
      <c r="T22" s="1" t="s">
        <v>47</v>
      </c>
      <c r="U22" s="1" t="s">
        <v>465</v>
      </c>
    </row>
    <row r="23">
      <c r="A23" s="1" t="s">
        <v>410</v>
      </c>
      <c r="B23" s="1" t="s">
        <v>354</v>
      </c>
      <c r="C23" s="1" t="s">
        <v>467</v>
      </c>
      <c r="D23" s="1" t="s">
        <v>417</v>
      </c>
      <c r="E23" s="1" t="s">
        <v>292</v>
      </c>
      <c r="F23" s="1" t="s">
        <v>468</v>
      </c>
      <c r="G23" s="1" t="s">
        <v>470</v>
      </c>
      <c r="H23" s="3">
        <v>45826.0</v>
      </c>
      <c r="I23" s="3">
        <v>46203.0</v>
      </c>
      <c r="K23" s="1" t="s">
        <v>124</v>
      </c>
      <c r="L23" s="1" t="s">
        <v>251</v>
      </c>
      <c r="M23" s="1" t="s">
        <v>363</v>
      </c>
      <c r="N23" s="1" t="s">
        <v>472</v>
      </c>
      <c r="P23" s="1" t="s">
        <v>474</v>
      </c>
      <c r="R23" s="1" t="s">
        <v>137</v>
      </c>
      <c r="S23" s="1" t="s">
        <v>137</v>
      </c>
      <c r="T23" s="1" t="s">
        <v>47</v>
      </c>
      <c r="U23" s="1" t="s">
        <v>476</v>
      </c>
    </row>
    <row r="24">
      <c r="A24" s="1" t="s">
        <v>478</v>
      </c>
      <c r="B24" s="1" t="s">
        <v>146</v>
      </c>
      <c r="C24" s="1" t="s">
        <v>481</v>
      </c>
      <c r="D24" s="1" t="s">
        <v>172</v>
      </c>
      <c r="E24" s="1" t="s">
        <v>175</v>
      </c>
      <c r="F24" s="1" t="s">
        <v>177</v>
      </c>
      <c r="G24" s="1" t="s">
        <v>483</v>
      </c>
      <c r="H24" s="3">
        <v>46129.0</v>
      </c>
      <c r="I24" s="3">
        <v>46318.0</v>
      </c>
      <c r="K24" s="1" t="s">
        <v>124</v>
      </c>
      <c r="L24" s="1" t="s">
        <v>160</v>
      </c>
      <c r="M24" s="1" t="s">
        <v>162</v>
      </c>
      <c r="N24" s="1" t="s">
        <v>131</v>
      </c>
      <c r="P24" s="1" t="s">
        <v>485</v>
      </c>
      <c r="R24" s="1" t="s">
        <v>137</v>
      </c>
      <c r="S24" s="1" t="s">
        <v>137</v>
      </c>
      <c r="T24" s="1" t="s">
        <v>47</v>
      </c>
      <c r="U24" s="1" t="s">
        <v>488</v>
      </c>
    </row>
    <row r="25">
      <c r="A25" s="1" t="s">
        <v>489</v>
      </c>
      <c r="B25" s="1" t="s">
        <v>490</v>
      </c>
      <c r="C25" s="1" t="s">
        <v>491</v>
      </c>
      <c r="D25" s="1" t="s">
        <v>492</v>
      </c>
      <c r="E25" s="1" t="s">
        <v>292</v>
      </c>
      <c r="F25" s="1" t="s">
        <v>494</v>
      </c>
      <c r="G25" s="1" t="s">
        <v>496</v>
      </c>
      <c r="H25" s="3">
        <v>45691.0</v>
      </c>
      <c r="I25" s="3">
        <v>45852.0</v>
      </c>
      <c r="J25" s="3">
        <v>45852.0</v>
      </c>
      <c r="K25" s="1" t="s">
        <v>215</v>
      </c>
      <c r="L25" s="1" t="s">
        <v>251</v>
      </c>
      <c r="M25" s="1" t="s">
        <v>216</v>
      </c>
      <c r="N25" s="1" t="s">
        <v>131</v>
      </c>
      <c r="O25" s="3">
        <v>45852.0</v>
      </c>
      <c r="R25" s="1" t="s">
        <v>137</v>
      </c>
      <c r="S25" s="1" t="s">
        <v>137</v>
      </c>
      <c r="T25" s="1" t="s">
        <v>47</v>
      </c>
      <c r="U25" s="1" t="s">
        <v>499</v>
      </c>
    </row>
    <row r="26">
      <c r="A26" s="1" t="s">
        <v>501</v>
      </c>
      <c r="B26" s="1" t="s">
        <v>191</v>
      </c>
      <c r="C26" s="1" t="s">
        <v>502</v>
      </c>
      <c r="D26" s="1" t="s">
        <v>172</v>
      </c>
      <c r="E26" s="1" t="s">
        <v>175</v>
      </c>
      <c r="F26" s="1" t="s">
        <v>177</v>
      </c>
      <c r="G26" s="1" t="s">
        <v>503</v>
      </c>
      <c r="H26" s="3">
        <v>45572.0</v>
      </c>
      <c r="I26" s="3">
        <v>45693.0</v>
      </c>
      <c r="J26" s="3">
        <v>45693.0</v>
      </c>
      <c r="K26" s="1" t="s">
        <v>215</v>
      </c>
      <c r="L26" s="1" t="s">
        <v>251</v>
      </c>
      <c r="M26" s="1" t="s">
        <v>216</v>
      </c>
      <c r="N26" s="1" t="s">
        <v>131</v>
      </c>
      <c r="O26" s="3">
        <v>45734.0</v>
      </c>
      <c r="R26" s="1" t="s">
        <v>137</v>
      </c>
      <c r="S26" s="1" t="s">
        <v>137</v>
      </c>
      <c r="T26" s="1" t="s">
        <v>47</v>
      </c>
      <c r="U26" s="1" t="s">
        <v>504</v>
      </c>
    </row>
    <row r="27">
      <c r="A27" s="1" t="s">
        <v>505</v>
      </c>
      <c r="B27" s="1" t="s">
        <v>191</v>
      </c>
      <c r="C27" s="1" t="s">
        <v>508</v>
      </c>
      <c r="D27" s="1" t="s">
        <v>509</v>
      </c>
      <c r="E27" s="1" t="s">
        <v>454</v>
      </c>
      <c r="F27" s="1" t="s">
        <v>455</v>
      </c>
      <c r="G27" s="1" t="s">
        <v>510</v>
      </c>
      <c r="H27" s="3">
        <v>46251.0</v>
      </c>
      <c r="K27" s="1" t="s">
        <v>124</v>
      </c>
      <c r="L27" s="1" t="s">
        <v>251</v>
      </c>
      <c r="M27" s="1" t="s">
        <v>162</v>
      </c>
      <c r="N27" s="1" t="s">
        <v>131</v>
      </c>
      <c r="P27" s="1" t="s">
        <v>512</v>
      </c>
      <c r="R27" s="1" t="s">
        <v>137</v>
      </c>
      <c r="S27" s="1" t="s">
        <v>137</v>
      </c>
      <c r="T27" s="1" t="s">
        <v>47</v>
      </c>
      <c r="U27" s="1" t="s">
        <v>513</v>
      </c>
    </row>
    <row r="28">
      <c r="A28" s="1" t="s">
        <v>515</v>
      </c>
      <c r="B28" s="1" t="s">
        <v>516</v>
      </c>
      <c r="C28" s="1" t="s">
        <v>517</v>
      </c>
      <c r="D28" s="1" t="s">
        <v>518</v>
      </c>
      <c r="E28" s="1" t="s">
        <v>520</v>
      </c>
      <c r="F28" s="1" t="s">
        <v>522</v>
      </c>
      <c r="G28" s="1" t="s">
        <v>524</v>
      </c>
      <c r="H28" s="3">
        <v>45987.0</v>
      </c>
      <c r="K28" s="1" t="s">
        <v>124</v>
      </c>
      <c r="L28" s="1" t="s">
        <v>71</v>
      </c>
      <c r="M28" s="1" t="s">
        <v>335</v>
      </c>
      <c r="N28" s="1" t="s">
        <v>131</v>
      </c>
      <c r="R28" s="1" t="s">
        <v>528</v>
      </c>
      <c r="S28" s="1" t="s">
        <v>528</v>
      </c>
      <c r="T28" s="1" t="s">
        <v>530</v>
      </c>
      <c r="U28" s="1" t="s">
        <v>532</v>
      </c>
    </row>
    <row r="29">
      <c r="A29" s="1" t="s">
        <v>533</v>
      </c>
      <c r="B29" s="1" t="s">
        <v>191</v>
      </c>
      <c r="C29" s="1" t="s">
        <v>535</v>
      </c>
      <c r="D29" s="1" t="s">
        <v>518</v>
      </c>
      <c r="E29" s="1" t="s">
        <v>520</v>
      </c>
      <c r="F29" s="1" t="s">
        <v>522</v>
      </c>
      <c r="G29" s="1" t="s">
        <v>524</v>
      </c>
      <c r="H29" s="3">
        <v>45931.0</v>
      </c>
      <c r="I29" s="3">
        <v>46048.0</v>
      </c>
      <c r="J29" s="3">
        <v>46048.0</v>
      </c>
      <c r="K29" s="1" t="s">
        <v>215</v>
      </c>
      <c r="L29" s="1" t="s">
        <v>251</v>
      </c>
      <c r="M29" s="1" t="s">
        <v>216</v>
      </c>
      <c r="N29" s="1" t="s">
        <v>131</v>
      </c>
      <c r="O29" s="3">
        <v>46080.0</v>
      </c>
      <c r="R29" s="1" t="s">
        <v>137</v>
      </c>
      <c r="S29" s="1" t="s">
        <v>137</v>
      </c>
      <c r="T29" s="1" t="s">
        <v>47</v>
      </c>
      <c r="U29" s="1" t="s">
        <v>543</v>
      </c>
    </row>
    <row r="30">
      <c r="A30" s="1" t="s">
        <v>544</v>
      </c>
      <c r="B30" s="1" t="s">
        <v>546</v>
      </c>
      <c r="C30" s="1" t="s">
        <v>547</v>
      </c>
      <c r="D30" s="1" t="s">
        <v>548</v>
      </c>
      <c r="E30" s="1" t="s">
        <v>520</v>
      </c>
      <c r="F30" s="1" t="s">
        <v>522</v>
      </c>
      <c r="G30" s="1" t="s">
        <v>550</v>
      </c>
      <c r="H30" s="3">
        <v>46070.0</v>
      </c>
      <c r="I30" s="3">
        <v>46220.0</v>
      </c>
      <c r="K30" s="1" t="s">
        <v>124</v>
      </c>
      <c r="L30" s="1" t="s">
        <v>251</v>
      </c>
      <c r="M30" s="1" t="s">
        <v>253</v>
      </c>
      <c r="N30" s="1" t="s">
        <v>131</v>
      </c>
      <c r="P30" s="1" t="s">
        <v>552</v>
      </c>
      <c r="R30" s="1" t="s">
        <v>137</v>
      </c>
      <c r="S30" s="1" t="s">
        <v>137</v>
      </c>
      <c r="T30" s="1" t="s">
        <v>47</v>
      </c>
      <c r="U30" s="1" t="s">
        <v>554</v>
      </c>
    </row>
    <row r="31">
      <c r="A31" s="1" t="s">
        <v>556</v>
      </c>
      <c r="B31" s="1" t="s">
        <v>557</v>
      </c>
      <c r="C31" s="1" t="s">
        <v>558</v>
      </c>
      <c r="D31" s="1" t="s">
        <v>313</v>
      </c>
      <c r="E31" s="1" t="s">
        <v>292</v>
      </c>
      <c r="F31" s="1" t="s">
        <v>293</v>
      </c>
      <c r="G31" s="1" t="s">
        <v>561</v>
      </c>
      <c r="H31" s="3">
        <v>45884.0</v>
      </c>
      <c r="I31" s="3">
        <v>45884.0</v>
      </c>
      <c r="K31" s="1" t="s">
        <v>215</v>
      </c>
      <c r="L31" s="1" t="s">
        <v>251</v>
      </c>
      <c r="M31" s="1" t="s">
        <v>216</v>
      </c>
      <c r="N31" s="1" t="s">
        <v>131</v>
      </c>
      <c r="O31" s="3">
        <v>45884.0</v>
      </c>
      <c r="R31" s="1" t="s">
        <v>137</v>
      </c>
      <c r="S31" s="1" t="s">
        <v>137</v>
      </c>
      <c r="T31" s="1" t="s">
        <v>47</v>
      </c>
      <c r="U31" s="1" t="s">
        <v>565</v>
      </c>
    </row>
    <row r="32">
      <c r="A32" s="1" t="s">
        <v>566</v>
      </c>
      <c r="B32" s="1" t="s">
        <v>191</v>
      </c>
      <c r="C32" s="1" t="s">
        <v>568</v>
      </c>
      <c r="D32" s="1" t="s">
        <v>313</v>
      </c>
      <c r="E32" s="1" t="s">
        <v>175</v>
      </c>
      <c r="F32" s="1" t="s">
        <v>569</v>
      </c>
      <c r="G32" s="1" t="s">
        <v>570</v>
      </c>
      <c r="H32" s="3">
        <v>45888.0</v>
      </c>
      <c r="I32" s="3">
        <v>45978.0</v>
      </c>
      <c r="J32" s="3">
        <v>45978.0</v>
      </c>
      <c r="K32" s="1" t="s">
        <v>215</v>
      </c>
      <c r="L32" s="1" t="s">
        <v>251</v>
      </c>
      <c r="M32" s="1" t="s">
        <v>216</v>
      </c>
      <c r="N32" s="1" t="s">
        <v>131</v>
      </c>
      <c r="O32" s="3">
        <v>45978.0</v>
      </c>
      <c r="R32" s="1" t="s">
        <v>137</v>
      </c>
      <c r="S32" s="1" t="s">
        <v>137</v>
      </c>
      <c r="T32" s="1" t="s">
        <v>47</v>
      </c>
      <c r="U32" s="1" t="s">
        <v>573</v>
      </c>
    </row>
    <row r="33">
      <c r="A33" s="1" t="s">
        <v>574</v>
      </c>
      <c r="B33" s="1" t="s">
        <v>191</v>
      </c>
      <c r="C33" s="1" t="s">
        <v>575</v>
      </c>
      <c r="D33" s="1" t="s">
        <v>417</v>
      </c>
      <c r="E33" s="1" t="s">
        <v>292</v>
      </c>
      <c r="F33" s="1" t="s">
        <v>576</v>
      </c>
      <c r="G33" s="1" t="s">
        <v>577</v>
      </c>
      <c r="H33" s="3">
        <v>45754.0</v>
      </c>
      <c r="I33" s="3">
        <v>46055.0</v>
      </c>
      <c r="J33" s="3">
        <v>46055.0</v>
      </c>
      <c r="K33" s="1" t="s">
        <v>215</v>
      </c>
      <c r="L33" s="1" t="s">
        <v>251</v>
      </c>
      <c r="M33" s="1" t="s">
        <v>216</v>
      </c>
      <c r="N33" s="1" t="s">
        <v>131</v>
      </c>
      <c r="O33" s="3">
        <v>46055.0</v>
      </c>
      <c r="R33" s="1" t="s">
        <v>137</v>
      </c>
      <c r="S33" s="1" t="s">
        <v>137</v>
      </c>
      <c r="T33" s="1" t="s">
        <v>47</v>
      </c>
      <c r="U33" s="1" t="s">
        <v>578</v>
      </c>
    </row>
    <row r="34">
      <c r="A34" s="1" t="s">
        <v>579</v>
      </c>
      <c r="B34" s="1" t="s">
        <v>580</v>
      </c>
      <c r="C34" s="1" t="s">
        <v>581</v>
      </c>
      <c r="D34" s="1" t="s">
        <v>313</v>
      </c>
      <c r="E34" s="1" t="s">
        <v>292</v>
      </c>
      <c r="F34" s="1" t="s">
        <v>293</v>
      </c>
      <c r="G34" s="1" t="s">
        <v>561</v>
      </c>
      <c r="H34" s="3">
        <v>46078.0</v>
      </c>
      <c r="K34" s="1" t="s">
        <v>124</v>
      </c>
      <c r="L34" s="1" t="s">
        <v>251</v>
      </c>
      <c r="M34" s="1" t="s">
        <v>363</v>
      </c>
      <c r="N34" s="1" t="s">
        <v>131</v>
      </c>
      <c r="R34" s="1" t="s">
        <v>256</v>
      </c>
      <c r="S34" s="1" t="s">
        <v>256</v>
      </c>
      <c r="T34" s="1" t="s">
        <v>266</v>
      </c>
      <c r="U34" s="1" t="s">
        <v>582</v>
      </c>
    </row>
    <row r="35">
      <c r="A35" s="1" t="s">
        <v>583</v>
      </c>
      <c r="B35" s="1" t="s">
        <v>146</v>
      </c>
      <c r="C35" s="1" t="s">
        <v>584</v>
      </c>
      <c r="D35" s="1" t="s">
        <v>388</v>
      </c>
      <c r="E35" s="1" t="s">
        <v>175</v>
      </c>
      <c r="F35" s="1" t="s">
        <v>585</v>
      </c>
      <c r="G35" s="1" t="s">
        <v>586</v>
      </c>
      <c r="H35" s="3">
        <v>46129.0</v>
      </c>
      <c r="K35" s="1" t="s">
        <v>124</v>
      </c>
      <c r="L35" s="1" t="s">
        <v>160</v>
      </c>
      <c r="M35" s="1" t="s">
        <v>162</v>
      </c>
      <c r="N35" s="1" t="s">
        <v>131</v>
      </c>
      <c r="P35" s="1" t="s">
        <v>588</v>
      </c>
      <c r="R35" s="1" t="s">
        <v>137</v>
      </c>
      <c r="S35" s="1" t="s">
        <v>137</v>
      </c>
      <c r="T35" s="1" t="s">
        <v>47</v>
      </c>
      <c r="U35" s="1" t="s">
        <v>589</v>
      </c>
    </row>
    <row r="36">
      <c r="A36" s="1" t="s">
        <v>590</v>
      </c>
      <c r="B36" s="1" t="s">
        <v>146</v>
      </c>
      <c r="C36" s="1" t="s">
        <v>592</v>
      </c>
      <c r="D36" s="1" t="s">
        <v>593</v>
      </c>
      <c r="E36" s="1" t="s">
        <v>153</v>
      </c>
      <c r="F36" s="1" t="s">
        <v>155</v>
      </c>
      <c r="G36" s="1" t="s">
        <v>157</v>
      </c>
      <c r="H36" s="3">
        <v>46128.0</v>
      </c>
      <c r="I36" s="3">
        <v>46237.0</v>
      </c>
      <c r="K36" s="1" t="s">
        <v>124</v>
      </c>
      <c r="L36" s="1" t="s">
        <v>160</v>
      </c>
      <c r="M36" s="1" t="s">
        <v>162</v>
      </c>
      <c r="N36" s="1" t="s">
        <v>131</v>
      </c>
      <c r="P36" s="1" t="s">
        <v>596</v>
      </c>
      <c r="R36" s="1" t="s">
        <v>137</v>
      </c>
      <c r="S36" s="1" t="s">
        <v>137</v>
      </c>
      <c r="T36" s="1" t="s">
        <v>47</v>
      </c>
      <c r="U36" s="1" t="s">
        <v>597</v>
      </c>
    </row>
    <row r="37">
      <c r="A37" s="1" t="s">
        <v>599</v>
      </c>
      <c r="B37" s="1" t="s">
        <v>600</v>
      </c>
      <c r="C37" s="1" t="s">
        <v>592</v>
      </c>
      <c r="D37" s="1" t="s">
        <v>593</v>
      </c>
      <c r="E37" s="1" t="s">
        <v>153</v>
      </c>
      <c r="F37" s="1" t="s">
        <v>155</v>
      </c>
      <c r="G37" s="1" t="s">
        <v>157</v>
      </c>
      <c r="H37" s="3">
        <v>46105.0</v>
      </c>
      <c r="I37" s="3">
        <v>46300.0</v>
      </c>
      <c r="K37" s="1" t="s">
        <v>124</v>
      </c>
      <c r="L37" s="1" t="s">
        <v>251</v>
      </c>
      <c r="M37" s="1" t="s">
        <v>460</v>
      </c>
      <c r="N37" s="1" t="s">
        <v>131</v>
      </c>
      <c r="P37" s="1" t="s">
        <v>603</v>
      </c>
      <c r="R37" s="1" t="s">
        <v>137</v>
      </c>
      <c r="S37" s="1" t="s">
        <v>137</v>
      </c>
      <c r="T37" s="1" t="s">
        <v>47</v>
      </c>
      <c r="U37" s="1" t="s">
        <v>606</v>
      </c>
    </row>
    <row r="38">
      <c r="A38" s="1" t="s">
        <v>607</v>
      </c>
      <c r="B38" s="1" t="s">
        <v>609</v>
      </c>
      <c r="C38" s="1" t="s">
        <v>610</v>
      </c>
      <c r="D38" s="1" t="s">
        <v>509</v>
      </c>
      <c r="E38" s="1" t="s">
        <v>454</v>
      </c>
      <c r="F38" s="1" t="s">
        <v>612</v>
      </c>
      <c r="G38" s="1" t="s">
        <v>613</v>
      </c>
      <c r="H38" s="3">
        <v>46027.0</v>
      </c>
      <c r="I38" s="3">
        <v>46231.0</v>
      </c>
      <c r="J38" s="3">
        <v>46231.0</v>
      </c>
      <c r="K38" s="1" t="s">
        <v>215</v>
      </c>
      <c r="L38" s="1" t="s">
        <v>251</v>
      </c>
      <c r="M38" s="1" t="s">
        <v>216</v>
      </c>
      <c r="N38" s="1" t="s">
        <v>131</v>
      </c>
      <c r="O38" s="3">
        <v>46231.0</v>
      </c>
      <c r="P38" s="1" t="s">
        <v>337</v>
      </c>
      <c r="R38" s="1" t="s">
        <v>137</v>
      </c>
      <c r="S38" s="1" t="s">
        <v>137</v>
      </c>
      <c r="T38" s="1" t="s">
        <v>47</v>
      </c>
      <c r="U38" s="1" t="s">
        <v>615</v>
      </c>
    </row>
    <row r="39">
      <c r="A39" s="1" t="s">
        <v>617</v>
      </c>
      <c r="B39" s="1" t="s">
        <v>191</v>
      </c>
      <c r="C39" s="1" t="s">
        <v>610</v>
      </c>
      <c r="D39" s="1" t="s">
        <v>509</v>
      </c>
      <c r="E39" s="1" t="s">
        <v>454</v>
      </c>
      <c r="F39" s="1" t="s">
        <v>612</v>
      </c>
      <c r="G39" s="1" t="s">
        <v>613</v>
      </c>
      <c r="H39" s="3">
        <v>45873.0</v>
      </c>
      <c r="I39" s="3">
        <v>46046.0</v>
      </c>
      <c r="K39" s="1" t="s">
        <v>215</v>
      </c>
      <c r="L39" s="1" t="s">
        <v>251</v>
      </c>
      <c r="M39" s="1" t="s">
        <v>253</v>
      </c>
      <c r="N39" s="1" t="s">
        <v>131</v>
      </c>
      <c r="O39" s="3">
        <v>46162.0</v>
      </c>
      <c r="P39" s="1" t="s">
        <v>444</v>
      </c>
      <c r="R39" s="1" t="s">
        <v>137</v>
      </c>
      <c r="S39" s="1" t="s">
        <v>137</v>
      </c>
      <c r="T39" s="1" t="s">
        <v>47</v>
      </c>
      <c r="U39" s="1" t="s">
        <v>623</v>
      </c>
    </row>
    <row r="40">
      <c r="A40" s="1" t="s">
        <v>624</v>
      </c>
      <c r="B40" s="1" t="s">
        <v>626</v>
      </c>
      <c r="C40" s="1" t="s">
        <v>610</v>
      </c>
      <c r="D40" s="1" t="s">
        <v>509</v>
      </c>
      <c r="E40" s="1" t="s">
        <v>454</v>
      </c>
      <c r="F40" s="1" t="s">
        <v>612</v>
      </c>
      <c r="G40" s="1" t="s">
        <v>613</v>
      </c>
      <c r="H40" s="3">
        <v>45960.0</v>
      </c>
      <c r="K40" s="1" t="s">
        <v>124</v>
      </c>
      <c r="L40" s="1" t="s">
        <v>98</v>
      </c>
      <c r="M40" s="1" t="s">
        <v>162</v>
      </c>
      <c r="N40" s="1" t="s">
        <v>131</v>
      </c>
      <c r="R40" s="1" t="s">
        <v>629</v>
      </c>
      <c r="S40" s="1" t="s">
        <v>629</v>
      </c>
      <c r="T40" s="1" t="s">
        <v>630</v>
      </c>
    </row>
    <row r="41">
      <c r="A41" s="1" t="s">
        <v>631</v>
      </c>
      <c r="B41" s="1" t="s">
        <v>632</v>
      </c>
      <c r="C41" s="1" t="s">
        <v>610</v>
      </c>
      <c r="D41" s="1" t="s">
        <v>509</v>
      </c>
      <c r="E41" s="1" t="s">
        <v>454</v>
      </c>
      <c r="F41" s="1" t="s">
        <v>612</v>
      </c>
      <c r="G41" s="1" t="s">
        <v>613</v>
      </c>
      <c r="H41" s="3">
        <v>46231.0</v>
      </c>
      <c r="K41" s="1" t="s">
        <v>124</v>
      </c>
      <c r="L41" s="1" t="s">
        <v>71</v>
      </c>
      <c r="M41" s="1" t="s">
        <v>162</v>
      </c>
      <c r="N41" s="1" t="s">
        <v>131</v>
      </c>
      <c r="P41" s="1" t="s">
        <v>337</v>
      </c>
      <c r="R41" s="1" t="s">
        <v>137</v>
      </c>
      <c r="S41" s="1" t="s">
        <v>137</v>
      </c>
      <c r="T41" s="1" t="s">
        <v>47</v>
      </c>
    </row>
    <row r="42">
      <c r="A42" s="1" t="s">
        <v>635</v>
      </c>
      <c r="B42" s="1" t="s">
        <v>191</v>
      </c>
      <c r="C42" s="1" t="s">
        <v>636</v>
      </c>
      <c r="D42" s="1" t="s">
        <v>194</v>
      </c>
      <c r="E42" s="1" t="s">
        <v>454</v>
      </c>
      <c r="F42" s="1" t="s">
        <v>637</v>
      </c>
      <c r="G42" s="1" t="s">
        <v>638</v>
      </c>
      <c r="H42" s="3">
        <v>46225.0</v>
      </c>
      <c r="I42" s="3">
        <v>46335.0</v>
      </c>
      <c r="K42" s="1" t="s">
        <v>124</v>
      </c>
      <c r="L42" s="1" t="s">
        <v>251</v>
      </c>
      <c r="M42" s="1" t="s">
        <v>162</v>
      </c>
      <c r="N42" s="1" t="s">
        <v>131</v>
      </c>
      <c r="P42" s="1" t="s">
        <v>640</v>
      </c>
      <c r="R42" s="1" t="s">
        <v>137</v>
      </c>
      <c r="S42" s="1" t="s">
        <v>137</v>
      </c>
      <c r="T42" s="1" t="s">
        <v>47</v>
      </c>
      <c r="U42" s="1" t="s">
        <v>642</v>
      </c>
    </row>
    <row r="43">
      <c r="A43" s="1" t="s">
        <v>643</v>
      </c>
      <c r="B43" s="1" t="s">
        <v>146</v>
      </c>
      <c r="C43" s="1" t="s">
        <v>644</v>
      </c>
      <c r="D43" s="1" t="s">
        <v>172</v>
      </c>
      <c r="E43" s="1" t="s">
        <v>175</v>
      </c>
      <c r="F43" s="1" t="s">
        <v>177</v>
      </c>
      <c r="G43" s="1" t="s">
        <v>178</v>
      </c>
      <c r="H43" s="3">
        <v>46129.0</v>
      </c>
      <c r="K43" s="1" t="s">
        <v>124</v>
      </c>
      <c r="L43" s="1" t="s">
        <v>160</v>
      </c>
      <c r="M43" s="1" t="s">
        <v>162</v>
      </c>
      <c r="N43" s="1" t="s">
        <v>131</v>
      </c>
      <c r="P43" s="1" t="s">
        <v>645</v>
      </c>
      <c r="R43" s="1" t="s">
        <v>137</v>
      </c>
      <c r="S43" s="1" t="s">
        <v>137</v>
      </c>
      <c r="T43" s="1" t="s">
        <v>47</v>
      </c>
    </row>
    <row r="44">
      <c r="A44" s="1" t="s">
        <v>646</v>
      </c>
      <c r="B44" s="1" t="s">
        <v>647</v>
      </c>
      <c r="C44" s="1" t="s">
        <v>648</v>
      </c>
      <c r="D44" s="1" t="s">
        <v>650</v>
      </c>
      <c r="E44" s="1" t="s">
        <v>153</v>
      </c>
      <c r="F44" s="1" t="s">
        <v>274</v>
      </c>
      <c r="G44" s="1" t="s">
        <v>276</v>
      </c>
      <c r="H44" s="3">
        <v>46174.0</v>
      </c>
      <c r="K44" s="1" t="s">
        <v>124</v>
      </c>
      <c r="L44" s="1" t="s">
        <v>98</v>
      </c>
      <c r="M44" s="1" t="s">
        <v>162</v>
      </c>
      <c r="N44" s="1" t="s">
        <v>131</v>
      </c>
      <c r="R44" s="1" t="s">
        <v>651</v>
      </c>
      <c r="S44" s="1" t="s">
        <v>651</v>
      </c>
      <c r="T44" s="1" t="s">
        <v>652</v>
      </c>
      <c r="U44" s="1" t="s">
        <v>654</v>
      </c>
    </row>
    <row r="45">
      <c r="A45" s="1" t="s">
        <v>655</v>
      </c>
      <c r="B45" s="1" t="s">
        <v>191</v>
      </c>
      <c r="C45" s="1" t="s">
        <v>656</v>
      </c>
      <c r="D45" s="1" t="s">
        <v>657</v>
      </c>
      <c r="E45" s="1" t="s">
        <v>292</v>
      </c>
      <c r="F45" s="1" t="s">
        <v>293</v>
      </c>
      <c r="G45" s="1" t="s">
        <v>316</v>
      </c>
      <c r="H45" s="3">
        <v>45698.0</v>
      </c>
      <c r="I45" s="3">
        <v>45880.0</v>
      </c>
      <c r="J45" s="3">
        <v>45880.0</v>
      </c>
      <c r="K45" s="1" t="s">
        <v>215</v>
      </c>
      <c r="L45" s="1" t="s">
        <v>251</v>
      </c>
      <c r="M45" s="1" t="s">
        <v>216</v>
      </c>
      <c r="N45" s="1" t="s">
        <v>131</v>
      </c>
      <c r="O45" s="3">
        <v>45880.0</v>
      </c>
      <c r="R45" s="1" t="s">
        <v>137</v>
      </c>
      <c r="S45" s="1" t="s">
        <v>137</v>
      </c>
      <c r="T45" s="1" t="s">
        <v>47</v>
      </c>
      <c r="U45" s="1" t="s">
        <v>658</v>
      </c>
    </row>
    <row r="46">
      <c r="A46" s="1" t="s">
        <v>659</v>
      </c>
      <c r="B46" s="1" t="s">
        <v>660</v>
      </c>
      <c r="C46" s="1" t="s">
        <v>661</v>
      </c>
      <c r="D46" s="1" t="s">
        <v>273</v>
      </c>
      <c r="E46" s="1" t="s">
        <v>330</v>
      </c>
      <c r="F46" s="1" t="s">
        <v>663</v>
      </c>
      <c r="G46" s="1" t="s">
        <v>664</v>
      </c>
      <c r="H46" s="3">
        <v>46176.0</v>
      </c>
      <c r="K46" s="1" t="s">
        <v>124</v>
      </c>
      <c r="L46" s="1" t="s">
        <v>71</v>
      </c>
      <c r="M46" s="1" t="s">
        <v>162</v>
      </c>
      <c r="N46" s="1" t="s">
        <v>131</v>
      </c>
      <c r="R46" s="1" t="s">
        <v>665</v>
      </c>
      <c r="S46" s="1" t="s">
        <v>665</v>
      </c>
      <c r="T46" s="1" t="s">
        <v>666</v>
      </c>
      <c r="U46" s="1" t="s">
        <v>667</v>
      </c>
    </row>
    <row r="47">
      <c r="A47" s="1" t="s">
        <v>669</v>
      </c>
      <c r="B47" s="1" t="s">
        <v>670</v>
      </c>
      <c r="C47" s="1" t="s">
        <v>671</v>
      </c>
      <c r="D47" s="1" t="s">
        <v>172</v>
      </c>
      <c r="E47" s="1" t="s">
        <v>175</v>
      </c>
      <c r="F47" s="1" t="s">
        <v>177</v>
      </c>
      <c r="G47" s="1" t="s">
        <v>672</v>
      </c>
      <c r="H47" s="3">
        <v>46203.0</v>
      </c>
      <c r="I47" s="3">
        <v>46321.0</v>
      </c>
      <c r="K47" s="1" t="s">
        <v>124</v>
      </c>
      <c r="L47" s="1" t="s">
        <v>71</v>
      </c>
      <c r="M47" s="1" t="s">
        <v>460</v>
      </c>
      <c r="N47" s="1" t="s">
        <v>131</v>
      </c>
      <c r="R47" s="1" t="s">
        <v>665</v>
      </c>
      <c r="S47" s="1" t="s">
        <v>665</v>
      </c>
      <c r="T47" s="1" t="s">
        <v>666</v>
      </c>
      <c r="U47" s="1" t="s">
        <v>674</v>
      </c>
    </row>
    <row r="48">
      <c r="A48" s="1" t="s">
        <v>675</v>
      </c>
      <c r="B48" s="1" t="s">
        <v>191</v>
      </c>
      <c r="C48" s="1" t="s">
        <v>677</v>
      </c>
      <c r="D48" s="1" t="s">
        <v>678</v>
      </c>
      <c r="E48" s="1" t="s">
        <v>209</v>
      </c>
      <c r="F48" s="1" t="s">
        <v>398</v>
      </c>
      <c r="G48" s="1" t="s">
        <v>680</v>
      </c>
      <c r="H48" s="3">
        <v>45908.0</v>
      </c>
      <c r="I48" s="3">
        <v>46160.0</v>
      </c>
      <c r="J48" s="3">
        <v>46160.0</v>
      </c>
      <c r="K48" s="1" t="s">
        <v>215</v>
      </c>
      <c r="L48" s="1" t="s">
        <v>251</v>
      </c>
      <c r="M48" s="1" t="s">
        <v>253</v>
      </c>
      <c r="N48" s="1" t="s">
        <v>131</v>
      </c>
      <c r="O48" s="3">
        <v>46160.0</v>
      </c>
      <c r="R48" s="1" t="s">
        <v>137</v>
      </c>
      <c r="S48" s="1" t="s">
        <v>137</v>
      </c>
      <c r="T48" s="1" t="s">
        <v>47</v>
      </c>
      <c r="U48" s="1" t="s">
        <v>682</v>
      </c>
    </row>
    <row r="49">
      <c r="A49" s="1" t="s">
        <v>683</v>
      </c>
      <c r="B49" s="1" t="s">
        <v>684</v>
      </c>
      <c r="C49" s="1" t="s">
        <v>685</v>
      </c>
      <c r="D49" s="1" t="s">
        <v>388</v>
      </c>
      <c r="H49" s="3">
        <v>46155.0</v>
      </c>
      <c r="I49" s="3">
        <v>46265.0</v>
      </c>
      <c r="K49" s="1" t="s">
        <v>124</v>
      </c>
      <c r="L49" s="1" t="s">
        <v>160</v>
      </c>
      <c r="M49" s="1" t="s">
        <v>363</v>
      </c>
      <c r="N49" s="1" t="s">
        <v>131</v>
      </c>
      <c r="P49" s="1" t="s">
        <v>529</v>
      </c>
      <c r="R49" s="1" t="s">
        <v>137</v>
      </c>
      <c r="S49" s="1" t="s">
        <v>137</v>
      </c>
      <c r="T49" s="1" t="s">
        <v>47</v>
      </c>
      <c r="U49" s="1" t="s">
        <v>688</v>
      </c>
    </row>
    <row r="50">
      <c r="A50" s="1" t="s">
        <v>689</v>
      </c>
      <c r="B50" s="1" t="s">
        <v>191</v>
      </c>
      <c r="C50" s="1" t="s">
        <v>690</v>
      </c>
      <c r="D50" s="1" t="s">
        <v>313</v>
      </c>
      <c r="E50" s="1" t="s">
        <v>691</v>
      </c>
      <c r="F50" s="1" t="s">
        <v>692</v>
      </c>
      <c r="G50" s="1" t="s">
        <v>693</v>
      </c>
      <c r="H50" s="3">
        <v>46265.0</v>
      </c>
      <c r="K50" s="1" t="s">
        <v>124</v>
      </c>
      <c r="L50" s="1" t="s">
        <v>160</v>
      </c>
      <c r="M50" s="1" t="s">
        <v>129</v>
      </c>
      <c r="N50" s="1" t="s">
        <v>131</v>
      </c>
      <c r="P50" s="1" t="s">
        <v>411</v>
      </c>
      <c r="R50" s="1" t="s">
        <v>137</v>
      </c>
      <c r="S50" s="1" t="s">
        <v>137</v>
      </c>
      <c r="T50" s="1" t="s">
        <v>47</v>
      </c>
    </row>
    <row r="51">
      <c r="A51" s="1" t="s">
        <v>696</v>
      </c>
      <c r="B51" s="1" t="s">
        <v>697</v>
      </c>
      <c r="C51" s="1" t="s">
        <v>698</v>
      </c>
      <c r="D51" s="1" t="s">
        <v>593</v>
      </c>
      <c r="E51" s="1" t="s">
        <v>330</v>
      </c>
      <c r="F51" s="1" t="s">
        <v>663</v>
      </c>
      <c r="G51" s="1" t="s">
        <v>664</v>
      </c>
      <c r="H51" s="3">
        <v>46175.0</v>
      </c>
      <c r="I51" s="3">
        <v>46297.0</v>
      </c>
      <c r="K51" s="1" t="s">
        <v>124</v>
      </c>
      <c r="L51" s="1" t="s">
        <v>71</v>
      </c>
      <c r="M51" s="1" t="s">
        <v>162</v>
      </c>
      <c r="N51" s="1" t="s">
        <v>131</v>
      </c>
      <c r="P51" s="1" t="s">
        <v>529</v>
      </c>
      <c r="R51" s="1" t="s">
        <v>137</v>
      </c>
      <c r="S51" s="1" t="s">
        <v>137</v>
      </c>
      <c r="T51" s="1" t="s">
        <v>47</v>
      </c>
      <c r="U51" s="1" t="s">
        <v>700</v>
      </c>
    </row>
    <row r="52">
      <c r="A52" s="1" t="s">
        <v>701</v>
      </c>
      <c r="B52" s="1" t="s">
        <v>191</v>
      </c>
      <c r="C52" s="1" t="s">
        <v>702</v>
      </c>
      <c r="D52" s="1" t="s">
        <v>678</v>
      </c>
      <c r="E52" s="1" t="s">
        <v>454</v>
      </c>
      <c r="F52" s="1" t="s">
        <v>637</v>
      </c>
      <c r="G52" s="1" t="s">
        <v>703</v>
      </c>
      <c r="H52" s="3">
        <v>45733.0</v>
      </c>
      <c r="I52" s="3">
        <v>45873.0</v>
      </c>
      <c r="J52" s="3">
        <v>45873.0</v>
      </c>
      <c r="K52" s="1" t="s">
        <v>215</v>
      </c>
      <c r="L52" s="1" t="s">
        <v>251</v>
      </c>
      <c r="M52" s="1" t="s">
        <v>216</v>
      </c>
      <c r="N52" s="1" t="s">
        <v>131</v>
      </c>
      <c r="O52" s="3">
        <v>45873.0</v>
      </c>
      <c r="R52" s="1" t="s">
        <v>137</v>
      </c>
      <c r="S52" s="1" t="s">
        <v>137</v>
      </c>
      <c r="T52" s="1" t="s">
        <v>47</v>
      </c>
      <c r="U52" s="1" t="s">
        <v>705</v>
      </c>
    </row>
    <row r="53">
      <c r="A53" s="1" t="s">
        <v>706</v>
      </c>
      <c r="B53" s="1" t="s">
        <v>707</v>
      </c>
      <c r="C53" s="1" t="s">
        <v>708</v>
      </c>
      <c r="D53" s="1" t="s">
        <v>518</v>
      </c>
      <c r="E53" s="1" t="s">
        <v>520</v>
      </c>
      <c r="F53" s="1" t="s">
        <v>522</v>
      </c>
      <c r="G53" s="1" t="s">
        <v>710</v>
      </c>
      <c r="H53" s="3">
        <v>45881.0</v>
      </c>
      <c r="K53" s="1" t="s">
        <v>215</v>
      </c>
      <c r="L53" s="1" t="s">
        <v>251</v>
      </c>
      <c r="M53" s="1" t="s">
        <v>216</v>
      </c>
      <c r="N53" s="1" t="s">
        <v>131</v>
      </c>
      <c r="O53" s="3">
        <v>46142.0</v>
      </c>
      <c r="R53" s="1" t="s">
        <v>712</v>
      </c>
      <c r="S53" s="1" t="s">
        <v>712</v>
      </c>
      <c r="T53" s="1" t="s">
        <v>713</v>
      </c>
      <c r="U53" s="1" t="s">
        <v>715</v>
      </c>
    </row>
    <row r="54">
      <c r="A54" s="1" t="s">
        <v>203</v>
      </c>
      <c r="B54" s="1" t="s">
        <v>354</v>
      </c>
      <c r="C54" s="1" t="s">
        <v>717</v>
      </c>
      <c r="D54" s="1" t="s">
        <v>273</v>
      </c>
      <c r="E54" s="1" t="s">
        <v>330</v>
      </c>
      <c r="F54" s="1" t="s">
        <v>331</v>
      </c>
      <c r="G54" s="1" t="s">
        <v>721</v>
      </c>
      <c r="H54" s="3">
        <v>46216.0</v>
      </c>
      <c r="I54" s="3">
        <v>46365.0</v>
      </c>
      <c r="K54" s="1" t="s">
        <v>124</v>
      </c>
      <c r="L54" s="1" t="s">
        <v>251</v>
      </c>
      <c r="M54" s="1" t="s">
        <v>162</v>
      </c>
      <c r="N54" s="1" t="s">
        <v>131</v>
      </c>
      <c r="P54" s="1" t="s">
        <v>726</v>
      </c>
      <c r="R54" s="1" t="s">
        <v>137</v>
      </c>
      <c r="S54" s="1" t="s">
        <v>137</v>
      </c>
      <c r="T54" s="1" t="s">
        <v>47</v>
      </c>
      <c r="U54" s="1" t="s">
        <v>729</v>
      </c>
    </row>
    <row r="55">
      <c r="A55" s="1" t="s">
        <v>731</v>
      </c>
      <c r="B55" s="1" t="s">
        <v>734</v>
      </c>
      <c r="C55" s="1" t="s">
        <v>736</v>
      </c>
      <c r="D55" s="1" t="s">
        <v>509</v>
      </c>
      <c r="E55" s="1" t="s">
        <v>454</v>
      </c>
      <c r="F55" s="1" t="s">
        <v>455</v>
      </c>
      <c r="G55" s="1" t="s">
        <v>738</v>
      </c>
      <c r="H55" s="3">
        <v>46188.0</v>
      </c>
      <c r="I55" s="3">
        <v>46339.0</v>
      </c>
      <c r="K55" s="1" t="s">
        <v>124</v>
      </c>
      <c r="L55" s="1" t="s">
        <v>98</v>
      </c>
      <c r="M55" s="1" t="s">
        <v>162</v>
      </c>
      <c r="N55" s="1" t="s">
        <v>131</v>
      </c>
      <c r="P55" s="1" t="s">
        <v>741</v>
      </c>
      <c r="R55" s="1" t="s">
        <v>137</v>
      </c>
      <c r="S55" s="1" t="s">
        <v>137</v>
      </c>
      <c r="T55" s="1" t="s">
        <v>47</v>
      </c>
      <c r="U55" s="1" t="s">
        <v>742</v>
      </c>
    </row>
    <row r="56">
      <c r="A56" s="1" t="s">
        <v>743</v>
      </c>
      <c r="B56" s="1" t="s">
        <v>191</v>
      </c>
      <c r="C56" s="1" t="s">
        <v>736</v>
      </c>
      <c r="D56" s="1" t="s">
        <v>509</v>
      </c>
      <c r="E56" s="1" t="s">
        <v>454</v>
      </c>
      <c r="F56" s="1" t="s">
        <v>455</v>
      </c>
      <c r="G56" s="1" t="s">
        <v>738</v>
      </c>
      <c r="H56" s="3">
        <v>46041.0</v>
      </c>
      <c r="I56" s="3">
        <v>46142.0</v>
      </c>
      <c r="J56" s="3">
        <v>46142.0</v>
      </c>
      <c r="K56" s="1" t="s">
        <v>124</v>
      </c>
      <c r="L56" s="1" t="s">
        <v>251</v>
      </c>
      <c r="M56" s="1" t="s">
        <v>216</v>
      </c>
      <c r="N56" s="1" t="s">
        <v>131</v>
      </c>
      <c r="P56" s="1" t="s">
        <v>748</v>
      </c>
      <c r="R56" s="1" t="s">
        <v>137</v>
      </c>
      <c r="S56" s="1" t="s">
        <v>137</v>
      </c>
      <c r="T56" s="1" t="s">
        <v>47</v>
      </c>
      <c r="U56" s="1" t="s">
        <v>749</v>
      </c>
    </row>
    <row r="57">
      <c r="A57" s="1" t="s">
        <v>750</v>
      </c>
      <c r="B57" s="1" t="s">
        <v>191</v>
      </c>
      <c r="C57" s="1" t="s">
        <v>752</v>
      </c>
      <c r="D57" s="1" t="s">
        <v>754</v>
      </c>
      <c r="E57" s="1" t="s">
        <v>292</v>
      </c>
      <c r="F57" s="1" t="s">
        <v>468</v>
      </c>
      <c r="G57" s="1" t="s">
        <v>470</v>
      </c>
      <c r="H57" s="3">
        <v>45705.0</v>
      </c>
      <c r="I57" s="3">
        <v>45894.0</v>
      </c>
      <c r="J57" s="3">
        <v>45894.0</v>
      </c>
      <c r="K57" s="1" t="s">
        <v>215</v>
      </c>
      <c r="L57" s="1" t="s">
        <v>251</v>
      </c>
      <c r="M57" s="1" t="s">
        <v>216</v>
      </c>
      <c r="N57" s="1" t="s">
        <v>131</v>
      </c>
      <c r="O57" s="3">
        <v>45922.0</v>
      </c>
      <c r="R57" s="1" t="s">
        <v>137</v>
      </c>
      <c r="S57" s="1" t="s">
        <v>137</v>
      </c>
      <c r="T57" s="1" t="s">
        <v>47</v>
      </c>
      <c r="U57" s="1" t="s">
        <v>757</v>
      </c>
    </row>
    <row r="58">
      <c r="A58" s="1" t="s">
        <v>758</v>
      </c>
      <c r="B58" s="1" t="s">
        <v>760</v>
      </c>
      <c r="C58" s="1" t="s">
        <v>761</v>
      </c>
      <c r="D58" s="1" t="s">
        <v>313</v>
      </c>
      <c r="E58" s="1" t="s">
        <v>175</v>
      </c>
      <c r="F58" s="1" t="s">
        <v>763</v>
      </c>
      <c r="G58" s="1" t="s">
        <v>764</v>
      </c>
      <c r="H58" s="3">
        <v>45882.0</v>
      </c>
      <c r="K58" s="1" t="s">
        <v>215</v>
      </c>
      <c r="L58" s="1" t="s">
        <v>71</v>
      </c>
      <c r="M58" s="1" t="s">
        <v>253</v>
      </c>
      <c r="N58" s="1" t="s">
        <v>131</v>
      </c>
      <c r="O58" s="3">
        <v>46129.0</v>
      </c>
      <c r="R58" s="1" t="s">
        <v>256</v>
      </c>
      <c r="S58" s="1" t="s">
        <v>256</v>
      </c>
      <c r="T58" s="1" t="s">
        <v>266</v>
      </c>
      <c r="U58" s="1" t="s">
        <v>772</v>
      </c>
    </row>
    <row r="59">
      <c r="A59" s="1" t="s">
        <v>774</v>
      </c>
      <c r="B59" s="1" t="s">
        <v>632</v>
      </c>
      <c r="C59" s="1" t="s">
        <v>775</v>
      </c>
      <c r="D59" s="1" t="s">
        <v>777</v>
      </c>
      <c r="E59" s="1" t="s">
        <v>175</v>
      </c>
      <c r="F59" s="1" t="s">
        <v>585</v>
      </c>
      <c r="G59" s="1" t="s">
        <v>780</v>
      </c>
      <c r="H59" s="3">
        <v>45798.0</v>
      </c>
      <c r="I59" s="3">
        <v>45995.0</v>
      </c>
      <c r="J59" s="3">
        <v>45995.0</v>
      </c>
      <c r="K59" s="1" t="s">
        <v>215</v>
      </c>
      <c r="L59" s="1" t="s">
        <v>98</v>
      </c>
      <c r="M59" s="1" t="s">
        <v>216</v>
      </c>
      <c r="N59" s="1" t="s">
        <v>131</v>
      </c>
      <c r="O59" s="3">
        <v>46010.0</v>
      </c>
      <c r="R59" s="1" t="s">
        <v>137</v>
      </c>
      <c r="S59" s="1" t="s">
        <v>137</v>
      </c>
      <c r="T59" s="1" t="s">
        <v>47</v>
      </c>
      <c r="U59" s="1" t="s">
        <v>789</v>
      </c>
    </row>
    <row r="60">
      <c r="A60" s="1" t="s">
        <v>790</v>
      </c>
      <c r="B60" s="1" t="s">
        <v>146</v>
      </c>
      <c r="C60" s="1" t="s">
        <v>792</v>
      </c>
      <c r="D60" s="1" t="s">
        <v>313</v>
      </c>
      <c r="E60" s="1" t="s">
        <v>175</v>
      </c>
      <c r="F60" s="1" t="s">
        <v>569</v>
      </c>
      <c r="G60" s="1" t="s">
        <v>798</v>
      </c>
      <c r="H60" s="3">
        <v>46174.0</v>
      </c>
      <c r="K60" s="1" t="s">
        <v>124</v>
      </c>
      <c r="L60" s="1" t="s">
        <v>160</v>
      </c>
      <c r="M60" s="1" t="s">
        <v>162</v>
      </c>
      <c r="N60" s="1" t="s">
        <v>131</v>
      </c>
      <c r="P60" s="1" t="s">
        <v>803</v>
      </c>
      <c r="R60" s="1" t="s">
        <v>137</v>
      </c>
      <c r="S60" s="1" t="s">
        <v>137</v>
      </c>
      <c r="T60" s="1" t="s">
        <v>47</v>
      </c>
      <c r="U60" s="1" t="s">
        <v>808</v>
      </c>
    </row>
    <row r="61">
      <c r="A61" s="1" t="s">
        <v>809</v>
      </c>
      <c r="B61" s="1" t="s">
        <v>191</v>
      </c>
      <c r="C61" s="1" t="s">
        <v>813</v>
      </c>
      <c r="D61" s="1" t="s">
        <v>172</v>
      </c>
      <c r="E61" s="1" t="s">
        <v>292</v>
      </c>
      <c r="F61" s="1" t="s">
        <v>293</v>
      </c>
      <c r="G61" s="1" t="s">
        <v>561</v>
      </c>
      <c r="H61" s="3">
        <v>46034.0</v>
      </c>
      <c r="I61" s="3">
        <v>46293.0</v>
      </c>
      <c r="K61" s="1" t="s">
        <v>124</v>
      </c>
      <c r="L61" s="1" t="s">
        <v>251</v>
      </c>
      <c r="M61" s="1" t="s">
        <v>460</v>
      </c>
      <c r="N61" s="1" t="s">
        <v>131</v>
      </c>
      <c r="P61" s="1" t="s">
        <v>204</v>
      </c>
      <c r="R61" s="1" t="s">
        <v>137</v>
      </c>
      <c r="S61" s="1" t="s">
        <v>137</v>
      </c>
      <c r="T61" s="1" t="s">
        <v>47</v>
      </c>
      <c r="U61" s="1" t="s">
        <v>825</v>
      </c>
    </row>
    <row r="62">
      <c r="A62" s="1" t="s">
        <v>827</v>
      </c>
      <c r="B62" s="1" t="s">
        <v>828</v>
      </c>
      <c r="C62" s="1" t="s">
        <v>829</v>
      </c>
      <c r="D62" s="1" t="s">
        <v>831</v>
      </c>
      <c r="E62" s="1" t="s">
        <v>292</v>
      </c>
      <c r="F62" s="1" t="s">
        <v>576</v>
      </c>
      <c r="G62" s="1" t="s">
        <v>835</v>
      </c>
      <c r="H62" s="3">
        <v>46129.0</v>
      </c>
      <c r="I62" s="3">
        <v>46297.0</v>
      </c>
      <c r="K62" s="1" t="s">
        <v>124</v>
      </c>
      <c r="L62" s="1" t="s">
        <v>160</v>
      </c>
      <c r="M62" s="1" t="s">
        <v>162</v>
      </c>
      <c r="N62" s="1" t="s">
        <v>131</v>
      </c>
      <c r="P62" s="1" t="s">
        <v>485</v>
      </c>
      <c r="R62" s="1" t="s">
        <v>665</v>
      </c>
      <c r="S62" s="1" t="s">
        <v>665</v>
      </c>
      <c r="T62" s="1" t="s">
        <v>666</v>
      </c>
      <c r="U62" s="1" t="s">
        <v>844</v>
      </c>
    </row>
    <row r="63">
      <c r="A63" s="1" t="s">
        <v>846</v>
      </c>
      <c r="B63" s="1" t="s">
        <v>191</v>
      </c>
      <c r="C63" s="1" t="s">
        <v>829</v>
      </c>
      <c r="D63" s="1" t="s">
        <v>831</v>
      </c>
      <c r="E63" s="1" t="s">
        <v>292</v>
      </c>
      <c r="F63" s="1" t="s">
        <v>576</v>
      </c>
      <c r="G63" s="1" t="s">
        <v>835</v>
      </c>
      <c r="H63" s="3">
        <v>46181.0</v>
      </c>
      <c r="I63" s="3">
        <v>46363.0</v>
      </c>
      <c r="K63" s="1" t="s">
        <v>124</v>
      </c>
      <c r="L63" s="1" t="s">
        <v>251</v>
      </c>
      <c r="M63" s="1" t="s">
        <v>162</v>
      </c>
      <c r="N63" s="1" t="s">
        <v>131</v>
      </c>
      <c r="P63" s="1" t="s">
        <v>852</v>
      </c>
      <c r="R63" s="1" t="s">
        <v>137</v>
      </c>
      <c r="S63" s="1" t="s">
        <v>137</v>
      </c>
      <c r="T63" s="1" t="s">
        <v>47</v>
      </c>
      <c r="U63" s="1" t="s">
        <v>857</v>
      </c>
    </row>
    <row r="64">
      <c r="A64" s="1" t="s">
        <v>858</v>
      </c>
      <c r="B64" s="1" t="s">
        <v>326</v>
      </c>
      <c r="C64" s="1" t="s">
        <v>860</v>
      </c>
      <c r="D64" s="1" t="s">
        <v>593</v>
      </c>
      <c r="E64" s="1" t="s">
        <v>330</v>
      </c>
      <c r="F64" s="1" t="s">
        <v>356</v>
      </c>
      <c r="G64" s="1" t="s">
        <v>864</v>
      </c>
      <c r="H64" s="3">
        <v>45971.0</v>
      </c>
      <c r="I64" s="3">
        <v>46153.0</v>
      </c>
      <c r="J64" s="3">
        <v>46153.0</v>
      </c>
      <c r="K64" s="1" t="s">
        <v>215</v>
      </c>
      <c r="L64" s="1" t="s">
        <v>98</v>
      </c>
      <c r="M64" s="1" t="s">
        <v>216</v>
      </c>
      <c r="N64" s="1" t="s">
        <v>131</v>
      </c>
      <c r="O64" s="3">
        <v>46197.0</v>
      </c>
      <c r="R64" s="1" t="s">
        <v>137</v>
      </c>
      <c r="S64" s="1" t="s">
        <v>137</v>
      </c>
      <c r="T64" s="1" t="s">
        <v>47</v>
      </c>
      <c r="U64" s="1" t="s">
        <v>868</v>
      </c>
    </row>
    <row r="65">
      <c r="A65" s="1" t="s">
        <v>870</v>
      </c>
      <c r="B65" s="1" t="s">
        <v>871</v>
      </c>
      <c r="C65" s="1" t="s">
        <v>872</v>
      </c>
      <c r="D65" s="1" t="s">
        <v>273</v>
      </c>
      <c r="E65" s="1" t="s">
        <v>330</v>
      </c>
      <c r="F65" s="1" t="s">
        <v>356</v>
      </c>
      <c r="G65" s="1" t="s">
        <v>875</v>
      </c>
      <c r="H65" s="3">
        <v>46161.0</v>
      </c>
      <c r="K65" s="1" t="s">
        <v>124</v>
      </c>
      <c r="L65" s="1" t="s">
        <v>251</v>
      </c>
      <c r="M65" s="1" t="s">
        <v>162</v>
      </c>
      <c r="N65" s="1" t="s">
        <v>131</v>
      </c>
      <c r="R65" s="1" t="s">
        <v>629</v>
      </c>
      <c r="S65" s="1" t="s">
        <v>629</v>
      </c>
      <c r="T65" s="1" t="s">
        <v>630</v>
      </c>
    </row>
    <row r="66">
      <c r="A66" s="1" t="s">
        <v>884</v>
      </c>
      <c r="B66" s="1" t="s">
        <v>146</v>
      </c>
      <c r="C66" s="1" t="s">
        <v>888</v>
      </c>
      <c r="D66" s="1" t="s">
        <v>777</v>
      </c>
      <c r="E66" s="1" t="s">
        <v>889</v>
      </c>
      <c r="F66" s="1" t="s">
        <v>890</v>
      </c>
      <c r="G66" s="1" t="s">
        <v>892</v>
      </c>
      <c r="H66" s="3">
        <v>46129.0</v>
      </c>
      <c r="K66" s="1" t="s">
        <v>124</v>
      </c>
      <c r="L66" s="1" t="s">
        <v>160</v>
      </c>
      <c r="M66" s="1" t="s">
        <v>162</v>
      </c>
      <c r="N66" s="1" t="s">
        <v>131</v>
      </c>
      <c r="P66" s="1" t="s">
        <v>895</v>
      </c>
      <c r="R66" s="1" t="s">
        <v>137</v>
      </c>
      <c r="S66" s="1" t="s">
        <v>137</v>
      </c>
      <c r="T66" s="1" t="s">
        <v>47</v>
      </c>
    </row>
    <row r="67">
      <c r="A67" s="1" t="s">
        <v>901</v>
      </c>
      <c r="B67" s="1" t="s">
        <v>191</v>
      </c>
      <c r="C67" s="1" t="s">
        <v>888</v>
      </c>
      <c r="D67" s="1" t="s">
        <v>777</v>
      </c>
      <c r="E67" s="1" t="s">
        <v>889</v>
      </c>
      <c r="F67" s="1" t="s">
        <v>890</v>
      </c>
      <c r="G67" s="1" t="s">
        <v>892</v>
      </c>
      <c r="H67" s="3">
        <v>46258.0</v>
      </c>
      <c r="K67" s="1" t="s">
        <v>124</v>
      </c>
      <c r="L67" s="1" t="s">
        <v>251</v>
      </c>
      <c r="M67" s="1" t="s">
        <v>129</v>
      </c>
      <c r="N67" s="1" t="s">
        <v>131</v>
      </c>
      <c r="P67" s="1" t="s">
        <v>748</v>
      </c>
      <c r="R67" s="1" t="s">
        <v>137</v>
      </c>
      <c r="S67" s="1" t="s">
        <v>137</v>
      </c>
      <c r="T67" s="1" t="s">
        <v>47</v>
      </c>
      <c r="U67" s="1" t="s">
        <v>912</v>
      </c>
    </row>
    <row r="68">
      <c r="A68" s="1" t="s">
        <v>913</v>
      </c>
      <c r="B68" s="1" t="s">
        <v>915</v>
      </c>
      <c r="C68" s="1" t="s">
        <v>917</v>
      </c>
      <c r="D68" s="1" t="s">
        <v>919</v>
      </c>
      <c r="E68" s="1" t="s">
        <v>330</v>
      </c>
      <c r="F68" s="1" t="s">
        <v>663</v>
      </c>
      <c r="G68" s="1" t="s">
        <v>923</v>
      </c>
      <c r="H68" s="3">
        <v>46083.0</v>
      </c>
      <c r="K68" s="1" t="s">
        <v>124</v>
      </c>
      <c r="L68" s="1" t="s">
        <v>251</v>
      </c>
      <c r="M68" s="1" t="s">
        <v>253</v>
      </c>
      <c r="N68" s="1" t="s">
        <v>131</v>
      </c>
      <c r="R68" s="1" t="s">
        <v>651</v>
      </c>
      <c r="S68" s="1" t="s">
        <v>651</v>
      </c>
      <c r="T68" s="1" t="s">
        <v>652</v>
      </c>
      <c r="U68" s="1" t="s">
        <v>928</v>
      </c>
    </row>
    <row r="69">
      <c r="A69" s="1" t="s">
        <v>929</v>
      </c>
      <c r="B69" s="1" t="s">
        <v>580</v>
      </c>
      <c r="C69" s="1" t="s">
        <v>931</v>
      </c>
      <c r="D69" s="1" t="s">
        <v>273</v>
      </c>
      <c r="E69" s="1" t="s">
        <v>330</v>
      </c>
      <c r="F69" s="1" t="s">
        <v>331</v>
      </c>
      <c r="G69" s="1" t="s">
        <v>333</v>
      </c>
      <c r="H69" s="3">
        <v>45994.0</v>
      </c>
      <c r="K69" s="1" t="s">
        <v>124</v>
      </c>
      <c r="L69" s="1" t="s">
        <v>251</v>
      </c>
      <c r="M69" s="1" t="s">
        <v>300</v>
      </c>
      <c r="N69" s="1" t="s">
        <v>365</v>
      </c>
      <c r="P69" s="1" t="s">
        <v>552</v>
      </c>
      <c r="R69" s="1" t="s">
        <v>137</v>
      </c>
      <c r="S69" s="1" t="s">
        <v>137</v>
      </c>
      <c r="T69" s="1" t="s">
        <v>47</v>
      </c>
      <c r="U69" s="1" t="s">
        <v>939</v>
      </c>
    </row>
    <row r="70">
      <c r="A70" s="1" t="s">
        <v>940</v>
      </c>
      <c r="B70" s="1" t="s">
        <v>191</v>
      </c>
      <c r="C70" s="1" t="s">
        <v>943</v>
      </c>
      <c r="D70" s="1" t="s">
        <v>678</v>
      </c>
      <c r="E70" s="1" t="s">
        <v>454</v>
      </c>
      <c r="F70" s="1" t="s">
        <v>637</v>
      </c>
      <c r="G70" s="1" t="s">
        <v>638</v>
      </c>
      <c r="H70" s="3">
        <v>45957.0</v>
      </c>
      <c r="I70" s="3">
        <v>46042.0</v>
      </c>
      <c r="J70" s="3">
        <v>46042.0</v>
      </c>
      <c r="K70" s="1" t="s">
        <v>215</v>
      </c>
      <c r="L70" s="1" t="s">
        <v>251</v>
      </c>
      <c r="M70" s="1" t="s">
        <v>216</v>
      </c>
      <c r="N70" s="1" t="s">
        <v>131</v>
      </c>
      <c r="O70" s="3">
        <v>46042.0</v>
      </c>
      <c r="R70" s="1" t="s">
        <v>137</v>
      </c>
      <c r="S70" s="1" t="s">
        <v>137</v>
      </c>
      <c r="T70" s="1" t="s">
        <v>47</v>
      </c>
      <c r="U70" s="1" t="s">
        <v>954</v>
      </c>
    </row>
    <row r="71">
      <c r="A71" s="1" t="s">
        <v>957</v>
      </c>
      <c r="B71" s="1" t="s">
        <v>146</v>
      </c>
      <c r="C71" s="1" t="s">
        <v>959</v>
      </c>
      <c r="D71" s="1" t="s">
        <v>960</v>
      </c>
      <c r="E71" s="1" t="s">
        <v>292</v>
      </c>
      <c r="F71" s="1" t="s">
        <v>962</v>
      </c>
      <c r="G71" s="1" t="s">
        <v>963</v>
      </c>
      <c r="H71" s="3">
        <v>46129.0</v>
      </c>
      <c r="K71" s="1" t="s">
        <v>124</v>
      </c>
      <c r="L71" s="1" t="s">
        <v>160</v>
      </c>
      <c r="M71" s="1" t="s">
        <v>162</v>
      </c>
      <c r="N71" s="1" t="s">
        <v>131</v>
      </c>
      <c r="P71" s="1" t="s">
        <v>485</v>
      </c>
      <c r="R71" s="1" t="s">
        <v>137</v>
      </c>
      <c r="S71" s="1" t="s">
        <v>137</v>
      </c>
      <c r="T71" s="1" t="s">
        <v>47</v>
      </c>
    </row>
    <row r="72">
      <c r="A72" s="1" t="s">
        <v>969</v>
      </c>
      <c r="B72" s="1" t="s">
        <v>970</v>
      </c>
      <c r="C72" s="1" t="s">
        <v>971</v>
      </c>
      <c r="D72" s="1" t="s">
        <v>273</v>
      </c>
      <c r="E72" s="1" t="s">
        <v>330</v>
      </c>
      <c r="F72" s="1" t="s">
        <v>663</v>
      </c>
      <c r="G72" s="1" t="s">
        <v>664</v>
      </c>
      <c r="H72" s="3">
        <v>46066.0</v>
      </c>
      <c r="I72" s="3">
        <v>46206.0</v>
      </c>
      <c r="J72" s="3">
        <v>46206.0</v>
      </c>
      <c r="K72" s="1" t="s">
        <v>215</v>
      </c>
      <c r="L72" s="1" t="s">
        <v>251</v>
      </c>
      <c r="M72" s="1" t="s">
        <v>216</v>
      </c>
      <c r="N72" s="1" t="s">
        <v>131</v>
      </c>
      <c r="O72" s="3">
        <v>46234.0</v>
      </c>
      <c r="R72" s="1" t="s">
        <v>651</v>
      </c>
      <c r="S72" s="1" t="s">
        <v>651</v>
      </c>
      <c r="T72" s="1" t="s">
        <v>652</v>
      </c>
      <c r="U72" s="1" t="s">
        <v>981</v>
      </c>
    </row>
    <row r="73">
      <c r="A73" s="1" t="s">
        <v>983</v>
      </c>
      <c r="B73" s="1" t="s">
        <v>191</v>
      </c>
      <c r="C73" s="1" t="s">
        <v>985</v>
      </c>
      <c r="D73" s="1" t="s">
        <v>831</v>
      </c>
      <c r="E73" s="1" t="s">
        <v>438</v>
      </c>
      <c r="F73" s="1" t="s">
        <v>440</v>
      </c>
      <c r="G73" s="1" t="s">
        <v>441</v>
      </c>
      <c r="H73" s="3">
        <v>46188.0</v>
      </c>
      <c r="I73" s="3">
        <v>46334.0</v>
      </c>
      <c r="K73" s="1" t="s">
        <v>124</v>
      </c>
      <c r="L73" s="1" t="s">
        <v>251</v>
      </c>
      <c r="M73" s="1" t="s">
        <v>460</v>
      </c>
      <c r="N73" s="1" t="s">
        <v>131</v>
      </c>
      <c r="P73" s="1" t="s">
        <v>989</v>
      </c>
      <c r="R73" s="1" t="s">
        <v>137</v>
      </c>
      <c r="S73" s="1" t="s">
        <v>137</v>
      </c>
      <c r="T73" s="1" t="s">
        <v>47</v>
      </c>
      <c r="U73" s="1" t="s">
        <v>991</v>
      </c>
    </row>
    <row r="74">
      <c r="A74" s="1" t="s">
        <v>994</v>
      </c>
      <c r="B74" s="1" t="s">
        <v>191</v>
      </c>
      <c r="C74" s="1" t="s">
        <v>997</v>
      </c>
      <c r="D74" s="1" t="s">
        <v>831</v>
      </c>
      <c r="E74" s="1" t="s">
        <v>292</v>
      </c>
      <c r="F74" s="1" t="s">
        <v>468</v>
      </c>
      <c r="G74" s="1" t="s">
        <v>998</v>
      </c>
      <c r="H74" s="3">
        <v>46090.0</v>
      </c>
      <c r="I74" s="3">
        <v>46223.0</v>
      </c>
      <c r="J74" s="3">
        <v>46223.0</v>
      </c>
      <c r="K74" s="1" t="s">
        <v>215</v>
      </c>
      <c r="L74" s="1" t="s">
        <v>98</v>
      </c>
      <c r="M74" s="1" t="s">
        <v>216</v>
      </c>
      <c r="N74" s="1" t="s">
        <v>131</v>
      </c>
      <c r="O74" s="3">
        <v>46251.0</v>
      </c>
      <c r="P74" s="1" t="s">
        <v>1005</v>
      </c>
      <c r="R74" s="1" t="s">
        <v>137</v>
      </c>
      <c r="S74" s="1" t="s">
        <v>137</v>
      </c>
      <c r="T74" s="1" t="s">
        <v>47</v>
      </c>
      <c r="U74" s="1" t="s">
        <v>1007</v>
      </c>
    </row>
    <row r="75">
      <c r="A75" s="1" t="s">
        <v>1008</v>
      </c>
      <c r="B75" s="1" t="s">
        <v>191</v>
      </c>
      <c r="C75" s="1" t="s">
        <v>997</v>
      </c>
      <c r="D75" s="1" t="s">
        <v>831</v>
      </c>
      <c r="E75" s="1" t="s">
        <v>292</v>
      </c>
      <c r="F75" s="1" t="s">
        <v>468</v>
      </c>
      <c r="G75" s="1" t="s">
        <v>998</v>
      </c>
      <c r="H75" s="3">
        <v>45901.0</v>
      </c>
      <c r="I75" s="3">
        <v>45985.0</v>
      </c>
      <c r="J75" s="3">
        <v>45985.0</v>
      </c>
      <c r="K75" s="1" t="s">
        <v>215</v>
      </c>
      <c r="L75" s="1" t="s">
        <v>251</v>
      </c>
      <c r="M75" s="1" t="s">
        <v>216</v>
      </c>
      <c r="N75" s="1" t="s">
        <v>131</v>
      </c>
      <c r="O75" s="3">
        <v>46009.0</v>
      </c>
      <c r="R75" s="1" t="s">
        <v>137</v>
      </c>
      <c r="S75" s="1" t="s">
        <v>137</v>
      </c>
      <c r="T75" s="1" t="s">
        <v>47</v>
      </c>
      <c r="U75" s="1" t="s">
        <v>1018</v>
      </c>
    </row>
    <row r="76">
      <c r="A76" s="1" t="s">
        <v>1021</v>
      </c>
      <c r="B76" s="1" t="s">
        <v>146</v>
      </c>
      <c r="C76" s="1" t="s">
        <v>1023</v>
      </c>
      <c r="D76" s="1" t="s">
        <v>388</v>
      </c>
      <c r="E76" s="1" t="s">
        <v>153</v>
      </c>
      <c r="F76" s="1" t="s">
        <v>274</v>
      </c>
      <c r="G76" s="1" t="s">
        <v>276</v>
      </c>
      <c r="H76" s="3">
        <v>46129.0</v>
      </c>
      <c r="K76" s="1" t="s">
        <v>124</v>
      </c>
      <c r="L76" s="1" t="s">
        <v>160</v>
      </c>
      <c r="M76" s="1" t="s">
        <v>162</v>
      </c>
      <c r="N76" s="1" t="s">
        <v>131</v>
      </c>
      <c r="R76" s="1" t="s">
        <v>137</v>
      </c>
      <c r="S76" s="1" t="s">
        <v>137</v>
      </c>
      <c r="T76" s="1" t="s">
        <v>47</v>
      </c>
    </row>
    <row r="77">
      <c r="A77" s="1" t="s">
        <v>1030</v>
      </c>
      <c r="B77" s="1" t="s">
        <v>191</v>
      </c>
      <c r="C77" s="1" t="s">
        <v>1034</v>
      </c>
      <c r="D77" s="1" t="s">
        <v>273</v>
      </c>
      <c r="E77" s="1" t="s">
        <v>330</v>
      </c>
      <c r="F77" s="1" t="s">
        <v>356</v>
      </c>
      <c r="G77" s="1" t="s">
        <v>429</v>
      </c>
      <c r="H77" s="3">
        <v>46273.0</v>
      </c>
      <c r="K77" s="1" t="s">
        <v>124</v>
      </c>
      <c r="L77" s="1" t="s">
        <v>251</v>
      </c>
      <c r="M77" s="1" t="s">
        <v>162</v>
      </c>
      <c r="N77" s="1" t="s">
        <v>131</v>
      </c>
      <c r="P77" s="1" t="s">
        <v>640</v>
      </c>
      <c r="R77" s="1" t="s">
        <v>137</v>
      </c>
      <c r="S77" s="1" t="s">
        <v>137</v>
      </c>
      <c r="T77" s="1" t="s">
        <v>47</v>
      </c>
      <c r="U77" s="1" t="s">
        <v>1045</v>
      </c>
    </row>
    <row r="78">
      <c r="A78" s="1" t="s">
        <v>1047</v>
      </c>
      <c r="B78" s="1" t="s">
        <v>760</v>
      </c>
      <c r="C78" s="1" t="s">
        <v>1048</v>
      </c>
      <c r="D78" s="1" t="s">
        <v>509</v>
      </c>
      <c r="E78" s="1" t="s">
        <v>454</v>
      </c>
      <c r="F78" s="1" t="s">
        <v>612</v>
      </c>
      <c r="H78" s="3">
        <v>46064.0</v>
      </c>
      <c r="I78" s="3">
        <v>46232.0</v>
      </c>
      <c r="K78" s="1" t="s">
        <v>124</v>
      </c>
      <c r="L78" s="1" t="s">
        <v>71</v>
      </c>
      <c r="M78" s="1" t="s">
        <v>335</v>
      </c>
      <c r="N78" s="1" t="s">
        <v>131</v>
      </c>
      <c r="R78" s="1" t="s">
        <v>256</v>
      </c>
      <c r="S78" s="1" t="s">
        <v>256</v>
      </c>
      <c r="T78" s="1" t="s">
        <v>266</v>
      </c>
      <c r="U78" s="1" t="s">
        <v>1052</v>
      </c>
    </row>
    <row r="79">
      <c r="A79" s="1" t="s">
        <v>1053</v>
      </c>
      <c r="B79" s="1" t="s">
        <v>116</v>
      </c>
      <c r="C79" s="1" t="s">
        <v>1054</v>
      </c>
      <c r="D79" s="1" t="s">
        <v>678</v>
      </c>
      <c r="E79" s="1" t="s">
        <v>454</v>
      </c>
      <c r="F79" s="1" t="s">
        <v>455</v>
      </c>
      <c r="G79" s="1" t="s">
        <v>738</v>
      </c>
      <c r="H79" s="3">
        <v>46204.0</v>
      </c>
      <c r="I79" s="3">
        <v>46279.0</v>
      </c>
      <c r="K79" s="1" t="s">
        <v>124</v>
      </c>
      <c r="L79" s="1" t="s">
        <v>160</v>
      </c>
      <c r="M79" s="1" t="s">
        <v>162</v>
      </c>
      <c r="N79" s="1" t="s">
        <v>131</v>
      </c>
      <c r="P79" s="1" t="s">
        <v>1058</v>
      </c>
      <c r="R79" s="1" t="s">
        <v>137</v>
      </c>
      <c r="S79" s="1" t="s">
        <v>137</v>
      </c>
      <c r="T79" s="1" t="s">
        <v>47</v>
      </c>
      <c r="U79" s="1" t="s">
        <v>1061</v>
      </c>
    </row>
    <row r="80">
      <c r="A80" s="1" t="s">
        <v>1063</v>
      </c>
      <c r="B80" s="1" t="s">
        <v>240</v>
      </c>
      <c r="C80" s="1" t="s">
        <v>1065</v>
      </c>
      <c r="D80" s="1" t="s">
        <v>1067</v>
      </c>
      <c r="E80" s="1" t="s">
        <v>330</v>
      </c>
      <c r="F80" s="1" t="s">
        <v>663</v>
      </c>
      <c r="G80" s="1" t="s">
        <v>1068</v>
      </c>
      <c r="H80" s="3">
        <v>46169.0</v>
      </c>
      <c r="K80" s="1" t="s">
        <v>124</v>
      </c>
      <c r="L80" s="1" t="s">
        <v>251</v>
      </c>
      <c r="M80" s="1" t="s">
        <v>162</v>
      </c>
      <c r="N80" s="1" t="s">
        <v>131</v>
      </c>
      <c r="P80" s="1" t="s">
        <v>552</v>
      </c>
      <c r="R80" s="1" t="s">
        <v>137</v>
      </c>
      <c r="S80" s="1" t="s">
        <v>137</v>
      </c>
      <c r="T80" s="1" t="s">
        <v>47</v>
      </c>
      <c r="U80" s="1" t="s">
        <v>1072</v>
      </c>
    </row>
    <row r="81">
      <c r="A81" s="1" t="s">
        <v>1074</v>
      </c>
      <c r="B81" s="1" t="s">
        <v>1075</v>
      </c>
      <c r="C81" s="1" t="s">
        <v>1076</v>
      </c>
      <c r="D81" s="1" t="s">
        <v>1067</v>
      </c>
      <c r="E81" s="1" t="s">
        <v>330</v>
      </c>
      <c r="F81" s="1" t="s">
        <v>663</v>
      </c>
      <c r="G81" s="1" t="s">
        <v>1068</v>
      </c>
      <c r="H81" s="3">
        <v>46115.0</v>
      </c>
      <c r="I81" s="3">
        <v>46244.0</v>
      </c>
      <c r="J81" s="3">
        <v>46244.0</v>
      </c>
      <c r="K81" s="1" t="s">
        <v>124</v>
      </c>
      <c r="L81" s="1" t="s">
        <v>98</v>
      </c>
      <c r="M81" s="1" t="s">
        <v>162</v>
      </c>
      <c r="N81" s="1" t="s">
        <v>131</v>
      </c>
      <c r="R81" s="1" t="s">
        <v>378</v>
      </c>
      <c r="S81" s="1" t="s">
        <v>378</v>
      </c>
      <c r="T81" s="1" t="s">
        <v>381</v>
      </c>
      <c r="U81" s="1" t="s">
        <v>1082</v>
      </c>
    </row>
    <row r="82">
      <c r="A82" s="1" t="s">
        <v>482</v>
      </c>
      <c r="B82" s="1" t="s">
        <v>191</v>
      </c>
      <c r="C82" s="1" t="s">
        <v>1086</v>
      </c>
      <c r="D82" s="1" t="s">
        <v>417</v>
      </c>
      <c r="E82" s="1" t="s">
        <v>292</v>
      </c>
      <c r="F82" s="1" t="s">
        <v>576</v>
      </c>
      <c r="G82" s="1" t="s">
        <v>1088</v>
      </c>
      <c r="H82" s="3">
        <v>46052.0</v>
      </c>
      <c r="I82" s="3">
        <v>46266.0</v>
      </c>
      <c r="K82" s="1" t="s">
        <v>124</v>
      </c>
      <c r="L82" s="1" t="s">
        <v>251</v>
      </c>
      <c r="M82" s="1" t="s">
        <v>253</v>
      </c>
      <c r="N82" s="1" t="s">
        <v>365</v>
      </c>
      <c r="P82" s="1" t="s">
        <v>640</v>
      </c>
      <c r="R82" s="1" t="s">
        <v>137</v>
      </c>
      <c r="S82" s="1" t="s">
        <v>137</v>
      </c>
      <c r="T82" s="1" t="s">
        <v>47</v>
      </c>
      <c r="U82" s="1" t="s">
        <v>1094</v>
      </c>
    </row>
    <row r="83">
      <c r="A83" s="1" t="s">
        <v>1097</v>
      </c>
      <c r="B83" s="1" t="s">
        <v>191</v>
      </c>
      <c r="C83" s="1" t="s">
        <v>1099</v>
      </c>
      <c r="D83" s="1" t="s">
        <v>1067</v>
      </c>
      <c r="E83" s="1" t="s">
        <v>330</v>
      </c>
      <c r="F83" s="1" t="s">
        <v>663</v>
      </c>
      <c r="G83" s="1" t="s">
        <v>1068</v>
      </c>
      <c r="H83" s="3">
        <v>45782.0</v>
      </c>
      <c r="I83" s="3">
        <v>45866.0</v>
      </c>
      <c r="J83" s="3">
        <v>45866.0</v>
      </c>
      <c r="K83" s="1" t="s">
        <v>215</v>
      </c>
      <c r="L83" s="1" t="s">
        <v>251</v>
      </c>
      <c r="M83" s="1" t="s">
        <v>216</v>
      </c>
      <c r="N83" s="1" t="s">
        <v>131</v>
      </c>
      <c r="O83" s="3">
        <v>45866.0</v>
      </c>
      <c r="R83" s="1" t="s">
        <v>137</v>
      </c>
      <c r="S83" s="1" t="s">
        <v>137</v>
      </c>
      <c r="T83" s="1" t="s">
        <v>47</v>
      </c>
      <c r="U83" s="1" t="s">
        <v>772</v>
      </c>
    </row>
    <row r="84">
      <c r="A84" s="1" t="s">
        <v>1109</v>
      </c>
      <c r="B84" s="1" t="s">
        <v>1111</v>
      </c>
      <c r="C84" s="1" t="s">
        <v>1113</v>
      </c>
      <c r="D84" s="1" t="s">
        <v>313</v>
      </c>
      <c r="E84" s="1" t="s">
        <v>175</v>
      </c>
      <c r="F84" s="1" t="s">
        <v>1116</v>
      </c>
      <c r="G84" s="1" t="s">
        <v>1118</v>
      </c>
      <c r="H84" s="3">
        <v>46059.0</v>
      </c>
      <c r="I84" s="3">
        <v>46118.0</v>
      </c>
      <c r="J84" s="3">
        <v>46118.0</v>
      </c>
      <c r="K84" s="1" t="s">
        <v>215</v>
      </c>
      <c r="L84" s="1" t="s">
        <v>71</v>
      </c>
      <c r="M84" s="1" t="s">
        <v>253</v>
      </c>
      <c r="N84" s="1" t="s">
        <v>131</v>
      </c>
      <c r="O84" s="3">
        <v>46151.0</v>
      </c>
      <c r="R84" s="1" t="s">
        <v>256</v>
      </c>
      <c r="S84" s="1" t="s">
        <v>256</v>
      </c>
      <c r="T84" s="1" t="s">
        <v>266</v>
      </c>
      <c r="U84" s="1" t="s">
        <v>772</v>
      </c>
    </row>
    <row r="85">
      <c r="A85" s="1" t="s">
        <v>1127</v>
      </c>
      <c r="B85" s="1" t="s">
        <v>191</v>
      </c>
      <c r="C85" s="1" t="s">
        <v>1129</v>
      </c>
      <c r="D85" s="1" t="s">
        <v>172</v>
      </c>
      <c r="E85" s="1" t="s">
        <v>175</v>
      </c>
      <c r="F85" s="1" t="s">
        <v>177</v>
      </c>
      <c r="G85" s="1" t="s">
        <v>483</v>
      </c>
      <c r="H85" s="3">
        <v>45873.0</v>
      </c>
      <c r="I85" s="3">
        <v>45959.0</v>
      </c>
      <c r="J85" s="3">
        <v>45959.0</v>
      </c>
      <c r="K85" s="1" t="s">
        <v>215</v>
      </c>
      <c r="L85" s="1" t="s">
        <v>251</v>
      </c>
      <c r="M85" s="1" t="s">
        <v>216</v>
      </c>
      <c r="N85" s="1" t="s">
        <v>131</v>
      </c>
      <c r="O85" s="3">
        <v>45959.0</v>
      </c>
      <c r="R85" s="1" t="s">
        <v>137</v>
      </c>
      <c r="S85" s="1" t="s">
        <v>137</v>
      </c>
      <c r="T85" s="1" t="s">
        <v>47</v>
      </c>
      <c r="U85" s="1" t="s">
        <v>1138</v>
      </c>
    </row>
    <row r="86">
      <c r="A86" s="1" t="s">
        <v>1139</v>
      </c>
      <c r="B86" s="1" t="s">
        <v>146</v>
      </c>
      <c r="C86" s="1" t="s">
        <v>1141</v>
      </c>
      <c r="D86" s="1" t="s">
        <v>172</v>
      </c>
      <c r="E86" s="1" t="s">
        <v>691</v>
      </c>
      <c r="F86" s="1" t="s">
        <v>1142</v>
      </c>
      <c r="G86" s="1" t="s">
        <v>1143</v>
      </c>
      <c r="H86" s="3">
        <v>46128.0</v>
      </c>
      <c r="I86" s="3">
        <v>46328.0</v>
      </c>
      <c r="K86" s="1" t="s">
        <v>124</v>
      </c>
      <c r="L86" s="1" t="s">
        <v>160</v>
      </c>
      <c r="M86" s="1" t="s">
        <v>300</v>
      </c>
      <c r="N86" s="1" t="s">
        <v>131</v>
      </c>
      <c r="P86" s="1" t="s">
        <v>1149</v>
      </c>
      <c r="R86" s="1" t="s">
        <v>137</v>
      </c>
      <c r="S86" s="1" t="s">
        <v>137</v>
      </c>
      <c r="T86" s="1" t="s">
        <v>47</v>
      </c>
      <c r="U86" s="1" t="s">
        <v>1153</v>
      </c>
    </row>
    <row r="87">
      <c r="A87" s="1" t="s">
        <v>1156</v>
      </c>
      <c r="B87" s="1" t="s">
        <v>600</v>
      </c>
      <c r="C87" s="1" t="s">
        <v>1141</v>
      </c>
      <c r="D87" s="1" t="s">
        <v>172</v>
      </c>
      <c r="E87" s="1" t="s">
        <v>691</v>
      </c>
      <c r="F87" s="1" t="s">
        <v>1142</v>
      </c>
      <c r="G87" s="1" t="s">
        <v>1143</v>
      </c>
      <c r="H87" s="3">
        <v>46160.0</v>
      </c>
      <c r="K87" s="1" t="s">
        <v>124</v>
      </c>
      <c r="L87" s="1" t="s">
        <v>98</v>
      </c>
      <c r="M87" s="1" t="s">
        <v>162</v>
      </c>
      <c r="N87" s="1" t="s">
        <v>131</v>
      </c>
      <c r="P87" s="1" t="s">
        <v>603</v>
      </c>
      <c r="R87" s="1" t="s">
        <v>137</v>
      </c>
      <c r="S87" s="1" t="s">
        <v>137</v>
      </c>
      <c r="T87" s="1" t="s">
        <v>47</v>
      </c>
      <c r="U87" s="1" t="s">
        <v>1163</v>
      </c>
    </row>
    <row r="88">
      <c r="A88" s="1" t="s">
        <v>1166</v>
      </c>
      <c r="B88" s="1" t="s">
        <v>1167</v>
      </c>
      <c r="C88" s="1" t="s">
        <v>1141</v>
      </c>
      <c r="D88" s="1" t="s">
        <v>172</v>
      </c>
      <c r="E88" s="1" t="s">
        <v>691</v>
      </c>
      <c r="F88" s="1" t="s">
        <v>1142</v>
      </c>
      <c r="G88" s="1" t="s">
        <v>1143</v>
      </c>
      <c r="H88" s="3">
        <v>46087.0</v>
      </c>
      <c r="K88" s="1" t="s">
        <v>124</v>
      </c>
      <c r="L88" s="1" t="s">
        <v>251</v>
      </c>
      <c r="M88" s="1" t="s">
        <v>162</v>
      </c>
      <c r="N88" s="1" t="s">
        <v>131</v>
      </c>
      <c r="R88" s="1" t="s">
        <v>137</v>
      </c>
      <c r="S88" s="1" t="s">
        <v>137</v>
      </c>
      <c r="T88" s="1" t="s">
        <v>47</v>
      </c>
      <c r="U88" s="1" t="s">
        <v>1174</v>
      </c>
    </row>
    <row r="89">
      <c r="A89" s="1" t="s">
        <v>755</v>
      </c>
      <c r="B89" s="1" t="s">
        <v>759</v>
      </c>
      <c r="C89" s="1" t="s">
        <v>756</v>
      </c>
      <c r="D89" s="1" t="s">
        <v>180</v>
      </c>
      <c r="E89" s="1" t="s">
        <v>520</v>
      </c>
      <c r="F89" s="1" t="s">
        <v>1179</v>
      </c>
      <c r="G89" s="1" t="s">
        <v>1180</v>
      </c>
      <c r="H89" s="3">
        <v>46090.0</v>
      </c>
      <c r="I89" s="3">
        <v>46460.0</v>
      </c>
      <c r="K89" s="1" t="s">
        <v>124</v>
      </c>
      <c r="L89" s="1" t="s">
        <v>71</v>
      </c>
      <c r="M89" s="1" t="s">
        <v>335</v>
      </c>
      <c r="N89" s="1" t="s">
        <v>131</v>
      </c>
      <c r="R89" s="1" t="s">
        <v>1185</v>
      </c>
      <c r="S89" s="1" t="s">
        <v>1185</v>
      </c>
      <c r="T89" s="1" t="s">
        <v>267</v>
      </c>
      <c r="U89" s="1" t="s">
        <v>1187</v>
      </c>
    </row>
    <row r="90">
      <c r="A90" s="1" t="s">
        <v>826</v>
      </c>
      <c r="B90" s="1" t="s">
        <v>191</v>
      </c>
      <c r="C90" s="1" t="s">
        <v>1191</v>
      </c>
      <c r="D90" s="1" t="s">
        <v>650</v>
      </c>
      <c r="E90" s="1" t="s">
        <v>889</v>
      </c>
      <c r="F90" s="1" t="s">
        <v>1193</v>
      </c>
      <c r="G90" s="1" t="s">
        <v>1195</v>
      </c>
      <c r="H90" s="3">
        <v>45964.0</v>
      </c>
      <c r="I90" s="3">
        <v>46087.0</v>
      </c>
      <c r="J90" s="3">
        <v>46087.0</v>
      </c>
      <c r="K90" s="1" t="s">
        <v>124</v>
      </c>
      <c r="L90" s="1" t="s">
        <v>251</v>
      </c>
      <c r="M90" s="1" t="s">
        <v>216</v>
      </c>
      <c r="N90" s="1" t="s">
        <v>131</v>
      </c>
      <c r="P90" s="1" t="s">
        <v>1197</v>
      </c>
      <c r="R90" s="1" t="s">
        <v>137</v>
      </c>
      <c r="S90" s="1" t="s">
        <v>137</v>
      </c>
      <c r="T90" s="1" t="s">
        <v>47</v>
      </c>
      <c r="U90" s="1" t="s">
        <v>1199</v>
      </c>
    </row>
    <row r="91">
      <c r="A91" s="1" t="s">
        <v>1200</v>
      </c>
      <c r="B91" s="1" t="s">
        <v>490</v>
      </c>
      <c r="C91" s="1" t="s">
        <v>1191</v>
      </c>
      <c r="D91" s="1" t="s">
        <v>650</v>
      </c>
      <c r="E91" s="1" t="s">
        <v>889</v>
      </c>
      <c r="F91" s="1" t="s">
        <v>1193</v>
      </c>
      <c r="G91" s="1" t="s">
        <v>1195</v>
      </c>
      <c r="H91" s="3">
        <v>45629.0</v>
      </c>
      <c r="I91" s="3">
        <v>45740.0</v>
      </c>
      <c r="J91" s="3">
        <v>45740.0</v>
      </c>
      <c r="K91" s="1" t="s">
        <v>215</v>
      </c>
      <c r="L91" s="1" t="s">
        <v>251</v>
      </c>
      <c r="M91" s="1" t="s">
        <v>216</v>
      </c>
      <c r="N91" s="1" t="s">
        <v>131</v>
      </c>
      <c r="O91" s="3">
        <v>45740.0</v>
      </c>
      <c r="R91" s="1" t="s">
        <v>137</v>
      </c>
      <c r="S91" s="1" t="s">
        <v>137</v>
      </c>
      <c r="T91" s="1" t="s">
        <v>47</v>
      </c>
      <c r="U91" s="1" t="s">
        <v>1211</v>
      </c>
    </row>
    <row r="92">
      <c r="A92" s="1" t="s">
        <v>1213</v>
      </c>
      <c r="B92" s="1" t="s">
        <v>1214</v>
      </c>
      <c r="C92" s="1" t="s">
        <v>1191</v>
      </c>
      <c r="D92" s="1" t="s">
        <v>650</v>
      </c>
      <c r="E92" s="1" t="s">
        <v>889</v>
      </c>
      <c r="F92" s="1" t="s">
        <v>1193</v>
      </c>
      <c r="G92" s="1" t="s">
        <v>1195</v>
      </c>
      <c r="H92" s="3">
        <v>46251.0</v>
      </c>
      <c r="K92" s="1" t="s">
        <v>124</v>
      </c>
      <c r="L92" s="1" t="s">
        <v>160</v>
      </c>
      <c r="M92" s="1" t="s">
        <v>162</v>
      </c>
      <c r="N92" s="1" t="s">
        <v>131</v>
      </c>
      <c r="P92" s="1" t="s">
        <v>1221</v>
      </c>
      <c r="R92" s="1" t="s">
        <v>137</v>
      </c>
      <c r="S92" s="1" t="s">
        <v>137</v>
      </c>
      <c r="T92" s="1" t="s">
        <v>47</v>
      </c>
    </row>
    <row r="93">
      <c r="A93" s="1" t="s">
        <v>1223</v>
      </c>
      <c r="B93" s="1" t="s">
        <v>1226</v>
      </c>
      <c r="C93" s="1" t="s">
        <v>1227</v>
      </c>
      <c r="D93" s="1" t="s">
        <v>548</v>
      </c>
      <c r="E93" s="1" t="s">
        <v>520</v>
      </c>
      <c r="F93" s="1" t="s">
        <v>1229</v>
      </c>
      <c r="G93" s="1" t="s">
        <v>1231</v>
      </c>
      <c r="H93" s="3">
        <v>46125.0</v>
      </c>
      <c r="I93" s="3">
        <v>46524.0</v>
      </c>
      <c r="K93" s="1" t="s">
        <v>124</v>
      </c>
      <c r="L93" s="1" t="s">
        <v>71</v>
      </c>
      <c r="M93" s="1" t="s">
        <v>162</v>
      </c>
      <c r="N93" s="1" t="s">
        <v>131</v>
      </c>
      <c r="R93" s="1" t="s">
        <v>1233</v>
      </c>
      <c r="S93" s="1" t="s">
        <v>1233</v>
      </c>
      <c r="T93" s="1" t="s">
        <v>141</v>
      </c>
      <c r="U93" s="1" t="s">
        <v>1237</v>
      </c>
    </row>
    <row r="94">
      <c r="A94" s="1" t="s">
        <v>1238</v>
      </c>
      <c r="B94" s="1" t="s">
        <v>240</v>
      </c>
      <c r="C94" s="1" t="s">
        <v>1240</v>
      </c>
      <c r="D94" s="1" t="s">
        <v>1242</v>
      </c>
      <c r="E94" s="1" t="s">
        <v>175</v>
      </c>
      <c r="F94" s="1" t="s">
        <v>177</v>
      </c>
      <c r="G94" s="1" t="s">
        <v>503</v>
      </c>
      <c r="H94" s="3">
        <v>46121.0</v>
      </c>
      <c r="I94" s="3">
        <v>46174.0</v>
      </c>
      <c r="K94" s="1" t="s">
        <v>215</v>
      </c>
      <c r="L94" s="1" t="s">
        <v>251</v>
      </c>
      <c r="M94" s="1" t="s">
        <v>216</v>
      </c>
      <c r="N94" s="1" t="s">
        <v>131</v>
      </c>
      <c r="O94" s="3">
        <v>46176.0</v>
      </c>
      <c r="R94" s="1" t="s">
        <v>665</v>
      </c>
      <c r="S94" s="1" t="s">
        <v>665</v>
      </c>
      <c r="T94" s="1" t="s">
        <v>666</v>
      </c>
      <c r="U94" s="1" t="s">
        <v>1253</v>
      </c>
    </row>
    <row r="95">
      <c r="A95" s="1" t="s">
        <v>1256</v>
      </c>
      <c r="B95" s="1" t="s">
        <v>146</v>
      </c>
      <c r="C95" s="1" t="s">
        <v>1257</v>
      </c>
      <c r="D95" s="1" t="s">
        <v>1258</v>
      </c>
      <c r="E95" s="1" t="s">
        <v>292</v>
      </c>
      <c r="F95" s="1" t="s">
        <v>576</v>
      </c>
      <c r="G95" s="1" t="s">
        <v>998</v>
      </c>
      <c r="H95" s="3">
        <v>46129.0</v>
      </c>
      <c r="I95" s="3">
        <v>46300.0</v>
      </c>
      <c r="K95" s="1" t="s">
        <v>124</v>
      </c>
      <c r="L95" s="1" t="s">
        <v>160</v>
      </c>
      <c r="M95" s="1" t="s">
        <v>162</v>
      </c>
      <c r="N95" s="1" t="s">
        <v>131</v>
      </c>
      <c r="P95" s="1" t="s">
        <v>1262</v>
      </c>
      <c r="R95" s="1" t="s">
        <v>137</v>
      </c>
      <c r="S95" s="1" t="s">
        <v>137</v>
      </c>
      <c r="T95" s="1" t="s">
        <v>47</v>
      </c>
      <c r="U95" s="1" t="s">
        <v>1265</v>
      </c>
    </row>
    <row r="96">
      <c r="A96" s="1" t="s">
        <v>1268</v>
      </c>
      <c r="B96" s="1" t="s">
        <v>1269</v>
      </c>
      <c r="C96" s="1" t="s">
        <v>1270</v>
      </c>
      <c r="D96" s="1" t="s">
        <v>1272</v>
      </c>
      <c r="E96" s="1" t="s">
        <v>520</v>
      </c>
      <c r="F96" s="1" t="s">
        <v>522</v>
      </c>
      <c r="G96" s="1" t="s">
        <v>524</v>
      </c>
      <c r="H96" s="3">
        <v>46030.0</v>
      </c>
      <c r="I96" s="3">
        <v>46203.0</v>
      </c>
      <c r="K96" s="1" t="s">
        <v>124</v>
      </c>
      <c r="L96" s="1" t="s">
        <v>98</v>
      </c>
      <c r="M96" s="1" t="s">
        <v>253</v>
      </c>
      <c r="N96" s="1" t="s">
        <v>131</v>
      </c>
      <c r="R96" s="1" t="s">
        <v>256</v>
      </c>
      <c r="S96" s="1" t="s">
        <v>256</v>
      </c>
      <c r="T96" s="1" t="s">
        <v>266</v>
      </c>
      <c r="U96" s="1" t="s">
        <v>1282</v>
      </c>
    </row>
    <row r="97">
      <c r="A97" s="1" t="s">
        <v>1284</v>
      </c>
      <c r="B97" s="1" t="s">
        <v>1286</v>
      </c>
      <c r="C97" s="1" t="s">
        <v>1289</v>
      </c>
      <c r="D97" s="1" t="s">
        <v>1291</v>
      </c>
      <c r="E97" s="1" t="s">
        <v>153</v>
      </c>
      <c r="F97" s="1" t="s">
        <v>155</v>
      </c>
      <c r="G97" s="1" t="s">
        <v>157</v>
      </c>
      <c r="H97" s="3">
        <v>45798.0</v>
      </c>
      <c r="I97" s="3">
        <v>46056.0</v>
      </c>
      <c r="J97" s="3">
        <v>46056.0</v>
      </c>
      <c r="K97" s="1" t="s">
        <v>215</v>
      </c>
      <c r="L97" s="1" t="s">
        <v>251</v>
      </c>
      <c r="M97" s="1" t="s">
        <v>216</v>
      </c>
      <c r="N97" s="1" t="s">
        <v>131</v>
      </c>
      <c r="O97" s="3">
        <v>46056.0</v>
      </c>
      <c r="R97" s="1" t="s">
        <v>137</v>
      </c>
      <c r="S97" s="1" t="s">
        <v>137</v>
      </c>
      <c r="T97" s="1" t="s">
        <v>47</v>
      </c>
      <c r="U97" s="1" t="s">
        <v>1298</v>
      </c>
    </row>
    <row r="98">
      <c r="A98" s="1" t="s">
        <v>1300</v>
      </c>
      <c r="B98" s="1" t="s">
        <v>1302</v>
      </c>
      <c r="C98" s="1" t="s">
        <v>1304</v>
      </c>
      <c r="D98" s="1" t="s">
        <v>919</v>
      </c>
      <c r="E98" s="1" t="s">
        <v>330</v>
      </c>
      <c r="F98" s="1" t="s">
        <v>356</v>
      </c>
      <c r="G98" s="1" t="s">
        <v>429</v>
      </c>
      <c r="H98" s="3">
        <v>45726.0</v>
      </c>
      <c r="I98" s="3">
        <v>45866.0</v>
      </c>
      <c r="J98" s="3">
        <v>45866.0</v>
      </c>
      <c r="K98" s="1" t="s">
        <v>215</v>
      </c>
      <c r="L98" s="1" t="s">
        <v>98</v>
      </c>
      <c r="M98" s="1" t="s">
        <v>253</v>
      </c>
      <c r="N98" s="1" t="s">
        <v>131</v>
      </c>
      <c r="O98" s="3">
        <v>45873.0</v>
      </c>
      <c r="R98" s="1" t="s">
        <v>137</v>
      </c>
      <c r="S98" s="1" t="s">
        <v>137</v>
      </c>
      <c r="T98" s="1" t="s">
        <v>47</v>
      </c>
      <c r="U98" s="1" t="s">
        <v>1314</v>
      </c>
    </row>
    <row r="99">
      <c r="A99" s="1" t="s">
        <v>1317</v>
      </c>
      <c r="B99" s="1" t="s">
        <v>191</v>
      </c>
      <c r="C99" s="1" t="s">
        <v>1304</v>
      </c>
      <c r="D99" s="1" t="s">
        <v>919</v>
      </c>
      <c r="E99" s="1" t="s">
        <v>330</v>
      </c>
      <c r="F99" s="1" t="s">
        <v>356</v>
      </c>
      <c r="G99" s="1" t="s">
        <v>429</v>
      </c>
      <c r="H99" s="3">
        <v>45726.0</v>
      </c>
      <c r="I99" s="3">
        <v>45873.0</v>
      </c>
      <c r="J99" s="3">
        <v>45873.0</v>
      </c>
      <c r="K99" s="1" t="s">
        <v>215</v>
      </c>
      <c r="L99" s="1" t="s">
        <v>251</v>
      </c>
      <c r="M99" s="1" t="s">
        <v>253</v>
      </c>
      <c r="N99" s="1" t="s">
        <v>131</v>
      </c>
      <c r="O99" s="3">
        <v>45917.0</v>
      </c>
      <c r="P99" s="1" t="s">
        <v>1320</v>
      </c>
      <c r="R99" s="1" t="s">
        <v>137</v>
      </c>
      <c r="S99" s="1" t="s">
        <v>137</v>
      </c>
      <c r="T99" s="1" t="s">
        <v>47</v>
      </c>
      <c r="U99" s="1" t="s">
        <v>1324</v>
      </c>
    </row>
    <row r="100">
      <c r="A100" s="1" t="s">
        <v>1326</v>
      </c>
      <c r="B100" s="1" t="s">
        <v>191</v>
      </c>
      <c r="C100" s="1" t="s">
        <v>1304</v>
      </c>
      <c r="D100" s="1" t="s">
        <v>919</v>
      </c>
      <c r="E100" s="1" t="s">
        <v>330</v>
      </c>
      <c r="F100" s="1" t="s">
        <v>356</v>
      </c>
      <c r="G100" s="1" t="s">
        <v>429</v>
      </c>
      <c r="H100" s="3">
        <v>45729.0</v>
      </c>
      <c r="I100" s="3">
        <v>45866.0</v>
      </c>
      <c r="J100" s="3">
        <v>45866.0</v>
      </c>
      <c r="K100" s="1" t="s">
        <v>215</v>
      </c>
      <c r="L100" s="1" t="s">
        <v>251</v>
      </c>
      <c r="M100" s="1" t="s">
        <v>253</v>
      </c>
      <c r="N100" s="1" t="s">
        <v>131</v>
      </c>
      <c r="O100" s="3">
        <v>45873.0</v>
      </c>
      <c r="R100" s="1" t="s">
        <v>137</v>
      </c>
      <c r="S100" s="1" t="s">
        <v>137</v>
      </c>
      <c r="T100" s="1" t="s">
        <v>47</v>
      </c>
      <c r="U100" s="1" t="s">
        <v>1331</v>
      </c>
    </row>
    <row r="101">
      <c r="A101" s="1" t="s">
        <v>1333</v>
      </c>
      <c r="B101" s="1" t="s">
        <v>191</v>
      </c>
      <c r="C101" s="1" t="s">
        <v>1336</v>
      </c>
      <c r="D101" s="1" t="s">
        <v>194</v>
      </c>
      <c r="E101" s="1" t="s">
        <v>119</v>
      </c>
      <c r="F101" s="1" t="s">
        <v>1338</v>
      </c>
      <c r="G101" s="1" t="s">
        <v>1338</v>
      </c>
      <c r="H101" s="3">
        <v>45992.0</v>
      </c>
      <c r="I101" s="3">
        <v>46127.0</v>
      </c>
      <c r="J101" s="3">
        <v>46127.0</v>
      </c>
      <c r="K101" s="1" t="s">
        <v>215</v>
      </c>
      <c r="L101" s="1" t="s">
        <v>251</v>
      </c>
      <c r="M101" s="1" t="s">
        <v>216</v>
      </c>
      <c r="N101" s="1" t="s">
        <v>131</v>
      </c>
      <c r="O101" s="3">
        <v>46154.0</v>
      </c>
      <c r="R101" s="1" t="s">
        <v>137</v>
      </c>
      <c r="S101" s="1" t="s">
        <v>137</v>
      </c>
      <c r="T101" s="1" t="s">
        <v>47</v>
      </c>
      <c r="U101" s="1" t="s">
        <v>1344</v>
      </c>
    </row>
    <row r="102">
      <c r="A102" s="1" t="s">
        <v>1346</v>
      </c>
      <c r="B102" s="1" t="s">
        <v>354</v>
      </c>
      <c r="C102" s="1" t="s">
        <v>1349</v>
      </c>
      <c r="D102" s="1" t="s">
        <v>650</v>
      </c>
      <c r="E102" s="1" t="s">
        <v>175</v>
      </c>
      <c r="F102" s="1" t="s">
        <v>763</v>
      </c>
      <c r="G102" s="1" t="s">
        <v>1351</v>
      </c>
      <c r="H102" s="3">
        <v>45819.0</v>
      </c>
      <c r="I102" s="3">
        <v>46030.0</v>
      </c>
      <c r="J102" s="3">
        <v>46030.0</v>
      </c>
      <c r="K102" s="1" t="s">
        <v>215</v>
      </c>
      <c r="L102" s="1" t="s">
        <v>98</v>
      </c>
      <c r="M102" s="1" t="s">
        <v>216</v>
      </c>
      <c r="N102" s="1" t="s">
        <v>131</v>
      </c>
      <c r="O102" s="3">
        <v>46178.0</v>
      </c>
      <c r="R102" s="1" t="s">
        <v>137</v>
      </c>
      <c r="S102" s="1" t="s">
        <v>137</v>
      </c>
      <c r="T102" s="1" t="s">
        <v>47</v>
      </c>
      <c r="U102" s="1" t="s">
        <v>1355</v>
      </c>
    </row>
    <row r="103">
      <c r="A103" s="1" t="s">
        <v>1357</v>
      </c>
      <c r="B103" s="1" t="s">
        <v>191</v>
      </c>
      <c r="C103" s="1" t="s">
        <v>1358</v>
      </c>
      <c r="D103" s="1" t="s">
        <v>1360</v>
      </c>
      <c r="E103" s="1" t="s">
        <v>292</v>
      </c>
      <c r="F103" s="1" t="s">
        <v>494</v>
      </c>
      <c r="G103" s="1" t="s">
        <v>1362</v>
      </c>
      <c r="H103" s="3">
        <v>46006.0</v>
      </c>
      <c r="I103" s="3">
        <v>46069.0</v>
      </c>
      <c r="J103" s="3">
        <v>46069.0</v>
      </c>
      <c r="K103" s="1" t="s">
        <v>215</v>
      </c>
      <c r="L103" s="1" t="s">
        <v>251</v>
      </c>
      <c r="M103" s="1" t="s">
        <v>216</v>
      </c>
      <c r="N103" s="1" t="s">
        <v>131</v>
      </c>
      <c r="O103" s="3">
        <v>46087.0</v>
      </c>
      <c r="R103" s="1" t="s">
        <v>137</v>
      </c>
      <c r="S103" s="1" t="s">
        <v>137</v>
      </c>
      <c r="T103" s="1" t="s">
        <v>47</v>
      </c>
      <c r="U103" s="1" t="s">
        <v>1369</v>
      </c>
    </row>
    <row r="104">
      <c r="A104" s="1" t="s">
        <v>1370</v>
      </c>
      <c r="B104" s="1" t="s">
        <v>191</v>
      </c>
      <c r="C104" s="1" t="s">
        <v>1358</v>
      </c>
      <c r="D104" s="1" t="s">
        <v>1360</v>
      </c>
      <c r="E104" s="1" t="s">
        <v>292</v>
      </c>
      <c r="F104" s="1" t="s">
        <v>494</v>
      </c>
      <c r="G104" s="1" t="s">
        <v>1362</v>
      </c>
      <c r="H104" s="3">
        <v>45572.0</v>
      </c>
      <c r="I104" s="3">
        <v>45727.0</v>
      </c>
      <c r="J104" s="3">
        <v>45727.0</v>
      </c>
      <c r="K104" s="1" t="s">
        <v>215</v>
      </c>
      <c r="L104" s="1" t="s">
        <v>251</v>
      </c>
      <c r="M104" s="1" t="s">
        <v>216</v>
      </c>
      <c r="N104" s="1" t="s">
        <v>131</v>
      </c>
      <c r="O104" s="3">
        <v>45727.0</v>
      </c>
      <c r="R104" s="1" t="s">
        <v>137</v>
      </c>
      <c r="S104" s="1" t="s">
        <v>137</v>
      </c>
      <c r="T104" s="1" t="s">
        <v>47</v>
      </c>
      <c r="U104" s="1" t="s">
        <v>1380</v>
      </c>
    </row>
    <row r="105">
      <c r="A105" s="1" t="s">
        <v>1382</v>
      </c>
      <c r="B105" s="1" t="s">
        <v>191</v>
      </c>
      <c r="C105" s="1" t="s">
        <v>1384</v>
      </c>
      <c r="D105" s="1" t="s">
        <v>754</v>
      </c>
      <c r="E105" s="1" t="s">
        <v>175</v>
      </c>
      <c r="F105" s="1" t="s">
        <v>177</v>
      </c>
      <c r="G105" s="1" t="s">
        <v>483</v>
      </c>
      <c r="H105" s="3">
        <v>45959.0</v>
      </c>
      <c r="I105" s="3">
        <v>46048.0</v>
      </c>
      <c r="J105" s="3">
        <v>46048.0</v>
      </c>
      <c r="K105" s="1" t="s">
        <v>215</v>
      </c>
      <c r="L105" s="1" t="s">
        <v>251</v>
      </c>
      <c r="M105" s="1" t="s">
        <v>216</v>
      </c>
      <c r="N105" s="1" t="s">
        <v>131</v>
      </c>
      <c r="O105" s="3">
        <v>46073.0</v>
      </c>
      <c r="R105" s="1" t="s">
        <v>137</v>
      </c>
      <c r="S105" s="1" t="s">
        <v>137</v>
      </c>
      <c r="T105" s="1" t="s">
        <v>47</v>
      </c>
      <c r="U105" s="1" t="s">
        <v>1390</v>
      </c>
    </row>
    <row r="106">
      <c r="A106" s="1" t="s">
        <v>1392</v>
      </c>
      <c r="B106" s="1" t="s">
        <v>191</v>
      </c>
      <c r="C106" s="1" t="s">
        <v>1394</v>
      </c>
      <c r="D106" s="1" t="s">
        <v>657</v>
      </c>
      <c r="E106" s="1" t="s">
        <v>119</v>
      </c>
      <c r="F106" s="1" t="s">
        <v>389</v>
      </c>
      <c r="G106" s="1" t="s">
        <v>389</v>
      </c>
      <c r="H106" s="3">
        <v>45740.0</v>
      </c>
      <c r="I106" s="3">
        <v>46107.0</v>
      </c>
      <c r="J106" s="3">
        <v>46107.0</v>
      </c>
      <c r="K106" s="1" t="s">
        <v>215</v>
      </c>
      <c r="L106" s="1" t="s">
        <v>251</v>
      </c>
      <c r="M106" s="1" t="s">
        <v>216</v>
      </c>
      <c r="N106" s="1" t="s">
        <v>131</v>
      </c>
      <c r="O106" s="3">
        <v>46107.0</v>
      </c>
      <c r="R106" s="1" t="s">
        <v>137</v>
      </c>
      <c r="S106" s="1" t="s">
        <v>137</v>
      </c>
      <c r="T106" s="1" t="s">
        <v>47</v>
      </c>
      <c r="U106" s="1" t="s">
        <v>1400</v>
      </c>
    </row>
    <row r="107">
      <c r="A107" s="1" t="s">
        <v>1401</v>
      </c>
      <c r="B107" s="1" t="s">
        <v>191</v>
      </c>
      <c r="C107" s="1" t="s">
        <v>1406</v>
      </c>
      <c r="D107" s="1" t="s">
        <v>678</v>
      </c>
      <c r="E107" s="1" t="s">
        <v>119</v>
      </c>
      <c r="F107" s="1" t="s">
        <v>1338</v>
      </c>
      <c r="G107" s="1" t="s">
        <v>1338</v>
      </c>
      <c r="H107" s="3">
        <v>45826.0</v>
      </c>
      <c r="I107" s="3">
        <v>45930.0</v>
      </c>
      <c r="J107" s="3">
        <v>45930.0</v>
      </c>
      <c r="K107" s="1" t="s">
        <v>215</v>
      </c>
      <c r="L107" s="1" t="s">
        <v>251</v>
      </c>
      <c r="M107" s="1" t="s">
        <v>216</v>
      </c>
      <c r="N107" s="1" t="s">
        <v>131</v>
      </c>
      <c r="O107" s="3">
        <v>45945.0</v>
      </c>
      <c r="R107" s="1" t="s">
        <v>137</v>
      </c>
      <c r="S107" s="1" t="s">
        <v>137</v>
      </c>
      <c r="T107" s="1" t="s">
        <v>47</v>
      </c>
      <c r="U107" s="1" t="s">
        <v>1414</v>
      </c>
    </row>
    <row r="108">
      <c r="A108" s="1" t="s">
        <v>1416</v>
      </c>
      <c r="B108" s="1" t="s">
        <v>191</v>
      </c>
      <c r="C108" s="1" t="s">
        <v>1418</v>
      </c>
      <c r="D108" s="1" t="s">
        <v>313</v>
      </c>
      <c r="E108" s="1" t="s">
        <v>889</v>
      </c>
      <c r="F108" s="1" t="s">
        <v>1193</v>
      </c>
      <c r="G108" s="1" t="s">
        <v>1195</v>
      </c>
      <c r="H108" s="3">
        <v>45621.0</v>
      </c>
      <c r="I108" s="3">
        <v>45741.0</v>
      </c>
      <c r="J108" s="3">
        <v>45741.0</v>
      </c>
      <c r="K108" s="1" t="s">
        <v>215</v>
      </c>
      <c r="L108" s="1" t="s">
        <v>251</v>
      </c>
      <c r="M108" s="1" t="s">
        <v>216</v>
      </c>
      <c r="N108" s="1" t="s">
        <v>131</v>
      </c>
      <c r="O108" s="3">
        <v>45741.0</v>
      </c>
      <c r="R108" s="1" t="s">
        <v>137</v>
      </c>
      <c r="S108" s="1" t="s">
        <v>137</v>
      </c>
      <c r="T108" s="1" t="s">
        <v>47</v>
      </c>
      <c r="U108" s="1" t="s">
        <v>1424</v>
      </c>
    </row>
    <row r="109">
      <c r="A109" s="1" t="s">
        <v>1425</v>
      </c>
      <c r="B109" s="1" t="s">
        <v>191</v>
      </c>
      <c r="C109" s="1" t="s">
        <v>1427</v>
      </c>
      <c r="D109" s="1" t="s">
        <v>273</v>
      </c>
      <c r="E109" s="1" t="s">
        <v>330</v>
      </c>
      <c r="F109" s="1" t="s">
        <v>356</v>
      </c>
      <c r="G109" s="1" t="s">
        <v>359</v>
      </c>
      <c r="H109" s="3">
        <v>46153.0</v>
      </c>
      <c r="I109" s="3">
        <v>46293.0</v>
      </c>
      <c r="K109" s="1" t="s">
        <v>124</v>
      </c>
      <c r="L109" s="1" t="s">
        <v>251</v>
      </c>
      <c r="M109" s="1" t="s">
        <v>460</v>
      </c>
      <c r="N109" s="1" t="s">
        <v>131</v>
      </c>
      <c r="P109" s="1" t="s">
        <v>640</v>
      </c>
      <c r="R109" s="1" t="s">
        <v>137</v>
      </c>
      <c r="S109" s="1" t="s">
        <v>137</v>
      </c>
      <c r="T109" s="1" t="s">
        <v>47</v>
      </c>
      <c r="U109" s="1" t="s">
        <v>1433</v>
      </c>
    </row>
    <row r="110">
      <c r="A110" s="1" t="s">
        <v>1435</v>
      </c>
      <c r="B110" s="1" t="s">
        <v>191</v>
      </c>
      <c r="C110" s="1" t="s">
        <v>1437</v>
      </c>
      <c r="D110" s="1" t="s">
        <v>313</v>
      </c>
      <c r="E110" s="1" t="s">
        <v>175</v>
      </c>
      <c r="F110" s="1" t="s">
        <v>569</v>
      </c>
      <c r="G110" s="1" t="s">
        <v>570</v>
      </c>
      <c r="H110" s="3">
        <v>46007.0</v>
      </c>
      <c r="I110" s="3">
        <v>46161.0</v>
      </c>
      <c r="J110" s="3">
        <v>46161.0</v>
      </c>
      <c r="K110" s="1" t="s">
        <v>215</v>
      </c>
      <c r="L110" s="1" t="s">
        <v>251</v>
      </c>
      <c r="M110" s="1" t="s">
        <v>216</v>
      </c>
      <c r="N110" s="1" t="s">
        <v>131</v>
      </c>
      <c r="O110" s="3">
        <v>46192.0</v>
      </c>
      <c r="R110" s="1" t="s">
        <v>137</v>
      </c>
      <c r="S110" s="1" t="s">
        <v>137</v>
      </c>
      <c r="T110" s="1" t="s">
        <v>47</v>
      </c>
      <c r="U110" s="1" t="s">
        <v>1445</v>
      </c>
    </row>
    <row r="111">
      <c r="A111" s="1" t="s">
        <v>1447</v>
      </c>
      <c r="B111" s="1" t="s">
        <v>270</v>
      </c>
      <c r="C111" s="1" t="s">
        <v>1448</v>
      </c>
      <c r="D111" s="1" t="s">
        <v>593</v>
      </c>
      <c r="E111" s="1" t="s">
        <v>330</v>
      </c>
      <c r="F111" s="1" t="s">
        <v>663</v>
      </c>
      <c r="G111" s="1" t="s">
        <v>664</v>
      </c>
      <c r="H111" s="3">
        <v>46107.0</v>
      </c>
      <c r="I111" s="3">
        <v>46283.0</v>
      </c>
      <c r="K111" s="1" t="s">
        <v>124</v>
      </c>
      <c r="L111" s="1" t="s">
        <v>71</v>
      </c>
      <c r="M111" s="1" t="s">
        <v>335</v>
      </c>
      <c r="N111" s="1" t="s">
        <v>131</v>
      </c>
      <c r="P111" s="1" t="s">
        <v>1453</v>
      </c>
      <c r="R111" s="1" t="s">
        <v>137</v>
      </c>
      <c r="S111" s="1" t="s">
        <v>137</v>
      </c>
      <c r="T111" s="1" t="s">
        <v>47</v>
      </c>
      <c r="U111" s="1" t="s">
        <v>1456</v>
      </c>
    </row>
    <row r="112">
      <c r="A112" s="1" t="s">
        <v>1457</v>
      </c>
      <c r="B112" s="1" t="s">
        <v>1269</v>
      </c>
      <c r="C112" s="1" t="s">
        <v>1458</v>
      </c>
      <c r="D112" s="1" t="s">
        <v>518</v>
      </c>
      <c r="E112" s="1" t="s">
        <v>520</v>
      </c>
      <c r="F112" s="1" t="s">
        <v>522</v>
      </c>
      <c r="G112" s="1" t="s">
        <v>710</v>
      </c>
      <c r="H112" s="3">
        <v>46107.0</v>
      </c>
      <c r="I112" s="3">
        <v>46234.0</v>
      </c>
      <c r="K112" s="1" t="s">
        <v>124</v>
      </c>
      <c r="L112" s="1" t="s">
        <v>71</v>
      </c>
      <c r="M112" s="1" t="s">
        <v>253</v>
      </c>
      <c r="N112" s="1" t="s">
        <v>131</v>
      </c>
      <c r="R112" s="1" t="s">
        <v>256</v>
      </c>
      <c r="S112" s="1" t="s">
        <v>256</v>
      </c>
      <c r="T112" s="1" t="s">
        <v>266</v>
      </c>
      <c r="U112" s="1" t="s">
        <v>1462</v>
      </c>
    </row>
    <row r="113">
      <c r="A113" s="1" t="s">
        <v>1464</v>
      </c>
      <c r="B113" s="1" t="s">
        <v>191</v>
      </c>
      <c r="C113" s="1" t="s">
        <v>1467</v>
      </c>
      <c r="D113" s="1" t="s">
        <v>1469</v>
      </c>
      <c r="E113" s="1" t="s">
        <v>292</v>
      </c>
      <c r="F113" s="1" t="s">
        <v>468</v>
      </c>
      <c r="G113" s="1" t="s">
        <v>998</v>
      </c>
      <c r="H113" s="3">
        <v>46174.0</v>
      </c>
      <c r="K113" s="1" t="s">
        <v>124</v>
      </c>
      <c r="L113" s="1" t="s">
        <v>251</v>
      </c>
      <c r="M113" s="1" t="s">
        <v>460</v>
      </c>
      <c r="N113" s="1" t="s">
        <v>131</v>
      </c>
      <c r="P113" s="1" t="s">
        <v>748</v>
      </c>
      <c r="R113" s="1" t="s">
        <v>137</v>
      </c>
      <c r="S113" s="1" t="s">
        <v>137</v>
      </c>
      <c r="T113" s="1" t="s">
        <v>47</v>
      </c>
      <c r="U113" s="1" t="s">
        <v>1472</v>
      </c>
    </row>
    <row r="114">
      <c r="A114" s="1" t="s">
        <v>1473</v>
      </c>
      <c r="B114" s="1" t="s">
        <v>146</v>
      </c>
      <c r="C114" s="1" t="s">
        <v>1476</v>
      </c>
      <c r="D114" s="1" t="s">
        <v>1477</v>
      </c>
      <c r="E114" s="1" t="s">
        <v>292</v>
      </c>
      <c r="F114" s="1" t="s">
        <v>494</v>
      </c>
      <c r="G114" s="1" t="s">
        <v>1478</v>
      </c>
      <c r="H114" s="3">
        <v>46129.0</v>
      </c>
      <c r="K114" s="1" t="s">
        <v>124</v>
      </c>
      <c r="L114" s="1" t="s">
        <v>160</v>
      </c>
      <c r="M114" s="1" t="s">
        <v>162</v>
      </c>
      <c r="N114" s="1" t="s">
        <v>131</v>
      </c>
      <c r="P114" s="1" t="s">
        <v>803</v>
      </c>
      <c r="R114" s="1" t="s">
        <v>137</v>
      </c>
      <c r="S114" s="1" t="s">
        <v>137</v>
      </c>
      <c r="T114" s="1" t="s">
        <v>47</v>
      </c>
      <c r="U114" s="1" t="s">
        <v>1483</v>
      </c>
    </row>
    <row r="115">
      <c r="A115" s="1" t="s">
        <v>1485</v>
      </c>
      <c r="B115" s="1" t="s">
        <v>116</v>
      </c>
      <c r="C115" s="1" t="s">
        <v>1487</v>
      </c>
      <c r="D115" s="1" t="s">
        <v>1067</v>
      </c>
      <c r="E115" s="1" t="s">
        <v>330</v>
      </c>
      <c r="F115" s="1" t="s">
        <v>663</v>
      </c>
      <c r="G115" s="1" t="s">
        <v>1068</v>
      </c>
      <c r="H115" s="3">
        <v>46183.0</v>
      </c>
      <c r="I115" s="3">
        <v>46339.0</v>
      </c>
      <c r="K115" s="1" t="s">
        <v>124</v>
      </c>
      <c r="L115" s="1" t="s">
        <v>160</v>
      </c>
      <c r="M115" s="1" t="s">
        <v>300</v>
      </c>
      <c r="N115" s="1" t="s">
        <v>131</v>
      </c>
      <c r="P115" s="1" t="s">
        <v>367</v>
      </c>
      <c r="R115" s="1" t="s">
        <v>137</v>
      </c>
      <c r="S115" s="1" t="s">
        <v>137</v>
      </c>
      <c r="T115" s="1" t="s">
        <v>47</v>
      </c>
      <c r="U115" s="1" t="s">
        <v>1494</v>
      </c>
    </row>
    <row r="116">
      <c r="A116" s="1" t="s">
        <v>1495</v>
      </c>
      <c r="B116" s="1" t="s">
        <v>116</v>
      </c>
      <c r="C116" s="1" t="s">
        <v>1497</v>
      </c>
      <c r="D116" s="1" t="s">
        <v>919</v>
      </c>
      <c r="E116" s="1" t="s">
        <v>330</v>
      </c>
      <c r="F116" s="1" t="s">
        <v>663</v>
      </c>
      <c r="G116" s="1" t="s">
        <v>664</v>
      </c>
      <c r="H116" s="3">
        <v>46125.0</v>
      </c>
      <c r="I116" s="3">
        <v>46273.0</v>
      </c>
      <c r="K116" s="1" t="s">
        <v>124</v>
      </c>
      <c r="L116" s="1" t="s">
        <v>160</v>
      </c>
      <c r="M116" s="1" t="s">
        <v>460</v>
      </c>
      <c r="N116" s="1" t="s">
        <v>131</v>
      </c>
      <c r="P116" s="1" t="s">
        <v>1501</v>
      </c>
      <c r="R116" s="1" t="s">
        <v>137</v>
      </c>
      <c r="S116" s="1" t="s">
        <v>137</v>
      </c>
      <c r="T116" s="1" t="s">
        <v>47</v>
      </c>
      <c r="U116" s="1" t="s">
        <v>1503</v>
      </c>
    </row>
    <row r="117">
      <c r="A117" s="1" t="s">
        <v>1505</v>
      </c>
      <c r="B117" s="1" t="s">
        <v>1507</v>
      </c>
      <c r="C117" s="1" t="s">
        <v>1509</v>
      </c>
      <c r="D117" s="1" t="s">
        <v>194</v>
      </c>
      <c r="E117" s="1" t="s">
        <v>454</v>
      </c>
      <c r="F117" s="1" t="s">
        <v>637</v>
      </c>
      <c r="G117" s="1" t="s">
        <v>1513</v>
      </c>
      <c r="H117" s="3">
        <v>46048.0</v>
      </c>
      <c r="I117" s="3">
        <v>46157.0</v>
      </c>
      <c r="J117" s="3">
        <v>46157.0</v>
      </c>
      <c r="K117" s="1" t="s">
        <v>215</v>
      </c>
      <c r="L117" s="1" t="s">
        <v>251</v>
      </c>
      <c r="M117" s="1" t="s">
        <v>216</v>
      </c>
      <c r="N117" s="1" t="s">
        <v>131</v>
      </c>
      <c r="O117" s="3">
        <v>46182.0</v>
      </c>
      <c r="R117" s="1" t="s">
        <v>137</v>
      </c>
      <c r="S117" s="1" t="s">
        <v>137</v>
      </c>
      <c r="T117" s="1" t="s">
        <v>47</v>
      </c>
      <c r="U117" s="1" t="s">
        <v>1521</v>
      </c>
    </row>
    <row r="118">
      <c r="A118" s="1" t="s">
        <v>1523</v>
      </c>
      <c r="B118" s="1" t="s">
        <v>191</v>
      </c>
      <c r="C118" s="1" t="s">
        <v>1528</v>
      </c>
      <c r="D118" s="1" t="s">
        <v>396</v>
      </c>
      <c r="E118" s="1" t="s">
        <v>175</v>
      </c>
      <c r="F118" s="1" t="s">
        <v>585</v>
      </c>
      <c r="G118" s="1" t="s">
        <v>1529</v>
      </c>
      <c r="H118" s="3">
        <v>46069.0</v>
      </c>
      <c r="I118" s="3">
        <v>46181.0</v>
      </c>
      <c r="J118" s="3">
        <v>46181.0</v>
      </c>
      <c r="K118" s="1" t="s">
        <v>215</v>
      </c>
      <c r="L118" s="1" t="s">
        <v>98</v>
      </c>
      <c r="M118" s="1" t="s">
        <v>253</v>
      </c>
      <c r="N118" s="1" t="s">
        <v>131</v>
      </c>
      <c r="O118" s="3">
        <v>46181.0</v>
      </c>
      <c r="R118" s="1" t="s">
        <v>137</v>
      </c>
      <c r="S118" s="1" t="s">
        <v>137</v>
      </c>
      <c r="T118" s="1" t="s">
        <v>47</v>
      </c>
      <c r="U118" s="1" t="s">
        <v>1533</v>
      </c>
    </row>
    <row r="119">
      <c r="A119" s="1" t="s">
        <v>1534</v>
      </c>
      <c r="B119" s="1" t="s">
        <v>1535</v>
      </c>
      <c r="C119" s="1" t="s">
        <v>1539</v>
      </c>
      <c r="D119" s="1" t="s">
        <v>518</v>
      </c>
      <c r="E119" s="1" t="s">
        <v>520</v>
      </c>
      <c r="F119" s="1" t="s">
        <v>522</v>
      </c>
      <c r="G119" s="1" t="s">
        <v>524</v>
      </c>
      <c r="H119" s="3">
        <v>46266.0</v>
      </c>
      <c r="K119" s="1" t="s">
        <v>124</v>
      </c>
      <c r="L119" s="1" t="s">
        <v>98</v>
      </c>
      <c r="M119" s="1" t="s">
        <v>162</v>
      </c>
      <c r="N119" s="1" t="s">
        <v>131</v>
      </c>
      <c r="P119" s="1" t="s">
        <v>1547</v>
      </c>
      <c r="R119" s="1" t="s">
        <v>137</v>
      </c>
      <c r="S119" s="1" t="s">
        <v>137</v>
      </c>
      <c r="T119" s="1" t="s">
        <v>47</v>
      </c>
    </row>
    <row r="120">
      <c r="A120" s="1" t="s">
        <v>1550</v>
      </c>
      <c r="B120" s="1" t="s">
        <v>146</v>
      </c>
      <c r="C120" s="1" t="s">
        <v>1553</v>
      </c>
      <c r="D120" s="1" t="s">
        <v>388</v>
      </c>
      <c r="E120" s="1" t="s">
        <v>175</v>
      </c>
      <c r="F120" s="1" t="s">
        <v>585</v>
      </c>
      <c r="G120" s="1" t="s">
        <v>586</v>
      </c>
      <c r="H120" s="3">
        <v>46129.0</v>
      </c>
      <c r="I120" s="3">
        <v>46248.0</v>
      </c>
      <c r="K120" s="1" t="s">
        <v>124</v>
      </c>
      <c r="L120" s="1" t="s">
        <v>160</v>
      </c>
      <c r="M120" s="1" t="s">
        <v>253</v>
      </c>
      <c r="N120" s="1" t="s">
        <v>131</v>
      </c>
      <c r="P120" s="1" t="s">
        <v>803</v>
      </c>
      <c r="R120" s="1" t="s">
        <v>137</v>
      </c>
      <c r="S120" s="1" t="s">
        <v>137</v>
      </c>
      <c r="T120" s="1" t="s">
        <v>47</v>
      </c>
      <c r="U120" s="1" t="s">
        <v>1562</v>
      </c>
    </row>
    <row r="121">
      <c r="A121" s="1" t="s">
        <v>1565</v>
      </c>
      <c r="B121" s="1" t="s">
        <v>1567</v>
      </c>
      <c r="C121" s="1" t="s">
        <v>1553</v>
      </c>
      <c r="D121" s="1" t="s">
        <v>388</v>
      </c>
      <c r="E121" s="1" t="s">
        <v>175</v>
      </c>
      <c r="F121" s="1" t="s">
        <v>585</v>
      </c>
      <c r="G121" s="1" t="s">
        <v>586</v>
      </c>
      <c r="H121" s="3">
        <v>46084.0</v>
      </c>
      <c r="I121" s="3">
        <v>46241.0</v>
      </c>
      <c r="K121" s="1" t="s">
        <v>124</v>
      </c>
      <c r="L121" s="1" t="s">
        <v>160</v>
      </c>
      <c r="M121" s="1" t="s">
        <v>460</v>
      </c>
      <c r="N121" s="1" t="s">
        <v>131</v>
      </c>
      <c r="P121" s="1" t="s">
        <v>803</v>
      </c>
      <c r="R121" s="1" t="s">
        <v>137</v>
      </c>
      <c r="S121" s="1" t="s">
        <v>137</v>
      </c>
      <c r="T121" s="1" t="s">
        <v>47</v>
      </c>
      <c r="U121" s="1" t="s">
        <v>1580</v>
      </c>
    </row>
    <row r="122">
      <c r="A122" s="1" t="s">
        <v>1582</v>
      </c>
      <c r="B122" s="1" t="s">
        <v>146</v>
      </c>
      <c r="C122" s="1" t="s">
        <v>1584</v>
      </c>
      <c r="D122" s="1" t="s">
        <v>960</v>
      </c>
      <c r="E122" s="1" t="s">
        <v>209</v>
      </c>
      <c r="F122" s="1" t="s">
        <v>398</v>
      </c>
      <c r="G122" s="1" t="s">
        <v>1587</v>
      </c>
      <c r="H122" s="3">
        <v>46153.0</v>
      </c>
      <c r="I122" s="3">
        <v>46339.0</v>
      </c>
      <c r="K122" s="1" t="s">
        <v>124</v>
      </c>
      <c r="L122" s="1" t="s">
        <v>160</v>
      </c>
      <c r="M122" s="1" t="s">
        <v>300</v>
      </c>
      <c r="N122" s="1" t="s">
        <v>131</v>
      </c>
      <c r="P122" s="1" t="s">
        <v>1591</v>
      </c>
      <c r="R122" s="1" t="s">
        <v>137</v>
      </c>
      <c r="S122" s="1" t="s">
        <v>137</v>
      </c>
      <c r="T122" s="1" t="s">
        <v>47</v>
      </c>
      <c r="U122" s="1" t="s">
        <v>1596</v>
      </c>
    </row>
    <row r="123">
      <c r="A123" s="1" t="s">
        <v>1597</v>
      </c>
      <c r="B123" s="1" t="s">
        <v>191</v>
      </c>
      <c r="C123" s="1" t="s">
        <v>1599</v>
      </c>
      <c r="D123" s="1" t="s">
        <v>650</v>
      </c>
      <c r="E123" s="1" t="s">
        <v>292</v>
      </c>
      <c r="F123" s="1" t="s">
        <v>576</v>
      </c>
      <c r="G123" s="1" t="s">
        <v>1603</v>
      </c>
      <c r="H123" s="3">
        <v>45785.0</v>
      </c>
      <c r="I123" s="3">
        <v>45966.0</v>
      </c>
      <c r="J123" s="3">
        <v>45966.0</v>
      </c>
      <c r="K123" s="1" t="s">
        <v>215</v>
      </c>
      <c r="L123" s="1" t="s">
        <v>251</v>
      </c>
      <c r="M123" s="1" t="s">
        <v>216</v>
      </c>
      <c r="N123" s="1" t="s">
        <v>131</v>
      </c>
      <c r="O123" s="3">
        <v>45966.0</v>
      </c>
      <c r="R123" s="1" t="s">
        <v>137</v>
      </c>
      <c r="S123" s="1" t="s">
        <v>137</v>
      </c>
      <c r="T123" s="1" t="s">
        <v>47</v>
      </c>
      <c r="U123" s="1" t="s">
        <v>1611</v>
      </c>
    </row>
    <row r="124">
      <c r="A124" s="1" t="s">
        <v>1613</v>
      </c>
      <c r="B124" s="1" t="s">
        <v>580</v>
      </c>
      <c r="C124" s="1" t="s">
        <v>1615</v>
      </c>
      <c r="D124" s="1" t="s">
        <v>273</v>
      </c>
      <c r="E124" s="1" t="s">
        <v>330</v>
      </c>
      <c r="F124" s="1" t="s">
        <v>356</v>
      </c>
      <c r="G124" s="1" t="s">
        <v>429</v>
      </c>
      <c r="H124" s="3">
        <v>46220.0</v>
      </c>
      <c r="I124" s="3">
        <v>46357.0</v>
      </c>
      <c r="K124" s="1" t="s">
        <v>124</v>
      </c>
      <c r="L124" s="1" t="s">
        <v>251</v>
      </c>
      <c r="M124" s="1" t="s">
        <v>460</v>
      </c>
      <c r="N124" s="1" t="s">
        <v>131</v>
      </c>
      <c r="R124" s="1" t="s">
        <v>1623</v>
      </c>
      <c r="S124" s="1" t="s">
        <v>1623</v>
      </c>
      <c r="T124" s="1" t="s">
        <v>1573</v>
      </c>
      <c r="U124" s="1" t="s">
        <v>1626</v>
      </c>
    </row>
    <row r="125">
      <c r="A125" s="1" t="s">
        <v>1628</v>
      </c>
      <c r="B125" s="1" t="s">
        <v>191</v>
      </c>
      <c r="C125" s="1" t="s">
        <v>1632</v>
      </c>
      <c r="D125" s="1" t="s">
        <v>417</v>
      </c>
      <c r="E125" s="1" t="s">
        <v>292</v>
      </c>
      <c r="F125" s="1" t="s">
        <v>576</v>
      </c>
      <c r="G125" s="1" t="s">
        <v>1603</v>
      </c>
      <c r="H125" s="3">
        <v>45740.0</v>
      </c>
      <c r="I125" s="3">
        <v>45862.0</v>
      </c>
      <c r="J125" s="3">
        <v>45862.0</v>
      </c>
      <c r="K125" s="1" t="s">
        <v>215</v>
      </c>
      <c r="L125" s="1" t="s">
        <v>251</v>
      </c>
      <c r="M125" s="1" t="s">
        <v>216</v>
      </c>
      <c r="N125" s="1" t="s">
        <v>131</v>
      </c>
      <c r="O125" s="3">
        <v>45862.0</v>
      </c>
      <c r="R125" s="1" t="s">
        <v>137</v>
      </c>
      <c r="S125" s="1" t="s">
        <v>137</v>
      </c>
      <c r="T125" s="1" t="s">
        <v>47</v>
      </c>
      <c r="U125" s="1" t="s">
        <v>1642</v>
      </c>
    </row>
    <row r="126">
      <c r="A126" s="1" t="s">
        <v>1644</v>
      </c>
      <c r="B126" s="1" t="s">
        <v>372</v>
      </c>
      <c r="C126" s="1" t="s">
        <v>1647</v>
      </c>
      <c r="D126" s="1" t="s">
        <v>180</v>
      </c>
      <c r="E126" s="1" t="s">
        <v>520</v>
      </c>
      <c r="F126" s="1" t="s">
        <v>1179</v>
      </c>
      <c r="G126" s="1" t="s">
        <v>1180</v>
      </c>
      <c r="H126" s="3">
        <v>46245.0</v>
      </c>
      <c r="K126" s="1" t="s">
        <v>124</v>
      </c>
      <c r="L126" s="1" t="s">
        <v>98</v>
      </c>
      <c r="M126" s="1" t="s">
        <v>162</v>
      </c>
      <c r="N126" s="1" t="s">
        <v>131</v>
      </c>
      <c r="P126" s="1" t="s">
        <v>279</v>
      </c>
      <c r="R126" s="1" t="s">
        <v>137</v>
      </c>
      <c r="S126" s="1" t="s">
        <v>137</v>
      </c>
      <c r="T126" s="1" t="s">
        <v>47</v>
      </c>
    </row>
    <row r="127">
      <c r="A127" s="1" t="s">
        <v>817</v>
      </c>
      <c r="B127" s="1" t="s">
        <v>819</v>
      </c>
      <c r="C127" s="1" t="s">
        <v>818</v>
      </c>
      <c r="D127" s="1" t="s">
        <v>180</v>
      </c>
      <c r="E127" s="1" t="s">
        <v>520</v>
      </c>
      <c r="F127" s="1" t="s">
        <v>1179</v>
      </c>
      <c r="G127" s="1" t="s">
        <v>1180</v>
      </c>
      <c r="H127" s="3">
        <v>45965.0</v>
      </c>
      <c r="I127" s="3">
        <v>46539.0</v>
      </c>
      <c r="K127" s="1" t="s">
        <v>124</v>
      </c>
      <c r="L127" s="1" t="s">
        <v>71</v>
      </c>
      <c r="M127" s="1" t="s">
        <v>335</v>
      </c>
      <c r="N127" s="1" t="s">
        <v>131</v>
      </c>
      <c r="R127" s="1" t="s">
        <v>1185</v>
      </c>
      <c r="S127" s="1" t="s">
        <v>1185</v>
      </c>
      <c r="T127" s="1" t="s">
        <v>267</v>
      </c>
      <c r="U127" s="1" t="s">
        <v>1666</v>
      </c>
    </row>
    <row r="128">
      <c r="A128" s="1" t="s">
        <v>830</v>
      </c>
      <c r="B128" s="1" t="s">
        <v>834</v>
      </c>
      <c r="C128" s="1" t="s">
        <v>832</v>
      </c>
      <c r="D128" s="1" t="s">
        <v>60</v>
      </c>
      <c r="E128" s="1" t="s">
        <v>520</v>
      </c>
      <c r="F128" s="1" t="s">
        <v>1671</v>
      </c>
      <c r="G128" s="1" t="s">
        <v>1673</v>
      </c>
      <c r="H128" s="3">
        <v>46111.0</v>
      </c>
      <c r="I128" s="3">
        <v>46373.0</v>
      </c>
      <c r="K128" s="1" t="s">
        <v>124</v>
      </c>
      <c r="L128" s="1" t="s">
        <v>71</v>
      </c>
      <c r="M128" s="1" t="s">
        <v>335</v>
      </c>
      <c r="N128" s="1" t="s">
        <v>131</v>
      </c>
      <c r="R128" s="1" t="s">
        <v>1233</v>
      </c>
      <c r="S128" s="1" t="s">
        <v>1233</v>
      </c>
      <c r="T128" s="1" t="s">
        <v>141</v>
      </c>
      <c r="U128" s="1" t="s">
        <v>1680</v>
      </c>
    </row>
    <row r="129">
      <c r="A129" s="1" t="s">
        <v>459</v>
      </c>
      <c r="B129" s="1" t="s">
        <v>354</v>
      </c>
      <c r="C129" s="1" t="s">
        <v>861</v>
      </c>
      <c r="D129" s="1" t="s">
        <v>180</v>
      </c>
      <c r="E129" s="1" t="s">
        <v>520</v>
      </c>
      <c r="F129" s="1" t="s">
        <v>1179</v>
      </c>
      <c r="G129" s="1" t="s">
        <v>1180</v>
      </c>
      <c r="H129" s="3">
        <v>45870.0</v>
      </c>
      <c r="I129" s="3">
        <v>46251.0</v>
      </c>
      <c r="K129" s="1" t="s">
        <v>124</v>
      </c>
      <c r="L129" s="1" t="s">
        <v>251</v>
      </c>
      <c r="M129" s="1" t="s">
        <v>300</v>
      </c>
      <c r="N129" s="1" t="s">
        <v>131</v>
      </c>
      <c r="P129" s="1" t="s">
        <v>279</v>
      </c>
      <c r="R129" s="1" t="s">
        <v>137</v>
      </c>
      <c r="S129" s="1" t="s">
        <v>137</v>
      </c>
      <c r="T129" s="1" t="s">
        <v>47</v>
      </c>
      <c r="U129" s="1" t="s">
        <v>1691</v>
      </c>
    </row>
    <row r="130">
      <c r="A130" s="1" t="s">
        <v>373</v>
      </c>
      <c r="B130" s="1" t="s">
        <v>932</v>
      </c>
      <c r="C130" s="1" t="s">
        <v>930</v>
      </c>
      <c r="D130" s="1" t="s">
        <v>180</v>
      </c>
      <c r="E130" s="1" t="s">
        <v>520</v>
      </c>
      <c r="F130" s="1" t="s">
        <v>1179</v>
      </c>
      <c r="G130" s="1" t="s">
        <v>1180</v>
      </c>
      <c r="H130" s="3">
        <v>45930.0</v>
      </c>
      <c r="K130" s="1" t="s">
        <v>124</v>
      </c>
      <c r="L130" s="1" t="s">
        <v>71</v>
      </c>
      <c r="M130" s="1" t="s">
        <v>460</v>
      </c>
      <c r="N130" s="1" t="s">
        <v>131</v>
      </c>
      <c r="R130" s="1" t="s">
        <v>1701</v>
      </c>
      <c r="S130" s="1" t="s">
        <v>1701</v>
      </c>
      <c r="T130" s="1" t="s">
        <v>95</v>
      </c>
      <c r="U130" s="1" t="s">
        <v>1703</v>
      </c>
    </row>
    <row r="131">
      <c r="A131" s="1" t="s">
        <v>1706</v>
      </c>
      <c r="B131" s="1" t="s">
        <v>240</v>
      </c>
      <c r="C131" s="1" t="s">
        <v>1071</v>
      </c>
      <c r="D131" s="1" t="s">
        <v>180</v>
      </c>
      <c r="E131" s="1" t="s">
        <v>520</v>
      </c>
      <c r="F131" s="1" t="s">
        <v>1179</v>
      </c>
      <c r="G131" s="1" t="s">
        <v>1180</v>
      </c>
      <c r="H131" s="3">
        <v>46141.0</v>
      </c>
      <c r="I131" s="3">
        <v>46293.0</v>
      </c>
      <c r="K131" s="1" t="s">
        <v>124</v>
      </c>
      <c r="L131" s="1" t="s">
        <v>251</v>
      </c>
      <c r="M131" s="1" t="s">
        <v>300</v>
      </c>
      <c r="N131" s="1" t="s">
        <v>131</v>
      </c>
      <c r="P131" s="1" t="s">
        <v>726</v>
      </c>
      <c r="R131" s="1" t="s">
        <v>137</v>
      </c>
      <c r="S131" s="1" t="s">
        <v>137</v>
      </c>
      <c r="T131" s="1" t="s">
        <v>47</v>
      </c>
      <c r="U131" s="1" t="s">
        <v>1719</v>
      </c>
    </row>
    <row r="132">
      <c r="A132" s="1" t="s">
        <v>1721</v>
      </c>
      <c r="B132" s="1" t="s">
        <v>146</v>
      </c>
      <c r="C132" s="1" t="s">
        <v>1723</v>
      </c>
      <c r="D132" s="1" t="s">
        <v>313</v>
      </c>
      <c r="E132" s="1" t="s">
        <v>175</v>
      </c>
      <c r="F132" s="1" t="s">
        <v>569</v>
      </c>
      <c r="G132" s="1" t="s">
        <v>1726</v>
      </c>
      <c r="H132" s="3">
        <v>46129.0</v>
      </c>
      <c r="I132" s="3">
        <v>46293.0</v>
      </c>
      <c r="K132" s="1" t="s">
        <v>124</v>
      </c>
      <c r="L132" s="1" t="s">
        <v>160</v>
      </c>
      <c r="M132" s="1" t="s">
        <v>300</v>
      </c>
      <c r="N132" s="1" t="s">
        <v>131</v>
      </c>
      <c r="P132" s="1" t="s">
        <v>1733</v>
      </c>
      <c r="R132" s="1" t="s">
        <v>137</v>
      </c>
      <c r="S132" s="1" t="s">
        <v>137</v>
      </c>
      <c r="T132" s="1" t="s">
        <v>47</v>
      </c>
      <c r="U132" s="1" t="s">
        <v>1736</v>
      </c>
    </row>
    <row r="133">
      <c r="A133" s="1" t="s">
        <v>1737</v>
      </c>
      <c r="B133" s="1" t="s">
        <v>191</v>
      </c>
      <c r="C133" s="1" t="s">
        <v>1742</v>
      </c>
      <c r="D133" s="1" t="s">
        <v>273</v>
      </c>
      <c r="E133" s="1" t="s">
        <v>330</v>
      </c>
      <c r="F133" s="1" t="s">
        <v>331</v>
      </c>
      <c r="G133" s="1" t="s">
        <v>333</v>
      </c>
      <c r="H133" s="3">
        <v>46280.0</v>
      </c>
      <c r="K133" s="1" t="s">
        <v>124</v>
      </c>
      <c r="L133" s="1" t="s">
        <v>251</v>
      </c>
      <c r="M133" s="1" t="s">
        <v>162</v>
      </c>
      <c r="N133" s="1" t="s">
        <v>131</v>
      </c>
      <c r="P133" s="1" t="s">
        <v>1745</v>
      </c>
      <c r="R133" s="1" t="s">
        <v>137</v>
      </c>
      <c r="S133" s="1" t="s">
        <v>137</v>
      </c>
      <c r="T133" s="1" t="s">
        <v>47</v>
      </c>
      <c r="U133" s="1" t="s">
        <v>1746</v>
      </c>
    </row>
    <row r="134">
      <c r="A134" s="1" t="s">
        <v>1748</v>
      </c>
      <c r="B134" s="1" t="s">
        <v>191</v>
      </c>
      <c r="C134" s="1" t="s">
        <v>1750</v>
      </c>
      <c r="D134" s="1" t="s">
        <v>509</v>
      </c>
      <c r="E134" s="1" t="s">
        <v>454</v>
      </c>
      <c r="F134" s="1" t="s">
        <v>455</v>
      </c>
      <c r="G134" s="1" t="s">
        <v>510</v>
      </c>
      <c r="H134" s="3">
        <v>45726.0</v>
      </c>
      <c r="I134" s="3">
        <v>45845.0</v>
      </c>
      <c r="J134" s="3">
        <v>45845.0</v>
      </c>
      <c r="K134" s="1" t="s">
        <v>215</v>
      </c>
      <c r="L134" s="1" t="s">
        <v>251</v>
      </c>
      <c r="M134" s="1" t="s">
        <v>216</v>
      </c>
      <c r="N134" s="1" t="s">
        <v>131</v>
      </c>
      <c r="O134" s="3">
        <v>45845.0</v>
      </c>
      <c r="R134" s="1" t="s">
        <v>137</v>
      </c>
      <c r="S134" s="1" t="s">
        <v>137</v>
      </c>
      <c r="T134" s="1" t="s">
        <v>47</v>
      </c>
      <c r="U134" s="1" t="s">
        <v>1754</v>
      </c>
    </row>
    <row r="135">
      <c r="A135" s="1" t="s">
        <v>1755</v>
      </c>
      <c r="B135" s="1" t="s">
        <v>632</v>
      </c>
      <c r="C135" s="1" t="s">
        <v>1756</v>
      </c>
      <c r="D135" s="1" t="s">
        <v>1477</v>
      </c>
      <c r="E135" s="1" t="s">
        <v>292</v>
      </c>
      <c r="F135" s="1" t="s">
        <v>468</v>
      </c>
      <c r="G135" s="1" t="s">
        <v>1758</v>
      </c>
      <c r="H135" s="3">
        <v>45995.0</v>
      </c>
      <c r="I135" s="3">
        <v>46188.0</v>
      </c>
      <c r="J135" s="3">
        <v>46188.0</v>
      </c>
      <c r="K135" s="1" t="s">
        <v>215</v>
      </c>
      <c r="L135" s="1" t="s">
        <v>98</v>
      </c>
      <c r="M135" s="1" t="s">
        <v>216</v>
      </c>
      <c r="N135" s="1" t="s">
        <v>131</v>
      </c>
      <c r="O135" s="3">
        <v>46241.0</v>
      </c>
      <c r="P135" s="1" t="s">
        <v>1760</v>
      </c>
      <c r="R135" s="1" t="s">
        <v>137</v>
      </c>
      <c r="S135" s="1" t="s">
        <v>137</v>
      </c>
      <c r="T135" s="1" t="s">
        <v>47</v>
      </c>
      <c r="U135" s="1" t="s">
        <v>1762</v>
      </c>
    </row>
    <row r="136">
      <c r="A136" s="1" t="s">
        <v>1763</v>
      </c>
      <c r="B136" s="1" t="s">
        <v>1764</v>
      </c>
      <c r="C136" s="1" t="s">
        <v>1765</v>
      </c>
      <c r="D136" s="1" t="s">
        <v>313</v>
      </c>
      <c r="E136" s="1" t="s">
        <v>175</v>
      </c>
      <c r="F136" s="1" t="s">
        <v>1767</v>
      </c>
      <c r="G136" s="1" t="s">
        <v>1768</v>
      </c>
      <c r="H136" s="3">
        <v>45870.0</v>
      </c>
      <c r="I136" s="3">
        <v>46129.0</v>
      </c>
      <c r="J136" s="3">
        <v>46129.0</v>
      </c>
      <c r="K136" s="1" t="s">
        <v>215</v>
      </c>
      <c r="L136" s="1" t="s">
        <v>251</v>
      </c>
      <c r="M136" s="1" t="s">
        <v>216</v>
      </c>
      <c r="N136" s="1" t="s">
        <v>131</v>
      </c>
      <c r="O136" s="3">
        <v>46143.0</v>
      </c>
      <c r="R136" s="1" t="s">
        <v>137</v>
      </c>
      <c r="S136" s="1" t="s">
        <v>137</v>
      </c>
      <c r="T136" s="1" t="s">
        <v>47</v>
      </c>
      <c r="U136" s="1" t="s">
        <v>1771</v>
      </c>
    </row>
    <row r="137">
      <c r="A137" s="1" t="s">
        <v>1773</v>
      </c>
      <c r="B137" s="1" t="s">
        <v>1774</v>
      </c>
      <c r="C137" s="1" t="s">
        <v>1775</v>
      </c>
      <c r="D137" s="1" t="s">
        <v>1776</v>
      </c>
      <c r="E137" s="1" t="s">
        <v>175</v>
      </c>
      <c r="F137" s="1" t="s">
        <v>177</v>
      </c>
      <c r="G137" s="1" t="s">
        <v>1778</v>
      </c>
      <c r="H137" s="3">
        <v>45933.0</v>
      </c>
      <c r="I137" s="3">
        <v>46094.0</v>
      </c>
      <c r="J137" s="3">
        <v>46094.0</v>
      </c>
      <c r="K137" s="1" t="s">
        <v>215</v>
      </c>
      <c r="L137" s="1" t="s">
        <v>251</v>
      </c>
      <c r="M137" s="1" t="s">
        <v>216</v>
      </c>
      <c r="N137" s="1" t="s">
        <v>131</v>
      </c>
      <c r="O137" s="3">
        <v>46094.0</v>
      </c>
      <c r="R137" s="1" t="s">
        <v>137</v>
      </c>
      <c r="S137" s="1" t="s">
        <v>137</v>
      </c>
      <c r="T137" s="1" t="s">
        <v>47</v>
      </c>
      <c r="U137" s="1" t="s">
        <v>1780</v>
      </c>
    </row>
    <row r="138">
      <c r="A138" s="1" t="s">
        <v>1781</v>
      </c>
      <c r="B138" s="1" t="s">
        <v>116</v>
      </c>
      <c r="C138" s="1" t="s">
        <v>1783</v>
      </c>
      <c r="D138" s="1" t="s">
        <v>960</v>
      </c>
      <c r="E138" s="1" t="s">
        <v>292</v>
      </c>
      <c r="F138" s="1" t="s">
        <v>494</v>
      </c>
      <c r="G138" s="1" t="s">
        <v>1784</v>
      </c>
      <c r="H138" s="3">
        <v>46127.0</v>
      </c>
      <c r="I138" s="3">
        <v>46264.0</v>
      </c>
      <c r="K138" s="1" t="s">
        <v>124</v>
      </c>
      <c r="L138" s="1" t="s">
        <v>160</v>
      </c>
      <c r="M138" s="1" t="s">
        <v>460</v>
      </c>
      <c r="N138" s="1" t="s">
        <v>131</v>
      </c>
      <c r="P138" s="1" t="s">
        <v>1786</v>
      </c>
      <c r="R138" s="1" t="s">
        <v>137</v>
      </c>
      <c r="S138" s="1" t="s">
        <v>137</v>
      </c>
      <c r="T138" s="1" t="s">
        <v>47</v>
      </c>
      <c r="U138" s="1" t="s">
        <v>1788</v>
      </c>
    </row>
    <row r="139">
      <c r="A139" s="1" t="s">
        <v>1789</v>
      </c>
      <c r="B139" s="1" t="s">
        <v>146</v>
      </c>
      <c r="C139" s="1" t="s">
        <v>1791</v>
      </c>
      <c r="D139" s="1" t="s">
        <v>754</v>
      </c>
      <c r="E139" s="1" t="s">
        <v>292</v>
      </c>
      <c r="F139" s="1" t="s">
        <v>468</v>
      </c>
      <c r="G139" s="1" t="s">
        <v>470</v>
      </c>
      <c r="H139" s="3">
        <v>46107.0</v>
      </c>
      <c r="I139" s="3">
        <v>46400.0</v>
      </c>
      <c r="K139" s="1" t="s">
        <v>124</v>
      </c>
      <c r="L139" s="1" t="s">
        <v>98</v>
      </c>
      <c r="M139" s="1" t="s">
        <v>335</v>
      </c>
      <c r="N139" s="1" t="s">
        <v>131</v>
      </c>
      <c r="P139" s="1" t="s">
        <v>1792</v>
      </c>
      <c r="R139" s="1" t="s">
        <v>137</v>
      </c>
      <c r="S139" s="1" t="s">
        <v>137</v>
      </c>
      <c r="T139" s="1" t="s">
        <v>47</v>
      </c>
      <c r="U139" s="1" t="s">
        <v>1794</v>
      </c>
    </row>
    <row r="140">
      <c r="A140" s="1" t="s">
        <v>1795</v>
      </c>
      <c r="B140" s="1" t="s">
        <v>191</v>
      </c>
      <c r="C140" s="1" t="s">
        <v>1797</v>
      </c>
      <c r="D140" s="1" t="s">
        <v>1798</v>
      </c>
      <c r="E140" s="1" t="s">
        <v>292</v>
      </c>
      <c r="F140" s="1" t="s">
        <v>576</v>
      </c>
      <c r="G140" s="1" t="s">
        <v>1088</v>
      </c>
      <c r="H140" s="3">
        <v>45789.0</v>
      </c>
      <c r="I140" s="3">
        <v>46009.0</v>
      </c>
      <c r="J140" s="3">
        <v>46009.0</v>
      </c>
      <c r="K140" s="1" t="s">
        <v>215</v>
      </c>
      <c r="L140" s="1" t="s">
        <v>251</v>
      </c>
      <c r="M140" s="1" t="s">
        <v>216</v>
      </c>
      <c r="N140" s="1" t="s">
        <v>131</v>
      </c>
      <c r="O140" s="3">
        <v>46009.0</v>
      </c>
      <c r="R140" s="1" t="s">
        <v>137</v>
      </c>
      <c r="S140" s="1" t="s">
        <v>137</v>
      </c>
      <c r="T140" s="1" t="s">
        <v>47</v>
      </c>
      <c r="U140" s="1" t="s">
        <v>1801</v>
      </c>
    </row>
    <row r="141">
      <c r="A141" s="1" t="s">
        <v>1802</v>
      </c>
      <c r="B141" s="1" t="s">
        <v>354</v>
      </c>
      <c r="C141" s="1" t="s">
        <v>1805</v>
      </c>
      <c r="D141" s="1" t="s">
        <v>313</v>
      </c>
      <c r="E141" s="1" t="s">
        <v>175</v>
      </c>
      <c r="F141" s="1" t="s">
        <v>763</v>
      </c>
      <c r="G141" s="1" t="s">
        <v>1351</v>
      </c>
      <c r="H141" s="3">
        <v>45929.0</v>
      </c>
      <c r="I141" s="3">
        <v>46097.0</v>
      </c>
      <c r="K141" s="1" t="s">
        <v>215</v>
      </c>
      <c r="L141" s="1" t="s">
        <v>251</v>
      </c>
      <c r="M141" s="1" t="s">
        <v>253</v>
      </c>
      <c r="N141" s="1" t="s">
        <v>131</v>
      </c>
      <c r="O141" s="3">
        <v>46159.0</v>
      </c>
      <c r="P141" s="1" t="s">
        <v>1807</v>
      </c>
      <c r="R141" s="1" t="s">
        <v>1808</v>
      </c>
      <c r="S141" s="1" t="s">
        <v>1808</v>
      </c>
      <c r="T141" s="1" t="s">
        <v>1811</v>
      </c>
      <c r="U141" s="1" t="s">
        <v>1812</v>
      </c>
    </row>
    <row r="142">
      <c r="A142" s="1" t="s">
        <v>1739</v>
      </c>
      <c r="B142" s="1" t="s">
        <v>1813</v>
      </c>
      <c r="C142" s="1" t="s">
        <v>1814</v>
      </c>
      <c r="D142" s="1" t="s">
        <v>118</v>
      </c>
      <c r="E142" s="1" t="s">
        <v>330</v>
      </c>
      <c r="F142" s="1" t="s">
        <v>663</v>
      </c>
      <c r="G142" s="1" t="s">
        <v>664</v>
      </c>
      <c r="H142" s="3">
        <v>46042.0</v>
      </c>
      <c r="K142" s="1" t="s">
        <v>124</v>
      </c>
      <c r="L142" s="1" t="s">
        <v>251</v>
      </c>
      <c r="M142" s="1" t="s">
        <v>162</v>
      </c>
      <c r="N142" s="1" t="s">
        <v>131</v>
      </c>
      <c r="P142" s="1" t="s">
        <v>1817</v>
      </c>
      <c r="R142" s="1" t="s">
        <v>137</v>
      </c>
      <c r="S142" s="1" t="s">
        <v>137</v>
      </c>
      <c r="T142" s="1" t="s">
        <v>47</v>
      </c>
      <c r="U142" s="1" t="s">
        <v>1819</v>
      </c>
    </row>
    <row r="143">
      <c r="A143" s="1" t="s">
        <v>1821</v>
      </c>
      <c r="B143" s="1" t="s">
        <v>760</v>
      </c>
      <c r="C143" s="1" t="s">
        <v>1822</v>
      </c>
      <c r="D143" s="1" t="s">
        <v>1823</v>
      </c>
      <c r="E143" s="1" t="s">
        <v>175</v>
      </c>
      <c r="F143" s="1" t="s">
        <v>763</v>
      </c>
      <c r="G143" s="1" t="s">
        <v>1825</v>
      </c>
      <c r="H143" s="3">
        <v>46085.0</v>
      </c>
      <c r="K143" s="1" t="s">
        <v>124</v>
      </c>
      <c r="L143" s="1" t="s">
        <v>160</v>
      </c>
      <c r="M143" s="1" t="s">
        <v>162</v>
      </c>
      <c r="N143" s="1" t="s">
        <v>131</v>
      </c>
      <c r="R143" s="1" t="s">
        <v>629</v>
      </c>
      <c r="S143" s="1" t="s">
        <v>629</v>
      </c>
      <c r="T143" s="1" t="s">
        <v>630</v>
      </c>
    </row>
    <row r="144">
      <c r="A144" s="1" t="s">
        <v>1828</v>
      </c>
      <c r="B144" s="1" t="s">
        <v>632</v>
      </c>
      <c r="C144" s="1" t="s">
        <v>1831</v>
      </c>
      <c r="D144" s="1" t="s">
        <v>1832</v>
      </c>
      <c r="E144" s="1" t="s">
        <v>454</v>
      </c>
      <c r="F144" s="1" t="s">
        <v>637</v>
      </c>
      <c r="G144" s="1" t="s">
        <v>1513</v>
      </c>
      <c r="H144" s="3">
        <v>45806.0</v>
      </c>
      <c r="I144" s="3">
        <v>46045.0</v>
      </c>
      <c r="K144" s="1" t="s">
        <v>215</v>
      </c>
      <c r="L144" s="1" t="s">
        <v>98</v>
      </c>
      <c r="M144" s="1" t="s">
        <v>253</v>
      </c>
      <c r="N144" s="1" t="s">
        <v>131</v>
      </c>
      <c r="O144" s="3">
        <v>46075.0</v>
      </c>
      <c r="P144" s="1" t="s">
        <v>552</v>
      </c>
      <c r="R144" s="1" t="s">
        <v>137</v>
      </c>
      <c r="S144" s="1" t="s">
        <v>137</v>
      </c>
      <c r="T144" s="1" t="s">
        <v>47</v>
      </c>
      <c r="U144" s="1" t="s">
        <v>1836</v>
      </c>
    </row>
    <row r="145">
      <c r="A145" s="1" t="s">
        <v>1838</v>
      </c>
      <c r="B145" s="1" t="s">
        <v>1839</v>
      </c>
      <c r="C145" s="1" t="s">
        <v>1840</v>
      </c>
      <c r="D145" s="1" t="s">
        <v>313</v>
      </c>
      <c r="E145" s="1" t="s">
        <v>175</v>
      </c>
      <c r="F145" s="1" t="s">
        <v>569</v>
      </c>
      <c r="G145" s="1" t="s">
        <v>1842</v>
      </c>
      <c r="H145" s="3">
        <v>46244.0</v>
      </c>
      <c r="K145" s="1" t="s">
        <v>124</v>
      </c>
      <c r="L145" s="1" t="s">
        <v>251</v>
      </c>
      <c r="M145" s="1" t="s">
        <v>300</v>
      </c>
      <c r="N145" s="1" t="s">
        <v>131</v>
      </c>
      <c r="P145" s="1" t="s">
        <v>1844</v>
      </c>
      <c r="R145" s="1" t="s">
        <v>137</v>
      </c>
      <c r="S145" s="1" t="s">
        <v>137</v>
      </c>
      <c r="T145" s="1" t="s">
        <v>47</v>
      </c>
      <c r="U145" s="1" t="s">
        <v>1845</v>
      </c>
    </row>
    <row r="146">
      <c r="A146" s="1" t="s">
        <v>1847</v>
      </c>
      <c r="B146" s="1" t="s">
        <v>632</v>
      </c>
      <c r="C146" s="1" t="s">
        <v>1840</v>
      </c>
      <c r="D146" s="1" t="s">
        <v>313</v>
      </c>
      <c r="E146" s="1" t="s">
        <v>175</v>
      </c>
      <c r="F146" s="1" t="s">
        <v>569</v>
      </c>
      <c r="G146" s="1" t="s">
        <v>1842</v>
      </c>
      <c r="H146" s="3">
        <v>45913.0</v>
      </c>
      <c r="I146" s="3">
        <v>46140.0</v>
      </c>
      <c r="J146" s="3">
        <v>46140.0</v>
      </c>
      <c r="K146" s="1" t="s">
        <v>215</v>
      </c>
      <c r="L146" s="1" t="s">
        <v>98</v>
      </c>
      <c r="M146" s="1" t="s">
        <v>216</v>
      </c>
      <c r="N146" s="1" t="s">
        <v>131</v>
      </c>
      <c r="O146" s="3">
        <v>46171.0</v>
      </c>
      <c r="R146" s="1" t="s">
        <v>137</v>
      </c>
      <c r="S146" s="1" t="s">
        <v>137</v>
      </c>
      <c r="T146" s="1" t="s">
        <v>47</v>
      </c>
      <c r="U146" s="1" t="s">
        <v>1850</v>
      </c>
    </row>
    <row r="147">
      <c r="A147" s="1" t="s">
        <v>1851</v>
      </c>
      <c r="B147" s="1" t="s">
        <v>1269</v>
      </c>
      <c r="C147" s="1" t="s">
        <v>1853</v>
      </c>
      <c r="D147" s="1" t="s">
        <v>313</v>
      </c>
      <c r="E147" s="1" t="s">
        <v>175</v>
      </c>
      <c r="F147" s="1" t="s">
        <v>569</v>
      </c>
      <c r="G147" s="1" t="s">
        <v>570</v>
      </c>
      <c r="H147" s="3">
        <v>46120.0</v>
      </c>
      <c r="I147" s="3">
        <v>46296.0</v>
      </c>
      <c r="K147" s="1" t="s">
        <v>124</v>
      </c>
      <c r="L147" s="1" t="s">
        <v>71</v>
      </c>
      <c r="M147" s="1" t="s">
        <v>460</v>
      </c>
      <c r="N147" s="1" t="s">
        <v>131</v>
      </c>
      <c r="R147" s="1" t="s">
        <v>651</v>
      </c>
      <c r="S147" s="1" t="s">
        <v>651</v>
      </c>
      <c r="T147" s="1" t="s">
        <v>652</v>
      </c>
      <c r="U147" s="1" t="s">
        <v>1855</v>
      </c>
    </row>
    <row r="148">
      <c r="A148" s="1" t="s">
        <v>1856</v>
      </c>
      <c r="B148" s="1" t="s">
        <v>490</v>
      </c>
      <c r="C148" s="1" t="s">
        <v>1858</v>
      </c>
      <c r="D148" s="1" t="s">
        <v>313</v>
      </c>
      <c r="E148" s="1" t="s">
        <v>292</v>
      </c>
      <c r="F148" s="1" t="s">
        <v>293</v>
      </c>
      <c r="G148" s="1" t="s">
        <v>561</v>
      </c>
      <c r="H148" s="3">
        <v>45642.0</v>
      </c>
      <c r="I148" s="3">
        <v>45741.0</v>
      </c>
      <c r="J148" s="3">
        <v>45741.0</v>
      </c>
      <c r="K148" s="1" t="s">
        <v>215</v>
      </c>
      <c r="L148" s="1" t="s">
        <v>251</v>
      </c>
      <c r="M148" s="1" t="s">
        <v>216</v>
      </c>
      <c r="N148" s="1" t="s">
        <v>131</v>
      </c>
      <c r="O148" s="3">
        <v>45769.0</v>
      </c>
      <c r="R148" s="1" t="s">
        <v>137</v>
      </c>
      <c r="S148" s="1" t="s">
        <v>137</v>
      </c>
      <c r="T148" s="1" t="s">
        <v>47</v>
      </c>
      <c r="U148" s="1" t="s">
        <v>1861</v>
      </c>
    </row>
    <row r="149">
      <c r="A149" s="1" t="s">
        <v>418</v>
      </c>
      <c r="B149" s="1" t="s">
        <v>354</v>
      </c>
      <c r="C149" s="1" t="s">
        <v>223</v>
      </c>
      <c r="D149" s="1" t="s">
        <v>180</v>
      </c>
      <c r="E149" s="1" t="s">
        <v>520</v>
      </c>
      <c r="F149" s="1" t="s">
        <v>1179</v>
      </c>
      <c r="G149" s="1" t="s">
        <v>1180</v>
      </c>
      <c r="H149" s="3">
        <v>45869.0</v>
      </c>
      <c r="I149" s="3">
        <v>46318.0</v>
      </c>
      <c r="K149" s="1" t="s">
        <v>124</v>
      </c>
      <c r="L149" s="1" t="s">
        <v>251</v>
      </c>
      <c r="M149" s="1" t="s">
        <v>300</v>
      </c>
      <c r="N149" s="1" t="s">
        <v>472</v>
      </c>
      <c r="P149" s="1" t="s">
        <v>1866</v>
      </c>
      <c r="R149" s="1" t="s">
        <v>137</v>
      </c>
      <c r="S149" s="1" t="s">
        <v>137</v>
      </c>
      <c r="T149" s="1" t="s">
        <v>47</v>
      </c>
      <c r="U149" s="1" t="s">
        <v>1867</v>
      </c>
    </row>
    <row r="150">
      <c r="A150" s="1" t="s">
        <v>507</v>
      </c>
      <c r="B150" s="1" t="s">
        <v>1183</v>
      </c>
      <c r="C150" s="1" t="s">
        <v>1182</v>
      </c>
      <c r="D150" s="1" t="s">
        <v>180</v>
      </c>
      <c r="E150" s="1" t="s">
        <v>520</v>
      </c>
      <c r="F150" s="1" t="s">
        <v>1179</v>
      </c>
      <c r="G150" s="1" t="s">
        <v>1180</v>
      </c>
      <c r="H150" s="3">
        <v>45936.0</v>
      </c>
      <c r="I150" s="3">
        <v>46477.0</v>
      </c>
      <c r="K150" s="1" t="s">
        <v>124</v>
      </c>
      <c r="L150" s="1" t="s">
        <v>98</v>
      </c>
      <c r="M150" s="1" t="s">
        <v>460</v>
      </c>
      <c r="N150" s="1" t="s">
        <v>131</v>
      </c>
      <c r="R150" s="1" t="s">
        <v>1185</v>
      </c>
      <c r="S150" s="1" t="s">
        <v>1185</v>
      </c>
      <c r="T150" s="1" t="s">
        <v>267</v>
      </c>
      <c r="U150" s="1" t="s">
        <v>1870</v>
      </c>
    </row>
    <row r="151">
      <c r="A151" s="1" t="s">
        <v>1050</v>
      </c>
      <c r="B151" s="1" t="s">
        <v>1246</v>
      </c>
      <c r="C151" s="1" t="s">
        <v>1244</v>
      </c>
      <c r="D151" s="1" t="s">
        <v>180</v>
      </c>
      <c r="E151" s="1" t="s">
        <v>520</v>
      </c>
      <c r="F151" s="1" t="s">
        <v>1179</v>
      </c>
      <c r="G151" s="1" t="s">
        <v>1180</v>
      </c>
      <c r="H151" s="3">
        <v>45974.0</v>
      </c>
      <c r="I151" s="3">
        <v>46363.0</v>
      </c>
      <c r="K151" s="1" t="s">
        <v>124</v>
      </c>
      <c r="L151" s="1" t="s">
        <v>71</v>
      </c>
      <c r="M151" s="1" t="s">
        <v>460</v>
      </c>
      <c r="N151" s="1" t="s">
        <v>131</v>
      </c>
      <c r="R151" s="1" t="s">
        <v>1233</v>
      </c>
      <c r="S151" s="1" t="s">
        <v>1233</v>
      </c>
      <c r="T151" s="1" t="s">
        <v>141</v>
      </c>
      <c r="U151" s="1" t="s">
        <v>1874</v>
      </c>
    </row>
    <row r="152">
      <c r="A152" s="1" t="s">
        <v>1875</v>
      </c>
      <c r="B152" s="1" t="s">
        <v>632</v>
      </c>
      <c r="C152" s="1" t="s">
        <v>1877</v>
      </c>
      <c r="D152" s="1" t="s">
        <v>1832</v>
      </c>
      <c r="E152" s="1" t="s">
        <v>454</v>
      </c>
      <c r="F152" s="1" t="s">
        <v>637</v>
      </c>
      <c r="G152" s="1" t="s">
        <v>638</v>
      </c>
      <c r="H152" s="3">
        <v>46091.0</v>
      </c>
      <c r="I152" s="3">
        <v>46265.0</v>
      </c>
      <c r="K152" s="1" t="s">
        <v>124</v>
      </c>
      <c r="L152" s="1" t="s">
        <v>71</v>
      </c>
      <c r="M152" s="1" t="s">
        <v>335</v>
      </c>
      <c r="N152" s="1" t="s">
        <v>131</v>
      </c>
      <c r="P152" s="1" t="s">
        <v>1453</v>
      </c>
      <c r="R152" s="1" t="s">
        <v>137</v>
      </c>
      <c r="S152" s="1" t="s">
        <v>137</v>
      </c>
      <c r="T152" s="1" t="s">
        <v>47</v>
      </c>
      <c r="U152" s="1" t="s">
        <v>1880</v>
      </c>
    </row>
    <row r="153">
      <c r="A153" s="1" t="s">
        <v>1881</v>
      </c>
      <c r="B153" s="1" t="s">
        <v>1883</v>
      </c>
      <c r="C153" s="1" t="s">
        <v>1884</v>
      </c>
      <c r="D153" s="1" t="s">
        <v>273</v>
      </c>
      <c r="E153" s="1" t="s">
        <v>330</v>
      </c>
      <c r="F153" s="1" t="s">
        <v>356</v>
      </c>
      <c r="G153" s="1" t="s">
        <v>875</v>
      </c>
      <c r="H153" s="3">
        <v>45870.0</v>
      </c>
      <c r="I153" s="3">
        <v>46199.0</v>
      </c>
      <c r="J153" s="3">
        <v>46199.0</v>
      </c>
      <c r="K153" s="1" t="s">
        <v>215</v>
      </c>
      <c r="L153" s="1" t="s">
        <v>251</v>
      </c>
      <c r="M153" s="1" t="s">
        <v>216</v>
      </c>
      <c r="N153" s="1" t="s">
        <v>131</v>
      </c>
      <c r="O153" s="3">
        <v>46199.0</v>
      </c>
      <c r="R153" s="1" t="s">
        <v>137</v>
      </c>
      <c r="S153" s="1" t="s">
        <v>137</v>
      </c>
      <c r="T153" s="1" t="s">
        <v>47</v>
      </c>
      <c r="U153" s="1" t="s">
        <v>1887</v>
      </c>
    </row>
    <row r="154">
      <c r="A154" s="1" t="s">
        <v>1889</v>
      </c>
      <c r="B154" s="1" t="s">
        <v>191</v>
      </c>
      <c r="C154" s="1" t="s">
        <v>1890</v>
      </c>
      <c r="D154" s="1" t="s">
        <v>1798</v>
      </c>
      <c r="E154" s="1" t="s">
        <v>175</v>
      </c>
      <c r="F154" s="1" t="s">
        <v>569</v>
      </c>
      <c r="G154" s="1" t="s">
        <v>798</v>
      </c>
      <c r="H154" s="3">
        <v>46111.0</v>
      </c>
      <c r="I154" s="3">
        <v>46197.0</v>
      </c>
      <c r="J154" s="3">
        <v>46197.0</v>
      </c>
      <c r="K154" s="1" t="s">
        <v>215</v>
      </c>
      <c r="L154" s="1" t="s">
        <v>98</v>
      </c>
      <c r="M154" s="1" t="s">
        <v>216</v>
      </c>
      <c r="N154" s="1" t="s">
        <v>131</v>
      </c>
      <c r="O154" s="3">
        <v>46225.0</v>
      </c>
      <c r="P154" s="1" t="s">
        <v>1005</v>
      </c>
      <c r="R154" s="1" t="s">
        <v>137</v>
      </c>
      <c r="S154" s="1" t="s">
        <v>137</v>
      </c>
      <c r="T154" s="1" t="s">
        <v>47</v>
      </c>
      <c r="U154" s="1" t="s">
        <v>1895</v>
      </c>
    </row>
    <row r="155">
      <c r="A155" s="1" t="s">
        <v>1897</v>
      </c>
      <c r="B155" s="1" t="s">
        <v>240</v>
      </c>
      <c r="C155" s="1" t="s">
        <v>1898</v>
      </c>
      <c r="D155" s="1" t="s">
        <v>509</v>
      </c>
      <c r="E155" s="1" t="s">
        <v>454</v>
      </c>
      <c r="F155" s="1" t="s">
        <v>637</v>
      </c>
      <c r="G155" s="1" t="s">
        <v>703</v>
      </c>
      <c r="H155" s="3">
        <v>46154.0</v>
      </c>
      <c r="K155" s="1" t="s">
        <v>124</v>
      </c>
      <c r="L155" s="1" t="s">
        <v>251</v>
      </c>
      <c r="M155" s="1" t="s">
        <v>162</v>
      </c>
      <c r="N155" s="1" t="s">
        <v>131</v>
      </c>
      <c r="R155" s="1" t="s">
        <v>665</v>
      </c>
      <c r="S155" s="1" t="s">
        <v>665</v>
      </c>
      <c r="T155" s="1" t="s">
        <v>666</v>
      </c>
      <c r="U155" s="1" t="s">
        <v>1902</v>
      </c>
    </row>
    <row r="156">
      <c r="A156" s="1" t="s">
        <v>1903</v>
      </c>
      <c r="B156" s="1" t="s">
        <v>1269</v>
      </c>
      <c r="C156" s="1" t="s">
        <v>1906</v>
      </c>
      <c r="D156" s="1" t="s">
        <v>313</v>
      </c>
      <c r="E156" s="1" t="s">
        <v>175</v>
      </c>
      <c r="F156" s="1" t="s">
        <v>1767</v>
      </c>
      <c r="G156" s="1" t="s">
        <v>1768</v>
      </c>
      <c r="H156" s="3">
        <v>45881.0</v>
      </c>
      <c r="I156" s="3">
        <v>46036.0</v>
      </c>
      <c r="J156" s="3">
        <v>46036.0</v>
      </c>
      <c r="K156" s="1" t="s">
        <v>215</v>
      </c>
      <c r="L156" s="1" t="s">
        <v>71</v>
      </c>
      <c r="M156" s="1" t="s">
        <v>216</v>
      </c>
      <c r="N156" s="1" t="s">
        <v>131</v>
      </c>
      <c r="O156" s="3">
        <v>46050.0</v>
      </c>
      <c r="R156" s="1" t="s">
        <v>137</v>
      </c>
      <c r="S156" s="1" t="s">
        <v>137</v>
      </c>
      <c r="T156" s="1" t="s">
        <v>47</v>
      </c>
      <c r="U156" s="1" t="s">
        <v>1910</v>
      </c>
    </row>
    <row r="157">
      <c r="A157" s="1" t="s">
        <v>1912</v>
      </c>
      <c r="B157" s="1" t="s">
        <v>146</v>
      </c>
      <c r="C157" s="1" t="s">
        <v>1913</v>
      </c>
      <c r="D157" s="1" t="s">
        <v>313</v>
      </c>
      <c r="E157" s="1" t="s">
        <v>292</v>
      </c>
      <c r="F157" s="1" t="s">
        <v>293</v>
      </c>
      <c r="G157" s="1" t="s">
        <v>316</v>
      </c>
      <c r="H157" s="3">
        <v>46129.0</v>
      </c>
      <c r="I157" s="3">
        <v>46349.0</v>
      </c>
      <c r="K157" s="1" t="s">
        <v>124</v>
      </c>
      <c r="L157" s="1" t="s">
        <v>160</v>
      </c>
      <c r="M157" s="1" t="s">
        <v>162</v>
      </c>
      <c r="N157" s="1" t="s">
        <v>131</v>
      </c>
      <c r="P157" s="1" t="s">
        <v>1917</v>
      </c>
      <c r="R157" s="1" t="s">
        <v>137</v>
      </c>
      <c r="S157" s="1" t="s">
        <v>137</v>
      </c>
      <c r="T157" s="1" t="s">
        <v>47</v>
      </c>
      <c r="U157" s="1" t="s">
        <v>1920</v>
      </c>
    </row>
    <row r="158">
      <c r="A158" s="1" t="s">
        <v>1922</v>
      </c>
      <c r="B158" s="1" t="s">
        <v>191</v>
      </c>
      <c r="C158" s="1" t="s">
        <v>1913</v>
      </c>
      <c r="D158" s="1" t="s">
        <v>313</v>
      </c>
      <c r="E158" s="1" t="s">
        <v>292</v>
      </c>
      <c r="F158" s="1" t="s">
        <v>293</v>
      </c>
      <c r="G158" s="1" t="s">
        <v>316</v>
      </c>
      <c r="H158" s="3">
        <v>46237.0</v>
      </c>
      <c r="I158" s="3">
        <v>46349.0</v>
      </c>
      <c r="K158" s="1" t="s">
        <v>124</v>
      </c>
      <c r="L158" s="1" t="s">
        <v>251</v>
      </c>
      <c r="M158" s="1" t="s">
        <v>162</v>
      </c>
      <c r="N158" s="1" t="s">
        <v>131</v>
      </c>
      <c r="P158" s="1" t="s">
        <v>1927</v>
      </c>
      <c r="R158" s="1" t="s">
        <v>137</v>
      </c>
      <c r="S158" s="1" t="s">
        <v>137</v>
      </c>
      <c r="T158" s="1" t="s">
        <v>47</v>
      </c>
      <c r="U158" s="1" t="s">
        <v>1929</v>
      </c>
    </row>
    <row r="159">
      <c r="A159" s="1" t="s">
        <v>1930</v>
      </c>
      <c r="B159" s="1" t="s">
        <v>146</v>
      </c>
      <c r="C159" s="1" t="s">
        <v>1931</v>
      </c>
      <c r="D159" s="1" t="s">
        <v>1932</v>
      </c>
      <c r="E159" s="1" t="s">
        <v>153</v>
      </c>
      <c r="F159" s="1" t="s">
        <v>155</v>
      </c>
      <c r="G159" s="1" t="s">
        <v>157</v>
      </c>
      <c r="H159" s="3">
        <v>46129.0</v>
      </c>
      <c r="I159" s="3">
        <v>46269.0</v>
      </c>
      <c r="K159" s="1" t="s">
        <v>124</v>
      </c>
      <c r="L159" s="1" t="s">
        <v>160</v>
      </c>
      <c r="M159" s="1" t="s">
        <v>162</v>
      </c>
      <c r="N159" s="1" t="s">
        <v>131</v>
      </c>
      <c r="P159" s="1" t="s">
        <v>164</v>
      </c>
      <c r="R159" s="1" t="s">
        <v>137</v>
      </c>
      <c r="S159" s="1" t="s">
        <v>137</v>
      </c>
      <c r="T159" s="1" t="s">
        <v>47</v>
      </c>
    </row>
    <row r="160">
      <c r="A160" s="1" t="s">
        <v>1937</v>
      </c>
      <c r="B160" s="1" t="s">
        <v>146</v>
      </c>
      <c r="C160" s="1" t="s">
        <v>1938</v>
      </c>
      <c r="D160" s="1" t="s">
        <v>1823</v>
      </c>
      <c r="E160" s="1" t="s">
        <v>438</v>
      </c>
      <c r="F160" s="1" t="s">
        <v>440</v>
      </c>
      <c r="G160" s="1" t="s">
        <v>1940</v>
      </c>
      <c r="H160" s="3">
        <v>46129.0</v>
      </c>
      <c r="K160" s="1" t="s">
        <v>124</v>
      </c>
      <c r="L160" s="1" t="s">
        <v>160</v>
      </c>
      <c r="M160" s="1" t="s">
        <v>162</v>
      </c>
      <c r="N160" s="1" t="s">
        <v>131</v>
      </c>
      <c r="P160" s="1" t="s">
        <v>485</v>
      </c>
      <c r="R160" s="1" t="s">
        <v>137</v>
      </c>
      <c r="S160" s="1" t="s">
        <v>137</v>
      </c>
      <c r="T160" s="1" t="s">
        <v>47</v>
      </c>
    </row>
    <row r="161">
      <c r="A161" s="1" t="s">
        <v>1942</v>
      </c>
      <c r="B161" s="1" t="s">
        <v>191</v>
      </c>
      <c r="C161" s="1" t="s">
        <v>1945</v>
      </c>
      <c r="D161" s="1" t="s">
        <v>273</v>
      </c>
      <c r="E161" s="1" t="s">
        <v>330</v>
      </c>
      <c r="F161" s="1" t="s">
        <v>356</v>
      </c>
      <c r="G161" s="1" t="s">
        <v>864</v>
      </c>
      <c r="H161" s="3">
        <v>45839.0</v>
      </c>
      <c r="I161" s="3">
        <v>45985.0</v>
      </c>
      <c r="J161" s="3">
        <v>45985.0</v>
      </c>
      <c r="K161" s="1" t="s">
        <v>215</v>
      </c>
      <c r="L161" s="1" t="s">
        <v>251</v>
      </c>
      <c r="M161" s="1" t="s">
        <v>216</v>
      </c>
      <c r="N161" s="1" t="s">
        <v>131</v>
      </c>
      <c r="O161" s="3">
        <v>46009.0</v>
      </c>
      <c r="R161" s="1" t="s">
        <v>137</v>
      </c>
      <c r="S161" s="1" t="s">
        <v>137</v>
      </c>
      <c r="T161" s="1" t="s">
        <v>47</v>
      </c>
      <c r="U161" s="1" t="s">
        <v>1951</v>
      </c>
    </row>
    <row r="162">
      <c r="A162" s="1" t="s">
        <v>1953</v>
      </c>
      <c r="B162" s="1" t="s">
        <v>191</v>
      </c>
      <c r="C162" s="1" t="s">
        <v>1956</v>
      </c>
      <c r="D162" s="1" t="s">
        <v>313</v>
      </c>
      <c r="E162" s="1" t="s">
        <v>175</v>
      </c>
      <c r="F162" s="1" t="s">
        <v>569</v>
      </c>
      <c r="G162" s="1" t="s">
        <v>570</v>
      </c>
      <c r="H162" s="3">
        <v>45999.0</v>
      </c>
      <c r="I162" s="3">
        <v>46153.0</v>
      </c>
      <c r="J162" s="3">
        <v>46153.0</v>
      </c>
      <c r="K162" s="1" t="s">
        <v>215</v>
      </c>
      <c r="L162" s="1" t="s">
        <v>251</v>
      </c>
      <c r="M162" s="1" t="s">
        <v>216</v>
      </c>
      <c r="N162" s="1" t="s">
        <v>131</v>
      </c>
      <c r="O162" s="3">
        <v>46181.0</v>
      </c>
      <c r="R162" s="1" t="s">
        <v>137</v>
      </c>
      <c r="S162" s="1" t="s">
        <v>137</v>
      </c>
      <c r="T162" s="1" t="s">
        <v>47</v>
      </c>
      <c r="U162" s="1" t="s">
        <v>1962</v>
      </c>
    </row>
    <row r="163">
      <c r="A163" s="1" t="s">
        <v>1963</v>
      </c>
      <c r="B163" s="1" t="s">
        <v>1965</v>
      </c>
      <c r="C163" s="1" t="s">
        <v>1966</v>
      </c>
      <c r="D163" s="1" t="s">
        <v>1469</v>
      </c>
      <c r="E163" s="1" t="s">
        <v>292</v>
      </c>
      <c r="F163" s="1" t="s">
        <v>962</v>
      </c>
      <c r="G163" s="1" t="s">
        <v>1969</v>
      </c>
      <c r="H163" s="3">
        <v>45889.0</v>
      </c>
      <c r="I163" s="3">
        <v>45987.0</v>
      </c>
      <c r="J163" s="3">
        <v>45987.0</v>
      </c>
      <c r="K163" s="1" t="s">
        <v>215</v>
      </c>
      <c r="L163" s="1" t="s">
        <v>98</v>
      </c>
      <c r="M163" s="1" t="s">
        <v>216</v>
      </c>
      <c r="N163" s="1" t="s">
        <v>131</v>
      </c>
      <c r="O163" s="3">
        <v>45987.0</v>
      </c>
      <c r="R163" s="1" t="s">
        <v>137</v>
      </c>
      <c r="S163" s="1" t="s">
        <v>137</v>
      </c>
      <c r="T163" s="1" t="s">
        <v>47</v>
      </c>
      <c r="U163" s="1" t="s">
        <v>1972</v>
      </c>
    </row>
    <row r="164">
      <c r="A164" s="1" t="s">
        <v>1973</v>
      </c>
      <c r="B164" s="1" t="s">
        <v>191</v>
      </c>
      <c r="C164" s="1" t="s">
        <v>1975</v>
      </c>
      <c r="D164" s="1" t="s">
        <v>657</v>
      </c>
      <c r="E164" s="1" t="s">
        <v>175</v>
      </c>
      <c r="F164" s="1" t="s">
        <v>177</v>
      </c>
      <c r="G164" s="1" t="s">
        <v>483</v>
      </c>
      <c r="H164" s="3">
        <v>45901.0</v>
      </c>
      <c r="I164" s="3">
        <v>45985.0</v>
      </c>
      <c r="K164" s="1" t="s">
        <v>215</v>
      </c>
      <c r="L164" s="1" t="s">
        <v>251</v>
      </c>
      <c r="M164" s="1" t="s">
        <v>216</v>
      </c>
      <c r="N164" s="1" t="s">
        <v>131</v>
      </c>
      <c r="O164" s="3">
        <v>45985.0</v>
      </c>
      <c r="R164" s="1" t="s">
        <v>137</v>
      </c>
      <c r="S164" s="1" t="s">
        <v>137</v>
      </c>
      <c r="T164" s="1" t="s">
        <v>47</v>
      </c>
      <c r="U164" s="1" t="s">
        <v>1979</v>
      </c>
    </row>
    <row r="165">
      <c r="A165" s="1" t="s">
        <v>1980</v>
      </c>
      <c r="B165" s="1" t="s">
        <v>146</v>
      </c>
      <c r="C165" s="1" t="s">
        <v>1982</v>
      </c>
      <c r="D165" s="1" t="s">
        <v>172</v>
      </c>
      <c r="E165" s="1" t="s">
        <v>889</v>
      </c>
      <c r="F165" s="1" t="s">
        <v>1983</v>
      </c>
      <c r="G165" s="1" t="s">
        <v>1984</v>
      </c>
      <c r="H165" s="3">
        <v>46293.0</v>
      </c>
      <c r="K165" s="1" t="s">
        <v>124</v>
      </c>
      <c r="L165" s="1" t="s">
        <v>160</v>
      </c>
      <c r="M165" s="1" t="s">
        <v>162</v>
      </c>
      <c r="N165" s="1" t="s">
        <v>131</v>
      </c>
      <c r="P165" s="1" t="s">
        <v>485</v>
      </c>
      <c r="R165" s="1" t="s">
        <v>137</v>
      </c>
      <c r="S165" s="1" t="s">
        <v>137</v>
      </c>
      <c r="T165" s="1" t="s">
        <v>47</v>
      </c>
    </row>
    <row r="166">
      <c r="A166" s="1" t="s">
        <v>1989</v>
      </c>
      <c r="B166" s="1" t="s">
        <v>309</v>
      </c>
      <c r="C166" s="1" t="s">
        <v>1990</v>
      </c>
      <c r="D166" s="1" t="s">
        <v>172</v>
      </c>
      <c r="E166" s="1" t="s">
        <v>175</v>
      </c>
      <c r="F166" s="1" t="s">
        <v>177</v>
      </c>
      <c r="G166" s="1" t="s">
        <v>1992</v>
      </c>
      <c r="H166" s="3">
        <v>46041.0</v>
      </c>
      <c r="I166" s="3">
        <v>46125.0</v>
      </c>
      <c r="J166" s="3">
        <v>46125.0</v>
      </c>
      <c r="K166" s="1" t="s">
        <v>215</v>
      </c>
      <c r="L166" s="1" t="s">
        <v>251</v>
      </c>
      <c r="M166" s="1" t="s">
        <v>216</v>
      </c>
      <c r="N166" s="1" t="s">
        <v>131</v>
      </c>
      <c r="O166" s="3">
        <v>46153.0</v>
      </c>
      <c r="R166" s="1" t="s">
        <v>137</v>
      </c>
      <c r="S166" s="1" t="s">
        <v>137</v>
      </c>
      <c r="T166" s="1" t="s">
        <v>47</v>
      </c>
      <c r="U166" s="1" t="s">
        <v>1996</v>
      </c>
    </row>
    <row r="167">
      <c r="A167" s="1" t="s">
        <v>1997</v>
      </c>
      <c r="B167" s="1" t="s">
        <v>116</v>
      </c>
      <c r="C167" s="1" t="s">
        <v>1999</v>
      </c>
      <c r="D167" s="1" t="s">
        <v>960</v>
      </c>
      <c r="E167" s="1" t="s">
        <v>175</v>
      </c>
      <c r="F167" s="1" t="s">
        <v>177</v>
      </c>
      <c r="G167" s="1" t="s">
        <v>1778</v>
      </c>
      <c r="H167" s="3">
        <v>46247.0</v>
      </c>
      <c r="K167" s="1" t="s">
        <v>124</v>
      </c>
      <c r="L167" s="1" t="s">
        <v>71</v>
      </c>
      <c r="M167" s="1" t="s">
        <v>162</v>
      </c>
      <c r="N167" s="1" t="s">
        <v>131</v>
      </c>
      <c r="R167" s="1" t="s">
        <v>665</v>
      </c>
      <c r="S167" s="1" t="s">
        <v>665</v>
      </c>
      <c r="T167" s="1" t="s">
        <v>666</v>
      </c>
      <c r="U167" s="1" t="s">
        <v>2004</v>
      </c>
    </row>
    <row r="168">
      <c r="A168" s="1" t="s">
        <v>2005</v>
      </c>
      <c r="B168" s="1" t="s">
        <v>240</v>
      </c>
      <c r="C168" s="1" t="s">
        <v>2007</v>
      </c>
      <c r="D168" s="1" t="s">
        <v>678</v>
      </c>
      <c r="E168" s="1" t="s">
        <v>454</v>
      </c>
      <c r="F168" s="1" t="s">
        <v>637</v>
      </c>
      <c r="G168" s="1" t="s">
        <v>703</v>
      </c>
      <c r="H168" s="3">
        <v>46205.0</v>
      </c>
      <c r="I168" s="3">
        <v>46539.0</v>
      </c>
      <c r="K168" s="1" t="s">
        <v>124</v>
      </c>
      <c r="L168" s="1" t="s">
        <v>251</v>
      </c>
      <c r="M168" s="1" t="s">
        <v>162</v>
      </c>
      <c r="N168" s="1" t="s">
        <v>131</v>
      </c>
      <c r="P168" s="1" t="s">
        <v>2012</v>
      </c>
      <c r="R168" s="1" t="s">
        <v>137</v>
      </c>
      <c r="S168" s="1" t="s">
        <v>137</v>
      </c>
      <c r="T168" s="1" t="s">
        <v>47</v>
      </c>
      <c r="U168" s="1" t="s">
        <v>2014</v>
      </c>
    </row>
    <row r="169">
      <c r="A169" s="1" t="s">
        <v>2015</v>
      </c>
      <c r="B169" s="1" t="s">
        <v>2017</v>
      </c>
      <c r="C169" s="1" t="s">
        <v>2018</v>
      </c>
      <c r="D169" s="1" t="s">
        <v>118</v>
      </c>
      <c r="E169" s="1" t="s">
        <v>330</v>
      </c>
      <c r="F169" s="1" t="s">
        <v>331</v>
      </c>
      <c r="G169" s="1" t="s">
        <v>333</v>
      </c>
      <c r="H169" s="3">
        <v>45348.0</v>
      </c>
      <c r="I169" s="3">
        <v>45460.0</v>
      </c>
      <c r="J169" s="3">
        <v>45460.0</v>
      </c>
      <c r="K169" s="1" t="s">
        <v>215</v>
      </c>
      <c r="L169" s="1" t="s">
        <v>98</v>
      </c>
      <c r="M169" s="1" t="s">
        <v>216</v>
      </c>
      <c r="N169" s="1" t="s">
        <v>131</v>
      </c>
      <c r="O169" s="3">
        <v>45492.0</v>
      </c>
      <c r="R169" s="1" t="s">
        <v>2024</v>
      </c>
      <c r="S169" s="1" t="s">
        <v>2024</v>
      </c>
      <c r="T169" s="1" t="s">
        <v>540</v>
      </c>
      <c r="U169" s="1" t="s">
        <v>2027</v>
      </c>
    </row>
    <row r="170">
      <c r="A170" s="1" t="s">
        <v>2028</v>
      </c>
      <c r="B170" s="1" t="s">
        <v>191</v>
      </c>
      <c r="C170" s="1" t="s">
        <v>2030</v>
      </c>
      <c r="D170" s="1" t="s">
        <v>313</v>
      </c>
      <c r="E170" s="1" t="s">
        <v>175</v>
      </c>
      <c r="F170" s="1" t="s">
        <v>569</v>
      </c>
      <c r="G170" s="1" t="s">
        <v>1726</v>
      </c>
      <c r="H170" s="3">
        <v>45550.0</v>
      </c>
      <c r="I170" s="3">
        <v>45650.0</v>
      </c>
      <c r="J170" s="3">
        <v>45650.0</v>
      </c>
      <c r="K170" s="1" t="s">
        <v>215</v>
      </c>
      <c r="L170" s="1" t="s">
        <v>251</v>
      </c>
      <c r="M170" s="1" t="s">
        <v>216</v>
      </c>
      <c r="N170" s="1" t="s">
        <v>131</v>
      </c>
      <c r="O170" s="3">
        <v>45638.0</v>
      </c>
      <c r="R170" s="1" t="s">
        <v>137</v>
      </c>
      <c r="S170" s="1" t="s">
        <v>137</v>
      </c>
      <c r="T170" s="1" t="s">
        <v>47</v>
      </c>
      <c r="U170" s="1" t="s">
        <v>2034</v>
      </c>
    </row>
    <row r="171">
      <c r="A171" s="1" t="s">
        <v>2035</v>
      </c>
      <c r="B171" s="1" t="s">
        <v>146</v>
      </c>
      <c r="C171" s="1" t="s">
        <v>2037</v>
      </c>
      <c r="D171" s="1" t="s">
        <v>313</v>
      </c>
      <c r="E171" s="1" t="s">
        <v>209</v>
      </c>
      <c r="F171" s="1" t="s">
        <v>398</v>
      </c>
      <c r="G171" s="1" t="s">
        <v>2039</v>
      </c>
      <c r="H171" s="3">
        <v>46174.0</v>
      </c>
      <c r="I171" s="3">
        <v>46335.0</v>
      </c>
      <c r="K171" s="1" t="s">
        <v>124</v>
      </c>
      <c r="L171" s="1" t="s">
        <v>160</v>
      </c>
      <c r="M171" s="1" t="s">
        <v>300</v>
      </c>
      <c r="N171" s="1" t="s">
        <v>131</v>
      </c>
      <c r="R171" s="1" t="s">
        <v>137</v>
      </c>
      <c r="S171" s="1" t="s">
        <v>2042</v>
      </c>
      <c r="T171" s="1" t="s">
        <v>2043</v>
      </c>
      <c r="U171" s="1" t="s">
        <v>2044</v>
      </c>
    </row>
    <row r="172">
      <c r="A172" s="1" t="s">
        <v>2045</v>
      </c>
      <c r="B172" s="1" t="s">
        <v>191</v>
      </c>
      <c r="C172" s="1" t="s">
        <v>2046</v>
      </c>
      <c r="D172" s="1" t="s">
        <v>313</v>
      </c>
      <c r="E172" s="1" t="s">
        <v>292</v>
      </c>
      <c r="F172" s="1" t="s">
        <v>962</v>
      </c>
      <c r="G172" s="1" t="s">
        <v>2048</v>
      </c>
      <c r="H172" s="3">
        <v>45859.0</v>
      </c>
      <c r="I172" s="3">
        <v>46048.0</v>
      </c>
      <c r="J172" s="3">
        <v>46048.0</v>
      </c>
      <c r="K172" s="1" t="s">
        <v>215</v>
      </c>
      <c r="L172" s="1" t="s">
        <v>251</v>
      </c>
      <c r="M172" s="1" t="s">
        <v>253</v>
      </c>
      <c r="N172" s="1" t="s">
        <v>131</v>
      </c>
      <c r="O172" s="3">
        <v>46048.0</v>
      </c>
      <c r="R172" s="1" t="s">
        <v>137</v>
      </c>
      <c r="S172" s="1" t="s">
        <v>137</v>
      </c>
      <c r="T172" s="1" t="s">
        <v>47</v>
      </c>
      <c r="U172" s="1" t="s">
        <v>2050</v>
      </c>
    </row>
    <row r="173">
      <c r="A173" s="1" t="s">
        <v>2052</v>
      </c>
      <c r="B173" s="1" t="s">
        <v>191</v>
      </c>
      <c r="C173" s="1" t="s">
        <v>2054</v>
      </c>
      <c r="D173" s="1" t="s">
        <v>831</v>
      </c>
      <c r="E173" s="1" t="s">
        <v>292</v>
      </c>
      <c r="F173" s="1" t="s">
        <v>576</v>
      </c>
      <c r="G173" s="1" t="s">
        <v>998</v>
      </c>
      <c r="H173" s="3">
        <v>46237.0</v>
      </c>
      <c r="I173" s="3">
        <v>46349.0</v>
      </c>
      <c r="K173" s="1" t="s">
        <v>124</v>
      </c>
      <c r="L173" s="1" t="s">
        <v>251</v>
      </c>
      <c r="M173" s="1" t="s">
        <v>162</v>
      </c>
      <c r="N173" s="1" t="s">
        <v>131</v>
      </c>
      <c r="P173" s="1" t="s">
        <v>512</v>
      </c>
      <c r="R173" s="1" t="s">
        <v>137</v>
      </c>
      <c r="S173" s="1" t="s">
        <v>137</v>
      </c>
      <c r="T173" s="1" t="s">
        <v>47</v>
      </c>
      <c r="U173" s="1" t="s">
        <v>2057</v>
      </c>
    </row>
    <row r="174">
      <c r="A174" s="1" t="s">
        <v>1387</v>
      </c>
      <c r="B174" s="1" t="s">
        <v>191</v>
      </c>
      <c r="C174" s="1" t="s">
        <v>2059</v>
      </c>
      <c r="D174" s="1" t="s">
        <v>194</v>
      </c>
      <c r="E174" s="1" t="s">
        <v>438</v>
      </c>
      <c r="F174" s="1" t="s">
        <v>440</v>
      </c>
      <c r="G174" s="1" t="s">
        <v>441</v>
      </c>
      <c r="H174" s="3">
        <v>46034.0</v>
      </c>
      <c r="I174" s="3">
        <v>46265.0</v>
      </c>
      <c r="K174" s="1" t="s">
        <v>124</v>
      </c>
      <c r="L174" s="1" t="s">
        <v>251</v>
      </c>
      <c r="M174" s="1" t="s">
        <v>253</v>
      </c>
      <c r="N174" s="1" t="s">
        <v>365</v>
      </c>
      <c r="P174" s="1" t="s">
        <v>852</v>
      </c>
      <c r="R174" s="1" t="s">
        <v>137</v>
      </c>
      <c r="S174" s="1" t="s">
        <v>137</v>
      </c>
      <c r="T174" s="1" t="s">
        <v>47</v>
      </c>
      <c r="U174" s="1" t="s">
        <v>2065</v>
      </c>
    </row>
    <row r="175">
      <c r="A175" s="1" t="s">
        <v>2066</v>
      </c>
      <c r="B175" s="1" t="s">
        <v>116</v>
      </c>
      <c r="C175" s="1" t="s">
        <v>2059</v>
      </c>
      <c r="D175" s="1" t="s">
        <v>194</v>
      </c>
      <c r="E175" s="1" t="s">
        <v>438</v>
      </c>
      <c r="F175" s="1" t="s">
        <v>440</v>
      </c>
      <c r="G175" s="1" t="s">
        <v>441</v>
      </c>
      <c r="H175" s="3">
        <v>46175.0</v>
      </c>
      <c r="K175" s="1" t="s">
        <v>124</v>
      </c>
      <c r="L175" s="1" t="s">
        <v>160</v>
      </c>
      <c r="M175" s="1" t="s">
        <v>162</v>
      </c>
      <c r="N175" s="1" t="s">
        <v>131</v>
      </c>
      <c r="P175" s="1" t="s">
        <v>2068</v>
      </c>
      <c r="R175" s="1" t="s">
        <v>137</v>
      </c>
      <c r="S175" s="1" t="s">
        <v>137</v>
      </c>
      <c r="T175" s="1" t="s">
        <v>47</v>
      </c>
      <c r="U175" s="1" t="s">
        <v>2069</v>
      </c>
    </row>
    <row r="176">
      <c r="A176" s="1" t="s">
        <v>2070</v>
      </c>
      <c r="B176" s="1" t="s">
        <v>372</v>
      </c>
      <c r="C176" s="1" t="s">
        <v>2071</v>
      </c>
      <c r="D176" s="1" t="s">
        <v>1832</v>
      </c>
      <c r="E176" s="1" t="s">
        <v>454</v>
      </c>
      <c r="F176" s="1" t="s">
        <v>612</v>
      </c>
      <c r="G176" s="1" t="s">
        <v>613</v>
      </c>
      <c r="H176" s="3">
        <v>46192.0</v>
      </c>
      <c r="K176" s="1" t="s">
        <v>124</v>
      </c>
      <c r="L176" s="1" t="s">
        <v>98</v>
      </c>
      <c r="M176" s="1" t="s">
        <v>129</v>
      </c>
      <c r="N176" s="1" t="s">
        <v>131</v>
      </c>
      <c r="P176" s="1" t="s">
        <v>432</v>
      </c>
      <c r="R176" s="1" t="s">
        <v>137</v>
      </c>
      <c r="S176" s="1" t="s">
        <v>137</v>
      </c>
      <c r="T176" s="1" t="s">
        <v>47</v>
      </c>
      <c r="U176" s="1" t="s">
        <v>2074</v>
      </c>
    </row>
    <row r="177">
      <c r="A177" s="1" t="s">
        <v>2075</v>
      </c>
      <c r="B177" s="1" t="s">
        <v>146</v>
      </c>
      <c r="C177" s="1" t="s">
        <v>2076</v>
      </c>
      <c r="D177" s="1" t="s">
        <v>172</v>
      </c>
      <c r="E177" s="1" t="s">
        <v>175</v>
      </c>
      <c r="F177" s="1" t="s">
        <v>177</v>
      </c>
      <c r="G177" s="1" t="s">
        <v>1992</v>
      </c>
      <c r="H177" s="3">
        <v>46223.0</v>
      </c>
      <c r="K177" s="1" t="s">
        <v>124</v>
      </c>
      <c r="L177" s="1" t="s">
        <v>160</v>
      </c>
      <c r="M177" s="1" t="s">
        <v>162</v>
      </c>
      <c r="N177" s="1" t="s">
        <v>131</v>
      </c>
      <c r="P177" s="1" t="s">
        <v>2077</v>
      </c>
      <c r="R177" s="1" t="s">
        <v>137</v>
      </c>
      <c r="S177" s="1" t="s">
        <v>137</v>
      </c>
      <c r="T177" s="1" t="s">
        <v>47</v>
      </c>
      <c r="U177" s="1" t="s">
        <v>2080</v>
      </c>
    </row>
    <row r="178">
      <c r="A178" s="1" t="s">
        <v>2081</v>
      </c>
      <c r="B178" s="1" t="s">
        <v>116</v>
      </c>
      <c r="C178" s="1" t="s">
        <v>2082</v>
      </c>
      <c r="D178" s="1" t="s">
        <v>1477</v>
      </c>
      <c r="E178" s="1" t="s">
        <v>175</v>
      </c>
      <c r="F178" s="1" t="s">
        <v>177</v>
      </c>
      <c r="G178" s="1" t="s">
        <v>503</v>
      </c>
      <c r="H178" s="3">
        <v>46167.0</v>
      </c>
      <c r="I178" s="3">
        <v>46318.0</v>
      </c>
      <c r="K178" s="1" t="s">
        <v>124</v>
      </c>
      <c r="L178" s="1" t="s">
        <v>71</v>
      </c>
      <c r="M178" s="1" t="s">
        <v>162</v>
      </c>
      <c r="N178" s="1" t="s">
        <v>131</v>
      </c>
      <c r="P178" s="1" t="s">
        <v>803</v>
      </c>
      <c r="R178" s="1" t="s">
        <v>137</v>
      </c>
      <c r="S178" s="1" t="s">
        <v>137</v>
      </c>
      <c r="T178" s="1" t="s">
        <v>47</v>
      </c>
      <c r="U178" s="1" t="s">
        <v>2085</v>
      </c>
    </row>
    <row r="179">
      <c r="A179" s="1" t="s">
        <v>2086</v>
      </c>
      <c r="B179" s="1" t="s">
        <v>2087</v>
      </c>
      <c r="C179" s="1" t="s">
        <v>2088</v>
      </c>
      <c r="D179" s="1" t="s">
        <v>754</v>
      </c>
      <c r="E179" s="1" t="s">
        <v>292</v>
      </c>
      <c r="F179" s="1" t="s">
        <v>293</v>
      </c>
      <c r="G179" s="1" t="s">
        <v>2091</v>
      </c>
      <c r="H179" s="3">
        <v>45688.0</v>
      </c>
      <c r="I179" s="3">
        <v>45869.0</v>
      </c>
      <c r="J179" s="3">
        <v>45869.0</v>
      </c>
      <c r="K179" s="1" t="s">
        <v>215</v>
      </c>
      <c r="L179" s="1" t="s">
        <v>98</v>
      </c>
      <c r="M179" s="1" t="s">
        <v>216</v>
      </c>
      <c r="N179" s="1" t="s">
        <v>131</v>
      </c>
      <c r="O179" s="3">
        <v>45869.0</v>
      </c>
      <c r="R179" s="1" t="s">
        <v>137</v>
      </c>
      <c r="S179" s="1" t="s">
        <v>137</v>
      </c>
      <c r="T179" s="1" t="s">
        <v>47</v>
      </c>
      <c r="U179" s="1" t="s">
        <v>2093</v>
      </c>
    </row>
    <row r="180">
      <c r="A180" s="1" t="s">
        <v>2094</v>
      </c>
      <c r="B180" s="1" t="s">
        <v>116</v>
      </c>
      <c r="C180" s="1" t="s">
        <v>2097</v>
      </c>
      <c r="D180" s="1" t="s">
        <v>313</v>
      </c>
      <c r="E180" s="1" t="s">
        <v>175</v>
      </c>
      <c r="F180" s="1" t="s">
        <v>569</v>
      </c>
      <c r="G180" s="1" t="s">
        <v>798</v>
      </c>
      <c r="H180" s="3">
        <v>46111.0</v>
      </c>
      <c r="I180" s="3">
        <v>46247.0</v>
      </c>
      <c r="K180" s="1" t="s">
        <v>124</v>
      </c>
      <c r="L180" s="1" t="s">
        <v>71</v>
      </c>
      <c r="M180" s="1" t="s">
        <v>253</v>
      </c>
      <c r="N180" s="1" t="s">
        <v>131</v>
      </c>
      <c r="P180" s="1" t="s">
        <v>2099</v>
      </c>
      <c r="R180" s="1" t="s">
        <v>137</v>
      </c>
      <c r="S180" s="1" t="s">
        <v>137</v>
      </c>
      <c r="T180" s="1" t="s">
        <v>47</v>
      </c>
      <c r="U180" s="1" t="s">
        <v>2102</v>
      </c>
    </row>
    <row r="181">
      <c r="A181" s="1" t="s">
        <v>2103</v>
      </c>
      <c r="B181" s="1" t="s">
        <v>191</v>
      </c>
      <c r="C181" s="1" t="s">
        <v>2104</v>
      </c>
      <c r="D181" s="1" t="s">
        <v>960</v>
      </c>
      <c r="E181" s="1" t="s">
        <v>175</v>
      </c>
      <c r="F181" s="1" t="s">
        <v>177</v>
      </c>
      <c r="G181" s="1" t="s">
        <v>503</v>
      </c>
      <c r="H181" s="3">
        <v>46104.0</v>
      </c>
      <c r="I181" s="3">
        <v>46174.0</v>
      </c>
      <c r="J181" s="3">
        <v>46174.0</v>
      </c>
      <c r="K181" s="1" t="s">
        <v>215</v>
      </c>
      <c r="L181" s="1" t="s">
        <v>98</v>
      </c>
      <c r="M181" s="1" t="s">
        <v>216</v>
      </c>
      <c r="N181" s="1" t="s">
        <v>131</v>
      </c>
      <c r="O181" s="3">
        <v>46174.0</v>
      </c>
      <c r="R181" s="1" t="s">
        <v>137</v>
      </c>
      <c r="S181" s="1" t="s">
        <v>137</v>
      </c>
      <c r="T181" s="1" t="s">
        <v>47</v>
      </c>
      <c r="U181" s="1" t="s">
        <v>2108</v>
      </c>
    </row>
    <row r="182">
      <c r="A182" s="1" t="s">
        <v>2109</v>
      </c>
      <c r="B182" s="1" t="s">
        <v>191</v>
      </c>
      <c r="C182" s="1" t="s">
        <v>2110</v>
      </c>
      <c r="D182" s="1" t="s">
        <v>172</v>
      </c>
      <c r="E182" s="1" t="s">
        <v>175</v>
      </c>
      <c r="F182" s="1" t="s">
        <v>177</v>
      </c>
      <c r="G182" s="1" t="s">
        <v>1992</v>
      </c>
      <c r="H182" s="3">
        <v>46146.0</v>
      </c>
      <c r="I182" s="3">
        <v>46286.0</v>
      </c>
      <c r="K182" s="1" t="s">
        <v>124</v>
      </c>
      <c r="L182" s="1" t="s">
        <v>98</v>
      </c>
      <c r="M182" s="1" t="s">
        <v>335</v>
      </c>
      <c r="N182" s="1" t="s">
        <v>131</v>
      </c>
      <c r="P182" s="1" t="s">
        <v>1927</v>
      </c>
      <c r="R182" s="1" t="s">
        <v>137</v>
      </c>
      <c r="S182" s="1" t="s">
        <v>137</v>
      </c>
      <c r="T182" s="1" t="s">
        <v>47</v>
      </c>
      <c r="U182" s="1" t="s">
        <v>2113</v>
      </c>
    </row>
    <row r="183">
      <c r="A183" s="1" t="s">
        <v>2114</v>
      </c>
      <c r="B183" s="1" t="s">
        <v>2115</v>
      </c>
      <c r="C183" s="1" t="s">
        <v>2117</v>
      </c>
      <c r="D183" s="1" t="s">
        <v>1272</v>
      </c>
      <c r="E183" s="1" t="s">
        <v>520</v>
      </c>
      <c r="F183" s="1" t="s">
        <v>1671</v>
      </c>
      <c r="G183" s="1" t="s">
        <v>1673</v>
      </c>
      <c r="H183" s="3">
        <v>46212.0</v>
      </c>
      <c r="K183" s="1" t="s">
        <v>124</v>
      </c>
      <c r="L183" s="1" t="s">
        <v>251</v>
      </c>
      <c r="M183" s="1" t="s">
        <v>300</v>
      </c>
      <c r="N183" s="1" t="s">
        <v>131</v>
      </c>
      <c r="R183" s="1" t="s">
        <v>2120</v>
      </c>
      <c r="S183" s="1" t="s">
        <v>2120</v>
      </c>
      <c r="T183" s="1" t="s">
        <v>298</v>
      </c>
      <c r="U183" s="1" t="s">
        <v>2121</v>
      </c>
    </row>
    <row r="184">
      <c r="A184" s="1" t="s">
        <v>2123</v>
      </c>
      <c r="B184" s="1" t="s">
        <v>191</v>
      </c>
      <c r="C184" s="1" t="s">
        <v>2125</v>
      </c>
      <c r="D184" s="1" t="s">
        <v>273</v>
      </c>
      <c r="E184" s="1" t="s">
        <v>330</v>
      </c>
      <c r="F184" s="1" t="s">
        <v>356</v>
      </c>
      <c r="G184" s="1" t="s">
        <v>864</v>
      </c>
      <c r="H184" s="3">
        <v>45754.0</v>
      </c>
      <c r="I184" s="3">
        <v>45880.0</v>
      </c>
      <c r="J184" s="3">
        <v>45880.0</v>
      </c>
      <c r="K184" s="1" t="s">
        <v>215</v>
      </c>
      <c r="L184" s="1" t="s">
        <v>251</v>
      </c>
      <c r="M184" s="1" t="s">
        <v>216</v>
      </c>
      <c r="N184" s="1" t="s">
        <v>131</v>
      </c>
      <c r="O184" s="3">
        <v>45880.0</v>
      </c>
      <c r="R184" s="1" t="s">
        <v>137</v>
      </c>
      <c r="S184" s="1" t="s">
        <v>137</v>
      </c>
      <c r="T184" s="1" t="s">
        <v>47</v>
      </c>
      <c r="U184" s="1" t="s">
        <v>2129</v>
      </c>
    </row>
    <row r="185">
      <c r="A185" s="1" t="s">
        <v>2130</v>
      </c>
      <c r="B185" s="1" t="s">
        <v>240</v>
      </c>
      <c r="C185" s="1" t="s">
        <v>2131</v>
      </c>
      <c r="D185" s="1" t="s">
        <v>1832</v>
      </c>
      <c r="E185" s="1" t="s">
        <v>454</v>
      </c>
      <c r="F185" s="1" t="s">
        <v>637</v>
      </c>
      <c r="G185" s="1" t="s">
        <v>703</v>
      </c>
      <c r="H185" s="3">
        <v>46094.0</v>
      </c>
      <c r="I185" s="3">
        <v>46118.0</v>
      </c>
      <c r="K185" s="1" t="s">
        <v>215</v>
      </c>
      <c r="L185" s="1" t="s">
        <v>251</v>
      </c>
      <c r="M185" s="1" t="s">
        <v>216</v>
      </c>
      <c r="N185" s="1" t="s">
        <v>131</v>
      </c>
      <c r="O185" s="3">
        <v>46118.0</v>
      </c>
      <c r="R185" s="1" t="s">
        <v>1808</v>
      </c>
      <c r="S185" s="1" t="s">
        <v>1808</v>
      </c>
      <c r="T185" s="1" t="s">
        <v>1811</v>
      </c>
      <c r="U185" s="1" t="s">
        <v>2137</v>
      </c>
    </row>
    <row r="186">
      <c r="A186" s="1" t="s">
        <v>2138</v>
      </c>
      <c r="B186" s="1" t="s">
        <v>146</v>
      </c>
      <c r="C186" s="1" t="s">
        <v>2140</v>
      </c>
      <c r="D186" s="1" t="s">
        <v>1360</v>
      </c>
      <c r="E186" s="1" t="s">
        <v>175</v>
      </c>
      <c r="F186" s="1" t="s">
        <v>177</v>
      </c>
      <c r="G186" s="1" t="s">
        <v>1778</v>
      </c>
      <c r="H186" s="3">
        <v>46129.0</v>
      </c>
      <c r="K186" s="1" t="s">
        <v>124</v>
      </c>
      <c r="L186" s="1" t="s">
        <v>160</v>
      </c>
      <c r="M186" s="1" t="s">
        <v>162</v>
      </c>
      <c r="N186" s="1" t="s">
        <v>131</v>
      </c>
      <c r="P186" s="1" t="s">
        <v>2143</v>
      </c>
      <c r="R186" s="1" t="s">
        <v>137</v>
      </c>
      <c r="S186" s="1" t="s">
        <v>137</v>
      </c>
      <c r="T186" s="1" t="s">
        <v>47</v>
      </c>
      <c r="U186" s="1" t="s">
        <v>2144</v>
      </c>
    </row>
    <row r="187">
      <c r="A187" s="1" t="s">
        <v>2146</v>
      </c>
      <c r="B187" s="1" t="s">
        <v>116</v>
      </c>
      <c r="C187" s="1" t="s">
        <v>2140</v>
      </c>
      <c r="D187" s="1" t="s">
        <v>1360</v>
      </c>
      <c r="E187" s="1" t="s">
        <v>175</v>
      </c>
      <c r="F187" s="1" t="s">
        <v>177</v>
      </c>
      <c r="G187" s="1" t="s">
        <v>1778</v>
      </c>
      <c r="H187" s="3">
        <v>46129.0</v>
      </c>
      <c r="K187" s="1" t="s">
        <v>124</v>
      </c>
      <c r="L187" s="1" t="s">
        <v>71</v>
      </c>
      <c r="M187" s="1" t="s">
        <v>162</v>
      </c>
      <c r="N187" s="1" t="s">
        <v>131</v>
      </c>
      <c r="P187" s="1" t="s">
        <v>2143</v>
      </c>
      <c r="R187" s="1" t="s">
        <v>137</v>
      </c>
      <c r="S187" s="1" t="s">
        <v>137</v>
      </c>
      <c r="T187" s="1" t="s">
        <v>47</v>
      </c>
    </row>
    <row r="188">
      <c r="A188" s="1" t="s">
        <v>2149</v>
      </c>
      <c r="B188" s="1" t="s">
        <v>116</v>
      </c>
      <c r="C188" s="1" t="s">
        <v>2140</v>
      </c>
      <c r="D188" s="1" t="s">
        <v>1360</v>
      </c>
      <c r="E188" s="1" t="s">
        <v>175</v>
      </c>
      <c r="F188" s="1" t="s">
        <v>177</v>
      </c>
      <c r="G188" s="1" t="s">
        <v>1778</v>
      </c>
      <c r="H188" s="3">
        <v>46225.0</v>
      </c>
      <c r="I188" s="3">
        <v>46374.0</v>
      </c>
      <c r="K188" s="1" t="s">
        <v>124</v>
      </c>
      <c r="L188" s="1" t="s">
        <v>160</v>
      </c>
      <c r="M188" s="1" t="s">
        <v>162</v>
      </c>
      <c r="N188" s="1" t="s">
        <v>131</v>
      </c>
      <c r="R188" s="1" t="s">
        <v>665</v>
      </c>
      <c r="S188" s="1" t="s">
        <v>665</v>
      </c>
      <c r="T188" s="1" t="s">
        <v>666</v>
      </c>
      <c r="U188" s="1" t="s">
        <v>2154</v>
      </c>
    </row>
    <row r="189">
      <c r="A189" s="1" t="s">
        <v>2156</v>
      </c>
      <c r="B189" s="1" t="s">
        <v>2157</v>
      </c>
      <c r="C189" s="1" t="s">
        <v>2158</v>
      </c>
      <c r="D189" s="1" t="s">
        <v>313</v>
      </c>
      <c r="E189" s="1" t="s">
        <v>2159</v>
      </c>
      <c r="F189" s="1" t="s">
        <v>2159</v>
      </c>
      <c r="G189" s="1" t="s">
        <v>2159</v>
      </c>
      <c r="K189" s="1" t="s">
        <v>124</v>
      </c>
      <c r="L189" s="1" t="s">
        <v>98</v>
      </c>
      <c r="M189" s="1" t="s">
        <v>129</v>
      </c>
      <c r="N189" s="1" t="s">
        <v>131</v>
      </c>
    </row>
    <row r="190">
      <c r="A190" s="1" t="s">
        <v>2160</v>
      </c>
      <c r="B190" s="1" t="s">
        <v>116</v>
      </c>
      <c r="C190" s="1" t="s">
        <v>2161</v>
      </c>
      <c r="D190" s="1" t="s">
        <v>960</v>
      </c>
      <c r="E190" s="1" t="s">
        <v>209</v>
      </c>
      <c r="F190" s="1" t="s">
        <v>210</v>
      </c>
      <c r="G190" s="1" t="s">
        <v>211</v>
      </c>
      <c r="H190" s="3">
        <v>46139.0</v>
      </c>
      <c r="I190" s="3">
        <v>46287.0</v>
      </c>
      <c r="K190" s="1" t="s">
        <v>124</v>
      </c>
      <c r="L190" s="1" t="s">
        <v>160</v>
      </c>
      <c r="M190" s="1" t="s">
        <v>460</v>
      </c>
      <c r="N190" s="1" t="s">
        <v>131</v>
      </c>
      <c r="P190" s="1" t="s">
        <v>2162</v>
      </c>
      <c r="R190" s="1" t="s">
        <v>137</v>
      </c>
      <c r="S190" s="1" t="s">
        <v>137</v>
      </c>
      <c r="T190" s="1" t="s">
        <v>47</v>
      </c>
      <c r="U190" s="1" t="s">
        <v>2163</v>
      </c>
    </row>
    <row r="191">
      <c r="A191" s="1" t="s">
        <v>2165</v>
      </c>
      <c r="B191" s="1" t="s">
        <v>191</v>
      </c>
      <c r="C191" s="1" t="s">
        <v>2166</v>
      </c>
      <c r="D191" s="1" t="s">
        <v>1067</v>
      </c>
      <c r="E191" s="1" t="s">
        <v>330</v>
      </c>
      <c r="F191" s="1" t="s">
        <v>663</v>
      </c>
      <c r="G191" s="1" t="s">
        <v>1068</v>
      </c>
      <c r="H191" s="3">
        <v>46174.0</v>
      </c>
      <c r="K191" s="1" t="s">
        <v>124</v>
      </c>
      <c r="L191" s="1" t="s">
        <v>160</v>
      </c>
      <c r="M191" s="1" t="s">
        <v>162</v>
      </c>
      <c r="N191" s="1" t="s">
        <v>131</v>
      </c>
      <c r="P191" s="1" t="s">
        <v>2170</v>
      </c>
      <c r="R191" s="1" t="s">
        <v>137</v>
      </c>
      <c r="S191" s="1" t="s">
        <v>137</v>
      </c>
      <c r="T191" s="1" t="s">
        <v>47</v>
      </c>
      <c r="U191" s="1" t="s">
        <v>2171</v>
      </c>
    </row>
    <row r="192">
      <c r="A192" s="1" t="s">
        <v>2173</v>
      </c>
      <c r="B192" s="1" t="s">
        <v>2174</v>
      </c>
      <c r="C192" s="1" t="s">
        <v>2166</v>
      </c>
      <c r="D192" s="1" t="s">
        <v>1067</v>
      </c>
      <c r="E192" s="1" t="s">
        <v>330</v>
      </c>
      <c r="F192" s="1" t="s">
        <v>663</v>
      </c>
      <c r="G192" s="1" t="s">
        <v>1068</v>
      </c>
      <c r="H192" s="3">
        <v>46199.0</v>
      </c>
      <c r="K192" s="1" t="s">
        <v>124</v>
      </c>
      <c r="L192" s="1" t="s">
        <v>71</v>
      </c>
      <c r="M192" s="1" t="s">
        <v>162</v>
      </c>
      <c r="N192" s="1" t="s">
        <v>131</v>
      </c>
      <c r="P192" s="1" t="s">
        <v>432</v>
      </c>
      <c r="R192" s="1" t="s">
        <v>137</v>
      </c>
      <c r="S192" s="1" t="s">
        <v>137</v>
      </c>
      <c r="T192" s="1" t="s">
        <v>47</v>
      </c>
      <c r="U192" s="1" t="s">
        <v>2178</v>
      </c>
    </row>
    <row r="193">
      <c r="A193" s="1" t="s">
        <v>2179</v>
      </c>
      <c r="B193" s="1" t="s">
        <v>191</v>
      </c>
      <c r="C193" s="1" t="s">
        <v>2180</v>
      </c>
      <c r="D193" s="1" t="s">
        <v>831</v>
      </c>
      <c r="E193" s="1" t="s">
        <v>292</v>
      </c>
      <c r="F193" s="1" t="s">
        <v>468</v>
      </c>
      <c r="G193" s="1" t="s">
        <v>998</v>
      </c>
      <c r="H193" s="3">
        <v>45882.0</v>
      </c>
      <c r="I193" s="3">
        <v>46001.0</v>
      </c>
      <c r="J193" s="3">
        <v>46001.0</v>
      </c>
      <c r="K193" s="1" t="s">
        <v>215</v>
      </c>
      <c r="L193" s="1" t="s">
        <v>251</v>
      </c>
      <c r="M193" s="1" t="s">
        <v>216</v>
      </c>
      <c r="N193" s="1" t="s">
        <v>131</v>
      </c>
      <c r="O193" s="3">
        <v>46001.0</v>
      </c>
      <c r="R193" s="1" t="s">
        <v>137</v>
      </c>
      <c r="S193" s="1" t="s">
        <v>137</v>
      </c>
      <c r="T193" s="1" t="s">
        <v>47</v>
      </c>
      <c r="U193" s="1" t="s">
        <v>2187</v>
      </c>
    </row>
    <row r="194">
      <c r="A194" s="1" t="s">
        <v>2188</v>
      </c>
      <c r="B194" s="1" t="s">
        <v>191</v>
      </c>
      <c r="C194" s="1" t="s">
        <v>2189</v>
      </c>
      <c r="D194" s="1" t="s">
        <v>509</v>
      </c>
      <c r="E194" s="1" t="s">
        <v>454</v>
      </c>
      <c r="F194" s="1" t="s">
        <v>455</v>
      </c>
      <c r="G194" s="1" t="s">
        <v>510</v>
      </c>
      <c r="H194" s="3">
        <v>46119.0</v>
      </c>
      <c r="I194" s="3">
        <v>46232.0</v>
      </c>
      <c r="J194" s="3">
        <v>46232.0</v>
      </c>
      <c r="K194" s="1" t="s">
        <v>215</v>
      </c>
      <c r="L194" s="1" t="s">
        <v>98</v>
      </c>
      <c r="M194" s="1" t="s">
        <v>216</v>
      </c>
      <c r="N194" s="1" t="s">
        <v>131</v>
      </c>
      <c r="O194" s="3">
        <v>46232.0</v>
      </c>
      <c r="P194" s="1" t="s">
        <v>512</v>
      </c>
      <c r="R194" s="1" t="s">
        <v>137</v>
      </c>
      <c r="S194" s="1" t="s">
        <v>137</v>
      </c>
      <c r="T194" s="1" t="s">
        <v>47</v>
      </c>
      <c r="U194" s="1" t="s">
        <v>2193</v>
      </c>
    </row>
    <row r="195">
      <c r="A195" s="1" t="s">
        <v>2194</v>
      </c>
      <c r="B195" s="1" t="s">
        <v>116</v>
      </c>
      <c r="C195" s="1" t="s">
        <v>2196</v>
      </c>
      <c r="D195" s="1" t="s">
        <v>2198</v>
      </c>
      <c r="E195" s="1" t="s">
        <v>175</v>
      </c>
      <c r="F195" s="1" t="s">
        <v>1767</v>
      </c>
      <c r="G195" s="1" t="s">
        <v>2199</v>
      </c>
      <c r="H195" s="3">
        <v>46182.0</v>
      </c>
      <c r="I195" s="3">
        <v>46363.0</v>
      </c>
      <c r="K195" s="1" t="s">
        <v>124</v>
      </c>
      <c r="L195" s="1" t="s">
        <v>71</v>
      </c>
      <c r="M195" s="1" t="s">
        <v>335</v>
      </c>
      <c r="N195" s="1" t="s">
        <v>131</v>
      </c>
      <c r="P195" s="1" t="s">
        <v>2201</v>
      </c>
      <c r="R195" s="1" t="s">
        <v>137</v>
      </c>
      <c r="S195" s="1" t="s">
        <v>137</v>
      </c>
      <c r="T195" s="1" t="s">
        <v>47</v>
      </c>
      <c r="U195" s="1" t="s">
        <v>2203</v>
      </c>
    </row>
    <row r="196">
      <c r="A196" s="1" t="s">
        <v>2176</v>
      </c>
      <c r="B196" s="1" t="s">
        <v>2204</v>
      </c>
      <c r="C196" s="1" t="s">
        <v>2205</v>
      </c>
      <c r="D196" s="1" t="s">
        <v>678</v>
      </c>
      <c r="E196" s="1" t="s">
        <v>153</v>
      </c>
      <c r="F196" s="1" t="s">
        <v>274</v>
      </c>
      <c r="G196" s="1" t="s">
        <v>276</v>
      </c>
      <c r="H196" s="3">
        <v>46115.0</v>
      </c>
      <c r="I196" s="3">
        <v>46231.0</v>
      </c>
      <c r="J196" s="3">
        <v>46231.0</v>
      </c>
      <c r="K196" s="1" t="s">
        <v>124</v>
      </c>
      <c r="L196" s="1" t="s">
        <v>251</v>
      </c>
      <c r="M196" s="1" t="s">
        <v>216</v>
      </c>
      <c r="N196" s="1" t="s">
        <v>131</v>
      </c>
      <c r="P196" s="1" t="s">
        <v>279</v>
      </c>
      <c r="R196" s="1" t="s">
        <v>137</v>
      </c>
      <c r="S196" s="1" t="s">
        <v>137</v>
      </c>
      <c r="T196" s="1" t="s">
        <v>47</v>
      </c>
      <c r="U196" s="1" t="s">
        <v>2211</v>
      </c>
    </row>
    <row r="197">
      <c r="A197" s="1" t="s">
        <v>2212</v>
      </c>
      <c r="B197" s="1" t="s">
        <v>116</v>
      </c>
      <c r="C197" s="1" t="s">
        <v>2214</v>
      </c>
      <c r="D197" s="1" t="s">
        <v>657</v>
      </c>
      <c r="E197" s="1" t="s">
        <v>292</v>
      </c>
      <c r="F197" s="1" t="s">
        <v>293</v>
      </c>
      <c r="G197" s="1" t="s">
        <v>2091</v>
      </c>
      <c r="H197" s="3">
        <v>46174.0</v>
      </c>
      <c r="I197" s="3">
        <v>46339.0</v>
      </c>
      <c r="K197" s="1" t="s">
        <v>124</v>
      </c>
      <c r="L197" s="1" t="s">
        <v>98</v>
      </c>
      <c r="M197" s="1" t="s">
        <v>162</v>
      </c>
      <c r="N197" s="1" t="s">
        <v>131</v>
      </c>
      <c r="P197" s="1" t="s">
        <v>2218</v>
      </c>
      <c r="R197" s="1" t="s">
        <v>137</v>
      </c>
      <c r="S197" s="1" t="s">
        <v>137</v>
      </c>
      <c r="T197" s="1" t="s">
        <v>47</v>
      </c>
      <c r="U197" s="1" t="s">
        <v>2220</v>
      </c>
    </row>
    <row r="198">
      <c r="A198" s="1" t="s">
        <v>2221</v>
      </c>
      <c r="B198" s="1" t="s">
        <v>191</v>
      </c>
      <c r="C198" s="1" t="s">
        <v>2222</v>
      </c>
      <c r="D198" s="1" t="s">
        <v>831</v>
      </c>
      <c r="E198" s="1" t="s">
        <v>292</v>
      </c>
      <c r="F198" s="1" t="s">
        <v>576</v>
      </c>
      <c r="G198" s="1" t="s">
        <v>835</v>
      </c>
      <c r="H198" s="3">
        <v>45796.0</v>
      </c>
      <c r="I198" s="3">
        <v>45926.0</v>
      </c>
      <c r="J198" s="3">
        <v>45926.0</v>
      </c>
      <c r="K198" s="1" t="s">
        <v>215</v>
      </c>
      <c r="L198" s="1" t="s">
        <v>251</v>
      </c>
      <c r="M198" s="1" t="s">
        <v>253</v>
      </c>
      <c r="N198" s="1" t="s">
        <v>131</v>
      </c>
      <c r="O198" s="3">
        <v>45998.0</v>
      </c>
      <c r="R198" s="1" t="s">
        <v>137</v>
      </c>
      <c r="S198" s="1" t="s">
        <v>137</v>
      </c>
      <c r="T198" s="1" t="s">
        <v>47</v>
      </c>
      <c r="U198" s="1" t="s">
        <v>2227</v>
      </c>
    </row>
    <row r="199">
      <c r="A199" s="1" t="s">
        <v>1405</v>
      </c>
      <c r="B199" s="1" t="s">
        <v>2229</v>
      </c>
      <c r="C199" s="1" t="s">
        <v>2230</v>
      </c>
      <c r="D199" s="1" t="s">
        <v>273</v>
      </c>
      <c r="E199" s="1" t="s">
        <v>330</v>
      </c>
      <c r="F199" s="1" t="s">
        <v>356</v>
      </c>
      <c r="G199" s="1" t="s">
        <v>429</v>
      </c>
      <c r="H199" s="3">
        <v>46076.0</v>
      </c>
      <c r="I199" s="3">
        <v>46377.0</v>
      </c>
      <c r="K199" s="1" t="s">
        <v>124</v>
      </c>
      <c r="L199" s="1" t="s">
        <v>98</v>
      </c>
      <c r="M199" s="1" t="s">
        <v>335</v>
      </c>
      <c r="N199" s="1" t="s">
        <v>131</v>
      </c>
      <c r="P199" s="1" t="s">
        <v>2233</v>
      </c>
      <c r="R199" s="1" t="s">
        <v>137</v>
      </c>
      <c r="S199" s="1" t="s">
        <v>137</v>
      </c>
      <c r="T199" s="1" t="s">
        <v>47</v>
      </c>
      <c r="U199" s="1" t="s">
        <v>2235</v>
      </c>
    </row>
    <row r="200">
      <c r="A200" s="1" t="s">
        <v>795</v>
      </c>
      <c r="B200" s="1" t="s">
        <v>326</v>
      </c>
      <c r="C200" s="1" t="s">
        <v>2237</v>
      </c>
      <c r="D200" s="1" t="s">
        <v>172</v>
      </c>
      <c r="E200" s="1" t="s">
        <v>153</v>
      </c>
      <c r="F200" s="1" t="s">
        <v>274</v>
      </c>
      <c r="G200" s="1" t="s">
        <v>276</v>
      </c>
      <c r="H200" s="3">
        <v>45917.0</v>
      </c>
      <c r="I200" s="3">
        <v>46080.0</v>
      </c>
      <c r="J200" s="3">
        <v>46080.0</v>
      </c>
      <c r="K200" s="1" t="s">
        <v>124</v>
      </c>
      <c r="L200" s="1" t="s">
        <v>71</v>
      </c>
      <c r="M200" s="1" t="s">
        <v>253</v>
      </c>
      <c r="N200" s="1" t="s">
        <v>131</v>
      </c>
      <c r="P200" s="1" t="s">
        <v>279</v>
      </c>
      <c r="R200" s="1" t="s">
        <v>137</v>
      </c>
      <c r="S200" s="1" t="s">
        <v>137</v>
      </c>
      <c r="T200" s="1" t="s">
        <v>47</v>
      </c>
      <c r="U200" s="1" t="s">
        <v>2243</v>
      </c>
    </row>
    <row r="201">
      <c r="A201" s="1" t="s">
        <v>1379</v>
      </c>
      <c r="B201" s="1" t="s">
        <v>191</v>
      </c>
      <c r="C201" s="1" t="s">
        <v>2245</v>
      </c>
      <c r="D201" s="1" t="s">
        <v>273</v>
      </c>
      <c r="E201" s="1" t="s">
        <v>330</v>
      </c>
      <c r="F201" s="1" t="s">
        <v>356</v>
      </c>
      <c r="G201" s="1" t="s">
        <v>429</v>
      </c>
      <c r="H201" s="3">
        <v>46048.0</v>
      </c>
      <c r="I201" s="3">
        <v>46244.0</v>
      </c>
      <c r="K201" s="1" t="s">
        <v>124</v>
      </c>
      <c r="L201" s="1" t="s">
        <v>251</v>
      </c>
      <c r="M201" s="1" t="s">
        <v>253</v>
      </c>
      <c r="N201" s="1" t="s">
        <v>131</v>
      </c>
      <c r="P201" s="1" t="s">
        <v>2170</v>
      </c>
      <c r="R201" s="1" t="s">
        <v>137</v>
      </c>
      <c r="S201" s="1" t="s">
        <v>137</v>
      </c>
      <c r="T201" s="1" t="s">
        <v>47</v>
      </c>
      <c r="U201" s="1" t="s">
        <v>2249</v>
      </c>
    </row>
    <row r="202">
      <c r="A202" s="1" t="s">
        <v>2250</v>
      </c>
      <c r="B202" s="1" t="s">
        <v>270</v>
      </c>
      <c r="C202" s="1" t="s">
        <v>2251</v>
      </c>
      <c r="D202" s="1" t="s">
        <v>313</v>
      </c>
      <c r="E202" s="1" t="s">
        <v>175</v>
      </c>
      <c r="F202" s="1" t="s">
        <v>1767</v>
      </c>
      <c r="G202" s="1" t="s">
        <v>1768</v>
      </c>
      <c r="H202" s="3">
        <v>45982.0</v>
      </c>
      <c r="I202" s="3">
        <v>46038.0</v>
      </c>
      <c r="J202" s="3">
        <v>46038.0</v>
      </c>
      <c r="K202" s="1" t="s">
        <v>215</v>
      </c>
      <c r="L202" s="1" t="s">
        <v>71</v>
      </c>
      <c r="M202" s="1" t="s">
        <v>216</v>
      </c>
      <c r="N202" s="1" t="s">
        <v>131</v>
      </c>
      <c r="P202" s="1" t="s">
        <v>552</v>
      </c>
      <c r="R202" s="1" t="s">
        <v>665</v>
      </c>
      <c r="S202" s="1" t="s">
        <v>665</v>
      </c>
      <c r="T202" s="1" t="s">
        <v>666</v>
      </c>
      <c r="U202" s="1" t="s">
        <v>2257</v>
      </c>
    </row>
    <row r="203">
      <c r="A203" s="1" t="s">
        <v>2258</v>
      </c>
      <c r="B203" s="1" t="s">
        <v>632</v>
      </c>
      <c r="C203" s="1" t="s">
        <v>2260</v>
      </c>
      <c r="D203" s="1" t="s">
        <v>313</v>
      </c>
      <c r="E203" s="1" t="s">
        <v>175</v>
      </c>
      <c r="F203" s="1" t="s">
        <v>569</v>
      </c>
      <c r="G203" s="1" t="s">
        <v>570</v>
      </c>
      <c r="H203" s="3">
        <v>45869.0</v>
      </c>
      <c r="I203" s="3">
        <v>46069.0</v>
      </c>
      <c r="J203" s="3">
        <v>46069.0</v>
      </c>
      <c r="K203" s="1" t="s">
        <v>215</v>
      </c>
      <c r="L203" s="1" t="s">
        <v>98</v>
      </c>
      <c r="M203" s="1" t="s">
        <v>216</v>
      </c>
      <c r="N203" s="1" t="s">
        <v>131</v>
      </c>
      <c r="O203" s="3">
        <v>46104.0</v>
      </c>
      <c r="R203" s="1" t="s">
        <v>137</v>
      </c>
      <c r="S203" s="1" t="s">
        <v>137</v>
      </c>
      <c r="T203" s="1" t="s">
        <v>47</v>
      </c>
      <c r="U203" s="1" t="s">
        <v>2264</v>
      </c>
    </row>
    <row r="204">
      <c r="A204" s="1" t="s">
        <v>2265</v>
      </c>
      <c r="B204" s="1" t="s">
        <v>2266</v>
      </c>
      <c r="C204" s="1" t="s">
        <v>2268</v>
      </c>
      <c r="D204" s="1" t="s">
        <v>1823</v>
      </c>
      <c r="E204" s="1" t="s">
        <v>175</v>
      </c>
      <c r="F204" s="1" t="s">
        <v>569</v>
      </c>
      <c r="G204" s="1" t="s">
        <v>798</v>
      </c>
      <c r="H204" s="3">
        <v>45873.0</v>
      </c>
      <c r="I204" s="3">
        <v>46009.0</v>
      </c>
      <c r="K204" s="1" t="s">
        <v>215</v>
      </c>
      <c r="L204" s="1" t="s">
        <v>251</v>
      </c>
      <c r="M204" s="1" t="s">
        <v>253</v>
      </c>
      <c r="N204" s="1" t="s">
        <v>131</v>
      </c>
      <c r="R204" s="1" t="s">
        <v>712</v>
      </c>
      <c r="S204" s="1" t="s">
        <v>712</v>
      </c>
      <c r="T204" s="1" t="s">
        <v>713</v>
      </c>
      <c r="U204" s="1" t="s">
        <v>2272</v>
      </c>
    </row>
    <row r="205">
      <c r="A205" s="1" t="s">
        <v>2009</v>
      </c>
      <c r="B205" s="1" t="s">
        <v>580</v>
      </c>
      <c r="C205" s="1" t="s">
        <v>2274</v>
      </c>
      <c r="D205" s="1" t="s">
        <v>2276</v>
      </c>
      <c r="E205" s="1" t="s">
        <v>292</v>
      </c>
      <c r="F205" s="1" t="s">
        <v>494</v>
      </c>
      <c r="G205" s="1" t="s">
        <v>2278</v>
      </c>
      <c r="H205" s="3">
        <v>46041.0</v>
      </c>
      <c r="K205" s="1" t="s">
        <v>124</v>
      </c>
      <c r="L205" s="1" t="s">
        <v>251</v>
      </c>
      <c r="M205" s="1" t="s">
        <v>162</v>
      </c>
      <c r="N205" s="1" t="s">
        <v>131</v>
      </c>
      <c r="R205" s="1" t="s">
        <v>256</v>
      </c>
      <c r="S205" s="1" t="s">
        <v>256</v>
      </c>
      <c r="T205" s="1" t="s">
        <v>266</v>
      </c>
    </row>
    <row r="206">
      <c r="A206" s="1" t="s">
        <v>2283</v>
      </c>
      <c r="B206" s="1" t="s">
        <v>309</v>
      </c>
      <c r="C206" s="1" t="s">
        <v>2284</v>
      </c>
      <c r="D206" s="1" t="s">
        <v>417</v>
      </c>
      <c r="E206" s="1" t="s">
        <v>175</v>
      </c>
      <c r="F206" s="1" t="s">
        <v>585</v>
      </c>
      <c r="G206" s="1" t="s">
        <v>586</v>
      </c>
      <c r="H206" s="3">
        <v>46258.0</v>
      </c>
      <c r="I206" s="3">
        <v>46370.0</v>
      </c>
      <c r="K206" s="1" t="s">
        <v>124</v>
      </c>
      <c r="L206" s="1" t="s">
        <v>160</v>
      </c>
      <c r="M206" s="1" t="s">
        <v>162</v>
      </c>
      <c r="N206" s="1" t="s">
        <v>131</v>
      </c>
      <c r="P206" s="1" t="s">
        <v>1927</v>
      </c>
      <c r="R206" s="1" t="s">
        <v>137</v>
      </c>
      <c r="S206" s="1" t="s">
        <v>137</v>
      </c>
      <c r="T206" s="1" t="s">
        <v>47</v>
      </c>
      <c r="U206" s="1" t="s">
        <v>2289</v>
      </c>
    </row>
    <row r="207">
      <c r="A207" s="1" t="s">
        <v>2291</v>
      </c>
      <c r="B207" s="1" t="s">
        <v>116</v>
      </c>
      <c r="C207" s="1" t="s">
        <v>2293</v>
      </c>
      <c r="D207" s="1" t="s">
        <v>1798</v>
      </c>
      <c r="E207" s="1" t="s">
        <v>292</v>
      </c>
      <c r="F207" s="1" t="s">
        <v>576</v>
      </c>
      <c r="G207" s="1" t="s">
        <v>2297</v>
      </c>
      <c r="H207" s="3">
        <v>46141.0</v>
      </c>
      <c r="I207" s="3">
        <v>46286.0</v>
      </c>
      <c r="K207" s="1" t="s">
        <v>124</v>
      </c>
      <c r="L207" s="1" t="s">
        <v>71</v>
      </c>
      <c r="M207" s="1" t="s">
        <v>335</v>
      </c>
      <c r="N207" s="1" t="s">
        <v>131</v>
      </c>
      <c r="P207" s="1" t="s">
        <v>1786</v>
      </c>
      <c r="R207" s="1" t="s">
        <v>137</v>
      </c>
      <c r="S207" s="1" t="s">
        <v>137</v>
      </c>
      <c r="T207" s="1" t="s">
        <v>47</v>
      </c>
      <c r="U207" s="1" t="s">
        <v>2304</v>
      </c>
    </row>
    <row r="208">
      <c r="A208" s="1" t="s">
        <v>2306</v>
      </c>
      <c r="B208" s="1" t="s">
        <v>191</v>
      </c>
      <c r="C208" s="1" t="s">
        <v>2308</v>
      </c>
      <c r="D208" s="1" t="s">
        <v>118</v>
      </c>
      <c r="E208" s="1" t="s">
        <v>330</v>
      </c>
      <c r="F208" s="1" t="s">
        <v>356</v>
      </c>
      <c r="G208" s="1" t="s">
        <v>875</v>
      </c>
      <c r="H208" s="3">
        <v>45762.0</v>
      </c>
      <c r="I208" s="3">
        <v>45894.0</v>
      </c>
      <c r="J208" s="3">
        <v>45894.0</v>
      </c>
      <c r="K208" s="1" t="s">
        <v>215</v>
      </c>
      <c r="L208" s="1" t="s">
        <v>251</v>
      </c>
      <c r="M208" s="1" t="s">
        <v>216</v>
      </c>
      <c r="N208" s="1" t="s">
        <v>131</v>
      </c>
      <c r="O208" s="3">
        <v>45893.0</v>
      </c>
      <c r="R208" s="1" t="s">
        <v>137</v>
      </c>
      <c r="S208" s="1" t="s">
        <v>137</v>
      </c>
      <c r="T208" s="1" t="s">
        <v>47</v>
      </c>
      <c r="U208" s="1" t="s">
        <v>2312</v>
      </c>
    </row>
    <row r="209">
      <c r="A209" s="1" t="s">
        <v>2314</v>
      </c>
      <c r="B209" s="1" t="s">
        <v>191</v>
      </c>
      <c r="C209" s="1" t="s">
        <v>2316</v>
      </c>
      <c r="D209" s="1" t="s">
        <v>194</v>
      </c>
      <c r="E209" s="1" t="s">
        <v>119</v>
      </c>
      <c r="F209" s="1" t="s">
        <v>1338</v>
      </c>
      <c r="G209" s="1" t="s">
        <v>1338</v>
      </c>
      <c r="H209" s="3">
        <v>45985.0</v>
      </c>
      <c r="I209" s="3">
        <v>46153.0</v>
      </c>
      <c r="J209" s="3">
        <v>46153.0</v>
      </c>
      <c r="K209" s="1" t="s">
        <v>215</v>
      </c>
      <c r="L209" s="1" t="s">
        <v>251</v>
      </c>
      <c r="M209" s="1" t="s">
        <v>216</v>
      </c>
      <c r="N209" s="1" t="s">
        <v>131</v>
      </c>
      <c r="O209" s="3">
        <v>46153.0</v>
      </c>
      <c r="R209" s="1" t="s">
        <v>137</v>
      </c>
      <c r="S209" s="1" t="s">
        <v>137</v>
      </c>
      <c r="T209" s="1" t="s">
        <v>47</v>
      </c>
      <c r="U209" s="1" t="s">
        <v>2321</v>
      </c>
    </row>
    <row r="210">
      <c r="A210" s="1" t="s">
        <v>2322</v>
      </c>
      <c r="B210" s="1" t="s">
        <v>580</v>
      </c>
      <c r="C210" s="1" t="s">
        <v>2324</v>
      </c>
      <c r="D210" s="1" t="s">
        <v>194</v>
      </c>
      <c r="E210" s="1" t="s">
        <v>454</v>
      </c>
      <c r="F210" s="1" t="s">
        <v>455</v>
      </c>
      <c r="G210" s="1" t="s">
        <v>456</v>
      </c>
      <c r="H210" s="3">
        <v>46072.0</v>
      </c>
      <c r="I210" s="3">
        <v>46199.0</v>
      </c>
      <c r="K210" s="1" t="s">
        <v>215</v>
      </c>
      <c r="L210" s="1" t="s">
        <v>251</v>
      </c>
      <c r="M210" s="1" t="s">
        <v>253</v>
      </c>
      <c r="N210" s="1" t="s">
        <v>365</v>
      </c>
      <c r="O210" s="3">
        <v>46243.0</v>
      </c>
      <c r="P210" s="1" t="s">
        <v>552</v>
      </c>
      <c r="R210" s="1" t="s">
        <v>137</v>
      </c>
      <c r="S210" s="1" t="s">
        <v>137</v>
      </c>
      <c r="T210" s="1" t="s">
        <v>47</v>
      </c>
      <c r="U210" s="1" t="s">
        <v>2330</v>
      </c>
    </row>
    <row r="211">
      <c r="A211" s="1" t="s">
        <v>2331</v>
      </c>
      <c r="B211" s="1" t="s">
        <v>146</v>
      </c>
      <c r="C211" s="1" t="s">
        <v>2336</v>
      </c>
      <c r="D211" s="1" t="s">
        <v>313</v>
      </c>
      <c r="E211" s="1" t="s">
        <v>175</v>
      </c>
      <c r="F211" s="1" t="s">
        <v>569</v>
      </c>
      <c r="G211" s="1" t="s">
        <v>570</v>
      </c>
      <c r="H211" s="3">
        <v>46129.0</v>
      </c>
      <c r="K211" s="1" t="s">
        <v>124</v>
      </c>
      <c r="L211" s="1" t="s">
        <v>160</v>
      </c>
      <c r="M211" s="1" t="s">
        <v>300</v>
      </c>
      <c r="N211" s="1" t="s">
        <v>131</v>
      </c>
      <c r="P211" s="1" t="s">
        <v>803</v>
      </c>
      <c r="R211" s="1" t="s">
        <v>137</v>
      </c>
      <c r="S211" s="1" t="s">
        <v>137</v>
      </c>
      <c r="T211" s="1" t="s">
        <v>47</v>
      </c>
      <c r="U211" s="1" t="s">
        <v>2343</v>
      </c>
    </row>
    <row r="212">
      <c r="A212" s="1" t="s">
        <v>2344</v>
      </c>
      <c r="B212" s="1" t="s">
        <v>191</v>
      </c>
      <c r="C212" s="1" t="s">
        <v>2346</v>
      </c>
      <c r="D212" s="1" t="s">
        <v>2347</v>
      </c>
      <c r="E212" s="1" t="s">
        <v>889</v>
      </c>
      <c r="F212" s="1" t="s">
        <v>890</v>
      </c>
      <c r="G212" s="1" t="s">
        <v>892</v>
      </c>
      <c r="H212" s="3">
        <v>46217.0</v>
      </c>
      <c r="I212" s="3">
        <v>46328.0</v>
      </c>
      <c r="K212" s="1" t="s">
        <v>124</v>
      </c>
      <c r="L212" s="1" t="s">
        <v>160</v>
      </c>
      <c r="M212" s="1" t="s">
        <v>162</v>
      </c>
      <c r="N212" s="1" t="s">
        <v>131</v>
      </c>
      <c r="P212" s="1" t="s">
        <v>512</v>
      </c>
      <c r="R212" s="1" t="s">
        <v>137</v>
      </c>
      <c r="S212" s="1" t="s">
        <v>137</v>
      </c>
      <c r="T212" s="1" t="s">
        <v>47</v>
      </c>
      <c r="U212" s="1" t="s">
        <v>2355</v>
      </c>
    </row>
    <row r="213">
      <c r="A213" s="1" t="s">
        <v>2356</v>
      </c>
      <c r="B213" s="1" t="s">
        <v>191</v>
      </c>
      <c r="C213" s="1" t="s">
        <v>2358</v>
      </c>
      <c r="D213" s="1" t="s">
        <v>1832</v>
      </c>
      <c r="E213" s="1" t="s">
        <v>889</v>
      </c>
      <c r="F213" s="1" t="s">
        <v>1983</v>
      </c>
      <c r="G213" s="1" t="s">
        <v>1984</v>
      </c>
      <c r="H213" s="3">
        <v>45915.0</v>
      </c>
      <c r="I213" s="3">
        <v>46100.0</v>
      </c>
      <c r="J213" s="3">
        <v>46100.0</v>
      </c>
      <c r="K213" s="1" t="s">
        <v>215</v>
      </c>
      <c r="L213" s="1" t="s">
        <v>251</v>
      </c>
      <c r="M213" s="1" t="s">
        <v>216</v>
      </c>
      <c r="N213" s="1" t="s">
        <v>131</v>
      </c>
      <c r="O213" s="3">
        <v>46100.0</v>
      </c>
      <c r="R213" s="1" t="s">
        <v>137</v>
      </c>
      <c r="S213" s="1" t="s">
        <v>137</v>
      </c>
      <c r="T213" s="1" t="s">
        <v>47</v>
      </c>
      <c r="U213" s="1" t="s">
        <v>2366</v>
      </c>
    </row>
    <row r="214">
      <c r="A214" s="1" t="s">
        <v>2367</v>
      </c>
      <c r="B214" s="1" t="s">
        <v>191</v>
      </c>
      <c r="C214" s="1" t="s">
        <v>2369</v>
      </c>
      <c r="D214" s="1" t="s">
        <v>1832</v>
      </c>
      <c r="E214" s="1" t="s">
        <v>454</v>
      </c>
      <c r="F214" s="1" t="s">
        <v>455</v>
      </c>
      <c r="G214" s="1" t="s">
        <v>738</v>
      </c>
      <c r="H214" s="3">
        <v>45782.0</v>
      </c>
      <c r="I214" s="3">
        <v>46048.0</v>
      </c>
      <c r="J214" s="3">
        <v>46048.0</v>
      </c>
      <c r="K214" s="1" t="s">
        <v>215</v>
      </c>
      <c r="L214" s="1" t="s">
        <v>251</v>
      </c>
      <c r="M214" s="1" t="s">
        <v>216</v>
      </c>
      <c r="N214" s="1" t="s">
        <v>131</v>
      </c>
      <c r="O214" s="3">
        <v>46048.0</v>
      </c>
      <c r="R214" s="1" t="s">
        <v>137</v>
      </c>
      <c r="S214" s="1" t="s">
        <v>137</v>
      </c>
      <c r="T214" s="1" t="s">
        <v>47</v>
      </c>
      <c r="U214" s="1" t="s">
        <v>2374</v>
      </c>
    </row>
    <row r="215">
      <c r="A215" s="1" t="s">
        <v>2271</v>
      </c>
      <c r="B215" s="1" t="s">
        <v>191</v>
      </c>
      <c r="C215" s="1" t="s">
        <v>2377</v>
      </c>
      <c r="D215" s="1" t="s">
        <v>1469</v>
      </c>
      <c r="E215" s="1" t="s">
        <v>292</v>
      </c>
      <c r="F215" s="1" t="s">
        <v>576</v>
      </c>
      <c r="G215" s="1" t="s">
        <v>1088</v>
      </c>
      <c r="H215" s="3">
        <v>46160.0</v>
      </c>
      <c r="I215" s="3">
        <v>46273.0</v>
      </c>
      <c r="K215" s="1" t="s">
        <v>124</v>
      </c>
      <c r="L215" s="1" t="s">
        <v>160</v>
      </c>
      <c r="M215" s="1" t="s">
        <v>162</v>
      </c>
      <c r="N215" s="1" t="s">
        <v>365</v>
      </c>
      <c r="P215" s="1" t="s">
        <v>2379</v>
      </c>
      <c r="R215" s="1" t="s">
        <v>137</v>
      </c>
      <c r="S215" s="1" t="s">
        <v>137</v>
      </c>
      <c r="T215" s="1" t="s">
        <v>47</v>
      </c>
      <c r="U215" s="1" t="s">
        <v>2380</v>
      </c>
    </row>
    <row r="216">
      <c r="A216" s="1" t="s">
        <v>2381</v>
      </c>
      <c r="B216" s="1" t="s">
        <v>2382</v>
      </c>
      <c r="C216" s="1" t="s">
        <v>2383</v>
      </c>
      <c r="D216" s="1" t="s">
        <v>1776</v>
      </c>
      <c r="E216" s="1" t="s">
        <v>889</v>
      </c>
      <c r="F216" s="1" t="s">
        <v>2385</v>
      </c>
      <c r="G216" s="1" t="s">
        <v>2386</v>
      </c>
      <c r="H216" s="3">
        <v>45663.0</v>
      </c>
      <c r="I216" s="3">
        <v>45796.0</v>
      </c>
      <c r="J216" s="3">
        <v>45796.0</v>
      </c>
      <c r="K216" s="1" t="s">
        <v>215</v>
      </c>
      <c r="L216" s="1" t="s">
        <v>251</v>
      </c>
      <c r="M216" s="1" t="s">
        <v>216</v>
      </c>
      <c r="N216" s="1" t="s">
        <v>131</v>
      </c>
      <c r="O216" s="3">
        <v>45796.0</v>
      </c>
      <c r="R216" s="1" t="s">
        <v>137</v>
      </c>
      <c r="S216" s="1" t="s">
        <v>137</v>
      </c>
      <c r="T216" s="1" t="s">
        <v>47</v>
      </c>
      <c r="U216" s="1" t="s">
        <v>2391</v>
      </c>
    </row>
    <row r="217">
      <c r="A217" s="1" t="s">
        <v>353</v>
      </c>
      <c r="B217" s="1" t="s">
        <v>191</v>
      </c>
      <c r="C217" s="1" t="s">
        <v>2394</v>
      </c>
      <c r="D217" s="1" t="s">
        <v>657</v>
      </c>
      <c r="E217" s="1" t="s">
        <v>175</v>
      </c>
      <c r="F217" s="1" t="s">
        <v>177</v>
      </c>
      <c r="G217" s="1" t="s">
        <v>1992</v>
      </c>
      <c r="H217" s="3">
        <v>46181.0</v>
      </c>
      <c r="I217" s="3">
        <v>46265.0</v>
      </c>
      <c r="K217" s="1" t="s">
        <v>124</v>
      </c>
      <c r="L217" s="1" t="s">
        <v>251</v>
      </c>
      <c r="M217" s="1" t="s">
        <v>300</v>
      </c>
      <c r="N217" s="1" t="s">
        <v>131</v>
      </c>
      <c r="P217" s="1" t="s">
        <v>2396</v>
      </c>
      <c r="R217" s="1" t="s">
        <v>137</v>
      </c>
      <c r="S217" s="1" t="s">
        <v>137</v>
      </c>
      <c r="T217" s="1" t="s">
        <v>47</v>
      </c>
      <c r="U217" s="1" t="s">
        <v>2397</v>
      </c>
    </row>
    <row r="218">
      <c r="A218" s="1" t="s">
        <v>2399</v>
      </c>
      <c r="B218" s="1" t="s">
        <v>2115</v>
      </c>
      <c r="C218" s="1" t="s">
        <v>2400</v>
      </c>
      <c r="D218" s="1" t="s">
        <v>313</v>
      </c>
      <c r="E218" s="1" t="s">
        <v>292</v>
      </c>
      <c r="F218" s="1" t="s">
        <v>293</v>
      </c>
      <c r="G218" s="1" t="s">
        <v>561</v>
      </c>
      <c r="H218" s="3">
        <v>46204.0</v>
      </c>
      <c r="K218" s="1" t="s">
        <v>124</v>
      </c>
      <c r="L218" s="1" t="s">
        <v>251</v>
      </c>
      <c r="M218" s="1" t="s">
        <v>162</v>
      </c>
      <c r="N218" s="1" t="s">
        <v>131</v>
      </c>
      <c r="R218" s="1" t="s">
        <v>629</v>
      </c>
      <c r="S218" s="1" t="s">
        <v>629</v>
      </c>
      <c r="T218" s="1" t="s">
        <v>630</v>
      </c>
      <c r="U218" s="1" t="s">
        <v>2404</v>
      </c>
    </row>
    <row r="219">
      <c r="A219" s="1" t="s">
        <v>2339</v>
      </c>
      <c r="B219" s="1" t="s">
        <v>146</v>
      </c>
      <c r="C219" s="1" t="s">
        <v>2406</v>
      </c>
      <c r="D219" s="1" t="s">
        <v>313</v>
      </c>
      <c r="E219" s="1" t="s">
        <v>292</v>
      </c>
      <c r="F219" s="1" t="s">
        <v>293</v>
      </c>
      <c r="G219" s="1" t="s">
        <v>295</v>
      </c>
      <c r="H219" s="3">
        <v>46129.0</v>
      </c>
      <c r="K219" s="1" t="s">
        <v>124</v>
      </c>
      <c r="L219" s="1" t="s">
        <v>160</v>
      </c>
      <c r="M219" s="1" t="s">
        <v>162</v>
      </c>
      <c r="N219" s="1" t="s">
        <v>131</v>
      </c>
      <c r="P219" s="1" t="s">
        <v>2409</v>
      </c>
      <c r="R219" s="1" t="s">
        <v>137</v>
      </c>
      <c r="S219" s="1" t="s">
        <v>137</v>
      </c>
      <c r="T219" s="1" t="s">
        <v>47</v>
      </c>
      <c r="U219" s="1" t="s">
        <v>2410</v>
      </c>
    </row>
    <row r="220">
      <c r="A220" s="1" t="s">
        <v>2239</v>
      </c>
      <c r="B220" s="1" t="s">
        <v>2413</v>
      </c>
      <c r="C220" s="1" t="s">
        <v>2414</v>
      </c>
      <c r="D220" s="1" t="s">
        <v>388</v>
      </c>
      <c r="E220" s="1" t="s">
        <v>292</v>
      </c>
      <c r="F220" s="1" t="s">
        <v>576</v>
      </c>
      <c r="G220" s="1" t="s">
        <v>835</v>
      </c>
      <c r="H220" s="3">
        <v>46122.0</v>
      </c>
      <c r="I220" s="3">
        <v>46336.0</v>
      </c>
      <c r="K220" s="1" t="s">
        <v>124</v>
      </c>
      <c r="L220" s="1" t="s">
        <v>98</v>
      </c>
      <c r="M220" s="1" t="s">
        <v>335</v>
      </c>
      <c r="N220" s="1" t="s">
        <v>131</v>
      </c>
      <c r="P220" s="1" t="s">
        <v>1786</v>
      </c>
      <c r="R220" s="1" t="s">
        <v>137</v>
      </c>
      <c r="S220" s="1" t="s">
        <v>137</v>
      </c>
      <c r="T220" s="1" t="s">
        <v>47</v>
      </c>
      <c r="U220" s="1" t="s">
        <v>2418</v>
      </c>
    </row>
    <row r="221">
      <c r="A221" s="1" t="s">
        <v>2419</v>
      </c>
      <c r="B221" s="1" t="s">
        <v>2421</v>
      </c>
      <c r="C221" s="1" t="s">
        <v>2422</v>
      </c>
      <c r="D221" s="1" t="s">
        <v>118</v>
      </c>
      <c r="E221" s="1" t="s">
        <v>438</v>
      </c>
      <c r="F221" s="1" t="s">
        <v>440</v>
      </c>
      <c r="G221" s="1" t="s">
        <v>441</v>
      </c>
      <c r="H221" s="3">
        <v>45543.0</v>
      </c>
      <c r="I221" s="3">
        <v>45831.0</v>
      </c>
      <c r="J221" s="3">
        <v>45831.0</v>
      </c>
      <c r="K221" s="1" t="s">
        <v>215</v>
      </c>
      <c r="L221" s="1" t="s">
        <v>251</v>
      </c>
      <c r="M221" s="1" t="s">
        <v>216</v>
      </c>
      <c r="N221" s="1" t="s">
        <v>131</v>
      </c>
      <c r="O221" s="3">
        <v>45831.0</v>
      </c>
      <c r="R221" s="1" t="s">
        <v>137</v>
      </c>
      <c r="S221" s="1" t="s">
        <v>137</v>
      </c>
      <c r="T221" s="1" t="s">
        <v>47</v>
      </c>
      <c r="U221" s="1" t="s">
        <v>2427</v>
      </c>
    </row>
    <row r="222">
      <c r="A222" s="1" t="s">
        <v>2428</v>
      </c>
      <c r="B222" s="1" t="s">
        <v>146</v>
      </c>
      <c r="C222" s="1" t="s">
        <v>2430</v>
      </c>
      <c r="D222" s="1" t="s">
        <v>194</v>
      </c>
      <c r="E222" s="1" t="s">
        <v>454</v>
      </c>
      <c r="F222" s="1" t="s">
        <v>455</v>
      </c>
      <c r="G222" s="1" t="s">
        <v>510</v>
      </c>
      <c r="H222" s="3">
        <v>46129.0</v>
      </c>
      <c r="K222" s="1" t="s">
        <v>124</v>
      </c>
      <c r="L222" s="1" t="s">
        <v>160</v>
      </c>
      <c r="M222" s="1" t="s">
        <v>162</v>
      </c>
      <c r="N222" s="1" t="s">
        <v>131</v>
      </c>
      <c r="P222" s="1" t="s">
        <v>485</v>
      </c>
      <c r="R222" s="1" t="s">
        <v>137</v>
      </c>
      <c r="S222" s="1" t="s">
        <v>137</v>
      </c>
      <c r="T222" s="1" t="s">
        <v>47</v>
      </c>
    </row>
    <row r="223">
      <c r="A223" s="1" t="s">
        <v>1865</v>
      </c>
      <c r="B223" s="1" t="s">
        <v>2439</v>
      </c>
      <c r="C223" s="1" t="s">
        <v>2440</v>
      </c>
      <c r="D223" s="1" t="s">
        <v>313</v>
      </c>
      <c r="E223" s="1" t="s">
        <v>175</v>
      </c>
      <c r="F223" s="1" t="s">
        <v>763</v>
      </c>
      <c r="G223" s="1" t="s">
        <v>1351</v>
      </c>
      <c r="H223" s="3">
        <v>46063.0</v>
      </c>
      <c r="I223" s="3">
        <v>46296.0</v>
      </c>
      <c r="K223" s="1" t="s">
        <v>124</v>
      </c>
      <c r="L223" s="1" t="s">
        <v>71</v>
      </c>
      <c r="M223" s="1" t="s">
        <v>460</v>
      </c>
      <c r="N223" s="1" t="s">
        <v>131</v>
      </c>
      <c r="R223" s="1" t="s">
        <v>665</v>
      </c>
      <c r="S223" s="1" t="s">
        <v>665</v>
      </c>
      <c r="T223" s="1" t="s">
        <v>666</v>
      </c>
      <c r="U223" s="1" t="s">
        <v>2443</v>
      </c>
    </row>
    <row r="224">
      <c r="A224" s="1" t="s">
        <v>2444</v>
      </c>
      <c r="B224" s="1" t="s">
        <v>191</v>
      </c>
      <c r="C224" s="1" t="s">
        <v>2445</v>
      </c>
      <c r="D224" s="1" t="s">
        <v>650</v>
      </c>
      <c r="E224" s="1" t="s">
        <v>292</v>
      </c>
      <c r="F224" s="1" t="s">
        <v>576</v>
      </c>
      <c r="G224" s="1" t="s">
        <v>998</v>
      </c>
      <c r="H224" s="3">
        <v>45880.0</v>
      </c>
      <c r="I224" s="3">
        <v>46121.0</v>
      </c>
      <c r="J224" s="3">
        <v>46121.0</v>
      </c>
      <c r="K224" s="1" t="s">
        <v>215</v>
      </c>
      <c r="L224" s="1" t="s">
        <v>251</v>
      </c>
      <c r="M224" s="1" t="s">
        <v>253</v>
      </c>
      <c r="N224" s="1" t="s">
        <v>131</v>
      </c>
      <c r="O224" s="3">
        <v>46163.0</v>
      </c>
      <c r="R224" s="1" t="s">
        <v>137</v>
      </c>
      <c r="S224" s="1" t="s">
        <v>137</v>
      </c>
      <c r="T224" s="1" t="s">
        <v>47</v>
      </c>
      <c r="U224" s="1" t="s">
        <v>2449</v>
      </c>
    </row>
    <row r="225">
      <c r="A225" s="1" t="s">
        <v>2376</v>
      </c>
      <c r="B225" s="1" t="s">
        <v>146</v>
      </c>
      <c r="C225" s="1" t="s">
        <v>2450</v>
      </c>
      <c r="D225" s="1" t="s">
        <v>273</v>
      </c>
      <c r="E225" s="1" t="s">
        <v>330</v>
      </c>
      <c r="F225" s="1" t="s">
        <v>356</v>
      </c>
      <c r="G225" s="1" t="s">
        <v>333</v>
      </c>
      <c r="H225" s="3">
        <v>46129.0</v>
      </c>
      <c r="K225" s="1" t="s">
        <v>124</v>
      </c>
      <c r="L225" s="1" t="s">
        <v>160</v>
      </c>
      <c r="M225" s="1" t="s">
        <v>162</v>
      </c>
      <c r="N225" s="1" t="s">
        <v>131</v>
      </c>
      <c r="P225" s="1" t="s">
        <v>2452</v>
      </c>
      <c r="R225" s="1" t="s">
        <v>137</v>
      </c>
      <c r="S225" s="1" t="s">
        <v>137</v>
      </c>
      <c r="T225" s="1" t="s">
        <v>47</v>
      </c>
      <c r="U225" s="1" t="s">
        <v>2454</v>
      </c>
    </row>
    <row r="226">
      <c r="A226" s="1" t="s">
        <v>2455</v>
      </c>
      <c r="B226" s="1" t="s">
        <v>240</v>
      </c>
      <c r="C226" s="1" t="s">
        <v>2456</v>
      </c>
      <c r="D226" s="1" t="s">
        <v>518</v>
      </c>
      <c r="E226" s="1" t="s">
        <v>520</v>
      </c>
      <c r="F226" s="1" t="s">
        <v>522</v>
      </c>
      <c r="G226" s="1" t="s">
        <v>710</v>
      </c>
      <c r="H226" s="3">
        <v>46107.0</v>
      </c>
      <c r="K226" s="1" t="s">
        <v>124</v>
      </c>
      <c r="L226" s="1" t="s">
        <v>251</v>
      </c>
      <c r="M226" s="1" t="s">
        <v>162</v>
      </c>
      <c r="N226" s="1" t="s">
        <v>131</v>
      </c>
      <c r="R226" s="1" t="s">
        <v>256</v>
      </c>
      <c r="S226" s="1" t="s">
        <v>256</v>
      </c>
      <c r="T226" s="1" t="s">
        <v>266</v>
      </c>
    </row>
    <row r="227">
      <c r="A227" s="1" t="s">
        <v>1287</v>
      </c>
      <c r="B227" s="1" t="s">
        <v>270</v>
      </c>
      <c r="C227" s="1" t="s">
        <v>2459</v>
      </c>
      <c r="D227" s="1" t="s">
        <v>388</v>
      </c>
      <c r="E227" s="1" t="s">
        <v>292</v>
      </c>
      <c r="F227" s="1" t="s">
        <v>576</v>
      </c>
      <c r="G227" s="1" t="s">
        <v>2297</v>
      </c>
      <c r="H227" s="3">
        <v>45975.0</v>
      </c>
      <c r="I227" s="3">
        <v>46203.0</v>
      </c>
      <c r="J227" s="3">
        <v>46203.0</v>
      </c>
      <c r="K227" s="1" t="s">
        <v>124</v>
      </c>
      <c r="L227" s="1" t="s">
        <v>98</v>
      </c>
      <c r="M227" s="1" t="s">
        <v>335</v>
      </c>
      <c r="N227" s="1" t="s">
        <v>131</v>
      </c>
      <c r="P227" s="1" t="s">
        <v>337</v>
      </c>
      <c r="R227" s="1" t="s">
        <v>137</v>
      </c>
      <c r="S227" s="1" t="s">
        <v>137</v>
      </c>
      <c r="T227" s="1" t="s">
        <v>47</v>
      </c>
      <c r="U227" s="1" t="s">
        <v>2464</v>
      </c>
    </row>
    <row r="228">
      <c r="A228" s="1" t="s">
        <v>1361</v>
      </c>
      <c r="B228" s="1" t="s">
        <v>580</v>
      </c>
      <c r="C228" s="1" t="s">
        <v>2466</v>
      </c>
      <c r="D228" s="1" t="s">
        <v>172</v>
      </c>
      <c r="E228" s="1" t="s">
        <v>438</v>
      </c>
      <c r="F228" s="1" t="s">
        <v>440</v>
      </c>
      <c r="G228" s="1" t="s">
        <v>2468</v>
      </c>
      <c r="H228" s="3">
        <v>45999.0</v>
      </c>
      <c r="I228" s="3">
        <v>46234.0</v>
      </c>
      <c r="K228" s="1" t="s">
        <v>124</v>
      </c>
      <c r="L228" s="1" t="s">
        <v>251</v>
      </c>
      <c r="M228" s="1" t="s">
        <v>460</v>
      </c>
      <c r="N228" s="1" t="s">
        <v>131</v>
      </c>
      <c r="P228" s="1" t="s">
        <v>529</v>
      </c>
      <c r="R228" s="1" t="s">
        <v>137</v>
      </c>
      <c r="S228" s="1" t="s">
        <v>137</v>
      </c>
      <c r="T228" s="1" t="s">
        <v>47</v>
      </c>
      <c r="U228" s="1" t="s">
        <v>2471</v>
      </c>
    </row>
    <row r="229">
      <c r="A229" s="1" t="s">
        <v>2472</v>
      </c>
      <c r="B229" s="1" t="s">
        <v>580</v>
      </c>
      <c r="C229" s="1" t="s">
        <v>2474</v>
      </c>
      <c r="D229" s="1" t="s">
        <v>291</v>
      </c>
      <c r="E229" s="1" t="s">
        <v>691</v>
      </c>
      <c r="F229" s="1" t="s">
        <v>1142</v>
      </c>
      <c r="G229" s="1" t="s">
        <v>2478</v>
      </c>
      <c r="H229" s="3">
        <v>46073.0</v>
      </c>
      <c r="I229" s="3">
        <v>46234.0</v>
      </c>
      <c r="K229" s="1" t="s">
        <v>124</v>
      </c>
      <c r="L229" s="1" t="s">
        <v>251</v>
      </c>
      <c r="M229" s="1" t="s">
        <v>460</v>
      </c>
      <c r="N229" s="1" t="s">
        <v>131</v>
      </c>
      <c r="P229" s="1" t="s">
        <v>529</v>
      </c>
      <c r="R229" s="1" t="s">
        <v>137</v>
      </c>
      <c r="S229" s="1" t="s">
        <v>137</v>
      </c>
      <c r="T229" s="1" t="s">
        <v>47</v>
      </c>
      <c r="U229" s="1" t="s">
        <v>2482</v>
      </c>
    </row>
    <row r="230">
      <c r="A230" s="1" t="s">
        <v>2484</v>
      </c>
      <c r="B230" s="1" t="s">
        <v>146</v>
      </c>
      <c r="C230" s="1" t="s">
        <v>2485</v>
      </c>
      <c r="D230" s="1" t="s">
        <v>754</v>
      </c>
      <c r="E230" s="1" t="s">
        <v>175</v>
      </c>
      <c r="F230" s="1" t="s">
        <v>177</v>
      </c>
      <c r="G230" s="1" t="s">
        <v>483</v>
      </c>
      <c r="H230" s="3">
        <v>46129.0</v>
      </c>
      <c r="K230" s="1" t="s">
        <v>124</v>
      </c>
      <c r="L230" s="1" t="s">
        <v>160</v>
      </c>
      <c r="M230" s="1" t="s">
        <v>162</v>
      </c>
      <c r="N230" s="1" t="s">
        <v>131</v>
      </c>
      <c r="P230" s="1" t="s">
        <v>485</v>
      </c>
      <c r="R230" s="1" t="s">
        <v>137</v>
      </c>
      <c r="S230" s="1" t="s">
        <v>137</v>
      </c>
      <c r="T230" s="1" t="s">
        <v>47</v>
      </c>
    </row>
    <row r="231">
      <c r="A231" s="1" t="s">
        <v>2488</v>
      </c>
      <c r="B231" s="1" t="s">
        <v>2489</v>
      </c>
      <c r="C231" s="1" t="s">
        <v>2490</v>
      </c>
      <c r="D231" s="1" t="s">
        <v>678</v>
      </c>
      <c r="E231" s="1" t="s">
        <v>454</v>
      </c>
      <c r="F231" s="1" t="s">
        <v>637</v>
      </c>
      <c r="G231" s="1" t="s">
        <v>1513</v>
      </c>
      <c r="H231" s="3">
        <v>45777.0</v>
      </c>
      <c r="I231" s="3">
        <v>45908.0</v>
      </c>
      <c r="J231" s="3">
        <v>45908.0</v>
      </c>
      <c r="K231" s="1" t="s">
        <v>215</v>
      </c>
      <c r="L231" s="1" t="s">
        <v>251</v>
      </c>
      <c r="M231" s="1" t="s">
        <v>216</v>
      </c>
      <c r="N231" s="1" t="s">
        <v>131</v>
      </c>
      <c r="O231" s="3">
        <v>45933.0</v>
      </c>
      <c r="R231" s="1" t="s">
        <v>137</v>
      </c>
      <c r="S231" s="1" t="s">
        <v>137</v>
      </c>
      <c r="T231" s="1" t="s">
        <v>47</v>
      </c>
      <c r="U231" s="1" t="s">
        <v>2495</v>
      </c>
    </row>
    <row r="232">
      <c r="A232" s="1" t="s">
        <v>2431</v>
      </c>
      <c r="B232" s="1" t="s">
        <v>191</v>
      </c>
      <c r="C232" s="1" t="s">
        <v>2496</v>
      </c>
      <c r="D232" s="1" t="s">
        <v>313</v>
      </c>
      <c r="E232" s="1" t="s">
        <v>175</v>
      </c>
      <c r="F232" s="1" t="s">
        <v>569</v>
      </c>
      <c r="G232" s="1" t="s">
        <v>798</v>
      </c>
      <c r="H232" s="3">
        <v>46158.0</v>
      </c>
      <c r="K232" s="1" t="s">
        <v>124</v>
      </c>
      <c r="L232" s="1" t="s">
        <v>251</v>
      </c>
      <c r="M232" s="1" t="s">
        <v>162</v>
      </c>
      <c r="N232" s="1" t="s">
        <v>131</v>
      </c>
      <c r="P232" s="1" t="s">
        <v>444</v>
      </c>
      <c r="R232" s="1" t="s">
        <v>137</v>
      </c>
      <c r="S232" s="1" t="s">
        <v>137</v>
      </c>
      <c r="T232" s="1" t="s">
        <v>47</v>
      </c>
      <c r="U232" s="1" t="s">
        <v>2499</v>
      </c>
    </row>
    <row r="233">
      <c r="A233" s="1" t="s">
        <v>2501</v>
      </c>
      <c r="B233" s="1" t="s">
        <v>2502</v>
      </c>
      <c r="C233" s="1" t="s">
        <v>2503</v>
      </c>
      <c r="D233" s="1" t="s">
        <v>509</v>
      </c>
      <c r="E233" s="1" t="s">
        <v>454</v>
      </c>
      <c r="F233" s="1" t="s">
        <v>612</v>
      </c>
      <c r="G233" s="1" t="s">
        <v>613</v>
      </c>
      <c r="H233" s="3">
        <v>46188.0</v>
      </c>
      <c r="I233" s="3">
        <v>46300.0</v>
      </c>
      <c r="K233" s="1" t="s">
        <v>124</v>
      </c>
      <c r="L233" s="1" t="s">
        <v>160</v>
      </c>
      <c r="M233" s="1" t="s">
        <v>300</v>
      </c>
      <c r="N233" s="1" t="s">
        <v>131</v>
      </c>
      <c r="P233" s="1" t="s">
        <v>2505</v>
      </c>
      <c r="R233" s="1" t="s">
        <v>137</v>
      </c>
      <c r="S233" s="1" t="s">
        <v>137</v>
      </c>
      <c r="T233" s="1" t="s">
        <v>47</v>
      </c>
      <c r="U233" s="1" t="s">
        <v>2508</v>
      </c>
    </row>
    <row r="234">
      <c r="A234" s="1" t="s">
        <v>2509</v>
      </c>
      <c r="B234" s="1" t="s">
        <v>191</v>
      </c>
      <c r="C234" s="1" t="s">
        <v>2510</v>
      </c>
      <c r="D234" s="1" t="s">
        <v>1798</v>
      </c>
      <c r="E234" s="1" t="s">
        <v>292</v>
      </c>
      <c r="F234" s="1" t="s">
        <v>576</v>
      </c>
      <c r="G234" s="1" t="s">
        <v>1603</v>
      </c>
      <c r="H234" s="3">
        <v>45691.0</v>
      </c>
      <c r="I234" s="3">
        <v>45799.0</v>
      </c>
      <c r="J234" s="3">
        <v>45799.0</v>
      </c>
      <c r="K234" s="1" t="s">
        <v>215</v>
      </c>
      <c r="L234" s="1" t="s">
        <v>251</v>
      </c>
      <c r="M234" s="1" t="s">
        <v>216</v>
      </c>
      <c r="N234" s="1" t="s">
        <v>131</v>
      </c>
      <c r="O234" s="3">
        <v>45799.0</v>
      </c>
      <c r="R234" s="1" t="s">
        <v>137</v>
      </c>
      <c r="S234" s="1" t="s">
        <v>137</v>
      </c>
      <c r="T234" s="1" t="s">
        <v>47</v>
      </c>
      <c r="U234" s="1" t="s">
        <v>2515</v>
      </c>
    </row>
    <row r="235">
      <c r="A235" s="1" t="s">
        <v>634</v>
      </c>
      <c r="B235" s="1" t="s">
        <v>632</v>
      </c>
      <c r="C235" s="1" t="s">
        <v>2517</v>
      </c>
      <c r="D235" s="1" t="s">
        <v>650</v>
      </c>
      <c r="E235" s="1" t="s">
        <v>175</v>
      </c>
      <c r="F235" s="1" t="s">
        <v>1767</v>
      </c>
      <c r="G235" s="1" t="s">
        <v>1768</v>
      </c>
      <c r="H235" s="3">
        <v>45971.0</v>
      </c>
      <c r="K235" s="1" t="s">
        <v>124</v>
      </c>
      <c r="L235" s="1" t="s">
        <v>71</v>
      </c>
      <c r="M235" s="1" t="s">
        <v>460</v>
      </c>
      <c r="N235" s="1" t="s">
        <v>131</v>
      </c>
      <c r="R235" s="1" t="s">
        <v>712</v>
      </c>
      <c r="S235" s="1" t="s">
        <v>712</v>
      </c>
      <c r="T235" s="1" t="s">
        <v>713</v>
      </c>
      <c r="U235" s="1" t="s">
        <v>2519</v>
      </c>
    </row>
    <row r="236">
      <c r="A236" s="1" t="s">
        <v>786</v>
      </c>
      <c r="B236" s="1" t="s">
        <v>191</v>
      </c>
      <c r="C236" s="1" t="s">
        <v>2520</v>
      </c>
      <c r="D236" s="1" t="s">
        <v>1798</v>
      </c>
      <c r="E236" s="1" t="s">
        <v>119</v>
      </c>
      <c r="F236" s="1" t="s">
        <v>2522</v>
      </c>
      <c r="G236" s="1" t="s">
        <v>2522</v>
      </c>
      <c r="H236" s="3">
        <v>46139.0</v>
      </c>
      <c r="I236" s="3">
        <v>46279.0</v>
      </c>
      <c r="K236" s="1" t="s">
        <v>124</v>
      </c>
      <c r="L236" s="1" t="s">
        <v>98</v>
      </c>
      <c r="M236" s="1" t="s">
        <v>216</v>
      </c>
      <c r="N236" s="1" t="s">
        <v>131</v>
      </c>
      <c r="P236" s="1" t="s">
        <v>411</v>
      </c>
      <c r="R236" s="1" t="s">
        <v>137</v>
      </c>
      <c r="S236" s="1" t="s">
        <v>137</v>
      </c>
      <c r="T236" s="1" t="s">
        <v>47</v>
      </c>
      <c r="U236" s="1" t="s">
        <v>2524</v>
      </c>
    </row>
    <row r="237">
      <c r="A237" s="1" t="s">
        <v>2525</v>
      </c>
      <c r="B237" s="1" t="s">
        <v>116</v>
      </c>
      <c r="C237" s="1" t="s">
        <v>2527</v>
      </c>
      <c r="D237" s="1" t="s">
        <v>1823</v>
      </c>
      <c r="E237" s="1" t="s">
        <v>175</v>
      </c>
      <c r="F237" s="1" t="s">
        <v>569</v>
      </c>
      <c r="G237" s="1" t="s">
        <v>570</v>
      </c>
      <c r="H237" s="3">
        <v>46196.0</v>
      </c>
      <c r="I237" s="3">
        <v>46318.0</v>
      </c>
      <c r="K237" s="1" t="s">
        <v>124</v>
      </c>
      <c r="L237" s="1" t="s">
        <v>160</v>
      </c>
      <c r="M237" s="1" t="s">
        <v>162</v>
      </c>
      <c r="N237" s="1" t="s">
        <v>131</v>
      </c>
      <c r="R237" s="1" t="s">
        <v>665</v>
      </c>
      <c r="S237" s="1" t="s">
        <v>665</v>
      </c>
      <c r="T237" s="1" t="s">
        <v>666</v>
      </c>
      <c r="U237" s="1" t="s">
        <v>2531</v>
      </c>
    </row>
    <row r="238">
      <c r="A238" s="1" t="s">
        <v>2533</v>
      </c>
      <c r="B238" s="1" t="s">
        <v>240</v>
      </c>
      <c r="C238" s="1" t="s">
        <v>2535</v>
      </c>
      <c r="D238" s="1" t="s">
        <v>548</v>
      </c>
      <c r="E238" s="1" t="s">
        <v>520</v>
      </c>
      <c r="F238" s="1" t="s">
        <v>1229</v>
      </c>
      <c r="G238" s="1" t="s">
        <v>1231</v>
      </c>
      <c r="H238" s="3">
        <v>46161.0</v>
      </c>
      <c r="K238" s="1" t="s">
        <v>124</v>
      </c>
      <c r="L238" s="1" t="s">
        <v>251</v>
      </c>
      <c r="M238" s="1" t="s">
        <v>253</v>
      </c>
      <c r="N238" s="1" t="s">
        <v>131</v>
      </c>
      <c r="P238" s="1" t="s">
        <v>1844</v>
      </c>
      <c r="R238" s="1" t="s">
        <v>137</v>
      </c>
      <c r="S238" s="1" t="s">
        <v>137</v>
      </c>
      <c r="T238" s="1" t="s">
        <v>47</v>
      </c>
      <c r="U238" s="1" t="s">
        <v>2538</v>
      </c>
    </row>
    <row r="239">
      <c r="A239" s="1" t="s">
        <v>2359</v>
      </c>
      <c r="B239" s="1" t="s">
        <v>146</v>
      </c>
      <c r="C239" s="1" t="s">
        <v>2541</v>
      </c>
      <c r="D239" s="1" t="s">
        <v>1798</v>
      </c>
      <c r="E239" s="1" t="s">
        <v>175</v>
      </c>
      <c r="F239" s="1" t="s">
        <v>569</v>
      </c>
      <c r="G239" s="1" t="s">
        <v>1842</v>
      </c>
      <c r="H239" s="3">
        <v>46129.0</v>
      </c>
      <c r="K239" s="1" t="s">
        <v>124</v>
      </c>
      <c r="L239" s="1" t="s">
        <v>160</v>
      </c>
      <c r="M239" s="1" t="s">
        <v>162</v>
      </c>
      <c r="N239" s="1" t="s">
        <v>131</v>
      </c>
      <c r="P239" s="1" t="s">
        <v>485</v>
      </c>
      <c r="R239" s="1" t="s">
        <v>137</v>
      </c>
      <c r="S239" s="1" t="s">
        <v>137</v>
      </c>
      <c r="T239" s="1" t="s">
        <v>47</v>
      </c>
      <c r="U239" s="1" t="s">
        <v>2544</v>
      </c>
    </row>
    <row r="240">
      <c r="A240" s="1" t="s">
        <v>2545</v>
      </c>
      <c r="B240" s="1" t="s">
        <v>191</v>
      </c>
      <c r="C240" s="1" t="s">
        <v>2547</v>
      </c>
      <c r="D240" s="1" t="s">
        <v>313</v>
      </c>
      <c r="E240" s="1" t="s">
        <v>175</v>
      </c>
      <c r="F240" s="1" t="s">
        <v>569</v>
      </c>
      <c r="G240" s="1" t="s">
        <v>570</v>
      </c>
      <c r="H240" s="3">
        <v>45691.0</v>
      </c>
      <c r="I240" s="3">
        <v>46127.0</v>
      </c>
      <c r="J240" s="3">
        <v>46127.0</v>
      </c>
      <c r="K240" s="1" t="s">
        <v>215</v>
      </c>
      <c r="L240" s="1" t="s">
        <v>251</v>
      </c>
      <c r="M240" s="1" t="s">
        <v>216</v>
      </c>
      <c r="N240" s="1" t="s">
        <v>131</v>
      </c>
      <c r="O240" s="3">
        <v>46127.0</v>
      </c>
      <c r="R240" s="1" t="s">
        <v>137</v>
      </c>
      <c r="S240" s="1" t="s">
        <v>137</v>
      </c>
      <c r="T240" s="1" t="s">
        <v>47</v>
      </c>
      <c r="U240" s="1" t="s">
        <v>2550</v>
      </c>
    </row>
    <row r="241">
      <c r="A241" s="1" t="s">
        <v>2551</v>
      </c>
      <c r="B241" s="1" t="s">
        <v>191</v>
      </c>
      <c r="C241" s="1" t="s">
        <v>2552</v>
      </c>
      <c r="D241" s="1" t="s">
        <v>1832</v>
      </c>
      <c r="E241" s="1" t="s">
        <v>454</v>
      </c>
      <c r="F241" s="1" t="s">
        <v>637</v>
      </c>
      <c r="G241" s="1" t="s">
        <v>2554</v>
      </c>
      <c r="H241" s="3">
        <v>45578.0</v>
      </c>
      <c r="I241" s="3">
        <v>45684.0</v>
      </c>
      <c r="J241" s="3">
        <v>45684.0</v>
      </c>
      <c r="K241" s="1" t="s">
        <v>215</v>
      </c>
      <c r="L241" s="1" t="s">
        <v>251</v>
      </c>
      <c r="M241" s="1" t="s">
        <v>216</v>
      </c>
      <c r="N241" s="1" t="s">
        <v>131</v>
      </c>
      <c r="O241" s="3">
        <v>45684.0</v>
      </c>
      <c r="R241" s="1" t="s">
        <v>137</v>
      </c>
      <c r="S241" s="1" t="s">
        <v>137</v>
      </c>
      <c r="T241" s="1" t="s">
        <v>47</v>
      </c>
      <c r="U241" s="1" t="s">
        <v>2556</v>
      </c>
    </row>
    <row r="242">
      <c r="A242" s="1" t="s">
        <v>2301</v>
      </c>
      <c r="B242" s="1" t="s">
        <v>116</v>
      </c>
      <c r="C242" s="1" t="s">
        <v>2558</v>
      </c>
      <c r="D242" s="1" t="s">
        <v>1477</v>
      </c>
      <c r="E242" s="1" t="s">
        <v>153</v>
      </c>
      <c r="F242" s="1" t="s">
        <v>155</v>
      </c>
      <c r="G242" s="1" t="s">
        <v>157</v>
      </c>
      <c r="H242" s="3">
        <v>46129.0</v>
      </c>
      <c r="K242" s="1" t="s">
        <v>124</v>
      </c>
      <c r="L242" s="1" t="s">
        <v>71</v>
      </c>
      <c r="M242" s="1" t="s">
        <v>162</v>
      </c>
      <c r="N242" s="1" t="s">
        <v>131</v>
      </c>
      <c r="P242" s="1" t="s">
        <v>164</v>
      </c>
      <c r="R242" s="1" t="s">
        <v>137</v>
      </c>
      <c r="S242" s="1" t="s">
        <v>137</v>
      </c>
      <c r="T242" s="1" t="s">
        <v>47</v>
      </c>
    </row>
    <row r="243">
      <c r="A243" s="1" t="s">
        <v>2562</v>
      </c>
      <c r="B243" s="1" t="s">
        <v>326</v>
      </c>
      <c r="C243" s="1" t="s">
        <v>2563</v>
      </c>
      <c r="D243" s="1" t="s">
        <v>273</v>
      </c>
      <c r="E243" s="1" t="s">
        <v>330</v>
      </c>
      <c r="F243" s="1" t="s">
        <v>356</v>
      </c>
      <c r="G243" s="1" t="s">
        <v>864</v>
      </c>
      <c r="H243" s="3">
        <v>45901.0</v>
      </c>
      <c r="I243" s="3">
        <v>46112.0</v>
      </c>
      <c r="J243" s="3">
        <v>46112.0</v>
      </c>
      <c r="K243" s="1" t="s">
        <v>215</v>
      </c>
      <c r="L243" s="1" t="s">
        <v>98</v>
      </c>
      <c r="M243" s="1" t="s">
        <v>253</v>
      </c>
      <c r="N243" s="1" t="s">
        <v>131</v>
      </c>
      <c r="O243" s="3">
        <v>46142.0</v>
      </c>
      <c r="P243" s="1" t="s">
        <v>337</v>
      </c>
      <c r="R243" s="1" t="s">
        <v>137</v>
      </c>
      <c r="S243" s="1" t="s">
        <v>137</v>
      </c>
      <c r="T243" s="1" t="s">
        <v>47</v>
      </c>
      <c r="U243" s="1" t="s">
        <v>2566</v>
      </c>
    </row>
    <row r="244">
      <c r="A244" s="1" t="s">
        <v>2568</v>
      </c>
      <c r="B244" s="1" t="s">
        <v>2569</v>
      </c>
      <c r="C244" s="1" t="s">
        <v>2570</v>
      </c>
      <c r="D244" s="1" t="s">
        <v>396</v>
      </c>
      <c r="E244" s="1" t="s">
        <v>292</v>
      </c>
      <c r="F244" s="1" t="s">
        <v>576</v>
      </c>
      <c r="G244" s="1" t="s">
        <v>2297</v>
      </c>
      <c r="H244" s="3">
        <v>45719.0</v>
      </c>
      <c r="I244" s="3">
        <v>45880.0</v>
      </c>
      <c r="J244" s="3">
        <v>45880.0</v>
      </c>
      <c r="K244" s="1" t="s">
        <v>215</v>
      </c>
      <c r="L244" s="1" t="s">
        <v>98</v>
      </c>
      <c r="M244" s="1" t="s">
        <v>216</v>
      </c>
      <c r="N244" s="1" t="s">
        <v>131</v>
      </c>
      <c r="O244" s="3">
        <v>45880.0</v>
      </c>
      <c r="R244" s="1" t="s">
        <v>137</v>
      </c>
      <c r="S244" s="1" t="s">
        <v>137</v>
      </c>
      <c r="T244" s="1" t="s">
        <v>47</v>
      </c>
      <c r="U244" s="1" t="s">
        <v>2573</v>
      </c>
    </row>
    <row r="245">
      <c r="A245" s="1" t="s">
        <v>2574</v>
      </c>
      <c r="B245" s="1" t="s">
        <v>191</v>
      </c>
      <c r="C245" s="1" t="s">
        <v>2576</v>
      </c>
      <c r="D245" s="1" t="s">
        <v>1258</v>
      </c>
      <c r="E245" s="1" t="s">
        <v>292</v>
      </c>
      <c r="F245" s="1" t="s">
        <v>576</v>
      </c>
      <c r="G245" s="1" t="s">
        <v>2297</v>
      </c>
      <c r="H245" s="3">
        <v>46248.0</v>
      </c>
      <c r="K245" s="1" t="s">
        <v>124</v>
      </c>
      <c r="L245" s="1" t="s">
        <v>160</v>
      </c>
      <c r="M245" s="1" t="s">
        <v>162</v>
      </c>
      <c r="N245" s="1" t="s">
        <v>131</v>
      </c>
      <c r="P245" s="1" t="s">
        <v>640</v>
      </c>
      <c r="R245" s="1" t="s">
        <v>137</v>
      </c>
      <c r="S245" s="1" t="s">
        <v>137</v>
      </c>
      <c r="T245" s="1" t="s">
        <v>47</v>
      </c>
    </row>
    <row r="246">
      <c r="A246" s="1" t="s">
        <v>2294</v>
      </c>
      <c r="B246" s="1" t="s">
        <v>146</v>
      </c>
      <c r="C246" s="1" t="s">
        <v>2581</v>
      </c>
      <c r="D246" s="1" t="s">
        <v>313</v>
      </c>
      <c r="E246" s="1" t="s">
        <v>209</v>
      </c>
      <c r="F246" s="1" t="s">
        <v>398</v>
      </c>
      <c r="G246" s="1" t="s">
        <v>2039</v>
      </c>
      <c r="H246" s="3">
        <v>46128.0</v>
      </c>
      <c r="K246" s="1" t="s">
        <v>124</v>
      </c>
      <c r="L246" s="1" t="s">
        <v>98</v>
      </c>
      <c r="M246" s="1" t="s">
        <v>162</v>
      </c>
      <c r="N246" s="1" t="s">
        <v>131</v>
      </c>
      <c r="P246" s="1" t="s">
        <v>1591</v>
      </c>
      <c r="R246" s="1" t="s">
        <v>137</v>
      </c>
      <c r="S246" s="1" t="s">
        <v>137</v>
      </c>
      <c r="T246" s="1" t="s">
        <v>47</v>
      </c>
      <c r="U246" s="1" t="s">
        <v>2583</v>
      </c>
    </row>
    <row r="247">
      <c r="A247" s="1" t="s">
        <v>2585</v>
      </c>
      <c r="B247" s="1" t="s">
        <v>191</v>
      </c>
      <c r="C247" s="1" t="s">
        <v>2581</v>
      </c>
      <c r="D247" s="1" t="s">
        <v>313</v>
      </c>
      <c r="E247" s="1" t="s">
        <v>209</v>
      </c>
      <c r="F247" s="1" t="s">
        <v>398</v>
      </c>
      <c r="G247" s="1" t="s">
        <v>2039</v>
      </c>
      <c r="H247" s="3">
        <v>46237.0</v>
      </c>
      <c r="K247" s="1" t="s">
        <v>124</v>
      </c>
      <c r="L247" s="1" t="s">
        <v>160</v>
      </c>
      <c r="M247" s="1" t="s">
        <v>162</v>
      </c>
      <c r="N247" s="1" t="s">
        <v>131</v>
      </c>
      <c r="P247" s="1" t="s">
        <v>444</v>
      </c>
      <c r="R247" s="1" t="s">
        <v>137</v>
      </c>
      <c r="S247" s="1" t="s">
        <v>137</v>
      </c>
      <c r="T247" s="1" t="s">
        <v>47</v>
      </c>
    </row>
    <row r="248">
      <c r="A248" s="1" t="s">
        <v>2587</v>
      </c>
      <c r="B248" s="1" t="s">
        <v>2588</v>
      </c>
      <c r="C248" s="1" t="s">
        <v>2589</v>
      </c>
      <c r="D248" s="1" t="s">
        <v>919</v>
      </c>
      <c r="E248" s="1" t="s">
        <v>330</v>
      </c>
      <c r="F248" s="1" t="s">
        <v>356</v>
      </c>
      <c r="G248" s="1" t="s">
        <v>333</v>
      </c>
      <c r="H248" s="3">
        <v>45847.0</v>
      </c>
      <c r="I248" s="3">
        <v>46089.0</v>
      </c>
      <c r="K248" s="1" t="s">
        <v>215</v>
      </c>
      <c r="L248" s="1" t="s">
        <v>98</v>
      </c>
      <c r="M248" s="1" t="s">
        <v>253</v>
      </c>
      <c r="N248" s="1" t="s">
        <v>365</v>
      </c>
      <c r="O248" s="3">
        <v>46187.0</v>
      </c>
      <c r="P248" s="1" t="s">
        <v>2590</v>
      </c>
      <c r="R248" s="1" t="s">
        <v>137</v>
      </c>
      <c r="S248" s="1" t="s">
        <v>137</v>
      </c>
      <c r="T248" s="1" t="s">
        <v>47</v>
      </c>
      <c r="U248" s="1" t="s">
        <v>2592</v>
      </c>
    </row>
    <row r="249">
      <c r="A249" s="1" t="s">
        <v>1735</v>
      </c>
      <c r="B249" s="1" t="s">
        <v>1839</v>
      </c>
      <c r="C249" s="1" t="s">
        <v>2593</v>
      </c>
      <c r="D249" s="1" t="s">
        <v>1823</v>
      </c>
      <c r="E249" s="1" t="s">
        <v>292</v>
      </c>
      <c r="F249" s="1" t="s">
        <v>293</v>
      </c>
      <c r="G249" s="1" t="s">
        <v>295</v>
      </c>
      <c r="H249" s="3">
        <v>46042.0</v>
      </c>
      <c r="K249" s="1" t="s">
        <v>124</v>
      </c>
      <c r="L249" s="1" t="s">
        <v>251</v>
      </c>
      <c r="M249" s="1" t="s">
        <v>363</v>
      </c>
      <c r="N249" s="1" t="s">
        <v>131</v>
      </c>
      <c r="P249" s="1" t="s">
        <v>2595</v>
      </c>
      <c r="R249" s="1" t="s">
        <v>137</v>
      </c>
      <c r="S249" s="1" t="s">
        <v>137</v>
      </c>
      <c r="T249" s="1" t="s">
        <v>47</v>
      </c>
      <c r="U249" s="1" t="s">
        <v>2597</v>
      </c>
    </row>
    <row r="250">
      <c r="A250" s="1" t="s">
        <v>1561</v>
      </c>
      <c r="B250" s="1" t="s">
        <v>191</v>
      </c>
      <c r="C250" s="1" t="s">
        <v>2598</v>
      </c>
      <c r="D250" s="1" t="s">
        <v>1067</v>
      </c>
      <c r="E250" s="1" t="s">
        <v>330</v>
      </c>
      <c r="F250" s="1" t="s">
        <v>663</v>
      </c>
      <c r="G250" s="1" t="s">
        <v>1068</v>
      </c>
      <c r="H250" s="3">
        <v>46062.0</v>
      </c>
      <c r="I250" s="3">
        <v>46238.0</v>
      </c>
      <c r="K250" s="1" t="s">
        <v>124</v>
      </c>
      <c r="L250" s="1" t="s">
        <v>98</v>
      </c>
      <c r="M250" s="1" t="s">
        <v>253</v>
      </c>
      <c r="N250" s="1" t="s">
        <v>131</v>
      </c>
      <c r="P250" s="1" t="s">
        <v>1197</v>
      </c>
      <c r="R250" s="1" t="s">
        <v>137</v>
      </c>
      <c r="S250" s="1" t="s">
        <v>137</v>
      </c>
      <c r="T250" s="1" t="s">
        <v>47</v>
      </c>
      <c r="U250" s="1" t="s">
        <v>2603</v>
      </c>
    </row>
    <row r="251">
      <c r="A251" s="1" t="s">
        <v>431</v>
      </c>
      <c r="B251" s="1" t="s">
        <v>2604</v>
      </c>
      <c r="C251" s="1" t="s">
        <v>2605</v>
      </c>
      <c r="D251" s="1" t="s">
        <v>1932</v>
      </c>
      <c r="E251" s="1" t="s">
        <v>292</v>
      </c>
      <c r="F251" s="1" t="s">
        <v>962</v>
      </c>
      <c r="G251" s="1" t="s">
        <v>2607</v>
      </c>
      <c r="H251" s="3">
        <v>45488.0</v>
      </c>
      <c r="I251" s="3">
        <v>46477.0</v>
      </c>
      <c r="K251" s="1" t="s">
        <v>124</v>
      </c>
      <c r="L251" s="1" t="s">
        <v>98</v>
      </c>
      <c r="M251" s="1" t="s">
        <v>335</v>
      </c>
      <c r="N251" s="1" t="s">
        <v>472</v>
      </c>
      <c r="P251" s="1" t="s">
        <v>279</v>
      </c>
      <c r="R251" s="1" t="s">
        <v>137</v>
      </c>
      <c r="S251" s="1" t="s">
        <v>137</v>
      </c>
      <c r="T251" s="1" t="s">
        <v>47</v>
      </c>
      <c r="U251" s="1" t="s">
        <v>2610</v>
      </c>
    </row>
    <row r="252">
      <c r="A252" s="1" t="s">
        <v>2611</v>
      </c>
      <c r="B252" s="1" t="s">
        <v>191</v>
      </c>
      <c r="C252" s="1" t="s">
        <v>2612</v>
      </c>
      <c r="D252" s="1" t="s">
        <v>509</v>
      </c>
      <c r="E252" s="1" t="s">
        <v>889</v>
      </c>
      <c r="F252" s="1" t="s">
        <v>2614</v>
      </c>
      <c r="G252" s="1" t="s">
        <v>2615</v>
      </c>
      <c r="H252" s="3">
        <v>46251.0</v>
      </c>
      <c r="K252" s="1" t="s">
        <v>124</v>
      </c>
      <c r="L252" s="1" t="s">
        <v>251</v>
      </c>
      <c r="M252" s="1" t="s">
        <v>162</v>
      </c>
      <c r="N252" s="1" t="s">
        <v>131</v>
      </c>
      <c r="P252" s="1" t="s">
        <v>1927</v>
      </c>
      <c r="R252" s="1" t="s">
        <v>137</v>
      </c>
      <c r="S252" s="1" t="s">
        <v>137</v>
      </c>
      <c r="T252" s="1" t="s">
        <v>47</v>
      </c>
      <c r="U252" s="1" t="s">
        <v>2617</v>
      </c>
    </row>
    <row r="253">
      <c r="A253" s="1" t="s">
        <v>2619</v>
      </c>
      <c r="B253" s="1" t="s">
        <v>191</v>
      </c>
      <c r="C253" s="1" t="s">
        <v>2620</v>
      </c>
      <c r="D253" s="1" t="s">
        <v>657</v>
      </c>
      <c r="E253" s="1" t="s">
        <v>2621</v>
      </c>
      <c r="F253" s="1" t="s">
        <v>2622</v>
      </c>
      <c r="G253" s="1" t="s">
        <v>2623</v>
      </c>
      <c r="H253" s="3">
        <v>45940.0</v>
      </c>
      <c r="I253" s="3">
        <v>46195.0</v>
      </c>
      <c r="J253" s="3">
        <v>46195.0</v>
      </c>
      <c r="K253" s="1" t="s">
        <v>215</v>
      </c>
      <c r="L253" s="1" t="s">
        <v>251</v>
      </c>
      <c r="M253" s="1" t="s">
        <v>216</v>
      </c>
      <c r="N253" s="1" t="s">
        <v>131</v>
      </c>
      <c r="O253" s="3">
        <v>46206.0</v>
      </c>
      <c r="R253" s="1" t="s">
        <v>137</v>
      </c>
      <c r="S253" s="1" t="s">
        <v>137</v>
      </c>
      <c r="T253" s="1" t="s">
        <v>47</v>
      </c>
      <c r="U253" s="1" t="s">
        <v>2625</v>
      </c>
    </row>
    <row r="254">
      <c r="A254" s="1" t="s">
        <v>2032</v>
      </c>
      <c r="B254" s="1" t="s">
        <v>240</v>
      </c>
      <c r="C254" s="1" t="s">
        <v>2626</v>
      </c>
      <c r="D254" s="1" t="s">
        <v>548</v>
      </c>
      <c r="E254" s="1" t="s">
        <v>520</v>
      </c>
      <c r="F254" s="1" t="s">
        <v>1229</v>
      </c>
      <c r="G254" s="1" t="s">
        <v>2628</v>
      </c>
      <c r="H254" s="3">
        <v>46092.0</v>
      </c>
      <c r="I254" s="3">
        <v>46234.0</v>
      </c>
      <c r="K254" s="1" t="s">
        <v>124</v>
      </c>
      <c r="L254" s="1" t="s">
        <v>251</v>
      </c>
      <c r="M254" s="1" t="s">
        <v>300</v>
      </c>
      <c r="N254" s="1" t="s">
        <v>131</v>
      </c>
      <c r="P254" s="1" t="s">
        <v>1453</v>
      </c>
      <c r="R254" s="1" t="s">
        <v>137</v>
      </c>
      <c r="S254" s="1" t="s">
        <v>137</v>
      </c>
      <c r="T254" s="1" t="s">
        <v>47</v>
      </c>
      <c r="U254" s="1" t="s">
        <v>2630</v>
      </c>
    </row>
    <row r="255">
      <c r="A255" s="1" t="s">
        <v>2481</v>
      </c>
      <c r="B255" s="1" t="s">
        <v>2631</v>
      </c>
      <c r="C255" s="1" t="s">
        <v>2632</v>
      </c>
      <c r="D255" s="1" t="s">
        <v>1291</v>
      </c>
      <c r="E255" s="1" t="s">
        <v>292</v>
      </c>
      <c r="F255" s="1" t="s">
        <v>468</v>
      </c>
      <c r="G255" s="1" t="s">
        <v>998</v>
      </c>
      <c r="H255" s="3">
        <v>46147.0</v>
      </c>
      <c r="I255" s="3">
        <v>46293.0</v>
      </c>
      <c r="K255" s="1" t="s">
        <v>124</v>
      </c>
      <c r="L255" s="1" t="s">
        <v>98</v>
      </c>
      <c r="M255" s="1" t="s">
        <v>335</v>
      </c>
      <c r="N255" s="1" t="s">
        <v>131</v>
      </c>
      <c r="P255" s="1" t="s">
        <v>2635</v>
      </c>
      <c r="R255" s="1" t="s">
        <v>137</v>
      </c>
      <c r="S255" s="1" t="s">
        <v>137</v>
      </c>
      <c r="T255" s="1" t="s">
        <v>47</v>
      </c>
      <c r="U255" s="1" t="s">
        <v>2636</v>
      </c>
    </row>
    <row r="256">
      <c r="A256" s="1" t="s">
        <v>2638</v>
      </c>
      <c r="B256" s="1" t="s">
        <v>191</v>
      </c>
      <c r="C256" s="1" t="s">
        <v>2639</v>
      </c>
      <c r="D256" s="1" t="s">
        <v>273</v>
      </c>
      <c r="E256" s="1" t="s">
        <v>330</v>
      </c>
      <c r="F256" s="1" t="s">
        <v>356</v>
      </c>
      <c r="G256" s="1" t="s">
        <v>875</v>
      </c>
      <c r="H256" s="3">
        <v>46078.0</v>
      </c>
      <c r="I256" s="3">
        <v>46230.0</v>
      </c>
      <c r="J256" s="3">
        <v>46230.0</v>
      </c>
      <c r="K256" s="1" t="s">
        <v>215</v>
      </c>
      <c r="L256" s="1" t="s">
        <v>98</v>
      </c>
      <c r="M256" s="1" t="s">
        <v>216</v>
      </c>
      <c r="N256" s="1" t="s">
        <v>131</v>
      </c>
      <c r="O256" s="3">
        <v>46230.0</v>
      </c>
      <c r="P256" s="1" t="s">
        <v>420</v>
      </c>
      <c r="R256" s="1" t="s">
        <v>137</v>
      </c>
      <c r="S256" s="1" t="s">
        <v>137</v>
      </c>
      <c r="T256" s="1" t="s">
        <v>47</v>
      </c>
      <c r="U256" s="1" t="s">
        <v>2642</v>
      </c>
    </row>
    <row r="257">
      <c r="A257" s="1" t="s">
        <v>2643</v>
      </c>
      <c r="B257" s="1" t="s">
        <v>2644</v>
      </c>
      <c r="C257" s="1" t="s">
        <v>2639</v>
      </c>
      <c r="D257" s="1" t="s">
        <v>273</v>
      </c>
      <c r="E257" s="1" t="s">
        <v>330</v>
      </c>
      <c r="F257" s="1" t="s">
        <v>356</v>
      </c>
      <c r="G257" s="1" t="s">
        <v>875</v>
      </c>
      <c r="H257" s="3">
        <v>46244.0</v>
      </c>
      <c r="I257" s="3">
        <v>46419.0</v>
      </c>
      <c r="K257" s="1" t="s">
        <v>124</v>
      </c>
      <c r="L257" s="1" t="s">
        <v>98</v>
      </c>
      <c r="M257" s="1" t="s">
        <v>162</v>
      </c>
      <c r="N257" s="1" t="s">
        <v>131</v>
      </c>
      <c r="R257" s="1" t="s">
        <v>665</v>
      </c>
      <c r="S257" s="1" t="s">
        <v>665</v>
      </c>
      <c r="T257" s="1" t="s">
        <v>666</v>
      </c>
      <c r="U257" s="1" t="s">
        <v>2648</v>
      </c>
    </row>
    <row r="258">
      <c r="A258" s="1" t="s">
        <v>2279</v>
      </c>
      <c r="B258" s="1" t="s">
        <v>191</v>
      </c>
      <c r="C258" s="1" t="s">
        <v>2649</v>
      </c>
      <c r="D258" s="1" t="s">
        <v>509</v>
      </c>
      <c r="E258" s="1" t="s">
        <v>889</v>
      </c>
      <c r="F258" s="1" t="s">
        <v>2614</v>
      </c>
      <c r="G258" s="1" t="s">
        <v>2650</v>
      </c>
      <c r="H258" s="3">
        <v>46153.0</v>
      </c>
      <c r="I258" s="3">
        <v>46328.0</v>
      </c>
      <c r="K258" s="1" t="s">
        <v>124</v>
      </c>
      <c r="L258" s="1" t="s">
        <v>251</v>
      </c>
      <c r="M258" s="1" t="s">
        <v>162</v>
      </c>
      <c r="N258" s="1" t="s">
        <v>365</v>
      </c>
      <c r="P258" s="1" t="s">
        <v>1197</v>
      </c>
      <c r="R258" s="1" t="s">
        <v>137</v>
      </c>
      <c r="S258" s="1" t="s">
        <v>137</v>
      </c>
      <c r="T258" s="1" t="s">
        <v>47</v>
      </c>
      <c r="U258" s="1" t="s">
        <v>2652</v>
      </c>
    </row>
    <row r="259">
      <c r="A259" s="1" t="s">
        <v>2654</v>
      </c>
      <c r="B259" s="1" t="s">
        <v>354</v>
      </c>
      <c r="C259" s="1" t="s">
        <v>2656</v>
      </c>
      <c r="D259" s="1" t="s">
        <v>172</v>
      </c>
      <c r="E259" s="1" t="s">
        <v>175</v>
      </c>
      <c r="F259" s="1" t="s">
        <v>1767</v>
      </c>
      <c r="G259" s="1" t="s">
        <v>1768</v>
      </c>
      <c r="H259" s="3">
        <v>45866.0</v>
      </c>
      <c r="I259" s="3">
        <v>46073.0</v>
      </c>
      <c r="J259" s="3">
        <v>46073.0</v>
      </c>
      <c r="K259" s="1" t="s">
        <v>215</v>
      </c>
      <c r="L259" s="1" t="s">
        <v>251</v>
      </c>
      <c r="M259" s="1" t="s">
        <v>253</v>
      </c>
      <c r="N259" s="1" t="s">
        <v>131</v>
      </c>
      <c r="O259" s="3">
        <v>46073.0</v>
      </c>
      <c r="R259" s="1" t="s">
        <v>137</v>
      </c>
      <c r="S259" s="1" t="s">
        <v>137</v>
      </c>
      <c r="T259" s="1" t="s">
        <v>47</v>
      </c>
      <c r="U259" s="1" t="s">
        <v>2659</v>
      </c>
    </row>
    <row r="260">
      <c r="A260" s="1" t="s">
        <v>428</v>
      </c>
      <c r="B260" s="1" t="s">
        <v>191</v>
      </c>
      <c r="C260" s="1" t="s">
        <v>2660</v>
      </c>
      <c r="D260" s="1" t="s">
        <v>509</v>
      </c>
      <c r="E260" s="1" t="s">
        <v>454</v>
      </c>
      <c r="F260" s="1" t="s">
        <v>637</v>
      </c>
      <c r="G260" s="1" t="s">
        <v>1513</v>
      </c>
      <c r="H260" s="3">
        <v>46146.0</v>
      </c>
      <c r="K260" s="1" t="s">
        <v>124</v>
      </c>
      <c r="L260" s="1" t="s">
        <v>251</v>
      </c>
      <c r="M260" s="1" t="s">
        <v>162</v>
      </c>
      <c r="N260" s="1" t="s">
        <v>131</v>
      </c>
      <c r="P260" s="1" t="s">
        <v>2662</v>
      </c>
      <c r="R260" s="1" t="s">
        <v>137</v>
      </c>
      <c r="S260" s="1" t="s">
        <v>137</v>
      </c>
      <c r="T260" s="1" t="s">
        <v>47</v>
      </c>
    </row>
    <row r="261">
      <c r="A261" s="1" t="s">
        <v>2664</v>
      </c>
      <c r="B261" s="1" t="s">
        <v>191</v>
      </c>
      <c r="C261" s="1" t="s">
        <v>2665</v>
      </c>
      <c r="D261" s="1" t="s">
        <v>777</v>
      </c>
      <c r="E261" s="1" t="s">
        <v>209</v>
      </c>
      <c r="F261" s="1" t="s">
        <v>210</v>
      </c>
      <c r="G261" s="1" t="s">
        <v>211</v>
      </c>
      <c r="H261" s="3">
        <v>46265.0</v>
      </c>
      <c r="I261" s="3">
        <v>46461.0</v>
      </c>
      <c r="K261" s="1" t="s">
        <v>124</v>
      </c>
      <c r="L261" s="1" t="s">
        <v>160</v>
      </c>
      <c r="M261" s="1" t="s">
        <v>162</v>
      </c>
      <c r="N261" s="1" t="s">
        <v>131</v>
      </c>
      <c r="P261" s="1" t="s">
        <v>2670</v>
      </c>
      <c r="R261" s="1" t="s">
        <v>137</v>
      </c>
      <c r="S261" s="1" t="s">
        <v>137</v>
      </c>
      <c r="T261" s="1" t="s">
        <v>47</v>
      </c>
    </row>
    <row r="262">
      <c r="A262" s="1" t="s">
        <v>2671</v>
      </c>
      <c r="B262" s="1" t="s">
        <v>191</v>
      </c>
      <c r="C262" s="1" t="s">
        <v>2673</v>
      </c>
      <c r="D262" s="1" t="s">
        <v>313</v>
      </c>
      <c r="E262" s="1" t="s">
        <v>889</v>
      </c>
      <c r="F262" s="1" t="s">
        <v>1193</v>
      </c>
      <c r="G262" s="1" t="s">
        <v>1195</v>
      </c>
      <c r="H262" s="3">
        <v>46286.0</v>
      </c>
      <c r="K262" s="1" t="s">
        <v>124</v>
      </c>
      <c r="L262" s="1" t="s">
        <v>160</v>
      </c>
      <c r="M262" s="1" t="s">
        <v>162</v>
      </c>
      <c r="N262" s="1" t="s">
        <v>131</v>
      </c>
      <c r="P262" s="1" t="s">
        <v>2379</v>
      </c>
      <c r="R262" s="1" t="s">
        <v>137</v>
      </c>
      <c r="S262" s="1" t="s">
        <v>137</v>
      </c>
      <c r="T262" s="1" t="s">
        <v>47</v>
      </c>
    </row>
    <row r="263">
      <c r="A263" s="1" t="s">
        <v>2676</v>
      </c>
      <c r="B263" s="1" t="s">
        <v>191</v>
      </c>
      <c r="C263" s="1" t="s">
        <v>2677</v>
      </c>
      <c r="D263" s="1" t="s">
        <v>273</v>
      </c>
      <c r="E263" s="1" t="s">
        <v>330</v>
      </c>
      <c r="F263" s="1" t="s">
        <v>331</v>
      </c>
      <c r="G263" s="1" t="s">
        <v>333</v>
      </c>
      <c r="H263" s="3">
        <v>45698.0</v>
      </c>
      <c r="I263" s="3">
        <v>45805.0</v>
      </c>
      <c r="J263" s="3">
        <v>45805.0</v>
      </c>
      <c r="K263" s="1" t="s">
        <v>215</v>
      </c>
      <c r="L263" s="1" t="s">
        <v>251</v>
      </c>
      <c r="M263" s="1" t="s">
        <v>253</v>
      </c>
      <c r="N263" s="1" t="s">
        <v>131</v>
      </c>
      <c r="O263" s="3">
        <v>45837.0</v>
      </c>
      <c r="P263" s="1" t="s">
        <v>1320</v>
      </c>
      <c r="R263" s="1" t="s">
        <v>137</v>
      </c>
      <c r="S263" s="1" t="s">
        <v>137</v>
      </c>
      <c r="T263" s="1" t="s">
        <v>47</v>
      </c>
    </row>
    <row r="264">
      <c r="A264" s="1" t="s">
        <v>2681</v>
      </c>
      <c r="B264" s="1" t="s">
        <v>191</v>
      </c>
      <c r="C264" s="1" t="s">
        <v>2684</v>
      </c>
      <c r="D264" s="1" t="s">
        <v>1798</v>
      </c>
      <c r="E264" s="1" t="s">
        <v>175</v>
      </c>
      <c r="F264" s="1" t="s">
        <v>569</v>
      </c>
      <c r="G264" s="1" t="s">
        <v>1726</v>
      </c>
      <c r="H264" s="3">
        <v>46251.0</v>
      </c>
      <c r="I264" s="3">
        <v>46363.0</v>
      </c>
      <c r="K264" s="1" t="s">
        <v>124</v>
      </c>
      <c r="L264" s="1" t="s">
        <v>160</v>
      </c>
      <c r="M264" s="1" t="s">
        <v>162</v>
      </c>
      <c r="N264" s="1" t="s">
        <v>131</v>
      </c>
      <c r="P264" s="1" t="s">
        <v>2396</v>
      </c>
      <c r="R264" s="1" t="s">
        <v>137</v>
      </c>
      <c r="S264" s="1" t="s">
        <v>137</v>
      </c>
      <c r="T264" s="1" t="s">
        <v>47</v>
      </c>
      <c r="U264" s="1" t="s">
        <v>2687</v>
      </c>
    </row>
    <row r="265">
      <c r="A265" s="1" t="s">
        <v>2689</v>
      </c>
      <c r="B265" s="1" t="s">
        <v>1813</v>
      </c>
      <c r="C265" s="1" t="s">
        <v>2690</v>
      </c>
      <c r="D265" s="1" t="s">
        <v>172</v>
      </c>
      <c r="E265" s="1" t="s">
        <v>175</v>
      </c>
      <c r="F265" s="1" t="s">
        <v>177</v>
      </c>
      <c r="G265" s="1" t="s">
        <v>672</v>
      </c>
      <c r="H265" s="3">
        <v>45995.0</v>
      </c>
      <c r="I265" s="3">
        <v>46094.0</v>
      </c>
      <c r="K265" s="1" t="s">
        <v>124</v>
      </c>
      <c r="L265" s="1" t="s">
        <v>251</v>
      </c>
      <c r="M265" s="1" t="s">
        <v>162</v>
      </c>
      <c r="N265" s="1" t="s">
        <v>131</v>
      </c>
      <c r="R265" s="1" t="s">
        <v>2694</v>
      </c>
      <c r="S265" s="1" t="s">
        <v>2694</v>
      </c>
      <c r="T265" s="1" t="s">
        <v>2697</v>
      </c>
      <c r="U265" s="1" t="s">
        <v>2698</v>
      </c>
    </row>
    <row r="266">
      <c r="A266" s="1" t="s">
        <v>2572</v>
      </c>
      <c r="B266" s="1" t="s">
        <v>191</v>
      </c>
      <c r="C266" s="1" t="s">
        <v>2699</v>
      </c>
      <c r="D266" s="1" t="s">
        <v>1360</v>
      </c>
      <c r="E266" s="1" t="s">
        <v>292</v>
      </c>
      <c r="F266" s="1" t="s">
        <v>293</v>
      </c>
      <c r="G266" s="1" t="s">
        <v>2091</v>
      </c>
      <c r="H266" s="3">
        <v>46174.0</v>
      </c>
      <c r="K266" s="1" t="s">
        <v>124</v>
      </c>
      <c r="L266" s="1" t="s">
        <v>251</v>
      </c>
      <c r="M266" s="1" t="s">
        <v>363</v>
      </c>
      <c r="N266" s="1" t="s">
        <v>131</v>
      </c>
      <c r="P266" s="1" t="s">
        <v>2703</v>
      </c>
      <c r="R266" s="1" t="s">
        <v>137</v>
      </c>
      <c r="S266" s="1" t="s">
        <v>137</v>
      </c>
      <c r="T266" s="1" t="s">
        <v>47</v>
      </c>
      <c r="U266" s="1" t="s">
        <v>2706</v>
      </c>
    </row>
    <row r="267">
      <c r="A267" s="1" t="s">
        <v>2707</v>
      </c>
      <c r="B267" s="1" t="s">
        <v>191</v>
      </c>
      <c r="C267" s="1" t="s">
        <v>2708</v>
      </c>
      <c r="D267" s="1" t="s">
        <v>172</v>
      </c>
      <c r="E267" s="1" t="s">
        <v>175</v>
      </c>
      <c r="F267" s="1" t="s">
        <v>177</v>
      </c>
      <c r="G267" s="1" t="s">
        <v>178</v>
      </c>
      <c r="H267" s="3">
        <v>45875.0</v>
      </c>
      <c r="I267" s="3">
        <v>46048.0</v>
      </c>
      <c r="J267" s="3">
        <v>46048.0</v>
      </c>
      <c r="K267" s="1" t="s">
        <v>215</v>
      </c>
      <c r="L267" s="1" t="s">
        <v>251</v>
      </c>
      <c r="M267" s="1" t="s">
        <v>216</v>
      </c>
      <c r="N267" s="1" t="s">
        <v>131</v>
      </c>
      <c r="O267" s="3">
        <v>46048.0</v>
      </c>
      <c r="R267" s="1" t="s">
        <v>137</v>
      </c>
      <c r="S267" s="1" t="s">
        <v>137</v>
      </c>
      <c r="T267" s="1" t="s">
        <v>47</v>
      </c>
      <c r="U267" s="1" t="s">
        <v>2713</v>
      </c>
    </row>
    <row r="268">
      <c r="A268" s="1" t="s">
        <v>2715</v>
      </c>
      <c r="B268" s="1" t="s">
        <v>116</v>
      </c>
      <c r="C268" s="1" t="s">
        <v>2716</v>
      </c>
      <c r="D268" s="1" t="s">
        <v>172</v>
      </c>
      <c r="E268" s="1" t="s">
        <v>175</v>
      </c>
      <c r="F268" s="1" t="s">
        <v>1767</v>
      </c>
      <c r="G268" s="1" t="s">
        <v>1768</v>
      </c>
      <c r="H268" s="3">
        <v>46129.0</v>
      </c>
      <c r="K268" s="1" t="s">
        <v>124</v>
      </c>
      <c r="L268" s="1" t="s">
        <v>71</v>
      </c>
      <c r="M268" s="1" t="s">
        <v>162</v>
      </c>
      <c r="N268" s="1" t="s">
        <v>131</v>
      </c>
      <c r="R268" s="1" t="s">
        <v>137</v>
      </c>
      <c r="S268" s="1" t="s">
        <v>137</v>
      </c>
      <c r="T268" s="1" t="s">
        <v>47</v>
      </c>
    </row>
    <row r="269">
      <c r="A269" s="1" t="s">
        <v>2720</v>
      </c>
      <c r="B269" s="1" t="s">
        <v>191</v>
      </c>
      <c r="C269" s="1" t="s">
        <v>2723</v>
      </c>
      <c r="D269" s="1" t="s">
        <v>313</v>
      </c>
      <c r="E269" s="1" t="s">
        <v>175</v>
      </c>
      <c r="F269" s="1" t="s">
        <v>569</v>
      </c>
      <c r="G269" s="1" t="s">
        <v>798</v>
      </c>
      <c r="H269" s="3">
        <v>45866.0</v>
      </c>
      <c r="I269" s="3">
        <v>46090.0</v>
      </c>
      <c r="J269" s="3">
        <v>46090.0</v>
      </c>
      <c r="K269" s="1" t="s">
        <v>215</v>
      </c>
      <c r="L269" s="1" t="s">
        <v>251</v>
      </c>
      <c r="M269" s="1" t="s">
        <v>216</v>
      </c>
      <c r="N269" s="1" t="s">
        <v>131</v>
      </c>
      <c r="O269" s="3">
        <v>46121.0</v>
      </c>
      <c r="R269" s="1" t="s">
        <v>137</v>
      </c>
      <c r="S269" s="1" t="s">
        <v>137</v>
      </c>
      <c r="T269" s="1" t="s">
        <v>47</v>
      </c>
      <c r="U269" s="1" t="s">
        <v>2731</v>
      </c>
    </row>
    <row r="270">
      <c r="A270" s="1" t="s">
        <v>2732</v>
      </c>
      <c r="B270" s="1" t="s">
        <v>116</v>
      </c>
      <c r="C270" s="1" t="s">
        <v>2735</v>
      </c>
      <c r="D270" s="1" t="s">
        <v>1477</v>
      </c>
      <c r="E270" s="1" t="s">
        <v>175</v>
      </c>
      <c r="F270" s="1" t="s">
        <v>177</v>
      </c>
      <c r="G270" s="1" t="s">
        <v>1778</v>
      </c>
      <c r="H270" s="3">
        <v>46247.0</v>
      </c>
      <c r="K270" s="1" t="s">
        <v>124</v>
      </c>
      <c r="L270" s="1" t="s">
        <v>71</v>
      </c>
      <c r="M270" s="1" t="s">
        <v>162</v>
      </c>
      <c r="N270" s="1" t="s">
        <v>131</v>
      </c>
      <c r="P270" s="1" t="s">
        <v>2737</v>
      </c>
      <c r="R270" s="1" t="s">
        <v>137</v>
      </c>
      <c r="S270" s="1" t="s">
        <v>137</v>
      </c>
      <c r="T270" s="1" t="s">
        <v>47</v>
      </c>
    </row>
    <row r="271">
      <c r="A271" s="1" t="s">
        <v>2740</v>
      </c>
      <c r="B271" s="1" t="s">
        <v>191</v>
      </c>
      <c r="C271" s="1" t="s">
        <v>2741</v>
      </c>
      <c r="D271" s="1" t="s">
        <v>593</v>
      </c>
      <c r="E271" s="1" t="s">
        <v>330</v>
      </c>
      <c r="F271" s="1" t="s">
        <v>663</v>
      </c>
      <c r="G271" s="1" t="s">
        <v>664</v>
      </c>
      <c r="H271" s="3">
        <v>45950.0</v>
      </c>
      <c r="I271" s="3">
        <v>46078.0</v>
      </c>
      <c r="J271" s="3">
        <v>46078.0</v>
      </c>
      <c r="K271" s="1" t="s">
        <v>215</v>
      </c>
      <c r="L271" s="1" t="s">
        <v>251</v>
      </c>
      <c r="M271" s="1" t="s">
        <v>216</v>
      </c>
      <c r="N271" s="1" t="s">
        <v>131</v>
      </c>
      <c r="O271" s="3">
        <v>46078.0</v>
      </c>
      <c r="R271" s="1" t="s">
        <v>137</v>
      </c>
      <c r="S271" s="1" t="s">
        <v>137</v>
      </c>
      <c r="T271" s="1" t="s">
        <v>47</v>
      </c>
      <c r="U271" s="1" t="s">
        <v>2748</v>
      </c>
    </row>
    <row r="272">
      <c r="A272" s="1" t="s">
        <v>2749</v>
      </c>
      <c r="B272" s="1" t="s">
        <v>191</v>
      </c>
      <c r="C272" s="1" t="s">
        <v>2751</v>
      </c>
      <c r="D272" s="1" t="s">
        <v>657</v>
      </c>
      <c r="E272" s="1" t="s">
        <v>292</v>
      </c>
      <c r="F272" s="1" t="s">
        <v>468</v>
      </c>
      <c r="G272" s="1" t="s">
        <v>470</v>
      </c>
      <c r="H272" s="3">
        <v>45796.0</v>
      </c>
      <c r="I272" s="3">
        <v>45943.0</v>
      </c>
      <c r="K272" s="1" t="s">
        <v>215</v>
      </c>
      <c r="L272" s="1" t="s">
        <v>251</v>
      </c>
      <c r="M272" s="1" t="s">
        <v>216</v>
      </c>
      <c r="N272" s="1" t="s">
        <v>131</v>
      </c>
      <c r="O272" s="3">
        <v>45943.0</v>
      </c>
      <c r="R272" s="1" t="s">
        <v>137</v>
      </c>
      <c r="S272" s="1" t="s">
        <v>137</v>
      </c>
      <c r="T272" s="1" t="s">
        <v>47</v>
      </c>
      <c r="U272" s="1" t="s">
        <v>2759</v>
      </c>
    </row>
    <row r="273">
      <c r="A273" s="1" t="s">
        <v>2255</v>
      </c>
      <c r="B273" s="1" t="s">
        <v>2760</v>
      </c>
      <c r="C273" s="1" t="s">
        <v>2762</v>
      </c>
      <c r="D273" s="1" t="s">
        <v>396</v>
      </c>
      <c r="E273" s="1" t="s">
        <v>292</v>
      </c>
      <c r="F273" s="1" t="s">
        <v>576</v>
      </c>
      <c r="G273" s="1" t="s">
        <v>835</v>
      </c>
      <c r="H273" s="3">
        <v>46125.0</v>
      </c>
      <c r="I273" s="3">
        <v>46290.0</v>
      </c>
      <c r="K273" s="1" t="s">
        <v>124</v>
      </c>
      <c r="L273" s="1" t="s">
        <v>160</v>
      </c>
      <c r="M273" s="1" t="s">
        <v>460</v>
      </c>
      <c r="N273" s="1" t="s">
        <v>131</v>
      </c>
      <c r="P273" s="1" t="s">
        <v>2768</v>
      </c>
      <c r="R273" s="1" t="s">
        <v>137</v>
      </c>
      <c r="S273" s="1" t="s">
        <v>137</v>
      </c>
      <c r="T273" s="1" t="s">
        <v>47</v>
      </c>
      <c r="U273" s="1" t="s">
        <v>2770</v>
      </c>
    </row>
    <row r="274">
      <c r="A274" s="1" t="s">
        <v>2772</v>
      </c>
      <c r="B274" s="1" t="s">
        <v>191</v>
      </c>
      <c r="C274" s="1" t="s">
        <v>2762</v>
      </c>
      <c r="D274" s="1" t="s">
        <v>396</v>
      </c>
      <c r="E274" s="1" t="s">
        <v>292</v>
      </c>
      <c r="F274" s="1" t="s">
        <v>576</v>
      </c>
      <c r="G274" s="1" t="s">
        <v>835</v>
      </c>
      <c r="H274" s="3">
        <v>46000.0</v>
      </c>
      <c r="I274" s="3">
        <v>46125.0</v>
      </c>
      <c r="J274" s="3">
        <v>46125.0</v>
      </c>
      <c r="K274" s="1" t="s">
        <v>215</v>
      </c>
      <c r="L274" s="1" t="s">
        <v>251</v>
      </c>
      <c r="M274" s="1" t="s">
        <v>216</v>
      </c>
      <c r="N274" s="1" t="s">
        <v>131</v>
      </c>
      <c r="O274" s="3">
        <v>46146.0</v>
      </c>
      <c r="R274" s="1" t="s">
        <v>137</v>
      </c>
      <c r="S274" s="1" t="s">
        <v>137</v>
      </c>
      <c r="T274" s="1" t="s">
        <v>47</v>
      </c>
      <c r="U274" s="1" t="s">
        <v>2781</v>
      </c>
    </row>
    <row r="275">
      <c r="A275" s="1" t="s">
        <v>2782</v>
      </c>
      <c r="B275" s="1" t="s">
        <v>191</v>
      </c>
      <c r="C275" s="1" t="s">
        <v>2785</v>
      </c>
      <c r="D275" s="1" t="s">
        <v>1272</v>
      </c>
      <c r="E275" s="1" t="s">
        <v>889</v>
      </c>
      <c r="F275" s="1" t="s">
        <v>890</v>
      </c>
      <c r="G275" s="1" t="s">
        <v>892</v>
      </c>
      <c r="H275" s="3">
        <v>46279.0</v>
      </c>
      <c r="K275" s="1" t="s">
        <v>124</v>
      </c>
      <c r="L275" s="1" t="s">
        <v>98</v>
      </c>
      <c r="M275" s="1" t="s">
        <v>162</v>
      </c>
      <c r="N275" s="1" t="s">
        <v>131</v>
      </c>
      <c r="P275" s="1" t="s">
        <v>2170</v>
      </c>
      <c r="R275" s="1" t="s">
        <v>137</v>
      </c>
      <c r="S275" s="1" t="s">
        <v>137</v>
      </c>
      <c r="T275" s="1" t="s">
        <v>47</v>
      </c>
    </row>
    <row r="276">
      <c r="A276" s="1" t="s">
        <v>2789</v>
      </c>
      <c r="B276" s="1" t="s">
        <v>2795</v>
      </c>
      <c r="C276" s="1" t="s">
        <v>2796</v>
      </c>
      <c r="D276" s="1" t="s">
        <v>777</v>
      </c>
      <c r="E276" s="1" t="s">
        <v>175</v>
      </c>
      <c r="F276" s="1" t="s">
        <v>585</v>
      </c>
      <c r="G276" s="1" t="s">
        <v>586</v>
      </c>
      <c r="H276" s="3">
        <v>46199.0</v>
      </c>
      <c r="K276" s="1" t="s">
        <v>124</v>
      </c>
      <c r="L276" s="1" t="s">
        <v>71</v>
      </c>
      <c r="M276" s="1" t="s">
        <v>162</v>
      </c>
      <c r="N276" s="1" t="s">
        <v>131</v>
      </c>
      <c r="R276" s="1" t="s">
        <v>2798</v>
      </c>
      <c r="S276" s="1" t="s">
        <v>2798</v>
      </c>
      <c r="T276" s="1" t="s">
        <v>2801</v>
      </c>
      <c r="U276" s="1" t="s">
        <v>2802</v>
      </c>
    </row>
    <row r="277">
      <c r="A277" s="1" t="s">
        <v>2540</v>
      </c>
      <c r="B277" s="1" t="s">
        <v>2803</v>
      </c>
      <c r="C277" s="1" t="s">
        <v>2805</v>
      </c>
      <c r="D277" s="1" t="s">
        <v>678</v>
      </c>
      <c r="E277" s="1" t="s">
        <v>153</v>
      </c>
      <c r="F277" s="1" t="s">
        <v>274</v>
      </c>
      <c r="G277" s="1" t="s">
        <v>276</v>
      </c>
      <c r="H277" s="3">
        <v>46146.0</v>
      </c>
      <c r="I277" s="3">
        <v>46295.0</v>
      </c>
      <c r="K277" s="1" t="s">
        <v>124</v>
      </c>
      <c r="L277" s="1" t="s">
        <v>98</v>
      </c>
      <c r="M277" s="1" t="s">
        <v>335</v>
      </c>
      <c r="N277" s="1" t="s">
        <v>131</v>
      </c>
      <c r="R277" s="1" t="s">
        <v>2809</v>
      </c>
      <c r="S277" s="1" t="s">
        <v>2809</v>
      </c>
      <c r="T277" s="1" t="s">
        <v>2811</v>
      </c>
      <c r="U277" s="1">
        <v>3254124.0</v>
      </c>
    </row>
    <row r="278">
      <c r="A278" s="1" t="s">
        <v>2813</v>
      </c>
      <c r="B278" s="1" t="s">
        <v>2814</v>
      </c>
      <c r="C278" s="1" t="s">
        <v>2815</v>
      </c>
      <c r="D278" s="1" t="s">
        <v>1469</v>
      </c>
      <c r="E278" s="1" t="s">
        <v>175</v>
      </c>
      <c r="F278" s="1" t="s">
        <v>763</v>
      </c>
      <c r="G278" s="1" t="s">
        <v>2818</v>
      </c>
      <c r="H278" s="3">
        <v>46076.0</v>
      </c>
      <c r="K278" s="1" t="s">
        <v>124</v>
      </c>
      <c r="L278" s="1" t="s">
        <v>160</v>
      </c>
      <c r="M278" s="1" t="s">
        <v>162</v>
      </c>
      <c r="N278" s="1" t="s">
        <v>131</v>
      </c>
      <c r="R278" s="1" t="s">
        <v>629</v>
      </c>
      <c r="S278" s="1" t="s">
        <v>629</v>
      </c>
      <c r="T278" s="1" t="s">
        <v>630</v>
      </c>
    </row>
    <row r="279">
      <c r="A279" s="1" t="s">
        <v>2820</v>
      </c>
      <c r="B279" s="1" t="s">
        <v>146</v>
      </c>
      <c r="C279" s="1" t="s">
        <v>2821</v>
      </c>
      <c r="D279" s="1" t="s">
        <v>831</v>
      </c>
      <c r="E279" s="1" t="s">
        <v>175</v>
      </c>
      <c r="F279" s="1" t="s">
        <v>585</v>
      </c>
      <c r="G279" s="1" t="s">
        <v>780</v>
      </c>
      <c r="H279" s="3">
        <v>46128.0</v>
      </c>
      <c r="K279" s="1" t="s">
        <v>124</v>
      </c>
      <c r="L279" s="1" t="s">
        <v>160</v>
      </c>
      <c r="M279" s="1" t="s">
        <v>162</v>
      </c>
      <c r="N279" s="1" t="s">
        <v>131</v>
      </c>
      <c r="P279" s="1" t="s">
        <v>485</v>
      </c>
      <c r="R279" s="1" t="s">
        <v>137</v>
      </c>
      <c r="S279" s="1" t="s">
        <v>137</v>
      </c>
      <c r="T279" s="1" t="s">
        <v>47</v>
      </c>
    </row>
    <row r="280">
      <c r="A280" s="1" t="s">
        <v>2655</v>
      </c>
      <c r="B280" s="1" t="s">
        <v>191</v>
      </c>
      <c r="C280" s="1" t="s">
        <v>2821</v>
      </c>
      <c r="D280" s="1" t="s">
        <v>831</v>
      </c>
      <c r="E280" s="1" t="s">
        <v>175</v>
      </c>
      <c r="F280" s="1" t="s">
        <v>585</v>
      </c>
      <c r="G280" s="1" t="s">
        <v>780</v>
      </c>
      <c r="H280" s="3">
        <v>46216.0</v>
      </c>
      <c r="I280" s="3">
        <v>46328.0</v>
      </c>
      <c r="K280" s="1" t="s">
        <v>124</v>
      </c>
      <c r="L280" s="1" t="s">
        <v>160</v>
      </c>
      <c r="M280" s="1" t="s">
        <v>162</v>
      </c>
      <c r="N280" s="1" t="s">
        <v>131</v>
      </c>
      <c r="P280" s="1" t="s">
        <v>2379</v>
      </c>
      <c r="R280" s="1" t="s">
        <v>137</v>
      </c>
      <c r="S280" s="1" t="s">
        <v>137</v>
      </c>
      <c r="T280" s="1" t="s">
        <v>47</v>
      </c>
      <c r="U280" s="1" t="s">
        <v>2828</v>
      </c>
    </row>
    <row r="281">
      <c r="A281" s="1" t="s">
        <v>2831</v>
      </c>
      <c r="B281" s="1" t="s">
        <v>2832</v>
      </c>
      <c r="C281" s="1" t="s">
        <v>2833</v>
      </c>
      <c r="D281" s="1" t="s">
        <v>273</v>
      </c>
      <c r="E281" s="1" t="s">
        <v>330</v>
      </c>
      <c r="F281" s="1" t="s">
        <v>663</v>
      </c>
      <c r="G281" s="1" t="s">
        <v>2835</v>
      </c>
      <c r="K281" s="1" t="s">
        <v>124</v>
      </c>
      <c r="L281" s="1" t="s">
        <v>71</v>
      </c>
      <c r="M281" s="1" t="s">
        <v>129</v>
      </c>
      <c r="N281" s="1" t="s">
        <v>131</v>
      </c>
    </row>
    <row r="282">
      <c r="A282" s="1" t="s">
        <v>2837</v>
      </c>
      <c r="B282" s="1" t="s">
        <v>490</v>
      </c>
      <c r="C282" s="1" t="s">
        <v>2839</v>
      </c>
      <c r="D282" s="1" t="s">
        <v>243</v>
      </c>
      <c r="E282" s="1" t="s">
        <v>292</v>
      </c>
      <c r="F282" s="1" t="s">
        <v>494</v>
      </c>
      <c r="G282" s="1" t="s">
        <v>1478</v>
      </c>
      <c r="H282" s="3">
        <v>45627.0</v>
      </c>
      <c r="I282" s="3">
        <v>45838.0</v>
      </c>
      <c r="J282" s="3">
        <v>45838.0</v>
      </c>
      <c r="K282" s="1" t="s">
        <v>215</v>
      </c>
      <c r="L282" s="1" t="s">
        <v>251</v>
      </c>
      <c r="M282" s="1" t="s">
        <v>216</v>
      </c>
      <c r="N282" s="1" t="s">
        <v>131</v>
      </c>
      <c r="O282" s="3">
        <v>45840.0</v>
      </c>
      <c r="R282" s="1" t="s">
        <v>137</v>
      </c>
      <c r="S282" s="1" t="s">
        <v>137</v>
      </c>
      <c r="T282" s="1" t="s">
        <v>47</v>
      </c>
      <c r="U282" s="1" t="s">
        <v>2842</v>
      </c>
    </row>
    <row r="283">
      <c r="A283" s="1" t="s">
        <v>2325</v>
      </c>
      <c r="B283" s="1" t="s">
        <v>116</v>
      </c>
      <c r="C283" s="1" t="s">
        <v>2844</v>
      </c>
      <c r="D283" s="1" t="s">
        <v>960</v>
      </c>
      <c r="E283" s="1" t="s">
        <v>2845</v>
      </c>
      <c r="F283" s="1" t="s">
        <v>2846</v>
      </c>
      <c r="G283" s="1" t="s">
        <v>2848</v>
      </c>
      <c r="H283" s="3">
        <v>46129.0</v>
      </c>
      <c r="K283" s="1" t="s">
        <v>124</v>
      </c>
      <c r="L283" s="1" t="s">
        <v>98</v>
      </c>
      <c r="M283" s="1" t="s">
        <v>162</v>
      </c>
      <c r="N283" s="1" t="s">
        <v>131</v>
      </c>
      <c r="P283" s="1" t="s">
        <v>596</v>
      </c>
      <c r="R283" s="1" t="s">
        <v>137</v>
      </c>
      <c r="S283" s="1" t="s">
        <v>137</v>
      </c>
      <c r="T283" s="1" t="s">
        <v>47</v>
      </c>
      <c r="U283" s="1" t="s">
        <v>2850</v>
      </c>
    </row>
    <row r="284">
      <c r="A284" s="1" t="s">
        <v>2327</v>
      </c>
      <c r="B284" s="1" t="s">
        <v>116</v>
      </c>
      <c r="C284" s="1" t="s">
        <v>2851</v>
      </c>
      <c r="D284" s="1" t="s">
        <v>1242</v>
      </c>
      <c r="E284" s="1" t="s">
        <v>175</v>
      </c>
      <c r="F284" s="1" t="s">
        <v>177</v>
      </c>
      <c r="G284" s="1" t="s">
        <v>503</v>
      </c>
      <c r="H284" s="3">
        <v>46167.0</v>
      </c>
      <c r="K284" s="1" t="s">
        <v>124</v>
      </c>
      <c r="L284" s="1" t="s">
        <v>71</v>
      </c>
      <c r="M284" s="1" t="s">
        <v>162</v>
      </c>
      <c r="N284" s="1" t="s">
        <v>131</v>
      </c>
      <c r="P284" s="1" t="s">
        <v>803</v>
      </c>
      <c r="R284" s="1" t="s">
        <v>137</v>
      </c>
      <c r="S284" s="1" t="s">
        <v>137</v>
      </c>
      <c r="T284" s="1" t="s">
        <v>47</v>
      </c>
      <c r="U284" s="1" t="s">
        <v>2855</v>
      </c>
    </row>
    <row r="285">
      <c r="A285" s="1" t="s">
        <v>2856</v>
      </c>
      <c r="B285" s="1" t="s">
        <v>191</v>
      </c>
      <c r="C285" s="1" t="s">
        <v>2857</v>
      </c>
      <c r="D285" s="1" t="s">
        <v>1469</v>
      </c>
      <c r="E285" s="1" t="s">
        <v>292</v>
      </c>
      <c r="F285" s="1" t="s">
        <v>576</v>
      </c>
      <c r="G285" s="1" t="s">
        <v>2859</v>
      </c>
      <c r="H285" s="3">
        <v>46090.0</v>
      </c>
      <c r="I285" s="3">
        <v>46202.0</v>
      </c>
      <c r="K285" s="1" t="s">
        <v>215</v>
      </c>
      <c r="L285" s="1" t="s">
        <v>98</v>
      </c>
      <c r="M285" s="1" t="s">
        <v>253</v>
      </c>
      <c r="N285" s="1" t="s">
        <v>131</v>
      </c>
      <c r="O285" s="3">
        <v>46232.0</v>
      </c>
      <c r="P285" s="1" t="s">
        <v>1745</v>
      </c>
      <c r="R285" s="1" t="s">
        <v>137</v>
      </c>
      <c r="S285" s="1" t="s">
        <v>137</v>
      </c>
      <c r="T285" s="1" t="s">
        <v>47</v>
      </c>
      <c r="U285" s="1" t="s">
        <v>2861</v>
      </c>
    </row>
    <row r="286">
      <c r="A286" s="1" t="s">
        <v>2862</v>
      </c>
      <c r="B286" s="1" t="s">
        <v>191</v>
      </c>
      <c r="C286" s="1" t="s">
        <v>2863</v>
      </c>
      <c r="D286" s="1" t="s">
        <v>291</v>
      </c>
      <c r="E286" s="1" t="s">
        <v>292</v>
      </c>
      <c r="F286" s="1" t="s">
        <v>293</v>
      </c>
      <c r="G286" s="1" t="s">
        <v>295</v>
      </c>
      <c r="H286" s="3">
        <v>45839.0</v>
      </c>
      <c r="I286" s="3">
        <v>45980.0</v>
      </c>
      <c r="J286" s="3">
        <v>45980.0</v>
      </c>
      <c r="K286" s="1" t="s">
        <v>215</v>
      </c>
      <c r="L286" s="1" t="s">
        <v>251</v>
      </c>
      <c r="M286" s="1" t="s">
        <v>216</v>
      </c>
      <c r="N286" s="1" t="s">
        <v>131</v>
      </c>
      <c r="O286" s="3">
        <v>45987.0</v>
      </c>
      <c r="R286" s="1" t="s">
        <v>137</v>
      </c>
      <c r="S286" s="1" t="s">
        <v>137</v>
      </c>
      <c r="T286" s="1" t="s">
        <v>47</v>
      </c>
      <c r="U286" s="1" t="s">
        <v>2867</v>
      </c>
    </row>
    <row r="287">
      <c r="A287" s="1" t="s">
        <v>2868</v>
      </c>
      <c r="B287" s="1" t="s">
        <v>191</v>
      </c>
      <c r="C287" s="1" t="s">
        <v>2870</v>
      </c>
      <c r="D287" s="1" t="s">
        <v>831</v>
      </c>
      <c r="E287" s="1" t="s">
        <v>292</v>
      </c>
      <c r="F287" s="1" t="s">
        <v>468</v>
      </c>
      <c r="G287" s="1" t="s">
        <v>998</v>
      </c>
      <c r="H287" s="3">
        <v>45418.0</v>
      </c>
      <c r="I287" s="3">
        <v>46010.0</v>
      </c>
      <c r="J287" s="3">
        <v>46010.0</v>
      </c>
      <c r="K287" s="1" t="s">
        <v>215</v>
      </c>
      <c r="L287" s="1" t="s">
        <v>251</v>
      </c>
      <c r="M287" s="1" t="s">
        <v>216</v>
      </c>
      <c r="N287" s="1" t="s">
        <v>131</v>
      </c>
      <c r="O287" s="3">
        <v>46053.0</v>
      </c>
      <c r="R287" s="1" t="s">
        <v>137</v>
      </c>
      <c r="S287" s="1" t="s">
        <v>137</v>
      </c>
      <c r="T287" s="1" t="s">
        <v>47</v>
      </c>
      <c r="U287" s="1" t="s">
        <v>2877</v>
      </c>
    </row>
    <row r="288">
      <c r="A288" s="1" t="s">
        <v>2878</v>
      </c>
      <c r="B288" s="1" t="s">
        <v>2879</v>
      </c>
      <c r="C288" s="1" t="s">
        <v>2870</v>
      </c>
      <c r="D288" s="1" t="s">
        <v>831</v>
      </c>
      <c r="E288" s="1" t="s">
        <v>292</v>
      </c>
      <c r="F288" s="1" t="s">
        <v>468</v>
      </c>
      <c r="G288" s="1" t="s">
        <v>998</v>
      </c>
      <c r="H288" s="3">
        <v>46029.0</v>
      </c>
      <c r="I288" s="3">
        <v>46127.0</v>
      </c>
      <c r="J288" s="3">
        <v>46127.0</v>
      </c>
      <c r="K288" s="1" t="s">
        <v>215</v>
      </c>
      <c r="L288" s="1" t="s">
        <v>251</v>
      </c>
      <c r="M288" s="1" t="s">
        <v>216</v>
      </c>
      <c r="N288" s="1" t="s">
        <v>131</v>
      </c>
      <c r="O288" s="3">
        <v>46155.0</v>
      </c>
      <c r="R288" s="1" t="s">
        <v>137</v>
      </c>
      <c r="S288" s="1" t="s">
        <v>137</v>
      </c>
      <c r="T288" s="1" t="s">
        <v>47</v>
      </c>
      <c r="U288" s="1" t="s">
        <v>2882</v>
      </c>
    </row>
    <row r="289">
      <c r="A289" s="1" t="s">
        <v>2883</v>
      </c>
      <c r="B289" s="1" t="s">
        <v>191</v>
      </c>
      <c r="C289" s="1" t="s">
        <v>2886</v>
      </c>
      <c r="D289" s="1" t="s">
        <v>1469</v>
      </c>
      <c r="E289" s="1" t="s">
        <v>292</v>
      </c>
      <c r="F289" s="1" t="s">
        <v>468</v>
      </c>
      <c r="G289" s="1" t="s">
        <v>998</v>
      </c>
      <c r="H289" s="3">
        <v>45571.0</v>
      </c>
      <c r="I289" s="3">
        <v>45817.0</v>
      </c>
      <c r="J289" s="3">
        <v>45817.0</v>
      </c>
      <c r="K289" s="1" t="s">
        <v>215</v>
      </c>
      <c r="L289" s="1" t="s">
        <v>251</v>
      </c>
      <c r="M289" s="1" t="s">
        <v>216</v>
      </c>
      <c r="N289" s="1" t="s">
        <v>131</v>
      </c>
      <c r="O289" s="3">
        <v>45817.0</v>
      </c>
      <c r="R289" s="1" t="s">
        <v>137</v>
      </c>
      <c r="S289" s="1" t="s">
        <v>137</v>
      </c>
      <c r="T289" s="1" t="s">
        <v>47</v>
      </c>
      <c r="U289" s="1" t="s">
        <v>2890</v>
      </c>
    </row>
    <row r="290">
      <c r="A290" s="1" t="s">
        <v>2891</v>
      </c>
      <c r="B290" s="1" t="s">
        <v>191</v>
      </c>
      <c r="C290" s="1" t="s">
        <v>2894</v>
      </c>
      <c r="D290" s="1" t="s">
        <v>678</v>
      </c>
      <c r="E290" s="1" t="s">
        <v>454</v>
      </c>
      <c r="F290" s="1" t="s">
        <v>612</v>
      </c>
      <c r="G290" s="1" t="s">
        <v>613</v>
      </c>
      <c r="H290" s="3">
        <v>45753.0</v>
      </c>
      <c r="I290" s="3">
        <v>46170.0</v>
      </c>
      <c r="J290" s="3">
        <v>46170.0</v>
      </c>
      <c r="K290" s="1" t="s">
        <v>215</v>
      </c>
      <c r="L290" s="1" t="s">
        <v>98</v>
      </c>
      <c r="M290" s="1" t="s">
        <v>216</v>
      </c>
      <c r="N290" s="1" t="s">
        <v>131</v>
      </c>
      <c r="O290" s="3">
        <v>46170.0</v>
      </c>
      <c r="R290" s="1" t="s">
        <v>137</v>
      </c>
      <c r="S290" s="1" t="s">
        <v>137</v>
      </c>
      <c r="T290" s="1" t="s">
        <v>47</v>
      </c>
      <c r="U290" s="1" t="s">
        <v>2898</v>
      </c>
    </row>
    <row r="291">
      <c r="A291" s="1" t="s">
        <v>2899</v>
      </c>
      <c r="B291" s="1" t="s">
        <v>2901</v>
      </c>
      <c r="C291" s="1" t="s">
        <v>2894</v>
      </c>
      <c r="D291" s="1" t="s">
        <v>678</v>
      </c>
      <c r="E291" s="1" t="s">
        <v>454</v>
      </c>
      <c r="F291" s="1" t="s">
        <v>612</v>
      </c>
      <c r="G291" s="1" t="s">
        <v>613</v>
      </c>
      <c r="H291" s="3">
        <v>46099.0</v>
      </c>
      <c r="K291" s="1" t="s">
        <v>124</v>
      </c>
      <c r="L291" s="1" t="s">
        <v>251</v>
      </c>
      <c r="M291" s="1" t="s">
        <v>162</v>
      </c>
      <c r="N291" s="1" t="s">
        <v>131</v>
      </c>
      <c r="P291" s="1" t="s">
        <v>2170</v>
      </c>
      <c r="R291" s="1" t="s">
        <v>137</v>
      </c>
      <c r="S291" s="1" t="s">
        <v>137</v>
      </c>
      <c r="T291" s="1" t="s">
        <v>47</v>
      </c>
    </row>
    <row r="292">
      <c r="A292" s="1" t="s">
        <v>2905</v>
      </c>
      <c r="B292" s="1" t="s">
        <v>116</v>
      </c>
      <c r="C292" s="1" t="s">
        <v>2894</v>
      </c>
      <c r="D292" s="1" t="s">
        <v>678</v>
      </c>
      <c r="E292" s="1" t="s">
        <v>454</v>
      </c>
      <c r="F292" s="1" t="s">
        <v>612</v>
      </c>
      <c r="G292" s="1" t="s">
        <v>613</v>
      </c>
      <c r="H292" s="3">
        <v>46114.0</v>
      </c>
      <c r="K292" s="1" t="s">
        <v>124</v>
      </c>
      <c r="L292" s="1" t="s">
        <v>98</v>
      </c>
      <c r="M292" s="1" t="s">
        <v>162</v>
      </c>
      <c r="N292" s="1" t="s">
        <v>131</v>
      </c>
      <c r="P292" s="1" t="s">
        <v>741</v>
      </c>
      <c r="R292" s="1" t="s">
        <v>137</v>
      </c>
      <c r="S292" s="1" t="s">
        <v>137</v>
      </c>
      <c r="T292" s="1" t="s">
        <v>47</v>
      </c>
      <c r="U292" s="1" t="s">
        <v>2912</v>
      </c>
    </row>
    <row r="293">
      <c r="A293" s="1" t="s">
        <v>2913</v>
      </c>
      <c r="B293" s="1" t="s">
        <v>354</v>
      </c>
      <c r="C293" s="1" t="s">
        <v>2914</v>
      </c>
      <c r="D293" s="1" t="s">
        <v>313</v>
      </c>
      <c r="E293" s="1" t="s">
        <v>175</v>
      </c>
      <c r="F293" s="1" t="s">
        <v>569</v>
      </c>
      <c r="G293" s="1" t="s">
        <v>1726</v>
      </c>
      <c r="H293" s="3">
        <v>45706.0</v>
      </c>
      <c r="I293" s="3">
        <v>45863.0</v>
      </c>
      <c r="J293" s="3">
        <v>45863.0</v>
      </c>
      <c r="K293" s="1" t="s">
        <v>215</v>
      </c>
      <c r="L293" s="1" t="s">
        <v>251</v>
      </c>
      <c r="M293" s="1" t="s">
        <v>216</v>
      </c>
      <c r="N293" s="1" t="s">
        <v>131</v>
      </c>
      <c r="O293" s="3">
        <v>45883.0</v>
      </c>
      <c r="R293" s="1" t="s">
        <v>137</v>
      </c>
      <c r="S293" s="1" t="s">
        <v>137</v>
      </c>
      <c r="T293" s="1" t="s">
        <v>47</v>
      </c>
      <c r="U293" s="1" t="s">
        <v>2921</v>
      </c>
    </row>
    <row r="294">
      <c r="A294" s="1" t="s">
        <v>2922</v>
      </c>
      <c r="B294" s="1" t="s">
        <v>191</v>
      </c>
      <c r="C294" s="1" t="s">
        <v>2924</v>
      </c>
      <c r="D294" s="1" t="s">
        <v>1469</v>
      </c>
      <c r="E294" s="1" t="s">
        <v>438</v>
      </c>
      <c r="F294" s="1" t="s">
        <v>440</v>
      </c>
      <c r="G294" s="1" t="s">
        <v>2468</v>
      </c>
      <c r="H294" s="3">
        <v>46099.0</v>
      </c>
      <c r="I294" s="3">
        <v>46185.0</v>
      </c>
      <c r="J294" s="3">
        <v>46185.0</v>
      </c>
      <c r="K294" s="1" t="s">
        <v>215</v>
      </c>
      <c r="L294" s="1" t="s">
        <v>98</v>
      </c>
      <c r="M294" s="1" t="s">
        <v>216</v>
      </c>
      <c r="N294" s="1" t="s">
        <v>131</v>
      </c>
      <c r="O294" s="3">
        <v>46220.0</v>
      </c>
      <c r="R294" s="1" t="s">
        <v>137</v>
      </c>
      <c r="S294" s="1" t="s">
        <v>137</v>
      </c>
      <c r="T294" s="1" t="s">
        <v>47</v>
      </c>
      <c r="U294" s="1" t="s">
        <v>2929</v>
      </c>
    </row>
    <row r="295">
      <c r="A295" s="1" t="s">
        <v>2184</v>
      </c>
      <c r="B295" s="1" t="s">
        <v>270</v>
      </c>
      <c r="C295" s="1" t="s">
        <v>2931</v>
      </c>
      <c r="D295" s="1" t="s">
        <v>1477</v>
      </c>
      <c r="E295" s="1" t="s">
        <v>292</v>
      </c>
      <c r="F295" s="1" t="s">
        <v>494</v>
      </c>
      <c r="G295" s="1" t="s">
        <v>1362</v>
      </c>
      <c r="H295" s="3">
        <v>46132.0</v>
      </c>
      <c r="I295" s="3">
        <v>46234.0</v>
      </c>
      <c r="J295" s="3">
        <v>46234.0</v>
      </c>
      <c r="K295" s="1" t="s">
        <v>124</v>
      </c>
      <c r="L295" s="1" t="s">
        <v>98</v>
      </c>
      <c r="M295" s="1" t="s">
        <v>216</v>
      </c>
      <c r="N295" s="1" t="s">
        <v>131</v>
      </c>
      <c r="P295" s="1" t="s">
        <v>1453</v>
      </c>
      <c r="R295" s="1" t="s">
        <v>137</v>
      </c>
      <c r="S295" s="1" t="s">
        <v>137</v>
      </c>
      <c r="T295" s="1" t="s">
        <v>47</v>
      </c>
      <c r="U295" s="1" t="s">
        <v>2936</v>
      </c>
    </row>
    <row r="296">
      <c r="A296" s="1" t="s">
        <v>2938</v>
      </c>
      <c r="B296" s="1" t="s">
        <v>191</v>
      </c>
      <c r="C296" s="1" t="s">
        <v>2939</v>
      </c>
      <c r="D296" s="1" t="s">
        <v>1823</v>
      </c>
      <c r="E296" s="1" t="s">
        <v>292</v>
      </c>
      <c r="F296" s="1" t="s">
        <v>576</v>
      </c>
      <c r="G296" s="1" t="s">
        <v>2297</v>
      </c>
      <c r="H296" s="3">
        <v>45918.0</v>
      </c>
      <c r="K296" s="1" t="s">
        <v>124</v>
      </c>
      <c r="L296" s="1" t="s">
        <v>251</v>
      </c>
      <c r="M296" s="1" t="s">
        <v>162</v>
      </c>
      <c r="N296" s="1" t="s">
        <v>131</v>
      </c>
      <c r="P296" s="1" t="s">
        <v>444</v>
      </c>
      <c r="R296" s="1" t="s">
        <v>137</v>
      </c>
      <c r="S296" s="1" t="s">
        <v>137</v>
      </c>
      <c r="T296" s="1" t="s">
        <v>47</v>
      </c>
    </row>
    <row r="297">
      <c r="A297" s="1" t="s">
        <v>1585</v>
      </c>
      <c r="B297" s="1" t="s">
        <v>2942</v>
      </c>
      <c r="C297" s="1" t="s">
        <v>2944</v>
      </c>
      <c r="D297" s="1" t="s">
        <v>273</v>
      </c>
      <c r="E297" s="1" t="s">
        <v>330</v>
      </c>
      <c r="F297" s="1" t="s">
        <v>356</v>
      </c>
      <c r="G297" s="1" t="s">
        <v>429</v>
      </c>
      <c r="H297" s="3">
        <v>46086.0</v>
      </c>
      <c r="I297" s="3">
        <v>46563.0</v>
      </c>
      <c r="K297" s="1" t="s">
        <v>124</v>
      </c>
      <c r="L297" s="1" t="s">
        <v>98</v>
      </c>
      <c r="M297" s="1" t="s">
        <v>460</v>
      </c>
      <c r="N297" s="1" t="s">
        <v>131</v>
      </c>
      <c r="R297" s="1" t="s">
        <v>1623</v>
      </c>
      <c r="S297" s="1" t="s">
        <v>1623</v>
      </c>
      <c r="T297" s="1" t="s">
        <v>1573</v>
      </c>
      <c r="U297" s="1" t="s">
        <v>2946</v>
      </c>
    </row>
    <row r="298">
      <c r="A298" s="1" t="s">
        <v>174</v>
      </c>
      <c r="B298" s="1" t="s">
        <v>191</v>
      </c>
      <c r="C298" s="1" t="s">
        <v>2948</v>
      </c>
      <c r="D298" s="1" t="s">
        <v>194</v>
      </c>
      <c r="E298" s="1" t="s">
        <v>454</v>
      </c>
      <c r="F298" s="1" t="s">
        <v>455</v>
      </c>
      <c r="G298" s="1" t="s">
        <v>456</v>
      </c>
      <c r="H298" s="3">
        <v>45848.0</v>
      </c>
      <c r="I298" s="3">
        <v>46237.0</v>
      </c>
      <c r="J298" s="3">
        <v>46237.0</v>
      </c>
      <c r="K298" s="1" t="s">
        <v>124</v>
      </c>
      <c r="L298" s="1" t="s">
        <v>251</v>
      </c>
      <c r="M298" s="1" t="s">
        <v>216</v>
      </c>
      <c r="N298" s="1" t="s">
        <v>131</v>
      </c>
      <c r="P298" s="1" t="s">
        <v>2952</v>
      </c>
      <c r="R298" s="1" t="s">
        <v>137</v>
      </c>
      <c r="S298" s="1" t="s">
        <v>137</v>
      </c>
      <c r="T298" s="1" t="s">
        <v>47</v>
      </c>
      <c r="U298" s="1" t="s">
        <v>2955</v>
      </c>
    </row>
    <row r="299">
      <c r="A299" s="1" t="s">
        <v>2956</v>
      </c>
      <c r="B299" s="1" t="s">
        <v>2957</v>
      </c>
      <c r="C299" s="1" t="s">
        <v>2959</v>
      </c>
      <c r="D299" s="1" t="s">
        <v>1832</v>
      </c>
      <c r="E299" s="1" t="s">
        <v>175</v>
      </c>
      <c r="F299" s="1" t="s">
        <v>763</v>
      </c>
      <c r="G299" s="1" t="s">
        <v>2818</v>
      </c>
      <c r="H299" s="3">
        <v>45870.0</v>
      </c>
      <c r="I299" s="3">
        <v>45902.0</v>
      </c>
      <c r="J299" s="3">
        <v>45902.0</v>
      </c>
      <c r="K299" s="1" t="s">
        <v>215</v>
      </c>
      <c r="L299" s="1" t="s">
        <v>71</v>
      </c>
      <c r="M299" s="1" t="s">
        <v>216</v>
      </c>
      <c r="N299" s="1" t="s">
        <v>131</v>
      </c>
      <c r="O299" s="3">
        <v>45917.0</v>
      </c>
      <c r="R299" s="1" t="s">
        <v>137</v>
      </c>
      <c r="S299" s="1" t="s">
        <v>137</v>
      </c>
      <c r="T299" s="1" t="s">
        <v>47</v>
      </c>
      <c r="U299" s="1" t="s">
        <v>2963</v>
      </c>
    </row>
    <row r="300">
      <c r="A300" s="1" t="s">
        <v>2739</v>
      </c>
      <c r="B300" s="1" t="s">
        <v>2964</v>
      </c>
      <c r="C300" s="1" t="s">
        <v>2965</v>
      </c>
      <c r="D300" s="1" t="s">
        <v>1469</v>
      </c>
      <c r="E300" s="1" t="s">
        <v>438</v>
      </c>
      <c r="F300" s="1" t="s">
        <v>440</v>
      </c>
      <c r="G300" s="1" t="s">
        <v>441</v>
      </c>
      <c r="H300" s="3">
        <v>46189.0</v>
      </c>
      <c r="I300" s="3">
        <v>46374.0</v>
      </c>
      <c r="K300" s="1" t="s">
        <v>124</v>
      </c>
      <c r="L300" s="1" t="s">
        <v>98</v>
      </c>
      <c r="M300" s="1" t="s">
        <v>162</v>
      </c>
      <c r="N300" s="1" t="s">
        <v>365</v>
      </c>
      <c r="P300" s="1" t="s">
        <v>1591</v>
      </c>
      <c r="R300" s="1" t="s">
        <v>137</v>
      </c>
      <c r="S300" s="1" t="s">
        <v>137</v>
      </c>
      <c r="T300" s="1" t="s">
        <v>47</v>
      </c>
      <c r="U300" s="1" t="s">
        <v>2971</v>
      </c>
    </row>
    <row r="301">
      <c r="A301" s="1" t="s">
        <v>2972</v>
      </c>
      <c r="B301" s="1" t="s">
        <v>240</v>
      </c>
      <c r="C301" s="1" t="s">
        <v>2973</v>
      </c>
      <c r="D301" s="1" t="s">
        <v>518</v>
      </c>
      <c r="E301" s="1" t="s">
        <v>520</v>
      </c>
      <c r="F301" s="1" t="s">
        <v>522</v>
      </c>
      <c r="G301" s="1" t="s">
        <v>524</v>
      </c>
      <c r="H301" s="3">
        <v>46001.0</v>
      </c>
      <c r="K301" s="1" t="s">
        <v>215</v>
      </c>
      <c r="L301" s="1" t="s">
        <v>251</v>
      </c>
      <c r="M301" s="1" t="s">
        <v>253</v>
      </c>
      <c r="N301" s="1" t="s">
        <v>131</v>
      </c>
      <c r="O301" s="3">
        <v>46134.0</v>
      </c>
      <c r="R301" s="1" t="s">
        <v>256</v>
      </c>
      <c r="S301" s="1" t="s">
        <v>256</v>
      </c>
      <c r="T301" s="1" t="s">
        <v>266</v>
      </c>
      <c r="U301" s="1" t="s">
        <v>2976</v>
      </c>
    </row>
    <row r="302">
      <c r="A302" s="1" t="s">
        <v>2977</v>
      </c>
      <c r="B302" s="1" t="s">
        <v>2489</v>
      </c>
      <c r="C302" s="1" t="s">
        <v>2978</v>
      </c>
      <c r="D302" s="1" t="s">
        <v>417</v>
      </c>
      <c r="E302" s="1" t="s">
        <v>292</v>
      </c>
      <c r="F302" s="1" t="s">
        <v>576</v>
      </c>
      <c r="G302" s="1" t="s">
        <v>1603</v>
      </c>
      <c r="H302" s="3">
        <v>45824.0</v>
      </c>
      <c r="I302" s="3">
        <v>45964.0</v>
      </c>
      <c r="J302" s="3">
        <v>45964.0</v>
      </c>
      <c r="K302" s="1" t="s">
        <v>215</v>
      </c>
      <c r="L302" s="1" t="s">
        <v>98</v>
      </c>
      <c r="M302" s="1" t="s">
        <v>216</v>
      </c>
      <c r="N302" s="1" t="s">
        <v>131</v>
      </c>
      <c r="O302" s="3">
        <v>45989.0</v>
      </c>
      <c r="R302" s="1" t="s">
        <v>137</v>
      </c>
      <c r="S302" s="1" t="s">
        <v>137</v>
      </c>
      <c r="T302" s="1" t="s">
        <v>47</v>
      </c>
      <c r="U302" s="1" t="s">
        <v>2982</v>
      </c>
    </row>
    <row r="303">
      <c r="A303" s="1" t="s">
        <v>2786</v>
      </c>
      <c r="B303" s="1" t="s">
        <v>632</v>
      </c>
      <c r="C303" s="1" t="s">
        <v>2983</v>
      </c>
      <c r="D303" s="1" t="s">
        <v>313</v>
      </c>
      <c r="E303" s="1" t="s">
        <v>175</v>
      </c>
      <c r="F303" s="1" t="s">
        <v>1767</v>
      </c>
      <c r="G303" s="1" t="s">
        <v>1768</v>
      </c>
      <c r="H303" s="3">
        <v>46196.0</v>
      </c>
      <c r="I303" s="3">
        <v>46327.0</v>
      </c>
      <c r="K303" s="1" t="s">
        <v>124</v>
      </c>
      <c r="L303" s="1" t="s">
        <v>71</v>
      </c>
      <c r="M303" s="1" t="s">
        <v>335</v>
      </c>
      <c r="N303" s="1" t="s">
        <v>131</v>
      </c>
      <c r="R303" s="1" t="s">
        <v>2694</v>
      </c>
      <c r="S303" s="1" t="s">
        <v>2694</v>
      </c>
      <c r="T303" s="1" t="s">
        <v>2697</v>
      </c>
      <c r="U303" s="1" t="s">
        <v>2986</v>
      </c>
    </row>
    <row r="304">
      <c r="A304" s="1" t="s">
        <v>2281</v>
      </c>
      <c r="B304" s="1" t="s">
        <v>191</v>
      </c>
      <c r="C304" s="1" t="s">
        <v>2988</v>
      </c>
      <c r="D304" s="1" t="s">
        <v>1932</v>
      </c>
      <c r="E304" s="1" t="s">
        <v>209</v>
      </c>
      <c r="F304" s="1" t="s">
        <v>398</v>
      </c>
      <c r="G304" s="1" t="s">
        <v>1587</v>
      </c>
      <c r="H304" s="3">
        <v>46171.0</v>
      </c>
      <c r="I304" s="3">
        <v>46300.0</v>
      </c>
      <c r="K304" s="1" t="s">
        <v>124</v>
      </c>
      <c r="L304" s="1" t="s">
        <v>251</v>
      </c>
      <c r="M304" s="1" t="s">
        <v>363</v>
      </c>
      <c r="N304" s="1" t="s">
        <v>131</v>
      </c>
      <c r="P304" s="1" t="s">
        <v>2703</v>
      </c>
      <c r="R304" s="1" t="s">
        <v>137</v>
      </c>
      <c r="S304" s="1" t="s">
        <v>137</v>
      </c>
      <c r="T304" s="1" t="s">
        <v>47</v>
      </c>
      <c r="U304" s="1" t="s">
        <v>2993</v>
      </c>
    </row>
    <row r="305">
      <c r="A305" s="1" t="s">
        <v>2994</v>
      </c>
      <c r="B305" s="1" t="s">
        <v>191</v>
      </c>
      <c r="C305" s="1" t="s">
        <v>2995</v>
      </c>
      <c r="D305" s="1" t="s">
        <v>919</v>
      </c>
      <c r="E305" s="1" t="s">
        <v>292</v>
      </c>
      <c r="F305" s="1" t="s">
        <v>494</v>
      </c>
      <c r="G305" s="1" t="s">
        <v>2278</v>
      </c>
      <c r="H305" s="3">
        <v>45805.0</v>
      </c>
      <c r="I305" s="3">
        <v>46097.0</v>
      </c>
      <c r="J305" s="3">
        <v>46097.0</v>
      </c>
      <c r="K305" s="1" t="s">
        <v>215</v>
      </c>
      <c r="L305" s="1" t="s">
        <v>251</v>
      </c>
      <c r="M305" s="1" t="s">
        <v>216</v>
      </c>
      <c r="N305" s="1" t="s">
        <v>131</v>
      </c>
      <c r="O305" s="3">
        <v>46118.0</v>
      </c>
      <c r="R305" s="1" t="s">
        <v>137</v>
      </c>
      <c r="S305" s="1" t="s">
        <v>137</v>
      </c>
      <c r="T305" s="1" t="s">
        <v>47</v>
      </c>
      <c r="U305" s="1" t="s">
        <v>2996</v>
      </c>
    </row>
    <row r="306">
      <c r="A306" s="1" t="s">
        <v>1915</v>
      </c>
      <c r="B306" s="1" t="s">
        <v>191</v>
      </c>
      <c r="C306" s="1" t="s">
        <v>2997</v>
      </c>
      <c r="D306" s="1" t="s">
        <v>388</v>
      </c>
      <c r="E306" s="1" t="s">
        <v>691</v>
      </c>
      <c r="F306" s="1" t="s">
        <v>2998</v>
      </c>
      <c r="G306" s="1" t="s">
        <v>2999</v>
      </c>
      <c r="H306" s="3">
        <v>46090.0</v>
      </c>
      <c r="I306" s="3">
        <v>46244.0</v>
      </c>
      <c r="J306" s="3">
        <v>46244.0</v>
      </c>
      <c r="K306" s="1" t="s">
        <v>124</v>
      </c>
      <c r="L306" s="1" t="s">
        <v>98</v>
      </c>
      <c r="M306" s="1" t="s">
        <v>216</v>
      </c>
      <c r="N306" s="1" t="s">
        <v>131</v>
      </c>
      <c r="P306" s="1" t="s">
        <v>2170</v>
      </c>
      <c r="R306" s="1" t="s">
        <v>137</v>
      </c>
      <c r="S306" s="1" t="s">
        <v>137</v>
      </c>
      <c r="T306" s="1" t="s">
        <v>47</v>
      </c>
      <c r="U306" s="1" t="s">
        <v>3000</v>
      </c>
    </row>
    <row r="307">
      <c r="A307" s="1" t="s">
        <v>3001</v>
      </c>
      <c r="B307" s="1" t="s">
        <v>191</v>
      </c>
      <c r="C307" s="1" t="s">
        <v>3002</v>
      </c>
      <c r="D307" s="1" t="s">
        <v>313</v>
      </c>
      <c r="E307" s="1" t="s">
        <v>3003</v>
      </c>
      <c r="F307" s="1" t="s">
        <v>3003</v>
      </c>
      <c r="G307" s="1" t="s">
        <v>3004</v>
      </c>
      <c r="H307" s="3">
        <v>46178.0</v>
      </c>
      <c r="K307" s="1" t="s">
        <v>124</v>
      </c>
      <c r="L307" s="1" t="s">
        <v>251</v>
      </c>
      <c r="M307" s="1" t="s">
        <v>162</v>
      </c>
      <c r="N307" s="1" t="s">
        <v>131</v>
      </c>
      <c r="P307" s="1" t="s">
        <v>3005</v>
      </c>
      <c r="R307" s="1" t="s">
        <v>137</v>
      </c>
      <c r="S307" s="1" t="s">
        <v>137</v>
      </c>
      <c r="T307" s="1" t="s">
        <v>47</v>
      </c>
      <c r="U307" s="1" t="s">
        <v>3006</v>
      </c>
    </row>
    <row r="308">
      <c r="A308" s="1" t="s">
        <v>2763</v>
      </c>
      <c r="B308" s="1" t="s">
        <v>191</v>
      </c>
      <c r="C308" s="1" t="s">
        <v>3002</v>
      </c>
      <c r="D308" s="1" t="s">
        <v>313</v>
      </c>
      <c r="E308" s="1" t="s">
        <v>3003</v>
      </c>
      <c r="F308" s="1" t="s">
        <v>3003</v>
      </c>
      <c r="G308" s="1" t="s">
        <v>3004</v>
      </c>
      <c r="H308" s="3">
        <v>46209.0</v>
      </c>
      <c r="K308" s="1" t="s">
        <v>124</v>
      </c>
      <c r="L308" s="1" t="s">
        <v>160</v>
      </c>
      <c r="M308" s="1" t="s">
        <v>363</v>
      </c>
      <c r="N308" s="1" t="s">
        <v>131</v>
      </c>
      <c r="P308" s="1" t="s">
        <v>3007</v>
      </c>
      <c r="R308" s="1" t="s">
        <v>137</v>
      </c>
      <c r="S308" s="1" t="s">
        <v>137</v>
      </c>
      <c r="T308" s="1" t="s">
        <v>47</v>
      </c>
      <c r="U308" s="1" t="s">
        <v>3008</v>
      </c>
    </row>
    <row r="309">
      <c r="A309" s="1" t="s">
        <v>2494</v>
      </c>
      <c r="B309" s="1" t="s">
        <v>191</v>
      </c>
      <c r="C309" s="1" t="s">
        <v>3009</v>
      </c>
      <c r="D309" s="1" t="s">
        <v>678</v>
      </c>
      <c r="E309" s="1" t="s">
        <v>153</v>
      </c>
      <c r="F309" s="1" t="s">
        <v>155</v>
      </c>
      <c r="G309" s="1" t="s">
        <v>157</v>
      </c>
      <c r="H309" s="3">
        <v>46188.0</v>
      </c>
      <c r="I309" s="3">
        <v>46328.0</v>
      </c>
      <c r="K309" s="1" t="s">
        <v>124</v>
      </c>
      <c r="L309" s="1" t="s">
        <v>251</v>
      </c>
      <c r="M309" s="1" t="s">
        <v>162</v>
      </c>
      <c r="N309" s="1" t="s">
        <v>131</v>
      </c>
      <c r="P309" s="1" t="s">
        <v>852</v>
      </c>
      <c r="R309" s="1" t="s">
        <v>137</v>
      </c>
      <c r="S309" s="1" t="s">
        <v>137</v>
      </c>
      <c r="T309" s="1" t="s">
        <v>47</v>
      </c>
      <c r="U309" s="1" t="s">
        <v>3010</v>
      </c>
    </row>
    <row r="310">
      <c r="A310" s="1" t="s">
        <v>3012</v>
      </c>
      <c r="B310" s="1" t="s">
        <v>116</v>
      </c>
      <c r="C310" s="1" t="s">
        <v>3013</v>
      </c>
      <c r="D310" s="1" t="s">
        <v>1823</v>
      </c>
      <c r="E310" s="1" t="s">
        <v>292</v>
      </c>
      <c r="F310" s="1" t="s">
        <v>293</v>
      </c>
      <c r="G310" s="1" t="s">
        <v>3014</v>
      </c>
      <c r="H310" s="3">
        <v>46129.0</v>
      </c>
      <c r="K310" s="1" t="s">
        <v>124</v>
      </c>
      <c r="L310" s="1" t="s">
        <v>98</v>
      </c>
      <c r="M310" s="1" t="s">
        <v>162</v>
      </c>
      <c r="N310" s="1" t="s">
        <v>131</v>
      </c>
      <c r="P310" s="1" t="s">
        <v>485</v>
      </c>
      <c r="R310" s="1" t="s">
        <v>137</v>
      </c>
      <c r="S310" s="1" t="s">
        <v>137</v>
      </c>
      <c r="T310" s="1" t="s">
        <v>47</v>
      </c>
    </row>
    <row r="311">
      <c r="A311" s="1" t="s">
        <v>1944</v>
      </c>
      <c r="B311" s="1" t="s">
        <v>191</v>
      </c>
      <c r="C311" s="1" t="s">
        <v>3015</v>
      </c>
      <c r="D311" s="1" t="s">
        <v>417</v>
      </c>
      <c r="E311" s="1" t="s">
        <v>209</v>
      </c>
      <c r="F311" s="1" t="s">
        <v>3016</v>
      </c>
      <c r="G311" s="1" t="s">
        <v>3017</v>
      </c>
      <c r="H311" s="3">
        <v>46141.0</v>
      </c>
      <c r="I311" s="3">
        <v>46223.0</v>
      </c>
      <c r="J311" s="3">
        <v>46223.0</v>
      </c>
      <c r="K311" s="1" t="s">
        <v>124</v>
      </c>
      <c r="L311" s="1" t="s">
        <v>98</v>
      </c>
      <c r="M311" s="1" t="s">
        <v>216</v>
      </c>
      <c r="N311" s="1" t="s">
        <v>131</v>
      </c>
      <c r="P311" s="1" t="s">
        <v>1745</v>
      </c>
      <c r="R311" s="1" t="s">
        <v>137</v>
      </c>
      <c r="S311" s="1" t="s">
        <v>137</v>
      </c>
      <c r="T311" s="1" t="s">
        <v>47</v>
      </c>
      <c r="U311" s="1" t="s">
        <v>3018</v>
      </c>
    </row>
    <row r="312">
      <c r="A312" s="1" t="s">
        <v>3019</v>
      </c>
      <c r="B312" s="1" t="s">
        <v>191</v>
      </c>
      <c r="C312" s="1" t="s">
        <v>3015</v>
      </c>
      <c r="D312" s="1" t="s">
        <v>417</v>
      </c>
      <c r="E312" s="1" t="s">
        <v>209</v>
      </c>
      <c r="F312" s="1" t="s">
        <v>3016</v>
      </c>
      <c r="G312" s="1" t="s">
        <v>3017</v>
      </c>
      <c r="H312" s="3">
        <v>45557.0</v>
      </c>
      <c r="I312" s="3">
        <v>45845.0</v>
      </c>
      <c r="J312" s="3">
        <v>45845.0</v>
      </c>
      <c r="K312" s="1" t="s">
        <v>215</v>
      </c>
      <c r="L312" s="1" t="s">
        <v>251</v>
      </c>
      <c r="M312" s="1" t="s">
        <v>216</v>
      </c>
      <c r="N312" s="1" t="s">
        <v>131</v>
      </c>
      <c r="O312" s="3">
        <v>45845.0</v>
      </c>
      <c r="R312" s="1" t="s">
        <v>137</v>
      </c>
      <c r="S312" s="1" t="s">
        <v>137</v>
      </c>
      <c r="T312" s="1" t="s">
        <v>47</v>
      </c>
      <c r="U312" s="1" t="s">
        <v>3020</v>
      </c>
    </row>
    <row r="313">
      <c r="A313" s="1" t="s">
        <v>2337</v>
      </c>
      <c r="B313" s="1" t="s">
        <v>116</v>
      </c>
      <c r="C313" s="1" t="s">
        <v>3021</v>
      </c>
      <c r="D313" s="1" t="s">
        <v>960</v>
      </c>
      <c r="E313" s="1" t="s">
        <v>292</v>
      </c>
      <c r="F313" s="1" t="s">
        <v>494</v>
      </c>
      <c r="G313" s="1" t="s">
        <v>1784</v>
      </c>
      <c r="H313" s="3">
        <v>46129.0</v>
      </c>
      <c r="I313" s="3">
        <v>46253.0</v>
      </c>
      <c r="K313" s="1" t="s">
        <v>124</v>
      </c>
      <c r="L313" s="1" t="s">
        <v>98</v>
      </c>
      <c r="M313" s="1" t="s">
        <v>162</v>
      </c>
      <c r="N313" s="1" t="s">
        <v>131</v>
      </c>
      <c r="P313" s="1" t="s">
        <v>3022</v>
      </c>
      <c r="R313" s="1" t="s">
        <v>137</v>
      </c>
      <c r="S313" s="1" t="s">
        <v>137</v>
      </c>
      <c r="T313" s="1" t="s">
        <v>47</v>
      </c>
      <c r="U313" s="1" t="s">
        <v>3023</v>
      </c>
    </row>
    <row r="314">
      <c r="A314" s="1" t="s">
        <v>2107</v>
      </c>
      <c r="B314" s="1" t="s">
        <v>3024</v>
      </c>
      <c r="C314" s="1" t="s">
        <v>3025</v>
      </c>
      <c r="D314" s="1" t="s">
        <v>593</v>
      </c>
      <c r="E314" s="1" t="s">
        <v>330</v>
      </c>
      <c r="F314" s="1" t="s">
        <v>663</v>
      </c>
      <c r="G314" s="1" t="s">
        <v>664</v>
      </c>
      <c r="H314" s="3">
        <v>46107.0</v>
      </c>
      <c r="I314" s="3">
        <v>46265.0</v>
      </c>
      <c r="K314" s="1" t="s">
        <v>124</v>
      </c>
      <c r="L314" s="1" t="s">
        <v>71</v>
      </c>
      <c r="M314" s="1" t="s">
        <v>216</v>
      </c>
      <c r="N314" s="1" t="s">
        <v>131</v>
      </c>
      <c r="P314" s="1" t="s">
        <v>1453</v>
      </c>
      <c r="R314" s="1" t="s">
        <v>137</v>
      </c>
      <c r="S314" s="1" t="s">
        <v>137</v>
      </c>
      <c r="T314" s="1" t="s">
        <v>47</v>
      </c>
      <c r="U314" s="1" t="s">
        <v>3026</v>
      </c>
    </row>
    <row r="315">
      <c r="A315" s="1" t="s">
        <v>3027</v>
      </c>
      <c r="B315" s="1" t="s">
        <v>191</v>
      </c>
      <c r="C315" s="1" t="s">
        <v>3028</v>
      </c>
      <c r="D315" s="1" t="s">
        <v>291</v>
      </c>
      <c r="E315" s="1" t="s">
        <v>292</v>
      </c>
      <c r="F315" s="1" t="s">
        <v>293</v>
      </c>
      <c r="G315" s="1" t="s">
        <v>2091</v>
      </c>
      <c r="H315" s="3">
        <v>46071.0</v>
      </c>
      <c r="I315" s="3">
        <v>46196.0</v>
      </c>
      <c r="J315" s="3">
        <v>46196.0</v>
      </c>
      <c r="K315" s="1" t="s">
        <v>215</v>
      </c>
      <c r="L315" s="1" t="s">
        <v>98</v>
      </c>
      <c r="M315" s="1" t="s">
        <v>216</v>
      </c>
      <c r="N315" s="1" t="s">
        <v>131</v>
      </c>
      <c r="O315" s="3">
        <v>46223.0</v>
      </c>
      <c r="P315" s="1" t="s">
        <v>2952</v>
      </c>
      <c r="R315" s="1" t="s">
        <v>137</v>
      </c>
      <c r="S315" s="1" t="s">
        <v>137</v>
      </c>
      <c r="T315" s="1" t="s">
        <v>47</v>
      </c>
      <c r="U315" s="1" t="s">
        <v>3031</v>
      </c>
    </row>
    <row r="316">
      <c r="A316" s="1" t="s">
        <v>1575</v>
      </c>
      <c r="B316" s="1" t="s">
        <v>3034</v>
      </c>
      <c r="C316" s="1" t="s">
        <v>3028</v>
      </c>
      <c r="D316" s="1" t="s">
        <v>291</v>
      </c>
      <c r="E316" s="1" t="s">
        <v>292</v>
      </c>
      <c r="F316" s="1" t="s">
        <v>293</v>
      </c>
      <c r="G316" s="1" t="s">
        <v>2091</v>
      </c>
      <c r="H316" s="3">
        <v>46034.0</v>
      </c>
      <c r="K316" s="1" t="s">
        <v>124</v>
      </c>
      <c r="L316" s="1" t="s">
        <v>251</v>
      </c>
      <c r="M316" s="1" t="s">
        <v>162</v>
      </c>
      <c r="N316" s="1" t="s">
        <v>131</v>
      </c>
      <c r="P316" s="1" t="s">
        <v>3041</v>
      </c>
      <c r="R316" s="1" t="s">
        <v>137</v>
      </c>
      <c r="S316" s="1" t="s">
        <v>137</v>
      </c>
      <c r="T316" s="1" t="s">
        <v>47</v>
      </c>
      <c r="U316" s="1" t="s">
        <v>3045</v>
      </c>
    </row>
    <row r="317">
      <c r="A317" s="1" t="s">
        <v>3047</v>
      </c>
      <c r="B317" s="1" t="s">
        <v>354</v>
      </c>
      <c r="C317" s="1" t="s">
        <v>3049</v>
      </c>
      <c r="D317" s="1" t="s">
        <v>172</v>
      </c>
      <c r="E317" s="1" t="s">
        <v>292</v>
      </c>
      <c r="F317" s="1" t="s">
        <v>293</v>
      </c>
      <c r="G317" s="1" t="s">
        <v>3053</v>
      </c>
      <c r="H317" s="3">
        <v>45797.0</v>
      </c>
      <c r="I317" s="3">
        <v>46149.0</v>
      </c>
      <c r="J317" s="3">
        <v>46149.0</v>
      </c>
      <c r="K317" s="1" t="s">
        <v>215</v>
      </c>
      <c r="L317" s="1" t="s">
        <v>251</v>
      </c>
      <c r="M317" s="1" t="s">
        <v>216</v>
      </c>
      <c r="N317" s="1" t="s">
        <v>131</v>
      </c>
      <c r="O317" s="3">
        <v>46149.0</v>
      </c>
      <c r="R317" s="1" t="s">
        <v>137</v>
      </c>
      <c r="S317" s="1" t="s">
        <v>137</v>
      </c>
      <c r="T317" s="1" t="s">
        <v>47</v>
      </c>
      <c r="U317" s="1" t="s">
        <v>3056</v>
      </c>
    </row>
    <row r="318">
      <c r="A318" s="1" t="s">
        <v>3057</v>
      </c>
      <c r="B318" s="1" t="s">
        <v>191</v>
      </c>
      <c r="C318" s="1" t="s">
        <v>3058</v>
      </c>
      <c r="D318" s="1" t="s">
        <v>194</v>
      </c>
      <c r="E318" s="1" t="s">
        <v>889</v>
      </c>
      <c r="F318" s="1" t="s">
        <v>2614</v>
      </c>
      <c r="G318" s="1" t="s">
        <v>3059</v>
      </c>
      <c r="H318" s="3">
        <v>45908.0</v>
      </c>
      <c r="I318" s="3">
        <v>46174.0</v>
      </c>
      <c r="J318" s="3">
        <v>46174.0</v>
      </c>
      <c r="K318" s="1" t="s">
        <v>215</v>
      </c>
      <c r="L318" s="1" t="s">
        <v>98</v>
      </c>
      <c r="M318" s="1" t="s">
        <v>216</v>
      </c>
      <c r="N318" s="1" t="s">
        <v>131</v>
      </c>
      <c r="O318" s="3">
        <v>46202.0</v>
      </c>
      <c r="R318" s="1" t="s">
        <v>137</v>
      </c>
      <c r="S318" s="1" t="s">
        <v>137</v>
      </c>
      <c r="T318" s="1" t="s">
        <v>47</v>
      </c>
      <c r="U318" s="1" t="s">
        <v>3060</v>
      </c>
    </row>
    <row r="319">
      <c r="A319" s="1" t="s">
        <v>3061</v>
      </c>
      <c r="B319" s="1" t="s">
        <v>191</v>
      </c>
      <c r="C319" s="1" t="s">
        <v>3062</v>
      </c>
      <c r="D319" s="1" t="s">
        <v>1291</v>
      </c>
      <c r="E319" s="1" t="s">
        <v>292</v>
      </c>
      <c r="F319" s="1" t="s">
        <v>468</v>
      </c>
      <c r="G319" s="1" t="s">
        <v>1758</v>
      </c>
      <c r="H319" s="3">
        <v>45957.0</v>
      </c>
      <c r="I319" s="3">
        <v>46118.0</v>
      </c>
      <c r="J319" s="3">
        <v>46118.0</v>
      </c>
      <c r="K319" s="1" t="s">
        <v>215</v>
      </c>
      <c r="L319" s="1" t="s">
        <v>251</v>
      </c>
      <c r="M319" s="1" t="s">
        <v>216</v>
      </c>
      <c r="N319" s="1" t="s">
        <v>131</v>
      </c>
      <c r="O319" s="3">
        <v>46118.0</v>
      </c>
      <c r="R319" s="1" t="s">
        <v>137</v>
      </c>
      <c r="S319" s="1" t="s">
        <v>137</v>
      </c>
      <c r="T319" s="1" t="s">
        <v>47</v>
      </c>
      <c r="U319" s="1" t="s">
        <v>3063</v>
      </c>
    </row>
    <row r="320">
      <c r="A320" s="1" t="s">
        <v>3064</v>
      </c>
      <c r="B320" s="1" t="s">
        <v>191</v>
      </c>
      <c r="C320" s="1" t="s">
        <v>3062</v>
      </c>
      <c r="D320" s="1" t="s">
        <v>1291</v>
      </c>
      <c r="E320" s="1" t="s">
        <v>292</v>
      </c>
      <c r="F320" s="1" t="s">
        <v>468</v>
      </c>
      <c r="G320" s="1" t="s">
        <v>1758</v>
      </c>
      <c r="H320" s="3">
        <v>46174.0</v>
      </c>
      <c r="I320" s="3">
        <v>46225.0</v>
      </c>
      <c r="J320" s="3">
        <v>46225.0</v>
      </c>
      <c r="K320" s="1" t="s">
        <v>215</v>
      </c>
      <c r="L320" s="1" t="s">
        <v>160</v>
      </c>
      <c r="M320" s="1" t="s">
        <v>253</v>
      </c>
      <c r="N320" s="1" t="s">
        <v>131</v>
      </c>
      <c r="O320" s="3">
        <v>46225.0</v>
      </c>
      <c r="P320" s="1" t="s">
        <v>3065</v>
      </c>
      <c r="R320" s="1" t="s">
        <v>137</v>
      </c>
      <c r="S320" s="1" t="s">
        <v>137</v>
      </c>
      <c r="T320" s="1" t="s">
        <v>47</v>
      </c>
      <c r="U320" s="1" t="s">
        <v>3066</v>
      </c>
    </row>
    <row r="321">
      <c r="A321" s="1" t="s">
        <v>2950</v>
      </c>
      <c r="B321" s="1" t="s">
        <v>191</v>
      </c>
      <c r="C321" s="1" t="s">
        <v>3068</v>
      </c>
      <c r="D321" s="1" t="s">
        <v>777</v>
      </c>
      <c r="E321" s="1" t="s">
        <v>119</v>
      </c>
      <c r="F321" s="1" t="s">
        <v>2522</v>
      </c>
      <c r="G321" s="1" t="s">
        <v>2522</v>
      </c>
      <c r="H321" s="3">
        <v>46233.0</v>
      </c>
      <c r="K321" s="1" t="s">
        <v>124</v>
      </c>
      <c r="L321" s="1" t="s">
        <v>251</v>
      </c>
      <c r="M321" s="1" t="s">
        <v>162</v>
      </c>
      <c r="N321" s="1" t="s">
        <v>131</v>
      </c>
      <c r="P321" s="1" t="s">
        <v>2662</v>
      </c>
      <c r="R321" s="1" t="s">
        <v>137</v>
      </c>
      <c r="S321" s="1" t="s">
        <v>137</v>
      </c>
      <c r="T321" s="1" t="s">
        <v>47</v>
      </c>
    </row>
    <row r="322">
      <c r="A322" s="1" t="s">
        <v>3069</v>
      </c>
      <c r="B322" s="1" t="s">
        <v>3070</v>
      </c>
      <c r="C322" s="1" t="s">
        <v>3071</v>
      </c>
      <c r="D322" s="1" t="s">
        <v>118</v>
      </c>
      <c r="E322" s="1" t="s">
        <v>330</v>
      </c>
      <c r="F322" s="1" t="s">
        <v>356</v>
      </c>
      <c r="G322" s="1" t="s">
        <v>3072</v>
      </c>
      <c r="H322" s="3">
        <v>45873.0</v>
      </c>
      <c r="I322" s="3">
        <v>45961.0</v>
      </c>
      <c r="J322" s="3">
        <v>45961.0</v>
      </c>
      <c r="K322" s="1" t="s">
        <v>215</v>
      </c>
      <c r="L322" s="1" t="s">
        <v>98</v>
      </c>
      <c r="M322" s="1" t="s">
        <v>216</v>
      </c>
      <c r="N322" s="1" t="s">
        <v>131</v>
      </c>
      <c r="O322" s="3">
        <v>45961.0</v>
      </c>
      <c r="R322" s="1" t="s">
        <v>137</v>
      </c>
      <c r="S322" s="1" t="s">
        <v>137</v>
      </c>
      <c r="T322" s="1" t="s">
        <v>47</v>
      </c>
      <c r="U322" s="1" t="s">
        <v>3073</v>
      </c>
    </row>
    <row r="323">
      <c r="A323" s="1" t="s">
        <v>1977</v>
      </c>
      <c r="B323" s="1" t="s">
        <v>240</v>
      </c>
      <c r="C323" s="1" t="s">
        <v>3074</v>
      </c>
      <c r="D323" s="1" t="s">
        <v>548</v>
      </c>
      <c r="E323" s="1" t="s">
        <v>520</v>
      </c>
      <c r="F323" s="1" t="s">
        <v>1229</v>
      </c>
      <c r="G323" s="1" t="s">
        <v>1231</v>
      </c>
      <c r="H323" s="3">
        <v>46118.0</v>
      </c>
      <c r="K323" s="1" t="s">
        <v>124</v>
      </c>
      <c r="L323" s="1" t="s">
        <v>251</v>
      </c>
      <c r="M323" s="1" t="s">
        <v>162</v>
      </c>
      <c r="N323" s="1" t="s">
        <v>131</v>
      </c>
      <c r="P323" s="1" t="s">
        <v>3075</v>
      </c>
      <c r="R323" s="1" t="s">
        <v>137</v>
      </c>
      <c r="S323" s="1" t="s">
        <v>137</v>
      </c>
      <c r="T323" s="1" t="s">
        <v>47</v>
      </c>
      <c r="U323" s="1" t="s">
        <v>3076</v>
      </c>
    </row>
    <row r="324">
      <c r="A324" s="1" t="s">
        <v>2830</v>
      </c>
      <c r="B324" s="1" t="s">
        <v>3077</v>
      </c>
      <c r="C324" s="1" t="s">
        <v>3078</v>
      </c>
      <c r="D324" s="1" t="s">
        <v>509</v>
      </c>
      <c r="E324" s="1" t="s">
        <v>454</v>
      </c>
      <c r="F324" s="1" t="s">
        <v>637</v>
      </c>
      <c r="G324" s="1" t="s">
        <v>2554</v>
      </c>
      <c r="H324" s="3">
        <v>46204.0</v>
      </c>
      <c r="I324" s="3">
        <v>46296.0</v>
      </c>
      <c r="K324" s="1" t="s">
        <v>124</v>
      </c>
      <c r="L324" s="1" t="s">
        <v>3079</v>
      </c>
      <c r="M324" s="1" t="s">
        <v>162</v>
      </c>
      <c r="N324" s="1" t="s">
        <v>131</v>
      </c>
      <c r="R324" s="1" t="s">
        <v>3080</v>
      </c>
      <c r="S324" s="1" t="s">
        <v>3080</v>
      </c>
      <c r="T324" s="1" t="s">
        <v>3081</v>
      </c>
      <c r="U324" s="1" t="s">
        <v>3082</v>
      </c>
    </row>
    <row r="325">
      <c r="A325" s="1" t="s">
        <v>2242</v>
      </c>
      <c r="B325" s="1" t="s">
        <v>191</v>
      </c>
      <c r="C325" s="1" t="s">
        <v>3083</v>
      </c>
      <c r="D325" s="1" t="s">
        <v>152</v>
      </c>
      <c r="E325" s="1" t="s">
        <v>889</v>
      </c>
      <c r="F325" s="1" t="s">
        <v>1193</v>
      </c>
      <c r="G325" s="1" t="s">
        <v>1195</v>
      </c>
      <c r="H325" s="3">
        <v>46140.0</v>
      </c>
      <c r="I325" s="3">
        <v>46266.0</v>
      </c>
      <c r="K325" s="1" t="s">
        <v>124</v>
      </c>
      <c r="L325" s="1" t="s">
        <v>160</v>
      </c>
      <c r="M325" s="1" t="s">
        <v>460</v>
      </c>
      <c r="N325" s="1" t="s">
        <v>131</v>
      </c>
      <c r="P325" s="1" t="s">
        <v>989</v>
      </c>
      <c r="R325" s="1" t="s">
        <v>137</v>
      </c>
      <c r="S325" s="1" t="s">
        <v>137</v>
      </c>
      <c r="T325" s="1" t="s">
        <v>47</v>
      </c>
      <c r="U325" s="1" t="s">
        <v>3084</v>
      </c>
    </row>
    <row r="326">
      <c r="A326" s="1" t="s">
        <v>3085</v>
      </c>
      <c r="B326" s="1" t="s">
        <v>354</v>
      </c>
      <c r="C326" s="1" t="s">
        <v>3086</v>
      </c>
      <c r="D326" s="1" t="s">
        <v>291</v>
      </c>
      <c r="E326" s="1" t="s">
        <v>175</v>
      </c>
      <c r="F326" s="1" t="s">
        <v>177</v>
      </c>
      <c r="H326" s="3">
        <v>45834.0</v>
      </c>
      <c r="I326" s="3">
        <v>46027.0</v>
      </c>
      <c r="J326" s="3">
        <v>46027.0</v>
      </c>
      <c r="K326" s="1" t="s">
        <v>215</v>
      </c>
      <c r="L326" s="1" t="s">
        <v>251</v>
      </c>
      <c r="M326" s="1" t="s">
        <v>253</v>
      </c>
      <c r="N326" s="1" t="s">
        <v>131</v>
      </c>
      <c r="O326" s="3">
        <v>46027.0</v>
      </c>
      <c r="R326" s="1" t="s">
        <v>137</v>
      </c>
      <c r="S326" s="1" t="s">
        <v>137</v>
      </c>
      <c r="T326" s="1" t="s">
        <v>47</v>
      </c>
      <c r="U326" s="1" t="s">
        <v>3087</v>
      </c>
    </row>
    <row r="327">
      <c r="A327" s="1" t="s">
        <v>3088</v>
      </c>
      <c r="B327" s="1" t="s">
        <v>191</v>
      </c>
      <c r="C327" s="1" t="s">
        <v>3089</v>
      </c>
      <c r="D327" s="1" t="s">
        <v>678</v>
      </c>
      <c r="E327" s="1" t="s">
        <v>454</v>
      </c>
      <c r="F327" s="1" t="s">
        <v>637</v>
      </c>
      <c r="G327" s="1" t="s">
        <v>2554</v>
      </c>
      <c r="H327" s="3">
        <v>45810.0</v>
      </c>
      <c r="I327" s="3">
        <v>45897.0</v>
      </c>
      <c r="J327" s="3">
        <v>45897.0</v>
      </c>
      <c r="K327" s="1" t="s">
        <v>215</v>
      </c>
      <c r="L327" s="1" t="s">
        <v>251</v>
      </c>
      <c r="M327" s="1" t="s">
        <v>216</v>
      </c>
      <c r="N327" s="1" t="s">
        <v>131</v>
      </c>
      <c r="O327" s="3">
        <v>45897.0</v>
      </c>
      <c r="R327" s="1" t="s">
        <v>137</v>
      </c>
      <c r="S327" s="1" t="s">
        <v>137</v>
      </c>
      <c r="T327" s="1" t="s">
        <v>47</v>
      </c>
      <c r="U327" s="1" t="s">
        <v>3090</v>
      </c>
    </row>
    <row r="328">
      <c r="A328" s="1" t="s">
        <v>3091</v>
      </c>
      <c r="B328" s="1" t="s">
        <v>240</v>
      </c>
      <c r="C328" s="1" t="s">
        <v>3092</v>
      </c>
      <c r="D328" s="1" t="s">
        <v>273</v>
      </c>
      <c r="E328" s="1" t="s">
        <v>330</v>
      </c>
      <c r="F328" s="1" t="s">
        <v>356</v>
      </c>
      <c r="G328" s="1" t="s">
        <v>875</v>
      </c>
      <c r="H328" s="3">
        <v>46223.0</v>
      </c>
      <c r="K328" s="1" t="s">
        <v>124</v>
      </c>
      <c r="L328" s="1" t="s">
        <v>251</v>
      </c>
      <c r="M328" s="1" t="s">
        <v>162</v>
      </c>
      <c r="N328" s="1" t="s">
        <v>131</v>
      </c>
      <c r="P328" s="1" t="s">
        <v>3094</v>
      </c>
      <c r="R328" s="1" t="s">
        <v>137</v>
      </c>
      <c r="S328" s="1" t="s">
        <v>137</v>
      </c>
      <c r="T328" s="1" t="s">
        <v>47</v>
      </c>
      <c r="U328" s="1" t="s">
        <v>3095</v>
      </c>
    </row>
    <row r="329">
      <c r="A329" s="1" t="s">
        <v>3096</v>
      </c>
      <c r="B329" s="1" t="s">
        <v>1883</v>
      </c>
      <c r="C329" s="1" t="s">
        <v>3097</v>
      </c>
      <c r="D329" s="1" t="s">
        <v>492</v>
      </c>
      <c r="E329" s="1" t="s">
        <v>292</v>
      </c>
      <c r="F329" s="1" t="s">
        <v>962</v>
      </c>
      <c r="G329" s="1" t="s">
        <v>1969</v>
      </c>
      <c r="H329" s="3">
        <v>45810.0</v>
      </c>
      <c r="I329" s="3">
        <v>45887.0</v>
      </c>
      <c r="J329" s="3">
        <v>45887.0</v>
      </c>
      <c r="K329" s="1" t="s">
        <v>215</v>
      </c>
      <c r="L329" s="1" t="s">
        <v>251</v>
      </c>
      <c r="M329" s="1" t="s">
        <v>216</v>
      </c>
      <c r="N329" s="1" t="s">
        <v>131</v>
      </c>
      <c r="O329" s="3">
        <v>45898.0</v>
      </c>
      <c r="R329" s="1" t="s">
        <v>137</v>
      </c>
      <c r="S329" s="1" t="s">
        <v>137</v>
      </c>
      <c r="T329" s="1" t="s">
        <v>47</v>
      </c>
      <c r="U329" s="1" t="s">
        <v>3098</v>
      </c>
    </row>
    <row r="330">
      <c r="A330" s="1" t="s">
        <v>3099</v>
      </c>
      <c r="B330" s="1" t="s">
        <v>3100</v>
      </c>
      <c r="C330" s="1" t="s">
        <v>3101</v>
      </c>
      <c r="D330" s="1" t="s">
        <v>60</v>
      </c>
      <c r="E330" s="1" t="s">
        <v>520</v>
      </c>
      <c r="F330" s="1" t="s">
        <v>1179</v>
      </c>
      <c r="G330" s="1" t="s">
        <v>1180</v>
      </c>
      <c r="K330" s="1" t="s">
        <v>124</v>
      </c>
      <c r="L330" s="1" t="s">
        <v>71</v>
      </c>
      <c r="M330" s="1" t="s">
        <v>129</v>
      </c>
      <c r="N330" s="1" t="s">
        <v>131</v>
      </c>
    </row>
    <row r="331">
      <c r="A331" s="1" t="s">
        <v>3102</v>
      </c>
      <c r="B331" s="1" t="s">
        <v>707</v>
      </c>
      <c r="C331" s="1" t="s">
        <v>3103</v>
      </c>
      <c r="D331" s="1" t="s">
        <v>243</v>
      </c>
      <c r="E331" s="1" t="s">
        <v>175</v>
      </c>
      <c r="F331" s="1" t="s">
        <v>177</v>
      </c>
      <c r="G331" s="1" t="s">
        <v>503</v>
      </c>
      <c r="H331" s="3">
        <v>45996.0</v>
      </c>
      <c r="I331" s="3">
        <v>46066.0</v>
      </c>
      <c r="J331" s="3">
        <v>46066.0</v>
      </c>
      <c r="K331" s="1" t="s">
        <v>215</v>
      </c>
      <c r="L331" s="1" t="s">
        <v>251</v>
      </c>
      <c r="M331" s="1" t="s">
        <v>216</v>
      </c>
      <c r="N331" s="1" t="s">
        <v>131</v>
      </c>
      <c r="O331" s="3">
        <v>46122.0</v>
      </c>
      <c r="R331" s="1" t="s">
        <v>665</v>
      </c>
      <c r="S331" s="1" t="s">
        <v>665</v>
      </c>
      <c r="T331" s="1" t="s">
        <v>666</v>
      </c>
      <c r="U331" s="1" t="s">
        <v>3104</v>
      </c>
    </row>
    <row r="332">
      <c r="A332" s="1" t="s">
        <v>2817</v>
      </c>
      <c r="B332" s="1" t="s">
        <v>116</v>
      </c>
      <c r="C332" s="1" t="s">
        <v>3105</v>
      </c>
      <c r="D332" s="1" t="s">
        <v>919</v>
      </c>
      <c r="E332" s="1" t="s">
        <v>330</v>
      </c>
      <c r="F332" s="1" t="s">
        <v>663</v>
      </c>
      <c r="G332" s="1" t="s">
        <v>664</v>
      </c>
      <c r="H332" s="3">
        <v>46203.0</v>
      </c>
      <c r="I332" s="3">
        <v>46363.0</v>
      </c>
      <c r="K332" s="1" t="s">
        <v>124</v>
      </c>
      <c r="L332" s="1" t="s">
        <v>71</v>
      </c>
      <c r="M332" s="1" t="s">
        <v>162</v>
      </c>
      <c r="N332" s="1" t="s">
        <v>131</v>
      </c>
      <c r="R332" s="1" t="s">
        <v>665</v>
      </c>
      <c r="S332" s="1" t="s">
        <v>665</v>
      </c>
      <c r="T332" s="1" t="s">
        <v>666</v>
      </c>
      <c r="U332" s="1" t="s">
        <v>2531</v>
      </c>
    </row>
    <row r="333">
      <c r="A333" s="1" t="s">
        <v>3106</v>
      </c>
      <c r="B333" s="1" t="s">
        <v>191</v>
      </c>
      <c r="C333" s="1" t="s">
        <v>3107</v>
      </c>
      <c r="D333" s="1" t="s">
        <v>831</v>
      </c>
      <c r="E333" s="1" t="s">
        <v>292</v>
      </c>
      <c r="F333" s="1" t="s">
        <v>468</v>
      </c>
      <c r="G333" s="1" t="s">
        <v>998</v>
      </c>
      <c r="H333" s="3">
        <v>46041.0</v>
      </c>
      <c r="I333" s="3">
        <v>46202.0</v>
      </c>
      <c r="J333" s="3">
        <v>46202.0</v>
      </c>
      <c r="K333" s="1" t="s">
        <v>215</v>
      </c>
      <c r="L333" s="1" t="s">
        <v>251</v>
      </c>
      <c r="M333" s="1" t="s">
        <v>216</v>
      </c>
      <c r="N333" s="1" t="s">
        <v>131</v>
      </c>
      <c r="O333" s="3">
        <v>46230.0</v>
      </c>
      <c r="P333" s="1" t="s">
        <v>852</v>
      </c>
      <c r="R333" s="1" t="s">
        <v>137</v>
      </c>
      <c r="S333" s="1" t="s">
        <v>137</v>
      </c>
      <c r="T333" s="1" t="s">
        <v>47</v>
      </c>
      <c r="U333" s="1" t="s">
        <v>3108</v>
      </c>
    </row>
    <row r="334">
      <c r="A334" s="1" t="s">
        <v>3109</v>
      </c>
      <c r="B334" s="1" t="s">
        <v>191</v>
      </c>
      <c r="C334" s="1" t="s">
        <v>3110</v>
      </c>
      <c r="D334" s="1" t="s">
        <v>273</v>
      </c>
      <c r="E334" s="1" t="s">
        <v>330</v>
      </c>
      <c r="F334" s="1" t="s">
        <v>331</v>
      </c>
      <c r="G334" s="1" t="s">
        <v>333</v>
      </c>
      <c r="H334" s="3">
        <v>46174.0</v>
      </c>
      <c r="I334" s="3">
        <v>46216.0</v>
      </c>
      <c r="J334" s="3">
        <v>46216.0</v>
      </c>
      <c r="K334" s="1" t="s">
        <v>215</v>
      </c>
      <c r="L334" s="1" t="s">
        <v>160</v>
      </c>
      <c r="M334" s="1" t="s">
        <v>253</v>
      </c>
      <c r="N334" s="1" t="s">
        <v>131</v>
      </c>
      <c r="O334" s="3">
        <v>46213.0</v>
      </c>
      <c r="R334" s="1" t="s">
        <v>137</v>
      </c>
      <c r="S334" s="1" t="s">
        <v>137</v>
      </c>
      <c r="T334" s="1" t="s">
        <v>47</v>
      </c>
      <c r="U334" s="1" t="s">
        <v>3111</v>
      </c>
    </row>
    <row r="335">
      <c r="A335" s="1" t="s">
        <v>3112</v>
      </c>
      <c r="B335" s="1" t="s">
        <v>191</v>
      </c>
      <c r="C335" s="1" t="s">
        <v>3110</v>
      </c>
      <c r="D335" s="1" t="s">
        <v>273</v>
      </c>
      <c r="E335" s="1" t="s">
        <v>330</v>
      </c>
      <c r="F335" s="1" t="s">
        <v>331</v>
      </c>
      <c r="G335" s="1" t="s">
        <v>333</v>
      </c>
      <c r="H335" s="3">
        <v>45811.0</v>
      </c>
      <c r="I335" s="3">
        <v>45958.0</v>
      </c>
      <c r="J335" s="3">
        <v>45958.0</v>
      </c>
      <c r="K335" s="1" t="s">
        <v>215</v>
      </c>
      <c r="L335" s="1" t="s">
        <v>251</v>
      </c>
      <c r="M335" s="1" t="s">
        <v>216</v>
      </c>
      <c r="N335" s="1" t="s">
        <v>131</v>
      </c>
      <c r="O335" s="3">
        <v>45958.0</v>
      </c>
      <c r="R335" s="1" t="s">
        <v>137</v>
      </c>
      <c r="S335" s="1" t="s">
        <v>137</v>
      </c>
      <c r="T335" s="1" t="s">
        <v>47</v>
      </c>
      <c r="U335" s="1" t="s">
        <v>3113</v>
      </c>
    </row>
    <row r="336">
      <c r="A336" s="1" t="s">
        <v>2038</v>
      </c>
      <c r="B336" s="1" t="s">
        <v>3114</v>
      </c>
      <c r="C336" s="1" t="s">
        <v>3110</v>
      </c>
      <c r="D336" s="1" t="s">
        <v>273</v>
      </c>
      <c r="E336" s="1" t="s">
        <v>330</v>
      </c>
      <c r="F336" s="1" t="s">
        <v>331</v>
      </c>
      <c r="G336" s="1" t="s">
        <v>333</v>
      </c>
      <c r="H336" s="3">
        <v>46090.0</v>
      </c>
      <c r="I336" s="3">
        <v>46241.0</v>
      </c>
      <c r="K336" s="1" t="s">
        <v>124</v>
      </c>
      <c r="L336" s="1" t="s">
        <v>160</v>
      </c>
      <c r="M336" s="1" t="s">
        <v>162</v>
      </c>
      <c r="N336" s="1" t="s">
        <v>131</v>
      </c>
      <c r="P336" s="1" t="s">
        <v>485</v>
      </c>
      <c r="R336" s="1" t="s">
        <v>137</v>
      </c>
      <c r="S336" s="1" t="s">
        <v>137</v>
      </c>
      <c r="T336" s="1" t="s">
        <v>47</v>
      </c>
      <c r="U336" s="1" t="s">
        <v>3115</v>
      </c>
    </row>
    <row r="337">
      <c r="A337" s="1" t="s">
        <v>3116</v>
      </c>
      <c r="B337" s="1" t="s">
        <v>191</v>
      </c>
      <c r="C337" s="1" t="s">
        <v>3117</v>
      </c>
      <c r="D337" s="1" t="s">
        <v>831</v>
      </c>
      <c r="E337" s="1" t="s">
        <v>292</v>
      </c>
      <c r="F337" s="1" t="s">
        <v>468</v>
      </c>
      <c r="G337" s="1" t="s">
        <v>998</v>
      </c>
      <c r="H337" s="3">
        <v>45768.0</v>
      </c>
      <c r="I337" s="3">
        <v>45991.0</v>
      </c>
      <c r="J337" s="3">
        <v>45991.0</v>
      </c>
      <c r="K337" s="1" t="s">
        <v>215</v>
      </c>
      <c r="L337" s="1" t="s">
        <v>251</v>
      </c>
      <c r="M337" s="1" t="s">
        <v>216</v>
      </c>
      <c r="N337" s="1" t="s">
        <v>131</v>
      </c>
      <c r="O337" s="3">
        <v>45991.0</v>
      </c>
      <c r="R337" s="1" t="s">
        <v>137</v>
      </c>
      <c r="S337" s="1" t="s">
        <v>137</v>
      </c>
      <c r="T337" s="1" t="s">
        <v>47</v>
      </c>
      <c r="U337" s="1" t="s">
        <v>3118</v>
      </c>
    </row>
    <row r="338">
      <c r="A338" s="1" t="s">
        <v>2933</v>
      </c>
      <c r="B338" s="1" t="s">
        <v>3119</v>
      </c>
      <c r="C338" s="1" t="s">
        <v>3120</v>
      </c>
      <c r="D338" s="1" t="s">
        <v>273</v>
      </c>
      <c r="E338" s="1" t="s">
        <v>330</v>
      </c>
      <c r="F338" s="1" t="s">
        <v>331</v>
      </c>
      <c r="G338" s="1" t="s">
        <v>333</v>
      </c>
      <c r="H338" s="3">
        <v>46209.0</v>
      </c>
      <c r="I338" s="3">
        <v>46342.0</v>
      </c>
      <c r="K338" s="1" t="s">
        <v>124</v>
      </c>
      <c r="L338" s="1" t="s">
        <v>98</v>
      </c>
      <c r="M338" s="1" t="s">
        <v>335</v>
      </c>
      <c r="N338" s="1" t="s">
        <v>131</v>
      </c>
      <c r="P338" s="1" t="s">
        <v>2218</v>
      </c>
      <c r="R338" s="1" t="s">
        <v>665</v>
      </c>
      <c r="S338" s="1" t="s">
        <v>665</v>
      </c>
      <c r="T338" s="1" t="s">
        <v>666</v>
      </c>
      <c r="U338" s="1" t="s">
        <v>3122</v>
      </c>
    </row>
    <row r="339">
      <c r="A339" s="1" t="s">
        <v>3123</v>
      </c>
      <c r="B339" s="1" t="s">
        <v>191</v>
      </c>
      <c r="C339" s="1" t="s">
        <v>3120</v>
      </c>
      <c r="D339" s="1" t="s">
        <v>273</v>
      </c>
      <c r="E339" s="1" t="s">
        <v>330</v>
      </c>
      <c r="F339" s="1" t="s">
        <v>331</v>
      </c>
      <c r="G339" s="1" t="s">
        <v>333</v>
      </c>
      <c r="H339" s="3">
        <v>45852.0</v>
      </c>
      <c r="I339" s="3">
        <v>45999.0</v>
      </c>
      <c r="J339" s="3">
        <v>45999.0</v>
      </c>
      <c r="K339" s="1" t="s">
        <v>215</v>
      </c>
      <c r="L339" s="1" t="s">
        <v>251</v>
      </c>
      <c r="M339" s="1" t="s">
        <v>216</v>
      </c>
      <c r="N339" s="1" t="s">
        <v>131</v>
      </c>
      <c r="O339" s="3">
        <v>46030.0</v>
      </c>
      <c r="R339" s="1" t="s">
        <v>137</v>
      </c>
      <c r="S339" s="1" t="s">
        <v>137</v>
      </c>
      <c r="T339" s="1" t="s">
        <v>47</v>
      </c>
      <c r="U339" s="1" t="s">
        <v>3124</v>
      </c>
    </row>
    <row r="340">
      <c r="A340" s="1" t="s">
        <v>3125</v>
      </c>
      <c r="B340" s="1" t="s">
        <v>3126</v>
      </c>
      <c r="C340" s="1" t="s">
        <v>3127</v>
      </c>
      <c r="D340" s="1" t="s">
        <v>650</v>
      </c>
      <c r="E340" s="1" t="s">
        <v>175</v>
      </c>
      <c r="F340" s="1" t="s">
        <v>3128</v>
      </c>
      <c r="G340" s="1" t="s">
        <v>3129</v>
      </c>
      <c r="H340" s="3">
        <v>45322.0</v>
      </c>
      <c r="I340" s="3">
        <v>45504.0</v>
      </c>
      <c r="J340" s="3">
        <v>45504.0</v>
      </c>
      <c r="K340" s="1" t="s">
        <v>215</v>
      </c>
      <c r="L340" s="1" t="s">
        <v>98</v>
      </c>
      <c r="M340" s="1" t="s">
        <v>162</v>
      </c>
      <c r="N340" s="1" t="s">
        <v>131</v>
      </c>
      <c r="R340" s="1" t="s">
        <v>137</v>
      </c>
      <c r="S340" s="1" t="s">
        <v>137</v>
      </c>
      <c r="T340" s="1" t="s">
        <v>47</v>
      </c>
    </row>
    <row r="341">
      <c r="A341" s="1" t="s">
        <v>3130</v>
      </c>
      <c r="B341" s="1" t="s">
        <v>632</v>
      </c>
      <c r="C341" s="1" t="s">
        <v>3131</v>
      </c>
      <c r="D341" s="1" t="s">
        <v>678</v>
      </c>
      <c r="E341" s="1" t="s">
        <v>454</v>
      </c>
      <c r="F341" s="1" t="s">
        <v>637</v>
      </c>
      <c r="G341" s="1" t="s">
        <v>638</v>
      </c>
      <c r="H341" s="3">
        <v>46245.0</v>
      </c>
      <c r="I341" s="3">
        <v>46283.0</v>
      </c>
      <c r="K341" s="1" t="s">
        <v>124</v>
      </c>
      <c r="L341" s="1" t="s">
        <v>71</v>
      </c>
      <c r="M341" s="1" t="s">
        <v>162</v>
      </c>
      <c r="N341" s="1" t="s">
        <v>131</v>
      </c>
      <c r="R341" s="1" t="s">
        <v>3132</v>
      </c>
      <c r="S341" s="1" t="s">
        <v>3132</v>
      </c>
      <c r="T341" s="1" t="s">
        <v>3133</v>
      </c>
      <c r="U341" s="1" t="s">
        <v>3134</v>
      </c>
    </row>
    <row r="342">
      <c r="A342" s="1" t="s">
        <v>3135</v>
      </c>
      <c r="B342" s="1" t="s">
        <v>490</v>
      </c>
      <c r="C342" s="1" t="s">
        <v>3136</v>
      </c>
      <c r="D342" s="1" t="s">
        <v>273</v>
      </c>
      <c r="E342" s="1" t="s">
        <v>330</v>
      </c>
      <c r="F342" s="1" t="s">
        <v>356</v>
      </c>
      <c r="G342" s="1" t="s">
        <v>864</v>
      </c>
      <c r="H342" s="3">
        <v>45635.0</v>
      </c>
      <c r="I342" s="3">
        <v>45775.0</v>
      </c>
      <c r="J342" s="3">
        <v>45775.0</v>
      </c>
      <c r="K342" s="1" t="s">
        <v>215</v>
      </c>
      <c r="L342" s="1" t="s">
        <v>251</v>
      </c>
      <c r="M342" s="1" t="s">
        <v>216</v>
      </c>
      <c r="N342" s="1" t="s">
        <v>131</v>
      </c>
      <c r="O342" s="3">
        <v>45775.0</v>
      </c>
      <c r="R342" s="1" t="s">
        <v>137</v>
      </c>
      <c r="S342" s="1" t="s">
        <v>137</v>
      </c>
      <c r="T342" s="1" t="s">
        <v>47</v>
      </c>
      <c r="U342" s="1" t="s">
        <v>3137</v>
      </c>
    </row>
    <row r="343">
      <c r="A343" s="1" t="s">
        <v>3138</v>
      </c>
      <c r="B343" s="1" t="s">
        <v>191</v>
      </c>
      <c r="C343" s="1" t="s">
        <v>3139</v>
      </c>
      <c r="D343" s="1" t="s">
        <v>919</v>
      </c>
      <c r="E343" s="1" t="s">
        <v>330</v>
      </c>
      <c r="F343" s="1" t="s">
        <v>663</v>
      </c>
      <c r="G343" s="1" t="s">
        <v>664</v>
      </c>
      <c r="H343" s="3">
        <v>45820.0</v>
      </c>
      <c r="I343" s="3">
        <v>46042.0</v>
      </c>
      <c r="J343" s="3">
        <v>46042.0</v>
      </c>
      <c r="K343" s="1" t="s">
        <v>215</v>
      </c>
      <c r="L343" s="1" t="s">
        <v>251</v>
      </c>
      <c r="M343" s="1" t="s">
        <v>216</v>
      </c>
      <c r="N343" s="1" t="s">
        <v>131</v>
      </c>
      <c r="O343" s="3">
        <v>46051.0</v>
      </c>
      <c r="R343" s="1" t="s">
        <v>137</v>
      </c>
      <c r="S343" s="1" t="s">
        <v>137</v>
      </c>
      <c r="T343" s="1" t="s">
        <v>47</v>
      </c>
      <c r="U343" s="1" t="s">
        <v>3140</v>
      </c>
    </row>
    <row r="344">
      <c r="A344" s="1" t="s">
        <v>3141</v>
      </c>
      <c r="B344" s="1" t="s">
        <v>1883</v>
      </c>
      <c r="C344" s="1" t="s">
        <v>3142</v>
      </c>
      <c r="D344" s="1" t="s">
        <v>1798</v>
      </c>
      <c r="E344" s="1" t="s">
        <v>292</v>
      </c>
      <c r="F344" s="1" t="s">
        <v>576</v>
      </c>
      <c r="G344" s="1" t="s">
        <v>2297</v>
      </c>
      <c r="K344" s="1" t="s">
        <v>124</v>
      </c>
      <c r="L344" s="1" t="s">
        <v>251</v>
      </c>
      <c r="M344" s="1" t="s">
        <v>129</v>
      </c>
      <c r="N344" s="1" t="s">
        <v>131</v>
      </c>
      <c r="P344" s="1" t="s">
        <v>1807</v>
      </c>
      <c r="R344" s="1" t="s">
        <v>137</v>
      </c>
      <c r="S344" s="1" t="s">
        <v>137</v>
      </c>
      <c r="T344" s="1" t="s">
        <v>47</v>
      </c>
      <c r="U344" s="1" t="s">
        <v>3143</v>
      </c>
    </row>
    <row r="345">
      <c r="A345" s="1" t="s">
        <v>2889</v>
      </c>
      <c r="B345" s="1" t="s">
        <v>425</v>
      </c>
      <c r="C345" s="1" t="s">
        <v>3144</v>
      </c>
      <c r="D345" s="1" t="s">
        <v>509</v>
      </c>
      <c r="E345" s="1" t="s">
        <v>454</v>
      </c>
      <c r="F345" s="1" t="s">
        <v>637</v>
      </c>
      <c r="G345" s="1" t="s">
        <v>703</v>
      </c>
      <c r="H345" s="3">
        <v>46219.0</v>
      </c>
      <c r="K345" s="1" t="s">
        <v>124</v>
      </c>
      <c r="L345" s="1" t="s">
        <v>71</v>
      </c>
      <c r="M345" s="1" t="s">
        <v>162</v>
      </c>
      <c r="N345" s="1" t="s">
        <v>131</v>
      </c>
      <c r="P345" s="1" t="s">
        <v>1453</v>
      </c>
      <c r="R345" s="1" t="s">
        <v>137</v>
      </c>
      <c r="S345" s="1" t="s">
        <v>137</v>
      </c>
      <c r="T345" s="1" t="s">
        <v>47</v>
      </c>
      <c r="U345" s="1" t="s">
        <v>3145</v>
      </c>
    </row>
    <row r="346">
      <c r="A346" s="1" t="s">
        <v>3146</v>
      </c>
      <c r="B346" s="1" t="s">
        <v>191</v>
      </c>
      <c r="C346" s="1" t="s">
        <v>3147</v>
      </c>
      <c r="D346" s="1" t="s">
        <v>313</v>
      </c>
      <c r="E346" s="1" t="s">
        <v>292</v>
      </c>
      <c r="F346" s="1" t="s">
        <v>293</v>
      </c>
      <c r="G346" s="1" t="s">
        <v>3014</v>
      </c>
      <c r="H346" s="3">
        <v>46056.0</v>
      </c>
      <c r="I346" s="3">
        <v>46211.0</v>
      </c>
      <c r="J346" s="3">
        <v>46211.0</v>
      </c>
      <c r="K346" s="1" t="s">
        <v>215</v>
      </c>
      <c r="L346" s="1" t="s">
        <v>98</v>
      </c>
      <c r="M346" s="1" t="s">
        <v>216</v>
      </c>
      <c r="N346" s="1" t="s">
        <v>131</v>
      </c>
      <c r="O346" s="3">
        <v>46211.0</v>
      </c>
      <c r="R346" s="1" t="s">
        <v>137</v>
      </c>
      <c r="S346" s="1" t="s">
        <v>137</v>
      </c>
      <c r="T346" s="1" t="s">
        <v>47</v>
      </c>
      <c r="U346" s="1" t="s">
        <v>3148</v>
      </c>
    </row>
    <row r="347">
      <c r="A347" s="1" t="s">
        <v>2745</v>
      </c>
      <c r="B347" s="1" t="s">
        <v>191</v>
      </c>
      <c r="C347" s="1" t="s">
        <v>3149</v>
      </c>
      <c r="D347" s="1" t="s">
        <v>396</v>
      </c>
      <c r="E347" s="1" t="s">
        <v>292</v>
      </c>
      <c r="F347" s="1" t="s">
        <v>576</v>
      </c>
      <c r="G347" s="1" t="s">
        <v>577</v>
      </c>
      <c r="H347" s="3">
        <v>46230.0</v>
      </c>
      <c r="I347" s="3">
        <v>46314.0</v>
      </c>
      <c r="K347" s="1" t="s">
        <v>124</v>
      </c>
      <c r="L347" s="1" t="s">
        <v>160</v>
      </c>
      <c r="M347" s="1" t="s">
        <v>129</v>
      </c>
      <c r="N347" s="1" t="s">
        <v>131</v>
      </c>
      <c r="P347" s="1" t="s">
        <v>748</v>
      </c>
      <c r="R347" s="1" t="s">
        <v>137</v>
      </c>
      <c r="S347" s="1" t="s">
        <v>137</v>
      </c>
      <c r="T347" s="1" t="s">
        <v>47</v>
      </c>
      <c r="U347" s="1" t="s">
        <v>3150</v>
      </c>
    </row>
    <row r="348">
      <c r="A348" s="1" t="s">
        <v>1905</v>
      </c>
      <c r="B348" s="1" t="s">
        <v>191</v>
      </c>
      <c r="C348" s="1" t="s">
        <v>3151</v>
      </c>
      <c r="D348" s="1" t="s">
        <v>388</v>
      </c>
      <c r="E348" s="1" t="s">
        <v>889</v>
      </c>
      <c r="F348" s="1" t="s">
        <v>1193</v>
      </c>
      <c r="G348" s="1" t="s">
        <v>2278</v>
      </c>
      <c r="H348" s="3">
        <v>46097.0</v>
      </c>
      <c r="I348" s="3">
        <v>46496.0</v>
      </c>
      <c r="K348" s="1" t="s">
        <v>124</v>
      </c>
      <c r="L348" s="1" t="s">
        <v>98</v>
      </c>
      <c r="M348" s="1" t="s">
        <v>162</v>
      </c>
      <c r="N348" s="1" t="s">
        <v>365</v>
      </c>
      <c r="P348" s="1" t="s">
        <v>1197</v>
      </c>
      <c r="R348" s="1" t="s">
        <v>137</v>
      </c>
      <c r="S348" s="1" t="s">
        <v>137</v>
      </c>
      <c r="T348" s="1" t="s">
        <v>47</v>
      </c>
      <c r="U348" s="1" t="s">
        <v>3152</v>
      </c>
    </row>
    <row r="349">
      <c r="A349" s="1" t="s">
        <v>3153</v>
      </c>
      <c r="B349" s="1" t="s">
        <v>191</v>
      </c>
      <c r="C349" s="1" t="s">
        <v>3154</v>
      </c>
      <c r="D349" s="1" t="s">
        <v>172</v>
      </c>
      <c r="E349" s="1" t="s">
        <v>119</v>
      </c>
      <c r="F349" s="1" t="s">
        <v>3155</v>
      </c>
      <c r="G349" s="1" t="s">
        <v>3155</v>
      </c>
      <c r="H349" s="3">
        <v>45985.0</v>
      </c>
      <c r="I349" s="3">
        <v>46072.0</v>
      </c>
      <c r="J349" s="3">
        <v>46072.0</v>
      </c>
      <c r="K349" s="1" t="s">
        <v>215</v>
      </c>
      <c r="L349" s="1" t="s">
        <v>251</v>
      </c>
      <c r="M349" s="1" t="s">
        <v>216</v>
      </c>
      <c r="N349" s="1" t="s">
        <v>131</v>
      </c>
      <c r="O349" s="3">
        <v>46100.0</v>
      </c>
      <c r="R349" s="1" t="s">
        <v>137</v>
      </c>
      <c r="S349" s="1" t="s">
        <v>137</v>
      </c>
      <c r="T349" s="1" t="s">
        <v>47</v>
      </c>
      <c r="U349" s="1" t="s">
        <v>3156</v>
      </c>
    </row>
    <row r="350">
      <c r="A350" s="1" t="s">
        <v>2718</v>
      </c>
      <c r="B350" s="1" t="s">
        <v>970</v>
      </c>
      <c r="C350" s="1" t="s">
        <v>3157</v>
      </c>
      <c r="D350" s="1" t="s">
        <v>172</v>
      </c>
      <c r="E350" s="1" t="s">
        <v>889</v>
      </c>
      <c r="F350" s="1" t="s">
        <v>1983</v>
      </c>
      <c r="G350" s="1" t="s">
        <v>1984</v>
      </c>
      <c r="H350" s="3">
        <v>46182.0</v>
      </c>
      <c r="I350" s="3">
        <v>46279.0</v>
      </c>
      <c r="K350" s="1" t="s">
        <v>124</v>
      </c>
      <c r="L350" s="1" t="s">
        <v>251</v>
      </c>
      <c r="M350" s="1" t="s">
        <v>162</v>
      </c>
      <c r="N350" s="1" t="s">
        <v>131</v>
      </c>
      <c r="R350" s="1" t="s">
        <v>3159</v>
      </c>
      <c r="S350" s="1" t="s">
        <v>3159</v>
      </c>
      <c r="T350" s="1" t="s">
        <v>3160</v>
      </c>
      <c r="U350" s="1" t="s">
        <v>3161</v>
      </c>
    </row>
    <row r="351">
      <c r="A351" s="1" t="s">
        <v>2417</v>
      </c>
      <c r="B351" s="1" t="s">
        <v>3162</v>
      </c>
      <c r="C351" s="1" t="s">
        <v>3163</v>
      </c>
      <c r="D351" s="1" t="s">
        <v>518</v>
      </c>
      <c r="E351" s="1" t="s">
        <v>520</v>
      </c>
      <c r="F351" s="1" t="s">
        <v>522</v>
      </c>
      <c r="G351" s="1" t="s">
        <v>710</v>
      </c>
      <c r="H351" s="3">
        <v>46027.0</v>
      </c>
      <c r="K351" s="1" t="s">
        <v>124</v>
      </c>
      <c r="L351" s="1" t="s">
        <v>71</v>
      </c>
      <c r="M351" s="1" t="s">
        <v>162</v>
      </c>
      <c r="N351" s="1" t="s">
        <v>131</v>
      </c>
      <c r="R351" s="1" t="s">
        <v>256</v>
      </c>
      <c r="S351" s="1" t="s">
        <v>256</v>
      </c>
      <c r="T351" s="1" t="s">
        <v>266</v>
      </c>
    </row>
    <row r="352">
      <c r="A352" s="1" t="s">
        <v>2743</v>
      </c>
      <c r="B352" s="1" t="s">
        <v>191</v>
      </c>
      <c r="C352" s="1" t="s">
        <v>3165</v>
      </c>
      <c r="D352" s="1" t="s">
        <v>417</v>
      </c>
      <c r="E352" s="1" t="s">
        <v>292</v>
      </c>
      <c r="F352" s="1" t="s">
        <v>576</v>
      </c>
      <c r="G352" s="1" t="s">
        <v>2859</v>
      </c>
      <c r="H352" s="3">
        <v>46223.0</v>
      </c>
      <c r="K352" s="1" t="s">
        <v>124</v>
      </c>
      <c r="L352" s="1" t="s">
        <v>160</v>
      </c>
      <c r="M352" s="1" t="s">
        <v>162</v>
      </c>
      <c r="N352" s="1" t="s">
        <v>131</v>
      </c>
      <c r="P352" s="1" t="s">
        <v>2396</v>
      </c>
      <c r="R352" s="1" t="s">
        <v>137</v>
      </c>
      <c r="S352" s="1" t="s">
        <v>137</v>
      </c>
      <c r="T352" s="1" t="s">
        <v>47</v>
      </c>
      <c r="U352" s="1" t="s">
        <v>3173</v>
      </c>
    </row>
    <row r="353">
      <c r="A353" s="1" t="s">
        <v>2487</v>
      </c>
      <c r="B353" s="1" t="s">
        <v>116</v>
      </c>
      <c r="C353" s="1" t="s">
        <v>3165</v>
      </c>
      <c r="D353" s="1" t="s">
        <v>417</v>
      </c>
      <c r="E353" s="1" t="s">
        <v>292</v>
      </c>
      <c r="F353" s="1" t="s">
        <v>576</v>
      </c>
      <c r="G353" s="1" t="s">
        <v>2859</v>
      </c>
      <c r="H353" s="3">
        <v>46148.0</v>
      </c>
      <c r="K353" s="1" t="s">
        <v>124</v>
      </c>
      <c r="L353" s="1" t="s">
        <v>98</v>
      </c>
      <c r="M353" s="1" t="s">
        <v>162</v>
      </c>
      <c r="N353" s="1" t="s">
        <v>131</v>
      </c>
      <c r="P353" s="1" t="s">
        <v>3180</v>
      </c>
      <c r="R353" s="1" t="s">
        <v>137</v>
      </c>
      <c r="S353" s="1" t="s">
        <v>137</v>
      </c>
      <c r="T353" s="1" t="s">
        <v>47</v>
      </c>
      <c r="U353" s="1" t="s">
        <v>3181</v>
      </c>
    </row>
    <row r="354">
      <c r="A354" s="1" t="s">
        <v>2928</v>
      </c>
      <c r="B354" s="1" t="s">
        <v>116</v>
      </c>
      <c r="C354" s="1" t="s">
        <v>3183</v>
      </c>
      <c r="D354" s="1" t="s">
        <v>273</v>
      </c>
      <c r="E354" s="1" t="s">
        <v>330</v>
      </c>
      <c r="F354" s="1" t="s">
        <v>356</v>
      </c>
      <c r="G354" s="1" t="s">
        <v>875</v>
      </c>
      <c r="H354" s="3">
        <v>46224.0</v>
      </c>
      <c r="I354" s="3">
        <v>46398.0</v>
      </c>
      <c r="K354" s="1" t="s">
        <v>124</v>
      </c>
      <c r="L354" s="1" t="s">
        <v>98</v>
      </c>
      <c r="M354" s="1" t="s">
        <v>162</v>
      </c>
      <c r="N354" s="1" t="s">
        <v>131</v>
      </c>
      <c r="P354" s="1" t="s">
        <v>529</v>
      </c>
      <c r="R354" s="1" t="s">
        <v>137</v>
      </c>
      <c r="S354" s="1" t="s">
        <v>137</v>
      </c>
      <c r="T354" s="1" t="s">
        <v>47</v>
      </c>
      <c r="U354" s="1" t="s">
        <v>3186</v>
      </c>
    </row>
    <row r="355">
      <c r="A355" s="1" t="s">
        <v>2747</v>
      </c>
      <c r="B355" s="1" t="s">
        <v>191</v>
      </c>
      <c r="C355" s="1" t="s">
        <v>3187</v>
      </c>
      <c r="D355" s="1" t="s">
        <v>3188</v>
      </c>
      <c r="E355" s="1" t="s">
        <v>292</v>
      </c>
      <c r="F355" s="1" t="s">
        <v>494</v>
      </c>
      <c r="G355" s="1" t="s">
        <v>1478</v>
      </c>
      <c r="H355" s="3">
        <v>46232.0</v>
      </c>
      <c r="I355" s="3">
        <v>46391.0</v>
      </c>
      <c r="K355" s="1" t="s">
        <v>124</v>
      </c>
      <c r="L355" s="1" t="s">
        <v>160</v>
      </c>
      <c r="M355" s="1" t="s">
        <v>162</v>
      </c>
      <c r="N355" s="1" t="s">
        <v>131</v>
      </c>
      <c r="P355" s="1" t="s">
        <v>420</v>
      </c>
      <c r="R355" s="1" t="s">
        <v>137</v>
      </c>
      <c r="S355" s="1" t="s">
        <v>137</v>
      </c>
      <c r="T355" s="1" t="s">
        <v>47</v>
      </c>
      <c r="U355" s="1" t="s">
        <v>3190</v>
      </c>
    </row>
    <row r="356">
      <c r="A356" s="1" t="s">
        <v>2247</v>
      </c>
      <c r="B356" s="1" t="s">
        <v>116</v>
      </c>
      <c r="C356" s="1" t="s">
        <v>3187</v>
      </c>
      <c r="D356" s="1" t="s">
        <v>3188</v>
      </c>
      <c r="E356" s="1" t="s">
        <v>292</v>
      </c>
      <c r="F356" s="1" t="s">
        <v>494</v>
      </c>
      <c r="G356" s="1" t="s">
        <v>1478</v>
      </c>
      <c r="H356" s="3">
        <v>46125.0</v>
      </c>
      <c r="I356" s="3">
        <v>46300.0</v>
      </c>
      <c r="K356" s="1" t="s">
        <v>124</v>
      </c>
      <c r="L356" s="1" t="s">
        <v>160</v>
      </c>
      <c r="M356" s="1" t="s">
        <v>363</v>
      </c>
      <c r="N356" s="1" t="s">
        <v>131</v>
      </c>
      <c r="P356" s="1" t="s">
        <v>3195</v>
      </c>
      <c r="R356" s="1" t="s">
        <v>137</v>
      </c>
      <c r="S356" s="1" t="s">
        <v>137</v>
      </c>
      <c r="T356" s="1" t="s">
        <v>47</v>
      </c>
      <c r="U356" s="1" t="s">
        <v>3196</v>
      </c>
    </row>
    <row r="357">
      <c r="A357" s="1" t="s">
        <v>2465</v>
      </c>
      <c r="B357" s="1" t="s">
        <v>632</v>
      </c>
      <c r="C357" s="1" t="s">
        <v>3197</v>
      </c>
      <c r="D357" s="1" t="s">
        <v>1067</v>
      </c>
      <c r="E357" s="1" t="s">
        <v>330</v>
      </c>
      <c r="F357" s="1" t="s">
        <v>663</v>
      </c>
      <c r="G357" s="1" t="s">
        <v>1068</v>
      </c>
      <c r="H357" s="3">
        <v>46146.0</v>
      </c>
      <c r="I357" s="3">
        <v>46307.0</v>
      </c>
      <c r="K357" s="1" t="s">
        <v>124</v>
      </c>
      <c r="L357" s="1" t="s">
        <v>71</v>
      </c>
      <c r="M357" s="1" t="s">
        <v>335</v>
      </c>
      <c r="N357" s="1" t="s">
        <v>131</v>
      </c>
      <c r="P357" s="1" t="s">
        <v>3198</v>
      </c>
      <c r="R357" s="1" t="s">
        <v>137</v>
      </c>
      <c r="S357" s="1" t="s">
        <v>137</v>
      </c>
      <c r="T357" s="1" t="s">
        <v>47</v>
      </c>
      <c r="U357" s="1" t="s">
        <v>3199</v>
      </c>
    </row>
    <row r="358">
      <c r="A358" s="1" t="s">
        <v>3200</v>
      </c>
      <c r="B358" s="1" t="s">
        <v>760</v>
      </c>
      <c r="C358" s="1" t="s">
        <v>3201</v>
      </c>
      <c r="D358" s="1" t="s">
        <v>919</v>
      </c>
      <c r="E358" s="1" t="s">
        <v>330</v>
      </c>
      <c r="F358" s="1" t="s">
        <v>356</v>
      </c>
      <c r="G358" s="1" t="s">
        <v>3203</v>
      </c>
      <c r="H358" s="3">
        <v>45748.0</v>
      </c>
      <c r="I358" s="3">
        <v>45883.0</v>
      </c>
      <c r="J358" s="3">
        <v>45883.0</v>
      </c>
      <c r="K358" s="1" t="s">
        <v>215</v>
      </c>
      <c r="L358" s="1" t="s">
        <v>71</v>
      </c>
      <c r="M358" s="1" t="s">
        <v>216</v>
      </c>
      <c r="N358" s="1" t="s">
        <v>131</v>
      </c>
      <c r="O358" s="3">
        <v>45937.0</v>
      </c>
      <c r="R358" s="1" t="s">
        <v>137</v>
      </c>
      <c r="S358" s="1" t="s">
        <v>137</v>
      </c>
      <c r="T358" s="1" t="s">
        <v>47</v>
      </c>
      <c r="U358" s="1" t="s">
        <v>3206</v>
      </c>
    </row>
    <row r="359">
      <c r="A359" s="1" t="s">
        <v>3208</v>
      </c>
      <c r="B359" s="1" t="s">
        <v>707</v>
      </c>
      <c r="C359" s="1" t="s">
        <v>3201</v>
      </c>
      <c r="D359" s="1" t="s">
        <v>919</v>
      </c>
      <c r="E359" s="1" t="s">
        <v>330</v>
      </c>
      <c r="F359" s="1" t="s">
        <v>356</v>
      </c>
      <c r="G359" s="1" t="s">
        <v>3203</v>
      </c>
      <c r="H359" s="3">
        <v>45987.0</v>
      </c>
      <c r="K359" s="1" t="s">
        <v>124</v>
      </c>
      <c r="L359" s="1" t="s">
        <v>251</v>
      </c>
      <c r="M359" s="1" t="s">
        <v>162</v>
      </c>
      <c r="N359" s="1" t="s">
        <v>131</v>
      </c>
      <c r="R359" s="1" t="s">
        <v>629</v>
      </c>
      <c r="S359" s="1" t="s">
        <v>629</v>
      </c>
      <c r="T359" s="1" t="s">
        <v>630</v>
      </c>
    </row>
    <row r="360">
      <c r="A360" s="1" t="s">
        <v>1947</v>
      </c>
      <c r="B360" s="1" t="s">
        <v>191</v>
      </c>
      <c r="C360" s="1" t="s">
        <v>3212</v>
      </c>
      <c r="D360" s="1" t="s">
        <v>1823</v>
      </c>
      <c r="E360" s="1" t="s">
        <v>119</v>
      </c>
      <c r="F360" s="1" t="s">
        <v>389</v>
      </c>
      <c r="G360" s="1" t="s">
        <v>389</v>
      </c>
      <c r="H360" s="3">
        <v>46125.0</v>
      </c>
      <c r="I360" s="3">
        <v>46251.0</v>
      </c>
      <c r="K360" s="1" t="s">
        <v>124</v>
      </c>
      <c r="L360" s="1" t="s">
        <v>98</v>
      </c>
      <c r="M360" s="1" t="s">
        <v>460</v>
      </c>
      <c r="N360" s="1" t="s">
        <v>365</v>
      </c>
      <c r="P360" s="1" t="s">
        <v>3214</v>
      </c>
      <c r="R360" s="1" t="s">
        <v>137</v>
      </c>
      <c r="S360" s="1" t="s">
        <v>137</v>
      </c>
      <c r="T360" s="1" t="s">
        <v>47</v>
      </c>
      <c r="U360" s="1" t="s">
        <v>3215</v>
      </c>
    </row>
    <row r="361">
      <c r="A361" s="1" t="s">
        <v>3216</v>
      </c>
      <c r="B361" s="1" t="s">
        <v>3217</v>
      </c>
      <c r="C361" s="1" t="s">
        <v>3218</v>
      </c>
      <c r="D361" s="1" t="s">
        <v>194</v>
      </c>
      <c r="E361" s="1" t="s">
        <v>454</v>
      </c>
      <c r="F361" s="1" t="s">
        <v>637</v>
      </c>
      <c r="G361" s="1" t="s">
        <v>703</v>
      </c>
      <c r="H361" s="3">
        <v>46293.0</v>
      </c>
      <c r="K361" s="1" t="s">
        <v>124</v>
      </c>
      <c r="L361" s="1" t="s">
        <v>160</v>
      </c>
      <c r="M361" s="1" t="s">
        <v>162</v>
      </c>
      <c r="N361" s="1" t="s">
        <v>131</v>
      </c>
      <c r="P361" s="1" t="s">
        <v>1005</v>
      </c>
      <c r="R361" s="1" t="s">
        <v>137</v>
      </c>
      <c r="S361" s="1" t="s">
        <v>137</v>
      </c>
      <c r="T361" s="1" t="s">
        <v>47</v>
      </c>
    </row>
    <row r="362">
      <c r="A362" s="1" t="s">
        <v>1316</v>
      </c>
      <c r="B362" s="1" t="s">
        <v>3219</v>
      </c>
      <c r="C362" s="1" t="s">
        <v>3220</v>
      </c>
      <c r="D362" s="1" t="s">
        <v>118</v>
      </c>
      <c r="E362" s="1" t="s">
        <v>330</v>
      </c>
      <c r="F362" s="1" t="s">
        <v>663</v>
      </c>
      <c r="G362" s="1" t="s">
        <v>664</v>
      </c>
      <c r="H362" s="3">
        <v>45995.0</v>
      </c>
      <c r="I362" s="3">
        <v>46143.0</v>
      </c>
      <c r="J362" s="3">
        <v>46143.0</v>
      </c>
      <c r="K362" s="1" t="s">
        <v>124</v>
      </c>
      <c r="L362" s="1" t="s">
        <v>71</v>
      </c>
      <c r="M362" s="1" t="s">
        <v>162</v>
      </c>
      <c r="N362" s="1" t="s">
        <v>131</v>
      </c>
      <c r="P362" s="1" t="s">
        <v>3221</v>
      </c>
      <c r="R362" s="1" t="s">
        <v>3222</v>
      </c>
      <c r="S362" s="1" t="s">
        <v>3222</v>
      </c>
      <c r="T362" s="1" t="s">
        <v>3223</v>
      </c>
      <c r="U362" s="1" t="s">
        <v>3224</v>
      </c>
    </row>
    <row r="363">
      <c r="A363" s="1" t="s">
        <v>3225</v>
      </c>
      <c r="B363" s="1" t="s">
        <v>270</v>
      </c>
      <c r="C363" s="1" t="s">
        <v>3220</v>
      </c>
      <c r="D363" s="1" t="s">
        <v>118</v>
      </c>
      <c r="E363" s="1" t="s">
        <v>330</v>
      </c>
      <c r="F363" s="1" t="s">
        <v>663</v>
      </c>
      <c r="G363" s="1" t="s">
        <v>664</v>
      </c>
      <c r="H363" s="3">
        <v>46002.0</v>
      </c>
      <c r="I363" s="3">
        <v>46146.0</v>
      </c>
      <c r="J363" s="3">
        <v>46146.0</v>
      </c>
      <c r="K363" s="1" t="s">
        <v>215</v>
      </c>
      <c r="L363" s="1" t="s">
        <v>71</v>
      </c>
      <c r="M363" s="1" t="s">
        <v>253</v>
      </c>
      <c r="N363" s="1" t="s">
        <v>131</v>
      </c>
      <c r="O363" s="3">
        <v>46146.0</v>
      </c>
      <c r="R363" s="1" t="s">
        <v>137</v>
      </c>
      <c r="S363" s="1" t="s">
        <v>137</v>
      </c>
      <c r="T363" s="1" t="s">
        <v>47</v>
      </c>
      <c r="U363" s="1" t="s">
        <v>3227</v>
      </c>
    </row>
    <row r="364">
      <c r="A364" s="1" t="s">
        <v>2710</v>
      </c>
      <c r="B364" s="1" t="s">
        <v>191</v>
      </c>
      <c r="C364" s="1" t="s">
        <v>3228</v>
      </c>
      <c r="D364" s="1" t="s">
        <v>831</v>
      </c>
      <c r="E364" s="1" t="s">
        <v>175</v>
      </c>
      <c r="F364" s="1" t="s">
        <v>585</v>
      </c>
      <c r="G364" s="1" t="s">
        <v>780</v>
      </c>
      <c r="H364" s="3">
        <v>46167.0</v>
      </c>
      <c r="K364" s="1" t="s">
        <v>124</v>
      </c>
      <c r="L364" s="1" t="s">
        <v>98</v>
      </c>
      <c r="M364" s="1" t="s">
        <v>162</v>
      </c>
      <c r="N364" s="1" t="s">
        <v>131</v>
      </c>
      <c r="P364" s="1" t="s">
        <v>444</v>
      </c>
      <c r="R364" s="1" t="s">
        <v>137</v>
      </c>
      <c r="S364" s="1" t="s">
        <v>137</v>
      </c>
      <c r="T364" s="1" t="s">
        <v>47</v>
      </c>
      <c r="U364" s="1" t="s">
        <v>3229</v>
      </c>
    </row>
    <row r="365">
      <c r="A365" s="1" t="s">
        <v>2771</v>
      </c>
      <c r="B365" s="1" t="s">
        <v>3230</v>
      </c>
      <c r="C365" s="1" t="s">
        <v>3231</v>
      </c>
      <c r="D365" s="1" t="s">
        <v>172</v>
      </c>
      <c r="E365" s="1" t="s">
        <v>292</v>
      </c>
      <c r="F365" s="1" t="s">
        <v>293</v>
      </c>
      <c r="G365" s="1" t="s">
        <v>3014</v>
      </c>
      <c r="H365" s="3">
        <v>46191.0</v>
      </c>
      <c r="K365" s="1" t="s">
        <v>124</v>
      </c>
      <c r="L365" s="1" t="s">
        <v>71</v>
      </c>
      <c r="M365" s="1" t="s">
        <v>162</v>
      </c>
      <c r="N365" s="1" t="s">
        <v>131</v>
      </c>
      <c r="R365" s="1" t="s">
        <v>1808</v>
      </c>
      <c r="S365" s="1" t="s">
        <v>1808</v>
      </c>
      <c r="T365" s="1" t="s">
        <v>1811</v>
      </c>
      <c r="U365" s="1" t="s">
        <v>3232</v>
      </c>
    </row>
    <row r="366">
      <c r="A366" s="1" t="s">
        <v>2461</v>
      </c>
      <c r="B366" s="1" t="s">
        <v>240</v>
      </c>
      <c r="C366" s="1" t="s">
        <v>3233</v>
      </c>
      <c r="D366" s="1" t="s">
        <v>273</v>
      </c>
      <c r="E366" s="1" t="s">
        <v>330</v>
      </c>
      <c r="F366" s="1" t="s">
        <v>356</v>
      </c>
      <c r="G366" s="1" t="s">
        <v>864</v>
      </c>
      <c r="H366" s="3">
        <v>46142.0</v>
      </c>
      <c r="I366" s="3">
        <v>46314.0</v>
      </c>
      <c r="K366" s="1" t="s">
        <v>124</v>
      </c>
      <c r="L366" s="1" t="s">
        <v>98</v>
      </c>
      <c r="M366" s="1" t="s">
        <v>162</v>
      </c>
      <c r="N366" s="1" t="s">
        <v>131</v>
      </c>
      <c r="P366" s="1" t="s">
        <v>552</v>
      </c>
      <c r="R366" s="1" t="s">
        <v>137</v>
      </c>
      <c r="S366" s="1" t="s">
        <v>137</v>
      </c>
      <c r="T366" s="1" t="s">
        <v>47</v>
      </c>
      <c r="U366" s="1" t="s">
        <v>3234</v>
      </c>
    </row>
    <row r="367">
      <c r="A367" s="1" t="s">
        <v>2567</v>
      </c>
      <c r="B367" s="1" t="s">
        <v>3235</v>
      </c>
      <c r="C367" s="1" t="s">
        <v>3236</v>
      </c>
      <c r="D367" s="1" t="s">
        <v>548</v>
      </c>
      <c r="E367" s="1" t="s">
        <v>520</v>
      </c>
      <c r="F367" s="1" t="s">
        <v>1229</v>
      </c>
      <c r="G367" s="1" t="s">
        <v>1231</v>
      </c>
      <c r="H367" s="3">
        <v>46034.0</v>
      </c>
      <c r="I367" s="3">
        <v>46218.0</v>
      </c>
      <c r="J367" s="3">
        <v>46218.0</v>
      </c>
      <c r="K367" s="1" t="s">
        <v>124</v>
      </c>
      <c r="L367" s="1" t="s">
        <v>71</v>
      </c>
      <c r="M367" s="1" t="s">
        <v>216</v>
      </c>
      <c r="N367" s="1" t="s">
        <v>131</v>
      </c>
      <c r="R367" s="1" t="s">
        <v>1701</v>
      </c>
      <c r="S367" s="1" t="s">
        <v>1701</v>
      </c>
      <c r="T367" s="1" t="s">
        <v>95</v>
      </c>
      <c r="U367" s="1" t="s">
        <v>3237</v>
      </c>
    </row>
    <row r="368">
      <c r="A368" s="1" t="s">
        <v>3238</v>
      </c>
      <c r="B368" s="1" t="s">
        <v>191</v>
      </c>
      <c r="C368" s="1" t="s">
        <v>3239</v>
      </c>
      <c r="D368" s="1" t="s">
        <v>831</v>
      </c>
      <c r="E368" s="1" t="s">
        <v>438</v>
      </c>
      <c r="F368" s="1" t="s">
        <v>3240</v>
      </c>
      <c r="G368" s="1" t="s">
        <v>3241</v>
      </c>
      <c r="H368" s="3">
        <v>45831.0</v>
      </c>
      <c r="I368" s="3">
        <v>46029.0</v>
      </c>
      <c r="J368" s="3">
        <v>46029.0</v>
      </c>
      <c r="K368" s="1" t="s">
        <v>215</v>
      </c>
      <c r="L368" s="1" t="s">
        <v>251</v>
      </c>
      <c r="M368" s="1" t="s">
        <v>216</v>
      </c>
      <c r="N368" s="1" t="s">
        <v>131</v>
      </c>
      <c r="O368" s="3">
        <v>46029.0</v>
      </c>
      <c r="R368" s="1" t="s">
        <v>137</v>
      </c>
      <c r="S368" s="1" t="s">
        <v>137</v>
      </c>
      <c r="T368" s="1" t="s">
        <v>47</v>
      </c>
      <c r="U368" s="1" t="s">
        <v>3242</v>
      </c>
    </row>
    <row r="369">
      <c r="A369" s="1" t="s">
        <v>3243</v>
      </c>
      <c r="B369" s="1" t="s">
        <v>3244</v>
      </c>
      <c r="C369" s="1" t="s">
        <v>3239</v>
      </c>
      <c r="D369" s="1" t="s">
        <v>831</v>
      </c>
      <c r="E369" s="1" t="s">
        <v>438</v>
      </c>
      <c r="F369" s="1" t="s">
        <v>3240</v>
      </c>
      <c r="G369" s="1" t="s">
        <v>3241</v>
      </c>
      <c r="H369" s="3">
        <v>46097.0</v>
      </c>
      <c r="I369" s="3">
        <v>46120.0</v>
      </c>
      <c r="K369" s="1" t="s">
        <v>215</v>
      </c>
      <c r="L369" s="1" t="s">
        <v>251</v>
      </c>
      <c r="M369" s="1" t="s">
        <v>216</v>
      </c>
      <c r="N369" s="1" t="s">
        <v>131</v>
      </c>
      <c r="O369" s="3">
        <v>46127.0</v>
      </c>
      <c r="R369" s="1" t="s">
        <v>137</v>
      </c>
      <c r="S369" s="1" t="s">
        <v>137</v>
      </c>
      <c r="T369" s="1" t="s">
        <v>47</v>
      </c>
      <c r="U369" s="1" t="s">
        <v>3245</v>
      </c>
    </row>
    <row r="370">
      <c r="A370" s="1" t="s">
        <v>2962</v>
      </c>
      <c r="B370" s="1" t="s">
        <v>3246</v>
      </c>
      <c r="C370" s="1" t="s">
        <v>3247</v>
      </c>
      <c r="D370" s="1" t="s">
        <v>1932</v>
      </c>
      <c r="E370" s="1" t="s">
        <v>175</v>
      </c>
      <c r="F370" s="1" t="s">
        <v>177</v>
      </c>
      <c r="G370" s="1" t="s">
        <v>503</v>
      </c>
      <c r="H370" s="3">
        <v>46237.0</v>
      </c>
      <c r="I370" s="3">
        <v>46409.0</v>
      </c>
      <c r="K370" s="1" t="s">
        <v>124</v>
      </c>
      <c r="L370" s="1" t="s">
        <v>160</v>
      </c>
      <c r="M370" s="1" t="s">
        <v>162</v>
      </c>
      <c r="N370" s="1" t="s">
        <v>131</v>
      </c>
      <c r="P370" s="1" t="s">
        <v>726</v>
      </c>
      <c r="R370" s="1" t="s">
        <v>137</v>
      </c>
      <c r="S370" s="1" t="s">
        <v>137</v>
      </c>
      <c r="T370" s="1" t="s">
        <v>47</v>
      </c>
      <c r="U370" s="1" t="s">
        <v>3248</v>
      </c>
    </row>
    <row r="371">
      <c r="A371" s="1" t="s">
        <v>2186</v>
      </c>
      <c r="B371" s="1" t="s">
        <v>116</v>
      </c>
      <c r="C371" s="1" t="s">
        <v>3249</v>
      </c>
      <c r="D371" s="1" t="s">
        <v>313</v>
      </c>
      <c r="E371" s="1" t="s">
        <v>292</v>
      </c>
      <c r="F371" s="1" t="s">
        <v>293</v>
      </c>
      <c r="G371" s="1" t="s">
        <v>295</v>
      </c>
      <c r="H371" s="3">
        <v>46119.0</v>
      </c>
      <c r="I371" s="3">
        <v>46269.0</v>
      </c>
      <c r="K371" s="1" t="s">
        <v>124</v>
      </c>
      <c r="L371" s="1" t="s">
        <v>98</v>
      </c>
      <c r="M371" s="1" t="s">
        <v>460</v>
      </c>
      <c r="N371" s="1" t="s">
        <v>131</v>
      </c>
      <c r="P371" s="1" t="s">
        <v>1733</v>
      </c>
      <c r="R371" s="1" t="s">
        <v>137</v>
      </c>
      <c r="S371" s="1" t="s">
        <v>137</v>
      </c>
      <c r="T371" s="1" t="s">
        <v>47</v>
      </c>
      <c r="U371" s="1" t="s">
        <v>3250</v>
      </c>
    </row>
    <row r="372">
      <c r="A372" s="1" t="s">
        <v>3251</v>
      </c>
      <c r="B372" s="1" t="s">
        <v>191</v>
      </c>
      <c r="C372" s="1" t="s">
        <v>3252</v>
      </c>
      <c r="D372" s="1" t="s">
        <v>313</v>
      </c>
      <c r="E372" s="1" t="s">
        <v>175</v>
      </c>
      <c r="F372" s="1" t="s">
        <v>763</v>
      </c>
      <c r="G372" s="1" t="s">
        <v>1351</v>
      </c>
      <c r="H372" s="3">
        <v>46160.0</v>
      </c>
      <c r="I372" s="3">
        <v>46216.0</v>
      </c>
      <c r="J372" s="3">
        <v>46216.0</v>
      </c>
      <c r="K372" s="1" t="s">
        <v>215</v>
      </c>
      <c r="L372" s="1" t="s">
        <v>251</v>
      </c>
      <c r="M372" s="1" t="s">
        <v>216</v>
      </c>
      <c r="N372" s="1" t="s">
        <v>131</v>
      </c>
      <c r="O372" s="3">
        <v>46244.0</v>
      </c>
      <c r="P372" s="1" t="s">
        <v>444</v>
      </c>
      <c r="R372" s="1" t="s">
        <v>137</v>
      </c>
      <c r="S372" s="1" t="s">
        <v>137</v>
      </c>
      <c r="T372" s="1" t="s">
        <v>47</v>
      </c>
      <c r="U372" s="1" t="s">
        <v>3253</v>
      </c>
    </row>
    <row r="373">
      <c r="A373" s="1" t="s">
        <v>111</v>
      </c>
      <c r="B373" s="1" t="s">
        <v>191</v>
      </c>
      <c r="C373" s="1" t="s">
        <v>3254</v>
      </c>
      <c r="D373" s="1" t="s">
        <v>509</v>
      </c>
      <c r="E373" s="1" t="s">
        <v>454</v>
      </c>
      <c r="F373" s="1" t="s">
        <v>455</v>
      </c>
      <c r="G373" s="1" t="s">
        <v>456</v>
      </c>
      <c r="H373" s="3">
        <v>45775.0</v>
      </c>
      <c r="I373" s="3">
        <v>45887.0</v>
      </c>
      <c r="J373" s="3">
        <v>45887.0</v>
      </c>
      <c r="K373" s="1" t="s">
        <v>124</v>
      </c>
      <c r="L373" s="1" t="s">
        <v>251</v>
      </c>
      <c r="M373" s="1" t="s">
        <v>216</v>
      </c>
      <c r="N373" s="1" t="s">
        <v>131</v>
      </c>
      <c r="P373" s="1" t="s">
        <v>989</v>
      </c>
      <c r="R373" s="1" t="s">
        <v>137</v>
      </c>
      <c r="S373" s="1" t="s">
        <v>137</v>
      </c>
      <c r="T373" s="1" t="s">
        <v>47</v>
      </c>
      <c r="U373" s="1" t="s">
        <v>3255</v>
      </c>
    </row>
    <row r="374">
      <c r="A374" s="1" t="s">
        <v>3256</v>
      </c>
      <c r="B374" s="1" t="s">
        <v>191</v>
      </c>
      <c r="C374" s="1" t="s">
        <v>3257</v>
      </c>
      <c r="D374" s="1" t="s">
        <v>118</v>
      </c>
      <c r="E374" s="1" t="s">
        <v>330</v>
      </c>
      <c r="F374" s="1" t="s">
        <v>356</v>
      </c>
      <c r="G374" s="1" t="s">
        <v>429</v>
      </c>
      <c r="H374" s="3">
        <v>45838.0</v>
      </c>
      <c r="I374" s="3">
        <v>45987.0</v>
      </c>
      <c r="J374" s="3">
        <v>45987.0</v>
      </c>
      <c r="K374" s="1" t="s">
        <v>215</v>
      </c>
      <c r="L374" s="1" t="s">
        <v>251</v>
      </c>
      <c r="M374" s="1" t="s">
        <v>216</v>
      </c>
      <c r="N374" s="1" t="s">
        <v>131</v>
      </c>
      <c r="O374" s="3">
        <v>45987.0</v>
      </c>
      <c r="R374" s="1" t="s">
        <v>137</v>
      </c>
      <c r="S374" s="1" t="s">
        <v>137</v>
      </c>
      <c r="T374" s="1" t="s">
        <v>47</v>
      </c>
      <c r="U374" s="1" t="s">
        <v>3258</v>
      </c>
    </row>
    <row r="375">
      <c r="A375" s="1" t="s">
        <v>2197</v>
      </c>
      <c r="B375" s="1" t="s">
        <v>240</v>
      </c>
      <c r="C375" s="1" t="s">
        <v>3259</v>
      </c>
      <c r="D375" s="1" t="s">
        <v>313</v>
      </c>
      <c r="E375" s="1" t="s">
        <v>175</v>
      </c>
      <c r="F375" s="1" t="s">
        <v>569</v>
      </c>
      <c r="G375" s="1" t="s">
        <v>1726</v>
      </c>
      <c r="H375" s="3">
        <v>46135.0</v>
      </c>
      <c r="I375" s="3">
        <v>46239.0</v>
      </c>
      <c r="K375" s="1" t="s">
        <v>124</v>
      </c>
      <c r="L375" s="1" t="s">
        <v>251</v>
      </c>
      <c r="M375" s="1" t="s">
        <v>300</v>
      </c>
      <c r="N375" s="1" t="s">
        <v>131</v>
      </c>
      <c r="P375" s="1" t="s">
        <v>529</v>
      </c>
      <c r="R375" s="1" t="s">
        <v>137</v>
      </c>
      <c r="S375" s="1" t="s">
        <v>137</v>
      </c>
      <c r="T375" s="1" t="s">
        <v>47</v>
      </c>
      <c r="U375" s="1" t="s">
        <v>3261</v>
      </c>
    </row>
    <row r="376">
      <c r="A376" s="1" t="s">
        <v>3262</v>
      </c>
      <c r="B376" s="1" t="s">
        <v>240</v>
      </c>
      <c r="C376" s="1" t="s">
        <v>3263</v>
      </c>
      <c r="D376" s="1" t="s">
        <v>172</v>
      </c>
      <c r="E376" s="1" t="s">
        <v>175</v>
      </c>
      <c r="F376" s="1" t="s">
        <v>177</v>
      </c>
      <c r="G376" s="1" t="s">
        <v>1992</v>
      </c>
      <c r="H376" s="3">
        <v>46062.0</v>
      </c>
      <c r="I376" s="3">
        <v>46237.0</v>
      </c>
      <c r="K376" s="1" t="s">
        <v>124</v>
      </c>
      <c r="L376" s="1" t="s">
        <v>251</v>
      </c>
      <c r="M376" s="1" t="s">
        <v>216</v>
      </c>
      <c r="N376" s="1" t="s">
        <v>131</v>
      </c>
      <c r="R376" s="1" t="s">
        <v>1808</v>
      </c>
      <c r="S376" s="1" t="s">
        <v>1808</v>
      </c>
      <c r="T376" s="1" t="s">
        <v>1811</v>
      </c>
      <c r="U376" s="1" t="s">
        <v>3264</v>
      </c>
    </row>
    <row r="377">
      <c r="A377" s="1" t="s">
        <v>2026</v>
      </c>
      <c r="B377" s="1" t="s">
        <v>240</v>
      </c>
      <c r="C377" s="1" t="s">
        <v>3265</v>
      </c>
      <c r="D377" s="1" t="s">
        <v>172</v>
      </c>
      <c r="E377" s="1" t="s">
        <v>691</v>
      </c>
      <c r="F377" s="1" t="s">
        <v>2998</v>
      </c>
      <c r="G377" s="1" t="s">
        <v>3266</v>
      </c>
      <c r="H377" s="3">
        <v>46090.0</v>
      </c>
      <c r="K377" s="1" t="s">
        <v>124</v>
      </c>
      <c r="L377" s="1" t="s">
        <v>251</v>
      </c>
      <c r="M377" s="1" t="s">
        <v>363</v>
      </c>
      <c r="N377" s="1" t="s">
        <v>131</v>
      </c>
      <c r="P377" s="1" t="s">
        <v>2595</v>
      </c>
      <c r="R377" s="1" t="s">
        <v>137</v>
      </c>
      <c r="S377" s="1" t="s">
        <v>137</v>
      </c>
      <c r="T377" s="1" t="s">
        <v>47</v>
      </c>
      <c r="U377" s="1" t="s">
        <v>3267</v>
      </c>
    </row>
    <row r="378">
      <c r="A378" s="1" t="s">
        <v>769</v>
      </c>
      <c r="B378" s="1" t="s">
        <v>354</v>
      </c>
      <c r="C378" s="1" t="s">
        <v>3268</v>
      </c>
      <c r="D378" s="1" t="s">
        <v>548</v>
      </c>
      <c r="E378" s="1" t="s">
        <v>520</v>
      </c>
      <c r="F378" s="1" t="s">
        <v>522</v>
      </c>
      <c r="G378" s="1" t="s">
        <v>3269</v>
      </c>
      <c r="H378" s="3">
        <v>45924.0</v>
      </c>
      <c r="I378" s="3">
        <v>46202.0</v>
      </c>
      <c r="J378" s="3">
        <v>46202.0</v>
      </c>
      <c r="K378" s="1" t="s">
        <v>124</v>
      </c>
      <c r="L378" s="1" t="s">
        <v>98</v>
      </c>
      <c r="M378" s="1" t="s">
        <v>335</v>
      </c>
      <c r="N378" s="1" t="s">
        <v>131</v>
      </c>
      <c r="P378" s="1" t="s">
        <v>279</v>
      </c>
      <c r="R378" s="1" t="s">
        <v>137</v>
      </c>
      <c r="S378" s="1" t="s">
        <v>137</v>
      </c>
      <c r="T378" s="1" t="s">
        <v>47</v>
      </c>
      <c r="U378" s="1" t="s">
        <v>3270</v>
      </c>
    </row>
    <row r="379">
      <c r="A379" s="1" t="s">
        <v>850</v>
      </c>
      <c r="B379" s="1" t="s">
        <v>632</v>
      </c>
      <c r="C379" s="1" t="s">
        <v>3271</v>
      </c>
      <c r="D379" s="1" t="s">
        <v>678</v>
      </c>
      <c r="E379" s="1" t="s">
        <v>454</v>
      </c>
      <c r="F379" s="1" t="s">
        <v>637</v>
      </c>
      <c r="G379" s="1" t="s">
        <v>2554</v>
      </c>
      <c r="H379" s="3">
        <v>45958.0</v>
      </c>
      <c r="I379" s="3">
        <v>46230.0</v>
      </c>
      <c r="J379" s="3">
        <v>46230.0</v>
      </c>
      <c r="K379" s="1" t="s">
        <v>124</v>
      </c>
      <c r="L379" s="1" t="s">
        <v>71</v>
      </c>
      <c r="M379" s="1" t="s">
        <v>216</v>
      </c>
      <c r="N379" s="1" t="s">
        <v>131</v>
      </c>
      <c r="P379" s="1" t="s">
        <v>741</v>
      </c>
      <c r="R379" s="1" t="s">
        <v>137</v>
      </c>
      <c r="S379" s="1" t="s">
        <v>137</v>
      </c>
      <c r="T379" s="1" t="s">
        <v>47</v>
      </c>
      <c r="U379" s="1" t="s">
        <v>3272</v>
      </c>
    </row>
    <row r="380">
      <c r="A380" s="1" t="s">
        <v>3273</v>
      </c>
      <c r="B380" s="1" t="s">
        <v>3274</v>
      </c>
      <c r="C380" s="1" t="s">
        <v>3275</v>
      </c>
      <c r="D380" s="1" t="s">
        <v>831</v>
      </c>
      <c r="E380" s="1" t="s">
        <v>175</v>
      </c>
      <c r="F380" s="1" t="s">
        <v>3128</v>
      </c>
      <c r="G380" s="1" t="s">
        <v>3276</v>
      </c>
      <c r="H380" s="3">
        <v>45894.0</v>
      </c>
      <c r="I380" s="3">
        <v>45996.0</v>
      </c>
      <c r="J380" s="3">
        <v>45996.0</v>
      </c>
      <c r="K380" s="1" t="s">
        <v>215</v>
      </c>
      <c r="L380" s="1" t="s">
        <v>71</v>
      </c>
      <c r="M380" s="1" t="s">
        <v>216</v>
      </c>
      <c r="N380" s="1" t="s">
        <v>131</v>
      </c>
      <c r="O380" s="3">
        <v>45996.0</v>
      </c>
      <c r="R380" s="1" t="s">
        <v>137</v>
      </c>
      <c r="S380" s="1" t="s">
        <v>137</v>
      </c>
      <c r="T380" s="1" t="s">
        <v>47</v>
      </c>
      <c r="U380" s="1" t="s">
        <v>3277</v>
      </c>
    </row>
    <row r="381">
      <c r="A381" s="1" t="s">
        <v>3278</v>
      </c>
      <c r="B381" s="1" t="s">
        <v>3279</v>
      </c>
      <c r="C381" s="1" t="s">
        <v>3280</v>
      </c>
      <c r="D381" s="1" t="s">
        <v>831</v>
      </c>
      <c r="E381" s="1" t="s">
        <v>175</v>
      </c>
      <c r="F381" s="1" t="s">
        <v>763</v>
      </c>
      <c r="G381" s="1" t="s">
        <v>2818</v>
      </c>
      <c r="H381" s="3">
        <v>45946.0</v>
      </c>
      <c r="I381" s="3">
        <v>45982.0</v>
      </c>
      <c r="J381" s="3">
        <v>45982.0</v>
      </c>
      <c r="K381" s="1" t="s">
        <v>215</v>
      </c>
      <c r="L381" s="1" t="s">
        <v>71</v>
      </c>
      <c r="M381" s="1" t="s">
        <v>253</v>
      </c>
      <c r="N381" s="1" t="s">
        <v>131</v>
      </c>
      <c r="O381" s="3">
        <v>45987.0</v>
      </c>
      <c r="R381" s="1" t="s">
        <v>137</v>
      </c>
      <c r="S381" s="1" t="s">
        <v>137</v>
      </c>
      <c r="T381" s="1" t="s">
        <v>47</v>
      </c>
      <c r="U381" s="1" t="s">
        <v>3281</v>
      </c>
    </row>
    <row r="382">
      <c r="A382" s="1" t="s">
        <v>3282</v>
      </c>
      <c r="B382" s="1" t="s">
        <v>191</v>
      </c>
      <c r="C382" s="1" t="s">
        <v>3283</v>
      </c>
      <c r="D382" s="1" t="s">
        <v>273</v>
      </c>
      <c r="E382" s="1" t="s">
        <v>330</v>
      </c>
      <c r="F382" s="1" t="s">
        <v>356</v>
      </c>
      <c r="G382" s="1" t="s">
        <v>864</v>
      </c>
      <c r="H382" s="3">
        <v>45894.0</v>
      </c>
      <c r="I382" s="3">
        <v>46037.0</v>
      </c>
      <c r="J382" s="3">
        <v>46037.0</v>
      </c>
      <c r="K382" s="1" t="s">
        <v>215</v>
      </c>
      <c r="L382" s="1" t="s">
        <v>251</v>
      </c>
      <c r="M382" s="1" t="s">
        <v>216</v>
      </c>
      <c r="N382" s="1" t="s">
        <v>131</v>
      </c>
      <c r="O382" s="3">
        <v>46037.0</v>
      </c>
      <c r="R382" s="1" t="s">
        <v>137</v>
      </c>
      <c r="S382" s="1" t="s">
        <v>137</v>
      </c>
      <c r="T382" s="1" t="s">
        <v>47</v>
      </c>
      <c r="U382" s="1" t="s">
        <v>3284</v>
      </c>
    </row>
    <row r="383">
      <c r="A383" s="1" t="s">
        <v>3285</v>
      </c>
      <c r="B383" s="1" t="s">
        <v>191</v>
      </c>
      <c r="C383" s="1" t="s">
        <v>3286</v>
      </c>
      <c r="D383" s="1" t="s">
        <v>313</v>
      </c>
      <c r="E383" s="1" t="s">
        <v>175</v>
      </c>
      <c r="F383" s="1" t="s">
        <v>569</v>
      </c>
      <c r="G383" s="1" t="s">
        <v>1842</v>
      </c>
      <c r="H383" s="3">
        <v>45992.0</v>
      </c>
      <c r="I383" s="3">
        <v>46092.0</v>
      </c>
      <c r="J383" s="3">
        <v>46092.0</v>
      </c>
      <c r="K383" s="1" t="s">
        <v>215</v>
      </c>
      <c r="L383" s="1" t="s">
        <v>251</v>
      </c>
      <c r="M383" s="1" t="s">
        <v>216</v>
      </c>
      <c r="N383" s="1" t="s">
        <v>131</v>
      </c>
      <c r="O383" s="3">
        <v>46122.0</v>
      </c>
      <c r="R383" s="1" t="s">
        <v>137</v>
      </c>
      <c r="S383" s="1" t="s">
        <v>137</v>
      </c>
      <c r="T383" s="1" t="s">
        <v>47</v>
      </c>
      <c r="U383" s="1" t="s">
        <v>3288</v>
      </c>
    </row>
    <row r="384">
      <c r="A384" s="1" t="s">
        <v>3289</v>
      </c>
      <c r="B384" s="1" t="s">
        <v>191</v>
      </c>
      <c r="C384" s="1" t="s">
        <v>3290</v>
      </c>
      <c r="D384" s="1" t="s">
        <v>172</v>
      </c>
      <c r="E384" s="1" t="s">
        <v>292</v>
      </c>
      <c r="F384" s="1" t="s">
        <v>293</v>
      </c>
      <c r="G384" s="1" t="s">
        <v>3053</v>
      </c>
      <c r="H384" s="3">
        <v>45875.0</v>
      </c>
      <c r="I384" s="3">
        <v>46065.0</v>
      </c>
      <c r="J384" s="3">
        <v>46065.0</v>
      </c>
      <c r="K384" s="1" t="s">
        <v>215</v>
      </c>
      <c r="L384" s="1" t="s">
        <v>251</v>
      </c>
      <c r="M384" s="1" t="s">
        <v>253</v>
      </c>
      <c r="N384" s="1" t="s">
        <v>131</v>
      </c>
      <c r="O384" s="3">
        <v>46065.0</v>
      </c>
      <c r="R384" s="1" t="s">
        <v>137</v>
      </c>
      <c r="S384" s="1" t="s">
        <v>137</v>
      </c>
      <c r="T384" s="1" t="s">
        <v>47</v>
      </c>
      <c r="U384" s="1" t="s">
        <v>3291</v>
      </c>
    </row>
    <row r="385">
      <c r="A385" s="1" t="s">
        <v>2350</v>
      </c>
      <c r="B385" s="1" t="s">
        <v>116</v>
      </c>
      <c r="C385" s="1" t="s">
        <v>3292</v>
      </c>
      <c r="D385" s="1" t="s">
        <v>960</v>
      </c>
      <c r="E385" s="1" t="s">
        <v>175</v>
      </c>
      <c r="F385" s="1" t="s">
        <v>177</v>
      </c>
      <c r="G385" s="1" t="s">
        <v>503</v>
      </c>
      <c r="H385" s="3">
        <v>46129.0</v>
      </c>
      <c r="K385" s="1" t="s">
        <v>124</v>
      </c>
      <c r="L385" s="1" t="s">
        <v>71</v>
      </c>
      <c r="M385" s="1" t="s">
        <v>162</v>
      </c>
      <c r="N385" s="1" t="s">
        <v>131</v>
      </c>
      <c r="P385" s="1" t="s">
        <v>1844</v>
      </c>
      <c r="R385" s="1" t="s">
        <v>137</v>
      </c>
      <c r="S385" s="1" t="s">
        <v>137</v>
      </c>
      <c r="T385" s="1" t="s">
        <v>47</v>
      </c>
      <c r="U385" s="1" t="s">
        <v>3293</v>
      </c>
    </row>
    <row r="386">
      <c r="A386" s="1" t="s">
        <v>3294</v>
      </c>
      <c r="B386" s="1" t="s">
        <v>191</v>
      </c>
      <c r="C386" s="1" t="s">
        <v>3295</v>
      </c>
      <c r="D386" s="1" t="s">
        <v>172</v>
      </c>
      <c r="E386" s="1" t="s">
        <v>175</v>
      </c>
      <c r="F386" s="1" t="s">
        <v>177</v>
      </c>
      <c r="G386" s="1" t="s">
        <v>483</v>
      </c>
      <c r="H386" s="3">
        <v>45981.0</v>
      </c>
      <c r="I386" s="3">
        <v>46084.0</v>
      </c>
      <c r="J386" s="3">
        <v>46084.0</v>
      </c>
      <c r="K386" s="1" t="s">
        <v>215</v>
      </c>
      <c r="L386" s="1" t="s">
        <v>98</v>
      </c>
      <c r="M386" s="1" t="s">
        <v>253</v>
      </c>
      <c r="N386" s="1" t="s">
        <v>131</v>
      </c>
      <c r="O386" s="3">
        <v>46084.0</v>
      </c>
      <c r="R386" s="1" t="s">
        <v>137</v>
      </c>
      <c r="S386" s="1" t="s">
        <v>137</v>
      </c>
      <c r="T386" s="1" t="s">
        <v>47</v>
      </c>
      <c r="U386" s="1" t="s">
        <v>3296</v>
      </c>
    </row>
    <row r="387">
      <c r="A387" s="1" t="s">
        <v>3297</v>
      </c>
      <c r="B387" s="1" t="s">
        <v>3298</v>
      </c>
      <c r="C387" s="1" t="s">
        <v>3299</v>
      </c>
      <c r="D387" s="1" t="s">
        <v>313</v>
      </c>
      <c r="E387" s="1" t="s">
        <v>175</v>
      </c>
      <c r="F387" s="1" t="s">
        <v>1116</v>
      </c>
      <c r="G387" s="1" t="s">
        <v>3300</v>
      </c>
      <c r="H387" s="3">
        <v>45952.0</v>
      </c>
      <c r="I387" s="3">
        <v>46163.0</v>
      </c>
      <c r="J387" s="3">
        <v>46163.0</v>
      </c>
      <c r="K387" s="1" t="s">
        <v>215</v>
      </c>
      <c r="L387" s="1" t="s">
        <v>71</v>
      </c>
      <c r="M387" s="1" t="s">
        <v>216</v>
      </c>
      <c r="N387" s="1" t="s">
        <v>131</v>
      </c>
      <c r="O387" s="3">
        <v>46181.0</v>
      </c>
      <c r="R387" s="1" t="s">
        <v>137</v>
      </c>
      <c r="S387" s="1" t="s">
        <v>137</v>
      </c>
      <c r="T387" s="1" t="s">
        <v>47</v>
      </c>
      <c r="U387" s="1" t="s">
        <v>3301</v>
      </c>
    </row>
    <row r="388">
      <c r="A388" s="1" t="s">
        <v>3302</v>
      </c>
      <c r="B388" s="1" t="s">
        <v>191</v>
      </c>
      <c r="C388" s="1" t="s">
        <v>3303</v>
      </c>
      <c r="D388" s="1" t="s">
        <v>388</v>
      </c>
      <c r="E388" s="1" t="s">
        <v>209</v>
      </c>
      <c r="F388" s="1" t="s">
        <v>398</v>
      </c>
      <c r="G388" s="1" t="s">
        <v>1587</v>
      </c>
      <c r="H388" s="3">
        <v>45712.0</v>
      </c>
      <c r="I388" s="3">
        <v>45943.0</v>
      </c>
      <c r="J388" s="3">
        <v>45943.0</v>
      </c>
      <c r="K388" s="1" t="s">
        <v>215</v>
      </c>
      <c r="L388" s="1" t="s">
        <v>251</v>
      </c>
      <c r="M388" s="1" t="s">
        <v>216</v>
      </c>
      <c r="N388" s="1" t="s">
        <v>131</v>
      </c>
      <c r="O388" s="3">
        <v>45971.0</v>
      </c>
      <c r="R388" s="1" t="s">
        <v>137</v>
      </c>
      <c r="S388" s="1" t="s">
        <v>137</v>
      </c>
      <c r="T388" s="1" t="s">
        <v>47</v>
      </c>
      <c r="U388" s="1" t="s">
        <v>3304</v>
      </c>
    </row>
    <row r="389">
      <c r="A389" s="1" t="s">
        <v>3305</v>
      </c>
      <c r="B389" s="1" t="s">
        <v>191</v>
      </c>
      <c r="C389" s="1" t="s">
        <v>3306</v>
      </c>
      <c r="D389" s="1" t="s">
        <v>831</v>
      </c>
      <c r="E389" s="1" t="s">
        <v>292</v>
      </c>
      <c r="F389" s="1" t="s">
        <v>468</v>
      </c>
      <c r="G389" s="1" t="s">
        <v>998</v>
      </c>
      <c r="H389" s="3">
        <v>46246.0</v>
      </c>
      <c r="K389" s="1" t="s">
        <v>124</v>
      </c>
      <c r="L389" s="1" t="s">
        <v>160</v>
      </c>
      <c r="M389" s="1" t="s">
        <v>162</v>
      </c>
      <c r="N389" s="1" t="s">
        <v>131</v>
      </c>
      <c r="P389" s="1" t="s">
        <v>2670</v>
      </c>
      <c r="R389" s="1" t="s">
        <v>137</v>
      </c>
      <c r="S389" s="1" t="s">
        <v>137</v>
      </c>
      <c r="T389" s="1" t="s">
        <v>47</v>
      </c>
    </row>
    <row r="390">
      <c r="A390" s="1" t="s">
        <v>3308</v>
      </c>
      <c r="B390" s="1" t="s">
        <v>191</v>
      </c>
      <c r="C390" s="1" t="s">
        <v>3306</v>
      </c>
      <c r="D390" s="1" t="s">
        <v>831</v>
      </c>
      <c r="E390" s="1" t="s">
        <v>292</v>
      </c>
      <c r="F390" s="1" t="s">
        <v>468</v>
      </c>
      <c r="G390" s="1" t="s">
        <v>998</v>
      </c>
      <c r="H390" s="3">
        <v>46097.0</v>
      </c>
      <c r="I390" s="3">
        <v>46153.0</v>
      </c>
      <c r="J390" s="3">
        <v>46153.0</v>
      </c>
      <c r="K390" s="1" t="s">
        <v>215</v>
      </c>
      <c r="L390" s="1" t="s">
        <v>98</v>
      </c>
      <c r="M390" s="1" t="s">
        <v>216</v>
      </c>
      <c r="N390" s="1" t="s">
        <v>131</v>
      </c>
      <c r="O390" s="3">
        <v>46153.0</v>
      </c>
      <c r="R390" s="1" t="s">
        <v>137</v>
      </c>
      <c r="S390" s="1" t="s">
        <v>137</v>
      </c>
      <c r="T390" s="1" t="s">
        <v>47</v>
      </c>
      <c r="U390" s="1" t="s">
        <v>3309</v>
      </c>
    </row>
    <row r="391">
      <c r="A391" s="1" t="s">
        <v>3310</v>
      </c>
      <c r="B391" s="1" t="s">
        <v>707</v>
      </c>
      <c r="C391" s="1" t="s">
        <v>3311</v>
      </c>
      <c r="D391" s="1" t="s">
        <v>831</v>
      </c>
      <c r="E391" s="1" t="s">
        <v>2621</v>
      </c>
      <c r="F391" s="1" t="s">
        <v>3312</v>
      </c>
      <c r="G391" s="1" t="s">
        <v>3313</v>
      </c>
      <c r="H391" s="3">
        <v>45986.0</v>
      </c>
      <c r="K391" s="1" t="s">
        <v>124</v>
      </c>
      <c r="L391" s="1" t="s">
        <v>251</v>
      </c>
      <c r="M391" s="1" t="s">
        <v>162</v>
      </c>
      <c r="N391" s="1" t="s">
        <v>131</v>
      </c>
      <c r="R391" s="1" t="s">
        <v>629</v>
      </c>
      <c r="S391" s="1" t="s">
        <v>629</v>
      </c>
      <c r="T391" s="1" t="s">
        <v>630</v>
      </c>
    </row>
    <row r="392">
      <c r="A392" s="1" t="s">
        <v>2577</v>
      </c>
      <c r="B392" s="1" t="s">
        <v>240</v>
      </c>
      <c r="C392" s="1" t="s">
        <v>3314</v>
      </c>
      <c r="D392" s="1" t="s">
        <v>273</v>
      </c>
      <c r="E392" s="1" t="s">
        <v>330</v>
      </c>
      <c r="F392" s="1" t="s">
        <v>356</v>
      </c>
      <c r="G392" s="1" t="s">
        <v>875</v>
      </c>
      <c r="H392" s="3">
        <v>46161.0</v>
      </c>
      <c r="K392" s="1" t="s">
        <v>124</v>
      </c>
      <c r="L392" s="1" t="s">
        <v>251</v>
      </c>
      <c r="M392" s="1" t="s">
        <v>300</v>
      </c>
      <c r="N392" s="1" t="s">
        <v>131</v>
      </c>
      <c r="P392" s="1" t="s">
        <v>279</v>
      </c>
      <c r="R392" s="1" t="s">
        <v>137</v>
      </c>
      <c r="S392" s="1" t="s">
        <v>137</v>
      </c>
      <c r="T392" s="1" t="s">
        <v>47</v>
      </c>
      <c r="U392" s="1" t="s">
        <v>3315</v>
      </c>
    </row>
    <row r="393">
      <c r="A393" s="1" t="s">
        <v>2954</v>
      </c>
      <c r="B393" s="1" t="s">
        <v>116</v>
      </c>
      <c r="C393" s="1" t="s">
        <v>3316</v>
      </c>
      <c r="D393" s="1" t="s">
        <v>152</v>
      </c>
      <c r="E393" s="1" t="s">
        <v>292</v>
      </c>
      <c r="F393" s="1" t="s">
        <v>494</v>
      </c>
      <c r="G393" s="1" t="s">
        <v>1478</v>
      </c>
      <c r="H393" s="3">
        <v>46238.0</v>
      </c>
      <c r="K393" s="1" t="s">
        <v>124</v>
      </c>
      <c r="L393" s="1" t="s">
        <v>71</v>
      </c>
      <c r="M393" s="1" t="s">
        <v>162</v>
      </c>
      <c r="N393" s="1" t="s">
        <v>131</v>
      </c>
      <c r="P393" s="1" t="s">
        <v>803</v>
      </c>
      <c r="R393" s="1" t="s">
        <v>137</v>
      </c>
      <c r="S393" s="1" t="s">
        <v>137</v>
      </c>
      <c r="T393" s="1" t="s">
        <v>47</v>
      </c>
      <c r="U393" s="1" t="s">
        <v>3317</v>
      </c>
    </row>
    <row r="394">
      <c r="A394" s="1" t="s">
        <v>2262</v>
      </c>
      <c r="B394" s="1" t="s">
        <v>116</v>
      </c>
      <c r="C394" s="1" t="s">
        <v>3318</v>
      </c>
      <c r="D394" s="1" t="s">
        <v>172</v>
      </c>
      <c r="E394" s="1" t="s">
        <v>119</v>
      </c>
      <c r="F394" s="1" t="s">
        <v>3319</v>
      </c>
      <c r="G394" s="1" t="s">
        <v>3319</v>
      </c>
      <c r="H394" s="3">
        <v>46127.0</v>
      </c>
      <c r="I394" s="3">
        <v>46314.0</v>
      </c>
      <c r="K394" s="1" t="s">
        <v>124</v>
      </c>
      <c r="L394" s="1" t="s">
        <v>160</v>
      </c>
      <c r="M394" s="1" t="s">
        <v>162</v>
      </c>
      <c r="N394" s="1" t="s">
        <v>131</v>
      </c>
      <c r="P394" s="1" t="s">
        <v>529</v>
      </c>
      <c r="R394" s="1" t="s">
        <v>137</v>
      </c>
      <c r="S394" s="1" t="s">
        <v>137</v>
      </c>
      <c r="T394" s="1" t="s">
        <v>47</v>
      </c>
      <c r="U394" s="1" t="s">
        <v>3320</v>
      </c>
    </row>
    <row r="395">
      <c r="A395" s="1" t="s">
        <v>2725</v>
      </c>
      <c r="B395" s="1" t="s">
        <v>116</v>
      </c>
      <c r="C395" s="1" t="s">
        <v>3321</v>
      </c>
      <c r="D395" s="1" t="s">
        <v>118</v>
      </c>
      <c r="E395" s="1" t="s">
        <v>330</v>
      </c>
      <c r="F395" s="1" t="s">
        <v>663</v>
      </c>
      <c r="G395" s="1" t="s">
        <v>923</v>
      </c>
      <c r="H395" s="3">
        <v>46183.0</v>
      </c>
      <c r="I395" s="3">
        <v>46321.0</v>
      </c>
      <c r="K395" s="1" t="s">
        <v>124</v>
      </c>
      <c r="L395" s="1" t="s">
        <v>160</v>
      </c>
      <c r="M395" s="1" t="s">
        <v>162</v>
      </c>
      <c r="N395" s="1" t="s">
        <v>131</v>
      </c>
      <c r="P395" s="1" t="s">
        <v>3322</v>
      </c>
      <c r="R395" s="1" t="s">
        <v>137</v>
      </c>
      <c r="S395" s="1" t="s">
        <v>137</v>
      </c>
      <c r="T395" s="1" t="s">
        <v>47</v>
      </c>
      <c r="U395" s="1" t="s">
        <v>3323</v>
      </c>
    </row>
    <row r="396">
      <c r="A396" s="1" t="s">
        <v>2810</v>
      </c>
      <c r="B396" s="1" t="s">
        <v>191</v>
      </c>
      <c r="C396" s="1" t="s">
        <v>3324</v>
      </c>
      <c r="D396" s="1" t="s">
        <v>194</v>
      </c>
      <c r="E396" s="1" t="s">
        <v>454</v>
      </c>
      <c r="F396" s="1" t="s">
        <v>612</v>
      </c>
      <c r="H396" s="3">
        <v>46300.0</v>
      </c>
      <c r="K396" s="1" t="s">
        <v>124</v>
      </c>
      <c r="L396" s="1" t="s">
        <v>160</v>
      </c>
      <c r="M396" s="1" t="s">
        <v>129</v>
      </c>
      <c r="N396" s="1" t="s">
        <v>131</v>
      </c>
      <c r="P396" s="1" t="s">
        <v>444</v>
      </c>
      <c r="R396" s="1" t="s">
        <v>137</v>
      </c>
      <c r="S396" s="1" t="s">
        <v>137</v>
      </c>
      <c r="T396" s="1" t="s">
        <v>47</v>
      </c>
      <c r="U396" s="1" t="s">
        <v>3325</v>
      </c>
    </row>
    <row r="397">
      <c r="A397" s="1" t="s">
        <v>2705</v>
      </c>
      <c r="B397" s="1" t="s">
        <v>3326</v>
      </c>
      <c r="C397" s="1" t="s">
        <v>3327</v>
      </c>
      <c r="D397" s="1" t="s">
        <v>291</v>
      </c>
      <c r="E397" s="1" t="s">
        <v>889</v>
      </c>
      <c r="F397" s="1" t="s">
        <v>1983</v>
      </c>
      <c r="G397" s="1" t="s">
        <v>1984</v>
      </c>
      <c r="H397" s="3">
        <v>46177.0</v>
      </c>
      <c r="I397" s="3">
        <v>46349.0</v>
      </c>
      <c r="K397" s="1" t="s">
        <v>124</v>
      </c>
      <c r="L397" s="1" t="s">
        <v>98</v>
      </c>
      <c r="M397" s="1" t="s">
        <v>335</v>
      </c>
      <c r="N397" s="1" t="s">
        <v>131</v>
      </c>
      <c r="P397" s="1" t="s">
        <v>3329</v>
      </c>
      <c r="R397" s="1" t="s">
        <v>137</v>
      </c>
      <c r="S397" s="1" t="s">
        <v>137</v>
      </c>
      <c r="T397" s="1" t="s">
        <v>47</v>
      </c>
      <c r="U397" s="1" t="s">
        <v>3330</v>
      </c>
    </row>
    <row r="398">
      <c r="A398" s="1" t="s">
        <v>3331</v>
      </c>
      <c r="B398" s="1" t="s">
        <v>116</v>
      </c>
      <c r="C398" s="1" t="s">
        <v>3327</v>
      </c>
      <c r="D398" s="1" t="s">
        <v>291</v>
      </c>
      <c r="E398" s="1" t="s">
        <v>889</v>
      </c>
      <c r="F398" s="1" t="s">
        <v>1983</v>
      </c>
      <c r="G398" s="1" t="s">
        <v>1984</v>
      </c>
      <c r="H398" s="3">
        <v>46234.0</v>
      </c>
      <c r="K398" s="1" t="s">
        <v>124</v>
      </c>
      <c r="L398" s="1" t="s">
        <v>98</v>
      </c>
      <c r="M398" s="1" t="s">
        <v>162</v>
      </c>
      <c r="N398" s="1" t="s">
        <v>131</v>
      </c>
      <c r="P398" s="1" t="s">
        <v>2768</v>
      </c>
      <c r="R398" s="1" t="s">
        <v>137</v>
      </c>
      <c r="S398" s="1" t="s">
        <v>137</v>
      </c>
      <c r="T398" s="1" t="s">
        <v>47</v>
      </c>
      <c r="U398" s="1" t="s">
        <v>3332</v>
      </c>
    </row>
    <row r="399">
      <c r="A399" s="1" t="s">
        <v>1934</v>
      </c>
      <c r="B399" s="1" t="s">
        <v>3333</v>
      </c>
      <c r="C399" s="1" t="s">
        <v>3334</v>
      </c>
      <c r="D399" s="1" t="s">
        <v>960</v>
      </c>
      <c r="E399" s="1" t="s">
        <v>209</v>
      </c>
      <c r="F399" s="1" t="s">
        <v>3016</v>
      </c>
      <c r="G399" s="1" t="s">
        <v>3335</v>
      </c>
      <c r="H399" s="3">
        <v>46027.0</v>
      </c>
      <c r="I399" s="3">
        <v>46293.0</v>
      </c>
      <c r="K399" s="1" t="s">
        <v>124</v>
      </c>
      <c r="L399" s="1" t="s">
        <v>98</v>
      </c>
      <c r="M399" s="1" t="s">
        <v>460</v>
      </c>
      <c r="N399" s="1" t="s">
        <v>131</v>
      </c>
      <c r="R399" s="1" t="s">
        <v>3336</v>
      </c>
      <c r="S399" s="1" t="s">
        <v>3336</v>
      </c>
      <c r="T399" s="1" t="s">
        <v>3337</v>
      </c>
      <c r="U399" s="1" t="s">
        <v>3338</v>
      </c>
    </row>
    <row r="400">
      <c r="A400" s="1" t="s">
        <v>3339</v>
      </c>
      <c r="B400" s="1" t="s">
        <v>191</v>
      </c>
      <c r="C400" s="1" t="s">
        <v>3340</v>
      </c>
      <c r="D400" s="1" t="s">
        <v>1067</v>
      </c>
      <c r="E400" s="1" t="s">
        <v>330</v>
      </c>
      <c r="F400" s="1" t="s">
        <v>663</v>
      </c>
      <c r="G400" s="1" t="s">
        <v>1068</v>
      </c>
      <c r="H400" s="3">
        <v>46248.0</v>
      </c>
      <c r="K400" s="1" t="s">
        <v>124</v>
      </c>
      <c r="L400" s="1" t="s">
        <v>160</v>
      </c>
      <c r="M400" s="1" t="s">
        <v>162</v>
      </c>
      <c r="N400" s="1" t="s">
        <v>131</v>
      </c>
      <c r="P400" s="1" t="s">
        <v>304</v>
      </c>
      <c r="R400" s="1" t="s">
        <v>137</v>
      </c>
      <c r="S400" s="1" t="s">
        <v>137</v>
      </c>
      <c r="T400" s="1" t="s">
        <v>47</v>
      </c>
    </row>
    <row r="401">
      <c r="A401" s="1" t="s">
        <v>3341</v>
      </c>
      <c r="B401" s="1" t="s">
        <v>191</v>
      </c>
      <c r="C401" s="1" t="s">
        <v>3342</v>
      </c>
      <c r="D401" s="1" t="s">
        <v>313</v>
      </c>
      <c r="E401" s="1" t="s">
        <v>175</v>
      </c>
      <c r="F401" s="1" t="s">
        <v>569</v>
      </c>
      <c r="G401" s="1" t="s">
        <v>798</v>
      </c>
      <c r="H401" s="3">
        <v>45764.0</v>
      </c>
      <c r="I401" s="3">
        <v>45888.0</v>
      </c>
      <c r="J401" s="3">
        <v>45888.0</v>
      </c>
      <c r="K401" s="1" t="s">
        <v>215</v>
      </c>
      <c r="L401" s="1" t="s">
        <v>251</v>
      </c>
      <c r="M401" s="1" t="s">
        <v>216</v>
      </c>
      <c r="N401" s="1" t="s">
        <v>131</v>
      </c>
      <c r="O401" s="3">
        <v>45888.0</v>
      </c>
      <c r="R401" s="1" t="s">
        <v>137</v>
      </c>
      <c r="S401" s="1" t="s">
        <v>137</v>
      </c>
      <c r="T401" s="1" t="s">
        <v>47</v>
      </c>
      <c r="U401" s="1" t="s">
        <v>3343</v>
      </c>
    </row>
    <row r="402">
      <c r="A402" s="1" t="s">
        <v>3344</v>
      </c>
      <c r="B402" s="1" t="s">
        <v>191</v>
      </c>
      <c r="C402" s="1" t="s">
        <v>3345</v>
      </c>
      <c r="D402" s="1" t="s">
        <v>678</v>
      </c>
      <c r="E402" s="1" t="s">
        <v>454</v>
      </c>
      <c r="F402" s="1" t="s">
        <v>637</v>
      </c>
      <c r="G402" s="1" t="s">
        <v>2554</v>
      </c>
      <c r="H402" s="3">
        <v>45929.0</v>
      </c>
      <c r="I402" s="3">
        <v>46029.0</v>
      </c>
      <c r="J402" s="3">
        <v>46029.0</v>
      </c>
      <c r="K402" s="1" t="s">
        <v>215</v>
      </c>
      <c r="L402" s="1" t="s">
        <v>251</v>
      </c>
      <c r="M402" s="1" t="s">
        <v>253</v>
      </c>
      <c r="N402" s="1" t="s">
        <v>131</v>
      </c>
      <c r="O402" s="3">
        <v>46029.0</v>
      </c>
      <c r="R402" s="1" t="s">
        <v>137</v>
      </c>
      <c r="S402" s="1" t="s">
        <v>137</v>
      </c>
      <c r="T402" s="1" t="s">
        <v>47</v>
      </c>
      <c r="U402" s="1" t="s">
        <v>3346</v>
      </c>
    </row>
    <row r="403">
      <c r="A403" s="1" t="s">
        <v>3347</v>
      </c>
      <c r="B403" s="1" t="s">
        <v>191</v>
      </c>
      <c r="C403" s="1" t="s">
        <v>3348</v>
      </c>
      <c r="D403" s="1" t="s">
        <v>313</v>
      </c>
      <c r="E403" s="1" t="s">
        <v>292</v>
      </c>
      <c r="F403" s="1" t="s">
        <v>468</v>
      </c>
      <c r="G403" s="1" t="s">
        <v>470</v>
      </c>
      <c r="H403" s="3">
        <v>45909.0</v>
      </c>
      <c r="I403" s="3">
        <v>45921.0</v>
      </c>
      <c r="J403" s="3">
        <v>45921.0</v>
      </c>
      <c r="K403" s="1" t="s">
        <v>215</v>
      </c>
      <c r="L403" s="1" t="s">
        <v>251</v>
      </c>
      <c r="M403" s="1" t="s">
        <v>216</v>
      </c>
      <c r="N403" s="1" t="s">
        <v>131</v>
      </c>
      <c r="O403" s="3">
        <v>45921.0</v>
      </c>
      <c r="R403" s="1" t="s">
        <v>137</v>
      </c>
      <c r="S403" s="1" t="s">
        <v>137</v>
      </c>
      <c r="T403" s="1" t="s">
        <v>47</v>
      </c>
      <c r="U403" s="1" t="s">
        <v>3349</v>
      </c>
    </row>
    <row r="404">
      <c r="A404" s="1" t="s">
        <v>3350</v>
      </c>
      <c r="B404" s="1" t="s">
        <v>3351</v>
      </c>
      <c r="C404" s="1" t="s">
        <v>3352</v>
      </c>
      <c r="D404" s="1" t="s">
        <v>593</v>
      </c>
      <c r="E404" s="1" t="s">
        <v>330</v>
      </c>
      <c r="F404" s="1" t="s">
        <v>356</v>
      </c>
      <c r="G404" s="1" t="s">
        <v>875</v>
      </c>
      <c r="H404" s="3">
        <v>46013.0</v>
      </c>
      <c r="I404" s="3">
        <v>46052.0</v>
      </c>
      <c r="K404" s="1" t="s">
        <v>124</v>
      </c>
      <c r="L404" s="1" t="s">
        <v>251</v>
      </c>
      <c r="M404" s="1" t="s">
        <v>300</v>
      </c>
      <c r="N404" s="1" t="s">
        <v>131</v>
      </c>
      <c r="R404" s="1" t="s">
        <v>629</v>
      </c>
      <c r="S404" s="1" t="s">
        <v>629</v>
      </c>
      <c r="T404" s="1" t="s">
        <v>630</v>
      </c>
      <c r="U404" s="1" t="s">
        <v>3353</v>
      </c>
    </row>
    <row r="405">
      <c r="A405" s="1" t="s">
        <v>3354</v>
      </c>
      <c r="B405" s="1" t="s">
        <v>1507</v>
      </c>
      <c r="C405" s="1" t="s">
        <v>3352</v>
      </c>
      <c r="D405" s="1" t="s">
        <v>593</v>
      </c>
      <c r="E405" s="1" t="s">
        <v>330</v>
      </c>
      <c r="F405" s="1" t="s">
        <v>356</v>
      </c>
      <c r="G405" s="1" t="s">
        <v>875</v>
      </c>
      <c r="H405" s="3">
        <v>46034.0</v>
      </c>
      <c r="K405" s="1" t="s">
        <v>124</v>
      </c>
      <c r="L405" s="1" t="s">
        <v>251</v>
      </c>
      <c r="M405" s="1" t="s">
        <v>162</v>
      </c>
      <c r="N405" s="1" t="s">
        <v>131</v>
      </c>
      <c r="R405" s="1" t="s">
        <v>629</v>
      </c>
      <c r="S405" s="1" t="s">
        <v>629</v>
      </c>
      <c r="T405" s="1" t="s">
        <v>630</v>
      </c>
    </row>
    <row r="406">
      <c r="A406" s="1" t="s">
        <v>2696</v>
      </c>
      <c r="B406" s="1" t="s">
        <v>191</v>
      </c>
      <c r="C406" s="1" t="s">
        <v>3356</v>
      </c>
      <c r="D406" s="1" t="s">
        <v>172</v>
      </c>
      <c r="E406" s="1" t="s">
        <v>292</v>
      </c>
      <c r="F406" s="1" t="s">
        <v>293</v>
      </c>
      <c r="G406" s="1" t="s">
        <v>295</v>
      </c>
      <c r="H406" s="3">
        <v>46195.0</v>
      </c>
      <c r="I406" s="3">
        <v>46308.0</v>
      </c>
      <c r="K406" s="1" t="s">
        <v>124</v>
      </c>
      <c r="L406" s="1" t="s">
        <v>160</v>
      </c>
      <c r="M406" s="1" t="s">
        <v>129</v>
      </c>
      <c r="N406" s="1" t="s">
        <v>131</v>
      </c>
      <c r="P406" s="1" t="s">
        <v>1221</v>
      </c>
      <c r="R406" s="1" t="s">
        <v>137</v>
      </c>
      <c r="S406" s="1" t="s">
        <v>137</v>
      </c>
      <c r="T406" s="1" t="s">
        <v>47</v>
      </c>
      <c r="U406" s="1" t="s">
        <v>3357</v>
      </c>
    </row>
    <row r="407">
      <c r="A407" s="1" t="s">
        <v>3358</v>
      </c>
      <c r="B407" s="1" t="s">
        <v>116</v>
      </c>
      <c r="C407" s="1" t="s">
        <v>3359</v>
      </c>
      <c r="D407" s="1" t="s">
        <v>1823</v>
      </c>
      <c r="E407" s="1" t="s">
        <v>175</v>
      </c>
      <c r="F407" s="1" t="s">
        <v>569</v>
      </c>
      <c r="G407" s="1" t="s">
        <v>570</v>
      </c>
      <c r="H407" s="3">
        <v>46129.0</v>
      </c>
      <c r="K407" s="1" t="s">
        <v>124</v>
      </c>
      <c r="L407" s="1" t="s">
        <v>71</v>
      </c>
      <c r="M407" s="1" t="s">
        <v>162</v>
      </c>
      <c r="N407" s="1" t="s">
        <v>131</v>
      </c>
      <c r="P407" s="1" t="s">
        <v>3360</v>
      </c>
      <c r="R407" s="1" t="s">
        <v>137</v>
      </c>
      <c r="S407" s="1" t="s">
        <v>137</v>
      </c>
      <c r="T407" s="1" t="s">
        <v>47</v>
      </c>
      <c r="U407" s="1" t="s">
        <v>3361</v>
      </c>
    </row>
    <row r="408">
      <c r="A408" s="1" t="s">
        <v>3362</v>
      </c>
      <c r="B408" s="1" t="s">
        <v>326</v>
      </c>
      <c r="C408" s="1" t="s">
        <v>3363</v>
      </c>
      <c r="D408" s="1" t="s">
        <v>657</v>
      </c>
      <c r="E408" s="1" t="s">
        <v>153</v>
      </c>
      <c r="F408" s="1" t="s">
        <v>274</v>
      </c>
      <c r="G408" s="1" t="s">
        <v>3364</v>
      </c>
      <c r="H408" s="3">
        <v>45881.0</v>
      </c>
      <c r="I408" s="3">
        <v>46037.0</v>
      </c>
      <c r="J408" s="3">
        <v>46037.0</v>
      </c>
      <c r="K408" s="1" t="s">
        <v>215</v>
      </c>
      <c r="L408" s="1" t="s">
        <v>71</v>
      </c>
      <c r="M408" s="1" t="s">
        <v>216</v>
      </c>
      <c r="N408" s="1" t="s">
        <v>131</v>
      </c>
      <c r="O408" s="3">
        <v>46181.0</v>
      </c>
      <c r="R408" s="1" t="s">
        <v>137</v>
      </c>
      <c r="S408" s="1" t="s">
        <v>137</v>
      </c>
      <c r="T408" s="1" t="s">
        <v>47</v>
      </c>
      <c r="U408" s="1" t="s">
        <v>3365</v>
      </c>
    </row>
    <row r="409">
      <c r="A409" s="1" t="s">
        <v>2136</v>
      </c>
      <c r="B409" s="1" t="s">
        <v>191</v>
      </c>
      <c r="C409" s="1" t="s">
        <v>3366</v>
      </c>
      <c r="D409" s="1" t="s">
        <v>172</v>
      </c>
      <c r="E409" s="1" t="s">
        <v>175</v>
      </c>
      <c r="F409" s="1" t="s">
        <v>177</v>
      </c>
      <c r="G409" s="1" t="s">
        <v>672</v>
      </c>
      <c r="H409" s="3">
        <v>46119.0</v>
      </c>
      <c r="I409" s="3">
        <v>46211.0</v>
      </c>
      <c r="K409" s="1" t="s">
        <v>124</v>
      </c>
      <c r="L409" s="1" t="s">
        <v>251</v>
      </c>
      <c r="M409" s="1" t="s">
        <v>216</v>
      </c>
      <c r="N409" s="1" t="s">
        <v>131</v>
      </c>
      <c r="R409" s="1" t="s">
        <v>137</v>
      </c>
      <c r="S409" s="1" t="s">
        <v>137</v>
      </c>
      <c r="T409" s="1" t="s">
        <v>47</v>
      </c>
      <c r="U409" s="1" t="s">
        <v>3367</v>
      </c>
    </row>
    <row r="410">
      <c r="A410" s="1" t="s">
        <v>2150</v>
      </c>
      <c r="B410" s="1" t="s">
        <v>2413</v>
      </c>
      <c r="C410" s="1" t="s">
        <v>3368</v>
      </c>
      <c r="D410" s="1" t="s">
        <v>657</v>
      </c>
      <c r="E410" s="1" t="s">
        <v>292</v>
      </c>
      <c r="F410" s="1" t="s">
        <v>293</v>
      </c>
      <c r="G410" s="1" t="s">
        <v>561</v>
      </c>
      <c r="H410" s="3">
        <v>46113.0</v>
      </c>
      <c r="I410" s="3">
        <v>46258.0</v>
      </c>
      <c r="K410" s="1" t="s">
        <v>124</v>
      </c>
      <c r="L410" s="1" t="s">
        <v>98</v>
      </c>
      <c r="M410" s="1" t="s">
        <v>460</v>
      </c>
      <c r="N410" s="1" t="s">
        <v>131</v>
      </c>
      <c r="P410" s="1" t="s">
        <v>3369</v>
      </c>
      <c r="R410" s="1" t="s">
        <v>137</v>
      </c>
      <c r="S410" s="1" t="s">
        <v>137</v>
      </c>
      <c r="T410" s="1" t="s">
        <v>47</v>
      </c>
      <c r="U410" s="1" t="s">
        <v>3370</v>
      </c>
    </row>
    <row r="411">
      <c r="A411" s="1" t="s">
        <v>1741</v>
      </c>
      <c r="B411" s="1" t="s">
        <v>191</v>
      </c>
      <c r="C411" s="1" t="s">
        <v>3368</v>
      </c>
      <c r="D411" s="1" t="s">
        <v>657</v>
      </c>
      <c r="E411" s="1" t="s">
        <v>292</v>
      </c>
      <c r="F411" s="1" t="s">
        <v>293</v>
      </c>
      <c r="G411" s="1" t="s">
        <v>561</v>
      </c>
      <c r="H411" s="3">
        <v>46167.0</v>
      </c>
      <c r="I411" s="3">
        <v>46251.0</v>
      </c>
      <c r="K411" s="1" t="s">
        <v>124</v>
      </c>
      <c r="L411" s="1" t="s">
        <v>98</v>
      </c>
      <c r="M411" s="1" t="s">
        <v>253</v>
      </c>
      <c r="N411" s="1" t="s">
        <v>131</v>
      </c>
      <c r="P411" s="1" t="s">
        <v>640</v>
      </c>
      <c r="R411" s="1" t="s">
        <v>137</v>
      </c>
      <c r="S411" s="1" t="s">
        <v>137</v>
      </c>
      <c r="T411" s="1" t="s">
        <v>47</v>
      </c>
      <c r="U411" s="1" t="s">
        <v>3371</v>
      </c>
    </row>
    <row r="412">
      <c r="A412" s="1" t="s">
        <v>3372</v>
      </c>
      <c r="B412" s="1" t="s">
        <v>116</v>
      </c>
      <c r="C412" s="1" t="s">
        <v>3373</v>
      </c>
      <c r="D412" s="1" t="s">
        <v>1469</v>
      </c>
      <c r="E412" s="1" t="s">
        <v>175</v>
      </c>
      <c r="F412" s="1" t="s">
        <v>585</v>
      </c>
      <c r="G412" s="1" t="s">
        <v>1529</v>
      </c>
      <c r="H412" s="3">
        <v>46129.0</v>
      </c>
      <c r="K412" s="1" t="s">
        <v>124</v>
      </c>
      <c r="L412" s="1" t="s">
        <v>71</v>
      </c>
      <c r="M412" s="1" t="s">
        <v>162</v>
      </c>
      <c r="N412" s="1" t="s">
        <v>131</v>
      </c>
      <c r="P412" s="1" t="s">
        <v>485</v>
      </c>
      <c r="R412" s="1" t="s">
        <v>137</v>
      </c>
      <c r="S412" s="1" t="s">
        <v>137</v>
      </c>
      <c r="T412" s="1" t="s">
        <v>47</v>
      </c>
    </row>
    <row r="413">
      <c r="A413" s="1" t="s">
        <v>2424</v>
      </c>
      <c r="B413" s="1" t="s">
        <v>3377</v>
      </c>
      <c r="C413" s="1" t="s">
        <v>3378</v>
      </c>
      <c r="D413" s="1" t="s">
        <v>657</v>
      </c>
      <c r="E413" s="1" t="s">
        <v>3379</v>
      </c>
      <c r="F413" s="1" t="s">
        <v>3380</v>
      </c>
      <c r="G413" s="1" t="s">
        <v>3380</v>
      </c>
      <c r="H413" s="3">
        <v>46148.0</v>
      </c>
      <c r="I413" s="3">
        <v>46233.0</v>
      </c>
      <c r="J413" s="3">
        <v>46233.0</v>
      </c>
      <c r="K413" s="1" t="s">
        <v>124</v>
      </c>
      <c r="L413" s="1" t="s">
        <v>251</v>
      </c>
      <c r="M413" s="1" t="s">
        <v>216</v>
      </c>
      <c r="N413" s="1" t="s">
        <v>131</v>
      </c>
      <c r="P413" s="1" t="s">
        <v>2170</v>
      </c>
      <c r="R413" s="1" t="s">
        <v>137</v>
      </c>
      <c r="S413" s="1" t="s">
        <v>137</v>
      </c>
      <c r="T413" s="1" t="s">
        <v>47</v>
      </c>
      <c r="U413" s="1" t="s">
        <v>3381</v>
      </c>
    </row>
    <row r="414">
      <c r="A414" s="1" t="s">
        <v>3382</v>
      </c>
      <c r="B414" s="1" t="s">
        <v>116</v>
      </c>
      <c r="C414" s="1" t="s">
        <v>3383</v>
      </c>
      <c r="D414" s="1" t="s">
        <v>243</v>
      </c>
      <c r="E414" s="1" t="s">
        <v>175</v>
      </c>
      <c r="F414" s="1" t="s">
        <v>1767</v>
      </c>
      <c r="G414" s="1" t="s">
        <v>1768</v>
      </c>
      <c r="H414" s="3">
        <v>46129.0</v>
      </c>
      <c r="I414" s="3">
        <v>46327.0</v>
      </c>
      <c r="K414" s="1" t="s">
        <v>124</v>
      </c>
      <c r="L414" s="1" t="s">
        <v>71</v>
      </c>
      <c r="M414" s="1" t="s">
        <v>162</v>
      </c>
      <c r="N414" s="1" t="s">
        <v>131</v>
      </c>
      <c r="P414" s="1" t="s">
        <v>3384</v>
      </c>
      <c r="R414" s="1" t="s">
        <v>137</v>
      </c>
      <c r="S414" s="1" t="s">
        <v>137</v>
      </c>
      <c r="T414" s="1" t="s">
        <v>47</v>
      </c>
      <c r="U414" s="1" t="s">
        <v>3385</v>
      </c>
    </row>
    <row r="415">
      <c r="A415" s="1" t="s">
        <v>2118</v>
      </c>
      <c r="B415" s="1" t="s">
        <v>240</v>
      </c>
      <c r="C415" s="1" t="s">
        <v>3386</v>
      </c>
      <c r="D415" s="1" t="s">
        <v>194</v>
      </c>
      <c r="E415" s="1" t="s">
        <v>454</v>
      </c>
      <c r="F415" s="1" t="s">
        <v>637</v>
      </c>
      <c r="G415" s="1" t="s">
        <v>638</v>
      </c>
      <c r="H415" s="3">
        <v>46181.0</v>
      </c>
      <c r="K415" s="1" t="s">
        <v>124</v>
      </c>
      <c r="L415" s="1" t="s">
        <v>251</v>
      </c>
      <c r="M415" s="1" t="s">
        <v>300</v>
      </c>
      <c r="N415" s="1" t="s">
        <v>131</v>
      </c>
      <c r="P415" s="1" t="s">
        <v>432</v>
      </c>
      <c r="R415" s="1" t="s">
        <v>137</v>
      </c>
      <c r="S415" s="1" t="s">
        <v>137</v>
      </c>
      <c r="T415" s="1" t="s">
        <v>47</v>
      </c>
      <c r="U415" s="1" t="s">
        <v>3387</v>
      </c>
    </row>
    <row r="416">
      <c r="A416" s="1" t="s">
        <v>2073</v>
      </c>
      <c r="B416" s="1" t="s">
        <v>3388</v>
      </c>
      <c r="C416" s="1" t="s">
        <v>3389</v>
      </c>
      <c r="D416" s="1" t="s">
        <v>831</v>
      </c>
      <c r="E416" s="1" t="s">
        <v>292</v>
      </c>
      <c r="F416" s="1" t="s">
        <v>576</v>
      </c>
      <c r="G416" s="1" t="s">
        <v>577</v>
      </c>
      <c r="H416" s="3">
        <v>46097.0</v>
      </c>
      <c r="I416" s="3">
        <v>46307.0</v>
      </c>
      <c r="K416" s="1" t="s">
        <v>124</v>
      </c>
      <c r="L416" s="1" t="s">
        <v>160</v>
      </c>
      <c r="M416" s="1" t="s">
        <v>300</v>
      </c>
      <c r="N416" s="1" t="s">
        <v>131</v>
      </c>
      <c r="P416" s="1" t="s">
        <v>2635</v>
      </c>
      <c r="R416" s="1" t="s">
        <v>137</v>
      </c>
      <c r="S416" s="1" t="s">
        <v>137</v>
      </c>
      <c r="T416" s="1" t="s">
        <v>47</v>
      </c>
      <c r="U416" s="1" t="s">
        <v>3390</v>
      </c>
    </row>
    <row r="417">
      <c r="A417" s="1" t="s">
        <v>2866</v>
      </c>
      <c r="B417" s="1" t="s">
        <v>191</v>
      </c>
      <c r="C417" s="1" t="s">
        <v>3391</v>
      </c>
      <c r="D417" s="1" t="s">
        <v>172</v>
      </c>
      <c r="E417" s="1" t="s">
        <v>438</v>
      </c>
      <c r="F417" s="1" t="s">
        <v>440</v>
      </c>
      <c r="G417" s="1" t="s">
        <v>2468</v>
      </c>
      <c r="H417" s="3">
        <v>46244.0</v>
      </c>
      <c r="K417" s="1" t="s">
        <v>124</v>
      </c>
      <c r="L417" s="1" t="s">
        <v>251</v>
      </c>
      <c r="M417" s="1" t="s">
        <v>162</v>
      </c>
      <c r="N417" s="1" t="s">
        <v>131</v>
      </c>
      <c r="P417" s="1" t="s">
        <v>1005</v>
      </c>
      <c r="R417" s="1" t="s">
        <v>137</v>
      </c>
      <c r="S417" s="1" t="s">
        <v>137</v>
      </c>
      <c r="T417" s="1" t="s">
        <v>47</v>
      </c>
      <c r="U417" s="1" t="s">
        <v>3392</v>
      </c>
    </row>
    <row r="418">
      <c r="A418" s="1" t="s">
        <v>2896</v>
      </c>
      <c r="B418" s="1" t="s">
        <v>3393</v>
      </c>
      <c r="C418" s="1" t="s">
        <v>3394</v>
      </c>
      <c r="D418" s="1" t="s">
        <v>194</v>
      </c>
      <c r="E418" s="1" t="s">
        <v>454</v>
      </c>
      <c r="F418" s="1" t="s">
        <v>3395</v>
      </c>
      <c r="G418" s="1" t="s">
        <v>3396</v>
      </c>
      <c r="H418" s="3">
        <v>46238.0</v>
      </c>
      <c r="K418" s="1" t="s">
        <v>124</v>
      </c>
      <c r="L418" s="1" t="s">
        <v>71</v>
      </c>
      <c r="M418" s="1" t="s">
        <v>162</v>
      </c>
      <c r="N418" s="1" t="s">
        <v>131</v>
      </c>
      <c r="R418" s="1" t="s">
        <v>665</v>
      </c>
      <c r="S418" s="1" t="s">
        <v>665</v>
      </c>
      <c r="T418" s="1" t="s">
        <v>666</v>
      </c>
      <c r="U418" s="1" t="s">
        <v>3397</v>
      </c>
    </row>
    <row r="419">
      <c r="A419" s="1" t="s">
        <v>3398</v>
      </c>
      <c r="B419" s="1" t="s">
        <v>191</v>
      </c>
      <c r="C419" s="1" t="s">
        <v>3399</v>
      </c>
      <c r="D419" s="1" t="s">
        <v>313</v>
      </c>
      <c r="E419" s="1" t="s">
        <v>175</v>
      </c>
      <c r="F419" s="1" t="s">
        <v>569</v>
      </c>
      <c r="G419" s="1" t="s">
        <v>1726</v>
      </c>
      <c r="H419" s="3">
        <v>46282.0</v>
      </c>
      <c r="K419" s="1" t="s">
        <v>124</v>
      </c>
      <c r="L419" s="1" t="s">
        <v>251</v>
      </c>
      <c r="M419" s="1" t="s">
        <v>162</v>
      </c>
      <c r="N419" s="1" t="s">
        <v>131</v>
      </c>
      <c r="P419" s="1" t="s">
        <v>3400</v>
      </c>
      <c r="R419" s="1" t="s">
        <v>137</v>
      </c>
      <c r="S419" s="1" t="s">
        <v>137</v>
      </c>
      <c r="T419" s="1" t="s">
        <v>47</v>
      </c>
    </row>
    <row r="420">
      <c r="A420" s="1" t="s">
        <v>2756</v>
      </c>
      <c r="B420" s="1" t="s">
        <v>191</v>
      </c>
      <c r="C420" s="1" t="s">
        <v>3401</v>
      </c>
      <c r="D420" s="1" t="s">
        <v>960</v>
      </c>
      <c r="E420" s="1" t="s">
        <v>438</v>
      </c>
      <c r="F420" s="1" t="s">
        <v>3240</v>
      </c>
      <c r="G420" s="1" t="s">
        <v>3241</v>
      </c>
      <c r="H420" s="3">
        <v>46244.0</v>
      </c>
      <c r="I420" s="3">
        <v>46356.0</v>
      </c>
      <c r="K420" s="1" t="s">
        <v>124</v>
      </c>
      <c r="L420" s="1" t="s">
        <v>160</v>
      </c>
      <c r="M420" s="1" t="s">
        <v>129</v>
      </c>
      <c r="N420" s="1" t="s">
        <v>131</v>
      </c>
      <c r="P420" s="1" t="s">
        <v>304</v>
      </c>
      <c r="R420" s="1" t="s">
        <v>137</v>
      </c>
      <c r="S420" s="1" t="s">
        <v>137</v>
      </c>
      <c r="T420" s="1" t="s">
        <v>47</v>
      </c>
    </row>
    <row r="421">
      <c r="A421" s="1" t="s">
        <v>3402</v>
      </c>
      <c r="B421" s="1" t="s">
        <v>191</v>
      </c>
      <c r="C421" s="1" t="s">
        <v>3404</v>
      </c>
      <c r="D421" s="1" t="s">
        <v>313</v>
      </c>
      <c r="E421" s="1" t="s">
        <v>175</v>
      </c>
      <c r="F421" s="1" t="s">
        <v>569</v>
      </c>
      <c r="G421" s="1" t="s">
        <v>570</v>
      </c>
      <c r="H421" s="3">
        <v>46048.0</v>
      </c>
      <c r="I421" s="3">
        <v>46104.0</v>
      </c>
      <c r="K421" s="1" t="s">
        <v>215</v>
      </c>
      <c r="L421" s="1" t="s">
        <v>251</v>
      </c>
      <c r="M421" s="1" t="s">
        <v>216</v>
      </c>
      <c r="N421" s="1" t="s">
        <v>131</v>
      </c>
      <c r="O421" s="3">
        <v>46104.0</v>
      </c>
      <c r="R421" s="1" t="s">
        <v>137</v>
      </c>
      <c r="S421" s="1" t="s">
        <v>137</v>
      </c>
      <c r="T421" s="1" t="s">
        <v>47</v>
      </c>
      <c r="U421" s="1" t="s">
        <v>3405</v>
      </c>
    </row>
    <row r="422">
      <c r="A422" s="1" t="s">
        <v>76</v>
      </c>
      <c r="B422" s="1" t="s">
        <v>490</v>
      </c>
      <c r="C422" s="1" t="s">
        <v>3404</v>
      </c>
      <c r="D422" s="1" t="s">
        <v>313</v>
      </c>
      <c r="E422" s="1" t="s">
        <v>175</v>
      </c>
      <c r="F422" s="1" t="s">
        <v>569</v>
      </c>
      <c r="G422" s="1" t="s">
        <v>570</v>
      </c>
      <c r="H422" s="3">
        <v>45599.0</v>
      </c>
      <c r="I422" s="3">
        <v>45712.0</v>
      </c>
      <c r="J422" s="3">
        <v>45712.0</v>
      </c>
      <c r="K422" s="1" t="s">
        <v>124</v>
      </c>
      <c r="L422" s="1" t="s">
        <v>251</v>
      </c>
      <c r="M422" s="1" t="s">
        <v>216</v>
      </c>
      <c r="N422" s="1" t="s">
        <v>131</v>
      </c>
      <c r="R422" s="1" t="s">
        <v>137</v>
      </c>
      <c r="S422" s="1" t="s">
        <v>137</v>
      </c>
      <c r="T422" s="1" t="s">
        <v>47</v>
      </c>
      <c r="U422" s="1" t="s">
        <v>392</v>
      </c>
    </row>
    <row r="423">
      <c r="A423" s="1" t="s">
        <v>1894</v>
      </c>
      <c r="B423" s="1" t="s">
        <v>191</v>
      </c>
      <c r="C423" s="1" t="s">
        <v>3407</v>
      </c>
      <c r="D423" s="1" t="s">
        <v>3408</v>
      </c>
      <c r="E423" s="1" t="s">
        <v>153</v>
      </c>
      <c r="F423" s="1" t="s">
        <v>155</v>
      </c>
      <c r="G423" s="1" t="s">
        <v>157</v>
      </c>
      <c r="H423" s="3">
        <v>46090.0</v>
      </c>
      <c r="I423" s="3">
        <v>46237.0</v>
      </c>
      <c r="K423" s="1" t="s">
        <v>124</v>
      </c>
      <c r="L423" s="1" t="s">
        <v>98</v>
      </c>
      <c r="M423" s="1" t="s">
        <v>162</v>
      </c>
      <c r="N423" s="1" t="s">
        <v>131</v>
      </c>
      <c r="P423" s="1" t="s">
        <v>444</v>
      </c>
      <c r="R423" s="1" t="s">
        <v>137</v>
      </c>
      <c r="S423" s="1" t="s">
        <v>137</v>
      </c>
      <c r="T423" s="1" t="s">
        <v>47</v>
      </c>
      <c r="U423" s="1" t="s">
        <v>3409</v>
      </c>
    </row>
    <row r="424">
      <c r="A424" s="1" t="s">
        <v>3410</v>
      </c>
      <c r="B424" s="1" t="s">
        <v>354</v>
      </c>
      <c r="C424" s="1" t="s">
        <v>3411</v>
      </c>
      <c r="D424" s="1" t="s">
        <v>273</v>
      </c>
      <c r="E424" s="1" t="s">
        <v>330</v>
      </c>
      <c r="F424" s="1" t="s">
        <v>356</v>
      </c>
      <c r="G424" s="1" t="s">
        <v>359</v>
      </c>
      <c r="H424" s="3">
        <v>45804.0</v>
      </c>
      <c r="I424" s="3">
        <v>46112.0</v>
      </c>
      <c r="J424" s="3">
        <v>46112.0</v>
      </c>
      <c r="K424" s="1" t="s">
        <v>215</v>
      </c>
      <c r="L424" s="1" t="s">
        <v>251</v>
      </c>
      <c r="M424" s="1" t="s">
        <v>216</v>
      </c>
      <c r="N424" s="1" t="s">
        <v>131</v>
      </c>
      <c r="O424" s="3">
        <v>46148.0</v>
      </c>
      <c r="R424" s="1" t="s">
        <v>137</v>
      </c>
      <c r="S424" s="1" t="s">
        <v>137</v>
      </c>
      <c r="T424" s="1" t="s">
        <v>47</v>
      </c>
      <c r="U424" s="1" t="s">
        <v>3412</v>
      </c>
    </row>
    <row r="425">
      <c r="A425" s="1" t="s">
        <v>3413</v>
      </c>
      <c r="B425" s="1" t="s">
        <v>3246</v>
      </c>
      <c r="C425" s="1" t="s">
        <v>3414</v>
      </c>
      <c r="D425" s="1" t="s">
        <v>291</v>
      </c>
      <c r="E425" s="1" t="s">
        <v>175</v>
      </c>
      <c r="F425" s="1" t="s">
        <v>177</v>
      </c>
      <c r="G425" s="1" t="s">
        <v>672</v>
      </c>
      <c r="H425" s="3">
        <v>46209.0</v>
      </c>
      <c r="I425" s="3">
        <v>46349.0</v>
      </c>
      <c r="K425" s="1" t="s">
        <v>124</v>
      </c>
      <c r="L425" s="1" t="s">
        <v>160</v>
      </c>
      <c r="M425" s="1" t="s">
        <v>162</v>
      </c>
      <c r="N425" s="1" t="s">
        <v>131</v>
      </c>
      <c r="P425" s="1" t="s">
        <v>726</v>
      </c>
      <c r="R425" s="1" t="s">
        <v>137</v>
      </c>
      <c r="S425" s="1" t="s">
        <v>137</v>
      </c>
      <c r="T425" s="1" t="s">
        <v>47</v>
      </c>
      <c r="U425" s="1" t="s">
        <v>3416</v>
      </c>
    </row>
    <row r="426">
      <c r="A426" s="1" t="s">
        <v>3417</v>
      </c>
      <c r="B426" s="1" t="s">
        <v>3418</v>
      </c>
      <c r="C426" s="1" t="s">
        <v>3414</v>
      </c>
      <c r="D426" s="1" t="s">
        <v>291</v>
      </c>
      <c r="E426" s="1" t="s">
        <v>175</v>
      </c>
      <c r="F426" s="1" t="s">
        <v>177</v>
      </c>
      <c r="G426" s="1" t="s">
        <v>672</v>
      </c>
      <c r="H426" s="3">
        <v>45909.0</v>
      </c>
      <c r="I426" s="3">
        <v>46077.0</v>
      </c>
      <c r="J426" s="3">
        <v>46077.0</v>
      </c>
      <c r="K426" s="1" t="s">
        <v>215</v>
      </c>
      <c r="L426" s="1" t="s">
        <v>251</v>
      </c>
      <c r="M426" s="1" t="s">
        <v>253</v>
      </c>
      <c r="N426" s="1" t="s">
        <v>131</v>
      </c>
      <c r="O426" s="3">
        <v>46077.0</v>
      </c>
      <c r="R426" s="1" t="s">
        <v>137</v>
      </c>
      <c r="S426" s="1" t="s">
        <v>137</v>
      </c>
      <c r="T426" s="1" t="s">
        <v>47</v>
      </c>
      <c r="U426" s="1" t="s">
        <v>3419</v>
      </c>
    </row>
    <row r="427">
      <c r="A427" s="1" t="s">
        <v>2753</v>
      </c>
      <c r="B427" s="1" t="s">
        <v>191</v>
      </c>
      <c r="C427" s="1" t="s">
        <v>3414</v>
      </c>
      <c r="D427" s="1" t="s">
        <v>291</v>
      </c>
      <c r="E427" s="1" t="s">
        <v>175</v>
      </c>
      <c r="F427" s="1" t="s">
        <v>177</v>
      </c>
      <c r="G427" s="1" t="s">
        <v>672</v>
      </c>
      <c r="H427" s="3">
        <v>46286.0</v>
      </c>
      <c r="K427" s="1" t="s">
        <v>124</v>
      </c>
      <c r="L427" s="1" t="s">
        <v>160</v>
      </c>
      <c r="M427" s="1" t="s">
        <v>129</v>
      </c>
      <c r="N427" s="1" t="s">
        <v>131</v>
      </c>
      <c r="P427" s="1" t="s">
        <v>1221</v>
      </c>
      <c r="R427" s="1" t="s">
        <v>137</v>
      </c>
      <c r="S427" s="1" t="s">
        <v>137</v>
      </c>
      <c r="T427" s="1" t="s">
        <v>47</v>
      </c>
    </row>
    <row r="428">
      <c r="A428" s="1" t="s">
        <v>3426</v>
      </c>
      <c r="B428" s="1" t="s">
        <v>3274</v>
      </c>
      <c r="C428" s="1" t="s">
        <v>3428</v>
      </c>
      <c r="D428" s="1" t="s">
        <v>754</v>
      </c>
      <c r="E428" s="1" t="s">
        <v>175</v>
      </c>
      <c r="F428" s="1" t="s">
        <v>245</v>
      </c>
      <c r="G428" s="1" t="s">
        <v>3430</v>
      </c>
      <c r="H428" s="3">
        <v>45994.0</v>
      </c>
      <c r="I428" s="3">
        <v>46184.0</v>
      </c>
      <c r="J428" s="3">
        <v>46184.0</v>
      </c>
      <c r="K428" s="1" t="s">
        <v>215</v>
      </c>
      <c r="L428" s="1" t="s">
        <v>71</v>
      </c>
      <c r="M428" s="1" t="s">
        <v>216</v>
      </c>
      <c r="N428" s="1" t="s">
        <v>131</v>
      </c>
      <c r="O428" s="3">
        <v>46184.0</v>
      </c>
      <c r="R428" s="1" t="s">
        <v>2694</v>
      </c>
      <c r="S428" s="1" t="s">
        <v>2694</v>
      </c>
      <c r="T428" s="1" t="s">
        <v>2697</v>
      </c>
      <c r="U428" s="1" t="s">
        <v>3432</v>
      </c>
    </row>
    <row r="429">
      <c r="A429" s="1" t="s">
        <v>3433</v>
      </c>
      <c r="B429" s="1" t="s">
        <v>3435</v>
      </c>
      <c r="C429" s="1" t="s">
        <v>3436</v>
      </c>
      <c r="D429" s="1" t="s">
        <v>919</v>
      </c>
      <c r="E429" s="1" t="s">
        <v>119</v>
      </c>
      <c r="F429" s="1" t="s">
        <v>120</v>
      </c>
      <c r="G429" s="1" t="s">
        <v>120</v>
      </c>
      <c r="K429" s="1" t="s">
        <v>124</v>
      </c>
      <c r="L429" s="1" t="s">
        <v>3438</v>
      </c>
      <c r="M429" s="1" t="s">
        <v>162</v>
      </c>
      <c r="N429" s="1" t="s">
        <v>131</v>
      </c>
      <c r="P429" s="1" t="s">
        <v>3443</v>
      </c>
      <c r="R429" s="1" t="s">
        <v>137</v>
      </c>
      <c r="S429" s="1" t="s">
        <v>137</v>
      </c>
      <c r="T429" s="1" t="s">
        <v>47</v>
      </c>
    </row>
    <row r="430">
      <c r="A430" s="1" t="s">
        <v>453</v>
      </c>
      <c r="B430" s="1" t="s">
        <v>354</v>
      </c>
      <c r="C430" s="1" t="s">
        <v>3447</v>
      </c>
      <c r="D430" s="1" t="s">
        <v>273</v>
      </c>
      <c r="E430" s="1" t="s">
        <v>330</v>
      </c>
      <c r="F430" s="1" t="s">
        <v>356</v>
      </c>
      <c r="G430" s="1" t="s">
        <v>359</v>
      </c>
      <c r="H430" s="3">
        <v>45929.0</v>
      </c>
      <c r="I430" s="3">
        <v>46237.0</v>
      </c>
      <c r="K430" s="1" t="s">
        <v>124</v>
      </c>
      <c r="L430" s="1" t="s">
        <v>251</v>
      </c>
      <c r="M430" s="1" t="s">
        <v>300</v>
      </c>
      <c r="N430" s="1" t="s">
        <v>131</v>
      </c>
      <c r="P430" s="1" t="s">
        <v>474</v>
      </c>
      <c r="R430" s="1" t="s">
        <v>137</v>
      </c>
      <c r="S430" s="1" t="s">
        <v>137</v>
      </c>
      <c r="T430" s="1" t="s">
        <v>47</v>
      </c>
      <c r="U430" s="1" t="s">
        <v>3448</v>
      </c>
    </row>
    <row r="431">
      <c r="A431" s="1" t="s">
        <v>3449</v>
      </c>
      <c r="B431" s="1" t="s">
        <v>191</v>
      </c>
      <c r="C431" s="1" t="s">
        <v>3450</v>
      </c>
      <c r="D431" s="1" t="s">
        <v>509</v>
      </c>
      <c r="E431" s="1" t="s">
        <v>454</v>
      </c>
      <c r="F431" s="1" t="s">
        <v>455</v>
      </c>
      <c r="G431" s="1" t="s">
        <v>510</v>
      </c>
      <c r="H431" s="3">
        <v>45908.0</v>
      </c>
      <c r="I431" s="3">
        <v>46006.0</v>
      </c>
      <c r="J431" s="3">
        <v>46006.0</v>
      </c>
      <c r="K431" s="1" t="s">
        <v>215</v>
      </c>
      <c r="L431" s="1" t="s">
        <v>251</v>
      </c>
      <c r="M431" s="1" t="s">
        <v>216</v>
      </c>
      <c r="N431" s="1" t="s">
        <v>131</v>
      </c>
      <c r="O431" s="3">
        <v>46006.0</v>
      </c>
      <c r="R431" s="1" t="s">
        <v>137</v>
      </c>
      <c r="S431" s="1" t="s">
        <v>137</v>
      </c>
      <c r="T431" s="1" t="s">
        <v>47</v>
      </c>
      <c r="U431" s="1" t="s">
        <v>3453</v>
      </c>
    </row>
    <row r="432">
      <c r="A432" s="1" t="s">
        <v>1959</v>
      </c>
      <c r="B432" s="1" t="s">
        <v>191</v>
      </c>
      <c r="C432" s="1" t="s">
        <v>3454</v>
      </c>
      <c r="D432" s="1" t="s">
        <v>3408</v>
      </c>
      <c r="E432" s="1" t="s">
        <v>691</v>
      </c>
      <c r="F432" s="1" t="s">
        <v>692</v>
      </c>
      <c r="G432" s="1" t="s">
        <v>693</v>
      </c>
      <c r="H432" s="3">
        <v>46113.0</v>
      </c>
      <c r="I432" s="3">
        <v>46224.0</v>
      </c>
      <c r="J432" s="3">
        <v>46224.0</v>
      </c>
      <c r="K432" s="1" t="s">
        <v>124</v>
      </c>
      <c r="L432" s="1" t="s">
        <v>98</v>
      </c>
      <c r="M432" s="1" t="s">
        <v>253</v>
      </c>
      <c r="N432" s="1" t="s">
        <v>131</v>
      </c>
      <c r="P432" s="1" t="s">
        <v>640</v>
      </c>
      <c r="R432" s="1" t="s">
        <v>137</v>
      </c>
      <c r="S432" s="1" t="s">
        <v>137</v>
      </c>
      <c r="T432" s="1" t="s">
        <v>47</v>
      </c>
      <c r="U432" s="1" t="s">
        <v>3456</v>
      </c>
    </row>
    <row r="433">
      <c r="A433" s="1" t="s">
        <v>2646</v>
      </c>
      <c r="B433" s="1" t="s">
        <v>191</v>
      </c>
      <c r="C433" s="1" t="s">
        <v>3457</v>
      </c>
      <c r="D433" s="1" t="s">
        <v>313</v>
      </c>
      <c r="E433" s="1" t="s">
        <v>292</v>
      </c>
      <c r="F433" s="1" t="s">
        <v>293</v>
      </c>
      <c r="G433" s="1" t="s">
        <v>295</v>
      </c>
      <c r="H433" s="3">
        <v>46195.0</v>
      </c>
      <c r="I433" s="3">
        <v>46335.0</v>
      </c>
      <c r="K433" s="1" t="s">
        <v>124</v>
      </c>
      <c r="L433" s="1" t="s">
        <v>251</v>
      </c>
      <c r="M433" s="1" t="s">
        <v>300</v>
      </c>
      <c r="N433" s="1" t="s">
        <v>131</v>
      </c>
      <c r="P433" s="1" t="s">
        <v>1005</v>
      </c>
      <c r="R433" s="1" t="s">
        <v>137</v>
      </c>
      <c r="S433" s="1" t="s">
        <v>137</v>
      </c>
      <c r="T433" s="1" t="s">
        <v>47</v>
      </c>
      <c r="U433" s="1" t="s">
        <v>3461</v>
      </c>
    </row>
    <row r="434">
      <c r="A434" s="1" t="s">
        <v>92</v>
      </c>
      <c r="B434" s="1" t="s">
        <v>191</v>
      </c>
      <c r="C434" s="1" t="s">
        <v>3463</v>
      </c>
      <c r="D434" s="1" t="s">
        <v>417</v>
      </c>
      <c r="E434" s="1" t="s">
        <v>691</v>
      </c>
      <c r="F434" s="1" t="s">
        <v>2998</v>
      </c>
      <c r="G434" s="1" t="s">
        <v>3465</v>
      </c>
      <c r="H434" s="3">
        <v>45726.0</v>
      </c>
      <c r="I434" s="3">
        <v>46376.0</v>
      </c>
      <c r="K434" s="1" t="s">
        <v>124</v>
      </c>
      <c r="L434" s="1" t="s">
        <v>251</v>
      </c>
      <c r="M434" s="1" t="s">
        <v>460</v>
      </c>
      <c r="N434" s="1" t="s">
        <v>131</v>
      </c>
      <c r="P434" s="1" t="s">
        <v>852</v>
      </c>
      <c r="R434" s="1" t="s">
        <v>137</v>
      </c>
      <c r="S434" s="1" t="s">
        <v>137</v>
      </c>
      <c r="T434" s="1" t="s">
        <v>47</v>
      </c>
      <c r="U434" s="1" t="s">
        <v>3467</v>
      </c>
    </row>
    <row r="435">
      <c r="A435" s="1" t="s">
        <v>2438</v>
      </c>
      <c r="B435" s="1" t="s">
        <v>3468</v>
      </c>
      <c r="C435" s="1" t="s">
        <v>3469</v>
      </c>
      <c r="D435" s="1" t="s">
        <v>1823</v>
      </c>
      <c r="E435" s="1" t="s">
        <v>175</v>
      </c>
      <c r="F435" s="1" t="s">
        <v>763</v>
      </c>
      <c r="G435" s="1" t="s">
        <v>1351</v>
      </c>
      <c r="H435" s="3">
        <v>46195.0</v>
      </c>
      <c r="I435" s="3">
        <v>46286.0</v>
      </c>
      <c r="K435" s="1" t="s">
        <v>124</v>
      </c>
      <c r="L435" s="1" t="s">
        <v>3079</v>
      </c>
      <c r="M435" s="1" t="s">
        <v>363</v>
      </c>
      <c r="N435" s="1" t="s">
        <v>131</v>
      </c>
      <c r="R435" s="1" t="s">
        <v>3472</v>
      </c>
      <c r="S435" s="1" t="s">
        <v>3472</v>
      </c>
      <c r="T435" s="1" t="s">
        <v>3473</v>
      </c>
      <c r="U435" s="1" t="s">
        <v>3474</v>
      </c>
    </row>
    <row r="436">
      <c r="A436" s="1" t="s">
        <v>3475</v>
      </c>
      <c r="B436" s="1" t="s">
        <v>116</v>
      </c>
      <c r="C436" s="1" t="s">
        <v>3476</v>
      </c>
      <c r="D436" s="1" t="s">
        <v>172</v>
      </c>
      <c r="E436" s="1" t="s">
        <v>175</v>
      </c>
      <c r="F436" s="1" t="s">
        <v>177</v>
      </c>
      <c r="G436" s="1" t="s">
        <v>483</v>
      </c>
      <c r="H436" s="3">
        <v>46129.0</v>
      </c>
      <c r="K436" s="1" t="s">
        <v>124</v>
      </c>
      <c r="L436" s="1" t="s">
        <v>71</v>
      </c>
      <c r="M436" s="1" t="s">
        <v>162</v>
      </c>
      <c r="N436" s="1" t="s">
        <v>131</v>
      </c>
      <c r="P436" s="1" t="s">
        <v>3478</v>
      </c>
      <c r="R436" s="1" t="s">
        <v>137</v>
      </c>
      <c r="S436" s="1" t="s">
        <v>137</v>
      </c>
      <c r="T436" s="1" t="s">
        <v>47</v>
      </c>
    </row>
    <row r="437">
      <c r="A437" s="1" t="s">
        <v>3479</v>
      </c>
      <c r="B437" s="1" t="s">
        <v>116</v>
      </c>
      <c r="C437" s="1" t="s">
        <v>3476</v>
      </c>
      <c r="D437" s="1" t="s">
        <v>172</v>
      </c>
      <c r="E437" s="1" t="s">
        <v>175</v>
      </c>
      <c r="F437" s="1" t="s">
        <v>177</v>
      </c>
      <c r="G437" s="1" t="s">
        <v>483</v>
      </c>
      <c r="H437" s="3">
        <v>46230.0</v>
      </c>
      <c r="K437" s="1" t="s">
        <v>124</v>
      </c>
      <c r="L437" s="1" t="s">
        <v>160</v>
      </c>
      <c r="M437" s="1" t="s">
        <v>162</v>
      </c>
      <c r="N437" s="1" t="s">
        <v>131</v>
      </c>
      <c r="P437" s="1" t="s">
        <v>3478</v>
      </c>
      <c r="R437" s="1" t="s">
        <v>137</v>
      </c>
      <c r="S437" s="1" t="s">
        <v>137</v>
      </c>
      <c r="T437" s="1" t="s">
        <v>47</v>
      </c>
    </row>
    <row r="438">
      <c r="A438" s="1" t="s">
        <v>3481</v>
      </c>
      <c r="B438" s="1" t="s">
        <v>557</v>
      </c>
      <c r="C438" s="1" t="s">
        <v>3482</v>
      </c>
      <c r="D438" s="1" t="s">
        <v>273</v>
      </c>
      <c r="E438" s="1" t="s">
        <v>330</v>
      </c>
      <c r="F438" s="1" t="s">
        <v>331</v>
      </c>
      <c r="G438" s="1" t="s">
        <v>333</v>
      </c>
      <c r="H438" s="3">
        <v>45870.0</v>
      </c>
      <c r="I438" s="3">
        <v>46074.0</v>
      </c>
      <c r="J438" s="3">
        <v>46074.0</v>
      </c>
      <c r="K438" s="1" t="s">
        <v>215</v>
      </c>
      <c r="L438" s="1" t="s">
        <v>251</v>
      </c>
      <c r="M438" s="1" t="s">
        <v>216</v>
      </c>
      <c r="N438" s="1" t="s">
        <v>131</v>
      </c>
      <c r="O438" s="3">
        <v>46054.0</v>
      </c>
      <c r="P438" s="1" t="s">
        <v>552</v>
      </c>
      <c r="R438" s="1" t="s">
        <v>137</v>
      </c>
      <c r="S438" s="1" t="s">
        <v>137</v>
      </c>
      <c r="T438" s="1" t="s">
        <v>47</v>
      </c>
      <c r="U438" s="1" t="s">
        <v>3484</v>
      </c>
    </row>
    <row r="439">
      <c r="A439" s="1" t="s">
        <v>3485</v>
      </c>
      <c r="B439" s="1" t="s">
        <v>632</v>
      </c>
      <c r="C439" s="1" t="s">
        <v>3487</v>
      </c>
      <c r="D439" s="1" t="s">
        <v>313</v>
      </c>
      <c r="E439" s="1" t="s">
        <v>175</v>
      </c>
      <c r="F439" s="1" t="s">
        <v>1767</v>
      </c>
      <c r="G439" s="1" t="s">
        <v>1768</v>
      </c>
      <c r="H439" s="3">
        <v>46027.0</v>
      </c>
      <c r="I439" s="3">
        <v>46118.0</v>
      </c>
      <c r="J439" s="3">
        <v>46118.0</v>
      </c>
      <c r="K439" s="1" t="s">
        <v>215</v>
      </c>
      <c r="L439" s="1" t="s">
        <v>71</v>
      </c>
      <c r="M439" s="1" t="s">
        <v>216</v>
      </c>
      <c r="N439" s="1" t="s">
        <v>131</v>
      </c>
      <c r="O439" s="3">
        <v>46129.0</v>
      </c>
      <c r="R439" s="1" t="s">
        <v>137</v>
      </c>
      <c r="S439" s="1" t="s">
        <v>137</v>
      </c>
      <c r="T439" s="1" t="s">
        <v>47</v>
      </c>
      <c r="U439" s="1" t="s">
        <v>3489</v>
      </c>
    </row>
    <row r="440">
      <c r="A440" s="1" t="s">
        <v>2579</v>
      </c>
      <c r="B440" s="1" t="s">
        <v>3490</v>
      </c>
      <c r="C440" s="1" t="s">
        <v>3491</v>
      </c>
      <c r="D440" s="1" t="s">
        <v>1272</v>
      </c>
      <c r="E440" s="1" t="s">
        <v>520</v>
      </c>
      <c r="F440" s="1" t="s">
        <v>1671</v>
      </c>
      <c r="G440" s="1" t="s">
        <v>3492</v>
      </c>
      <c r="H440" s="3">
        <v>46162.0</v>
      </c>
      <c r="I440" s="3">
        <v>46631.0</v>
      </c>
      <c r="K440" s="1" t="s">
        <v>124</v>
      </c>
      <c r="L440" s="1" t="s">
        <v>98</v>
      </c>
      <c r="M440" s="1" t="s">
        <v>162</v>
      </c>
      <c r="N440" s="1" t="s">
        <v>131</v>
      </c>
      <c r="R440" s="1" t="s">
        <v>3493</v>
      </c>
      <c r="S440" s="1" t="s">
        <v>3493</v>
      </c>
      <c r="T440" s="1" t="s">
        <v>227</v>
      </c>
      <c r="U440" s="1" t="s">
        <v>3494</v>
      </c>
    </row>
    <row r="441">
      <c r="A441" s="1" t="s">
        <v>1986</v>
      </c>
      <c r="B441" s="1" t="s">
        <v>3495</v>
      </c>
      <c r="C441" s="1" t="s">
        <v>3496</v>
      </c>
      <c r="D441" s="1" t="s">
        <v>1242</v>
      </c>
      <c r="E441" s="1" t="s">
        <v>3379</v>
      </c>
      <c r="F441" s="1" t="s">
        <v>3380</v>
      </c>
      <c r="G441" s="1" t="s">
        <v>3380</v>
      </c>
      <c r="H441" s="3">
        <v>46078.0</v>
      </c>
      <c r="K441" s="1" t="s">
        <v>124</v>
      </c>
      <c r="L441" s="1" t="s">
        <v>251</v>
      </c>
      <c r="M441" s="1" t="s">
        <v>460</v>
      </c>
      <c r="N441" s="1" t="s">
        <v>131</v>
      </c>
      <c r="P441" s="1" t="s">
        <v>1453</v>
      </c>
      <c r="R441" s="1" t="s">
        <v>137</v>
      </c>
      <c r="S441" s="1" t="s">
        <v>137</v>
      </c>
      <c r="T441" s="1" t="s">
        <v>47</v>
      </c>
      <c r="U441" s="1" t="s">
        <v>3500</v>
      </c>
    </row>
    <row r="442">
      <c r="A442" s="1" t="s">
        <v>3502</v>
      </c>
      <c r="B442" s="1" t="s">
        <v>191</v>
      </c>
      <c r="C442" s="1" t="s">
        <v>3496</v>
      </c>
      <c r="D442" s="1" t="s">
        <v>1242</v>
      </c>
      <c r="E442" s="1" t="s">
        <v>3379</v>
      </c>
      <c r="F442" s="1" t="s">
        <v>3380</v>
      </c>
      <c r="G442" s="1" t="s">
        <v>3380</v>
      </c>
      <c r="H442" s="3">
        <v>46083.0</v>
      </c>
      <c r="I442" s="3">
        <v>46223.0</v>
      </c>
      <c r="J442" s="3">
        <v>46223.0</v>
      </c>
      <c r="K442" s="1" t="s">
        <v>215</v>
      </c>
      <c r="L442" s="1" t="s">
        <v>98</v>
      </c>
      <c r="M442" s="1" t="s">
        <v>253</v>
      </c>
      <c r="N442" s="1" t="s">
        <v>131</v>
      </c>
      <c r="O442" s="3">
        <v>46223.0</v>
      </c>
      <c r="P442" s="1" t="s">
        <v>748</v>
      </c>
      <c r="R442" s="1" t="s">
        <v>137</v>
      </c>
      <c r="S442" s="1" t="s">
        <v>137</v>
      </c>
      <c r="T442" s="1" t="s">
        <v>47</v>
      </c>
      <c r="U442" s="1" t="s">
        <v>3506</v>
      </c>
    </row>
    <row r="443">
      <c r="A443" s="1" t="s">
        <v>3507</v>
      </c>
      <c r="B443" s="1" t="s">
        <v>3508</v>
      </c>
      <c r="C443" s="1" t="s">
        <v>3509</v>
      </c>
      <c r="D443" s="1" t="s">
        <v>273</v>
      </c>
      <c r="E443" s="1" t="s">
        <v>330</v>
      </c>
      <c r="F443" s="1" t="s">
        <v>356</v>
      </c>
      <c r="G443" s="1" t="s">
        <v>875</v>
      </c>
      <c r="H443" s="3">
        <v>45986.0</v>
      </c>
      <c r="K443" s="1" t="s">
        <v>124</v>
      </c>
      <c r="L443" s="1" t="s">
        <v>251</v>
      </c>
      <c r="M443" s="1" t="s">
        <v>162</v>
      </c>
      <c r="N443" s="1" t="s">
        <v>131</v>
      </c>
      <c r="R443" s="1" t="s">
        <v>137</v>
      </c>
      <c r="S443" s="1" t="s">
        <v>137</v>
      </c>
      <c r="T443" s="1" t="s">
        <v>47</v>
      </c>
    </row>
    <row r="444">
      <c r="A444" s="1" t="s">
        <v>2967</v>
      </c>
      <c r="B444" s="1" t="s">
        <v>3246</v>
      </c>
      <c r="C444" s="1" t="s">
        <v>3512</v>
      </c>
      <c r="D444" s="1" t="s">
        <v>172</v>
      </c>
      <c r="E444" s="1" t="s">
        <v>175</v>
      </c>
      <c r="F444" s="1" t="s">
        <v>177</v>
      </c>
      <c r="G444" s="1" t="s">
        <v>178</v>
      </c>
      <c r="H444" s="3">
        <v>46230.0</v>
      </c>
      <c r="I444" s="3">
        <v>46370.0</v>
      </c>
      <c r="K444" s="1" t="s">
        <v>124</v>
      </c>
      <c r="L444" s="1" t="s">
        <v>160</v>
      </c>
      <c r="M444" s="1" t="s">
        <v>162</v>
      </c>
      <c r="N444" s="1" t="s">
        <v>131</v>
      </c>
      <c r="P444" s="1" t="s">
        <v>726</v>
      </c>
      <c r="R444" s="1" t="s">
        <v>137</v>
      </c>
      <c r="S444" s="1" t="s">
        <v>137</v>
      </c>
      <c r="T444" s="1" t="s">
        <v>47</v>
      </c>
      <c r="U444" s="1" t="s">
        <v>3515</v>
      </c>
    </row>
    <row r="445">
      <c r="A445" s="1" t="s">
        <v>2766</v>
      </c>
      <c r="B445" s="1" t="s">
        <v>191</v>
      </c>
      <c r="C445" s="1" t="s">
        <v>3512</v>
      </c>
      <c r="D445" s="1" t="s">
        <v>172</v>
      </c>
      <c r="E445" s="1" t="s">
        <v>175</v>
      </c>
      <c r="F445" s="1" t="s">
        <v>177</v>
      </c>
      <c r="G445" s="1" t="s">
        <v>178</v>
      </c>
      <c r="H445" s="3">
        <v>46223.0</v>
      </c>
      <c r="I445" s="3">
        <v>46307.0</v>
      </c>
      <c r="K445" s="1" t="s">
        <v>124</v>
      </c>
      <c r="L445" s="1" t="s">
        <v>160</v>
      </c>
      <c r="M445" s="1" t="s">
        <v>162</v>
      </c>
      <c r="N445" s="1" t="s">
        <v>131</v>
      </c>
      <c r="P445" s="1" t="s">
        <v>2379</v>
      </c>
      <c r="R445" s="1" t="s">
        <v>137</v>
      </c>
      <c r="S445" s="1" t="s">
        <v>137</v>
      </c>
      <c r="T445" s="1" t="s">
        <v>47</v>
      </c>
      <c r="U445" s="1" t="s">
        <v>3520</v>
      </c>
    </row>
    <row r="446">
      <c r="A446" s="1" t="s">
        <v>3521</v>
      </c>
      <c r="B446" s="1" t="s">
        <v>354</v>
      </c>
      <c r="C446" s="1" t="s">
        <v>3522</v>
      </c>
      <c r="D446" s="1" t="s">
        <v>509</v>
      </c>
      <c r="E446" s="1" t="s">
        <v>454</v>
      </c>
      <c r="F446" s="1" t="s">
        <v>637</v>
      </c>
      <c r="G446" s="1" t="s">
        <v>2554</v>
      </c>
      <c r="H446" s="3">
        <v>46078.0</v>
      </c>
      <c r="I446" s="3">
        <v>46247.0</v>
      </c>
      <c r="J446" s="3">
        <v>46247.0</v>
      </c>
      <c r="K446" s="1" t="s">
        <v>215</v>
      </c>
      <c r="L446" s="1" t="s">
        <v>251</v>
      </c>
      <c r="M446" s="1" t="s">
        <v>216</v>
      </c>
      <c r="N446" s="1" t="s">
        <v>131</v>
      </c>
      <c r="O446" s="3">
        <v>46212.0</v>
      </c>
      <c r="R446" s="1" t="s">
        <v>256</v>
      </c>
      <c r="S446" s="1" t="s">
        <v>256</v>
      </c>
      <c r="T446" s="1" t="s">
        <v>266</v>
      </c>
      <c r="U446" s="1" t="s">
        <v>3527</v>
      </c>
    </row>
    <row r="447">
      <c r="A447" s="1" t="s">
        <v>1924</v>
      </c>
      <c r="B447" s="1" t="s">
        <v>191</v>
      </c>
      <c r="C447" s="1" t="s">
        <v>3529</v>
      </c>
      <c r="D447" s="1" t="s">
        <v>172</v>
      </c>
      <c r="E447" s="1" t="s">
        <v>292</v>
      </c>
      <c r="F447" s="1" t="s">
        <v>468</v>
      </c>
      <c r="G447" s="1" t="s">
        <v>1758</v>
      </c>
      <c r="H447" s="3">
        <v>46132.0</v>
      </c>
      <c r="I447" s="3">
        <v>46225.0</v>
      </c>
      <c r="J447" s="3">
        <v>46225.0</v>
      </c>
      <c r="K447" s="1" t="s">
        <v>124</v>
      </c>
      <c r="L447" s="1" t="s">
        <v>98</v>
      </c>
      <c r="M447" s="1" t="s">
        <v>253</v>
      </c>
      <c r="N447" s="1" t="s">
        <v>131</v>
      </c>
      <c r="P447" s="1" t="s">
        <v>989</v>
      </c>
      <c r="R447" s="1" t="s">
        <v>137</v>
      </c>
      <c r="S447" s="1" t="s">
        <v>137</v>
      </c>
      <c r="T447" s="1" t="s">
        <v>47</v>
      </c>
      <c r="U447" s="1" t="s">
        <v>3531</v>
      </c>
    </row>
    <row r="448">
      <c r="A448" s="1" t="s">
        <v>2011</v>
      </c>
      <c r="B448" s="1" t="s">
        <v>1567</v>
      </c>
      <c r="C448" s="1" t="s">
        <v>3533</v>
      </c>
      <c r="D448" s="1" t="s">
        <v>417</v>
      </c>
      <c r="E448" s="1" t="s">
        <v>438</v>
      </c>
      <c r="F448" s="1" t="s">
        <v>440</v>
      </c>
      <c r="G448" s="1" t="s">
        <v>441</v>
      </c>
      <c r="H448" s="3">
        <v>46084.0</v>
      </c>
      <c r="I448" s="3">
        <v>46370.0</v>
      </c>
      <c r="K448" s="1" t="s">
        <v>124</v>
      </c>
      <c r="L448" s="1" t="s">
        <v>160</v>
      </c>
      <c r="M448" s="1" t="s">
        <v>363</v>
      </c>
      <c r="N448" s="1" t="s">
        <v>131</v>
      </c>
      <c r="P448" s="1" t="s">
        <v>3535</v>
      </c>
      <c r="R448" s="1" t="s">
        <v>137</v>
      </c>
      <c r="S448" s="1" t="s">
        <v>137</v>
      </c>
      <c r="T448" s="1" t="s">
        <v>47</v>
      </c>
      <c r="U448" s="1" t="s">
        <v>3537</v>
      </c>
    </row>
    <row r="449">
      <c r="A449" s="1" t="s">
        <v>2758</v>
      </c>
      <c r="B449" s="1" t="s">
        <v>191</v>
      </c>
      <c r="C449" s="1" t="s">
        <v>3533</v>
      </c>
      <c r="D449" s="1" t="s">
        <v>417</v>
      </c>
      <c r="E449" s="1" t="s">
        <v>438</v>
      </c>
      <c r="F449" s="1" t="s">
        <v>440</v>
      </c>
      <c r="G449" s="1" t="s">
        <v>441</v>
      </c>
      <c r="H449" s="3">
        <v>46279.0</v>
      </c>
      <c r="K449" s="1" t="s">
        <v>124</v>
      </c>
      <c r="L449" s="1" t="s">
        <v>160</v>
      </c>
      <c r="M449" s="1" t="s">
        <v>162</v>
      </c>
      <c r="N449" s="1" t="s">
        <v>131</v>
      </c>
      <c r="P449" s="1" t="s">
        <v>3214</v>
      </c>
      <c r="R449" s="1" t="s">
        <v>137</v>
      </c>
      <c r="S449" s="1" t="s">
        <v>137</v>
      </c>
      <c r="T449" s="1" t="s">
        <v>47</v>
      </c>
      <c r="U449" s="1" t="s">
        <v>3541</v>
      </c>
    </row>
    <row r="450">
      <c r="A450" s="1" t="s">
        <v>1729</v>
      </c>
      <c r="B450" s="1" t="s">
        <v>191</v>
      </c>
      <c r="C450" s="1" t="s">
        <v>3544</v>
      </c>
      <c r="D450" s="1" t="s">
        <v>1291</v>
      </c>
      <c r="E450" s="1" t="s">
        <v>691</v>
      </c>
      <c r="F450" s="1" t="s">
        <v>1142</v>
      </c>
      <c r="G450" s="1" t="s">
        <v>1143</v>
      </c>
      <c r="H450" s="3">
        <v>46083.0</v>
      </c>
      <c r="I450" s="3">
        <v>46258.0</v>
      </c>
      <c r="K450" s="1" t="s">
        <v>124</v>
      </c>
      <c r="L450" s="1" t="s">
        <v>98</v>
      </c>
      <c r="M450" s="1" t="s">
        <v>162</v>
      </c>
      <c r="N450" s="1" t="s">
        <v>365</v>
      </c>
      <c r="P450" s="1" t="s">
        <v>411</v>
      </c>
      <c r="R450" s="1" t="s">
        <v>137</v>
      </c>
      <c r="S450" s="1" t="s">
        <v>137</v>
      </c>
      <c r="T450" s="1" t="s">
        <v>47</v>
      </c>
      <c r="U450" s="1" t="s">
        <v>3547</v>
      </c>
    </row>
    <row r="451">
      <c r="A451" s="1" t="s">
        <v>880</v>
      </c>
      <c r="B451" s="1" t="s">
        <v>191</v>
      </c>
      <c r="C451" s="1" t="s">
        <v>3548</v>
      </c>
      <c r="D451" s="1" t="s">
        <v>1291</v>
      </c>
      <c r="E451" s="1" t="s">
        <v>292</v>
      </c>
      <c r="F451" s="1" t="s">
        <v>494</v>
      </c>
      <c r="G451" s="1" t="s">
        <v>1784</v>
      </c>
      <c r="H451" s="3">
        <v>46239.0</v>
      </c>
      <c r="I451" s="3">
        <v>46321.0</v>
      </c>
      <c r="K451" s="1" t="s">
        <v>124</v>
      </c>
      <c r="L451" s="1" t="s">
        <v>251</v>
      </c>
      <c r="M451" s="1" t="s">
        <v>162</v>
      </c>
      <c r="N451" s="1" t="s">
        <v>131</v>
      </c>
      <c r="P451" s="1" t="s">
        <v>2703</v>
      </c>
      <c r="R451" s="1" t="s">
        <v>137</v>
      </c>
      <c r="S451" s="1" t="s">
        <v>137</v>
      </c>
      <c r="T451" s="1" t="s">
        <v>47</v>
      </c>
      <c r="U451" s="1" t="s">
        <v>3553</v>
      </c>
    </row>
    <row r="452">
      <c r="A452" s="1" t="s">
        <v>3555</v>
      </c>
      <c r="B452" s="1" t="s">
        <v>116</v>
      </c>
      <c r="C452" s="1" t="s">
        <v>3548</v>
      </c>
      <c r="D452" s="1" t="s">
        <v>1291</v>
      </c>
      <c r="E452" s="1" t="s">
        <v>292</v>
      </c>
      <c r="F452" s="1" t="s">
        <v>494</v>
      </c>
      <c r="G452" s="1" t="s">
        <v>1784</v>
      </c>
      <c r="H452" s="3">
        <v>46129.0</v>
      </c>
      <c r="K452" s="1" t="s">
        <v>124</v>
      </c>
      <c r="L452" s="1" t="s">
        <v>71</v>
      </c>
      <c r="M452" s="1" t="s">
        <v>162</v>
      </c>
      <c r="N452" s="1" t="s">
        <v>131</v>
      </c>
      <c r="P452" s="1" t="s">
        <v>3561</v>
      </c>
      <c r="R452" s="1" t="s">
        <v>137</v>
      </c>
      <c r="S452" s="1" t="s">
        <v>137</v>
      </c>
      <c r="T452" s="1" t="s">
        <v>47</v>
      </c>
    </row>
    <row r="453">
      <c r="A453" s="1" t="s">
        <v>3562</v>
      </c>
      <c r="B453" s="1" t="s">
        <v>270</v>
      </c>
      <c r="C453" s="1" t="s">
        <v>3563</v>
      </c>
      <c r="D453" s="1" t="s">
        <v>509</v>
      </c>
      <c r="E453" s="1" t="s">
        <v>454</v>
      </c>
      <c r="F453" s="1" t="s">
        <v>637</v>
      </c>
      <c r="G453" s="1" t="s">
        <v>703</v>
      </c>
      <c r="H453" s="3">
        <v>45960.0</v>
      </c>
      <c r="I453" s="3">
        <v>46142.0</v>
      </c>
      <c r="J453" s="3">
        <v>46142.0</v>
      </c>
      <c r="K453" s="1" t="s">
        <v>215</v>
      </c>
      <c r="L453" s="1" t="s">
        <v>71</v>
      </c>
      <c r="M453" s="1" t="s">
        <v>253</v>
      </c>
      <c r="N453" s="1" t="s">
        <v>131</v>
      </c>
      <c r="O453" s="3">
        <v>46202.0</v>
      </c>
      <c r="P453" s="1" t="s">
        <v>3566</v>
      </c>
      <c r="R453" s="1" t="s">
        <v>137</v>
      </c>
      <c r="S453" s="1" t="s">
        <v>137</v>
      </c>
      <c r="T453" s="1" t="s">
        <v>47</v>
      </c>
      <c r="U453" s="1" t="s">
        <v>3568</v>
      </c>
    </row>
    <row r="454">
      <c r="A454" s="1" t="s">
        <v>2334</v>
      </c>
      <c r="B454" s="1" t="s">
        <v>116</v>
      </c>
      <c r="C454" s="1" t="s">
        <v>3569</v>
      </c>
      <c r="D454" s="1" t="s">
        <v>194</v>
      </c>
      <c r="E454" s="1" t="s">
        <v>889</v>
      </c>
      <c r="F454" s="1" t="s">
        <v>2614</v>
      </c>
      <c r="G454" s="1" t="s">
        <v>2650</v>
      </c>
      <c r="H454" s="3">
        <v>46129.0</v>
      </c>
      <c r="I454" s="3">
        <v>46185.0</v>
      </c>
      <c r="J454" s="3">
        <v>46185.0</v>
      </c>
      <c r="K454" s="1" t="s">
        <v>124</v>
      </c>
      <c r="L454" s="1" t="s">
        <v>71</v>
      </c>
      <c r="M454" s="1" t="s">
        <v>162</v>
      </c>
      <c r="N454" s="1" t="s">
        <v>131</v>
      </c>
      <c r="P454" s="1" t="s">
        <v>3535</v>
      </c>
      <c r="R454" s="1" t="s">
        <v>137</v>
      </c>
      <c r="S454" s="1" t="s">
        <v>137</v>
      </c>
      <c r="T454" s="1" t="s">
        <v>47</v>
      </c>
      <c r="U454" s="1" t="s">
        <v>3572</v>
      </c>
    </row>
    <row r="455">
      <c r="A455" s="1" t="s">
        <v>3573</v>
      </c>
      <c r="B455" s="1" t="s">
        <v>3246</v>
      </c>
      <c r="C455" s="1" t="s">
        <v>3575</v>
      </c>
      <c r="D455" s="1" t="s">
        <v>118</v>
      </c>
      <c r="E455" s="1" t="s">
        <v>330</v>
      </c>
      <c r="F455" s="1" t="s">
        <v>663</v>
      </c>
      <c r="G455" s="1" t="s">
        <v>3576</v>
      </c>
      <c r="H455" s="3">
        <v>46121.0</v>
      </c>
      <c r="K455" s="1" t="s">
        <v>124</v>
      </c>
      <c r="L455" s="1" t="s">
        <v>160</v>
      </c>
      <c r="M455" s="1" t="s">
        <v>129</v>
      </c>
      <c r="N455" s="1" t="s">
        <v>131</v>
      </c>
      <c r="R455" s="1" t="s">
        <v>137</v>
      </c>
      <c r="S455" s="1" t="s">
        <v>137</v>
      </c>
      <c r="T455" s="1" t="s">
        <v>47</v>
      </c>
    </row>
    <row r="456">
      <c r="A456" s="1" t="s">
        <v>2362</v>
      </c>
      <c r="B456" s="1" t="s">
        <v>116</v>
      </c>
      <c r="C456" s="1" t="s">
        <v>3578</v>
      </c>
      <c r="D456" s="1" t="s">
        <v>273</v>
      </c>
      <c r="E456" s="1" t="s">
        <v>330</v>
      </c>
      <c r="F456" s="1" t="s">
        <v>663</v>
      </c>
      <c r="G456" s="1" t="s">
        <v>664</v>
      </c>
      <c r="H456" s="3">
        <v>46129.0</v>
      </c>
      <c r="K456" s="1" t="s">
        <v>124</v>
      </c>
      <c r="L456" s="1" t="s">
        <v>71</v>
      </c>
      <c r="M456" s="1" t="s">
        <v>162</v>
      </c>
      <c r="N456" s="1" t="s">
        <v>131</v>
      </c>
      <c r="P456" s="1" t="s">
        <v>3581</v>
      </c>
      <c r="R456" s="1" t="s">
        <v>137</v>
      </c>
      <c r="S456" s="1" t="s">
        <v>137</v>
      </c>
      <c r="T456" s="1" t="s">
        <v>47</v>
      </c>
      <c r="U456" s="1" t="s">
        <v>3582</v>
      </c>
    </row>
    <row r="457">
      <c r="A457" s="1" t="s">
        <v>2969</v>
      </c>
      <c r="B457" s="1" t="s">
        <v>632</v>
      </c>
      <c r="C457" s="1" t="s">
        <v>3584</v>
      </c>
      <c r="D457" s="1" t="s">
        <v>273</v>
      </c>
      <c r="E457" s="1" t="s">
        <v>330</v>
      </c>
      <c r="F457" s="1" t="s">
        <v>356</v>
      </c>
      <c r="G457" s="1" t="s">
        <v>429</v>
      </c>
      <c r="H457" s="3">
        <v>46241.0</v>
      </c>
      <c r="K457" s="1" t="s">
        <v>124</v>
      </c>
      <c r="L457" s="1" t="s">
        <v>3438</v>
      </c>
      <c r="M457" s="1" t="s">
        <v>162</v>
      </c>
      <c r="N457" s="1" t="s">
        <v>131</v>
      </c>
      <c r="P457" s="1" t="s">
        <v>367</v>
      </c>
      <c r="R457" s="1" t="s">
        <v>137</v>
      </c>
      <c r="S457" s="1" t="s">
        <v>137</v>
      </c>
      <c r="T457" s="1" t="s">
        <v>47</v>
      </c>
      <c r="U457" s="1" t="s">
        <v>3588</v>
      </c>
    </row>
    <row r="458">
      <c r="A458" s="1" t="s">
        <v>3590</v>
      </c>
      <c r="B458" s="1" t="s">
        <v>3246</v>
      </c>
      <c r="C458" s="1" t="s">
        <v>3591</v>
      </c>
      <c r="D458" s="1" t="s">
        <v>1477</v>
      </c>
      <c r="E458" s="1" t="s">
        <v>175</v>
      </c>
      <c r="F458" s="1" t="s">
        <v>3592</v>
      </c>
      <c r="G458" s="1" t="s">
        <v>3593</v>
      </c>
      <c r="H458" s="3">
        <v>46129.0</v>
      </c>
      <c r="K458" s="1" t="s">
        <v>124</v>
      </c>
      <c r="L458" s="1" t="s">
        <v>71</v>
      </c>
      <c r="M458" s="1" t="s">
        <v>162</v>
      </c>
      <c r="N458" s="1" t="s">
        <v>131</v>
      </c>
      <c r="P458" s="1" t="s">
        <v>485</v>
      </c>
      <c r="R458" s="1" t="s">
        <v>137</v>
      </c>
      <c r="S458" s="1" t="s">
        <v>137</v>
      </c>
      <c r="T458" s="1" t="s">
        <v>47</v>
      </c>
    </row>
    <row r="459">
      <c r="A459" s="1" t="s">
        <v>3596</v>
      </c>
      <c r="B459" s="1" t="s">
        <v>3597</v>
      </c>
      <c r="C459" s="1" t="s">
        <v>3598</v>
      </c>
      <c r="D459" s="1" t="s">
        <v>1823</v>
      </c>
      <c r="E459" s="1" t="s">
        <v>175</v>
      </c>
      <c r="F459" s="1" t="s">
        <v>569</v>
      </c>
      <c r="G459" s="1" t="s">
        <v>1842</v>
      </c>
      <c r="H459" s="3">
        <v>45876.0</v>
      </c>
      <c r="I459" s="3">
        <v>46034.0</v>
      </c>
      <c r="J459" s="3">
        <v>46034.0</v>
      </c>
      <c r="K459" s="1" t="s">
        <v>215</v>
      </c>
      <c r="L459" s="1" t="s">
        <v>71</v>
      </c>
      <c r="M459" s="1" t="s">
        <v>216</v>
      </c>
      <c r="N459" s="1" t="s">
        <v>131</v>
      </c>
      <c r="O459" s="3">
        <v>46067.0</v>
      </c>
      <c r="R459" s="1" t="s">
        <v>3601</v>
      </c>
      <c r="S459" s="1" t="s">
        <v>3601</v>
      </c>
      <c r="T459" s="1" t="s">
        <v>3602</v>
      </c>
      <c r="U459" s="1" t="s">
        <v>3603</v>
      </c>
    </row>
    <row r="460">
      <c r="A460" s="1" t="s">
        <v>3605</v>
      </c>
      <c r="B460" s="1" t="s">
        <v>354</v>
      </c>
      <c r="C460" s="1" t="s">
        <v>3598</v>
      </c>
      <c r="D460" s="1" t="s">
        <v>1823</v>
      </c>
      <c r="E460" s="1" t="s">
        <v>175</v>
      </c>
      <c r="F460" s="1" t="s">
        <v>569</v>
      </c>
      <c r="G460" s="1" t="s">
        <v>1842</v>
      </c>
      <c r="H460" s="3">
        <v>45876.0</v>
      </c>
      <c r="I460" s="3">
        <v>45982.0</v>
      </c>
      <c r="J460" s="3">
        <v>45982.0</v>
      </c>
      <c r="K460" s="1" t="s">
        <v>215</v>
      </c>
      <c r="L460" s="1" t="s">
        <v>251</v>
      </c>
      <c r="M460" s="1" t="s">
        <v>216</v>
      </c>
      <c r="N460" s="1" t="s">
        <v>131</v>
      </c>
      <c r="O460" s="3">
        <v>45982.0</v>
      </c>
      <c r="R460" s="1" t="s">
        <v>137</v>
      </c>
      <c r="S460" s="1" t="s">
        <v>137</v>
      </c>
      <c r="T460" s="1" t="s">
        <v>47</v>
      </c>
      <c r="U460" s="1" t="s">
        <v>3607</v>
      </c>
    </row>
    <row r="461">
      <c r="A461" s="1" t="s">
        <v>3608</v>
      </c>
      <c r="B461" s="1" t="s">
        <v>3298</v>
      </c>
      <c r="C461" s="1" t="s">
        <v>3609</v>
      </c>
      <c r="D461" s="1" t="s">
        <v>678</v>
      </c>
      <c r="E461" s="1" t="s">
        <v>889</v>
      </c>
      <c r="F461" s="1" t="s">
        <v>2614</v>
      </c>
      <c r="G461" s="1" t="s">
        <v>3610</v>
      </c>
      <c r="H461" s="3">
        <v>46251.0</v>
      </c>
      <c r="K461" s="1" t="s">
        <v>124</v>
      </c>
      <c r="L461" s="1" t="s">
        <v>98</v>
      </c>
      <c r="M461" s="1" t="s">
        <v>162</v>
      </c>
      <c r="N461" s="1" t="s">
        <v>131</v>
      </c>
      <c r="P461" s="1" t="s">
        <v>337</v>
      </c>
      <c r="R461" s="1" t="s">
        <v>137</v>
      </c>
      <c r="S461" s="1" t="s">
        <v>137</v>
      </c>
      <c r="T461" s="1" t="s">
        <v>47</v>
      </c>
    </row>
    <row r="462">
      <c r="A462" s="1" t="s">
        <v>2365</v>
      </c>
      <c r="B462" s="1" t="s">
        <v>116</v>
      </c>
      <c r="C462" s="1" t="s">
        <v>3612</v>
      </c>
      <c r="D462" s="1" t="s">
        <v>3188</v>
      </c>
      <c r="E462" s="1" t="s">
        <v>889</v>
      </c>
      <c r="F462" s="1" t="s">
        <v>2385</v>
      </c>
      <c r="G462" s="1" t="s">
        <v>3613</v>
      </c>
      <c r="H462" s="3">
        <v>46129.0</v>
      </c>
      <c r="K462" s="1" t="s">
        <v>124</v>
      </c>
      <c r="L462" s="1" t="s">
        <v>98</v>
      </c>
      <c r="M462" s="1" t="s">
        <v>335</v>
      </c>
      <c r="N462" s="1" t="s">
        <v>131</v>
      </c>
      <c r="P462" s="1" t="s">
        <v>1591</v>
      </c>
      <c r="R462" s="1" t="s">
        <v>137</v>
      </c>
      <c r="S462" s="1" t="s">
        <v>137</v>
      </c>
      <c r="T462" s="1" t="s">
        <v>47</v>
      </c>
      <c r="U462" s="1" t="s">
        <v>3614</v>
      </c>
    </row>
    <row r="463">
      <c r="A463" s="1" t="s">
        <v>3615</v>
      </c>
      <c r="B463" s="1" t="s">
        <v>760</v>
      </c>
      <c r="C463" s="1" t="s">
        <v>3616</v>
      </c>
      <c r="D463" s="1" t="s">
        <v>194</v>
      </c>
      <c r="E463" s="1" t="s">
        <v>153</v>
      </c>
      <c r="F463" s="1" t="s">
        <v>155</v>
      </c>
      <c r="G463" s="1" t="s">
        <v>3617</v>
      </c>
      <c r="H463" s="3">
        <v>45883.0</v>
      </c>
      <c r="I463" s="3">
        <v>46112.0</v>
      </c>
      <c r="K463" s="1" t="s">
        <v>215</v>
      </c>
      <c r="L463" s="1" t="s">
        <v>98</v>
      </c>
      <c r="M463" s="1" t="s">
        <v>253</v>
      </c>
      <c r="N463" s="1" t="s">
        <v>131</v>
      </c>
      <c r="O463" s="3">
        <v>46142.0</v>
      </c>
      <c r="P463" s="1" t="s">
        <v>337</v>
      </c>
      <c r="R463" s="1" t="s">
        <v>137</v>
      </c>
      <c r="S463" s="1" t="s">
        <v>137</v>
      </c>
      <c r="T463" s="1" t="s">
        <v>47</v>
      </c>
      <c r="U463" s="1" t="s">
        <v>3620</v>
      </c>
    </row>
    <row r="464">
      <c r="A464" s="1" t="s">
        <v>3621</v>
      </c>
      <c r="B464" s="1" t="s">
        <v>354</v>
      </c>
      <c r="C464" s="1" t="s">
        <v>3622</v>
      </c>
      <c r="D464" s="1" t="s">
        <v>194</v>
      </c>
      <c r="E464" s="1" t="s">
        <v>889</v>
      </c>
      <c r="F464" s="1" t="s">
        <v>2614</v>
      </c>
      <c r="H464" s="3">
        <v>46083.0</v>
      </c>
      <c r="I464" s="3">
        <v>46203.0</v>
      </c>
      <c r="J464" s="3">
        <v>46203.0</v>
      </c>
      <c r="K464" s="1" t="s">
        <v>215</v>
      </c>
      <c r="L464" s="1" t="s">
        <v>251</v>
      </c>
      <c r="M464" s="1" t="s">
        <v>253</v>
      </c>
      <c r="N464" s="1" t="s">
        <v>131</v>
      </c>
      <c r="O464" s="3">
        <v>46233.0</v>
      </c>
      <c r="P464" s="1" t="s">
        <v>337</v>
      </c>
      <c r="R464" s="1" t="s">
        <v>137</v>
      </c>
      <c r="S464" s="1" t="s">
        <v>137</v>
      </c>
      <c r="T464" s="1" t="s">
        <v>47</v>
      </c>
      <c r="U464" s="1" t="s">
        <v>3623</v>
      </c>
    </row>
    <row r="465">
      <c r="A465" s="1" t="s">
        <v>3624</v>
      </c>
      <c r="B465" s="1" t="s">
        <v>354</v>
      </c>
      <c r="C465" s="1" t="s">
        <v>3622</v>
      </c>
      <c r="D465" s="1" t="s">
        <v>194</v>
      </c>
      <c r="E465" s="1" t="s">
        <v>889</v>
      </c>
      <c r="F465" s="1" t="s">
        <v>2614</v>
      </c>
      <c r="H465" s="3">
        <v>45910.0</v>
      </c>
      <c r="I465" s="3">
        <v>46203.0</v>
      </c>
      <c r="J465" s="3">
        <v>46203.0</v>
      </c>
      <c r="K465" s="1" t="s">
        <v>215</v>
      </c>
      <c r="L465" s="1" t="s">
        <v>251</v>
      </c>
      <c r="M465" s="1" t="s">
        <v>216</v>
      </c>
      <c r="N465" s="1" t="s">
        <v>131</v>
      </c>
      <c r="O465" s="3">
        <v>46225.0</v>
      </c>
      <c r="P465" s="1" t="s">
        <v>337</v>
      </c>
      <c r="R465" s="1" t="s">
        <v>137</v>
      </c>
      <c r="S465" s="1" t="s">
        <v>137</v>
      </c>
      <c r="T465" s="1" t="s">
        <v>47</v>
      </c>
      <c r="U465" s="1" t="s">
        <v>3628</v>
      </c>
    </row>
    <row r="466">
      <c r="A466" s="1" t="s">
        <v>2341</v>
      </c>
      <c r="B466" s="1" t="s">
        <v>116</v>
      </c>
      <c r="C466" s="1" t="s">
        <v>3629</v>
      </c>
      <c r="D466" s="1" t="s">
        <v>1477</v>
      </c>
      <c r="E466" s="1" t="s">
        <v>292</v>
      </c>
      <c r="F466" s="1" t="s">
        <v>494</v>
      </c>
      <c r="G466" s="1" t="s">
        <v>3632</v>
      </c>
      <c r="H466" s="3">
        <v>46129.0</v>
      </c>
      <c r="K466" s="1" t="s">
        <v>124</v>
      </c>
      <c r="L466" s="1" t="s">
        <v>71</v>
      </c>
      <c r="M466" s="1" t="s">
        <v>162</v>
      </c>
      <c r="N466" s="1" t="s">
        <v>131</v>
      </c>
      <c r="P466" s="1" t="s">
        <v>803</v>
      </c>
      <c r="R466" s="1" t="s">
        <v>137</v>
      </c>
      <c r="S466" s="1" t="s">
        <v>137</v>
      </c>
      <c r="T466" s="1" t="s">
        <v>47</v>
      </c>
      <c r="U466" s="1" t="s">
        <v>3633</v>
      </c>
    </row>
    <row r="467">
      <c r="A467" s="1" t="s">
        <v>3634</v>
      </c>
      <c r="B467" s="1" t="s">
        <v>632</v>
      </c>
      <c r="C467" s="1" t="s">
        <v>3636</v>
      </c>
      <c r="D467" s="1" t="s">
        <v>194</v>
      </c>
      <c r="E467" s="1" t="s">
        <v>454</v>
      </c>
      <c r="F467" s="1" t="s">
        <v>455</v>
      </c>
      <c r="G467" s="1" t="s">
        <v>738</v>
      </c>
      <c r="H467" s="3">
        <v>46239.0</v>
      </c>
      <c r="K467" s="1" t="s">
        <v>124</v>
      </c>
      <c r="L467" s="1" t="s">
        <v>98</v>
      </c>
      <c r="M467" s="1" t="s">
        <v>162</v>
      </c>
      <c r="N467" s="1" t="s">
        <v>131</v>
      </c>
      <c r="P467" s="1" t="s">
        <v>337</v>
      </c>
      <c r="R467" s="1" t="s">
        <v>137</v>
      </c>
      <c r="S467" s="1" t="s">
        <v>137</v>
      </c>
      <c r="T467" s="1" t="s">
        <v>47</v>
      </c>
    </row>
    <row r="468">
      <c r="A468" s="1" t="s">
        <v>2918</v>
      </c>
      <c r="B468" s="1" t="s">
        <v>354</v>
      </c>
      <c r="C468" s="1" t="s">
        <v>3641</v>
      </c>
      <c r="D468" s="1" t="s">
        <v>243</v>
      </c>
      <c r="E468" s="1" t="s">
        <v>175</v>
      </c>
      <c r="F468" s="1" t="s">
        <v>177</v>
      </c>
      <c r="G468" s="1" t="s">
        <v>503</v>
      </c>
      <c r="H468" s="3">
        <v>46224.0</v>
      </c>
      <c r="I468" s="3">
        <v>46269.0</v>
      </c>
      <c r="K468" s="1" t="s">
        <v>124</v>
      </c>
      <c r="L468" s="1" t="s">
        <v>251</v>
      </c>
      <c r="M468" s="1" t="s">
        <v>460</v>
      </c>
      <c r="N468" s="1" t="s">
        <v>131</v>
      </c>
      <c r="R468" s="1" t="s">
        <v>3644</v>
      </c>
      <c r="S468" s="1" t="s">
        <v>3644</v>
      </c>
      <c r="T468" s="1" t="s">
        <v>1249</v>
      </c>
      <c r="U468" s="1" t="s">
        <v>3645</v>
      </c>
    </row>
    <row r="469">
      <c r="A469" s="1" t="s">
        <v>3646</v>
      </c>
      <c r="B469" s="1" t="s">
        <v>116</v>
      </c>
      <c r="C469" s="1" t="s">
        <v>3647</v>
      </c>
      <c r="D469" s="1" t="s">
        <v>1798</v>
      </c>
      <c r="E469" s="1" t="s">
        <v>175</v>
      </c>
      <c r="F469" s="1" t="s">
        <v>569</v>
      </c>
      <c r="G469" s="1" t="s">
        <v>798</v>
      </c>
      <c r="H469" s="3">
        <v>46129.0</v>
      </c>
      <c r="K469" s="1" t="s">
        <v>124</v>
      </c>
      <c r="L469" s="1" t="s">
        <v>71</v>
      </c>
      <c r="M469" s="1" t="s">
        <v>162</v>
      </c>
      <c r="N469" s="1" t="s">
        <v>131</v>
      </c>
      <c r="P469" s="1" t="s">
        <v>3650</v>
      </c>
      <c r="R469" s="1" t="s">
        <v>137</v>
      </c>
      <c r="S469" s="1" t="s">
        <v>137</v>
      </c>
      <c r="T469" s="1" t="s">
        <v>47</v>
      </c>
    </row>
    <row r="470">
      <c r="A470" s="1" t="s">
        <v>2168</v>
      </c>
      <c r="B470" s="1" t="s">
        <v>828</v>
      </c>
      <c r="C470" s="1" t="s">
        <v>3653</v>
      </c>
      <c r="D470" s="1" t="s">
        <v>831</v>
      </c>
      <c r="E470" s="1" t="s">
        <v>175</v>
      </c>
      <c r="F470" s="1" t="s">
        <v>585</v>
      </c>
      <c r="G470" s="1" t="s">
        <v>1529</v>
      </c>
      <c r="H470" s="3">
        <v>46115.0</v>
      </c>
      <c r="I470" s="3">
        <v>46255.0</v>
      </c>
      <c r="K470" s="1" t="s">
        <v>124</v>
      </c>
      <c r="L470" s="1" t="s">
        <v>71</v>
      </c>
      <c r="M470" s="1" t="s">
        <v>460</v>
      </c>
      <c r="N470" s="1" t="s">
        <v>131</v>
      </c>
      <c r="R470" s="1" t="s">
        <v>1808</v>
      </c>
      <c r="S470" s="1" t="s">
        <v>1808</v>
      </c>
      <c r="T470" s="1" t="s">
        <v>1811</v>
      </c>
      <c r="U470" s="1" t="s">
        <v>3656</v>
      </c>
    </row>
    <row r="471">
      <c r="A471" s="1" t="s">
        <v>3657</v>
      </c>
      <c r="B471" s="1" t="s">
        <v>191</v>
      </c>
      <c r="C471" s="1" t="s">
        <v>3653</v>
      </c>
      <c r="D471" s="1" t="s">
        <v>831</v>
      </c>
      <c r="E471" s="1" t="s">
        <v>175</v>
      </c>
      <c r="F471" s="1" t="s">
        <v>585</v>
      </c>
      <c r="G471" s="1" t="s">
        <v>1529</v>
      </c>
      <c r="H471" s="3">
        <v>45964.0</v>
      </c>
      <c r="I471" s="3">
        <v>46051.0</v>
      </c>
      <c r="J471" s="3">
        <v>46051.0</v>
      </c>
      <c r="K471" s="1" t="s">
        <v>215</v>
      </c>
      <c r="L471" s="1" t="s">
        <v>251</v>
      </c>
      <c r="M471" s="1" t="s">
        <v>216</v>
      </c>
      <c r="N471" s="1" t="s">
        <v>131</v>
      </c>
      <c r="O471" s="3">
        <v>46051.0</v>
      </c>
      <c r="R471" s="1" t="s">
        <v>137</v>
      </c>
      <c r="S471" s="1" t="s">
        <v>137</v>
      </c>
      <c r="T471" s="1" t="s">
        <v>47</v>
      </c>
      <c r="U471" s="1" t="s">
        <v>3662</v>
      </c>
    </row>
    <row r="472">
      <c r="A472" s="1" t="s">
        <v>3663</v>
      </c>
      <c r="B472" s="1" t="s">
        <v>240</v>
      </c>
      <c r="C472" s="1" t="s">
        <v>3664</v>
      </c>
      <c r="D472" s="1" t="s">
        <v>919</v>
      </c>
      <c r="E472" s="1" t="s">
        <v>330</v>
      </c>
      <c r="F472" s="1" t="s">
        <v>663</v>
      </c>
      <c r="G472" s="1" t="s">
        <v>923</v>
      </c>
      <c r="H472" s="3">
        <v>46174.0</v>
      </c>
      <c r="K472" s="1" t="s">
        <v>124</v>
      </c>
      <c r="L472" s="1" t="s">
        <v>251</v>
      </c>
      <c r="M472" s="1" t="s">
        <v>162</v>
      </c>
      <c r="N472" s="1" t="s">
        <v>131</v>
      </c>
      <c r="R472" s="1" t="s">
        <v>665</v>
      </c>
      <c r="S472" s="1" t="s">
        <v>665</v>
      </c>
      <c r="T472" s="1" t="s">
        <v>666</v>
      </c>
    </row>
    <row r="473">
      <c r="A473" s="1" t="s">
        <v>3667</v>
      </c>
      <c r="B473" s="1" t="s">
        <v>3668</v>
      </c>
      <c r="C473" s="1" t="s">
        <v>3669</v>
      </c>
      <c r="D473" s="1" t="s">
        <v>388</v>
      </c>
      <c r="E473" s="1" t="s">
        <v>175</v>
      </c>
      <c r="F473" s="1" t="s">
        <v>585</v>
      </c>
      <c r="G473" s="1" t="s">
        <v>586</v>
      </c>
      <c r="H473" s="3">
        <v>46029.0</v>
      </c>
      <c r="K473" s="1" t="s">
        <v>215</v>
      </c>
      <c r="L473" s="1" t="s">
        <v>251</v>
      </c>
      <c r="M473" s="1" t="s">
        <v>216</v>
      </c>
      <c r="N473" s="1" t="s">
        <v>131</v>
      </c>
      <c r="O473" s="3">
        <v>46147.0</v>
      </c>
      <c r="R473" s="1" t="s">
        <v>256</v>
      </c>
      <c r="S473" s="1" t="s">
        <v>256</v>
      </c>
      <c r="T473" s="1" t="s">
        <v>266</v>
      </c>
      <c r="U473" s="1" t="s">
        <v>3671</v>
      </c>
    </row>
    <row r="474">
      <c r="A474" s="1" t="s">
        <v>3672</v>
      </c>
      <c r="B474" s="1" t="s">
        <v>191</v>
      </c>
      <c r="C474" s="1" t="s">
        <v>3673</v>
      </c>
      <c r="D474" s="1" t="s">
        <v>172</v>
      </c>
      <c r="E474" s="1" t="s">
        <v>175</v>
      </c>
      <c r="F474" s="1" t="s">
        <v>177</v>
      </c>
      <c r="G474" s="1" t="s">
        <v>178</v>
      </c>
      <c r="H474" s="3">
        <v>45571.0</v>
      </c>
      <c r="I474" s="3">
        <v>45670.0</v>
      </c>
      <c r="J474" s="3">
        <v>45670.0</v>
      </c>
      <c r="K474" s="1" t="s">
        <v>215</v>
      </c>
      <c r="L474" s="1" t="s">
        <v>251</v>
      </c>
      <c r="M474" s="1" t="s">
        <v>216</v>
      </c>
      <c r="N474" s="1" t="s">
        <v>131</v>
      </c>
      <c r="O474" s="3">
        <v>45670.0</v>
      </c>
      <c r="R474" s="1" t="s">
        <v>137</v>
      </c>
      <c r="S474" s="1" t="s">
        <v>137</v>
      </c>
      <c r="T474" s="1" t="s">
        <v>47</v>
      </c>
      <c r="U474" s="1" t="s">
        <v>3676</v>
      </c>
    </row>
    <row r="475">
      <c r="A475" s="1" t="s">
        <v>3678</v>
      </c>
      <c r="B475" s="1" t="s">
        <v>191</v>
      </c>
      <c r="C475" s="1" t="s">
        <v>3679</v>
      </c>
      <c r="D475" s="1" t="s">
        <v>1798</v>
      </c>
      <c r="E475" s="1" t="s">
        <v>292</v>
      </c>
      <c r="F475" s="1" t="s">
        <v>576</v>
      </c>
      <c r="G475" s="1" t="s">
        <v>1603</v>
      </c>
      <c r="H475" s="3">
        <v>45712.0</v>
      </c>
      <c r="I475" s="3">
        <v>45845.0</v>
      </c>
      <c r="J475" s="3">
        <v>45845.0</v>
      </c>
      <c r="K475" s="1" t="s">
        <v>215</v>
      </c>
      <c r="L475" s="1" t="s">
        <v>251</v>
      </c>
      <c r="M475" s="1" t="s">
        <v>253</v>
      </c>
      <c r="N475" s="1" t="s">
        <v>131</v>
      </c>
      <c r="O475" s="3">
        <v>45845.0</v>
      </c>
      <c r="R475" s="1" t="s">
        <v>137</v>
      </c>
      <c r="S475" s="1" t="s">
        <v>137</v>
      </c>
      <c r="T475" s="1" t="s">
        <v>47</v>
      </c>
      <c r="U475" s="1" t="s">
        <v>3683</v>
      </c>
    </row>
    <row r="476">
      <c r="A476" s="1" t="s">
        <v>3684</v>
      </c>
      <c r="B476" s="1" t="s">
        <v>191</v>
      </c>
      <c r="C476" s="1" t="s">
        <v>3679</v>
      </c>
      <c r="D476" s="1" t="s">
        <v>1798</v>
      </c>
      <c r="E476" s="1" t="s">
        <v>292</v>
      </c>
      <c r="F476" s="1" t="s">
        <v>576</v>
      </c>
      <c r="G476" s="1" t="s">
        <v>1603</v>
      </c>
      <c r="H476" s="3">
        <v>46069.0</v>
      </c>
      <c r="I476" s="3">
        <v>46111.0</v>
      </c>
      <c r="J476" s="3">
        <v>46111.0</v>
      </c>
      <c r="K476" s="1" t="s">
        <v>215</v>
      </c>
      <c r="L476" s="1" t="s">
        <v>98</v>
      </c>
      <c r="M476" s="1" t="s">
        <v>216</v>
      </c>
      <c r="N476" s="1" t="s">
        <v>131</v>
      </c>
      <c r="O476" s="3">
        <v>46125.0</v>
      </c>
      <c r="R476" s="1" t="s">
        <v>137</v>
      </c>
      <c r="S476" s="1" t="s">
        <v>137</v>
      </c>
      <c r="T476" s="1" t="s">
        <v>47</v>
      </c>
      <c r="U476" s="1" t="s">
        <v>3687</v>
      </c>
    </row>
    <row r="477">
      <c r="A477" s="1" t="s">
        <v>2371</v>
      </c>
      <c r="B477" s="1" t="s">
        <v>116</v>
      </c>
      <c r="C477" s="1" t="s">
        <v>3689</v>
      </c>
      <c r="D477" s="1" t="s">
        <v>388</v>
      </c>
      <c r="E477" s="1" t="s">
        <v>438</v>
      </c>
      <c r="F477" s="1" t="s">
        <v>440</v>
      </c>
      <c r="G477" s="1" t="s">
        <v>441</v>
      </c>
      <c r="H477" s="3">
        <v>46129.0</v>
      </c>
      <c r="K477" s="1" t="s">
        <v>124</v>
      </c>
      <c r="L477" s="1" t="s">
        <v>98</v>
      </c>
      <c r="M477" s="1" t="s">
        <v>162</v>
      </c>
      <c r="N477" s="1" t="s">
        <v>131</v>
      </c>
      <c r="P477" s="1" t="s">
        <v>3535</v>
      </c>
      <c r="R477" s="1" t="s">
        <v>137</v>
      </c>
      <c r="S477" s="1" t="s">
        <v>137</v>
      </c>
      <c r="T477" s="1" t="s">
        <v>47</v>
      </c>
      <c r="U477" s="1" t="s">
        <v>3691</v>
      </c>
    </row>
    <row r="478">
      <c r="A478" s="1" t="s">
        <v>3693</v>
      </c>
      <c r="B478" s="1" t="s">
        <v>191</v>
      </c>
      <c r="C478" s="1" t="s">
        <v>3694</v>
      </c>
      <c r="D478" s="1" t="s">
        <v>1477</v>
      </c>
      <c r="E478" s="1" t="s">
        <v>292</v>
      </c>
      <c r="F478" s="1" t="s">
        <v>468</v>
      </c>
      <c r="G478" s="1" t="s">
        <v>1758</v>
      </c>
      <c r="H478" s="3">
        <v>46258.0</v>
      </c>
      <c r="K478" s="1" t="s">
        <v>124</v>
      </c>
      <c r="L478" s="1" t="s">
        <v>251</v>
      </c>
      <c r="M478" s="1" t="s">
        <v>162</v>
      </c>
      <c r="N478" s="1" t="s">
        <v>131</v>
      </c>
      <c r="P478" s="1" t="s">
        <v>2952</v>
      </c>
      <c r="R478" s="1" t="s">
        <v>137</v>
      </c>
      <c r="S478" s="1" t="s">
        <v>137</v>
      </c>
      <c r="T478" s="1" t="s">
        <v>47</v>
      </c>
      <c r="U478" s="1" t="s">
        <v>3695</v>
      </c>
    </row>
    <row r="479">
      <c r="A479" s="1" t="s">
        <v>2101</v>
      </c>
      <c r="B479" s="1" t="s">
        <v>1774</v>
      </c>
      <c r="C479" s="1" t="s">
        <v>3697</v>
      </c>
      <c r="D479" s="1" t="s">
        <v>593</v>
      </c>
      <c r="E479" s="1" t="s">
        <v>330</v>
      </c>
      <c r="F479" s="1" t="s">
        <v>356</v>
      </c>
      <c r="G479" s="1" t="s">
        <v>864</v>
      </c>
      <c r="H479" s="3">
        <v>46154.0</v>
      </c>
      <c r="K479" s="1" t="s">
        <v>124</v>
      </c>
      <c r="L479" s="1" t="s">
        <v>251</v>
      </c>
      <c r="M479" s="1" t="s">
        <v>363</v>
      </c>
      <c r="N479" s="1" t="s">
        <v>131</v>
      </c>
      <c r="P479" s="1" t="s">
        <v>1453</v>
      </c>
      <c r="R479" s="1" t="s">
        <v>137</v>
      </c>
      <c r="S479" s="1" t="s">
        <v>137</v>
      </c>
      <c r="T479" s="1" t="s">
        <v>47</v>
      </c>
      <c r="U479" s="1" t="s">
        <v>3701</v>
      </c>
    </row>
    <row r="480">
      <c r="A480" s="1" t="s">
        <v>3702</v>
      </c>
      <c r="B480" s="1" t="s">
        <v>191</v>
      </c>
      <c r="C480" s="1" t="s">
        <v>3703</v>
      </c>
      <c r="D480" s="1" t="s">
        <v>754</v>
      </c>
      <c r="E480" s="1" t="s">
        <v>292</v>
      </c>
      <c r="F480" s="1" t="s">
        <v>293</v>
      </c>
      <c r="G480" s="1" t="s">
        <v>3053</v>
      </c>
      <c r="H480" s="3">
        <v>45978.0</v>
      </c>
      <c r="I480" s="3">
        <v>46234.0</v>
      </c>
      <c r="J480" s="3">
        <v>46234.0</v>
      </c>
      <c r="K480" s="1" t="s">
        <v>215</v>
      </c>
      <c r="L480" s="1" t="s">
        <v>251</v>
      </c>
      <c r="M480" s="1" t="s">
        <v>216</v>
      </c>
      <c r="N480" s="1" t="s">
        <v>131</v>
      </c>
      <c r="O480" s="3">
        <v>46234.0</v>
      </c>
      <c r="P480" s="1" t="s">
        <v>603</v>
      </c>
      <c r="R480" s="1" t="s">
        <v>137</v>
      </c>
      <c r="S480" s="1" t="s">
        <v>137</v>
      </c>
      <c r="T480" s="1" t="s">
        <v>47</v>
      </c>
      <c r="U480" s="1" t="s">
        <v>3708</v>
      </c>
    </row>
    <row r="481">
      <c r="A481" s="1" t="s">
        <v>2734</v>
      </c>
      <c r="B481" s="1" t="s">
        <v>240</v>
      </c>
      <c r="C481" s="1" t="s">
        <v>3709</v>
      </c>
      <c r="D481" s="1" t="s">
        <v>678</v>
      </c>
      <c r="E481" s="1" t="s">
        <v>454</v>
      </c>
      <c r="F481" s="1" t="s">
        <v>455</v>
      </c>
      <c r="G481" s="1" t="s">
        <v>456</v>
      </c>
      <c r="H481" s="3">
        <v>46189.0</v>
      </c>
      <c r="K481" s="1" t="s">
        <v>124</v>
      </c>
      <c r="L481" s="1" t="s">
        <v>251</v>
      </c>
      <c r="M481" s="1" t="s">
        <v>363</v>
      </c>
      <c r="N481" s="1" t="s">
        <v>131</v>
      </c>
      <c r="P481" s="1" t="s">
        <v>529</v>
      </c>
      <c r="R481" s="1" t="s">
        <v>137</v>
      </c>
      <c r="S481" s="1" t="s">
        <v>137</v>
      </c>
      <c r="T481" s="1" t="s">
        <v>47</v>
      </c>
      <c r="U481" s="1" t="s">
        <v>3713</v>
      </c>
    </row>
    <row r="482">
      <c r="A482" s="1" t="s">
        <v>3715</v>
      </c>
      <c r="B482" s="1" t="s">
        <v>191</v>
      </c>
      <c r="C482" s="1" t="s">
        <v>3716</v>
      </c>
      <c r="D482" s="1" t="s">
        <v>831</v>
      </c>
      <c r="E482" s="1" t="s">
        <v>292</v>
      </c>
      <c r="F482" s="1" t="s">
        <v>576</v>
      </c>
      <c r="G482" s="1" t="s">
        <v>577</v>
      </c>
      <c r="H482" s="3">
        <v>45768.0</v>
      </c>
      <c r="I482" s="3">
        <v>45817.0</v>
      </c>
      <c r="K482" s="1" t="s">
        <v>215</v>
      </c>
      <c r="L482" s="1" t="s">
        <v>251</v>
      </c>
      <c r="M482" s="1" t="s">
        <v>216</v>
      </c>
      <c r="N482" s="1" t="s">
        <v>131</v>
      </c>
      <c r="O482" s="3">
        <v>45817.0</v>
      </c>
      <c r="R482" s="1" t="s">
        <v>137</v>
      </c>
      <c r="S482" s="1" t="s">
        <v>137</v>
      </c>
      <c r="T482" s="1" t="s">
        <v>47</v>
      </c>
      <c r="U482" s="1" t="s">
        <v>3720</v>
      </c>
    </row>
    <row r="483">
      <c r="A483" s="1" t="s">
        <v>3721</v>
      </c>
      <c r="B483" s="1" t="s">
        <v>191</v>
      </c>
      <c r="C483" s="1" t="s">
        <v>3716</v>
      </c>
      <c r="D483" s="1" t="s">
        <v>831</v>
      </c>
      <c r="E483" s="1" t="s">
        <v>292</v>
      </c>
      <c r="F483" s="1" t="s">
        <v>576</v>
      </c>
      <c r="G483" s="1" t="s">
        <v>577</v>
      </c>
      <c r="H483" s="3">
        <v>45950.0</v>
      </c>
      <c r="K483" s="1" t="s">
        <v>215</v>
      </c>
      <c r="L483" s="1" t="s">
        <v>251</v>
      </c>
      <c r="M483" s="1" t="s">
        <v>216</v>
      </c>
      <c r="N483" s="1" t="s">
        <v>131</v>
      </c>
      <c r="O483" s="3">
        <v>46045.0</v>
      </c>
      <c r="P483" s="1" t="s">
        <v>3005</v>
      </c>
      <c r="R483" s="1" t="s">
        <v>137</v>
      </c>
      <c r="S483" s="1" t="s">
        <v>137</v>
      </c>
      <c r="T483" s="1" t="s">
        <v>47</v>
      </c>
      <c r="U483" s="1" t="s">
        <v>3723</v>
      </c>
    </row>
    <row r="484">
      <c r="A484" s="1" t="s">
        <v>3724</v>
      </c>
      <c r="B484" s="1" t="s">
        <v>191</v>
      </c>
      <c r="C484" s="1" t="s">
        <v>3725</v>
      </c>
      <c r="D484" s="1" t="s">
        <v>509</v>
      </c>
      <c r="E484" s="1" t="s">
        <v>153</v>
      </c>
      <c r="F484" s="1" t="s">
        <v>274</v>
      </c>
      <c r="G484" s="1" t="s">
        <v>276</v>
      </c>
      <c r="H484" s="3">
        <v>46273.0</v>
      </c>
      <c r="K484" s="1" t="s">
        <v>124</v>
      </c>
      <c r="L484" s="1" t="s">
        <v>251</v>
      </c>
      <c r="M484" s="1" t="s">
        <v>162</v>
      </c>
      <c r="N484" s="1" t="s">
        <v>131</v>
      </c>
      <c r="P484" s="1" t="s">
        <v>2170</v>
      </c>
      <c r="R484" s="1" t="s">
        <v>137</v>
      </c>
      <c r="S484" s="1" t="s">
        <v>137</v>
      </c>
      <c r="T484" s="1" t="s">
        <v>47</v>
      </c>
    </row>
    <row r="485">
      <c r="A485" s="1" t="s">
        <v>2269</v>
      </c>
      <c r="B485" s="1" t="s">
        <v>760</v>
      </c>
      <c r="C485" s="1" t="s">
        <v>3727</v>
      </c>
      <c r="D485" s="1" t="s">
        <v>243</v>
      </c>
      <c r="E485" s="1" t="s">
        <v>175</v>
      </c>
      <c r="F485" s="1" t="s">
        <v>763</v>
      </c>
      <c r="G485" s="1" t="s">
        <v>1825</v>
      </c>
      <c r="H485" s="3">
        <v>46141.0</v>
      </c>
      <c r="K485" s="1" t="s">
        <v>124</v>
      </c>
      <c r="L485" s="1" t="s">
        <v>71</v>
      </c>
      <c r="M485" s="1" t="s">
        <v>162</v>
      </c>
      <c r="N485" s="1" t="s">
        <v>131</v>
      </c>
      <c r="R485" s="1" t="s">
        <v>256</v>
      </c>
      <c r="S485" s="1" t="s">
        <v>256</v>
      </c>
      <c r="T485" s="1" t="s">
        <v>266</v>
      </c>
    </row>
    <row r="486">
      <c r="A486" s="1" t="s">
        <v>3729</v>
      </c>
      <c r="B486" s="1" t="s">
        <v>191</v>
      </c>
      <c r="C486" s="1" t="s">
        <v>3732</v>
      </c>
      <c r="D486" s="1" t="s">
        <v>548</v>
      </c>
      <c r="E486" s="1" t="s">
        <v>520</v>
      </c>
      <c r="F486" s="1" t="s">
        <v>1229</v>
      </c>
      <c r="G486" s="1" t="s">
        <v>1231</v>
      </c>
      <c r="H486" s="3">
        <v>45852.0</v>
      </c>
      <c r="I486" s="3">
        <v>45943.0</v>
      </c>
      <c r="J486" s="3">
        <v>45943.0</v>
      </c>
      <c r="K486" s="1" t="s">
        <v>215</v>
      </c>
      <c r="L486" s="1" t="s">
        <v>251</v>
      </c>
      <c r="M486" s="1" t="s">
        <v>216</v>
      </c>
      <c r="N486" s="1" t="s">
        <v>131</v>
      </c>
      <c r="O486" s="3">
        <v>45971.0</v>
      </c>
      <c r="R486" s="1" t="s">
        <v>137</v>
      </c>
      <c r="S486" s="1" t="s">
        <v>137</v>
      </c>
      <c r="T486" s="1" t="s">
        <v>47</v>
      </c>
      <c r="U486" s="1" t="s">
        <v>3737</v>
      </c>
    </row>
    <row r="487">
      <c r="A487" s="1" t="s">
        <v>3739</v>
      </c>
      <c r="B487" s="1" t="s">
        <v>191</v>
      </c>
      <c r="C487" s="1" t="s">
        <v>3741</v>
      </c>
      <c r="D487" s="1" t="s">
        <v>194</v>
      </c>
      <c r="E487" s="1" t="s">
        <v>454</v>
      </c>
      <c r="F487" s="1" t="s">
        <v>455</v>
      </c>
      <c r="G487" s="1" t="s">
        <v>738</v>
      </c>
      <c r="H487" s="3">
        <v>45859.0</v>
      </c>
      <c r="I487" s="3">
        <v>46051.0</v>
      </c>
      <c r="J487" s="3">
        <v>46051.0</v>
      </c>
      <c r="K487" s="1" t="s">
        <v>215</v>
      </c>
      <c r="L487" s="1" t="s">
        <v>251</v>
      </c>
      <c r="M487" s="1" t="s">
        <v>216</v>
      </c>
      <c r="N487" s="1" t="s">
        <v>131</v>
      </c>
      <c r="O487" s="3">
        <v>46051.0</v>
      </c>
      <c r="R487" s="1" t="s">
        <v>137</v>
      </c>
      <c r="S487" s="1" t="s">
        <v>137</v>
      </c>
      <c r="T487" s="1" t="s">
        <v>47</v>
      </c>
      <c r="U487" s="1" t="s">
        <v>3745</v>
      </c>
    </row>
    <row r="488">
      <c r="A488" s="1" t="s">
        <v>2722</v>
      </c>
      <c r="B488" s="1" t="s">
        <v>3747</v>
      </c>
      <c r="C488" s="1" t="s">
        <v>3749</v>
      </c>
      <c r="D488" s="1" t="s">
        <v>118</v>
      </c>
      <c r="E488" s="1" t="s">
        <v>330</v>
      </c>
      <c r="F488" s="1" t="s">
        <v>356</v>
      </c>
      <c r="G488" s="1" t="s">
        <v>429</v>
      </c>
      <c r="H488" s="3">
        <v>46183.0</v>
      </c>
      <c r="K488" s="1" t="s">
        <v>124</v>
      </c>
      <c r="L488" s="1" t="s">
        <v>251</v>
      </c>
      <c r="M488" s="1" t="s">
        <v>253</v>
      </c>
      <c r="N488" s="1" t="s">
        <v>131</v>
      </c>
      <c r="P488" s="1" t="s">
        <v>1844</v>
      </c>
      <c r="R488" s="1" t="s">
        <v>137</v>
      </c>
      <c r="S488" s="1" t="s">
        <v>137</v>
      </c>
      <c r="T488" s="1" t="s">
        <v>47</v>
      </c>
      <c r="U488" s="1" t="s">
        <v>3751</v>
      </c>
    </row>
    <row r="489">
      <c r="A489" s="1" t="s">
        <v>2155</v>
      </c>
      <c r="B489" s="1" t="s">
        <v>3586</v>
      </c>
      <c r="C489" s="1" t="s">
        <v>3754</v>
      </c>
      <c r="D489" s="1" t="s">
        <v>678</v>
      </c>
      <c r="E489" s="1" t="s">
        <v>119</v>
      </c>
      <c r="F489" s="1" t="s">
        <v>1338</v>
      </c>
      <c r="G489" s="1" t="s">
        <v>1338</v>
      </c>
      <c r="H489" s="3">
        <v>46114.0</v>
      </c>
      <c r="I489" s="3">
        <v>46251.0</v>
      </c>
      <c r="K489" s="1" t="s">
        <v>124</v>
      </c>
      <c r="L489" s="1" t="s">
        <v>98</v>
      </c>
      <c r="M489" s="1" t="s">
        <v>162</v>
      </c>
      <c r="N489" s="1" t="s">
        <v>131</v>
      </c>
      <c r="P489" s="1" t="s">
        <v>3757</v>
      </c>
      <c r="R489" s="1" t="s">
        <v>137</v>
      </c>
      <c r="S489" s="1" t="s">
        <v>137</v>
      </c>
      <c r="T489" s="1" t="s">
        <v>47</v>
      </c>
      <c r="U489" s="1" t="s">
        <v>3759</v>
      </c>
    </row>
    <row r="490">
      <c r="A490" s="1" t="s">
        <v>3760</v>
      </c>
      <c r="B490" s="1" t="s">
        <v>191</v>
      </c>
      <c r="C490" s="1" t="s">
        <v>3754</v>
      </c>
      <c r="D490" s="1" t="s">
        <v>678</v>
      </c>
      <c r="E490" s="1" t="s">
        <v>119</v>
      </c>
      <c r="F490" s="1" t="s">
        <v>1338</v>
      </c>
      <c r="G490" s="1" t="s">
        <v>1338</v>
      </c>
      <c r="H490" s="3">
        <v>46195.0</v>
      </c>
      <c r="I490" s="3">
        <v>46307.0</v>
      </c>
      <c r="K490" s="1" t="s">
        <v>124</v>
      </c>
      <c r="L490" s="1" t="s">
        <v>251</v>
      </c>
      <c r="M490" s="1" t="s">
        <v>162</v>
      </c>
      <c r="N490" s="1" t="s">
        <v>131</v>
      </c>
      <c r="P490" s="1" t="s">
        <v>512</v>
      </c>
      <c r="R490" s="1" t="s">
        <v>137</v>
      </c>
      <c r="S490" s="1" t="s">
        <v>137</v>
      </c>
      <c r="T490" s="1" t="s">
        <v>47</v>
      </c>
      <c r="U490" s="1" t="s">
        <v>3763</v>
      </c>
    </row>
    <row r="491">
      <c r="A491" s="1" t="s">
        <v>1926</v>
      </c>
      <c r="B491" s="1" t="s">
        <v>191</v>
      </c>
      <c r="C491" s="1" t="s">
        <v>3764</v>
      </c>
      <c r="D491" s="1" t="s">
        <v>754</v>
      </c>
      <c r="E491" s="1" t="s">
        <v>153</v>
      </c>
      <c r="F491" s="1" t="s">
        <v>155</v>
      </c>
      <c r="G491" s="1" t="s">
        <v>157</v>
      </c>
      <c r="H491" s="3">
        <v>46132.0</v>
      </c>
      <c r="I491" s="3">
        <v>46342.0</v>
      </c>
      <c r="K491" s="1" t="s">
        <v>124</v>
      </c>
      <c r="L491" s="1" t="s">
        <v>98</v>
      </c>
      <c r="M491" s="1" t="s">
        <v>162</v>
      </c>
      <c r="N491" s="1" t="s">
        <v>365</v>
      </c>
      <c r="P491" s="1" t="s">
        <v>603</v>
      </c>
      <c r="R491" s="1" t="s">
        <v>137</v>
      </c>
      <c r="S491" s="1" t="s">
        <v>137</v>
      </c>
      <c r="T491" s="1" t="s">
        <v>47</v>
      </c>
      <c r="U491" s="1" t="s">
        <v>3765</v>
      </c>
    </row>
    <row r="492">
      <c r="A492" s="1" t="s">
        <v>3766</v>
      </c>
      <c r="B492" s="1" t="s">
        <v>3126</v>
      </c>
      <c r="C492" s="1" t="s">
        <v>3767</v>
      </c>
      <c r="D492" s="1" t="s">
        <v>172</v>
      </c>
      <c r="E492" s="1" t="s">
        <v>175</v>
      </c>
      <c r="F492" s="1" t="s">
        <v>763</v>
      </c>
      <c r="G492" s="1" t="s">
        <v>3768</v>
      </c>
      <c r="H492" s="3">
        <v>45292.0</v>
      </c>
      <c r="I492" s="3">
        <v>45444.0</v>
      </c>
      <c r="J492" s="3">
        <v>45444.0</v>
      </c>
      <c r="K492" s="1" t="s">
        <v>215</v>
      </c>
      <c r="L492" s="1" t="s">
        <v>98</v>
      </c>
      <c r="M492" s="1" t="s">
        <v>162</v>
      </c>
      <c r="N492" s="1" t="s">
        <v>131</v>
      </c>
      <c r="R492" s="1" t="s">
        <v>137</v>
      </c>
      <c r="S492" s="1" t="s">
        <v>137</v>
      </c>
      <c r="T492" s="1" t="s">
        <v>47</v>
      </c>
    </row>
    <row r="493">
      <c r="A493" s="1" t="s">
        <v>3769</v>
      </c>
      <c r="B493" s="1" t="s">
        <v>632</v>
      </c>
      <c r="C493" s="1" t="s">
        <v>3770</v>
      </c>
      <c r="D493" s="1" t="s">
        <v>548</v>
      </c>
      <c r="E493" s="1" t="s">
        <v>520</v>
      </c>
      <c r="F493" s="1" t="s">
        <v>1229</v>
      </c>
      <c r="G493" s="1" t="s">
        <v>1231</v>
      </c>
      <c r="H493" s="3">
        <v>45952.0</v>
      </c>
      <c r="I493" s="3">
        <v>46111.0</v>
      </c>
      <c r="J493" s="3">
        <v>46111.0</v>
      </c>
      <c r="K493" s="1" t="s">
        <v>215</v>
      </c>
      <c r="L493" s="1" t="s">
        <v>71</v>
      </c>
      <c r="M493" s="1" t="s">
        <v>216</v>
      </c>
      <c r="N493" s="1" t="s">
        <v>131</v>
      </c>
      <c r="O493" s="3">
        <v>46147.0</v>
      </c>
      <c r="R493" s="1" t="s">
        <v>137</v>
      </c>
      <c r="S493" s="1" t="s">
        <v>137</v>
      </c>
      <c r="T493" s="1" t="s">
        <v>47</v>
      </c>
      <c r="U493" s="1" t="s">
        <v>3771</v>
      </c>
    </row>
    <row r="494">
      <c r="A494" s="1" t="s">
        <v>2712</v>
      </c>
      <c r="B494" s="1" t="s">
        <v>116</v>
      </c>
      <c r="C494" s="1" t="s">
        <v>3773</v>
      </c>
      <c r="D494" s="1" t="s">
        <v>678</v>
      </c>
      <c r="E494" s="1" t="s">
        <v>454</v>
      </c>
      <c r="F494" s="1" t="s">
        <v>455</v>
      </c>
      <c r="G494" s="1" t="s">
        <v>510</v>
      </c>
      <c r="H494" s="3">
        <v>46181.0</v>
      </c>
      <c r="I494" s="3">
        <v>46356.0</v>
      </c>
      <c r="K494" s="1" t="s">
        <v>124</v>
      </c>
      <c r="L494" s="1" t="s">
        <v>160</v>
      </c>
      <c r="M494" s="1" t="s">
        <v>300</v>
      </c>
      <c r="N494" s="1" t="s">
        <v>131</v>
      </c>
      <c r="P494" s="1" t="s">
        <v>2768</v>
      </c>
      <c r="R494" s="1" t="s">
        <v>137</v>
      </c>
      <c r="S494" s="1" t="s">
        <v>137</v>
      </c>
      <c r="T494" s="1" t="s">
        <v>47</v>
      </c>
      <c r="U494" s="1" t="s">
        <v>3775</v>
      </c>
    </row>
    <row r="495">
      <c r="A495" s="1" t="s">
        <v>3776</v>
      </c>
      <c r="B495" s="1" t="s">
        <v>580</v>
      </c>
      <c r="C495" s="1" t="s">
        <v>3778</v>
      </c>
      <c r="D495" s="1" t="s">
        <v>313</v>
      </c>
      <c r="E495" s="1" t="s">
        <v>175</v>
      </c>
      <c r="F495" s="1" t="s">
        <v>569</v>
      </c>
      <c r="G495" s="1" t="s">
        <v>1726</v>
      </c>
      <c r="H495" s="3">
        <v>46041.0</v>
      </c>
      <c r="I495" s="3">
        <v>46216.0</v>
      </c>
      <c r="J495" s="3">
        <v>46216.0</v>
      </c>
      <c r="K495" s="1" t="s">
        <v>215</v>
      </c>
      <c r="L495" s="1" t="s">
        <v>251</v>
      </c>
      <c r="M495" s="1" t="s">
        <v>253</v>
      </c>
      <c r="N495" s="1" t="s">
        <v>131</v>
      </c>
      <c r="O495" s="3">
        <v>46246.0</v>
      </c>
      <c r="R495" s="1" t="s">
        <v>378</v>
      </c>
      <c r="S495" s="1" t="s">
        <v>378</v>
      </c>
      <c r="T495" s="1" t="s">
        <v>381</v>
      </c>
      <c r="U495" s="1" t="s">
        <v>3781</v>
      </c>
    </row>
    <row r="496">
      <c r="A496" s="1" t="s">
        <v>139</v>
      </c>
      <c r="B496" s="1" t="s">
        <v>1774</v>
      </c>
      <c r="C496" s="1" t="s">
        <v>3783</v>
      </c>
      <c r="D496" s="1" t="s">
        <v>273</v>
      </c>
      <c r="E496" s="1" t="s">
        <v>330</v>
      </c>
      <c r="F496" s="1" t="s">
        <v>356</v>
      </c>
      <c r="G496" s="1" t="s">
        <v>359</v>
      </c>
      <c r="H496" s="3">
        <v>45771.0</v>
      </c>
      <c r="I496" s="3">
        <v>46080.0</v>
      </c>
      <c r="K496" s="1" t="s">
        <v>124</v>
      </c>
      <c r="L496" s="1" t="s">
        <v>251</v>
      </c>
      <c r="M496" s="1" t="s">
        <v>460</v>
      </c>
      <c r="N496" s="1" t="s">
        <v>472</v>
      </c>
      <c r="P496" s="1" t="s">
        <v>552</v>
      </c>
      <c r="R496" s="1" t="s">
        <v>137</v>
      </c>
      <c r="S496" s="1" t="s">
        <v>137</v>
      </c>
      <c r="T496" s="1" t="s">
        <v>47</v>
      </c>
      <c r="U496" s="1" t="s">
        <v>3784</v>
      </c>
    </row>
    <row r="497">
      <c r="A497" s="1" t="s">
        <v>2373</v>
      </c>
      <c r="B497" s="1" t="s">
        <v>116</v>
      </c>
      <c r="C497" s="1" t="s">
        <v>3785</v>
      </c>
      <c r="D497" s="1" t="s">
        <v>291</v>
      </c>
      <c r="E497" s="1" t="s">
        <v>292</v>
      </c>
      <c r="F497" s="1" t="s">
        <v>293</v>
      </c>
      <c r="G497" s="1" t="s">
        <v>295</v>
      </c>
      <c r="H497" s="3">
        <v>46129.0</v>
      </c>
      <c r="K497" s="1" t="s">
        <v>124</v>
      </c>
      <c r="L497" s="1" t="s">
        <v>98</v>
      </c>
      <c r="M497" s="1" t="s">
        <v>162</v>
      </c>
      <c r="N497" s="1" t="s">
        <v>131</v>
      </c>
      <c r="P497" s="1" t="s">
        <v>3360</v>
      </c>
      <c r="R497" s="1" t="s">
        <v>137</v>
      </c>
      <c r="S497" s="1" t="s">
        <v>137</v>
      </c>
      <c r="T497" s="1" t="s">
        <v>47</v>
      </c>
      <c r="U497" s="1" t="s">
        <v>3788</v>
      </c>
    </row>
    <row r="498">
      <c r="A498" s="1" t="s">
        <v>2152</v>
      </c>
      <c r="B498" s="1" t="s">
        <v>3789</v>
      </c>
      <c r="C498" s="1" t="s">
        <v>3790</v>
      </c>
      <c r="D498" s="1" t="s">
        <v>518</v>
      </c>
      <c r="E498" s="1" t="s">
        <v>520</v>
      </c>
      <c r="F498" s="1" t="s">
        <v>522</v>
      </c>
      <c r="G498" s="1" t="s">
        <v>524</v>
      </c>
      <c r="H498" s="3">
        <v>46027.0</v>
      </c>
      <c r="K498" s="1" t="s">
        <v>124</v>
      </c>
      <c r="L498" s="1" t="s">
        <v>251</v>
      </c>
      <c r="M498" s="1" t="s">
        <v>162</v>
      </c>
      <c r="N498" s="1" t="s">
        <v>131</v>
      </c>
      <c r="R498" s="1" t="s">
        <v>256</v>
      </c>
      <c r="S498" s="1" t="s">
        <v>256</v>
      </c>
      <c r="T498" s="1" t="s">
        <v>266</v>
      </c>
    </row>
    <row r="499">
      <c r="A499" s="1" t="s">
        <v>3792</v>
      </c>
      <c r="B499" s="1" t="s">
        <v>191</v>
      </c>
      <c r="C499" s="1" t="s">
        <v>3793</v>
      </c>
      <c r="D499" s="1" t="s">
        <v>194</v>
      </c>
      <c r="E499" s="1" t="s">
        <v>454</v>
      </c>
      <c r="F499" s="1" t="s">
        <v>455</v>
      </c>
      <c r="G499" s="1" t="s">
        <v>738</v>
      </c>
      <c r="H499" s="3">
        <v>46125.0</v>
      </c>
      <c r="I499" s="3">
        <v>46185.0</v>
      </c>
      <c r="J499" s="3">
        <v>46185.0</v>
      </c>
      <c r="K499" s="1" t="s">
        <v>215</v>
      </c>
      <c r="L499" s="1" t="s">
        <v>251</v>
      </c>
      <c r="M499" s="1" t="s">
        <v>216</v>
      </c>
      <c r="N499" s="1" t="s">
        <v>131</v>
      </c>
      <c r="O499" s="3">
        <v>46199.0</v>
      </c>
      <c r="R499" s="1" t="s">
        <v>137</v>
      </c>
      <c r="S499" s="1" t="s">
        <v>137</v>
      </c>
      <c r="T499" s="1" t="s">
        <v>47</v>
      </c>
      <c r="U499" s="1" t="s">
        <v>3795</v>
      </c>
    </row>
    <row r="500">
      <c r="A500" s="1" t="s">
        <v>3796</v>
      </c>
      <c r="B500" s="1" t="s">
        <v>191</v>
      </c>
      <c r="C500" s="1" t="s">
        <v>3798</v>
      </c>
      <c r="D500" s="1" t="s">
        <v>509</v>
      </c>
      <c r="E500" s="1" t="s">
        <v>454</v>
      </c>
      <c r="F500" s="1" t="s">
        <v>455</v>
      </c>
      <c r="G500" s="1" t="s">
        <v>456</v>
      </c>
      <c r="H500" s="3">
        <v>46034.0</v>
      </c>
      <c r="I500" s="3">
        <v>46181.0</v>
      </c>
      <c r="J500" s="3">
        <v>46181.0</v>
      </c>
      <c r="K500" s="1" t="s">
        <v>215</v>
      </c>
      <c r="L500" s="1" t="s">
        <v>251</v>
      </c>
      <c r="M500" s="1" t="s">
        <v>216</v>
      </c>
      <c r="N500" s="1" t="s">
        <v>131</v>
      </c>
      <c r="O500" s="3">
        <v>46181.0</v>
      </c>
      <c r="R500" s="1" t="s">
        <v>137</v>
      </c>
      <c r="S500" s="1" t="s">
        <v>137</v>
      </c>
      <c r="T500" s="1" t="s">
        <v>47</v>
      </c>
      <c r="U500" s="1" t="s">
        <v>3799</v>
      </c>
    </row>
    <row r="501">
      <c r="A501" s="1" t="s">
        <v>3801</v>
      </c>
      <c r="B501" s="1" t="s">
        <v>3802</v>
      </c>
      <c r="C501" s="1" t="s">
        <v>3803</v>
      </c>
      <c r="D501" s="1" t="s">
        <v>678</v>
      </c>
      <c r="E501" s="1" t="s">
        <v>292</v>
      </c>
      <c r="F501" s="1" t="s">
        <v>962</v>
      </c>
      <c r="G501" s="1" t="s">
        <v>1969</v>
      </c>
      <c r="K501" s="1" t="s">
        <v>124</v>
      </c>
      <c r="L501" s="1" t="s">
        <v>98</v>
      </c>
      <c r="M501" s="1" t="s">
        <v>129</v>
      </c>
      <c r="N501" s="1" t="s">
        <v>131</v>
      </c>
    </row>
    <row r="502">
      <c r="A502" s="1" t="s">
        <v>1954</v>
      </c>
      <c r="B502" s="1" t="s">
        <v>191</v>
      </c>
      <c r="C502" s="1" t="s">
        <v>3805</v>
      </c>
      <c r="D502" s="1" t="s">
        <v>194</v>
      </c>
      <c r="E502" s="1" t="s">
        <v>454</v>
      </c>
      <c r="F502" s="1" t="s">
        <v>455</v>
      </c>
      <c r="G502" s="1" t="s">
        <v>738</v>
      </c>
      <c r="H502" s="3">
        <v>46118.0</v>
      </c>
      <c r="K502" s="1" t="s">
        <v>124</v>
      </c>
      <c r="L502" s="1" t="s">
        <v>98</v>
      </c>
      <c r="M502" s="1" t="s">
        <v>253</v>
      </c>
      <c r="N502" s="1" t="s">
        <v>131</v>
      </c>
      <c r="P502" s="1" t="s">
        <v>1745</v>
      </c>
      <c r="R502" s="1" t="s">
        <v>137</v>
      </c>
      <c r="S502" s="1" t="s">
        <v>137</v>
      </c>
      <c r="T502" s="1" t="s">
        <v>47</v>
      </c>
      <c r="U502" s="1" t="s">
        <v>3808</v>
      </c>
    </row>
    <row r="503">
      <c r="A503" s="1" t="s">
        <v>2023</v>
      </c>
      <c r="B503" s="1" t="s">
        <v>3810</v>
      </c>
      <c r="C503" s="1" t="s">
        <v>3811</v>
      </c>
      <c r="D503" s="1" t="s">
        <v>273</v>
      </c>
      <c r="E503" s="1" t="s">
        <v>330</v>
      </c>
      <c r="F503" s="1" t="s">
        <v>663</v>
      </c>
      <c r="G503" s="1" t="s">
        <v>664</v>
      </c>
      <c r="H503" s="3">
        <v>46090.0</v>
      </c>
      <c r="K503" s="1" t="s">
        <v>124</v>
      </c>
      <c r="L503" s="1" t="s">
        <v>251</v>
      </c>
      <c r="M503" s="1" t="s">
        <v>162</v>
      </c>
      <c r="N503" s="1" t="s">
        <v>131</v>
      </c>
      <c r="P503" s="1" t="s">
        <v>3075</v>
      </c>
      <c r="R503" s="1" t="s">
        <v>137</v>
      </c>
      <c r="S503" s="1" t="s">
        <v>137</v>
      </c>
      <c r="T503" s="1" t="s">
        <v>47</v>
      </c>
      <c r="U503" s="1" t="s">
        <v>3814</v>
      </c>
    </row>
    <row r="504">
      <c r="A504" s="1" t="s">
        <v>3815</v>
      </c>
      <c r="B504" s="1" t="s">
        <v>3816</v>
      </c>
      <c r="C504" s="1" t="s">
        <v>3817</v>
      </c>
      <c r="D504" s="1" t="s">
        <v>593</v>
      </c>
      <c r="E504" s="1" t="s">
        <v>330</v>
      </c>
      <c r="F504" s="1" t="s">
        <v>663</v>
      </c>
      <c r="G504" s="1" t="s">
        <v>923</v>
      </c>
      <c r="H504" s="3">
        <v>45988.0</v>
      </c>
      <c r="I504" s="3">
        <v>46108.0</v>
      </c>
      <c r="J504" s="3">
        <v>46108.0</v>
      </c>
      <c r="K504" s="1" t="s">
        <v>215</v>
      </c>
      <c r="L504" s="1" t="s">
        <v>251</v>
      </c>
      <c r="M504" s="1" t="s">
        <v>216</v>
      </c>
      <c r="N504" s="1" t="s">
        <v>131</v>
      </c>
      <c r="O504" s="3">
        <v>46122.0</v>
      </c>
      <c r="R504" s="1" t="s">
        <v>137</v>
      </c>
      <c r="S504" s="1" t="s">
        <v>137</v>
      </c>
      <c r="T504" s="1" t="s">
        <v>47</v>
      </c>
      <c r="U504" s="1" t="s">
        <v>3821</v>
      </c>
    </row>
    <row r="505">
      <c r="A505" s="1" t="s">
        <v>3822</v>
      </c>
      <c r="B505" s="1" t="s">
        <v>191</v>
      </c>
      <c r="C505" s="1" t="s">
        <v>3823</v>
      </c>
      <c r="D505" s="1" t="s">
        <v>273</v>
      </c>
      <c r="E505" s="1" t="s">
        <v>330</v>
      </c>
      <c r="F505" s="1" t="s">
        <v>331</v>
      </c>
      <c r="G505" s="1" t="s">
        <v>333</v>
      </c>
      <c r="H505" s="3">
        <v>45665.0</v>
      </c>
      <c r="I505" s="3">
        <v>46028.0</v>
      </c>
      <c r="J505" s="3">
        <v>46028.0</v>
      </c>
      <c r="K505" s="1" t="s">
        <v>215</v>
      </c>
      <c r="L505" s="1" t="s">
        <v>251</v>
      </c>
      <c r="M505" s="1" t="s">
        <v>216</v>
      </c>
      <c r="N505" s="1" t="s">
        <v>131</v>
      </c>
      <c r="O505" s="3">
        <v>46028.0</v>
      </c>
      <c r="R505" s="1" t="s">
        <v>137</v>
      </c>
      <c r="S505" s="1" t="s">
        <v>137</v>
      </c>
      <c r="T505" s="1" t="s">
        <v>47</v>
      </c>
      <c r="U505" s="1" t="s">
        <v>3827</v>
      </c>
    </row>
    <row r="506">
      <c r="A506" s="1" t="s">
        <v>2096</v>
      </c>
      <c r="B506" s="1" t="s">
        <v>3828</v>
      </c>
      <c r="C506" s="1" t="s">
        <v>3829</v>
      </c>
      <c r="D506" s="1" t="s">
        <v>548</v>
      </c>
      <c r="E506" s="1" t="s">
        <v>520</v>
      </c>
      <c r="F506" s="1" t="s">
        <v>522</v>
      </c>
      <c r="G506" s="1" t="s">
        <v>3269</v>
      </c>
      <c r="H506" s="3">
        <v>46090.0</v>
      </c>
      <c r="I506" s="3">
        <v>46304.0</v>
      </c>
      <c r="K506" s="1" t="s">
        <v>124</v>
      </c>
      <c r="L506" s="1" t="s">
        <v>251</v>
      </c>
      <c r="M506" s="1" t="s">
        <v>300</v>
      </c>
      <c r="N506" s="1" t="s">
        <v>131</v>
      </c>
      <c r="P506" s="1" t="s">
        <v>3830</v>
      </c>
      <c r="R506" s="1" t="s">
        <v>137</v>
      </c>
      <c r="S506" s="1" t="s">
        <v>137</v>
      </c>
      <c r="T506" s="1" t="s">
        <v>47</v>
      </c>
      <c r="U506" s="1" t="s">
        <v>3832</v>
      </c>
    </row>
    <row r="507">
      <c r="A507" s="1" t="s">
        <v>2051</v>
      </c>
      <c r="B507" s="1" t="s">
        <v>760</v>
      </c>
      <c r="C507" s="1" t="s">
        <v>3834</v>
      </c>
      <c r="D507" s="1" t="s">
        <v>1823</v>
      </c>
      <c r="E507" s="1" t="s">
        <v>175</v>
      </c>
      <c r="F507" s="1" t="s">
        <v>1767</v>
      </c>
      <c r="G507" s="1" t="s">
        <v>3835</v>
      </c>
      <c r="H507" s="3">
        <v>46120.0</v>
      </c>
      <c r="I507" s="3">
        <v>46203.0</v>
      </c>
      <c r="K507" s="1" t="s">
        <v>124</v>
      </c>
      <c r="L507" s="1" t="s">
        <v>71</v>
      </c>
      <c r="M507" s="1" t="s">
        <v>460</v>
      </c>
      <c r="N507" s="1" t="s">
        <v>131</v>
      </c>
      <c r="R507" s="1" t="s">
        <v>651</v>
      </c>
      <c r="S507" s="1" t="s">
        <v>651</v>
      </c>
      <c r="T507" s="1" t="s">
        <v>652</v>
      </c>
      <c r="U507" s="1" t="s">
        <v>3838</v>
      </c>
    </row>
    <row r="508">
      <c r="A508" s="1" t="s">
        <v>2911</v>
      </c>
      <c r="B508" s="1" t="s">
        <v>191</v>
      </c>
      <c r="C508" s="1" t="s">
        <v>3840</v>
      </c>
      <c r="D508" s="1" t="s">
        <v>1776</v>
      </c>
      <c r="E508" s="1" t="s">
        <v>175</v>
      </c>
      <c r="F508" s="1" t="s">
        <v>177</v>
      </c>
      <c r="G508" s="1" t="s">
        <v>503</v>
      </c>
      <c r="H508" s="3">
        <v>46244.0</v>
      </c>
      <c r="K508" s="1" t="s">
        <v>124</v>
      </c>
      <c r="L508" s="1" t="s">
        <v>251</v>
      </c>
      <c r="M508" s="1" t="s">
        <v>162</v>
      </c>
      <c r="N508" s="1" t="s">
        <v>131</v>
      </c>
      <c r="P508" s="1" t="s">
        <v>1745</v>
      </c>
      <c r="R508" s="1" t="s">
        <v>137</v>
      </c>
      <c r="S508" s="1" t="s">
        <v>137</v>
      </c>
      <c r="T508" s="1" t="s">
        <v>47</v>
      </c>
      <c r="U508" s="1" t="s">
        <v>3843</v>
      </c>
    </row>
    <row r="509">
      <c r="A509" s="1" t="s">
        <v>2514</v>
      </c>
      <c r="B509" s="1" t="s">
        <v>3844</v>
      </c>
      <c r="C509" s="1" t="s">
        <v>3846</v>
      </c>
      <c r="D509" s="1" t="s">
        <v>1798</v>
      </c>
      <c r="E509" s="1" t="s">
        <v>175</v>
      </c>
      <c r="F509" s="1" t="s">
        <v>763</v>
      </c>
      <c r="G509" s="1" t="s">
        <v>1351</v>
      </c>
      <c r="H509" s="3">
        <v>46155.0</v>
      </c>
      <c r="I509" s="3">
        <v>46204.0</v>
      </c>
      <c r="J509" s="3">
        <v>46204.0</v>
      </c>
      <c r="K509" s="1" t="s">
        <v>124</v>
      </c>
      <c r="L509" s="1" t="s">
        <v>3079</v>
      </c>
      <c r="M509" s="1" t="s">
        <v>162</v>
      </c>
      <c r="N509" s="1" t="s">
        <v>131</v>
      </c>
      <c r="R509" s="1" t="s">
        <v>3850</v>
      </c>
      <c r="S509" s="1" t="s">
        <v>3850</v>
      </c>
      <c r="T509" s="1" t="s">
        <v>3851</v>
      </c>
      <c r="U509" s="1" t="s">
        <v>3852</v>
      </c>
    </row>
    <row r="510">
      <c r="A510" s="1" t="s">
        <v>3853</v>
      </c>
      <c r="B510" s="1" t="s">
        <v>191</v>
      </c>
      <c r="C510" s="1" t="s">
        <v>3854</v>
      </c>
      <c r="D510" s="1" t="s">
        <v>194</v>
      </c>
      <c r="E510" s="1" t="s">
        <v>119</v>
      </c>
      <c r="F510" s="1" t="s">
        <v>1338</v>
      </c>
      <c r="G510" s="1" t="s">
        <v>1338</v>
      </c>
      <c r="H510" s="3">
        <v>46244.0</v>
      </c>
      <c r="K510" s="1" t="s">
        <v>124</v>
      </c>
      <c r="L510" s="1" t="s">
        <v>251</v>
      </c>
      <c r="M510" s="1" t="s">
        <v>162</v>
      </c>
      <c r="N510" s="1" t="s">
        <v>131</v>
      </c>
      <c r="P510" s="1" t="s">
        <v>1221</v>
      </c>
      <c r="R510" s="1" t="s">
        <v>137</v>
      </c>
      <c r="S510" s="1" t="s">
        <v>137</v>
      </c>
      <c r="T510" s="1" t="s">
        <v>47</v>
      </c>
      <c r="U510" s="1" t="s">
        <v>3861</v>
      </c>
    </row>
    <row r="511">
      <c r="A511" s="1" t="s">
        <v>2127</v>
      </c>
      <c r="B511" s="1" t="s">
        <v>3540</v>
      </c>
      <c r="C511" s="1" t="s">
        <v>3854</v>
      </c>
      <c r="D511" s="1" t="s">
        <v>194</v>
      </c>
      <c r="E511" s="1" t="s">
        <v>119</v>
      </c>
      <c r="F511" s="1" t="s">
        <v>1338</v>
      </c>
      <c r="G511" s="1" t="s">
        <v>1338</v>
      </c>
      <c r="H511" s="3">
        <v>46104.0</v>
      </c>
      <c r="K511" s="1" t="s">
        <v>124</v>
      </c>
      <c r="L511" s="1" t="s">
        <v>98</v>
      </c>
      <c r="M511" s="1" t="s">
        <v>162</v>
      </c>
      <c r="N511" s="1" t="s">
        <v>131</v>
      </c>
      <c r="P511" s="1" t="s">
        <v>3864</v>
      </c>
      <c r="R511" s="1" t="s">
        <v>137</v>
      </c>
      <c r="S511" s="1" t="s">
        <v>137</v>
      </c>
      <c r="T511" s="1" t="s">
        <v>47</v>
      </c>
      <c r="U511" s="1" t="s">
        <v>3866</v>
      </c>
    </row>
    <row r="512">
      <c r="A512" s="1" t="s">
        <v>1919</v>
      </c>
      <c r="B512" s="1" t="s">
        <v>191</v>
      </c>
      <c r="C512" s="1" t="s">
        <v>3867</v>
      </c>
      <c r="D512" s="1" t="s">
        <v>509</v>
      </c>
      <c r="E512" s="1" t="s">
        <v>454</v>
      </c>
      <c r="F512" s="1" t="s">
        <v>612</v>
      </c>
      <c r="H512" s="3">
        <v>46090.0</v>
      </c>
      <c r="I512" s="3">
        <v>46244.0</v>
      </c>
      <c r="K512" s="1" t="s">
        <v>124</v>
      </c>
      <c r="L512" s="1" t="s">
        <v>98</v>
      </c>
      <c r="M512" s="1" t="s">
        <v>162</v>
      </c>
      <c r="N512" s="1" t="s">
        <v>472</v>
      </c>
      <c r="P512" s="1" t="s">
        <v>204</v>
      </c>
      <c r="R512" s="1" t="s">
        <v>137</v>
      </c>
      <c r="S512" s="1" t="s">
        <v>137</v>
      </c>
      <c r="T512" s="1" t="s">
        <v>47</v>
      </c>
      <c r="U512" s="1" t="s">
        <v>3870</v>
      </c>
    </row>
    <row r="513">
      <c r="A513" s="1" t="s">
        <v>3871</v>
      </c>
      <c r="B513" s="1" t="s">
        <v>3873</v>
      </c>
      <c r="C513" s="1" t="s">
        <v>3874</v>
      </c>
      <c r="D513" s="1" t="s">
        <v>548</v>
      </c>
      <c r="E513" s="1" t="s">
        <v>520</v>
      </c>
      <c r="F513" s="1" t="s">
        <v>522</v>
      </c>
      <c r="G513" s="1" t="s">
        <v>3269</v>
      </c>
      <c r="H513" s="3">
        <v>45925.0</v>
      </c>
      <c r="I513" s="3">
        <v>46022.0</v>
      </c>
      <c r="J513" s="3">
        <v>46022.0</v>
      </c>
      <c r="K513" s="1" t="s">
        <v>215</v>
      </c>
      <c r="L513" s="1" t="s">
        <v>98</v>
      </c>
      <c r="M513" s="1" t="s">
        <v>216</v>
      </c>
      <c r="N513" s="1" t="s">
        <v>131</v>
      </c>
      <c r="O513" s="3">
        <v>46234.0</v>
      </c>
      <c r="R513" s="1" t="s">
        <v>3493</v>
      </c>
      <c r="S513" s="1" t="s">
        <v>3493</v>
      </c>
      <c r="T513" s="1" t="s">
        <v>227</v>
      </c>
      <c r="U513" s="1" t="s">
        <v>3877</v>
      </c>
    </row>
    <row r="514">
      <c r="A514" s="1" t="s">
        <v>1900</v>
      </c>
      <c r="B514" s="1" t="s">
        <v>191</v>
      </c>
      <c r="C514" s="1" t="s">
        <v>3878</v>
      </c>
      <c r="D514" s="1" t="s">
        <v>678</v>
      </c>
      <c r="E514" s="1" t="s">
        <v>454</v>
      </c>
      <c r="F514" s="1" t="s">
        <v>455</v>
      </c>
      <c r="G514" s="1" t="s">
        <v>456</v>
      </c>
      <c r="H514" s="3">
        <v>46104.0</v>
      </c>
      <c r="I514" s="3">
        <v>46279.0</v>
      </c>
      <c r="K514" s="1" t="s">
        <v>124</v>
      </c>
      <c r="L514" s="1" t="s">
        <v>98</v>
      </c>
      <c r="M514" s="1" t="s">
        <v>460</v>
      </c>
      <c r="N514" s="1" t="s">
        <v>131</v>
      </c>
      <c r="P514" s="1" t="s">
        <v>989</v>
      </c>
      <c r="R514" s="1" t="s">
        <v>137</v>
      </c>
      <c r="S514" s="1" t="s">
        <v>137</v>
      </c>
      <c r="T514" s="1" t="s">
        <v>47</v>
      </c>
      <c r="U514" s="1" t="s">
        <v>3880</v>
      </c>
    </row>
    <row r="515">
      <c r="A515" s="1" t="s">
        <v>445</v>
      </c>
      <c r="B515" s="1" t="s">
        <v>354</v>
      </c>
      <c r="C515" s="1" t="s">
        <v>3881</v>
      </c>
      <c r="D515" s="1" t="s">
        <v>1798</v>
      </c>
      <c r="E515" s="1" t="s">
        <v>175</v>
      </c>
      <c r="F515" s="1" t="s">
        <v>569</v>
      </c>
      <c r="G515" s="1" t="s">
        <v>798</v>
      </c>
      <c r="H515" s="3">
        <v>45932.0</v>
      </c>
      <c r="I515" s="3">
        <v>46248.0</v>
      </c>
      <c r="J515" s="3">
        <v>46248.0</v>
      </c>
      <c r="K515" s="1" t="s">
        <v>124</v>
      </c>
      <c r="L515" s="1" t="s">
        <v>251</v>
      </c>
      <c r="M515" s="1" t="s">
        <v>253</v>
      </c>
      <c r="N515" s="1" t="s">
        <v>131</v>
      </c>
      <c r="P515" s="1" t="s">
        <v>1844</v>
      </c>
      <c r="R515" s="1" t="s">
        <v>137</v>
      </c>
      <c r="S515" s="1" t="s">
        <v>137</v>
      </c>
      <c r="T515" s="1" t="s">
        <v>47</v>
      </c>
      <c r="U515" s="1" t="s">
        <v>3883</v>
      </c>
    </row>
    <row r="516">
      <c r="A516" s="1" t="s">
        <v>3885</v>
      </c>
      <c r="B516" s="1" t="s">
        <v>3886</v>
      </c>
      <c r="C516" s="1" t="s">
        <v>3887</v>
      </c>
      <c r="D516" s="1" t="s">
        <v>118</v>
      </c>
      <c r="E516" s="1" t="s">
        <v>330</v>
      </c>
      <c r="F516" s="1" t="s">
        <v>663</v>
      </c>
      <c r="G516" s="1" t="s">
        <v>3889</v>
      </c>
      <c r="H516" s="3">
        <v>46064.0</v>
      </c>
      <c r="I516" s="3">
        <v>46128.0</v>
      </c>
      <c r="J516" s="3">
        <v>46128.0</v>
      </c>
      <c r="K516" s="1" t="s">
        <v>215</v>
      </c>
      <c r="L516" s="1" t="s">
        <v>71</v>
      </c>
      <c r="M516" s="1" t="s">
        <v>216</v>
      </c>
      <c r="N516" s="1" t="s">
        <v>131</v>
      </c>
      <c r="O516" s="3">
        <v>46149.0</v>
      </c>
      <c r="R516" s="1" t="s">
        <v>665</v>
      </c>
      <c r="S516" s="1" t="s">
        <v>665</v>
      </c>
      <c r="T516" s="1" t="s">
        <v>666</v>
      </c>
      <c r="U516" s="1" t="s">
        <v>3892</v>
      </c>
    </row>
    <row r="517">
      <c r="A517" s="1" t="s">
        <v>2800</v>
      </c>
      <c r="B517" s="1" t="s">
        <v>580</v>
      </c>
      <c r="C517" s="1" t="s">
        <v>3893</v>
      </c>
      <c r="D517" s="1" t="s">
        <v>273</v>
      </c>
      <c r="E517" s="1" t="s">
        <v>330</v>
      </c>
      <c r="F517" s="1" t="s">
        <v>331</v>
      </c>
      <c r="G517" s="1" t="s">
        <v>333</v>
      </c>
      <c r="H517" s="3">
        <v>46199.0</v>
      </c>
      <c r="K517" s="1" t="s">
        <v>124</v>
      </c>
      <c r="L517" s="1" t="s">
        <v>251</v>
      </c>
      <c r="M517" s="1" t="s">
        <v>300</v>
      </c>
      <c r="N517" s="1" t="s">
        <v>131</v>
      </c>
      <c r="P517" s="1" t="s">
        <v>3198</v>
      </c>
      <c r="R517" s="1" t="s">
        <v>137</v>
      </c>
      <c r="S517" s="1" t="s">
        <v>137</v>
      </c>
      <c r="T517" s="1" t="s">
        <v>47</v>
      </c>
      <c r="U517" s="1" t="s">
        <v>3199</v>
      </c>
    </row>
    <row r="518">
      <c r="A518" s="1" t="s">
        <v>2090</v>
      </c>
      <c r="B518" s="1" t="s">
        <v>191</v>
      </c>
      <c r="C518" s="1" t="s">
        <v>3895</v>
      </c>
      <c r="D518" s="1" t="s">
        <v>313</v>
      </c>
      <c r="E518" s="1" t="s">
        <v>292</v>
      </c>
      <c r="F518" s="1" t="s">
        <v>293</v>
      </c>
      <c r="G518" s="1" t="s">
        <v>295</v>
      </c>
      <c r="H518" s="3">
        <v>46153.0</v>
      </c>
      <c r="K518" s="1" t="s">
        <v>124</v>
      </c>
      <c r="L518" s="1" t="s">
        <v>251</v>
      </c>
      <c r="M518" s="1" t="s">
        <v>162</v>
      </c>
      <c r="N518" s="1" t="s">
        <v>131</v>
      </c>
      <c r="P518" s="1" t="s">
        <v>204</v>
      </c>
      <c r="R518" s="1" t="s">
        <v>137</v>
      </c>
      <c r="S518" s="1" t="s">
        <v>137</v>
      </c>
      <c r="T518" s="1" t="s">
        <v>47</v>
      </c>
      <c r="U518" s="1" t="s">
        <v>3898</v>
      </c>
    </row>
    <row r="519">
      <c r="A519" s="1" t="s">
        <v>2182</v>
      </c>
      <c r="B519" s="1" t="s">
        <v>3114</v>
      </c>
      <c r="C519" s="1" t="s">
        <v>3895</v>
      </c>
      <c r="D519" s="1" t="s">
        <v>313</v>
      </c>
      <c r="E519" s="1" t="s">
        <v>292</v>
      </c>
      <c r="F519" s="1" t="s">
        <v>293</v>
      </c>
      <c r="G519" s="1" t="s">
        <v>295</v>
      </c>
      <c r="H519" s="3">
        <v>46118.0</v>
      </c>
      <c r="I519" s="3">
        <v>46234.0</v>
      </c>
      <c r="K519" s="1" t="s">
        <v>124</v>
      </c>
      <c r="L519" s="1" t="s">
        <v>98</v>
      </c>
      <c r="M519" s="1" t="s">
        <v>460</v>
      </c>
      <c r="N519" s="1" t="s">
        <v>131</v>
      </c>
      <c r="P519" s="1" t="s">
        <v>3901</v>
      </c>
      <c r="R519" s="1" t="s">
        <v>137</v>
      </c>
      <c r="S519" s="1" t="s">
        <v>137</v>
      </c>
      <c r="T519" s="1" t="s">
        <v>47</v>
      </c>
      <c r="U519" s="1" t="s">
        <v>3902</v>
      </c>
    </row>
    <row r="520">
      <c r="A520" s="1" t="s">
        <v>3903</v>
      </c>
      <c r="B520" s="1" t="s">
        <v>354</v>
      </c>
      <c r="C520" s="1" t="s">
        <v>3904</v>
      </c>
      <c r="D520" s="1" t="s">
        <v>313</v>
      </c>
      <c r="E520" s="1" t="s">
        <v>175</v>
      </c>
      <c r="F520" s="1" t="s">
        <v>569</v>
      </c>
      <c r="G520" s="1" t="s">
        <v>798</v>
      </c>
      <c r="H520" s="3">
        <v>45905.0</v>
      </c>
      <c r="I520" s="3">
        <v>46062.0</v>
      </c>
      <c r="J520" s="3">
        <v>46062.0</v>
      </c>
      <c r="K520" s="1" t="s">
        <v>215</v>
      </c>
      <c r="L520" s="1" t="s">
        <v>251</v>
      </c>
      <c r="M520" s="1" t="s">
        <v>216</v>
      </c>
      <c r="N520" s="1" t="s">
        <v>131</v>
      </c>
      <c r="O520" s="3">
        <v>46076.0</v>
      </c>
      <c r="R520" s="1" t="s">
        <v>137</v>
      </c>
      <c r="S520" s="1" t="s">
        <v>137</v>
      </c>
      <c r="T520" s="1" t="s">
        <v>47</v>
      </c>
      <c r="U520" s="1" t="s">
        <v>3907</v>
      </c>
    </row>
    <row r="521">
      <c r="A521" s="1" t="s">
        <v>3909</v>
      </c>
      <c r="B521" s="1" t="s">
        <v>191</v>
      </c>
      <c r="C521" s="1" t="s">
        <v>3904</v>
      </c>
      <c r="D521" s="1" t="s">
        <v>313</v>
      </c>
      <c r="E521" s="1" t="s">
        <v>175</v>
      </c>
      <c r="F521" s="1" t="s">
        <v>569</v>
      </c>
      <c r="G521" s="1" t="s">
        <v>798</v>
      </c>
      <c r="H521" s="3">
        <v>45826.0</v>
      </c>
      <c r="I521" s="3">
        <v>45908.0</v>
      </c>
      <c r="J521" s="3">
        <v>45908.0</v>
      </c>
      <c r="K521" s="1" t="s">
        <v>215</v>
      </c>
      <c r="L521" s="1" t="s">
        <v>251</v>
      </c>
      <c r="M521" s="1" t="s">
        <v>216</v>
      </c>
      <c r="N521" s="1" t="s">
        <v>131</v>
      </c>
      <c r="O521" s="3">
        <v>45908.0</v>
      </c>
      <c r="R521" s="1" t="s">
        <v>137</v>
      </c>
      <c r="S521" s="1" t="s">
        <v>137</v>
      </c>
      <c r="T521" s="1" t="s">
        <v>47</v>
      </c>
      <c r="U521" s="1" t="s">
        <v>3913</v>
      </c>
    </row>
    <row r="522">
      <c r="A522" s="1" t="s">
        <v>3914</v>
      </c>
      <c r="B522" s="1" t="s">
        <v>240</v>
      </c>
      <c r="C522" s="1" t="s">
        <v>3915</v>
      </c>
      <c r="D522" s="1" t="s">
        <v>509</v>
      </c>
      <c r="E522" s="1" t="s">
        <v>153</v>
      </c>
      <c r="F522" s="1" t="s">
        <v>274</v>
      </c>
      <c r="G522" s="1" t="s">
        <v>276</v>
      </c>
      <c r="H522" s="3">
        <v>46099.0</v>
      </c>
      <c r="I522" s="3">
        <v>46185.0</v>
      </c>
      <c r="K522" s="1" t="s">
        <v>215</v>
      </c>
      <c r="L522" s="1" t="s">
        <v>251</v>
      </c>
      <c r="M522" s="1" t="s">
        <v>216</v>
      </c>
      <c r="N522" s="1" t="s">
        <v>131</v>
      </c>
      <c r="O522" s="3">
        <v>46230.0</v>
      </c>
      <c r="R522" s="1" t="s">
        <v>3918</v>
      </c>
      <c r="S522" s="1" t="s">
        <v>3918</v>
      </c>
      <c r="T522" s="1" t="s">
        <v>3919</v>
      </c>
      <c r="U522" s="1" t="s">
        <v>3920</v>
      </c>
    </row>
    <row r="523">
      <c r="A523" s="1" t="s">
        <v>349</v>
      </c>
      <c r="B523" s="1" t="s">
        <v>191</v>
      </c>
      <c r="C523" s="1" t="s">
        <v>3922</v>
      </c>
      <c r="D523" s="1" t="s">
        <v>678</v>
      </c>
      <c r="E523" s="1" t="s">
        <v>889</v>
      </c>
      <c r="F523" s="1" t="s">
        <v>2614</v>
      </c>
      <c r="G523" s="1" t="s">
        <v>2650</v>
      </c>
      <c r="H523" s="3">
        <v>46027.0</v>
      </c>
      <c r="I523" s="3">
        <v>46262.0</v>
      </c>
      <c r="K523" s="1" t="s">
        <v>124</v>
      </c>
      <c r="L523" s="1" t="s">
        <v>251</v>
      </c>
      <c r="M523" s="1" t="s">
        <v>253</v>
      </c>
      <c r="N523" s="1" t="s">
        <v>472</v>
      </c>
      <c r="P523" s="1" t="s">
        <v>411</v>
      </c>
      <c r="R523" s="1" t="s">
        <v>137</v>
      </c>
      <c r="S523" s="1" t="s">
        <v>137</v>
      </c>
      <c r="T523" s="1" t="s">
        <v>47</v>
      </c>
      <c r="U523" s="1" t="s">
        <v>3924</v>
      </c>
    </row>
    <row r="524">
      <c r="A524" s="1" t="s">
        <v>3925</v>
      </c>
      <c r="B524" s="1" t="s">
        <v>191</v>
      </c>
      <c r="C524" s="1" t="s">
        <v>3926</v>
      </c>
      <c r="D524" s="1" t="s">
        <v>1360</v>
      </c>
      <c r="E524" s="1" t="s">
        <v>438</v>
      </c>
      <c r="F524" s="1" t="s">
        <v>3240</v>
      </c>
      <c r="G524" s="1" t="s">
        <v>3241</v>
      </c>
      <c r="H524" s="3">
        <v>45867.0</v>
      </c>
      <c r="I524" s="3">
        <v>46002.0</v>
      </c>
      <c r="J524" s="3">
        <v>46002.0</v>
      </c>
      <c r="K524" s="1" t="s">
        <v>215</v>
      </c>
      <c r="L524" s="1" t="s">
        <v>251</v>
      </c>
      <c r="M524" s="1" t="s">
        <v>216</v>
      </c>
      <c r="N524" s="1" t="s">
        <v>131</v>
      </c>
      <c r="O524" s="3">
        <v>46002.0</v>
      </c>
      <c r="R524" s="1" t="s">
        <v>137</v>
      </c>
      <c r="S524" s="1" t="s">
        <v>137</v>
      </c>
      <c r="T524" s="1" t="s">
        <v>47</v>
      </c>
      <c r="U524" s="1" t="s">
        <v>3929</v>
      </c>
    </row>
    <row r="525">
      <c r="A525" s="1" t="s">
        <v>2916</v>
      </c>
      <c r="B525" s="1" t="s">
        <v>191</v>
      </c>
      <c r="C525" s="1" t="s">
        <v>3931</v>
      </c>
      <c r="D525" s="1" t="s">
        <v>678</v>
      </c>
      <c r="E525" s="1" t="s">
        <v>454</v>
      </c>
      <c r="F525" s="1" t="s">
        <v>637</v>
      </c>
      <c r="G525" s="1" t="s">
        <v>2554</v>
      </c>
      <c r="H525" s="3">
        <v>46245.0</v>
      </c>
      <c r="I525" s="3">
        <v>46377.0</v>
      </c>
      <c r="K525" s="1" t="s">
        <v>124</v>
      </c>
      <c r="L525" s="1" t="s">
        <v>160</v>
      </c>
      <c r="M525" s="1" t="s">
        <v>162</v>
      </c>
      <c r="N525" s="1" t="s">
        <v>131</v>
      </c>
      <c r="P525" s="1" t="s">
        <v>3932</v>
      </c>
      <c r="R525" s="1" t="s">
        <v>137</v>
      </c>
      <c r="S525" s="1" t="s">
        <v>137</v>
      </c>
      <c r="T525" s="1" t="s">
        <v>47</v>
      </c>
      <c r="U525" s="1" t="s">
        <v>3933</v>
      </c>
    </row>
    <row r="526">
      <c r="A526" s="1" t="s">
        <v>3934</v>
      </c>
      <c r="B526" s="1" t="s">
        <v>3114</v>
      </c>
      <c r="C526" s="1" t="s">
        <v>3935</v>
      </c>
      <c r="D526" s="1" t="s">
        <v>172</v>
      </c>
      <c r="E526" s="1" t="s">
        <v>2845</v>
      </c>
      <c r="F526" s="1" t="s">
        <v>3936</v>
      </c>
      <c r="G526" s="1" t="s">
        <v>3936</v>
      </c>
      <c r="H526" s="3">
        <v>46098.0</v>
      </c>
      <c r="K526" s="1" t="s">
        <v>124</v>
      </c>
      <c r="L526" s="1" t="s">
        <v>98</v>
      </c>
      <c r="M526" s="1" t="s">
        <v>162</v>
      </c>
      <c r="N526" s="1" t="s">
        <v>131</v>
      </c>
      <c r="P526" s="1" t="s">
        <v>164</v>
      </c>
      <c r="R526" s="1" t="s">
        <v>137</v>
      </c>
      <c r="S526" s="1" t="s">
        <v>137</v>
      </c>
      <c r="T526" s="1" t="s">
        <v>47</v>
      </c>
    </row>
    <row r="527">
      <c r="A527" s="1" t="s">
        <v>1961</v>
      </c>
      <c r="B527" s="1" t="s">
        <v>191</v>
      </c>
      <c r="C527" s="1" t="s">
        <v>3937</v>
      </c>
      <c r="D527" s="1" t="s">
        <v>657</v>
      </c>
      <c r="E527" s="1" t="s">
        <v>292</v>
      </c>
      <c r="F527" s="1" t="s">
        <v>293</v>
      </c>
      <c r="G527" s="1" t="s">
        <v>2091</v>
      </c>
      <c r="H527" s="3">
        <v>46218.0</v>
      </c>
      <c r="I527" s="3">
        <v>46356.0</v>
      </c>
      <c r="K527" s="1" t="s">
        <v>124</v>
      </c>
      <c r="L527" s="1" t="s">
        <v>98</v>
      </c>
      <c r="M527" s="1" t="s">
        <v>162</v>
      </c>
      <c r="N527" s="1" t="s">
        <v>131</v>
      </c>
      <c r="P527" s="1" t="s">
        <v>852</v>
      </c>
      <c r="R527" s="1" t="s">
        <v>137</v>
      </c>
      <c r="S527" s="1" t="s">
        <v>137</v>
      </c>
      <c r="T527" s="1" t="s">
        <v>47</v>
      </c>
      <c r="U527" s="1" t="s">
        <v>3939</v>
      </c>
    </row>
    <row r="528">
      <c r="A528" s="1" t="s">
        <v>3941</v>
      </c>
      <c r="B528" s="1" t="s">
        <v>116</v>
      </c>
      <c r="C528" s="1" t="s">
        <v>3937</v>
      </c>
      <c r="D528" s="1" t="s">
        <v>657</v>
      </c>
      <c r="E528" s="1" t="s">
        <v>292</v>
      </c>
      <c r="F528" s="1" t="s">
        <v>293</v>
      </c>
      <c r="G528" s="1" t="s">
        <v>2091</v>
      </c>
      <c r="H528" s="3">
        <v>46129.0</v>
      </c>
      <c r="K528" s="1" t="s">
        <v>124</v>
      </c>
      <c r="L528" s="1" t="s">
        <v>98</v>
      </c>
      <c r="M528" s="1" t="s">
        <v>162</v>
      </c>
      <c r="N528" s="1" t="s">
        <v>131</v>
      </c>
      <c r="P528" s="1" t="s">
        <v>3650</v>
      </c>
      <c r="R528" s="1" t="s">
        <v>137</v>
      </c>
      <c r="S528" s="1" t="s">
        <v>137</v>
      </c>
      <c r="T528" s="1" t="s">
        <v>47</v>
      </c>
    </row>
    <row r="529">
      <c r="A529" s="1" t="s">
        <v>3943</v>
      </c>
      <c r="B529" s="1" t="s">
        <v>191</v>
      </c>
      <c r="C529" s="1" t="s">
        <v>3944</v>
      </c>
      <c r="D529" s="1" t="s">
        <v>657</v>
      </c>
      <c r="E529" s="1" t="s">
        <v>292</v>
      </c>
      <c r="F529" s="1" t="s">
        <v>293</v>
      </c>
      <c r="G529" s="1" t="s">
        <v>316</v>
      </c>
      <c r="H529" s="3">
        <v>45785.0</v>
      </c>
      <c r="I529" s="3">
        <v>45919.0</v>
      </c>
      <c r="J529" s="3">
        <v>45919.0</v>
      </c>
      <c r="K529" s="1" t="s">
        <v>215</v>
      </c>
      <c r="L529" s="1" t="s">
        <v>251</v>
      </c>
      <c r="M529" s="1" t="s">
        <v>216</v>
      </c>
      <c r="N529" s="1" t="s">
        <v>131</v>
      </c>
      <c r="O529" s="3">
        <v>45894.0</v>
      </c>
      <c r="R529" s="1" t="s">
        <v>137</v>
      </c>
      <c r="S529" s="1" t="s">
        <v>137</v>
      </c>
      <c r="T529" s="1" t="s">
        <v>47</v>
      </c>
      <c r="U529" s="1" t="s">
        <v>3945</v>
      </c>
    </row>
    <row r="530">
      <c r="A530" s="1" t="s">
        <v>471</v>
      </c>
      <c r="B530" s="1" t="s">
        <v>557</v>
      </c>
      <c r="C530" s="1" t="s">
        <v>3946</v>
      </c>
      <c r="D530" s="1" t="s">
        <v>273</v>
      </c>
      <c r="E530" s="1" t="s">
        <v>330</v>
      </c>
      <c r="F530" s="1" t="s">
        <v>663</v>
      </c>
      <c r="G530" s="1" t="s">
        <v>664</v>
      </c>
      <c r="H530" s="3">
        <v>45819.0</v>
      </c>
      <c r="I530" s="3">
        <v>46024.0</v>
      </c>
      <c r="J530" s="3">
        <v>46024.0</v>
      </c>
      <c r="K530" s="1" t="s">
        <v>124</v>
      </c>
      <c r="L530" s="1" t="s">
        <v>251</v>
      </c>
      <c r="M530" s="1" t="s">
        <v>363</v>
      </c>
      <c r="N530" s="1" t="s">
        <v>131</v>
      </c>
      <c r="P530" s="1" t="s">
        <v>474</v>
      </c>
      <c r="R530" s="1" t="s">
        <v>137</v>
      </c>
      <c r="S530" s="1" t="s">
        <v>137</v>
      </c>
      <c r="T530" s="1" t="s">
        <v>47</v>
      </c>
      <c r="U530" s="1" t="s">
        <v>3948</v>
      </c>
    </row>
    <row r="531">
      <c r="A531" s="1" t="s">
        <v>3949</v>
      </c>
      <c r="B531" s="1" t="s">
        <v>191</v>
      </c>
      <c r="C531" s="1" t="s">
        <v>3950</v>
      </c>
      <c r="D531" s="1" t="s">
        <v>313</v>
      </c>
      <c r="E531" s="1" t="s">
        <v>175</v>
      </c>
      <c r="F531" s="1" t="s">
        <v>569</v>
      </c>
      <c r="G531" s="1" t="s">
        <v>1842</v>
      </c>
      <c r="H531" s="3">
        <v>46076.0</v>
      </c>
      <c r="I531" s="3">
        <v>46160.0</v>
      </c>
      <c r="J531" s="3">
        <v>46160.0</v>
      </c>
      <c r="K531" s="1" t="s">
        <v>215</v>
      </c>
      <c r="L531" s="1" t="s">
        <v>98</v>
      </c>
      <c r="M531" s="1" t="s">
        <v>216</v>
      </c>
      <c r="N531" s="1" t="s">
        <v>131</v>
      </c>
      <c r="O531" s="3">
        <v>46184.0</v>
      </c>
      <c r="R531" s="1" t="s">
        <v>137</v>
      </c>
      <c r="S531" s="1" t="s">
        <v>137</v>
      </c>
      <c r="T531" s="1" t="s">
        <v>47</v>
      </c>
      <c r="U531" s="1" t="s">
        <v>3953</v>
      </c>
    </row>
    <row r="532">
      <c r="A532" s="1" t="s">
        <v>2824</v>
      </c>
      <c r="B532" s="1" t="s">
        <v>3954</v>
      </c>
      <c r="C532" s="1" t="s">
        <v>3950</v>
      </c>
      <c r="D532" s="1" t="s">
        <v>313</v>
      </c>
      <c r="E532" s="1" t="s">
        <v>175</v>
      </c>
      <c r="F532" s="1" t="s">
        <v>569</v>
      </c>
      <c r="G532" s="1" t="s">
        <v>1842</v>
      </c>
      <c r="H532" s="3">
        <v>46216.0</v>
      </c>
      <c r="K532" s="1" t="s">
        <v>124</v>
      </c>
      <c r="L532" s="1" t="s">
        <v>251</v>
      </c>
      <c r="M532" s="1" t="s">
        <v>162</v>
      </c>
      <c r="N532" s="1" t="s">
        <v>131</v>
      </c>
      <c r="P532" s="1" t="s">
        <v>2703</v>
      </c>
      <c r="R532" s="1" t="s">
        <v>137</v>
      </c>
      <c r="S532" s="1" t="s">
        <v>137</v>
      </c>
      <c r="T532" s="1" t="s">
        <v>47</v>
      </c>
      <c r="U532" s="1" t="s">
        <v>3956</v>
      </c>
    </row>
    <row r="533">
      <c r="A533" s="1" t="s">
        <v>3957</v>
      </c>
      <c r="B533" s="1" t="s">
        <v>146</v>
      </c>
      <c r="C533" s="1" t="s">
        <v>3958</v>
      </c>
      <c r="D533" s="1" t="s">
        <v>1477</v>
      </c>
      <c r="E533" s="1" t="s">
        <v>2845</v>
      </c>
      <c r="F533" s="1" t="s">
        <v>3936</v>
      </c>
      <c r="G533" s="1" t="s">
        <v>3936</v>
      </c>
      <c r="H533" s="3">
        <v>46223.0</v>
      </c>
      <c r="K533" s="1" t="s">
        <v>124</v>
      </c>
      <c r="L533" s="1" t="s">
        <v>160</v>
      </c>
      <c r="M533" s="1" t="s">
        <v>162</v>
      </c>
      <c r="N533" s="1" t="s">
        <v>131</v>
      </c>
      <c r="R533" s="1" t="s">
        <v>3960</v>
      </c>
      <c r="S533" s="1" t="s">
        <v>3960</v>
      </c>
      <c r="T533" s="1" t="s">
        <v>3961</v>
      </c>
    </row>
    <row r="534">
      <c r="A534" s="1" t="s">
        <v>2290</v>
      </c>
      <c r="B534" s="1" t="s">
        <v>116</v>
      </c>
      <c r="C534" s="1" t="s">
        <v>3962</v>
      </c>
      <c r="D534" s="1" t="s">
        <v>417</v>
      </c>
      <c r="E534" s="1" t="s">
        <v>889</v>
      </c>
      <c r="F534" s="1" t="s">
        <v>1983</v>
      </c>
      <c r="G534" s="1" t="s">
        <v>3964</v>
      </c>
      <c r="H534" s="3">
        <v>46128.0</v>
      </c>
      <c r="I534" s="3">
        <v>46273.0</v>
      </c>
      <c r="K534" s="1" t="s">
        <v>124</v>
      </c>
      <c r="L534" s="1" t="s">
        <v>160</v>
      </c>
      <c r="M534" s="1" t="s">
        <v>460</v>
      </c>
      <c r="N534" s="1" t="s">
        <v>131</v>
      </c>
      <c r="P534" s="1" t="s">
        <v>1058</v>
      </c>
      <c r="R534" s="1" t="s">
        <v>137</v>
      </c>
      <c r="S534" s="1" t="s">
        <v>137</v>
      </c>
      <c r="T534" s="1" t="s">
        <v>47</v>
      </c>
      <c r="U534" s="1" t="s">
        <v>3967</v>
      </c>
    </row>
    <row r="535">
      <c r="A535" s="1" t="s">
        <v>2794</v>
      </c>
      <c r="B535" s="1" t="s">
        <v>580</v>
      </c>
      <c r="C535" s="1" t="s">
        <v>3968</v>
      </c>
      <c r="D535" s="1" t="s">
        <v>273</v>
      </c>
      <c r="E535" s="1" t="s">
        <v>330</v>
      </c>
      <c r="F535" s="1" t="s">
        <v>356</v>
      </c>
      <c r="G535" s="1" t="s">
        <v>359</v>
      </c>
      <c r="H535" s="3">
        <v>46204.0</v>
      </c>
      <c r="K535" s="1" t="s">
        <v>124</v>
      </c>
      <c r="L535" s="1" t="s">
        <v>251</v>
      </c>
      <c r="M535" s="1" t="s">
        <v>129</v>
      </c>
      <c r="N535" s="1" t="s">
        <v>131</v>
      </c>
      <c r="P535" s="1" t="s">
        <v>3969</v>
      </c>
      <c r="R535" s="1" t="s">
        <v>137</v>
      </c>
      <c r="S535" s="1" t="s">
        <v>137</v>
      </c>
      <c r="T535" s="1" t="s">
        <v>47</v>
      </c>
      <c r="U535" s="1" t="s">
        <v>3971</v>
      </c>
    </row>
    <row r="536">
      <c r="A536" s="1" t="s">
        <v>3972</v>
      </c>
      <c r="B536" s="1" t="s">
        <v>3973</v>
      </c>
      <c r="C536" s="1" t="s">
        <v>3974</v>
      </c>
      <c r="D536" s="1" t="s">
        <v>388</v>
      </c>
      <c r="E536" s="1" t="s">
        <v>889</v>
      </c>
      <c r="F536" s="1" t="s">
        <v>1193</v>
      </c>
      <c r="G536" s="1" t="s">
        <v>1195</v>
      </c>
      <c r="H536" s="3">
        <v>46076.0</v>
      </c>
      <c r="K536" s="1" t="s">
        <v>124</v>
      </c>
      <c r="L536" s="1" t="s">
        <v>251</v>
      </c>
      <c r="M536" s="1" t="s">
        <v>162</v>
      </c>
      <c r="N536" s="1" t="s">
        <v>131</v>
      </c>
      <c r="P536" s="1" t="s">
        <v>3977</v>
      </c>
      <c r="R536" s="1" t="s">
        <v>137</v>
      </c>
      <c r="S536" s="1" t="s">
        <v>137</v>
      </c>
      <c r="T536" s="1" t="s">
        <v>47</v>
      </c>
    </row>
    <row r="537">
      <c r="A537" s="1" t="s">
        <v>3978</v>
      </c>
      <c r="B537" s="1" t="s">
        <v>3979</v>
      </c>
      <c r="C537" s="1" t="s">
        <v>3974</v>
      </c>
      <c r="D537" s="1" t="s">
        <v>388</v>
      </c>
      <c r="E537" s="1" t="s">
        <v>889</v>
      </c>
      <c r="F537" s="1" t="s">
        <v>1193</v>
      </c>
      <c r="G537" s="1" t="s">
        <v>1195</v>
      </c>
      <c r="H537" s="3">
        <v>45952.0</v>
      </c>
      <c r="I537" s="3">
        <v>46027.0</v>
      </c>
      <c r="J537" s="3">
        <v>46027.0</v>
      </c>
      <c r="K537" s="1" t="s">
        <v>215</v>
      </c>
      <c r="L537" s="1" t="s">
        <v>98</v>
      </c>
      <c r="M537" s="1" t="s">
        <v>216</v>
      </c>
      <c r="N537" s="1" t="s">
        <v>131</v>
      </c>
      <c r="O537" s="3">
        <v>46196.0</v>
      </c>
      <c r="R537" s="1" t="s">
        <v>137</v>
      </c>
      <c r="S537" s="1" t="s">
        <v>137</v>
      </c>
      <c r="T537" s="1" t="s">
        <v>47</v>
      </c>
      <c r="U537" s="1" t="s">
        <v>3981</v>
      </c>
    </row>
    <row r="538">
      <c r="A538" s="1" t="s">
        <v>1909</v>
      </c>
      <c r="B538" s="1" t="s">
        <v>191</v>
      </c>
      <c r="C538" s="1" t="s">
        <v>3982</v>
      </c>
      <c r="D538" s="1" t="s">
        <v>273</v>
      </c>
      <c r="E538" s="1" t="s">
        <v>330</v>
      </c>
      <c r="F538" s="1" t="s">
        <v>356</v>
      </c>
      <c r="G538" s="1" t="s">
        <v>359</v>
      </c>
      <c r="H538" s="3">
        <v>46244.0</v>
      </c>
      <c r="K538" s="1" t="s">
        <v>124</v>
      </c>
      <c r="L538" s="1" t="s">
        <v>251</v>
      </c>
      <c r="M538" s="1" t="s">
        <v>162</v>
      </c>
      <c r="N538" s="1" t="s">
        <v>131</v>
      </c>
      <c r="P538" s="1" t="s">
        <v>2396</v>
      </c>
      <c r="R538" s="1" t="s">
        <v>137</v>
      </c>
      <c r="S538" s="1" t="s">
        <v>137</v>
      </c>
      <c r="T538" s="1" t="s">
        <v>47</v>
      </c>
      <c r="U538" s="1" t="s">
        <v>3984</v>
      </c>
    </row>
    <row r="539">
      <c r="A539" s="1" t="s">
        <v>3985</v>
      </c>
      <c r="B539" s="1" t="s">
        <v>191</v>
      </c>
      <c r="C539" s="1" t="s">
        <v>3986</v>
      </c>
      <c r="D539" s="1" t="s">
        <v>2276</v>
      </c>
      <c r="E539" s="1" t="s">
        <v>292</v>
      </c>
      <c r="F539" s="1" t="s">
        <v>494</v>
      </c>
      <c r="G539" s="1" t="s">
        <v>3632</v>
      </c>
      <c r="H539" s="3">
        <v>46041.0</v>
      </c>
      <c r="I539" s="3">
        <v>46188.0</v>
      </c>
      <c r="J539" s="3">
        <v>46188.0</v>
      </c>
      <c r="K539" s="1" t="s">
        <v>215</v>
      </c>
      <c r="L539" s="1" t="s">
        <v>98</v>
      </c>
      <c r="M539" s="1" t="s">
        <v>216</v>
      </c>
      <c r="N539" s="1" t="s">
        <v>131</v>
      </c>
      <c r="O539" s="3">
        <v>46216.0</v>
      </c>
      <c r="R539" s="1" t="s">
        <v>137</v>
      </c>
      <c r="S539" s="1" t="s">
        <v>137</v>
      </c>
      <c r="T539" s="1" t="s">
        <v>47</v>
      </c>
      <c r="U539" s="1" t="s">
        <v>3988</v>
      </c>
    </row>
    <row r="540">
      <c r="A540" s="1" t="s">
        <v>2992</v>
      </c>
      <c r="B540" s="1" t="s">
        <v>116</v>
      </c>
      <c r="C540" s="1" t="s">
        <v>3989</v>
      </c>
      <c r="D540" s="1" t="s">
        <v>172</v>
      </c>
      <c r="E540" s="1" t="s">
        <v>292</v>
      </c>
      <c r="F540" s="1" t="s">
        <v>293</v>
      </c>
      <c r="G540" s="1" t="s">
        <v>2091</v>
      </c>
      <c r="H540" s="3">
        <v>46247.0</v>
      </c>
      <c r="I540" s="3">
        <v>46391.0</v>
      </c>
      <c r="K540" s="1" t="s">
        <v>124</v>
      </c>
      <c r="L540" s="1" t="s">
        <v>71</v>
      </c>
      <c r="M540" s="1" t="s">
        <v>162</v>
      </c>
      <c r="N540" s="1" t="s">
        <v>131</v>
      </c>
      <c r="R540" s="1" t="s">
        <v>665</v>
      </c>
      <c r="S540" s="1" t="s">
        <v>665</v>
      </c>
      <c r="T540" s="1" t="s">
        <v>666</v>
      </c>
      <c r="U540" s="1" t="s">
        <v>3991</v>
      </c>
    </row>
    <row r="541">
      <c r="A541" s="1" t="s">
        <v>3993</v>
      </c>
      <c r="B541" s="1" t="s">
        <v>3994</v>
      </c>
      <c r="C541" s="1" t="s">
        <v>3995</v>
      </c>
      <c r="D541" s="1" t="s">
        <v>548</v>
      </c>
      <c r="E541" s="1" t="s">
        <v>520</v>
      </c>
      <c r="F541" s="1" t="s">
        <v>522</v>
      </c>
      <c r="G541" s="1" t="s">
        <v>3269</v>
      </c>
      <c r="K541" s="1" t="s">
        <v>124</v>
      </c>
      <c r="L541" s="1" t="s">
        <v>98</v>
      </c>
      <c r="M541" s="1" t="s">
        <v>129</v>
      </c>
      <c r="N541" s="1" t="s">
        <v>131</v>
      </c>
    </row>
    <row r="542">
      <c r="A542" s="1" t="s">
        <v>2298</v>
      </c>
      <c r="B542" s="1" t="s">
        <v>146</v>
      </c>
      <c r="C542" s="1" t="s">
        <v>3998</v>
      </c>
      <c r="D542" s="1" t="s">
        <v>548</v>
      </c>
      <c r="E542" s="1" t="s">
        <v>520</v>
      </c>
      <c r="F542" s="1" t="s">
        <v>522</v>
      </c>
      <c r="G542" s="1" t="s">
        <v>550</v>
      </c>
      <c r="H542" s="3">
        <v>46195.0</v>
      </c>
      <c r="K542" s="1" t="s">
        <v>124</v>
      </c>
      <c r="L542" s="1" t="s">
        <v>160</v>
      </c>
      <c r="M542" s="1" t="s">
        <v>162</v>
      </c>
      <c r="N542" s="1" t="s">
        <v>131</v>
      </c>
      <c r="R542" s="1" t="s">
        <v>137</v>
      </c>
      <c r="S542" s="1" t="s">
        <v>137</v>
      </c>
      <c r="T542" s="1" t="s">
        <v>47</v>
      </c>
      <c r="U542" s="1" t="s">
        <v>3744</v>
      </c>
    </row>
    <row r="543">
      <c r="A543" s="1" t="s">
        <v>4000</v>
      </c>
      <c r="B543" s="1" t="s">
        <v>3816</v>
      </c>
      <c r="C543" s="1" t="s">
        <v>4002</v>
      </c>
      <c r="D543" s="1" t="s">
        <v>548</v>
      </c>
      <c r="E543" s="1" t="s">
        <v>520</v>
      </c>
      <c r="F543" s="1" t="s">
        <v>1229</v>
      </c>
      <c r="G543" s="1" t="s">
        <v>1231</v>
      </c>
      <c r="H543" s="3">
        <v>45987.0</v>
      </c>
      <c r="K543" s="1" t="s">
        <v>124</v>
      </c>
      <c r="L543" s="1" t="s">
        <v>251</v>
      </c>
      <c r="M543" s="1" t="s">
        <v>363</v>
      </c>
      <c r="N543" s="1" t="s">
        <v>131</v>
      </c>
      <c r="P543" s="1" t="s">
        <v>4003</v>
      </c>
      <c r="R543" s="1" t="s">
        <v>137</v>
      </c>
      <c r="S543" s="1" t="s">
        <v>137</v>
      </c>
      <c r="T543" s="1" t="s">
        <v>47</v>
      </c>
      <c r="U543" s="1" t="s">
        <v>4004</v>
      </c>
    </row>
    <row r="544">
      <c r="A544" s="1" t="s">
        <v>487</v>
      </c>
      <c r="B544" s="1" t="s">
        <v>1774</v>
      </c>
      <c r="C544" s="1" t="s">
        <v>4005</v>
      </c>
      <c r="D544" s="1" t="s">
        <v>548</v>
      </c>
      <c r="E544" s="1" t="s">
        <v>520</v>
      </c>
      <c r="F544" s="1" t="s">
        <v>1229</v>
      </c>
      <c r="G544" s="1" t="s">
        <v>1231</v>
      </c>
      <c r="H544" s="3">
        <v>45912.0</v>
      </c>
      <c r="K544" s="1" t="s">
        <v>124</v>
      </c>
      <c r="L544" s="1" t="s">
        <v>251</v>
      </c>
      <c r="M544" s="1" t="s">
        <v>363</v>
      </c>
      <c r="N544" s="1" t="s">
        <v>131</v>
      </c>
      <c r="P544" s="1" t="s">
        <v>4003</v>
      </c>
      <c r="R544" s="1" t="s">
        <v>137</v>
      </c>
      <c r="S544" s="1" t="s">
        <v>137</v>
      </c>
      <c r="T544" s="1" t="s">
        <v>47</v>
      </c>
      <c r="U544" s="1" t="s">
        <v>4008</v>
      </c>
    </row>
    <row r="545">
      <c r="A545" s="1" t="s">
        <v>4009</v>
      </c>
      <c r="B545" s="1" t="s">
        <v>191</v>
      </c>
      <c r="C545" s="1" t="s">
        <v>4010</v>
      </c>
      <c r="D545" s="1" t="s">
        <v>548</v>
      </c>
      <c r="E545" s="1" t="s">
        <v>520</v>
      </c>
      <c r="F545" s="1" t="s">
        <v>522</v>
      </c>
      <c r="G545" s="1" t="s">
        <v>3269</v>
      </c>
      <c r="H545" s="3">
        <v>45845.0</v>
      </c>
      <c r="I545" s="3">
        <v>45999.0</v>
      </c>
      <c r="J545" s="3">
        <v>45999.0</v>
      </c>
      <c r="K545" s="1" t="s">
        <v>215</v>
      </c>
      <c r="L545" s="1" t="s">
        <v>251</v>
      </c>
      <c r="M545" s="1" t="s">
        <v>253</v>
      </c>
      <c r="N545" s="1" t="s">
        <v>131</v>
      </c>
      <c r="O545" s="3">
        <v>46089.0</v>
      </c>
      <c r="P545" s="1" t="s">
        <v>4012</v>
      </c>
      <c r="R545" s="1" t="s">
        <v>137</v>
      </c>
      <c r="S545" s="1" t="s">
        <v>137</v>
      </c>
      <c r="T545" s="1" t="s">
        <v>47</v>
      </c>
      <c r="U545" s="1" t="s">
        <v>4014</v>
      </c>
    </row>
    <row r="546">
      <c r="A546" s="1" t="s">
        <v>4015</v>
      </c>
      <c r="B546" s="1" t="s">
        <v>354</v>
      </c>
      <c r="C546" s="1" t="s">
        <v>4016</v>
      </c>
      <c r="D546" s="1" t="s">
        <v>548</v>
      </c>
      <c r="E546" s="1" t="s">
        <v>520</v>
      </c>
      <c r="F546" s="1" t="s">
        <v>1229</v>
      </c>
      <c r="G546" s="1" t="s">
        <v>1231</v>
      </c>
      <c r="H546" s="3">
        <v>45869.0</v>
      </c>
      <c r="I546" s="3">
        <v>45975.0</v>
      </c>
      <c r="J546" s="3">
        <v>45975.0</v>
      </c>
      <c r="K546" s="1" t="s">
        <v>215</v>
      </c>
      <c r="L546" s="1" t="s">
        <v>251</v>
      </c>
      <c r="M546" s="1" t="s">
        <v>216</v>
      </c>
      <c r="N546" s="1" t="s">
        <v>131</v>
      </c>
      <c r="O546" s="3">
        <v>45994.0</v>
      </c>
      <c r="R546" s="1" t="s">
        <v>651</v>
      </c>
      <c r="S546" s="1" t="s">
        <v>651</v>
      </c>
      <c r="T546" s="1" t="s">
        <v>652</v>
      </c>
      <c r="U546" s="1" t="s">
        <v>4019</v>
      </c>
    </row>
    <row r="547">
      <c r="A547" s="1" t="s">
        <v>4020</v>
      </c>
      <c r="B547" s="1" t="s">
        <v>191</v>
      </c>
      <c r="C547" s="1" t="s">
        <v>4021</v>
      </c>
      <c r="D547" s="1" t="s">
        <v>509</v>
      </c>
      <c r="E547" s="1" t="s">
        <v>454</v>
      </c>
      <c r="F547" s="1" t="s">
        <v>455</v>
      </c>
      <c r="G547" s="1" t="s">
        <v>456</v>
      </c>
      <c r="H547" s="3">
        <v>45992.0</v>
      </c>
      <c r="I547" s="3">
        <v>46118.0</v>
      </c>
      <c r="J547" s="3">
        <v>46118.0</v>
      </c>
      <c r="K547" s="1" t="s">
        <v>215</v>
      </c>
      <c r="L547" s="1" t="s">
        <v>251</v>
      </c>
      <c r="M547" s="1" t="s">
        <v>216</v>
      </c>
      <c r="N547" s="1" t="s">
        <v>131</v>
      </c>
      <c r="O547" s="3">
        <v>46146.0</v>
      </c>
      <c r="R547" s="1" t="s">
        <v>137</v>
      </c>
      <c r="S547" s="1" t="s">
        <v>137</v>
      </c>
      <c r="T547" s="1" t="s">
        <v>47</v>
      </c>
      <c r="U547" s="1" t="s">
        <v>4023</v>
      </c>
    </row>
    <row r="548">
      <c r="A548" s="1" t="s">
        <v>1968</v>
      </c>
      <c r="B548" s="1" t="s">
        <v>191</v>
      </c>
      <c r="C548" s="1" t="s">
        <v>4024</v>
      </c>
      <c r="D548" s="1" t="s">
        <v>273</v>
      </c>
      <c r="E548" s="1" t="s">
        <v>330</v>
      </c>
      <c r="F548" s="1" t="s">
        <v>356</v>
      </c>
      <c r="G548" s="1" t="s">
        <v>359</v>
      </c>
      <c r="H548" s="3">
        <v>46139.0</v>
      </c>
      <c r="I548" s="3">
        <v>46279.0</v>
      </c>
      <c r="K548" s="1" t="s">
        <v>124</v>
      </c>
      <c r="L548" s="1" t="s">
        <v>98</v>
      </c>
      <c r="M548" s="1" t="s">
        <v>460</v>
      </c>
      <c r="N548" s="1" t="s">
        <v>131</v>
      </c>
      <c r="P548" s="1" t="s">
        <v>1005</v>
      </c>
      <c r="R548" s="1" t="s">
        <v>137</v>
      </c>
      <c r="S548" s="1" t="s">
        <v>137</v>
      </c>
      <c r="T548" s="1" t="s">
        <v>47</v>
      </c>
      <c r="U548" s="1" t="s">
        <v>4028</v>
      </c>
    </row>
    <row r="549">
      <c r="A549" s="1" t="s">
        <v>2390</v>
      </c>
      <c r="B549" s="1" t="s">
        <v>116</v>
      </c>
      <c r="C549" s="1" t="s">
        <v>4024</v>
      </c>
      <c r="D549" s="1" t="s">
        <v>273</v>
      </c>
      <c r="E549" s="1" t="s">
        <v>330</v>
      </c>
      <c r="F549" s="1" t="s">
        <v>356</v>
      </c>
      <c r="G549" s="1" t="s">
        <v>359</v>
      </c>
      <c r="H549" s="3">
        <v>46129.0</v>
      </c>
      <c r="I549" s="3">
        <v>46279.0</v>
      </c>
      <c r="K549" s="1" t="s">
        <v>124</v>
      </c>
      <c r="L549" s="1" t="s">
        <v>98</v>
      </c>
      <c r="M549" s="1" t="s">
        <v>162</v>
      </c>
      <c r="N549" s="1" t="s">
        <v>131</v>
      </c>
      <c r="P549" s="1" t="s">
        <v>4030</v>
      </c>
      <c r="R549" s="1" t="s">
        <v>137</v>
      </c>
      <c r="S549" s="1" t="s">
        <v>137</v>
      </c>
      <c r="T549" s="1" t="s">
        <v>47</v>
      </c>
      <c r="U549" s="1" t="s">
        <v>4031</v>
      </c>
    </row>
    <row r="550">
      <c r="A550" s="1" t="s">
        <v>4032</v>
      </c>
      <c r="B550" s="1" t="s">
        <v>600</v>
      </c>
      <c r="C550" s="1" t="s">
        <v>4033</v>
      </c>
      <c r="D550" s="1" t="s">
        <v>1469</v>
      </c>
      <c r="E550" s="1" t="s">
        <v>292</v>
      </c>
      <c r="F550" s="1" t="s">
        <v>576</v>
      </c>
      <c r="G550" s="1" t="s">
        <v>2297</v>
      </c>
      <c r="H550" s="3">
        <v>46097.0</v>
      </c>
      <c r="I550" s="3">
        <v>46223.0</v>
      </c>
      <c r="J550" s="3">
        <v>46223.0</v>
      </c>
      <c r="K550" s="1" t="s">
        <v>215</v>
      </c>
      <c r="L550" s="1" t="s">
        <v>98</v>
      </c>
      <c r="M550" s="1" t="s">
        <v>216</v>
      </c>
      <c r="N550" s="1" t="s">
        <v>131</v>
      </c>
      <c r="O550" s="3">
        <v>46245.0</v>
      </c>
      <c r="P550" s="1" t="s">
        <v>3400</v>
      </c>
      <c r="R550" s="1" t="s">
        <v>137</v>
      </c>
      <c r="S550" s="1" t="s">
        <v>137</v>
      </c>
      <c r="T550" s="1" t="s">
        <v>47</v>
      </c>
      <c r="U550" s="1" t="s">
        <v>4036</v>
      </c>
    </row>
    <row r="551">
      <c r="A551" s="1" t="s">
        <v>2561</v>
      </c>
      <c r="B551" s="1" t="s">
        <v>191</v>
      </c>
      <c r="C551" s="1" t="s">
        <v>4037</v>
      </c>
      <c r="D551" s="1" t="s">
        <v>754</v>
      </c>
      <c r="E551" s="1" t="s">
        <v>292</v>
      </c>
      <c r="F551" s="1" t="s">
        <v>468</v>
      </c>
      <c r="G551" s="1" t="s">
        <v>470</v>
      </c>
      <c r="H551" s="3">
        <v>46177.0</v>
      </c>
      <c r="I551" s="3">
        <v>46342.0</v>
      </c>
      <c r="K551" s="1" t="s">
        <v>124</v>
      </c>
      <c r="L551" s="1" t="s">
        <v>160</v>
      </c>
      <c r="M551" s="1" t="s">
        <v>363</v>
      </c>
      <c r="N551" s="1" t="s">
        <v>131</v>
      </c>
      <c r="P551" s="1" t="s">
        <v>2952</v>
      </c>
      <c r="R551" s="1" t="s">
        <v>137</v>
      </c>
      <c r="S551" s="1" t="s">
        <v>137</v>
      </c>
      <c r="T551" s="1" t="s">
        <v>47</v>
      </c>
      <c r="U551" s="1" t="s">
        <v>4040</v>
      </c>
    </row>
    <row r="552">
      <c r="A552" s="1" t="s">
        <v>4041</v>
      </c>
      <c r="B552" s="1" t="s">
        <v>191</v>
      </c>
      <c r="C552" s="1" t="s">
        <v>4037</v>
      </c>
      <c r="D552" s="1" t="s">
        <v>754</v>
      </c>
      <c r="E552" s="1" t="s">
        <v>292</v>
      </c>
      <c r="F552" s="1" t="s">
        <v>468</v>
      </c>
      <c r="G552" s="1" t="s">
        <v>470</v>
      </c>
      <c r="H552" s="3">
        <v>45940.0</v>
      </c>
      <c r="I552" s="3">
        <v>46034.0</v>
      </c>
      <c r="J552" s="3">
        <v>46034.0</v>
      </c>
      <c r="K552" s="1" t="s">
        <v>215</v>
      </c>
      <c r="L552" s="1" t="s">
        <v>251</v>
      </c>
      <c r="M552" s="1" t="s">
        <v>216</v>
      </c>
      <c r="N552" s="1" t="s">
        <v>131</v>
      </c>
      <c r="O552" s="3">
        <v>46052.0</v>
      </c>
      <c r="R552" s="1" t="s">
        <v>137</v>
      </c>
      <c r="S552" s="1" t="s">
        <v>137</v>
      </c>
      <c r="T552" s="1" t="s">
        <v>47</v>
      </c>
      <c r="U552" s="1" t="s">
        <v>4044</v>
      </c>
    </row>
    <row r="553">
      <c r="A553" s="1" t="s">
        <v>4045</v>
      </c>
      <c r="B553" s="1" t="s">
        <v>191</v>
      </c>
      <c r="C553" s="1" t="s">
        <v>4046</v>
      </c>
      <c r="D553" s="1" t="s">
        <v>172</v>
      </c>
      <c r="E553" s="1" t="s">
        <v>175</v>
      </c>
      <c r="F553" s="1" t="s">
        <v>177</v>
      </c>
      <c r="G553" s="1" t="s">
        <v>1992</v>
      </c>
      <c r="H553" s="3">
        <v>45950.0</v>
      </c>
      <c r="I553" s="3">
        <v>46034.0</v>
      </c>
      <c r="J553" s="3">
        <v>46034.0</v>
      </c>
      <c r="K553" s="1" t="s">
        <v>215</v>
      </c>
      <c r="L553" s="1" t="s">
        <v>251</v>
      </c>
      <c r="M553" s="1" t="s">
        <v>216</v>
      </c>
      <c r="N553" s="1" t="s">
        <v>131</v>
      </c>
      <c r="O553" s="3">
        <v>46062.0</v>
      </c>
      <c r="R553" s="1" t="s">
        <v>137</v>
      </c>
      <c r="S553" s="1" t="s">
        <v>137</v>
      </c>
      <c r="T553" s="1" t="s">
        <v>47</v>
      </c>
      <c r="U553" s="1" t="s">
        <v>4049</v>
      </c>
    </row>
    <row r="554">
      <c r="A554" s="1" t="s">
        <v>2388</v>
      </c>
      <c r="B554" s="1" t="s">
        <v>116</v>
      </c>
      <c r="C554" s="1" t="s">
        <v>4050</v>
      </c>
      <c r="D554" s="1" t="s">
        <v>593</v>
      </c>
      <c r="E554" s="1" t="s">
        <v>119</v>
      </c>
      <c r="F554" s="1" t="s">
        <v>120</v>
      </c>
      <c r="G554" s="1" t="s">
        <v>120</v>
      </c>
      <c r="H554" s="3">
        <v>46129.0</v>
      </c>
      <c r="I554" s="3">
        <v>46262.0</v>
      </c>
      <c r="K554" s="1" t="s">
        <v>124</v>
      </c>
      <c r="L554" s="1" t="s">
        <v>98</v>
      </c>
      <c r="M554" s="1" t="s">
        <v>335</v>
      </c>
      <c r="N554" s="1" t="s">
        <v>131</v>
      </c>
      <c r="P554" s="1" t="s">
        <v>3901</v>
      </c>
      <c r="R554" s="1" t="s">
        <v>137</v>
      </c>
      <c r="S554" s="1" t="s">
        <v>137</v>
      </c>
      <c r="T554" s="1" t="s">
        <v>47</v>
      </c>
      <c r="U554" s="1" t="s">
        <v>4052</v>
      </c>
    </row>
    <row r="555">
      <c r="A555" s="1" t="s">
        <v>4053</v>
      </c>
      <c r="B555" s="1" t="s">
        <v>1764</v>
      </c>
      <c r="C555" s="1" t="s">
        <v>4055</v>
      </c>
      <c r="D555" s="1" t="s">
        <v>678</v>
      </c>
      <c r="E555" s="1" t="s">
        <v>454</v>
      </c>
      <c r="F555" s="1" t="s">
        <v>637</v>
      </c>
      <c r="G555" s="1" t="s">
        <v>703</v>
      </c>
      <c r="H555" s="3">
        <v>45925.0</v>
      </c>
      <c r="I555" s="3">
        <v>46146.0</v>
      </c>
      <c r="J555" s="3">
        <v>46146.0</v>
      </c>
      <c r="K555" s="1" t="s">
        <v>215</v>
      </c>
      <c r="L555" s="1" t="s">
        <v>251</v>
      </c>
      <c r="M555" s="1" t="s">
        <v>216</v>
      </c>
      <c r="N555" s="1" t="s">
        <v>131</v>
      </c>
      <c r="O555" s="3">
        <v>46163.0</v>
      </c>
      <c r="R555" s="1" t="s">
        <v>137</v>
      </c>
      <c r="S555" s="1" t="s">
        <v>137</v>
      </c>
      <c r="T555" s="1" t="s">
        <v>47</v>
      </c>
      <c r="U555" s="1" t="s">
        <v>4057</v>
      </c>
    </row>
    <row r="556">
      <c r="A556" s="1" t="s">
        <v>4058</v>
      </c>
      <c r="B556" s="1" t="s">
        <v>191</v>
      </c>
      <c r="C556" s="1" t="s">
        <v>4060</v>
      </c>
      <c r="D556" s="1" t="s">
        <v>1832</v>
      </c>
      <c r="E556" s="1" t="s">
        <v>454</v>
      </c>
      <c r="F556" s="1" t="s">
        <v>455</v>
      </c>
      <c r="G556" s="1" t="s">
        <v>738</v>
      </c>
      <c r="H556" s="3">
        <v>45915.0</v>
      </c>
      <c r="I556" s="3">
        <v>46105.0</v>
      </c>
      <c r="J556" s="3">
        <v>46105.0</v>
      </c>
      <c r="K556" s="1" t="s">
        <v>215</v>
      </c>
      <c r="L556" s="1" t="s">
        <v>251</v>
      </c>
      <c r="M556" s="1" t="s">
        <v>216</v>
      </c>
      <c r="N556" s="1" t="s">
        <v>131</v>
      </c>
      <c r="O556" s="3">
        <v>46105.0</v>
      </c>
      <c r="R556" s="1" t="s">
        <v>137</v>
      </c>
      <c r="S556" s="1" t="s">
        <v>137</v>
      </c>
      <c r="T556" s="1" t="s">
        <v>47</v>
      </c>
      <c r="U556" s="1" t="s">
        <v>4061</v>
      </c>
    </row>
    <row r="557">
      <c r="A557" s="1" t="s">
        <v>2426</v>
      </c>
      <c r="B557" s="1" t="s">
        <v>4063</v>
      </c>
      <c r="C557" s="1" t="s">
        <v>4064</v>
      </c>
      <c r="D557" s="1" t="s">
        <v>4065</v>
      </c>
      <c r="E557" s="1" t="s">
        <v>691</v>
      </c>
      <c r="F557" s="1" t="s">
        <v>2998</v>
      </c>
      <c r="G557" s="1" t="s">
        <v>3266</v>
      </c>
      <c r="H557" s="3">
        <v>46135.0</v>
      </c>
      <c r="I557" s="3">
        <v>46272.0</v>
      </c>
      <c r="K557" s="1" t="s">
        <v>124</v>
      </c>
      <c r="L557" s="1" t="s">
        <v>98</v>
      </c>
      <c r="M557" s="1" t="s">
        <v>460</v>
      </c>
      <c r="N557" s="1" t="s">
        <v>131</v>
      </c>
      <c r="R557" s="1" t="s">
        <v>4069</v>
      </c>
      <c r="S557" s="1" t="s">
        <v>4069</v>
      </c>
      <c r="T557" s="1" t="s">
        <v>4071</v>
      </c>
      <c r="U557" s="1" t="s">
        <v>4072</v>
      </c>
    </row>
    <row r="558">
      <c r="A558" s="1" t="s">
        <v>4073</v>
      </c>
      <c r="B558" s="1" t="s">
        <v>116</v>
      </c>
      <c r="C558" s="1" t="s">
        <v>4074</v>
      </c>
      <c r="D558" s="1" t="s">
        <v>960</v>
      </c>
      <c r="E558" s="1" t="s">
        <v>292</v>
      </c>
      <c r="F558" s="1" t="s">
        <v>468</v>
      </c>
      <c r="G558" s="1" t="s">
        <v>1758</v>
      </c>
      <c r="H558" s="3">
        <v>46129.0</v>
      </c>
      <c r="K558" s="1" t="s">
        <v>124</v>
      </c>
      <c r="L558" s="1" t="s">
        <v>98</v>
      </c>
      <c r="M558" s="1" t="s">
        <v>162</v>
      </c>
      <c r="N558" s="1" t="s">
        <v>131</v>
      </c>
      <c r="P558" s="1" t="s">
        <v>4077</v>
      </c>
      <c r="R558" s="1" t="s">
        <v>137</v>
      </c>
      <c r="S558" s="1" t="s">
        <v>137</v>
      </c>
      <c r="T558" s="1" t="s">
        <v>47</v>
      </c>
    </row>
    <row r="559">
      <c r="A559" s="1" t="s">
        <v>4080</v>
      </c>
      <c r="B559" s="1" t="s">
        <v>354</v>
      </c>
      <c r="C559" s="1" t="s">
        <v>4081</v>
      </c>
      <c r="D559" s="1" t="s">
        <v>273</v>
      </c>
      <c r="E559" s="1" t="s">
        <v>330</v>
      </c>
      <c r="F559" s="1" t="s">
        <v>663</v>
      </c>
      <c r="G559" s="1" t="s">
        <v>664</v>
      </c>
      <c r="H559" s="3">
        <v>45777.0</v>
      </c>
      <c r="I559" s="3">
        <v>46098.0</v>
      </c>
      <c r="J559" s="3">
        <v>46098.0</v>
      </c>
      <c r="K559" s="1" t="s">
        <v>215</v>
      </c>
      <c r="L559" s="1" t="s">
        <v>251</v>
      </c>
      <c r="M559" s="1" t="s">
        <v>216</v>
      </c>
      <c r="N559" s="1" t="s">
        <v>131</v>
      </c>
      <c r="O559" s="3">
        <v>46115.0</v>
      </c>
      <c r="R559" s="1" t="s">
        <v>137</v>
      </c>
      <c r="S559" s="1" t="s">
        <v>137</v>
      </c>
      <c r="T559" s="1" t="s">
        <v>47</v>
      </c>
      <c r="U559" s="1" t="s">
        <v>4085</v>
      </c>
    </row>
    <row r="560">
      <c r="A560" s="1" t="s">
        <v>2393</v>
      </c>
      <c r="B560" s="1" t="s">
        <v>116</v>
      </c>
      <c r="C560" s="1" t="s">
        <v>4086</v>
      </c>
      <c r="D560" s="1" t="s">
        <v>172</v>
      </c>
      <c r="E560" s="1" t="s">
        <v>175</v>
      </c>
      <c r="F560" s="1" t="s">
        <v>177</v>
      </c>
      <c r="G560" s="1" t="s">
        <v>178</v>
      </c>
      <c r="H560" s="3">
        <v>46129.0</v>
      </c>
      <c r="K560" s="1" t="s">
        <v>124</v>
      </c>
      <c r="L560" s="1" t="s">
        <v>71</v>
      </c>
      <c r="M560" s="1" t="s">
        <v>162</v>
      </c>
      <c r="N560" s="1" t="s">
        <v>131</v>
      </c>
      <c r="P560" s="1" t="s">
        <v>485</v>
      </c>
      <c r="R560" s="1" t="s">
        <v>137</v>
      </c>
      <c r="S560" s="1" t="s">
        <v>137</v>
      </c>
      <c r="T560" s="1" t="s">
        <v>47</v>
      </c>
    </row>
    <row r="561">
      <c r="A561" s="1" t="s">
        <v>2433</v>
      </c>
      <c r="B561" s="1" t="s">
        <v>1269</v>
      </c>
      <c r="C561" s="1" t="s">
        <v>4088</v>
      </c>
      <c r="D561" s="1" t="s">
        <v>548</v>
      </c>
      <c r="E561" s="1" t="s">
        <v>520</v>
      </c>
      <c r="F561" s="1" t="s">
        <v>1229</v>
      </c>
      <c r="G561" s="1" t="s">
        <v>1231</v>
      </c>
      <c r="H561" s="3">
        <v>46139.0</v>
      </c>
      <c r="I561" s="3">
        <v>46265.0</v>
      </c>
      <c r="K561" s="1" t="s">
        <v>124</v>
      </c>
      <c r="L561" s="1" t="s">
        <v>71</v>
      </c>
      <c r="M561" s="1" t="s">
        <v>162</v>
      </c>
      <c r="N561" s="1" t="s">
        <v>131</v>
      </c>
      <c r="P561" s="1" t="s">
        <v>529</v>
      </c>
      <c r="R561" s="1" t="s">
        <v>137</v>
      </c>
      <c r="S561" s="1" t="s">
        <v>137</v>
      </c>
      <c r="T561" s="1" t="s">
        <v>47</v>
      </c>
      <c r="U561" s="1" t="s">
        <v>4092</v>
      </c>
    </row>
    <row r="562">
      <c r="A562" s="1" t="s">
        <v>2041</v>
      </c>
      <c r="B562" s="1" t="s">
        <v>191</v>
      </c>
      <c r="C562" s="1" t="s">
        <v>4094</v>
      </c>
      <c r="D562" s="1" t="s">
        <v>194</v>
      </c>
      <c r="E562" s="1" t="s">
        <v>454</v>
      </c>
      <c r="F562" s="1" t="s">
        <v>612</v>
      </c>
      <c r="G562" s="1" t="s">
        <v>613</v>
      </c>
      <c r="H562" s="3">
        <v>46096.0</v>
      </c>
      <c r="I562" s="3">
        <v>46314.0</v>
      </c>
      <c r="K562" s="1" t="s">
        <v>124</v>
      </c>
      <c r="L562" s="1" t="s">
        <v>251</v>
      </c>
      <c r="M562" s="1" t="s">
        <v>162</v>
      </c>
      <c r="N562" s="1" t="s">
        <v>131</v>
      </c>
      <c r="P562" s="1" t="s">
        <v>420</v>
      </c>
      <c r="R562" s="1" t="s">
        <v>137</v>
      </c>
      <c r="S562" s="1" t="s">
        <v>137</v>
      </c>
      <c r="T562" s="1" t="s">
        <v>47</v>
      </c>
      <c r="U562" s="1" t="s">
        <v>4098</v>
      </c>
    </row>
    <row r="563">
      <c r="A563" s="1" t="s">
        <v>2492</v>
      </c>
      <c r="B563" s="1" t="s">
        <v>4099</v>
      </c>
      <c r="C563" s="1" t="s">
        <v>4100</v>
      </c>
      <c r="D563" s="1" t="s">
        <v>172</v>
      </c>
      <c r="E563" s="1" t="s">
        <v>175</v>
      </c>
      <c r="F563" s="1" t="s">
        <v>177</v>
      </c>
      <c r="G563" s="1" t="s">
        <v>178</v>
      </c>
      <c r="H563" s="3">
        <v>46150.0</v>
      </c>
      <c r="K563" s="1" t="s">
        <v>124</v>
      </c>
      <c r="L563" s="1" t="s">
        <v>71</v>
      </c>
      <c r="M563" s="1" t="s">
        <v>162</v>
      </c>
      <c r="N563" s="1" t="s">
        <v>131</v>
      </c>
      <c r="P563" s="1" t="s">
        <v>1844</v>
      </c>
      <c r="R563" s="1" t="s">
        <v>137</v>
      </c>
      <c r="S563" s="1" t="s">
        <v>137</v>
      </c>
      <c r="T563" s="1" t="s">
        <v>47</v>
      </c>
      <c r="U563" s="1" t="s">
        <v>4103</v>
      </c>
    </row>
    <row r="564">
      <c r="A564" s="1" t="s">
        <v>4104</v>
      </c>
      <c r="B564" s="1" t="s">
        <v>191</v>
      </c>
      <c r="C564" s="1" t="s">
        <v>4105</v>
      </c>
      <c r="D564" s="1" t="s">
        <v>313</v>
      </c>
      <c r="E564" s="1" t="s">
        <v>175</v>
      </c>
      <c r="F564" s="1" t="s">
        <v>569</v>
      </c>
      <c r="G564" s="1" t="s">
        <v>1842</v>
      </c>
      <c r="H564" s="3">
        <v>45874.0</v>
      </c>
      <c r="I564" s="3">
        <v>45959.0</v>
      </c>
      <c r="J564" s="3">
        <v>45959.0</v>
      </c>
      <c r="K564" s="1" t="s">
        <v>215</v>
      </c>
      <c r="L564" s="1" t="s">
        <v>251</v>
      </c>
      <c r="M564" s="1" t="s">
        <v>216</v>
      </c>
      <c r="N564" s="1" t="s">
        <v>131</v>
      </c>
      <c r="O564" s="3">
        <v>45959.0</v>
      </c>
      <c r="R564" s="1" t="s">
        <v>137</v>
      </c>
      <c r="S564" s="1" t="s">
        <v>137</v>
      </c>
      <c r="T564" s="1" t="s">
        <v>47</v>
      </c>
      <c r="U564" s="1" t="s">
        <v>4108</v>
      </c>
    </row>
    <row r="565">
      <c r="A565" s="1" t="s">
        <v>4109</v>
      </c>
      <c r="B565" s="1" t="s">
        <v>191</v>
      </c>
      <c r="C565" s="1" t="s">
        <v>4110</v>
      </c>
      <c r="D565" s="1" t="s">
        <v>194</v>
      </c>
      <c r="E565" s="1" t="s">
        <v>454</v>
      </c>
      <c r="F565" s="1" t="s">
        <v>637</v>
      </c>
      <c r="G565" s="1" t="s">
        <v>2554</v>
      </c>
      <c r="H565" s="3">
        <v>45719.0</v>
      </c>
      <c r="I565" s="3">
        <v>45854.0</v>
      </c>
      <c r="J565" s="3">
        <v>45854.0</v>
      </c>
      <c r="K565" s="1" t="s">
        <v>215</v>
      </c>
      <c r="L565" s="1" t="s">
        <v>251</v>
      </c>
      <c r="M565" s="1" t="s">
        <v>253</v>
      </c>
      <c r="N565" s="1" t="s">
        <v>131</v>
      </c>
      <c r="O565" s="3">
        <v>45878.0</v>
      </c>
      <c r="P565" s="1" t="s">
        <v>4113</v>
      </c>
      <c r="R565" s="1" t="s">
        <v>137</v>
      </c>
      <c r="S565" s="1" t="s">
        <v>137</v>
      </c>
      <c r="T565" s="1" t="s">
        <v>47</v>
      </c>
      <c r="U565" s="1" t="s">
        <v>4114</v>
      </c>
    </row>
    <row r="566">
      <c r="A566" s="1" t="s">
        <v>4115</v>
      </c>
      <c r="B566" s="1" t="s">
        <v>191</v>
      </c>
      <c r="C566" s="1" t="s">
        <v>4116</v>
      </c>
      <c r="D566" s="1" t="s">
        <v>243</v>
      </c>
      <c r="E566" s="1" t="s">
        <v>175</v>
      </c>
      <c r="F566" s="1" t="s">
        <v>177</v>
      </c>
      <c r="G566" s="1" t="s">
        <v>1778</v>
      </c>
      <c r="H566" s="3">
        <v>45804.0</v>
      </c>
      <c r="I566" s="3">
        <v>45915.0</v>
      </c>
      <c r="J566" s="3">
        <v>45915.0</v>
      </c>
      <c r="K566" s="1" t="s">
        <v>215</v>
      </c>
      <c r="L566" s="1" t="s">
        <v>251</v>
      </c>
      <c r="M566" s="1" t="s">
        <v>216</v>
      </c>
      <c r="N566" s="1" t="s">
        <v>131</v>
      </c>
      <c r="O566" s="3">
        <v>45915.0</v>
      </c>
      <c r="R566" s="1" t="s">
        <v>137</v>
      </c>
      <c r="S566" s="1" t="s">
        <v>137</v>
      </c>
      <c r="T566" s="1" t="s">
        <v>47</v>
      </c>
      <c r="U566" s="1" t="s">
        <v>4119</v>
      </c>
    </row>
    <row r="567">
      <c r="A567" s="1" t="s">
        <v>4120</v>
      </c>
      <c r="B567" s="1" t="s">
        <v>191</v>
      </c>
      <c r="C567" s="1" t="s">
        <v>4121</v>
      </c>
      <c r="D567" s="1" t="s">
        <v>777</v>
      </c>
      <c r="E567" s="1" t="s">
        <v>292</v>
      </c>
      <c r="F567" s="1" t="s">
        <v>576</v>
      </c>
      <c r="G567" s="1" t="s">
        <v>1088</v>
      </c>
      <c r="H567" s="3">
        <v>45924.0</v>
      </c>
      <c r="I567" s="3">
        <v>45978.0</v>
      </c>
      <c r="J567" s="3">
        <v>45978.0</v>
      </c>
      <c r="K567" s="1" t="s">
        <v>215</v>
      </c>
      <c r="L567" s="1" t="s">
        <v>251</v>
      </c>
      <c r="M567" s="1" t="s">
        <v>216</v>
      </c>
      <c r="N567" s="1" t="s">
        <v>131</v>
      </c>
      <c r="O567" s="3">
        <v>46050.0</v>
      </c>
      <c r="R567" s="1" t="s">
        <v>137</v>
      </c>
      <c r="S567" s="1" t="s">
        <v>137</v>
      </c>
      <c r="T567" s="1" t="s">
        <v>47</v>
      </c>
      <c r="U567" s="1" t="s">
        <v>4122</v>
      </c>
    </row>
    <row r="568">
      <c r="A568" s="1" t="s">
        <v>2909</v>
      </c>
      <c r="B568" s="1" t="s">
        <v>191</v>
      </c>
      <c r="C568" s="1" t="s">
        <v>4124</v>
      </c>
      <c r="D568" s="1" t="s">
        <v>313</v>
      </c>
      <c r="E568" s="1" t="s">
        <v>175</v>
      </c>
      <c r="F568" s="1" t="s">
        <v>569</v>
      </c>
      <c r="G568" s="1" t="s">
        <v>570</v>
      </c>
      <c r="H568" s="3">
        <v>46223.0</v>
      </c>
      <c r="I568" s="3">
        <v>46321.0</v>
      </c>
      <c r="K568" s="1" t="s">
        <v>124</v>
      </c>
      <c r="L568" s="1" t="s">
        <v>160</v>
      </c>
      <c r="M568" s="1" t="s">
        <v>162</v>
      </c>
      <c r="N568" s="1" t="s">
        <v>131</v>
      </c>
      <c r="P568" s="1" t="s">
        <v>3214</v>
      </c>
      <c r="R568" s="1" t="s">
        <v>137</v>
      </c>
      <c r="S568" s="1" t="s">
        <v>137</v>
      </c>
      <c r="T568" s="1" t="s">
        <v>47</v>
      </c>
      <c r="U568" s="1" t="s">
        <v>4126</v>
      </c>
    </row>
    <row r="569">
      <c r="A569" s="1" t="s">
        <v>2667</v>
      </c>
      <c r="B569" s="1" t="s">
        <v>2115</v>
      </c>
      <c r="C569" s="1" t="s">
        <v>4128</v>
      </c>
      <c r="D569" s="1" t="s">
        <v>313</v>
      </c>
      <c r="E569" s="1" t="s">
        <v>175</v>
      </c>
      <c r="F569" s="1" t="s">
        <v>569</v>
      </c>
      <c r="G569" s="1" t="s">
        <v>798</v>
      </c>
      <c r="H569" s="3">
        <v>46171.0</v>
      </c>
      <c r="K569" s="1" t="s">
        <v>124</v>
      </c>
      <c r="L569" s="1" t="s">
        <v>251</v>
      </c>
      <c r="M569" s="1" t="s">
        <v>363</v>
      </c>
      <c r="N569" s="1" t="s">
        <v>131</v>
      </c>
      <c r="R569" s="1" t="s">
        <v>665</v>
      </c>
      <c r="S569" s="1" t="s">
        <v>665</v>
      </c>
      <c r="T569" s="1" t="s">
        <v>666</v>
      </c>
      <c r="U569" s="1" t="s">
        <v>4131</v>
      </c>
    </row>
    <row r="570">
      <c r="A570" s="1" t="s">
        <v>2500</v>
      </c>
      <c r="B570" s="1" t="s">
        <v>270</v>
      </c>
      <c r="C570" s="1" t="s">
        <v>4132</v>
      </c>
      <c r="D570" s="1" t="s">
        <v>313</v>
      </c>
      <c r="E570" s="1" t="s">
        <v>889</v>
      </c>
      <c r="F570" s="1" t="s">
        <v>4133</v>
      </c>
      <c r="G570" s="1" t="s">
        <v>4134</v>
      </c>
      <c r="H570" s="3">
        <v>46154.0</v>
      </c>
      <c r="K570" s="1" t="s">
        <v>124</v>
      </c>
      <c r="L570" s="1" t="s">
        <v>71</v>
      </c>
      <c r="M570" s="1" t="s">
        <v>162</v>
      </c>
      <c r="N570" s="1" t="s">
        <v>131</v>
      </c>
      <c r="P570" s="1" t="s">
        <v>337</v>
      </c>
      <c r="R570" s="1" t="s">
        <v>137</v>
      </c>
      <c r="S570" s="1" t="s">
        <v>137</v>
      </c>
      <c r="T570" s="1" t="s">
        <v>47</v>
      </c>
      <c r="U570" s="1" t="s">
        <v>4136</v>
      </c>
    </row>
    <row r="571">
      <c r="A571" s="1" t="s">
        <v>2079</v>
      </c>
      <c r="B571" s="1" t="s">
        <v>116</v>
      </c>
      <c r="C571" s="1" t="s">
        <v>4138</v>
      </c>
      <c r="D571" s="1" t="s">
        <v>417</v>
      </c>
      <c r="E571" s="1" t="s">
        <v>292</v>
      </c>
      <c r="F571" s="1" t="s">
        <v>576</v>
      </c>
      <c r="G571" s="1" t="s">
        <v>1088</v>
      </c>
      <c r="H571" s="3">
        <v>46101.0</v>
      </c>
      <c r="I571" s="3">
        <v>46227.0</v>
      </c>
      <c r="K571" s="1" t="s">
        <v>124</v>
      </c>
      <c r="L571" s="1" t="s">
        <v>160</v>
      </c>
      <c r="M571" s="1" t="s">
        <v>162</v>
      </c>
      <c r="N571" s="1" t="s">
        <v>131</v>
      </c>
      <c r="P571" s="1" t="s">
        <v>1262</v>
      </c>
      <c r="R571" s="1" t="s">
        <v>137</v>
      </c>
      <c r="S571" s="1" t="s">
        <v>137</v>
      </c>
      <c r="T571" s="1" t="s">
        <v>47</v>
      </c>
      <c r="U571" s="1" t="s">
        <v>3528</v>
      </c>
    </row>
    <row r="572">
      <c r="A572" s="1" t="s">
        <v>4142</v>
      </c>
      <c r="B572" s="1" t="s">
        <v>191</v>
      </c>
      <c r="C572" s="1" t="s">
        <v>4143</v>
      </c>
      <c r="D572" s="1" t="s">
        <v>313</v>
      </c>
      <c r="E572" s="1" t="s">
        <v>292</v>
      </c>
      <c r="F572" s="1" t="s">
        <v>293</v>
      </c>
      <c r="G572" s="1" t="s">
        <v>3014</v>
      </c>
      <c r="H572" s="3">
        <v>45971.0</v>
      </c>
      <c r="I572" s="3">
        <v>46146.0</v>
      </c>
      <c r="J572" s="3">
        <v>46146.0</v>
      </c>
      <c r="K572" s="1" t="s">
        <v>215</v>
      </c>
      <c r="L572" s="1" t="s">
        <v>251</v>
      </c>
      <c r="M572" s="1" t="s">
        <v>216</v>
      </c>
      <c r="N572" s="1" t="s">
        <v>131</v>
      </c>
      <c r="O572" s="3">
        <v>46118.0</v>
      </c>
      <c r="R572" s="1" t="s">
        <v>137</v>
      </c>
      <c r="S572" s="1" t="s">
        <v>137</v>
      </c>
      <c r="T572" s="1" t="s">
        <v>47</v>
      </c>
      <c r="U572" s="1" t="s">
        <v>4146</v>
      </c>
    </row>
    <row r="573">
      <c r="A573" s="1" t="s">
        <v>2885</v>
      </c>
      <c r="B573" s="1" t="s">
        <v>580</v>
      </c>
      <c r="C573" s="1" t="s">
        <v>4147</v>
      </c>
      <c r="D573" s="1" t="s">
        <v>518</v>
      </c>
      <c r="E573" s="1" t="s">
        <v>520</v>
      </c>
      <c r="F573" s="1" t="s">
        <v>522</v>
      </c>
      <c r="G573" s="1" t="s">
        <v>710</v>
      </c>
      <c r="H573" s="3">
        <v>46219.0</v>
      </c>
      <c r="K573" s="1" t="s">
        <v>124</v>
      </c>
      <c r="L573" s="1" t="s">
        <v>251</v>
      </c>
      <c r="M573" s="1" t="s">
        <v>460</v>
      </c>
      <c r="N573" s="1" t="s">
        <v>131</v>
      </c>
      <c r="R573" s="1" t="s">
        <v>3644</v>
      </c>
      <c r="S573" s="1" t="s">
        <v>3644</v>
      </c>
      <c r="T573" s="1" t="s">
        <v>1249</v>
      </c>
      <c r="U573" s="1" t="s">
        <v>4150</v>
      </c>
    </row>
    <row r="574">
      <c r="A574" s="1" t="s">
        <v>4151</v>
      </c>
      <c r="B574" s="1" t="s">
        <v>270</v>
      </c>
      <c r="C574" s="1" t="s">
        <v>4152</v>
      </c>
      <c r="D574" s="1" t="s">
        <v>1832</v>
      </c>
      <c r="E574" s="1" t="s">
        <v>3379</v>
      </c>
      <c r="F574" s="1" t="s">
        <v>4154</v>
      </c>
      <c r="G574" s="1" t="s">
        <v>4155</v>
      </c>
      <c r="H574" s="3">
        <v>46034.0</v>
      </c>
      <c r="K574" s="1" t="s">
        <v>124</v>
      </c>
      <c r="L574" s="1" t="s">
        <v>98</v>
      </c>
      <c r="M574" s="1" t="s">
        <v>162</v>
      </c>
      <c r="N574" s="1" t="s">
        <v>131</v>
      </c>
      <c r="P574" s="1" t="s">
        <v>337</v>
      </c>
      <c r="R574" s="1" t="s">
        <v>137</v>
      </c>
      <c r="S574" s="1" t="s">
        <v>137</v>
      </c>
      <c r="T574" s="1" t="s">
        <v>47</v>
      </c>
      <c r="U574" s="1" t="s">
        <v>4157</v>
      </c>
    </row>
    <row r="575">
      <c r="A575" s="1" t="s">
        <v>219</v>
      </c>
      <c r="B575" s="1" t="s">
        <v>4158</v>
      </c>
      <c r="C575" s="1" t="s">
        <v>4159</v>
      </c>
      <c r="D575" s="1" t="s">
        <v>273</v>
      </c>
      <c r="E575" s="1" t="s">
        <v>330</v>
      </c>
      <c r="F575" s="1" t="s">
        <v>663</v>
      </c>
      <c r="G575" s="1" t="s">
        <v>664</v>
      </c>
      <c r="H575" s="3">
        <v>45887.0</v>
      </c>
      <c r="I575" s="3">
        <v>46083.0</v>
      </c>
      <c r="J575" s="3">
        <v>46083.0</v>
      </c>
      <c r="K575" s="1" t="s">
        <v>124</v>
      </c>
      <c r="L575" s="1" t="s">
        <v>3438</v>
      </c>
      <c r="M575" s="1" t="s">
        <v>460</v>
      </c>
      <c r="N575" s="1" t="s">
        <v>131</v>
      </c>
      <c r="P575" s="1" t="s">
        <v>4160</v>
      </c>
      <c r="R575" s="1" t="s">
        <v>137</v>
      </c>
      <c r="S575" s="1" t="s">
        <v>137</v>
      </c>
      <c r="T575" s="1" t="s">
        <v>47</v>
      </c>
      <c r="U575" s="1" t="s">
        <v>4162</v>
      </c>
    </row>
    <row r="576">
      <c r="A576" s="1" t="s">
        <v>4163</v>
      </c>
      <c r="B576" s="1" t="s">
        <v>116</v>
      </c>
      <c r="C576" s="1" t="s">
        <v>4164</v>
      </c>
      <c r="D576" s="1" t="s">
        <v>960</v>
      </c>
      <c r="E576" s="1" t="s">
        <v>438</v>
      </c>
      <c r="F576" s="1" t="s">
        <v>440</v>
      </c>
      <c r="G576" s="1" t="s">
        <v>441</v>
      </c>
      <c r="H576" s="3">
        <v>46129.0</v>
      </c>
      <c r="K576" s="1" t="s">
        <v>124</v>
      </c>
      <c r="L576" s="1" t="s">
        <v>98</v>
      </c>
      <c r="M576" s="1" t="s">
        <v>162</v>
      </c>
      <c r="N576" s="1" t="s">
        <v>131</v>
      </c>
      <c r="P576" s="1" t="s">
        <v>485</v>
      </c>
      <c r="R576" s="1" t="s">
        <v>137</v>
      </c>
      <c r="S576" s="1" t="s">
        <v>137</v>
      </c>
      <c r="T576" s="1" t="s">
        <v>47</v>
      </c>
    </row>
    <row r="577">
      <c r="A577" s="1" t="s">
        <v>4165</v>
      </c>
      <c r="B577" s="1" t="s">
        <v>191</v>
      </c>
      <c r="C577" s="1" t="s">
        <v>4166</v>
      </c>
      <c r="D577" s="1" t="s">
        <v>417</v>
      </c>
      <c r="E577" s="1" t="s">
        <v>292</v>
      </c>
      <c r="F577" s="1" t="s">
        <v>576</v>
      </c>
      <c r="G577" s="1" t="s">
        <v>2859</v>
      </c>
      <c r="H577" s="3">
        <v>45999.0</v>
      </c>
      <c r="I577" s="3">
        <v>46139.0</v>
      </c>
      <c r="J577" s="3">
        <v>46139.0</v>
      </c>
      <c r="K577" s="1" t="s">
        <v>215</v>
      </c>
      <c r="L577" s="1" t="s">
        <v>251</v>
      </c>
      <c r="M577" s="1" t="s">
        <v>216</v>
      </c>
      <c r="N577" s="1" t="s">
        <v>131</v>
      </c>
      <c r="O577" s="3">
        <v>46167.0</v>
      </c>
      <c r="R577" s="1" t="s">
        <v>137</v>
      </c>
      <c r="S577" s="1" t="s">
        <v>137</v>
      </c>
      <c r="T577" s="1" t="s">
        <v>47</v>
      </c>
      <c r="U577" s="1" t="s">
        <v>2515</v>
      </c>
    </row>
    <row r="578">
      <c r="A578" s="1" t="s">
        <v>2507</v>
      </c>
      <c r="B578" s="1" t="s">
        <v>116</v>
      </c>
      <c r="C578" s="1" t="s">
        <v>4166</v>
      </c>
      <c r="D578" s="1" t="s">
        <v>417</v>
      </c>
      <c r="E578" s="1" t="s">
        <v>292</v>
      </c>
      <c r="F578" s="1" t="s">
        <v>576</v>
      </c>
      <c r="G578" s="1" t="s">
        <v>2859</v>
      </c>
      <c r="H578" s="3">
        <v>46154.0</v>
      </c>
      <c r="I578" s="3">
        <v>46290.0</v>
      </c>
      <c r="K578" s="1" t="s">
        <v>124</v>
      </c>
      <c r="L578" s="1" t="s">
        <v>160</v>
      </c>
      <c r="M578" s="1" t="s">
        <v>162</v>
      </c>
      <c r="N578" s="1" t="s">
        <v>131</v>
      </c>
      <c r="R578" s="1" t="s">
        <v>665</v>
      </c>
      <c r="S578" s="1" t="s">
        <v>665</v>
      </c>
      <c r="T578" s="1" t="s">
        <v>666</v>
      </c>
      <c r="U578" s="1" t="s">
        <v>4172</v>
      </c>
    </row>
    <row r="579">
      <c r="A579" s="1" t="s">
        <v>4174</v>
      </c>
      <c r="B579" s="1" t="s">
        <v>116</v>
      </c>
      <c r="C579" s="1" t="s">
        <v>4166</v>
      </c>
      <c r="D579" s="1" t="s">
        <v>417</v>
      </c>
      <c r="E579" s="1" t="s">
        <v>292</v>
      </c>
      <c r="F579" s="1" t="s">
        <v>576</v>
      </c>
      <c r="G579" s="1" t="s">
        <v>2859</v>
      </c>
      <c r="H579" s="3">
        <v>46129.0</v>
      </c>
      <c r="K579" s="1" t="s">
        <v>124</v>
      </c>
      <c r="L579" s="1" t="s">
        <v>98</v>
      </c>
      <c r="M579" s="1" t="s">
        <v>162</v>
      </c>
      <c r="N579" s="1" t="s">
        <v>131</v>
      </c>
      <c r="P579" s="1" t="s">
        <v>485</v>
      </c>
      <c r="R579" s="1" t="s">
        <v>137</v>
      </c>
      <c r="S579" s="1" t="s">
        <v>137</v>
      </c>
      <c r="T579" s="1" t="s">
        <v>47</v>
      </c>
    </row>
  </sheetData>
  <hyperlinks>
    <hyperlink r:id="rId2" ref="C1"/>
  </hyperlinks>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40.25"/>
    <col customWidth="1" min="3" max="3" width="46.5"/>
    <col customWidth="1" min="7" max="7" width="38.25"/>
  </cols>
  <sheetData>
    <row r="1">
      <c r="A1" s="1" t="s">
        <v>716</v>
      </c>
      <c r="B1" s="1" t="s">
        <v>718</v>
      </c>
      <c r="C1" s="1" t="s">
        <v>720</v>
      </c>
      <c r="D1" s="1" t="s">
        <v>722</v>
      </c>
      <c r="E1" s="1" t="s">
        <v>724</v>
      </c>
      <c r="F1" s="1" t="s">
        <v>725</v>
      </c>
      <c r="G1" s="1" t="s">
        <v>727</v>
      </c>
      <c r="H1" s="1" t="s">
        <v>728</v>
      </c>
      <c r="I1" s="1" t="s">
        <v>730</v>
      </c>
    </row>
    <row r="2">
      <c r="A2" s="1" t="s">
        <v>733</v>
      </c>
      <c r="B2" s="1" t="s">
        <v>735</v>
      </c>
      <c r="C2" s="1" t="s">
        <v>737</v>
      </c>
      <c r="D2" s="1" t="s">
        <v>47</v>
      </c>
      <c r="F2" s="1" t="s">
        <v>739</v>
      </c>
      <c r="G2" s="1" t="s">
        <v>739</v>
      </c>
      <c r="H2" s="10">
        <v>1.0</v>
      </c>
      <c r="I2" s="1" t="s">
        <v>744</v>
      </c>
    </row>
    <row r="3">
      <c r="A3" s="1" t="s">
        <v>745</v>
      </c>
      <c r="B3" s="1" t="s">
        <v>746</v>
      </c>
      <c r="C3" s="1" t="s">
        <v>747</v>
      </c>
      <c r="D3" s="1" t="s">
        <v>540</v>
      </c>
      <c r="H3" s="10">
        <v>0.0</v>
      </c>
    </row>
    <row r="4">
      <c r="A4" s="1" t="s">
        <v>753</v>
      </c>
      <c r="B4" s="1" t="s">
        <v>132</v>
      </c>
      <c r="C4" s="1" t="s">
        <v>145</v>
      </c>
      <c r="D4" s="1" t="s">
        <v>141</v>
      </c>
      <c r="H4" s="10">
        <v>0.0</v>
      </c>
    </row>
    <row r="5">
      <c r="A5" s="1" t="s">
        <v>755</v>
      </c>
      <c r="B5" s="1" t="s">
        <v>756</v>
      </c>
      <c r="C5" s="1" t="s">
        <v>759</v>
      </c>
      <c r="D5" s="1" t="s">
        <v>267</v>
      </c>
      <c r="H5" s="10">
        <v>0.0</v>
      </c>
    </row>
    <row r="6">
      <c r="A6" s="1" t="s">
        <v>762</v>
      </c>
      <c r="B6" s="1" t="s">
        <v>765</v>
      </c>
      <c r="C6" s="1" t="s">
        <v>766</v>
      </c>
      <c r="D6" s="1" t="s">
        <v>298</v>
      </c>
      <c r="E6" s="1" t="s">
        <v>767</v>
      </c>
      <c r="G6" s="1" t="s">
        <v>767</v>
      </c>
      <c r="H6" s="10">
        <v>0.0</v>
      </c>
    </row>
    <row r="7">
      <c r="A7" s="1" t="s">
        <v>770</v>
      </c>
      <c r="B7" s="1" t="s">
        <v>771</v>
      </c>
      <c r="C7" s="1" t="s">
        <v>773</v>
      </c>
      <c r="D7" s="1" t="s">
        <v>267</v>
      </c>
      <c r="H7" s="10">
        <v>0.0</v>
      </c>
    </row>
    <row r="8">
      <c r="A8" s="1" t="s">
        <v>776</v>
      </c>
      <c r="B8" s="1" t="s">
        <v>778</v>
      </c>
      <c r="C8" s="1" t="s">
        <v>779</v>
      </c>
      <c r="D8" s="1" t="s">
        <v>298</v>
      </c>
      <c r="H8" s="10">
        <v>0.0</v>
      </c>
    </row>
    <row r="9">
      <c r="A9" s="1" t="s">
        <v>170</v>
      </c>
      <c r="B9" s="1" t="s">
        <v>173</v>
      </c>
      <c r="C9" s="1" t="s">
        <v>176</v>
      </c>
      <c r="D9" s="1" t="s">
        <v>184</v>
      </c>
      <c r="E9" s="1" t="s">
        <v>767</v>
      </c>
      <c r="G9" s="1" t="s">
        <v>767</v>
      </c>
      <c r="H9" s="10">
        <v>0.0</v>
      </c>
    </row>
    <row r="10">
      <c r="A10" s="1" t="s">
        <v>782</v>
      </c>
      <c r="B10" s="1" t="s">
        <v>783</v>
      </c>
      <c r="C10" s="1" t="s">
        <v>784</v>
      </c>
      <c r="D10" s="1" t="s">
        <v>47</v>
      </c>
      <c r="E10" s="1" t="s">
        <v>787</v>
      </c>
      <c r="F10" s="1" t="s">
        <v>788</v>
      </c>
      <c r="G10" s="1" t="s">
        <v>787</v>
      </c>
      <c r="H10" s="10">
        <v>1.0</v>
      </c>
      <c r="I10" s="1" t="s">
        <v>791</v>
      </c>
    </row>
    <row r="11">
      <c r="A11" s="1" t="s">
        <v>794</v>
      </c>
      <c r="B11" s="1" t="s">
        <v>796</v>
      </c>
      <c r="C11" s="1" t="s">
        <v>797</v>
      </c>
      <c r="D11" s="1" t="s">
        <v>47</v>
      </c>
      <c r="F11" s="1" t="s">
        <v>799</v>
      </c>
      <c r="G11" s="1" t="s">
        <v>799</v>
      </c>
      <c r="H11" s="10">
        <v>1.0</v>
      </c>
      <c r="I11" s="1" t="s">
        <v>801</v>
      </c>
    </row>
    <row r="12">
      <c r="A12" s="1" t="s">
        <v>802</v>
      </c>
      <c r="B12" s="1" t="s">
        <v>804</v>
      </c>
      <c r="C12" s="1" t="s">
        <v>807</v>
      </c>
      <c r="D12" s="1" t="s">
        <v>141</v>
      </c>
      <c r="H12" s="10">
        <v>0.0</v>
      </c>
    </row>
    <row r="13">
      <c r="A13" s="1" t="s">
        <v>810</v>
      </c>
      <c r="B13" s="1" t="s">
        <v>812</v>
      </c>
      <c r="C13" s="1" t="s">
        <v>814</v>
      </c>
      <c r="D13" s="1" t="s">
        <v>47</v>
      </c>
      <c r="F13" s="1" t="s">
        <v>799</v>
      </c>
      <c r="G13" s="1" t="s">
        <v>799</v>
      </c>
      <c r="H13" s="10">
        <v>1.0</v>
      </c>
      <c r="I13" s="1" t="s">
        <v>801</v>
      </c>
    </row>
    <row r="14">
      <c r="A14" s="1" t="s">
        <v>817</v>
      </c>
      <c r="B14" s="1" t="s">
        <v>818</v>
      </c>
      <c r="C14" s="1" t="s">
        <v>819</v>
      </c>
      <c r="D14" s="1" t="s">
        <v>267</v>
      </c>
      <c r="H14" s="10">
        <v>0.0</v>
      </c>
    </row>
    <row r="15">
      <c r="A15" s="1" t="s">
        <v>821</v>
      </c>
      <c r="B15" s="1" t="s">
        <v>822</v>
      </c>
      <c r="C15" s="1" t="s">
        <v>823</v>
      </c>
      <c r="D15" s="1" t="s">
        <v>227</v>
      </c>
      <c r="F15" s="1" t="s">
        <v>788</v>
      </c>
      <c r="G15" s="1" t="s">
        <v>788</v>
      </c>
      <c r="H15" s="10">
        <v>1.0</v>
      </c>
      <c r="I15" s="1" t="s">
        <v>791</v>
      </c>
    </row>
    <row r="16">
      <c r="A16" s="1" t="s">
        <v>830</v>
      </c>
      <c r="B16" s="1" t="s">
        <v>832</v>
      </c>
      <c r="C16" s="1" t="s">
        <v>834</v>
      </c>
      <c r="D16" s="1" t="s">
        <v>141</v>
      </c>
      <c r="H16" s="10">
        <v>0.0</v>
      </c>
    </row>
    <row r="17">
      <c r="A17" s="1" t="s">
        <v>836</v>
      </c>
      <c r="B17" s="1" t="s">
        <v>837</v>
      </c>
      <c r="C17" s="1" t="s">
        <v>839</v>
      </c>
      <c r="D17" s="1" t="s">
        <v>227</v>
      </c>
      <c r="E17" s="1" t="s">
        <v>787</v>
      </c>
      <c r="G17" s="1" t="s">
        <v>787</v>
      </c>
      <c r="H17" s="10">
        <v>0.0</v>
      </c>
    </row>
    <row r="18">
      <c r="A18" s="1" t="s">
        <v>840</v>
      </c>
      <c r="B18" s="1" t="s">
        <v>842</v>
      </c>
      <c r="C18" s="1" t="s">
        <v>845</v>
      </c>
      <c r="D18" s="1" t="s">
        <v>267</v>
      </c>
      <c r="H18" s="10">
        <v>0.0</v>
      </c>
    </row>
    <row r="19">
      <c r="A19" s="1" t="s">
        <v>816</v>
      </c>
      <c r="B19" s="1" t="s">
        <v>847</v>
      </c>
      <c r="C19" s="1" t="s">
        <v>849</v>
      </c>
      <c r="D19" s="1" t="s">
        <v>141</v>
      </c>
      <c r="H19" s="10">
        <v>0.0</v>
      </c>
    </row>
    <row r="20">
      <c r="A20" s="1" t="s">
        <v>258</v>
      </c>
      <c r="B20" s="1" t="s">
        <v>259</v>
      </c>
      <c r="C20" s="1" t="s">
        <v>261</v>
      </c>
      <c r="D20" s="1" t="s">
        <v>267</v>
      </c>
      <c r="H20" s="10">
        <v>0.0</v>
      </c>
    </row>
    <row r="21">
      <c r="A21" s="1" t="s">
        <v>853</v>
      </c>
      <c r="B21" s="1" t="s">
        <v>855</v>
      </c>
      <c r="C21" s="1" t="s">
        <v>856</v>
      </c>
      <c r="D21" s="1" t="s">
        <v>141</v>
      </c>
      <c r="H21" s="10">
        <v>0.0</v>
      </c>
    </row>
    <row r="22">
      <c r="A22" s="1" t="s">
        <v>859</v>
      </c>
      <c r="B22" s="1" t="s">
        <v>861</v>
      </c>
      <c r="C22" s="1" t="s">
        <v>863</v>
      </c>
      <c r="D22" s="1" t="s">
        <v>47</v>
      </c>
      <c r="F22" s="1" t="s">
        <v>799</v>
      </c>
      <c r="G22" s="1" t="s">
        <v>799</v>
      </c>
      <c r="H22" s="10">
        <v>1.0</v>
      </c>
      <c r="I22" s="1" t="s">
        <v>801</v>
      </c>
    </row>
    <row r="23">
      <c r="A23" s="1" t="s">
        <v>866</v>
      </c>
      <c r="B23" s="1" t="s">
        <v>358</v>
      </c>
      <c r="C23" s="1" t="s">
        <v>362</v>
      </c>
      <c r="D23" s="1" t="s">
        <v>267</v>
      </c>
      <c r="H23" s="10">
        <v>0.0</v>
      </c>
    </row>
    <row r="24">
      <c r="A24" s="1" t="s">
        <v>869</v>
      </c>
      <c r="B24" s="1" t="s">
        <v>358</v>
      </c>
      <c r="C24" s="1" t="s">
        <v>873</v>
      </c>
      <c r="D24" s="1" t="s">
        <v>267</v>
      </c>
      <c r="H24" s="10">
        <v>0.0</v>
      </c>
    </row>
    <row r="25">
      <c r="A25" s="1" t="s">
        <v>876</v>
      </c>
      <c r="B25" s="1" t="s">
        <v>877</v>
      </c>
      <c r="C25" s="1" t="s">
        <v>878</v>
      </c>
      <c r="D25" s="1" t="s">
        <v>267</v>
      </c>
      <c r="H25" s="10">
        <v>0.0</v>
      </c>
    </row>
    <row r="26">
      <c r="A26" s="1" t="s">
        <v>881</v>
      </c>
      <c r="B26" s="1" t="s">
        <v>882</v>
      </c>
      <c r="C26" s="1" t="s">
        <v>883</v>
      </c>
      <c r="D26" s="1" t="s">
        <v>47</v>
      </c>
      <c r="E26" s="1" t="s">
        <v>886</v>
      </c>
      <c r="F26" s="1" t="s">
        <v>799</v>
      </c>
      <c r="G26" s="1" t="s">
        <v>886</v>
      </c>
      <c r="H26" s="10">
        <v>1.0</v>
      </c>
      <c r="I26" s="1" t="s">
        <v>801</v>
      </c>
    </row>
    <row r="27">
      <c r="A27" s="1" t="s">
        <v>896</v>
      </c>
      <c r="B27" s="1" t="s">
        <v>897</v>
      </c>
      <c r="C27" s="1" t="s">
        <v>899</v>
      </c>
      <c r="D27" s="1" t="s">
        <v>900</v>
      </c>
      <c r="F27" s="1" t="s">
        <v>799</v>
      </c>
      <c r="G27" s="1" t="s">
        <v>799</v>
      </c>
      <c r="H27" s="10">
        <v>1.0</v>
      </c>
      <c r="I27" s="1" t="s">
        <v>801</v>
      </c>
    </row>
    <row r="28">
      <c r="A28" s="1" t="s">
        <v>904</v>
      </c>
      <c r="B28" s="1" t="s">
        <v>539</v>
      </c>
      <c r="C28" s="1" t="s">
        <v>541</v>
      </c>
      <c r="D28" s="1" t="s">
        <v>540</v>
      </c>
      <c r="E28" s="1" t="s">
        <v>787</v>
      </c>
      <c r="G28" s="1" t="s">
        <v>787</v>
      </c>
      <c r="H28" s="10">
        <v>0.0</v>
      </c>
    </row>
    <row r="29">
      <c r="A29" s="1" t="s">
        <v>908</v>
      </c>
      <c r="B29" s="1" t="s">
        <v>910</v>
      </c>
      <c r="C29" s="1" t="s">
        <v>911</v>
      </c>
      <c r="D29" s="1" t="s">
        <v>267</v>
      </c>
      <c r="H29" s="10">
        <v>0.0</v>
      </c>
    </row>
    <row r="30">
      <c r="A30" s="1" t="s">
        <v>916</v>
      </c>
      <c r="B30" s="1" t="s">
        <v>918</v>
      </c>
      <c r="C30" s="1" t="s">
        <v>299</v>
      </c>
      <c r="H30" s="10">
        <v>0.0</v>
      </c>
    </row>
    <row r="31">
      <c r="A31" s="1" t="s">
        <v>922</v>
      </c>
      <c r="B31" s="1" t="s">
        <v>925</v>
      </c>
      <c r="C31" s="1" t="s">
        <v>926</v>
      </c>
      <c r="D31" s="1" t="s">
        <v>141</v>
      </c>
      <c r="F31" s="1" t="s">
        <v>799</v>
      </c>
      <c r="G31" s="1" t="s">
        <v>799</v>
      </c>
      <c r="H31" s="10">
        <v>1.0</v>
      </c>
      <c r="I31" s="1" t="s">
        <v>801</v>
      </c>
    </row>
    <row r="32">
      <c r="A32" s="1" t="s">
        <v>373</v>
      </c>
      <c r="B32" s="1" t="s">
        <v>930</v>
      </c>
      <c r="C32" s="1" t="s">
        <v>932</v>
      </c>
      <c r="D32" s="1" t="s">
        <v>95</v>
      </c>
      <c r="H32" s="10">
        <v>0.0</v>
      </c>
    </row>
    <row r="33">
      <c r="A33" s="1" t="s">
        <v>934</v>
      </c>
      <c r="B33" s="1" t="s">
        <v>935</v>
      </c>
      <c r="C33" s="1" t="s">
        <v>937</v>
      </c>
      <c r="D33" s="1" t="s">
        <v>227</v>
      </c>
      <c r="E33" s="1" t="s">
        <v>787</v>
      </c>
      <c r="F33" s="1" t="s">
        <v>799</v>
      </c>
      <c r="G33" s="1" t="s">
        <v>787</v>
      </c>
      <c r="H33" s="10">
        <v>1.0</v>
      </c>
      <c r="I33" s="1" t="s">
        <v>801</v>
      </c>
    </row>
    <row r="34">
      <c r="A34" s="1" t="s">
        <v>941</v>
      </c>
      <c r="B34" s="1" t="s">
        <v>942</v>
      </c>
      <c r="C34" s="1" t="s">
        <v>945</v>
      </c>
      <c r="H34" s="10">
        <v>0.0</v>
      </c>
    </row>
    <row r="35">
      <c r="A35" s="1" t="s">
        <v>946</v>
      </c>
      <c r="B35" s="1" t="s">
        <v>947</v>
      </c>
      <c r="C35" s="1" t="s">
        <v>948</v>
      </c>
      <c r="D35" s="1" t="s">
        <v>141</v>
      </c>
      <c r="H35" s="10">
        <v>0.0</v>
      </c>
    </row>
    <row r="36">
      <c r="A36" s="1" t="s">
        <v>950</v>
      </c>
      <c r="B36" s="1" t="s">
        <v>951</v>
      </c>
      <c r="C36" s="1" t="s">
        <v>953</v>
      </c>
      <c r="D36" s="1" t="s">
        <v>540</v>
      </c>
      <c r="H36" s="10">
        <v>0.0</v>
      </c>
    </row>
    <row r="37">
      <c r="A37" s="1" t="s">
        <v>50</v>
      </c>
      <c r="B37" s="1" t="s">
        <v>955</v>
      </c>
      <c r="C37" s="1" t="s">
        <v>958</v>
      </c>
      <c r="D37" s="1" t="s">
        <v>267</v>
      </c>
      <c r="E37" s="1" t="s">
        <v>886</v>
      </c>
      <c r="G37" s="1" t="s">
        <v>886</v>
      </c>
      <c r="H37" s="10">
        <v>0.0</v>
      </c>
    </row>
    <row r="38">
      <c r="A38" s="1" t="s">
        <v>964</v>
      </c>
      <c r="B38" s="1" t="s">
        <v>965</v>
      </c>
      <c r="C38" s="1" t="s">
        <v>966</v>
      </c>
      <c r="D38" s="1" t="s">
        <v>540</v>
      </c>
      <c r="H38" s="10">
        <v>0.0</v>
      </c>
    </row>
    <row r="39">
      <c r="A39" s="1" t="s">
        <v>968</v>
      </c>
      <c r="B39" s="1" t="s">
        <v>122</v>
      </c>
      <c r="C39" s="1" t="s">
        <v>125</v>
      </c>
      <c r="D39" s="1" t="s">
        <v>47</v>
      </c>
      <c r="H39" s="10">
        <v>0.0</v>
      </c>
    </row>
    <row r="40">
      <c r="A40" s="1" t="s">
        <v>972</v>
      </c>
      <c r="B40" s="1" t="s">
        <v>974</v>
      </c>
      <c r="C40" s="1" t="s">
        <v>975</v>
      </c>
      <c r="D40" s="1" t="s">
        <v>267</v>
      </c>
      <c r="F40" s="1" t="s">
        <v>976</v>
      </c>
      <c r="G40" s="1" t="s">
        <v>976</v>
      </c>
      <c r="H40" s="10">
        <v>2.0</v>
      </c>
      <c r="I40" s="1" t="s">
        <v>978</v>
      </c>
    </row>
    <row r="41">
      <c r="A41" s="1" t="s">
        <v>979</v>
      </c>
      <c r="B41" s="1" t="s">
        <v>974</v>
      </c>
      <c r="C41" s="1" t="s">
        <v>980</v>
      </c>
      <c r="D41" s="1" t="s">
        <v>267</v>
      </c>
      <c r="H41" s="10">
        <v>0.0</v>
      </c>
    </row>
    <row r="42">
      <c r="A42" s="1" t="s">
        <v>984</v>
      </c>
      <c r="B42" s="1" t="s">
        <v>248</v>
      </c>
      <c r="C42" s="1" t="s">
        <v>254</v>
      </c>
      <c r="D42" s="1" t="s">
        <v>47</v>
      </c>
      <c r="H42" s="10">
        <v>0.0</v>
      </c>
    </row>
    <row r="43">
      <c r="A43" s="1" t="s">
        <v>987</v>
      </c>
      <c r="B43" s="1" t="s">
        <v>248</v>
      </c>
      <c r="C43" s="1" t="s">
        <v>980</v>
      </c>
      <c r="D43" s="1" t="s">
        <v>47</v>
      </c>
      <c r="F43" s="1" t="s">
        <v>788</v>
      </c>
      <c r="G43" s="1" t="s">
        <v>788</v>
      </c>
      <c r="H43" s="10">
        <v>1.0</v>
      </c>
      <c r="I43" s="1" t="s">
        <v>791</v>
      </c>
    </row>
    <row r="44">
      <c r="A44" s="1" t="s">
        <v>992</v>
      </c>
      <c r="B44" s="1" t="s">
        <v>993</v>
      </c>
      <c r="C44" s="1" t="s">
        <v>996</v>
      </c>
      <c r="D44" s="1" t="s">
        <v>227</v>
      </c>
      <c r="F44" s="1" t="s">
        <v>788</v>
      </c>
      <c r="G44" s="1" t="s">
        <v>788</v>
      </c>
      <c r="H44" s="10">
        <v>1.0</v>
      </c>
      <c r="I44" s="1" t="s">
        <v>791</v>
      </c>
    </row>
    <row r="45">
      <c r="A45" s="1" t="s">
        <v>999</v>
      </c>
      <c r="B45" s="1" t="s">
        <v>993</v>
      </c>
      <c r="C45" s="1" t="s">
        <v>1001</v>
      </c>
      <c r="H45" s="10">
        <v>0.0</v>
      </c>
    </row>
    <row r="46">
      <c r="A46" s="1" t="s">
        <v>1002</v>
      </c>
      <c r="B46" s="1" t="s">
        <v>1003</v>
      </c>
      <c r="C46" s="1" t="s">
        <v>1006</v>
      </c>
      <c r="D46" s="1" t="s">
        <v>540</v>
      </c>
      <c r="H46" s="10">
        <v>0.0</v>
      </c>
    </row>
    <row r="47">
      <c r="A47" s="1" t="s">
        <v>53</v>
      </c>
      <c r="B47" s="1" t="s">
        <v>55</v>
      </c>
      <c r="C47" s="1" t="s">
        <v>56</v>
      </c>
      <c r="D47" s="1" t="s">
        <v>47</v>
      </c>
      <c r="F47" s="1" t="s">
        <v>788</v>
      </c>
      <c r="G47" s="1" t="s">
        <v>788</v>
      </c>
      <c r="H47" s="10">
        <v>1.0</v>
      </c>
      <c r="I47" s="1" t="s">
        <v>791</v>
      </c>
    </row>
    <row r="48">
      <c r="A48" s="1" t="s">
        <v>1009</v>
      </c>
      <c r="B48" s="1" t="s">
        <v>1010</v>
      </c>
      <c r="C48" s="1" t="s">
        <v>1011</v>
      </c>
      <c r="D48" s="1" t="s">
        <v>267</v>
      </c>
      <c r="H48" s="10">
        <v>0.0</v>
      </c>
    </row>
    <row r="49">
      <c r="A49" s="1" t="s">
        <v>1013</v>
      </c>
      <c r="B49" s="1" t="s">
        <v>1014</v>
      </c>
      <c r="C49" s="1" t="s">
        <v>1015</v>
      </c>
      <c r="D49" s="1" t="s">
        <v>141</v>
      </c>
      <c r="E49" s="1" t="s">
        <v>767</v>
      </c>
      <c r="G49" s="1" t="s">
        <v>767</v>
      </c>
      <c r="H49" s="10">
        <v>0.0</v>
      </c>
    </row>
    <row r="50">
      <c r="A50" s="1" t="s">
        <v>1017</v>
      </c>
      <c r="B50" s="1" t="s">
        <v>1019</v>
      </c>
      <c r="C50" s="1" t="s">
        <v>1022</v>
      </c>
      <c r="D50" s="1" t="s">
        <v>267</v>
      </c>
      <c r="H50" s="10">
        <v>0.0</v>
      </c>
    </row>
    <row r="51">
      <c r="A51" s="1" t="s">
        <v>1025</v>
      </c>
      <c r="B51" s="1" t="s">
        <v>1026</v>
      </c>
      <c r="C51" s="1" t="s">
        <v>1028</v>
      </c>
      <c r="D51" s="1" t="s">
        <v>141</v>
      </c>
      <c r="E51" s="1" t="s">
        <v>767</v>
      </c>
      <c r="G51" s="1" t="s">
        <v>767</v>
      </c>
      <c r="H51" s="10">
        <v>0.0</v>
      </c>
    </row>
    <row r="52">
      <c r="A52" s="1" t="s">
        <v>1029</v>
      </c>
      <c r="B52" s="1" t="s">
        <v>1032</v>
      </c>
      <c r="C52" s="1" t="s">
        <v>1033</v>
      </c>
      <c r="D52" s="1" t="s">
        <v>267</v>
      </c>
      <c r="H52" s="10">
        <v>0.0</v>
      </c>
    </row>
    <row r="53">
      <c r="A53" s="1" t="s">
        <v>1036</v>
      </c>
      <c r="B53" s="1" t="s">
        <v>1038</v>
      </c>
      <c r="C53" s="1" t="s">
        <v>1039</v>
      </c>
      <c r="D53" s="1" t="s">
        <v>540</v>
      </c>
      <c r="H53" s="10">
        <v>0.0</v>
      </c>
    </row>
    <row r="54">
      <c r="A54" s="1" t="s">
        <v>1041</v>
      </c>
      <c r="B54" s="1" t="s">
        <v>1043</v>
      </c>
      <c r="C54" s="1" t="s">
        <v>1044</v>
      </c>
      <c r="D54" s="1" t="s">
        <v>141</v>
      </c>
      <c r="E54" s="1" t="s">
        <v>787</v>
      </c>
      <c r="G54" s="1" t="s">
        <v>787</v>
      </c>
      <c r="H54" s="10">
        <v>0.0</v>
      </c>
    </row>
    <row r="55">
      <c r="A55" s="1" t="s">
        <v>148</v>
      </c>
      <c r="B55" s="1" t="s">
        <v>151</v>
      </c>
      <c r="C55" s="1" t="s">
        <v>154</v>
      </c>
      <c r="D55" s="1" t="s">
        <v>163</v>
      </c>
      <c r="F55" s="1" t="s">
        <v>799</v>
      </c>
      <c r="G55" s="1" t="s">
        <v>799</v>
      </c>
      <c r="H55" s="10">
        <v>1.0</v>
      </c>
      <c r="I55" s="1" t="s">
        <v>801</v>
      </c>
    </row>
    <row r="56">
      <c r="A56" s="1" t="s">
        <v>314</v>
      </c>
      <c r="B56" s="1" t="s">
        <v>315</v>
      </c>
      <c r="C56" s="1" t="s">
        <v>317</v>
      </c>
      <c r="D56" s="1" t="s">
        <v>47</v>
      </c>
      <c r="F56" s="1" t="s">
        <v>799</v>
      </c>
      <c r="G56" s="1" t="s">
        <v>799</v>
      </c>
      <c r="H56" s="10">
        <v>1.0</v>
      </c>
      <c r="I56" s="1" t="s">
        <v>801</v>
      </c>
    </row>
    <row r="57">
      <c r="A57" s="1" t="s">
        <v>1056</v>
      </c>
      <c r="B57" s="1" t="s">
        <v>315</v>
      </c>
      <c r="C57" s="1" t="s">
        <v>1057</v>
      </c>
      <c r="D57" s="1" t="s">
        <v>47</v>
      </c>
      <c r="H57" s="10">
        <v>0.0</v>
      </c>
    </row>
    <row r="58">
      <c r="A58" s="1" t="s">
        <v>1060</v>
      </c>
      <c r="B58" s="1" t="s">
        <v>1062</v>
      </c>
      <c r="C58" s="1" t="s">
        <v>1064</v>
      </c>
      <c r="D58" s="1" t="s">
        <v>227</v>
      </c>
      <c r="F58" s="1" t="s">
        <v>799</v>
      </c>
      <c r="G58" s="1" t="s">
        <v>799</v>
      </c>
      <c r="H58" s="10">
        <v>1.0</v>
      </c>
      <c r="I58" s="1" t="s">
        <v>801</v>
      </c>
    </row>
    <row r="59">
      <c r="A59" s="1" t="s">
        <v>1069</v>
      </c>
      <c r="B59" s="1" t="s">
        <v>1071</v>
      </c>
      <c r="C59" s="1" t="s">
        <v>1073</v>
      </c>
      <c r="D59" s="1" t="s">
        <v>47</v>
      </c>
      <c r="F59" s="1" t="s">
        <v>788</v>
      </c>
      <c r="G59" s="1" t="s">
        <v>788</v>
      </c>
      <c r="H59" s="10">
        <v>1.0</v>
      </c>
      <c r="I59" s="1" t="s">
        <v>791</v>
      </c>
    </row>
    <row r="60">
      <c r="A60" s="1" t="s">
        <v>1077</v>
      </c>
      <c r="B60" s="1" t="s">
        <v>1079</v>
      </c>
      <c r="C60" s="1" t="s">
        <v>1080</v>
      </c>
      <c r="D60" s="1" t="s">
        <v>540</v>
      </c>
      <c r="H60" s="10">
        <v>0.0</v>
      </c>
    </row>
    <row r="61">
      <c r="A61" s="1" t="s">
        <v>1083</v>
      </c>
      <c r="B61" s="1" t="s">
        <v>1085</v>
      </c>
      <c r="C61" s="1" t="s">
        <v>1087</v>
      </c>
      <c r="D61" s="1" t="s">
        <v>298</v>
      </c>
      <c r="H61" s="10">
        <v>0.0</v>
      </c>
    </row>
    <row r="62">
      <c r="A62" s="1" t="s">
        <v>1089</v>
      </c>
      <c r="B62" s="1" t="s">
        <v>1091</v>
      </c>
      <c r="C62" s="1" t="s">
        <v>1092</v>
      </c>
      <c r="D62" s="1" t="s">
        <v>227</v>
      </c>
      <c r="H62" s="10">
        <v>0.0</v>
      </c>
    </row>
    <row r="63">
      <c r="A63" s="1" t="s">
        <v>1093</v>
      </c>
      <c r="B63" s="1" t="s">
        <v>1096</v>
      </c>
      <c r="C63" s="1" t="s">
        <v>1098</v>
      </c>
      <c r="D63" s="1" t="s">
        <v>267</v>
      </c>
      <c r="H63" s="10">
        <v>0.0</v>
      </c>
    </row>
    <row r="64">
      <c r="A64" s="1" t="s">
        <v>1100</v>
      </c>
      <c r="B64" s="1" t="s">
        <v>1101</v>
      </c>
      <c r="C64" s="1" t="s">
        <v>1103</v>
      </c>
      <c r="D64" s="1" t="s">
        <v>47</v>
      </c>
      <c r="F64" s="1" t="s">
        <v>799</v>
      </c>
      <c r="G64" s="1" t="s">
        <v>799</v>
      </c>
      <c r="H64" s="10">
        <v>1.0</v>
      </c>
      <c r="I64" s="1" t="s">
        <v>801</v>
      </c>
    </row>
    <row r="65">
      <c r="A65" s="1" t="s">
        <v>1105</v>
      </c>
      <c r="B65" s="1" t="s">
        <v>1106</v>
      </c>
      <c r="C65" s="1" t="s">
        <v>1108</v>
      </c>
      <c r="D65" s="1" t="s">
        <v>227</v>
      </c>
      <c r="H65" s="10">
        <v>0.0</v>
      </c>
    </row>
    <row r="66">
      <c r="A66" s="1" t="s">
        <v>1112</v>
      </c>
      <c r="B66" s="1" t="s">
        <v>1114</v>
      </c>
      <c r="C66" s="1" t="s">
        <v>1115</v>
      </c>
      <c r="D66" s="1" t="s">
        <v>540</v>
      </c>
      <c r="E66" s="1" t="s">
        <v>886</v>
      </c>
      <c r="G66" s="1" t="s">
        <v>886</v>
      </c>
      <c r="H66" s="10">
        <v>0.0</v>
      </c>
    </row>
    <row r="67">
      <c r="A67" s="1" t="s">
        <v>1119</v>
      </c>
      <c r="B67" s="1" t="s">
        <v>1120</v>
      </c>
      <c r="C67" s="1" t="s">
        <v>1122</v>
      </c>
      <c r="D67" s="1" t="s">
        <v>267</v>
      </c>
      <c r="H67" s="10">
        <v>0.0</v>
      </c>
    </row>
    <row r="68">
      <c r="A68" s="1" t="s">
        <v>1123</v>
      </c>
      <c r="B68" s="1" t="s">
        <v>1125</v>
      </c>
      <c r="C68" s="1" t="s">
        <v>1126</v>
      </c>
      <c r="D68" s="1" t="s">
        <v>47</v>
      </c>
      <c r="F68" s="1" t="s">
        <v>788</v>
      </c>
      <c r="G68" s="1" t="s">
        <v>788</v>
      </c>
      <c r="H68" s="10">
        <v>1.0</v>
      </c>
      <c r="I68" s="1" t="s">
        <v>791</v>
      </c>
    </row>
    <row r="69">
      <c r="A69" s="1" t="s">
        <v>1130</v>
      </c>
      <c r="B69" s="1" t="s">
        <v>1132</v>
      </c>
      <c r="C69" s="1" t="s">
        <v>1133</v>
      </c>
      <c r="D69" s="1" t="s">
        <v>47</v>
      </c>
      <c r="H69" s="10">
        <v>0.0</v>
      </c>
    </row>
    <row r="70">
      <c r="A70" s="1" t="s">
        <v>1134</v>
      </c>
      <c r="B70" s="1" t="s">
        <v>1135</v>
      </c>
      <c r="C70" s="1" t="s">
        <v>1136</v>
      </c>
      <c r="D70" s="1" t="s">
        <v>298</v>
      </c>
      <c r="E70" s="1" t="s">
        <v>767</v>
      </c>
      <c r="G70" s="1" t="s">
        <v>767</v>
      </c>
      <c r="H70" s="10">
        <v>0.0</v>
      </c>
    </row>
    <row r="71">
      <c r="A71" s="1" t="s">
        <v>220</v>
      </c>
      <c r="B71" s="1" t="s">
        <v>223</v>
      </c>
      <c r="C71" s="1" t="s">
        <v>225</v>
      </c>
      <c r="D71" s="1" t="s">
        <v>47</v>
      </c>
      <c r="F71" s="1" t="s">
        <v>788</v>
      </c>
      <c r="G71" s="1" t="s">
        <v>788</v>
      </c>
      <c r="H71" s="10">
        <v>1.0</v>
      </c>
      <c r="I71" s="1" t="s">
        <v>791</v>
      </c>
    </row>
    <row r="72">
      <c r="A72" s="1" t="s">
        <v>1145</v>
      </c>
      <c r="B72" s="1" t="s">
        <v>1146</v>
      </c>
      <c r="C72" s="1" t="s">
        <v>1147</v>
      </c>
      <c r="D72" s="1" t="s">
        <v>540</v>
      </c>
      <c r="H72" s="10">
        <v>0.0</v>
      </c>
    </row>
    <row r="73">
      <c r="A73" s="1" t="s">
        <v>1150</v>
      </c>
      <c r="B73" s="1" t="s">
        <v>1152</v>
      </c>
      <c r="C73" s="1" t="s">
        <v>1154</v>
      </c>
      <c r="D73" s="1" t="s">
        <v>267</v>
      </c>
      <c r="H73" s="10">
        <v>0.0</v>
      </c>
    </row>
    <row r="74">
      <c r="A74" s="1" t="s">
        <v>1157</v>
      </c>
      <c r="B74" s="1" t="s">
        <v>1152</v>
      </c>
      <c r="C74" s="1" t="s">
        <v>1159</v>
      </c>
      <c r="D74" s="1" t="s">
        <v>267</v>
      </c>
      <c r="H74" s="10">
        <v>0.0</v>
      </c>
    </row>
    <row r="75">
      <c r="A75" s="1" t="s">
        <v>1160</v>
      </c>
      <c r="B75" s="1" t="s">
        <v>457</v>
      </c>
      <c r="C75" s="1" t="s">
        <v>461</v>
      </c>
      <c r="D75" s="1" t="s">
        <v>141</v>
      </c>
      <c r="H75" s="10">
        <v>0.0</v>
      </c>
    </row>
    <row r="76">
      <c r="A76" s="1" t="s">
        <v>1164</v>
      </c>
      <c r="B76" s="1" t="s">
        <v>1165</v>
      </c>
      <c r="C76" s="1" t="s">
        <v>450</v>
      </c>
      <c r="D76" s="1" t="s">
        <v>267</v>
      </c>
      <c r="H76" s="10">
        <v>0.0</v>
      </c>
    </row>
    <row r="77">
      <c r="A77" s="1" t="s">
        <v>1169</v>
      </c>
      <c r="B77" s="1" t="s">
        <v>1165</v>
      </c>
      <c r="C77" s="1" t="s">
        <v>1170</v>
      </c>
      <c r="D77" s="1" t="s">
        <v>267</v>
      </c>
      <c r="H77" s="10">
        <v>0.0</v>
      </c>
    </row>
    <row r="78">
      <c r="A78" s="1" t="s">
        <v>843</v>
      </c>
      <c r="B78" s="1" t="s">
        <v>1172</v>
      </c>
      <c r="C78" s="1" t="s">
        <v>1173</v>
      </c>
      <c r="D78" s="1" t="s">
        <v>298</v>
      </c>
      <c r="H78" s="10">
        <v>0.0</v>
      </c>
    </row>
    <row r="79">
      <c r="A79" s="1" t="s">
        <v>1176</v>
      </c>
      <c r="B79" s="1" t="s">
        <v>1177</v>
      </c>
      <c r="C79" s="1" t="s">
        <v>1178</v>
      </c>
      <c r="D79" s="1" t="s">
        <v>298</v>
      </c>
      <c r="H79" s="10">
        <v>0.0</v>
      </c>
    </row>
    <row r="80">
      <c r="A80" s="1" t="s">
        <v>507</v>
      </c>
      <c r="B80" s="1" t="s">
        <v>1182</v>
      </c>
      <c r="C80" s="1" t="s">
        <v>1183</v>
      </c>
      <c r="D80" s="1" t="s">
        <v>267</v>
      </c>
      <c r="F80" s="1" t="s">
        <v>1186</v>
      </c>
      <c r="G80" s="1" t="s">
        <v>1186</v>
      </c>
      <c r="H80" s="10">
        <v>1.0</v>
      </c>
      <c r="I80" s="1" t="s">
        <v>1188</v>
      </c>
    </row>
    <row r="81">
      <c r="A81" s="1" t="s">
        <v>1190</v>
      </c>
      <c r="B81" s="1" t="s">
        <v>368</v>
      </c>
      <c r="C81" s="1" t="s">
        <v>377</v>
      </c>
      <c r="D81" s="1" t="s">
        <v>376</v>
      </c>
      <c r="H81" s="10">
        <v>0.0</v>
      </c>
    </row>
    <row r="82">
      <c r="A82" s="1" t="s">
        <v>1194</v>
      </c>
      <c r="B82" s="1" t="s">
        <v>380</v>
      </c>
      <c r="C82" s="1" t="s">
        <v>386</v>
      </c>
      <c r="D82" s="1" t="s">
        <v>298</v>
      </c>
      <c r="F82" s="1" t="s">
        <v>739</v>
      </c>
      <c r="G82" s="1" t="s">
        <v>739</v>
      </c>
      <c r="H82" s="10">
        <v>1.0</v>
      </c>
      <c r="I82" s="1" t="s">
        <v>744</v>
      </c>
    </row>
    <row r="83">
      <c r="A83" s="1" t="s">
        <v>1198</v>
      </c>
      <c r="B83" s="1" t="s">
        <v>446</v>
      </c>
      <c r="C83" s="1" t="s">
        <v>1201</v>
      </c>
      <c r="D83" s="1" t="s">
        <v>47</v>
      </c>
      <c r="F83" s="1" t="s">
        <v>799</v>
      </c>
      <c r="G83" s="1" t="s">
        <v>799</v>
      </c>
      <c r="H83" s="10">
        <v>1.0</v>
      </c>
      <c r="I83" s="1" t="s">
        <v>801</v>
      </c>
    </row>
    <row r="84">
      <c r="A84" s="1" t="s">
        <v>1204</v>
      </c>
      <c r="B84" s="1" t="s">
        <v>1205</v>
      </c>
      <c r="C84" s="1" t="s">
        <v>1207</v>
      </c>
      <c r="D84" s="1" t="s">
        <v>141</v>
      </c>
      <c r="H84" s="10">
        <v>0.0</v>
      </c>
    </row>
    <row r="85">
      <c r="A85" s="1" t="s">
        <v>1208</v>
      </c>
      <c r="B85" s="1" t="s">
        <v>1209</v>
      </c>
      <c r="C85" s="1" t="s">
        <v>1215</v>
      </c>
      <c r="D85" s="1" t="s">
        <v>267</v>
      </c>
      <c r="H85" s="10">
        <v>0.0</v>
      </c>
    </row>
    <row r="86">
      <c r="A86" s="1" t="s">
        <v>1217</v>
      </c>
      <c r="B86" s="1" t="s">
        <v>1209</v>
      </c>
      <c r="C86" s="1" t="s">
        <v>1218</v>
      </c>
      <c r="D86" s="1" t="s">
        <v>267</v>
      </c>
      <c r="H86" s="10">
        <v>0.0</v>
      </c>
    </row>
    <row r="87">
      <c r="A87" s="1" t="s">
        <v>1220</v>
      </c>
      <c r="B87" s="1" t="s">
        <v>33</v>
      </c>
      <c r="C87" s="1" t="s">
        <v>1222</v>
      </c>
      <c r="D87" s="1" t="s">
        <v>47</v>
      </c>
      <c r="F87" s="1" t="s">
        <v>1225</v>
      </c>
      <c r="G87" s="1" t="s">
        <v>1225</v>
      </c>
      <c r="H87" s="10">
        <v>2.0</v>
      </c>
      <c r="I87" s="1" t="s">
        <v>1228</v>
      </c>
    </row>
    <row r="88">
      <c r="A88" s="1" t="s">
        <v>31</v>
      </c>
      <c r="B88" s="1" t="s">
        <v>33</v>
      </c>
      <c r="C88" s="1" t="s">
        <v>35</v>
      </c>
      <c r="D88" s="1" t="s">
        <v>47</v>
      </c>
      <c r="F88" s="1" t="s">
        <v>799</v>
      </c>
      <c r="G88" s="1" t="s">
        <v>799</v>
      </c>
      <c r="H88" s="10">
        <v>1.0</v>
      </c>
      <c r="I88" s="1" t="s">
        <v>801</v>
      </c>
    </row>
    <row r="89">
      <c r="A89" s="1" t="s">
        <v>1234</v>
      </c>
      <c r="B89" s="1" t="s">
        <v>1235</v>
      </c>
      <c r="C89" s="1" t="s">
        <v>1236</v>
      </c>
      <c r="D89" s="1" t="s">
        <v>47</v>
      </c>
      <c r="E89" s="1" t="s">
        <v>886</v>
      </c>
      <c r="F89" s="1" t="s">
        <v>1241</v>
      </c>
      <c r="G89" s="1" t="s">
        <v>886</v>
      </c>
      <c r="H89" s="10">
        <v>2.0</v>
      </c>
      <c r="I89" s="1" t="s">
        <v>1243</v>
      </c>
    </row>
    <row r="90">
      <c r="A90" s="1" t="s">
        <v>1050</v>
      </c>
      <c r="B90" s="1" t="s">
        <v>1244</v>
      </c>
      <c r="C90" s="1" t="s">
        <v>1246</v>
      </c>
      <c r="D90" s="1" t="s">
        <v>141</v>
      </c>
      <c r="H90" s="10">
        <v>0.0</v>
      </c>
    </row>
    <row r="91">
      <c r="A91" s="1" t="s">
        <v>1247</v>
      </c>
      <c r="B91" s="1" t="s">
        <v>1248</v>
      </c>
      <c r="C91" s="1" t="s">
        <v>299</v>
      </c>
      <c r="D91" s="1" t="s">
        <v>1249</v>
      </c>
      <c r="H91" s="10">
        <v>0.0</v>
      </c>
    </row>
    <row r="92">
      <c r="A92" s="1" t="s">
        <v>1250</v>
      </c>
      <c r="B92" s="1" t="s">
        <v>1251</v>
      </c>
      <c r="C92" s="1" t="s">
        <v>1252</v>
      </c>
      <c r="D92" s="1" t="s">
        <v>540</v>
      </c>
      <c r="H92" s="10">
        <v>0.0</v>
      </c>
    </row>
    <row r="93">
      <c r="A93" s="1" t="s">
        <v>1254</v>
      </c>
      <c r="B93" s="1" t="s">
        <v>1255</v>
      </c>
      <c r="C93" s="1" t="s">
        <v>1259</v>
      </c>
      <c r="D93" s="1" t="s">
        <v>540</v>
      </c>
      <c r="H93" s="10">
        <v>0.0</v>
      </c>
    </row>
    <row r="94">
      <c r="A94" s="1" t="s">
        <v>54</v>
      </c>
      <c r="B94" s="1" t="s">
        <v>1260</v>
      </c>
      <c r="C94" s="1" t="s">
        <v>1261</v>
      </c>
      <c r="D94" s="1" t="s">
        <v>540</v>
      </c>
      <c r="H94" s="10">
        <v>0.0</v>
      </c>
    </row>
    <row r="95">
      <c r="A95" s="1" t="s">
        <v>1263</v>
      </c>
      <c r="B95" s="1" t="s">
        <v>1264</v>
      </c>
      <c r="C95" s="1" t="s">
        <v>1266</v>
      </c>
      <c r="D95" s="1" t="s">
        <v>267</v>
      </c>
      <c r="H95" s="10">
        <v>0.0</v>
      </c>
    </row>
    <row r="96">
      <c r="A96" s="1" t="s">
        <v>1271</v>
      </c>
      <c r="B96" s="1" t="s">
        <v>1264</v>
      </c>
      <c r="C96" s="1" t="s">
        <v>1273</v>
      </c>
      <c r="D96" s="1" t="s">
        <v>47</v>
      </c>
      <c r="H96" s="10">
        <v>0.0</v>
      </c>
    </row>
    <row r="97">
      <c r="A97" s="1" t="s">
        <v>1275</v>
      </c>
      <c r="B97" s="1" t="s">
        <v>1276</v>
      </c>
      <c r="C97" s="1" t="s">
        <v>1277</v>
      </c>
      <c r="D97" s="1" t="s">
        <v>141</v>
      </c>
      <c r="H97" s="10">
        <v>0.0</v>
      </c>
    </row>
    <row r="98">
      <c r="A98" s="1" t="s">
        <v>1279</v>
      </c>
      <c r="B98" s="1" t="s">
        <v>1281</v>
      </c>
      <c r="C98" s="1" t="s">
        <v>1283</v>
      </c>
      <c r="D98" s="1" t="s">
        <v>267</v>
      </c>
      <c r="H98" s="10">
        <v>0.0</v>
      </c>
    </row>
    <row r="99">
      <c r="A99" s="1" t="s">
        <v>1288</v>
      </c>
      <c r="B99" s="1" t="s">
        <v>1290</v>
      </c>
      <c r="C99" s="1" t="s">
        <v>1170</v>
      </c>
      <c r="D99" s="1" t="s">
        <v>540</v>
      </c>
      <c r="H99" s="10">
        <v>0.0</v>
      </c>
    </row>
    <row r="100">
      <c r="A100" s="1" t="s">
        <v>1292</v>
      </c>
      <c r="B100" s="1" t="s">
        <v>1293</v>
      </c>
      <c r="C100" s="1" t="s">
        <v>1294</v>
      </c>
      <c r="D100" s="1" t="s">
        <v>141</v>
      </c>
      <c r="H100" s="10">
        <v>0.0</v>
      </c>
    </row>
    <row r="101">
      <c r="A101" s="1" t="s">
        <v>921</v>
      </c>
      <c r="B101" s="1" t="s">
        <v>1295</v>
      </c>
      <c r="C101" s="1" t="s">
        <v>1296</v>
      </c>
      <c r="D101" s="1" t="s">
        <v>540</v>
      </c>
      <c r="H101" s="10">
        <v>0.0</v>
      </c>
    </row>
    <row r="102">
      <c r="A102" s="1" t="s">
        <v>1299</v>
      </c>
      <c r="B102" s="1" t="s">
        <v>1301</v>
      </c>
      <c r="C102" s="1" t="s">
        <v>1303</v>
      </c>
      <c r="D102" s="1" t="s">
        <v>227</v>
      </c>
      <c r="H102" s="10">
        <v>0.0</v>
      </c>
    </row>
    <row r="103">
      <c r="A103" s="1" t="s">
        <v>1306</v>
      </c>
      <c r="B103" s="1" t="s">
        <v>1307</v>
      </c>
      <c r="C103" s="1" t="s">
        <v>1308</v>
      </c>
      <c r="D103" s="1" t="s">
        <v>141</v>
      </c>
      <c r="H103" s="10">
        <v>0.0</v>
      </c>
    </row>
    <row r="104">
      <c r="A104" s="1" t="s">
        <v>1310</v>
      </c>
      <c r="B104" s="1" t="s">
        <v>1311</v>
      </c>
      <c r="C104" s="1" t="s">
        <v>1312</v>
      </c>
      <c r="D104" s="1" t="s">
        <v>47</v>
      </c>
      <c r="E104" s="1" t="s">
        <v>767</v>
      </c>
      <c r="F104" s="1" t="s">
        <v>1315</v>
      </c>
      <c r="G104" s="1" t="s">
        <v>767</v>
      </c>
      <c r="H104" s="10">
        <v>2.0</v>
      </c>
      <c r="I104" s="1" t="s">
        <v>1319</v>
      </c>
    </row>
    <row r="105">
      <c r="A105" s="1" t="s">
        <v>1321</v>
      </c>
      <c r="B105" s="1" t="s">
        <v>1323</v>
      </c>
      <c r="C105" s="1" t="s">
        <v>1325</v>
      </c>
      <c r="D105" s="1" t="s">
        <v>540</v>
      </c>
      <c r="H105" s="10">
        <v>0.0</v>
      </c>
    </row>
    <row r="106">
      <c r="A106" s="1" t="s">
        <v>1327</v>
      </c>
      <c r="B106" s="1" t="s">
        <v>1328</v>
      </c>
      <c r="C106" s="1" t="s">
        <v>1330</v>
      </c>
      <c r="D106" s="1" t="s">
        <v>47</v>
      </c>
      <c r="F106" s="1" t="s">
        <v>799</v>
      </c>
      <c r="G106" s="1" t="s">
        <v>799</v>
      </c>
      <c r="H106" s="10">
        <v>1.0</v>
      </c>
      <c r="I106" s="1" t="s">
        <v>801</v>
      </c>
    </row>
    <row r="107">
      <c r="A107" s="1" t="s">
        <v>1334</v>
      </c>
      <c r="B107" s="1" t="s">
        <v>1335</v>
      </c>
      <c r="C107" s="1" t="s">
        <v>1337</v>
      </c>
      <c r="H107" s="10">
        <v>0.0</v>
      </c>
    </row>
    <row r="108">
      <c r="A108" s="1" t="s">
        <v>1339</v>
      </c>
      <c r="B108" s="1" t="s">
        <v>1340</v>
      </c>
      <c r="C108" s="1" t="s">
        <v>1342</v>
      </c>
      <c r="D108" s="1" t="s">
        <v>47</v>
      </c>
      <c r="F108" s="1" t="s">
        <v>1343</v>
      </c>
      <c r="G108" s="1" t="s">
        <v>1343</v>
      </c>
      <c r="H108" s="10">
        <v>3.0</v>
      </c>
      <c r="I108" s="1" t="s">
        <v>1345</v>
      </c>
    </row>
    <row r="109">
      <c r="A109" s="1" t="s">
        <v>1348</v>
      </c>
      <c r="B109" s="1" t="s">
        <v>1340</v>
      </c>
      <c r="C109" s="1" t="s">
        <v>1350</v>
      </c>
      <c r="D109" s="1" t="s">
        <v>47</v>
      </c>
      <c r="F109" s="1" t="s">
        <v>739</v>
      </c>
      <c r="G109" s="1" t="s">
        <v>739</v>
      </c>
      <c r="H109" s="10">
        <v>1.0</v>
      </c>
      <c r="I109" s="1" t="s">
        <v>744</v>
      </c>
    </row>
    <row r="110">
      <c r="A110" s="1" t="s">
        <v>1354</v>
      </c>
      <c r="B110" s="1" t="s">
        <v>1340</v>
      </c>
      <c r="C110" s="1" t="s">
        <v>1356</v>
      </c>
      <c r="D110" s="1" t="s">
        <v>47</v>
      </c>
      <c r="F110" s="1" t="s">
        <v>739</v>
      </c>
      <c r="G110" s="1" t="s">
        <v>739</v>
      </c>
      <c r="H110" s="10">
        <v>1.0</v>
      </c>
      <c r="I110" s="1" t="s">
        <v>744</v>
      </c>
    </row>
    <row r="111">
      <c r="A111" s="1" t="s">
        <v>1364</v>
      </c>
      <c r="B111" s="1" t="s">
        <v>1365</v>
      </c>
      <c r="C111" s="1" t="s">
        <v>1367</v>
      </c>
      <c r="D111" s="1" t="s">
        <v>540</v>
      </c>
      <c r="H111" s="10">
        <v>0.0</v>
      </c>
    </row>
    <row r="112">
      <c r="A112" s="1" t="s">
        <v>1372</v>
      </c>
      <c r="B112" s="1" t="s">
        <v>1374</v>
      </c>
      <c r="C112" s="1" t="s">
        <v>1375</v>
      </c>
      <c r="D112" s="1" t="s">
        <v>47</v>
      </c>
      <c r="F112" s="1" t="s">
        <v>788</v>
      </c>
      <c r="G112" s="1" t="s">
        <v>788</v>
      </c>
      <c r="H112" s="10">
        <v>1.0</v>
      </c>
      <c r="I112" s="1" t="s">
        <v>791</v>
      </c>
    </row>
    <row r="113">
      <c r="A113" s="1" t="s">
        <v>1381</v>
      </c>
      <c r="B113" s="1" t="s">
        <v>1383</v>
      </c>
      <c r="C113" s="1" t="s">
        <v>1385</v>
      </c>
      <c r="D113" s="1" t="s">
        <v>47</v>
      </c>
      <c r="E113" s="1" t="s">
        <v>787</v>
      </c>
      <c r="F113" s="1" t="s">
        <v>1241</v>
      </c>
      <c r="G113" s="1" t="s">
        <v>787</v>
      </c>
      <c r="H113" s="10">
        <v>2.0</v>
      </c>
      <c r="I113" s="1" t="s">
        <v>1243</v>
      </c>
    </row>
    <row r="114">
      <c r="A114" s="1" t="s">
        <v>1389</v>
      </c>
      <c r="B114" s="1" t="s">
        <v>1391</v>
      </c>
      <c r="C114" s="1" t="s">
        <v>1393</v>
      </c>
      <c r="D114" s="1" t="s">
        <v>713</v>
      </c>
      <c r="H114" s="10">
        <v>0.0</v>
      </c>
    </row>
    <row r="115">
      <c r="A115" s="1" t="s">
        <v>1397</v>
      </c>
      <c r="B115" s="1" t="s">
        <v>1391</v>
      </c>
      <c r="C115" s="1" t="s">
        <v>1398</v>
      </c>
      <c r="D115" s="1" t="s">
        <v>530</v>
      </c>
      <c r="H115" s="10">
        <v>0.0</v>
      </c>
    </row>
    <row r="116">
      <c r="A116" s="1" t="s">
        <v>1402</v>
      </c>
      <c r="B116" s="1" t="s">
        <v>1404</v>
      </c>
      <c r="C116" s="1" t="s">
        <v>1407</v>
      </c>
      <c r="D116" s="1" t="s">
        <v>163</v>
      </c>
      <c r="H116" s="10">
        <v>0.0</v>
      </c>
    </row>
    <row r="117">
      <c r="A117" s="1" t="s">
        <v>1409</v>
      </c>
      <c r="B117" s="1" t="s">
        <v>1410</v>
      </c>
      <c r="C117" s="1" t="s">
        <v>1411</v>
      </c>
      <c r="H117" s="10">
        <v>0.0</v>
      </c>
    </row>
    <row r="118">
      <c r="A118" s="1" t="s">
        <v>1413</v>
      </c>
      <c r="B118" s="1" t="s">
        <v>1410</v>
      </c>
      <c r="C118" s="1" t="s">
        <v>1417</v>
      </c>
      <c r="D118" s="1" t="s">
        <v>95</v>
      </c>
      <c r="E118" s="1" t="s">
        <v>886</v>
      </c>
      <c r="G118" s="1" t="s">
        <v>886</v>
      </c>
      <c r="H118" s="10">
        <v>0.0</v>
      </c>
    </row>
    <row r="119">
      <c r="A119" s="1" t="s">
        <v>1420</v>
      </c>
      <c r="B119" s="1" t="s">
        <v>1421</v>
      </c>
      <c r="C119" s="1" t="s">
        <v>1422</v>
      </c>
      <c r="D119" s="1" t="s">
        <v>298</v>
      </c>
      <c r="H119" s="10">
        <v>0.0</v>
      </c>
    </row>
    <row r="120">
      <c r="A120" s="1" t="s">
        <v>1426</v>
      </c>
      <c r="B120" s="1" t="s">
        <v>1428</v>
      </c>
      <c r="C120" s="1" t="s">
        <v>1429</v>
      </c>
      <c r="D120" s="1" t="s">
        <v>298</v>
      </c>
      <c r="F120" s="1" t="s">
        <v>788</v>
      </c>
      <c r="G120" s="1" t="s">
        <v>788</v>
      </c>
      <c r="H120" s="10">
        <v>1.0</v>
      </c>
      <c r="I120" s="1" t="s">
        <v>791</v>
      </c>
    </row>
    <row r="121">
      <c r="A121" s="1" t="s">
        <v>1432</v>
      </c>
      <c r="B121" s="1" t="s">
        <v>1434</v>
      </c>
      <c r="C121" s="1" t="s">
        <v>1436</v>
      </c>
      <c r="D121" s="1" t="s">
        <v>900</v>
      </c>
      <c r="H121" s="10">
        <v>0.0</v>
      </c>
    </row>
    <row r="122">
      <c r="A122" s="1" t="s">
        <v>1439</v>
      </c>
      <c r="B122" s="1" t="s">
        <v>1440</v>
      </c>
      <c r="C122" s="1" t="s">
        <v>1441</v>
      </c>
      <c r="D122" s="1" t="s">
        <v>900</v>
      </c>
      <c r="E122" s="1" t="s">
        <v>767</v>
      </c>
      <c r="G122" s="1" t="s">
        <v>767</v>
      </c>
      <c r="H122" s="10">
        <v>0.0</v>
      </c>
    </row>
    <row r="123">
      <c r="A123" s="1" t="s">
        <v>1443</v>
      </c>
      <c r="B123" s="1" t="s">
        <v>521</v>
      </c>
      <c r="C123" s="1" t="s">
        <v>525</v>
      </c>
      <c r="D123" s="1" t="s">
        <v>227</v>
      </c>
      <c r="F123" s="1" t="s">
        <v>799</v>
      </c>
      <c r="G123" s="1" t="s">
        <v>799</v>
      </c>
      <c r="H123" s="10">
        <v>1.0</v>
      </c>
      <c r="I123" s="1" t="s">
        <v>801</v>
      </c>
    </row>
    <row r="124">
      <c r="A124" s="1" t="s">
        <v>1449</v>
      </c>
      <c r="B124" s="1" t="s">
        <v>1450</v>
      </c>
      <c r="C124" s="1" t="s">
        <v>1452</v>
      </c>
      <c r="D124" s="1" t="s">
        <v>267</v>
      </c>
      <c r="H124" s="10">
        <v>0.0</v>
      </c>
    </row>
    <row r="125">
      <c r="A125" s="1" t="s">
        <v>1454</v>
      </c>
      <c r="B125" s="1" t="s">
        <v>90</v>
      </c>
      <c r="C125" s="1" t="s">
        <v>96</v>
      </c>
      <c r="D125" s="1" t="s">
        <v>95</v>
      </c>
      <c r="H125" s="10">
        <v>0.0</v>
      </c>
    </row>
    <row r="126">
      <c r="A126" s="1" t="s">
        <v>1459</v>
      </c>
      <c r="B126" s="1" t="s">
        <v>90</v>
      </c>
      <c r="C126" s="1" t="s">
        <v>1461</v>
      </c>
      <c r="D126" s="1" t="s">
        <v>540</v>
      </c>
      <c r="H126" s="10">
        <v>0.0</v>
      </c>
    </row>
    <row r="127">
      <c r="A127" s="1" t="s">
        <v>1463</v>
      </c>
      <c r="B127" s="1" t="s">
        <v>1466</v>
      </c>
      <c r="C127" s="1" t="s">
        <v>1468</v>
      </c>
      <c r="D127" s="1" t="s">
        <v>47</v>
      </c>
      <c r="E127" s="1" t="s">
        <v>767</v>
      </c>
      <c r="F127" s="1" t="s">
        <v>739</v>
      </c>
      <c r="G127" s="1" t="s">
        <v>767</v>
      </c>
      <c r="H127" s="10">
        <v>1.0</v>
      </c>
      <c r="I127" s="1" t="s">
        <v>744</v>
      </c>
    </row>
    <row r="128">
      <c r="A128" s="1" t="s">
        <v>1471</v>
      </c>
      <c r="B128" s="1" t="s">
        <v>536</v>
      </c>
      <c r="C128" s="1" t="s">
        <v>1474</v>
      </c>
      <c r="D128" s="1" t="s">
        <v>530</v>
      </c>
      <c r="H128" s="10">
        <v>0.0</v>
      </c>
    </row>
    <row r="129">
      <c r="A129" s="1" t="s">
        <v>1479</v>
      </c>
      <c r="B129" s="1" t="s">
        <v>1480</v>
      </c>
      <c r="C129" s="1" t="s">
        <v>1482</v>
      </c>
      <c r="D129" s="1" t="s">
        <v>184</v>
      </c>
      <c r="H129" s="10">
        <v>0.0</v>
      </c>
    </row>
    <row r="130">
      <c r="A130" s="1" t="s">
        <v>1484</v>
      </c>
      <c r="B130" s="1" t="s">
        <v>1486</v>
      </c>
      <c r="C130" s="1" t="s">
        <v>1489</v>
      </c>
      <c r="D130" s="1" t="s">
        <v>900</v>
      </c>
      <c r="H130" s="10">
        <v>0.0</v>
      </c>
    </row>
    <row r="131">
      <c r="A131" s="1" t="s">
        <v>1490</v>
      </c>
      <c r="B131" s="1" t="s">
        <v>1491</v>
      </c>
      <c r="C131" s="1" t="s">
        <v>1493</v>
      </c>
      <c r="D131" s="1" t="s">
        <v>530</v>
      </c>
      <c r="H131" s="10">
        <v>0.0</v>
      </c>
    </row>
    <row r="132">
      <c r="A132" s="1" t="s">
        <v>1496</v>
      </c>
      <c r="B132" s="1" t="s">
        <v>1499</v>
      </c>
      <c r="C132" s="1" t="s">
        <v>1500</v>
      </c>
      <c r="D132" s="1" t="s">
        <v>540</v>
      </c>
      <c r="F132" s="1" t="s">
        <v>788</v>
      </c>
      <c r="G132" s="1" t="s">
        <v>788</v>
      </c>
      <c r="H132" s="10">
        <v>1.0</v>
      </c>
      <c r="I132" s="1" t="s">
        <v>791</v>
      </c>
    </row>
    <row r="133">
      <c r="A133" s="1" t="s">
        <v>1504</v>
      </c>
      <c r="B133" s="1" t="s">
        <v>1506</v>
      </c>
      <c r="C133" s="1" t="s">
        <v>1508</v>
      </c>
      <c r="D133" s="1" t="s">
        <v>1511</v>
      </c>
      <c r="H133" s="10">
        <v>0.0</v>
      </c>
    </row>
    <row r="134">
      <c r="A134" s="1" t="s">
        <v>1512</v>
      </c>
      <c r="B134" s="1" t="s">
        <v>1506</v>
      </c>
      <c r="C134" s="1" t="s">
        <v>1514</v>
      </c>
      <c r="D134" s="1" t="s">
        <v>1516</v>
      </c>
      <c r="H134" s="10">
        <v>0.0</v>
      </c>
    </row>
    <row r="135">
      <c r="A135" s="1" t="s">
        <v>1517</v>
      </c>
      <c r="B135" s="1" t="s">
        <v>1518</v>
      </c>
      <c r="C135" s="1" t="s">
        <v>1520</v>
      </c>
      <c r="D135" s="1" t="s">
        <v>267</v>
      </c>
      <c r="H135" s="10">
        <v>0.0</v>
      </c>
    </row>
    <row r="136">
      <c r="A136" s="1" t="s">
        <v>1522</v>
      </c>
      <c r="B136" s="1" t="s">
        <v>1524</v>
      </c>
      <c r="C136" s="1" t="s">
        <v>1526</v>
      </c>
      <c r="D136" s="1" t="s">
        <v>298</v>
      </c>
      <c r="H136" s="10">
        <v>0.0</v>
      </c>
    </row>
    <row r="137">
      <c r="A137" s="1" t="s">
        <v>102</v>
      </c>
      <c r="B137" s="1" t="s">
        <v>105</v>
      </c>
      <c r="C137" s="1" t="s">
        <v>107</v>
      </c>
      <c r="D137" s="1" t="s">
        <v>47</v>
      </c>
      <c r="E137" s="1" t="s">
        <v>767</v>
      </c>
      <c r="F137" s="1" t="s">
        <v>739</v>
      </c>
      <c r="G137" s="1" t="s">
        <v>767</v>
      </c>
      <c r="H137" s="10">
        <v>1.0</v>
      </c>
      <c r="I137" s="1" t="s">
        <v>744</v>
      </c>
    </row>
    <row r="138">
      <c r="A138" s="1" t="s">
        <v>1536</v>
      </c>
      <c r="B138" s="1" t="s">
        <v>1537</v>
      </c>
      <c r="C138" s="1" t="s">
        <v>1538</v>
      </c>
      <c r="D138" s="1" t="s">
        <v>1540</v>
      </c>
      <c r="H138" s="10">
        <v>0.0</v>
      </c>
    </row>
    <row r="139">
      <c r="A139" s="1" t="s">
        <v>1541</v>
      </c>
      <c r="B139" s="1" t="s">
        <v>1542</v>
      </c>
      <c r="C139" s="1" t="s">
        <v>1543</v>
      </c>
      <c r="D139" s="1" t="s">
        <v>47</v>
      </c>
      <c r="F139" s="1" t="s">
        <v>799</v>
      </c>
      <c r="G139" s="1" t="s">
        <v>799</v>
      </c>
      <c r="H139" s="10">
        <v>1.0</v>
      </c>
      <c r="I139" s="1" t="s">
        <v>801</v>
      </c>
    </row>
    <row r="140">
      <c r="A140" s="1" t="s">
        <v>1545</v>
      </c>
      <c r="B140" s="1" t="s">
        <v>1546</v>
      </c>
      <c r="C140" s="1" t="s">
        <v>1548</v>
      </c>
      <c r="D140" s="1" t="s">
        <v>1249</v>
      </c>
      <c r="H140" s="10">
        <v>0.0</v>
      </c>
    </row>
    <row r="141">
      <c r="A141" s="1" t="s">
        <v>1549</v>
      </c>
      <c r="B141" s="1" t="s">
        <v>1551</v>
      </c>
      <c r="C141" s="1" t="s">
        <v>1552</v>
      </c>
      <c r="D141" s="1" t="s">
        <v>1516</v>
      </c>
      <c r="H141" s="10">
        <v>0.0</v>
      </c>
    </row>
    <row r="142">
      <c r="A142" s="1" t="s">
        <v>1555</v>
      </c>
      <c r="B142" s="1" t="s">
        <v>1556</v>
      </c>
      <c r="C142" s="1" t="s">
        <v>1557</v>
      </c>
      <c r="D142" s="1" t="s">
        <v>298</v>
      </c>
      <c r="H142" s="10">
        <v>0.0</v>
      </c>
    </row>
    <row r="143">
      <c r="A143" s="1" t="s">
        <v>1558</v>
      </c>
      <c r="B143" s="1" t="s">
        <v>1556</v>
      </c>
      <c r="C143" s="1" t="s">
        <v>1560</v>
      </c>
      <c r="D143" s="1" t="s">
        <v>298</v>
      </c>
      <c r="H143" s="10">
        <v>0.0</v>
      </c>
    </row>
    <row r="144">
      <c r="A144" s="1" t="s">
        <v>1563</v>
      </c>
      <c r="B144" s="1" t="s">
        <v>1566</v>
      </c>
      <c r="C144" s="1" t="s">
        <v>1568</v>
      </c>
      <c r="D144" s="1" t="s">
        <v>267</v>
      </c>
      <c r="E144" s="1" t="s">
        <v>886</v>
      </c>
      <c r="G144" s="1" t="s">
        <v>886</v>
      </c>
      <c r="H144" s="10">
        <v>0.0</v>
      </c>
    </row>
    <row r="145">
      <c r="A145" s="1" t="s">
        <v>1570</v>
      </c>
      <c r="B145" s="1" t="s">
        <v>1571</v>
      </c>
      <c r="C145" s="1" t="s">
        <v>1572</v>
      </c>
      <c r="D145" s="1" t="s">
        <v>1573</v>
      </c>
      <c r="H145" s="10">
        <v>0.0</v>
      </c>
    </row>
    <row r="146">
      <c r="A146" s="1" t="s">
        <v>1576</v>
      </c>
      <c r="B146" s="1" t="s">
        <v>1578</v>
      </c>
      <c r="C146" s="1" t="s">
        <v>1581</v>
      </c>
      <c r="F146" s="1" t="s">
        <v>739</v>
      </c>
      <c r="G146" s="1" t="s">
        <v>739</v>
      </c>
      <c r="H146" s="10">
        <v>1.0</v>
      </c>
      <c r="I146" s="1" t="s">
        <v>744</v>
      </c>
    </row>
    <row r="147">
      <c r="A147" s="1" t="s">
        <v>1586</v>
      </c>
      <c r="B147" s="1" t="s">
        <v>1588</v>
      </c>
      <c r="C147" s="1" t="s">
        <v>1590</v>
      </c>
      <c r="D147" s="1" t="s">
        <v>298</v>
      </c>
      <c r="H147" s="10">
        <v>0.0</v>
      </c>
    </row>
    <row r="148">
      <c r="A148" s="1" t="s">
        <v>1592</v>
      </c>
      <c r="B148" s="1" t="s">
        <v>1593</v>
      </c>
      <c r="C148" s="1" t="s">
        <v>1595</v>
      </c>
      <c r="D148" s="1" t="s">
        <v>47</v>
      </c>
      <c r="F148" s="1" t="s">
        <v>739</v>
      </c>
      <c r="G148" s="1" t="s">
        <v>739</v>
      </c>
      <c r="H148" s="10">
        <v>1.0</v>
      </c>
      <c r="I148" s="1" t="s">
        <v>744</v>
      </c>
    </row>
    <row r="149">
      <c r="A149" s="1" t="s">
        <v>1600</v>
      </c>
      <c r="B149" s="1" t="s">
        <v>1601</v>
      </c>
      <c r="C149" s="1" t="s">
        <v>1602</v>
      </c>
      <c r="D149" s="1" t="s">
        <v>1573</v>
      </c>
      <c r="H149" s="10">
        <v>0.0</v>
      </c>
    </row>
    <row r="150">
      <c r="A150" s="1" t="s">
        <v>1605</v>
      </c>
      <c r="B150" s="1" t="s">
        <v>1606</v>
      </c>
      <c r="C150" s="1" t="s">
        <v>1607</v>
      </c>
      <c r="H150" s="10">
        <v>0.0</v>
      </c>
    </row>
    <row r="151">
      <c r="A151" s="1" t="s">
        <v>1608</v>
      </c>
      <c r="B151" s="1" t="s">
        <v>402</v>
      </c>
      <c r="C151" s="1" t="s">
        <v>408</v>
      </c>
      <c r="D151" s="1" t="s">
        <v>163</v>
      </c>
      <c r="E151" s="1" t="s">
        <v>767</v>
      </c>
      <c r="F151" s="1" t="s">
        <v>739</v>
      </c>
      <c r="G151" s="1" t="s">
        <v>767</v>
      </c>
      <c r="H151" s="10">
        <v>1.0</v>
      </c>
      <c r="I151" s="1" t="s">
        <v>744</v>
      </c>
    </row>
    <row r="152">
      <c r="A152" s="1" t="s">
        <v>1616</v>
      </c>
      <c r="B152" s="1" t="s">
        <v>1617</v>
      </c>
      <c r="C152" s="1" t="s">
        <v>1618</v>
      </c>
      <c r="D152" s="1" t="s">
        <v>298</v>
      </c>
      <c r="H152" s="10">
        <v>0.0</v>
      </c>
    </row>
    <row r="153">
      <c r="A153" s="1" t="s">
        <v>1621</v>
      </c>
      <c r="B153" s="1" t="s">
        <v>1622</v>
      </c>
      <c r="C153" s="1" t="s">
        <v>1625</v>
      </c>
      <c r="D153" s="1" t="s">
        <v>540</v>
      </c>
      <c r="H153" s="10">
        <v>0.0</v>
      </c>
    </row>
    <row r="154">
      <c r="A154" s="1" t="s">
        <v>1627</v>
      </c>
      <c r="B154" s="1" t="s">
        <v>1629</v>
      </c>
      <c r="C154" s="1" t="s">
        <v>1631</v>
      </c>
      <c r="D154" s="1" t="s">
        <v>1633</v>
      </c>
      <c r="F154" s="1" t="s">
        <v>799</v>
      </c>
      <c r="G154" s="1" t="s">
        <v>799</v>
      </c>
      <c r="H154" s="10">
        <v>1.0</v>
      </c>
      <c r="I154" s="1" t="s">
        <v>801</v>
      </c>
    </row>
    <row r="155">
      <c r="A155" s="1" t="s">
        <v>1635</v>
      </c>
      <c r="B155" s="1" t="s">
        <v>1636</v>
      </c>
      <c r="C155" s="1" t="s">
        <v>1637</v>
      </c>
      <c r="H155" s="10">
        <v>0.0</v>
      </c>
    </row>
    <row r="156">
      <c r="A156" s="1" t="s">
        <v>1639</v>
      </c>
      <c r="B156" s="1" t="s">
        <v>1640</v>
      </c>
      <c r="C156" s="1" t="s">
        <v>1641</v>
      </c>
      <c r="D156" s="1" t="s">
        <v>163</v>
      </c>
      <c r="H156" s="10">
        <v>0.0</v>
      </c>
    </row>
    <row r="157">
      <c r="A157" s="1" t="s">
        <v>1645</v>
      </c>
      <c r="B157" s="1" t="s">
        <v>1646</v>
      </c>
      <c r="C157" s="1" t="s">
        <v>1648</v>
      </c>
      <c r="H157" s="10">
        <v>0.0</v>
      </c>
    </row>
    <row r="158">
      <c r="A158" s="1" t="s">
        <v>1649</v>
      </c>
      <c r="B158" s="1" t="s">
        <v>1651</v>
      </c>
      <c r="C158" s="1" t="s">
        <v>1652</v>
      </c>
      <c r="D158" s="1" t="s">
        <v>900</v>
      </c>
      <c r="H158" s="10">
        <v>0.0</v>
      </c>
    </row>
    <row r="159">
      <c r="A159" s="1" t="s">
        <v>1653</v>
      </c>
      <c r="B159" s="1" t="s">
        <v>1654</v>
      </c>
      <c r="C159" s="1" t="s">
        <v>1656</v>
      </c>
      <c r="D159" s="1" t="s">
        <v>163</v>
      </c>
      <c r="H159" s="10">
        <v>0.0</v>
      </c>
    </row>
    <row r="160">
      <c r="A160" s="1" t="s">
        <v>1657</v>
      </c>
      <c r="B160" s="1" t="s">
        <v>1658</v>
      </c>
      <c r="C160" s="1" t="s">
        <v>1660</v>
      </c>
      <c r="D160" s="1" t="s">
        <v>95</v>
      </c>
      <c r="H160" s="10">
        <v>0.0</v>
      </c>
    </row>
    <row r="161">
      <c r="A161" s="1" t="s">
        <v>1661</v>
      </c>
      <c r="B161" s="1" t="s">
        <v>1662</v>
      </c>
      <c r="C161" s="1" t="s">
        <v>1664</v>
      </c>
      <c r="D161" s="1" t="s">
        <v>298</v>
      </c>
      <c r="E161" s="1" t="s">
        <v>787</v>
      </c>
      <c r="F161" s="1" t="s">
        <v>788</v>
      </c>
      <c r="G161" s="1" t="s">
        <v>787</v>
      </c>
      <c r="H161" s="10">
        <v>1.0</v>
      </c>
      <c r="I161" s="1" t="s">
        <v>791</v>
      </c>
    </row>
    <row r="162">
      <c r="A162" s="1" t="s">
        <v>1667</v>
      </c>
      <c r="B162" s="1" t="s">
        <v>1668</v>
      </c>
      <c r="C162" s="1" t="s">
        <v>1669</v>
      </c>
      <c r="D162" s="1" t="s">
        <v>163</v>
      </c>
      <c r="H162" s="10">
        <v>0.0</v>
      </c>
    </row>
    <row r="163">
      <c r="A163" s="1" t="s">
        <v>1672</v>
      </c>
      <c r="B163" s="1" t="s">
        <v>1674</v>
      </c>
      <c r="C163" s="1" t="s">
        <v>1675</v>
      </c>
      <c r="D163" s="1" t="s">
        <v>163</v>
      </c>
      <c r="E163" s="1" t="s">
        <v>767</v>
      </c>
      <c r="F163" s="1" t="s">
        <v>739</v>
      </c>
      <c r="G163" s="1" t="s">
        <v>767</v>
      </c>
      <c r="H163" s="10">
        <v>1.0</v>
      </c>
      <c r="I163" s="1" t="s">
        <v>744</v>
      </c>
    </row>
    <row r="164">
      <c r="A164" s="1" t="s">
        <v>1678</v>
      </c>
      <c r="B164" s="1" t="s">
        <v>1679</v>
      </c>
      <c r="C164" s="1" t="s">
        <v>1681</v>
      </c>
      <c r="D164" s="1" t="s">
        <v>47</v>
      </c>
      <c r="F164" s="1" t="s">
        <v>976</v>
      </c>
      <c r="G164" s="1" t="s">
        <v>976</v>
      </c>
      <c r="H164" s="10">
        <v>2.0</v>
      </c>
      <c r="I164" s="1" t="s">
        <v>978</v>
      </c>
    </row>
    <row r="165">
      <c r="A165" s="1" t="s">
        <v>1683</v>
      </c>
      <c r="B165" s="1" t="s">
        <v>1684</v>
      </c>
      <c r="C165" s="1" t="s">
        <v>1686</v>
      </c>
      <c r="D165" s="1" t="s">
        <v>298</v>
      </c>
      <c r="H165" s="10">
        <v>0.0</v>
      </c>
    </row>
    <row r="166">
      <c r="A166" s="1" t="s">
        <v>1687</v>
      </c>
      <c r="B166" s="1" t="s">
        <v>1689</v>
      </c>
      <c r="C166" s="1" t="s">
        <v>1690</v>
      </c>
      <c r="D166" s="1" t="s">
        <v>540</v>
      </c>
      <c r="H166" s="10">
        <v>0.0</v>
      </c>
    </row>
    <row r="167">
      <c r="A167" s="1" t="s">
        <v>1692</v>
      </c>
      <c r="B167" s="1" t="s">
        <v>1694</v>
      </c>
      <c r="C167" s="1" t="s">
        <v>1695</v>
      </c>
      <c r="D167" s="1" t="s">
        <v>95</v>
      </c>
      <c r="H167" s="10">
        <v>0.0</v>
      </c>
    </row>
    <row r="168">
      <c r="A168" s="1" t="s">
        <v>1697</v>
      </c>
      <c r="B168" s="1" t="s">
        <v>1698</v>
      </c>
      <c r="C168" s="1" t="s">
        <v>1699</v>
      </c>
      <c r="D168" s="1" t="s">
        <v>47</v>
      </c>
      <c r="E168" s="1" t="s">
        <v>886</v>
      </c>
      <c r="F168" s="1" t="s">
        <v>799</v>
      </c>
      <c r="G168" s="1" t="s">
        <v>886</v>
      </c>
      <c r="H168" s="10">
        <v>1.0</v>
      </c>
      <c r="I168" s="1" t="s">
        <v>801</v>
      </c>
    </row>
    <row r="169">
      <c r="A169" s="1" t="s">
        <v>1704</v>
      </c>
      <c r="B169" s="1" t="s">
        <v>1707</v>
      </c>
      <c r="C169" s="1" t="s">
        <v>1708</v>
      </c>
      <c r="D169" s="1" t="s">
        <v>540</v>
      </c>
      <c r="H169" s="10">
        <v>0.0</v>
      </c>
    </row>
    <row r="170">
      <c r="A170" s="1" t="s">
        <v>1710</v>
      </c>
      <c r="B170" s="1" t="s">
        <v>1711</v>
      </c>
      <c r="C170" s="1" t="s">
        <v>1712</v>
      </c>
      <c r="D170" s="1" t="s">
        <v>1516</v>
      </c>
      <c r="H170" s="10">
        <v>0.0</v>
      </c>
    </row>
    <row r="171">
      <c r="A171" s="1" t="s">
        <v>1714</v>
      </c>
      <c r="B171" s="1" t="s">
        <v>296</v>
      </c>
      <c r="C171" s="1" t="s">
        <v>1716</v>
      </c>
      <c r="D171" s="1" t="s">
        <v>298</v>
      </c>
      <c r="H171" s="10">
        <v>0.0</v>
      </c>
    </row>
    <row r="172">
      <c r="A172" s="1" t="s">
        <v>1720</v>
      </c>
      <c r="B172" s="1" t="s">
        <v>296</v>
      </c>
      <c r="C172" s="1" t="s">
        <v>299</v>
      </c>
      <c r="D172" s="1" t="s">
        <v>298</v>
      </c>
      <c r="H172" s="10">
        <v>0.0</v>
      </c>
    </row>
    <row r="173">
      <c r="A173" s="1" t="s">
        <v>1724</v>
      </c>
      <c r="B173" s="1" t="s">
        <v>1725</v>
      </c>
      <c r="C173" s="1" t="s">
        <v>1727</v>
      </c>
      <c r="D173" s="1" t="s">
        <v>227</v>
      </c>
      <c r="H173" s="10">
        <v>0.0</v>
      </c>
    </row>
    <row r="174">
      <c r="A174" s="1" t="s">
        <v>1730</v>
      </c>
      <c r="B174" s="1" t="s">
        <v>1731</v>
      </c>
      <c r="C174" s="1" t="s">
        <v>1732</v>
      </c>
      <c r="D174" s="1" t="s">
        <v>267</v>
      </c>
      <c r="H174" s="10">
        <v>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1948</v>
      </c>
      <c r="B1" s="1" t="s">
        <v>1949</v>
      </c>
      <c r="C1" s="1" t="s">
        <v>1950</v>
      </c>
    </row>
    <row r="2">
      <c r="A2" s="1" t="s">
        <v>1955</v>
      </c>
      <c r="B2" s="1" t="s">
        <v>2053</v>
      </c>
      <c r="C2" s="11">
        <v>46204.7816168287</v>
      </c>
    </row>
    <row r="3">
      <c r="A3" s="1" t="s">
        <v>2062</v>
      </c>
      <c r="B3" s="1" t="s">
        <v>2133</v>
      </c>
      <c r="C3" s="11">
        <v>46204.7816168287</v>
      </c>
    </row>
    <row r="4">
      <c r="A4" s="1" t="s">
        <v>2135</v>
      </c>
      <c r="B4" s="1" t="s">
        <v>2207</v>
      </c>
      <c r="C4" s="11">
        <v>46204.7816168287</v>
      </c>
    </row>
    <row r="5">
      <c r="A5" s="1" t="s">
        <v>2209</v>
      </c>
      <c r="B5" s="1" t="s">
        <v>2295</v>
      </c>
      <c r="C5" s="11">
        <v>46204.7816168287</v>
      </c>
    </row>
    <row r="6">
      <c r="A6" s="1" t="s">
        <v>2299</v>
      </c>
      <c r="B6" s="1" t="s">
        <v>2352</v>
      </c>
      <c r="C6" s="11">
        <v>46204.7816168287</v>
      </c>
    </row>
    <row r="7">
      <c r="A7" s="1" t="s">
        <v>2354</v>
      </c>
      <c r="B7" s="1" t="s">
        <v>2435</v>
      </c>
      <c r="C7" s="11">
        <v>46204.7816168287</v>
      </c>
    </row>
    <row r="8">
      <c r="A8" s="1" t="s">
        <v>2436</v>
      </c>
      <c r="B8" s="1" t="s">
        <v>2477</v>
      </c>
      <c r="C8" s="11">
        <v>46204.7816168287</v>
      </c>
    </row>
    <row r="9">
      <c r="A9" s="1" t="s">
        <v>2479</v>
      </c>
      <c r="B9" s="1" t="s">
        <v>2529</v>
      </c>
      <c r="C9" s="11">
        <v>46204.7816168287</v>
      </c>
    </row>
    <row r="10">
      <c r="A10" s="1" t="s">
        <v>2530</v>
      </c>
      <c r="B10" s="1" t="s">
        <v>2600</v>
      </c>
      <c r="C10" s="11">
        <v>46204.7816168287</v>
      </c>
    </row>
    <row r="11">
      <c r="A11" s="1" t="s">
        <v>2601</v>
      </c>
      <c r="B11" s="1" t="s">
        <v>2680</v>
      </c>
      <c r="C11" s="11">
        <v>46204.7816168287</v>
      </c>
    </row>
    <row r="12">
      <c r="A12" s="1" t="s">
        <v>2683</v>
      </c>
      <c r="B12" s="1" t="s">
        <v>2726</v>
      </c>
      <c r="C12" s="11">
        <v>46204.7816168287</v>
      </c>
    </row>
    <row r="13">
      <c r="A13" s="1" t="s">
        <v>2728</v>
      </c>
      <c r="B13" s="1" t="s">
        <v>2779</v>
      </c>
      <c r="C13" s="11">
        <v>46204.7816168287</v>
      </c>
    </row>
    <row r="14">
      <c r="A14" s="1" t="s">
        <v>2783</v>
      </c>
      <c r="B14" s="1" t="s">
        <v>2825</v>
      </c>
      <c r="C14" s="11">
        <v>46204.7816168287</v>
      </c>
    </row>
    <row r="15">
      <c r="A15" s="1" t="s">
        <v>2826</v>
      </c>
      <c r="B15" s="1" t="s">
        <v>2871</v>
      </c>
      <c r="C15" s="11">
        <v>46204.7816168287</v>
      </c>
    </row>
    <row r="16">
      <c r="A16" s="1" t="s">
        <v>2873</v>
      </c>
      <c r="B16" s="1" t="s">
        <v>2874</v>
      </c>
      <c r="C16" s="11">
        <v>46204.7816168287</v>
      </c>
    </row>
    <row r="17">
      <c r="A17" s="1" t="s">
        <v>2876</v>
      </c>
      <c r="B17" s="1" t="s">
        <v>2053</v>
      </c>
      <c r="C17" s="11">
        <v>46204.78803340278</v>
      </c>
    </row>
    <row r="18">
      <c r="A18" s="1" t="s">
        <v>2951</v>
      </c>
      <c r="B18" s="1" t="s">
        <v>2133</v>
      </c>
      <c r="C18" s="11">
        <v>46204.78803340278</v>
      </c>
    </row>
    <row r="19">
      <c r="A19" s="1" t="s">
        <v>3011</v>
      </c>
      <c r="B19" s="1" t="s">
        <v>2207</v>
      </c>
      <c r="C19" s="11">
        <v>46204.78803340278</v>
      </c>
    </row>
    <row r="20">
      <c r="A20" s="1" t="s">
        <v>3067</v>
      </c>
      <c r="B20" s="1" t="s">
        <v>2295</v>
      </c>
      <c r="C20" s="11">
        <v>46204.78803340278</v>
      </c>
    </row>
    <row r="21">
      <c r="A21" s="1" t="s">
        <v>3093</v>
      </c>
      <c r="B21" s="1" t="s">
        <v>2352</v>
      </c>
      <c r="C21" s="11">
        <v>46204.78803340278</v>
      </c>
    </row>
    <row r="22">
      <c r="A22" s="1" t="s">
        <v>3121</v>
      </c>
      <c r="B22" s="1" t="s">
        <v>2435</v>
      </c>
      <c r="C22" s="11">
        <v>46204.78803340278</v>
      </c>
    </row>
    <row r="23">
      <c r="A23" s="1" t="s">
        <v>3158</v>
      </c>
      <c r="B23" s="1" t="s">
        <v>2477</v>
      </c>
      <c r="C23" s="11">
        <v>46204.78803340278</v>
      </c>
    </row>
    <row r="24">
      <c r="A24" s="1" t="s">
        <v>3189</v>
      </c>
      <c r="B24" s="1" t="s">
        <v>2529</v>
      </c>
      <c r="C24" s="11">
        <v>46204.78803340278</v>
      </c>
    </row>
    <row r="25">
      <c r="A25" s="1" t="s">
        <v>3226</v>
      </c>
      <c r="B25" s="1" t="s">
        <v>2600</v>
      </c>
      <c r="C25" s="11">
        <v>46204.78803340278</v>
      </c>
    </row>
    <row r="26">
      <c r="A26" s="1" t="s">
        <v>3260</v>
      </c>
      <c r="B26" s="1" t="s">
        <v>2680</v>
      </c>
      <c r="C26" s="11">
        <v>46204.78803340278</v>
      </c>
    </row>
    <row r="27">
      <c r="A27" s="1" t="s">
        <v>3287</v>
      </c>
      <c r="B27" s="1" t="s">
        <v>2726</v>
      </c>
      <c r="C27" s="11">
        <v>46204.78803340278</v>
      </c>
    </row>
    <row r="28">
      <c r="A28" s="1" t="s">
        <v>3307</v>
      </c>
      <c r="B28" s="1" t="s">
        <v>2779</v>
      </c>
      <c r="C28" s="11">
        <v>46204.78803340278</v>
      </c>
    </row>
    <row r="29">
      <c r="A29" s="1" t="s">
        <v>3328</v>
      </c>
      <c r="B29" s="1" t="s">
        <v>2825</v>
      </c>
      <c r="C29" s="11">
        <v>46204.78803340278</v>
      </c>
    </row>
    <row r="30">
      <c r="A30" s="1" t="s">
        <v>3355</v>
      </c>
      <c r="B30" s="1" t="s">
        <v>2871</v>
      </c>
      <c r="C30" s="11">
        <v>46204.78803340278</v>
      </c>
    </row>
    <row r="31">
      <c r="A31" s="1" t="s">
        <v>3374</v>
      </c>
      <c r="B31" s="1" t="s">
        <v>2874</v>
      </c>
      <c r="C31" s="11">
        <v>46204.78803340278</v>
      </c>
    </row>
    <row r="32">
      <c r="A32" s="1" t="s">
        <v>3375</v>
      </c>
      <c r="B32" s="1" t="s">
        <v>3376</v>
      </c>
      <c r="C32" s="11">
        <v>46204.78806210648</v>
      </c>
    </row>
    <row r="33">
      <c r="A33" s="1"/>
      <c r="B33" s="1"/>
      <c r="C33" s="11"/>
    </row>
    <row r="34">
      <c r="A34" s="1"/>
      <c r="B34" s="1"/>
      <c r="C34" s="11"/>
    </row>
    <row r="35">
      <c r="A35" s="1"/>
      <c r="B35" s="1"/>
      <c r="C35" s="11"/>
    </row>
    <row r="36">
      <c r="A36" s="1"/>
      <c r="B36" s="1"/>
      <c r="C36" s="11"/>
    </row>
    <row r="37">
      <c r="A37" s="1"/>
      <c r="B37" s="1"/>
      <c r="C37" s="11"/>
    </row>
    <row r="38">
      <c r="A38" s="1"/>
      <c r="B38" s="1"/>
      <c r="C38" s="11"/>
    </row>
    <row r="39">
      <c r="A39" s="1"/>
      <c r="B39" s="1"/>
      <c r="C39" s="11"/>
    </row>
    <row r="40">
      <c r="A40" s="1"/>
      <c r="B40" s="1"/>
      <c r="C40" s="11"/>
    </row>
    <row r="41">
      <c r="A41" s="1"/>
      <c r="B41" s="1"/>
      <c r="C41" s="11"/>
    </row>
    <row r="42">
      <c r="A42" s="1"/>
      <c r="B42" s="1"/>
      <c r="C42" s="11"/>
    </row>
    <row r="43">
      <c r="A43" s="1"/>
      <c r="B43" s="1"/>
      <c r="C43" s="11"/>
    </row>
    <row r="44">
      <c r="A44" s="1"/>
      <c r="B44" s="1"/>
      <c r="C44" s="11"/>
    </row>
    <row r="45">
      <c r="A45" s="1"/>
      <c r="B45" s="1"/>
      <c r="C45" s="11"/>
    </row>
    <row r="46">
      <c r="A46" s="1"/>
      <c r="B46" s="1"/>
      <c r="C46" s="11"/>
    </row>
    <row r="47">
      <c r="A47" s="1"/>
      <c r="B47" s="1"/>
      <c r="C47" s="11"/>
    </row>
    <row r="48">
      <c r="A48" s="1"/>
      <c r="B48" s="1"/>
      <c r="C48" s="11"/>
    </row>
    <row r="49">
      <c r="A49" s="1"/>
      <c r="B49" s="1"/>
      <c r="C49" s="11"/>
    </row>
    <row r="50">
      <c r="A50" s="1"/>
      <c r="B50" s="1"/>
      <c r="C50" s="11"/>
    </row>
    <row r="51">
      <c r="A51" s="1"/>
      <c r="B51" s="1"/>
      <c r="C51" s="11"/>
    </row>
    <row r="52">
      <c r="A52" s="1"/>
      <c r="B52" s="1"/>
      <c r="C52" s="11"/>
    </row>
    <row r="53">
      <c r="A53" s="1"/>
      <c r="B53" s="1"/>
      <c r="C53" s="11"/>
    </row>
    <row r="54">
      <c r="A54" s="1"/>
      <c r="B54" s="1"/>
      <c r="C54" s="11"/>
    </row>
    <row r="55">
      <c r="A55" s="1"/>
      <c r="B55" s="1"/>
      <c r="C55" s="11"/>
    </row>
    <row r="56">
      <c r="A56" s="1"/>
      <c r="B56" s="1"/>
      <c r="C56" s="11"/>
    </row>
    <row r="57">
      <c r="A57" s="1"/>
      <c r="B57" s="1"/>
      <c r="C57" s="11"/>
    </row>
    <row r="58">
      <c r="A58" s="1"/>
      <c r="B58" s="1"/>
      <c r="C58" s="11"/>
    </row>
    <row r="59">
      <c r="A59" s="1"/>
      <c r="B59" s="1"/>
      <c r="C59" s="11"/>
    </row>
    <row r="60">
      <c r="A60" s="1"/>
      <c r="B60" s="1"/>
      <c r="C60" s="11"/>
    </row>
    <row r="61">
      <c r="A61" s="1"/>
      <c r="B61" s="1"/>
      <c r="C61" s="11"/>
    </row>
    <row r="62">
      <c r="A62" s="1"/>
      <c r="B62" s="1"/>
      <c r="C62" s="11"/>
    </row>
    <row r="63">
      <c r="A63" s="1"/>
      <c r="B63" s="1"/>
      <c r="C63" s="11"/>
    </row>
    <row r="64">
      <c r="A64" s="1"/>
      <c r="B64" s="1"/>
      <c r="C64" s="11"/>
    </row>
    <row r="65">
      <c r="A65" s="1"/>
      <c r="B65" s="1"/>
      <c r="C65" s="11"/>
    </row>
    <row r="66">
      <c r="A66" s="1"/>
      <c r="B66" s="1"/>
      <c r="C66" s="11"/>
    </row>
    <row r="67">
      <c r="A67" s="1"/>
      <c r="B67" s="1"/>
      <c r="C67" s="11"/>
    </row>
    <row r="68">
      <c r="A68" s="1"/>
      <c r="B68" s="1"/>
      <c r="C68" s="11"/>
    </row>
    <row r="69">
      <c r="A69" s="1"/>
      <c r="B69" s="1"/>
      <c r="C69" s="11"/>
    </row>
    <row r="70">
      <c r="A70" s="1"/>
      <c r="B70" s="1"/>
      <c r="C70" s="11"/>
    </row>
    <row r="71">
      <c r="A71" s="1"/>
      <c r="B71" s="1"/>
      <c r="C71" s="11"/>
    </row>
    <row r="72">
      <c r="A72" s="1"/>
      <c r="B72" s="1"/>
      <c r="C72" s="11"/>
    </row>
    <row r="73">
      <c r="A73" s="1"/>
      <c r="B73" s="1"/>
      <c r="C73" s="11"/>
    </row>
    <row r="74">
      <c r="A74" s="1"/>
      <c r="B74" s="1"/>
      <c r="C74" s="11"/>
    </row>
    <row r="75">
      <c r="A75" s="1"/>
      <c r="B75" s="1"/>
      <c r="C75" s="11"/>
    </row>
    <row r="76">
      <c r="A76" s="1"/>
      <c r="B76" s="1"/>
      <c r="C76" s="11"/>
    </row>
    <row r="77">
      <c r="A77" s="1"/>
      <c r="B77" s="1"/>
      <c r="C77" s="11"/>
    </row>
    <row r="78">
      <c r="A78" s="1"/>
      <c r="B78" s="1"/>
      <c r="C78" s="11"/>
    </row>
    <row r="79">
      <c r="A79" s="1"/>
      <c r="B79" s="1"/>
      <c r="C79" s="11"/>
    </row>
    <row r="80">
      <c r="A80" s="1"/>
      <c r="B80" s="1"/>
      <c r="C80" s="11"/>
    </row>
    <row r="81">
      <c r="A81" s="1"/>
      <c r="B81" s="1"/>
      <c r="C81" s="11"/>
    </row>
    <row r="82">
      <c r="A82" s="1"/>
      <c r="B82" s="1"/>
      <c r="C82" s="11"/>
    </row>
    <row r="83">
      <c r="A83" s="1"/>
      <c r="B83" s="1"/>
      <c r="C83" s="11"/>
    </row>
    <row r="84">
      <c r="A84" s="1"/>
      <c r="B84" s="1"/>
      <c r="C84" s="11"/>
    </row>
    <row r="85">
      <c r="A85" s="1"/>
      <c r="B85" s="1"/>
      <c r="C85" s="11"/>
    </row>
    <row r="86">
      <c r="A86" s="1"/>
      <c r="B86" s="1"/>
      <c r="C86" s="11"/>
    </row>
    <row r="87">
      <c r="A87" s="1"/>
      <c r="B87" s="1"/>
      <c r="C87" s="11"/>
    </row>
    <row r="88">
      <c r="A88" s="1"/>
      <c r="B88" s="1"/>
      <c r="C88" s="11"/>
    </row>
    <row r="89">
      <c r="A89" s="1"/>
      <c r="B89" s="1"/>
      <c r="C89" s="11"/>
    </row>
    <row r="90">
      <c r="A90" s="1"/>
      <c r="B90" s="1"/>
      <c r="C90" s="11"/>
    </row>
    <row r="91">
      <c r="A91" s="1"/>
      <c r="B91" s="1"/>
      <c r="C91" s="11"/>
    </row>
    <row r="92">
      <c r="A92" s="1"/>
      <c r="B92" s="1"/>
      <c r="C92" s="11"/>
    </row>
    <row r="93">
      <c r="A93" s="1"/>
      <c r="B93" s="1"/>
      <c r="C93" s="11"/>
    </row>
    <row r="94">
      <c r="A94" s="1"/>
      <c r="B94" s="1"/>
      <c r="C94" s="11"/>
    </row>
    <row r="95">
      <c r="A95" s="1"/>
      <c r="B95" s="1"/>
      <c r="C95" s="11"/>
    </row>
    <row r="96">
      <c r="A96" s="1"/>
      <c r="B96" s="1"/>
      <c r="C96" s="11"/>
    </row>
    <row r="97">
      <c r="A97" s="1"/>
      <c r="B97" s="1"/>
      <c r="C97" s="11"/>
    </row>
    <row r="98">
      <c r="A98" s="1"/>
      <c r="B98" s="1"/>
      <c r="C98" s="11"/>
    </row>
    <row r="99">
      <c r="A99" s="1" t="s">
        <v>3403</v>
      </c>
      <c r="B99" s="1" t="s">
        <v>3422</v>
      </c>
      <c r="C99" s="11">
        <v>46207.5117665162</v>
      </c>
    </row>
    <row r="100">
      <c r="A100" s="1" t="s">
        <v>3424</v>
      </c>
      <c r="B100" s="1" t="s">
        <v>3462</v>
      </c>
      <c r="C100" s="11">
        <v>46207.5117665162</v>
      </c>
    </row>
    <row r="101">
      <c r="A101" s="1" t="s">
        <v>3403</v>
      </c>
      <c r="B101" s="1" t="s">
        <v>3422</v>
      </c>
      <c r="C101" s="11">
        <v>46207.51840568287</v>
      </c>
    </row>
    <row r="102">
      <c r="A102" s="1" t="s">
        <v>3424</v>
      </c>
      <c r="B102" s="1" t="s">
        <v>3462</v>
      </c>
      <c r="C102" s="11">
        <v>46207.51840568287</v>
      </c>
    </row>
    <row r="103">
      <c r="A103" s="1" t="s">
        <v>3525</v>
      </c>
      <c r="B103" s="1" t="s">
        <v>3557</v>
      </c>
      <c r="C103" s="11">
        <v>46207.51840568287</v>
      </c>
    </row>
    <row r="104">
      <c r="A104" s="1" t="s">
        <v>3558</v>
      </c>
      <c r="B104" s="1" t="s">
        <v>3570</v>
      </c>
      <c r="C104" s="11">
        <v>46207.51840568287</v>
      </c>
    </row>
    <row r="105">
      <c r="A105" s="1" t="s">
        <v>3571</v>
      </c>
      <c r="B105" s="1" t="s">
        <v>2053</v>
      </c>
      <c r="C105" s="11">
        <v>46207.51844797454</v>
      </c>
    </row>
    <row r="106">
      <c r="A106" s="1" t="s">
        <v>3626</v>
      </c>
      <c r="B106" s="1" t="s">
        <v>2133</v>
      </c>
      <c r="C106" s="11">
        <v>46207.51844797454</v>
      </c>
    </row>
    <row r="107">
      <c r="A107" s="1" t="s">
        <v>3685</v>
      </c>
      <c r="B107" s="1" t="s">
        <v>2207</v>
      </c>
      <c r="C107" s="11">
        <v>46207.51844797454</v>
      </c>
    </row>
    <row r="108">
      <c r="A108" s="1" t="s">
        <v>3728</v>
      </c>
      <c r="B108" s="1" t="s">
        <v>2295</v>
      </c>
      <c r="C108" s="11">
        <v>46207.51844797454</v>
      </c>
    </row>
    <row r="109">
      <c r="A109" s="1" t="s">
        <v>3780</v>
      </c>
      <c r="B109" s="1" t="s">
        <v>2352</v>
      </c>
      <c r="C109" s="11">
        <v>46207.51844797454</v>
      </c>
    </row>
    <row r="110">
      <c r="A110" s="1" t="s">
        <v>3804</v>
      </c>
      <c r="B110" s="1" t="s">
        <v>2435</v>
      </c>
      <c r="C110" s="11">
        <v>46207.51844797454</v>
      </c>
    </row>
    <row r="111">
      <c r="A111" s="1" t="s">
        <v>3859</v>
      </c>
      <c r="B111" s="1" t="s">
        <v>2477</v>
      </c>
      <c r="C111" s="11">
        <v>46207.51844797454</v>
      </c>
    </row>
    <row r="112">
      <c r="A112" s="1" t="s">
        <v>3884</v>
      </c>
      <c r="B112" s="1" t="s">
        <v>2529</v>
      </c>
      <c r="C112" s="11">
        <v>46207.51844797454</v>
      </c>
    </row>
    <row r="113">
      <c r="A113" s="1" t="s">
        <v>3911</v>
      </c>
      <c r="B113" s="1" t="s">
        <v>2600</v>
      </c>
      <c r="C113" s="11">
        <v>46207.51844797454</v>
      </c>
    </row>
    <row r="114">
      <c r="A114" s="1" t="s">
        <v>3976</v>
      </c>
      <c r="B114" s="1" t="s">
        <v>2680</v>
      </c>
      <c r="C114" s="11">
        <v>46207.51844797454</v>
      </c>
    </row>
    <row r="115">
      <c r="A115" s="1" t="s">
        <v>4038</v>
      </c>
      <c r="B115" s="1" t="s">
        <v>2726</v>
      </c>
      <c r="C115" s="11">
        <v>46207.51844797454</v>
      </c>
    </row>
    <row r="116">
      <c r="A116" s="1" t="s">
        <v>4079</v>
      </c>
      <c r="B116" s="1" t="s">
        <v>2779</v>
      </c>
      <c r="C116" s="11">
        <v>46207.51844797454</v>
      </c>
    </row>
    <row r="117">
      <c r="A117" s="1" t="s">
        <v>4127</v>
      </c>
      <c r="B117" s="1" t="s">
        <v>2825</v>
      </c>
      <c r="C117" s="11">
        <v>46207.51844797454</v>
      </c>
    </row>
    <row r="118">
      <c r="A118" s="1" t="s">
        <v>4171</v>
      </c>
      <c r="B118" s="1" t="s">
        <v>2871</v>
      </c>
      <c r="C118" s="11">
        <v>46207.51844797454</v>
      </c>
    </row>
    <row r="119">
      <c r="A119" s="1" t="s">
        <v>4191</v>
      </c>
      <c r="B119" s="1" t="s">
        <v>2874</v>
      </c>
      <c r="C119" s="11">
        <v>46207.51844797454</v>
      </c>
    </row>
    <row r="120">
      <c r="A120" s="1" t="s">
        <v>4192</v>
      </c>
      <c r="B120" s="1" t="s">
        <v>4196</v>
      </c>
      <c r="C120" s="11">
        <v>46207.5185380787</v>
      </c>
    </row>
    <row r="121">
      <c r="A121" s="1" t="s">
        <v>4197</v>
      </c>
      <c r="B121" s="1" t="s">
        <v>4232</v>
      </c>
      <c r="C121" s="11">
        <v>46207.51975270834</v>
      </c>
    </row>
    <row r="122">
      <c r="A122" s="1" t="s">
        <v>4234</v>
      </c>
      <c r="B122" s="1" t="s">
        <v>4236</v>
      </c>
      <c r="C122" s="11">
        <v>46207.51975270834</v>
      </c>
    </row>
    <row r="123">
      <c r="A123" s="1" t="s">
        <v>4242</v>
      </c>
      <c r="B123" s="1" t="s">
        <v>4313</v>
      </c>
      <c r="C123" s="11">
        <v>46207.520213703705</v>
      </c>
    </row>
    <row r="124">
      <c r="A124" s="1" t="s">
        <v>4317</v>
      </c>
      <c r="B124" s="1" t="s">
        <v>4336</v>
      </c>
      <c r="C124" s="11">
        <v>46207.520213703705</v>
      </c>
    </row>
    <row r="125">
      <c r="A125" s="1" t="s">
        <v>4340</v>
      </c>
      <c r="B125" s="1" t="s">
        <v>4346</v>
      </c>
      <c r="C125" s="11">
        <v>46207.52023519676</v>
      </c>
    </row>
    <row r="126">
      <c r="A126" s="1"/>
      <c r="B126" s="1"/>
      <c r="C126" s="11"/>
    </row>
    <row r="127">
      <c r="A127" s="1"/>
      <c r="B127" s="1"/>
      <c r="C127" s="11"/>
    </row>
    <row r="128">
      <c r="A128" s="1"/>
      <c r="B128" s="1"/>
      <c r="C128" s="11"/>
    </row>
    <row r="129">
      <c r="A129" s="1"/>
      <c r="B129" s="1"/>
      <c r="C129" s="11"/>
    </row>
    <row r="130">
      <c r="A130" s="1"/>
      <c r="B130" s="1"/>
      <c r="C130" s="11"/>
    </row>
    <row r="131">
      <c r="A131" s="1"/>
      <c r="B131" s="1"/>
      <c r="C131" s="11"/>
    </row>
    <row r="132">
      <c r="A132" s="1"/>
      <c r="B132" s="1"/>
      <c r="C132" s="11"/>
    </row>
    <row r="133">
      <c r="A133" s="1"/>
      <c r="B133" s="1"/>
      <c r="C133" s="11"/>
    </row>
    <row r="134">
      <c r="A134" s="1"/>
      <c r="B134" s="1"/>
      <c r="C134" s="11"/>
    </row>
    <row r="135">
      <c r="A135" s="1"/>
      <c r="B135" s="1"/>
      <c r="C135" s="11"/>
    </row>
    <row r="136">
      <c r="A136" s="1"/>
      <c r="B136" s="1"/>
      <c r="C136" s="11"/>
    </row>
    <row r="137">
      <c r="A137" s="1"/>
      <c r="B137" s="1"/>
      <c r="C137" s="11"/>
    </row>
    <row r="138">
      <c r="A138" s="1"/>
      <c r="B138" s="1"/>
      <c r="C138" s="11"/>
    </row>
    <row r="139">
      <c r="A139" s="1"/>
      <c r="B139" s="1"/>
      <c r="C139" s="11"/>
    </row>
    <row r="140">
      <c r="A140" s="1"/>
      <c r="B140" s="1"/>
      <c r="C140" s="11"/>
    </row>
    <row r="141">
      <c r="A141" s="1"/>
      <c r="B141" s="1"/>
      <c r="C141" s="11"/>
    </row>
    <row r="142">
      <c r="A142" s="1"/>
      <c r="B142" s="1"/>
      <c r="C142" s="11"/>
    </row>
    <row r="143">
      <c r="A143" s="1"/>
      <c r="B143" s="1"/>
      <c r="C143" s="11"/>
    </row>
    <row r="144">
      <c r="A144" s="1"/>
      <c r="B144" s="1"/>
      <c r="C144" s="11"/>
    </row>
    <row r="145">
      <c r="A145" s="1"/>
      <c r="B145" s="1"/>
      <c r="C145" s="11"/>
    </row>
    <row r="146">
      <c r="A146" s="1"/>
      <c r="B146" s="1"/>
      <c r="C146" s="11"/>
    </row>
    <row r="147">
      <c r="A147" s="1"/>
      <c r="B147" s="1"/>
      <c r="C147" s="11"/>
    </row>
    <row r="148">
      <c r="A148" s="1"/>
      <c r="B148" s="1"/>
      <c r="C148" s="11"/>
    </row>
    <row r="149">
      <c r="A149" s="1"/>
      <c r="B149" s="1"/>
      <c r="C149" s="1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3029</v>
      </c>
      <c r="B1" s="2" t="s">
        <v>3030</v>
      </c>
      <c r="C1" s="2" t="s">
        <v>3032</v>
      </c>
      <c r="D1" s="2" t="s">
        <v>3033</v>
      </c>
      <c r="E1" s="2" t="s">
        <v>3035</v>
      </c>
      <c r="F1" s="2" t="s">
        <v>3036</v>
      </c>
      <c r="G1" s="2" t="s">
        <v>3037</v>
      </c>
      <c r="H1" s="2" t="s">
        <v>3038</v>
      </c>
      <c r="I1" s="2" t="s">
        <v>3039</v>
      </c>
      <c r="J1" s="2" t="s">
        <v>3040</v>
      </c>
      <c r="K1" s="2" t="s">
        <v>3042</v>
      </c>
      <c r="L1" s="2" t="s">
        <v>3043</v>
      </c>
      <c r="M1" s="2" t="s">
        <v>3044</v>
      </c>
      <c r="N1" s="2" t="s">
        <v>3046</v>
      </c>
      <c r="O1" s="2" t="s">
        <v>3048</v>
      </c>
      <c r="P1" s="2" t="s">
        <v>3050</v>
      </c>
      <c r="Q1" s="2" t="s">
        <v>3051</v>
      </c>
      <c r="R1" s="2" t="s">
        <v>3052</v>
      </c>
      <c r="S1" s="2" t="s">
        <v>3054</v>
      </c>
      <c r="T1" s="2" t="s">
        <v>3055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5" max="15" width="48.88"/>
  </cols>
  <sheetData>
    <row r="1">
      <c r="A1" s="1" t="s">
        <v>3164</v>
      </c>
    </row>
    <row r="2">
      <c r="A2" s="2" t="s">
        <v>3052</v>
      </c>
      <c r="B2" s="2" t="s">
        <v>3166</v>
      </c>
      <c r="C2" s="2" t="s">
        <v>3167</v>
      </c>
      <c r="D2" s="2" t="s">
        <v>3168</v>
      </c>
      <c r="E2" s="2" t="s">
        <v>3169</v>
      </c>
      <c r="F2" s="2" t="s">
        <v>3170</v>
      </c>
      <c r="G2" s="2" t="s">
        <v>3033</v>
      </c>
      <c r="H2" s="2" t="s">
        <v>3171</v>
      </c>
      <c r="I2" s="2" t="s">
        <v>3172</v>
      </c>
      <c r="J2" s="2" t="s">
        <v>3174</v>
      </c>
      <c r="K2" s="2" t="s">
        <v>3175</v>
      </c>
      <c r="L2" s="2" t="s">
        <v>3176</v>
      </c>
      <c r="M2" s="2" t="s">
        <v>3177</v>
      </c>
      <c r="N2" s="2" t="s">
        <v>3035</v>
      </c>
      <c r="O2" s="2" t="s">
        <v>3178</v>
      </c>
      <c r="P2" s="2" t="s">
        <v>3040</v>
      </c>
    </row>
    <row r="3" ht="54.0" customHeight="1">
      <c r="A3" s="1" t="s">
        <v>3179</v>
      </c>
      <c r="B3" s="1" t="b">
        <v>0</v>
      </c>
      <c r="C3" s="1" t="s">
        <v>3182</v>
      </c>
      <c r="D3" s="1" t="s">
        <v>3184</v>
      </c>
      <c r="E3" s="1" t="s">
        <v>3185</v>
      </c>
      <c r="F3" s="12"/>
      <c r="G3" s="1" t="s">
        <v>3185</v>
      </c>
      <c r="H3" s="12"/>
      <c r="I3" s="10">
        <v>10.0</v>
      </c>
      <c r="J3" s="10">
        <v>3.0</v>
      </c>
      <c r="K3" s="12"/>
      <c r="L3" s="12"/>
      <c r="M3" s="12"/>
      <c r="N3" s="1" t="s">
        <v>3191</v>
      </c>
      <c r="O3" s="1" t="s">
        <v>3192</v>
      </c>
      <c r="P3" s="1" t="s">
        <v>3193</v>
      </c>
    </row>
    <row r="4">
      <c r="A4" s="1" t="s">
        <v>3194</v>
      </c>
      <c r="B4" s="1" t="b">
        <v>0</v>
      </c>
      <c r="C4" s="1" t="s">
        <v>3182</v>
      </c>
      <c r="D4" s="1" t="s">
        <v>3184</v>
      </c>
      <c r="E4" s="1" t="s">
        <v>3185</v>
      </c>
      <c r="F4" s="12"/>
      <c r="G4" s="1" t="s">
        <v>3185</v>
      </c>
      <c r="H4" s="12"/>
      <c r="I4" s="10">
        <v>10.0</v>
      </c>
      <c r="J4" s="10">
        <v>3.0</v>
      </c>
      <c r="K4" s="12"/>
      <c r="L4" s="12"/>
      <c r="M4" s="12"/>
      <c r="N4" s="1" t="s">
        <v>3202</v>
      </c>
      <c r="O4" s="1" t="s">
        <v>3204</v>
      </c>
      <c r="P4" s="1" t="s">
        <v>3193</v>
      </c>
    </row>
    <row r="5">
      <c r="A5" s="1" t="s">
        <v>3205</v>
      </c>
      <c r="B5" s="1" t="b">
        <v>0</v>
      </c>
      <c r="C5" s="1" t="s">
        <v>3205</v>
      </c>
      <c r="D5" s="1" t="s">
        <v>3207</v>
      </c>
      <c r="E5" s="1" t="s">
        <v>3185</v>
      </c>
      <c r="F5" s="12"/>
      <c r="G5" s="1" t="s">
        <v>3185</v>
      </c>
      <c r="H5" s="1" t="s">
        <v>3209</v>
      </c>
      <c r="I5" s="12"/>
      <c r="J5" s="12"/>
      <c r="K5" s="10">
        <v>30.0</v>
      </c>
      <c r="L5" s="1" t="s">
        <v>3210</v>
      </c>
      <c r="M5" s="10">
        <v>1.0</v>
      </c>
      <c r="N5" s="1" t="s">
        <v>3211</v>
      </c>
      <c r="O5" s="1" t="s">
        <v>3213</v>
      </c>
      <c r="P5" s="1" t="s">
        <v>3193</v>
      </c>
    </row>
    <row r="6">
      <c r="B6" s="12"/>
      <c r="C6" s="12"/>
      <c r="D6" s="12"/>
      <c r="E6" s="12"/>
      <c r="F6" s="12"/>
      <c r="G6" s="12"/>
      <c r="H6" s="12"/>
      <c r="I6" s="12"/>
      <c r="J6" s="12"/>
      <c r="K6" s="12"/>
      <c r="L6" s="12"/>
      <c r="M6" s="12"/>
      <c r="N6" s="12"/>
      <c r="O6" s="12"/>
    </row>
    <row r="7">
      <c r="B7" s="12"/>
      <c r="C7" s="12"/>
      <c r="D7" s="12"/>
      <c r="E7" s="12"/>
      <c r="F7" s="12"/>
      <c r="G7" s="12"/>
      <c r="H7" s="12"/>
      <c r="I7" s="12"/>
      <c r="J7" s="12"/>
      <c r="K7" s="12"/>
      <c r="L7" s="12"/>
      <c r="M7" s="12"/>
      <c r="N7" s="12"/>
      <c r="O7" s="12"/>
    </row>
  </sheetData>
  <mergeCells count="1">
    <mergeCell ref="A1:P1"/>
  </mergeCells>
  <dataValidations>
    <dataValidation type="list" allowBlank="1" sqref="H3:O7">
      <formula1>"all,perRecipient"</formula1>
    </dataValidation>
    <dataValidation type="list" allowBlank="1" sqref="C3:C7">
      <formula1>"em_reminder,dd_digest"</formula1>
    </dataValidation>
    <dataValidation type="list" allowBlank="1" sqref="D3:G7">
      <formula1>",engagementManager,deliveryDirector"</formula1>
    </dataValidation>
    <dataValidation type="list" allowBlank="1" sqref="B3:B7">
      <formula1>"TRUE,FALSE"</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75"/>
    <col customWidth="1" min="2" max="2" width="25.13"/>
    <col customWidth="1" min="3" max="3" width="24.13"/>
    <col customWidth="1" min="4" max="4" width="52.5"/>
    <col customWidth="1" min="5" max="5" width="29.25"/>
    <col customWidth="1" min="6" max="6" width="85.38"/>
    <col customWidth="1" min="7" max="7" width="25.13"/>
  </cols>
  <sheetData>
    <row r="1">
      <c r="A1" s="2" t="s">
        <v>1</v>
      </c>
      <c r="B1" s="2" t="s">
        <v>12</v>
      </c>
      <c r="C1" s="5" t="s">
        <v>3406</v>
      </c>
      <c r="D1" s="5" t="s">
        <v>3415</v>
      </c>
      <c r="E1" s="2" t="s">
        <v>3420</v>
      </c>
      <c r="F1" s="2" t="s">
        <v>3421</v>
      </c>
      <c r="G1" s="2" t="s">
        <v>3423</v>
      </c>
      <c r="H1" s="2" t="s">
        <v>3425</v>
      </c>
      <c r="I1" s="2" t="s">
        <v>3427</v>
      </c>
      <c r="J1" s="2" t="s">
        <v>3429</v>
      </c>
      <c r="K1" s="2" t="s">
        <v>3431</v>
      </c>
      <c r="L1" s="2" t="s">
        <v>3434</v>
      </c>
      <c r="M1" s="2" t="s">
        <v>3437</v>
      </c>
      <c r="N1" s="2" t="s">
        <v>3439</v>
      </c>
      <c r="O1" s="2" t="s">
        <v>3440</v>
      </c>
      <c r="P1" s="2" t="s">
        <v>3441</v>
      </c>
      <c r="Q1" s="2" t="s">
        <v>3442</v>
      </c>
      <c r="R1" s="2" t="s">
        <v>3444</v>
      </c>
      <c r="S1" s="2" t="s">
        <v>3445</v>
      </c>
      <c r="T1" s="2" t="s">
        <v>3446</v>
      </c>
      <c r="U1" s="2" t="s">
        <v>17</v>
      </c>
      <c r="V1" s="2" t="s">
        <v>22</v>
      </c>
      <c r="W1" s="2" t="s">
        <v>25</v>
      </c>
      <c r="X1" s="2" t="s">
        <v>29</v>
      </c>
    </row>
    <row r="2">
      <c r="A2" s="1" t="s">
        <v>1574</v>
      </c>
      <c r="B2" s="1" t="s">
        <v>1575</v>
      </c>
      <c r="C2" s="1" t="s">
        <v>1575</v>
      </c>
      <c r="D2" s="1" t="s">
        <v>3034</v>
      </c>
      <c r="E2" s="1" t="s">
        <v>3451</v>
      </c>
      <c r="F2" s="1" t="s">
        <v>3452</v>
      </c>
      <c r="G2" s="3">
        <v>46034.0</v>
      </c>
      <c r="H2" s="13"/>
      <c r="I2" s="13"/>
      <c r="J2" s="1" t="s">
        <v>124</v>
      </c>
      <c r="K2" s="1" t="s">
        <v>251</v>
      </c>
      <c r="L2" s="1" t="s">
        <v>162</v>
      </c>
      <c r="M2" s="1" t="s">
        <v>131</v>
      </c>
      <c r="N2" s="13"/>
      <c r="O2" s="1" t="s">
        <v>3455</v>
      </c>
      <c r="P2" s="4"/>
      <c r="Q2" s="1" t="s">
        <v>137</v>
      </c>
      <c r="R2" s="1" t="s">
        <v>137</v>
      </c>
      <c r="S2" s="1" t="s">
        <v>47</v>
      </c>
      <c r="T2" s="1" t="s">
        <v>3045</v>
      </c>
      <c r="U2" s="1" t="s">
        <v>1577</v>
      </c>
      <c r="V2" s="1" t="s">
        <v>1579</v>
      </c>
      <c r="W2" s="3">
        <v>46223.0</v>
      </c>
      <c r="X2" s="13"/>
    </row>
    <row r="3">
      <c r="A3" s="1" t="s">
        <v>1993</v>
      </c>
      <c r="B3" s="1" t="s">
        <v>1988</v>
      </c>
      <c r="C3" s="1" t="s">
        <v>1988</v>
      </c>
      <c r="D3" s="1" t="s">
        <v>3458</v>
      </c>
      <c r="E3" s="1" t="s">
        <v>3459</v>
      </c>
      <c r="F3" s="1" t="s">
        <v>3460</v>
      </c>
      <c r="G3" s="3">
        <v>46083.0</v>
      </c>
      <c r="H3" s="3">
        <v>46265.0</v>
      </c>
      <c r="I3" s="3">
        <v>46265.0</v>
      </c>
      <c r="J3" s="1" t="s">
        <v>124</v>
      </c>
      <c r="K3" s="1" t="s">
        <v>98</v>
      </c>
      <c r="L3" s="1" t="s">
        <v>460</v>
      </c>
      <c r="M3" s="1" t="s">
        <v>131</v>
      </c>
      <c r="N3" s="13"/>
      <c r="O3" s="1" t="s">
        <v>3464</v>
      </c>
      <c r="P3" s="4"/>
      <c r="Q3" s="1" t="s">
        <v>137</v>
      </c>
      <c r="R3" s="1" t="s">
        <v>137</v>
      </c>
      <c r="S3" s="1" t="s">
        <v>47</v>
      </c>
      <c r="T3" s="1" t="s">
        <v>3466</v>
      </c>
      <c r="U3" s="1" t="s">
        <v>1577</v>
      </c>
      <c r="V3" s="1" t="s">
        <v>1579</v>
      </c>
      <c r="W3" s="3">
        <v>46417.0</v>
      </c>
      <c r="X3" s="13"/>
    </row>
    <row r="4">
      <c r="A4" s="1" t="s">
        <v>1998</v>
      </c>
      <c r="B4" s="1" t="s">
        <v>1988</v>
      </c>
      <c r="C4" s="1" t="s">
        <v>1988</v>
      </c>
      <c r="D4" s="1" t="s">
        <v>3458</v>
      </c>
      <c r="E4" s="1" t="s">
        <v>3459</v>
      </c>
      <c r="F4" s="1" t="s">
        <v>3470</v>
      </c>
      <c r="G4" s="3">
        <v>46083.0</v>
      </c>
      <c r="H4" s="3">
        <v>46265.0</v>
      </c>
      <c r="I4" s="3">
        <v>46265.0</v>
      </c>
      <c r="J4" s="1" t="s">
        <v>124</v>
      </c>
      <c r="K4" s="1" t="s">
        <v>98</v>
      </c>
      <c r="L4" s="1" t="s">
        <v>460</v>
      </c>
      <c r="M4" s="1" t="s">
        <v>131</v>
      </c>
      <c r="N4" s="13"/>
      <c r="O4" s="1" t="s">
        <v>3471</v>
      </c>
      <c r="P4" s="4"/>
      <c r="Q4" s="1" t="s">
        <v>137</v>
      </c>
      <c r="R4" s="1" t="s">
        <v>137</v>
      </c>
      <c r="S4" s="1" t="s">
        <v>47</v>
      </c>
      <c r="T4" s="1" t="s">
        <v>3466</v>
      </c>
      <c r="U4" s="1" t="s">
        <v>1577</v>
      </c>
      <c r="V4" s="1" t="s">
        <v>2000</v>
      </c>
      <c r="W4" s="3">
        <v>46417.0</v>
      </c>
      <c r="X4" s="13"/>
    </row>
    <row r="5">
      <c r="A5" s="1" t="s">
        <v>1994</v>
      </c>
      <c r="B5" s="1" t="s">
        <v>1988</v>
      </c>
      <c r="C5" s="1" t="s">
        <v>1988</v>
      </c>
      <c r="D5" s="1" t="s">
        <v>3458</v>
      </c>
      <c r="E5" s="1" t="s">
        <v>3459</v>
      </c>
      <c r="F5" s="1" t="s">
        <v>3477</v>
      </c>
      <c r="G5" s="3">
        <v>46083.0</v>
      </c>
      <c r="H5" s="3">
        <v>46265.0</v>
      </c>
      <c r="I5" s="3">
        <v>46265.0</v>
      </c>
      <c r="J5" s="1" t="s">
        <v>124</v>
      </c>
      <c r="K5" s="1" t="s">
        <v>98</v>
      </c>
      <c r="L5" s="1" t="s">
        <v>460</v>
      </c>
      <c r="M5" s="1" t="s">
        <v>131</v>
      </c>
      <c r="N5" s="13"/>
      <c r="O5" s="1" t="s">
        <v>3480</v>
      </c>
      <c r="P5" s="4"/>
      <c r="Q5" s="1" t="s">
        <v>137</v>
      </c>
      <c r="R5" s="1" t="s">
        <v>137</v>
      </c>
      <c r="S5" s="1" t="s">
        <v>47</v>
      </c>
      <c r="T5" s="1" t="s">
        <v>3466</v>
      </c>
      <c r="U5" s="1" t="s">
        <v>1577</v>
      </c>
      <c r="V5" s="1" t="s">
        <v>1995</v>
      </c>
      <c r="W5" s="3">
        <v>46417.0</v>
      </c>
      <c r="X5" s="13"/>
    </row>
    <row r="6">
      <c r="A6" s="1" t="s">
        <v>1987</v>
      </c>
      <c r="B6" s="1" t="s">
        <v>1988</v>
      </c>
      <c r="C6" s="1" t="s">
        <v>1988</v>
      </c>
      <c r="D6" s="1" t="s">
        <v>3458</v>
      </c>
      <c r="E6" s="1" t="s">
        <v>3459</v>
      </c>
      <c r="F6" s="1" t="s">
        <v>3483</v>
      </c>
      <c r="G6" s="3">
        <v>46083.0</v>
      </c>
      <c r="H6" s="3">
        <v>46265.0</v>
      </c>
      <c r="I6" s="3">
        <v>46265.0</v>
      </c>
      <c r="J6" s="1" t="s">
        <v>124</v>
      </c>
      <c r="K6" s="1" t="s">
        <v>98</v>
      </c>
      <c r="L6" s="1" t="s">
        <v>460</v>
      </c>
      <c r="M6" s="1" t="s">
        <v>131</v>
      </c>
      <c r="N6" s="13"/>
      <c r="O6" s="1" t="s">
        <v>3486</v>
      </c>
      <c r="P6" s="4"/>
      <c r="Q6" s="1" t="s">
        <v>137</v>
      </c>
      <c r="R6" s="1" t="s">
        <v>137</v>
      </c>
      <c r="S6" s="1" t="s">
        <v>47</v>
      </c>
      <c r="T6" s="1" t="s">
        <v>3466</v>
      </c>
      <c r="U6" s="1" t="s">
        <v>1577</v>
      </c>
      <c r="V6" s="1" t="s">
        <v>1991</v>
      </c>
      <c r="W6" s="3">
        <v>46417.0</v>
      </c>
      <c r="X6" s="13"/>
    </row>
    <row r="7">
      <c r="A7" s="1" t="s">
        <v>2001</v>
      </c>
      <c r="B7" s="1" t="s">
        <v>1988</v>
      </c>
      <c r="C7" s="1" t="s">
        <v>1988</v>
      </c>
      <c r="D7" s="1" t="s">
        <v>3458</v>
      </c>
      <c r="E7" s="1" t="s">
        <v>3459</v>
      </c>
      <c r="F7" s="1" t="s">
        <v>3488</v>
      </c>
      <c r="G7" s="3">
        <v>46083.0</v>
      </c>
      <c r="H7" s="3">
        <v>46265.0</v>
      </c>
      <c r="I7" s="3">
        <v>46265.0</v>
      </c>
      <c r="J7" s="1" t="s">
        <v>124</v>
      </c>
      <c r="K7" s="1" t="s">
        <v>98</v>
      </c>
      <c r="L7" s="1" t="s">
        <v>460</v>
      </c>
      <c r="M7" s="1" t="s">
        <v>131</v>
      </c>
      <c r="N7" s="13"/>
      <c r="O7" s="1" t="s">
        <v>3464</v>
      </c>
      <c r="P7" s="4"/>
      <c r="Q7" s="1" t="s">
        <v>137</v>
      </c>
      <c r="R7" s="1" t="s">
        <v>137</v>
      </c>
      <c r="S7" s="1" t="s">
        <v>47</v>
      </c>
      <c r="T7" s="1" t="s">
        <v>3466</v>
      </c>
      <c r="U7" s="1" t="s">
        <v>1577</v>
      </c>
      <c r="V7" s="1" t="s">
        <v>2002</v>
      </c>
      <c r="W7" s="3">
        <v>46417.0</v>
      </c>
      <c r="X7" s="13"/>
    </row>
    <row r="8">
      <c r="A8" s="1" t="s">
        <v>2010</v>
      </c>
      <c r="B8" s="1" t="s">
        <v>2011</v>
      </c>
      <c r="C8" s="1" t="s">
        <v>2011</v>
      </c>
      <c r="D8" s="1" t="s">
        <v>1567</v>
      </c>
      <c r="E8" s="1" t="s">
        <v>3497</v>
      </c>
      <c r="F8" s="1" t="s">
        <v>3498</v>
      </c>
      <c r="G8" s="3">
        <v>46084.0</v>
      </c>
      <c r="H8" s="3">
        <v>46370.0</v>
      </c>
      <c r="I8" s="13"/>
      <c r="J8" s="1" t="s">
        <v>124</v>
      </c>
      <c r="K8" s="1" t="s">
        <v>160</v>
      </c>
      <c r="L8" s="1" t="s">
        <v>363</v>
      </c>
      <c r="M8" s="1" t="s">
        <v>131</v>
      </c>
      <c r="N8" s="13"/>
      <c r="O8" s="1" t="s">
        <v>3499</v>
      </c>
      <c r="P8" s="4"/>
      <c r="Q8" s="1" t="s">
        <v>137</v>
      </c>
      <c r="R8" s="1" t="s">
        <v>137</v>
      </c>
      <c r="S8" s="1" t="s">
        <v>47</v>
      </c>
      <c r="T8" s="1" t="s">
        <v>3501</v>
      </c>
      <c r="U8" s="1" t="s">
        <v>1577</v>
      </c>
      <c r="V8" s="1" t="s">
        <v>1579</v>
      </c>
      <c r="W8" s="3">
        <v>46356.0</v>
      </c>
      <c r="X8" s="13"/>
    </row>
    <row r="9">
      <c r="A9" s="1" t="s">
        <v>2036</v>
      </c>
      <c r="B9" s="1" t="s">
        <v>2038</v>
      </c>
      <c r="C9" s="1" t="s">
        <v>2038</v>
      </c>
      <c r="D9" s="1" t="s">
        <v>3114</v>
      </c>
      <c r="E9" s="1" t="s">
        <v>3503</v>
      </c>
      <c r="F9" s="1" t="s">
        <v>3504</v>
      </c>
      <c r="G9" s="3">
        <v>46090.0</v>
      </c>
      <c r="H9" s="3">
        <v>46231.0</v>
      </c>
      <c r="I9" s="13"/>
      <c r="J9" s="1" t="s">
        <v>124</v>
      </c>
      <c r="K9" s="1" t="s">
        <v>160</v>
      </c>
      <c r="L9" s="1" t="s">
        <v>162</v>
      </c>
      <c r="M9" s="1" t="s">
        <v>131</v>
      </c>
      <c r="N9" s="13"/>
      <c r="O9" s="1" t="s">
        <v>3505</v>
      </c>
      <c r="P9" s="4"/>
      <c r="Q9" s="1" t="s">
        <v>137</v>
      </c>
      <c r="R9" s="1" t="s">
        <v>137</v>
      </c>
      <c r="S9" s="1" t="s">
        <v>47</v>
      </c>
      <c r="T9" s="1" t="s">
        <v>3115</v>
      </c>
      <c r="U9" s="1" t="s">
        <v>1577</v>
      </c>
      <c r="V9" s="1" t="s">
        <v>1579</v>
      </c>
      <c r="W9" s="3">
        <v>46265.0</v>
      </c>
      <c r="X9" s="13"/>
    </row>
    <row r="10">
      <c r="A10" s="1" t="s">
        <v>2067</v>
      </c>
      <c r="B10" s="1" t="s">
        <v>1565</v>
      </c>
      <c r="C10" s="1" t="s">
        <v>1565</v>
      </c>
      <c r="D10" s="1" t="s">
        <v>1567</v>
      </c>
      <c r="E10" s="1" t="s">
        <v>3510</v>
      </c>
      <c r="F10" s="1" t="s">
        <v>3511</v>
      </c>
      <c r="G10" s="3">
        <v>46084.0</v>
      </c>
      <c r="H10" s="3">
        <v>46248.0</v>
      </c>
      <c r="I10" s="3">
        <v>46248.0</v>
      </c>
      <c r="J10" s="1" t="s">
        <v>215</v>
      </c>
      <c r="K10" s="1" t="s">
        <v>160</v>
      </c>
      <c r="L10" s="1" t="s">
        <v>216</v>
      </c>
      <c r="M10" s="1" t="s">
        <v>131</v>
      </c>
      <c r="N10" s="3">
        <v>46276.0</v>
      </c>
      <c r="O10" s="1" t="s">
        <v>3513</v>
      </c>
      <c r="P10" s="4"/>
      <c r="Q10" s="1" t="s">
        <v>137</v>
      </c>
      <c r="R10" s="1" t="s">
        <v>137</v>
      </c>
      <c r="S10" s="1" t="s">
        <v>47</v>
      </c>
      <c r="T10" s="1" t="s">
        <v>3514</v>
      </c>
      <c r="U10" s="1" t="s">
        <v>1577</v>
      </c>
      <c r="V10" s="1" t="s">
        <v>1579</v>
      </c>
      <c r="W10" s="3">
        <v>46241.0</v>
      </c>
      <c r="X10" s="3">
        <v>46248.0</v>
      </c>
    </row>
    <row r="11">
      <c r="A11" s="1" t="s">
        <v>2072</v>
      </c>
      <c r="B11" s="1" t="s">
        <v>2073</v>
      </c>
      <c r="C11" s="1" t="s">
        <v>2073</v>
      </c>
      <c r="D11" s="1" t="s">
        <v>3388</v>
      </c>
      <c r="E11" s="1" t="s">
        <v>3516</v>
      </c>
      <c r="F11" s="1" t="s">
        <v>3517</v>
      </c>
      <c r="G11" s="3">
        <v>46097.0</v>
      </c>
      <c r="H11" s="3">
        <v>46310.0</v>
      </c>
      <c r="I11" s="13"/>
      <c r="J11" s="1" t="s">
        <v>124</v>
      </c>
      <c r="K11" s="1" t="s">
        <v>160</v>
      </c>
      <c r="L11" s="1" t="s">
        <v>253</v>
      </c>
      <c r="M11" s="1" t="s">
        <v>131</v>
      </c>
      <c r="N11" s="13"/>
      <c r="O11" s="1" t="s">
        <v>3518</v>
      </c>
      <c r="P11" s="4"/>
      <c r="Q11" s="1" t="s">
        <v>137</v>
      </c>
      <c r="R11" s="1" t="s">
        <v>137</v>
      </c>
      <c r="S11" s="1" t="s">
        <v>47</v>
      </c>
      <c r="T11" s="1" t="s">
        <v>3519</v>
      </c>
      <c r="U11" s="1" t="s">
        <v>1577</v>
      </c>
      <c r="V11" s="1" t="s">
        <v>2002</v>
      </c>
      <c r="W11" s="3">
        <v>46307.0</v>
      </c>
      <c r="X11" s="13"/>
    </row>
    <row r="12">
      <c r="A12" s="1" t="s">
        <v>2083</v>
      </c>
      <c r="B12" s="1" t="s">
        <v>2079</v>
      </c>
      <c r="C12" s="1" t="s">
        <v>2079</v>
      </c>
      <c r="D12" s="1" t="s">
        <v>116</v>
      </c>
      <c r="E12" s="1" t="s">
        <v>3523</v>
      </c>
      <c r="F12" s="1" t="s">
        <v>3524</v>
      </c>
      <c r="G12" s="3">
        <v>46101.0</v>
      </c>
      <c r="H12" s="3">
        <v>46251.0</v>
      </c>
      <c r="I12" s="3">
        <v>46251.0</v>
      </c>
      <c r="J12" s="1" t="s">
        <v>124</v>
      </c>
      <c r="K12" s="1" t="s">
        <v>160</v>
      </c>
      <c r="L12" s="1" t="s">
        <v>216</v>
      </c>
      <c r="M12" s="1" t="s">
        <v>131</v>
      </c>
      <c r="N12" s="4"/>
      <c r="O12" s="1" t="s">
        <v>3526</v>
      </c>
      <c r="P12" s="4"/>
      <c r="Q12" s="1" t="s">
        <v>137</v>
      </c>
      <c r="R12" s="1" t="s">
        <v>137</v>
      </c>
      <c r="S12" s="1" t="s">
        <v>47</v>
      </c>
      <c r="T12" s="1" t="s">
        <v>3528</v>
      </c>
      <c r="U12" s="1" t="s">
        <v>1577</v>
      </c>
      <c r="V12" s="1" t="s">
        <v>1995</v>
      </c>
      <c r="W12" s="3">
        <v>46227.0</v>
      </c>
      <c r="X12" s="3">
        <v>46251.0</v>
      </c>
    </row>
    <row r="13">
      <c r="A13" s="1" t="s">
        <v>2078</v>
      </c>
      <c r="B13" s="1" t="s">
        <v>2079</v>
      </c>
      <c r="C13" s="1" t="s">
        <v>2079</v>
      </c>
      <c r="D13" s="1" t="s">
        <v>116</v>
      </c>
      <c r="E13" s="1" t="s">
        <v>3523</v>
      </c>
      <c r="F13" s="1" t="s">
        <v>3530</v>
      </c>
      <c r="G13" s="3">
        <v>46101.0</v>
      </c>
      <c r="H13" s="3">
        <v>46251.0</v>
      </c>
      <c r="I13" s="3">
        <v>46251.0</v>
      </c>
      <c r="J13" s="1" t="s">
        <v>124</v>
      </c>
      <c r="K13" s="1" t="s">
        <v>160</v>
      </c>
      <c r="L13" s="1" t="s">
        <v>216</v>
      </c>
      <c r="M13" s="1" t="s">
        <v>131</v>
      </c>
      <c r="N13" s="13"/>
      <c r="O13" s="1" t="s">
        <v>3532</v>
      </c>
      <c r="P13" s="4"/>
      <c r="Q13" s="1" t="s">
        <v>137</v>
      </c>
      <c r="R13" s="1" t="s">
        <v>137</v>
      </c>
      <c r="S13" s="1" t="s">
        <v>47</v>
      </c>
      <c r="T13" s="1" t="s">
        <v>3528</v>
      </c>
      <c r="U13" s="1" t="s">
        <v>1577</v>
      </c>
      <c r="V13" s="1" t="s">
        <v>1991</v>
      </c>
      <c r="W13" s="3">
        <v>46227.0</v>
      </c>
      <c r="X13" s="3">
        <v>46251.0</v>
      </c>
    </row>
    <row r="14">
      <c r="A14" s="1" t="s">
        <v>2112</v>
      </c>
      <c r="B14" s="1" t="s">
        <v>1495</v>
      </c>
      <c r="C14" s="1" t="s">
        <v>1495</v>
      </c>
      <c r="D14" s="1" t="s">
        <v>116</v>
      </c>
      <c r="E14" s="1" t="s">
        <v>3534</v>
      </c>
      <c r="F14" s="1" t="s">
        <v>3536</v>
      </c>
      <c r="G14" s="3">
        <v>46125.0</v>
      </c>
      <c r="H14" s="3">
        <v>46328.0</v>
      </c>
      <c r="I14" s="13"/>
      <c r="J14" s="1" t="s">
        <v>124</v>
      </c>
      <c r="K14" s="1" t="s">
        <v>160</v>
      </c>
      <c r="L14" s="1" t="s">
        <v>460</v>
      </c>
      <c r="M14" s="1" t="s">
        <v>131</v>
      </c>
      <c r="N14" s="13"/>
      <c r="O14" s="1" t="s">
        <v>3538</v>
      </c>
      <c r="P14" s="4"/>
      <c r="Q14" s="1" t="s">
        <v>137</v>
      </c>
      <c r="R14" s="1" t="s">
        <v>137</v>
      </c>
      <c r="S14" s="1" t="s">
        <v>47</v>
      </c>
      <c r="T14" s="1" t="s">
        <v>3539</v>
      </c>
      <c r="U14" s="1" t="s">
        <v>1577</v>
      </c>
      <c r="V14" s="1" t="s">
        <v>1579</v>
      </c>
      <c r="W14" s="3">
        <v>46328.0</v>
      </c>
      <c r="X14" s="13"/>
    </row>
    <row r="15">
      <c r="A15" s="1" t="s">
        <v>2132</v>
      </c>
      <c r="B15" s="1" t="s">
        <v>2127</v>
      </c>
      <c r="C15" s="1" t="s">
        <v>2127</v>
      </c>
      <c r="D15" s="1" t="s">
        <v>3540</v>
      </c>
      <c r="E15" s="1" t="s">
        <v>3542</v>
      </c>
      <c r="F15" s="1" t="s">
        <v>3543</v>
      </c>
      <c r="G15" s="3">
        <v>46104.0</v>
      </c>
      <c r="H15" s="13"/>
      <c r="I15" s="13"/>
      <c r="J15" s="1" t="s">
        <v>124</v>
      </c>
      <c r="K15" s="1" t="s">
        <v>98</v>
      </c>
      <c r="L15" s="1" t="s">
        <v>162</v>
      </c>
      <c r="M15" s="1" t="s">
        <v>131</v>
      </c>
      <c r="N15" s="13"/>
      <c r="O15" s="1" t="s">
        <v>3545</v>
      </c>
      <c r="P15" s="4"/>
      <c r="Q15" s="1" t="s">
        <v>137</v>
      </c>
      <c r="R15" s="1" t="s">
        <v>137</v>
      </c>
      <c r="S15" s="1" t="s">
        <v>47</v>
      </c>
      <c r="T15" s="1" t="s">
        <v>3546</v>
      </c>
      <c r="U15" s="1" t="s">
        <v>1577</v>
      </c>
      <c r="V15" s="1" t="s">
        <v>2000</v>
      </c>
      <c r="W15" s="3">
        <v>46537.0</v>
      </c>
      <c r="X15" s="13"/>
    </row>
    <row r="16">
      <c r="A16" s="1" t="s">
        <v>2139</v>
      </c>
      <c r="B16" s="1" t="s">
        <v>2141</v>
      </c>
      <c r="C16" s="1" t="s">
        <v>2141</v>
      </c>
      <c r="D16" s="1" t="s">
        <v>3549</v>
      </c>
      <c r="E16" s="1" t="s">
        <v>3550</v>
      </c>
      <c r="F16" s="1" t="s">
        <v>3551</v>
      </c>
      <c r="G16" s="3">
        <v>46143.0</v>
      </c>
      <c r="H16" s="3">
        <v>46391.0</v>
      </c>
      <c r="I16" s="13"/>
      <c r="J16" s="1" t="s">
        <v>124</v>
      </c>
      <c r="K16" s="1" t="s">
        <v>98</v>
      </c>
      <c r="L16" s="1" t="s">
        <v>460</v>
      </c>
      <c r="M16" s="1" t="s">
        <v>131</v>
      </c>
      <c r="N16" s="13"/>
      <c r="O16" s="4"/>
      <c r="P16" s="4"/>
      <c r="Q16" s="1" t="s">
        <v>3552</v>
      </c>
      <c r="R16" s="1" t="s">
        <v>3552</v>
      </c>
      <c r="S16" s="1" t="s">
        <v>3554</v>
      </c>
      <c r="T16" s="1" t="s">
        <v>3556</v>
      </c>
      <c r="U16" s="1" t="s">
        <v>1577</v>
      </c>
      <c r="V16" s="1" t="s">
        <v>1579</v>
      </c>
      <c r="W16" s="3">
        <v>46478.0</v>
      </c>
      <c r="X16" s="13"/>
    </row>
    <row r="17">
      <c r="A17" s="1" t="s">
        <v>2147</v>
      </c>
      <c r="B17" s="1" t="s">
        <v>2094</v>
      </c>
      <c r="C17" s="1" t="s">
        <v>2094</v>
      </c>
      <c r="D17" s="1" t="s">
        <v>116</v>
      </c>
      <c r="E17" s="1" t="s">
        <v>3559</v>
      </c>
      <c r="F17" s="1" t="s">
        <v>3560</v>
      </c>
      <c r="G17" s="3">
        <v>46111.0</v>
      </c>
      <c r="H17" s="3">
        <v>46238.0</v>
      </c>
      <c r="I17" s="3">
        <v>46238.0</v>
      </c>
      <c r="J17" s="1" t="s">
        <v>215</v>
      </c>
      <c r="K17" s="1" t="s">
        <v>71</v>
      </c>
      <c r="L17" s="1" t="s">
        <v>253</v>
      </c>
      <c r="M17" s="1" t="s">
        <v>131</v>
      </c>
      <c r="N17" s="3">
        <v>46266.0</v>
      </c>
      <c r="O17" s="1" t="s">
        <v>3564</v>
      </c>
      <c r="P17" s="4"/>
      <c r="Q17" s="1" t="s">
        <v>137</v>
      </c>
      <c r="R17" s="1" t="s">
        <v>137</v>
      </c>
      <c r="S17" s="1" t="s">
        <v>47</v>
      </c>
      <c r="T17" s="1" t="s">
        <v>3565</v>
      </c>
      <c r="U17" s="1" t="s">
        <v>1577</v>
      </c>
      <c r="V17" s="1" t="s">
        <v>1579</v>
      </c>
      <c r="W17" s="3">
        <v>46246.0</v>
      </c>
      <c r="X17" s="3">
        <v>46238.0</v>
      </c>
    </row>
    <row r="18">
      <c r="A18" s="1" t="s">
        <v>2142</v>
      </c>
      <c r="B18" s="1" t="s">
        <v>2094</v>
      </c>
      <c r="C18" s="1" t="s">
        <v>2094</v>
      </c>
      <c r="D18" s="1" t="s">
        <v>116</v>
      </c>
      <c r="E18" s="1" t="s">
        <v>3559</v>
      </c>
      <c r="F18" s="1" t="s">
        <v>3567</v>
      </c>
      <c r="G18" s="3">
        <v>46111.0</v>
      </c>
      <c r="H18" s="3">
        <v>46238.0</v>
      </c>
      <c r="I18" s="3">
        <v>46238.0</v>
      </c>
      <c r="J18" s="1" t="s">
        <v>215</v>
      </c>
      <c r="K18" s="1" t="s">
        <v>71</v>
      </c>
      <c r="L18" s="1" t="s">
        <v>253</v>
      </c>
      <c r="M18" s="1" t="s">
        <v>131</v>
      </c>
      <c r="N18" s="3">
        <v>46266.0</v>
      </c>
      <c r="O18" s="1" t="s">
        <v>3564</v>
      </c>
      <c r="P18" s="4"/>
      <c r="Q18" s="1" t="s">
        <v>137</v>
      </c>
      <c r="R18" s="1" t="s">
        <v>137</v>
      </c>
      <c r="S18" s="1" t="s">
        <v>47</v>
      </c>
      <c r="T18" s="1" t="s">
        <v>3565</v>
      </c>
      <c r="U18" s="1" t="s">
        <v>1577</v>
      </c>
      <c r="V18" s="1" t="s">
        <v>2000</v>
      </c>
      <c r="W18" s="3">
        <v>46246.0</v>
      </c>
      <c r="X18" s="3">
        <v>46238.0</v>
      </c>
    </row>
    <row r="19">
      <c r="A19" s="1" t="s">
        <v>2145</v>
      </c>
      <c r="B19" s="1" t="s">
        <v>2094</v>
      </c>
      <c r="C19" s="1" t="s">
        <v>2094</v>
      </c>
      <c r="D19" s="1" t="s">
        <v>116</v>
      </c>
      <c r="E19" s="1" t="s">
        <v>3559</v>
      </c>
      <c r="F19" s="1" t="s">
        <v>3574</v>
      </c>
      <c r="G19" s="3">
        <v>46111.0</v>
      </c>
      <c r="H19" s="3">
        <v>46238.0</v>
      </c>
      <c r="I19" s="3">
        <v>46238.0</v>
      </c>
      <c r="J19" s="1" t="s">
        <v>215</v>
      </c>
      <c r="K19" s="1" t="s">
        <v>71</v>
      </c>
      <c r="L19" s="1" t="s">
        <v>253</v>
      </c>
      <c r="M19" s="1" t="s">
        <v>131</v>
      </c>
      <c r="N19" s="3">
        <v>46266.0</v>
      </c>
      <c r="O19" s="1" t="s">
        <v>3577</v>
      </c>
      <c r="P19" s="4"/>
      <c r="Q19" s="1" t="s">
        <v>137</v>
      </c>
      <c r="R19" s="1" t="s">
        <v>137</v>
      </c>
      <c r="S19" s="1" t="s">
        <v>47</v>
      </c>
      <c r="T19" s="1" t="s">
        <v>3565</v>
      </c>
      <c r="U19" s="1" t="s">
        <v>1577</v>
      </c>
      <c r="V19" s="1" t="s">
        <v>2002</v>
      </c>
      <c r="W19" s="3">
        <v>46246.0</v>
      </c>
      <c r="X19" s="3">
        <v>46238.0</v>
      </c>
    </row>
    <row r="20">
      <c r="A20" s="1" t="s">
        <v>2148</v>
      </c>
      <c r="B20" s="1" t="s">
        <v>2150</v>
      </c>
      <c r="C20" s="1" t="s">
        <v>2150</v>
      </c>
      <c r="D20" s="1" t="s">
        <v>2413</v>
      </c>
      <c r="E20" s="1" t="s">
        <v>3579</v>
      </c>
      <c r="F20" s="1" t="s">
        <v>3580</v>
      </c>
      <c r="G20" s="3">
        <v>46113.0</v>
      </c>
      <c r="H20" s="3">
        <v>46281.0</v>
      </c>
      <c r="I20" s="13"/>
      <c r="J20" s="1" t="s">
        <v>124</v>
      </c>
      <c r="K20" s="1" t="s">
        <v>98</v>
      </c>
      <c r="L20" s="1" t="s">
        <v>460</v>
      </c>
      <c r="M20" s="1" t="s">
        <v>131</v>
      </c>
      <c r="N20" s="13"/>
      <c r="O20" s="1" t="s">
        <v>3583</v>
      </c>
      <c r="P20" s="4"/>
      <c r="Q20" s="1" t="s">
        <v>137</v>
      </c>
      <c r="R20" s="1" t="s">
        <v>137</v>
      </c>
      <c r="S20" s="1" t="s">
        <v>47</v>
      </c>
      <c r="T20" s="1" t="s">
        <v>3585</v>
      </c>
      <c r="U20" s="1" t="s">
        <v>1577</v>
      </c>
      <c r="V20" s="1" t="s">
        <v>1579</v>
      </c>
      <c r="W20" s="3">
        <v>46300.0</v>
      </c>
      <c r="X20" s="13"/>
    </row>
    <row r="21">
      <c r="A21" s="1" t="s">
        <v>2153</v>
      </c>
      <c r="B21" s="1" t="s">
        <v>2155</v>
      </c>
      <c r="C21" s="1" t="s">
        <v>2155</v>
      </c>
      <c r="D21" s="1" t="s">
        <v>3586</v>
      </c>
      <c r="E21" s="1" t="s">
        <v>3587</v>
      </c>
      <c r="F21" s="1" t="s">
        <v>3589</v>
      </c>
      <c r="G21" s="3">
        <v>46114.0</v>
      </c>
      <c r="H21" s="3">
        <v>46316.0</v>
      </c>
      <c r="I21" s="13"/>
      <c r="J21" s="1" t="s">
        <v>124</v>
      </c>
      <c r="K21" s="1" t="s">
        <v>98</v>
      </c>
      <c r="L21" s="1" t="s">
        <v>460</v>
      </c>
      <c r="M21" s="1" t="s">
        <v>131</v>
      </c>
      <c r="N21" s="13"/>
      <c r="O21" s="1" t="s">
        <v>3594</v>
      </c>
      <c r="P21" s="4"/>
      <c r="Q21" s="1" t="s">
        <v>137</v>
      </c>
      <c r="R21" s="1" t="s">
        <v>137</v>
      </c>
      <c r="S21" s="1" t="s">
        <v>47</v>
      </c>
      <c r="T21" s="1" t="s">
        <v>3595</v>
      </c>
      <c r="U21" s="1" t="s">
        <v>1577</v>
      </c>
      <c r="V21" s="1" t="s">
        <v>1579</v>
      </c>
      <c r="W21" s="3">
        <v>46316.0</v>
      </c>
      <c r="X21" s="13"/>
    </row>
    <row r="22">
      <c r="A22" s="1" t="s">
        <v>2169</v>
      </c>
      <c r="B22" s="1" t="s">
        <v>2168</v>
      </c>
      <c r="C22" s="1" t="s">
        <v>2168</v>
      </c>
      <c r="D22" s="1" t="s">
        <v>828</v>
      </c>
      <c r="E22" s="1" t="s">
        <v>3599</v>
      </c>
      <c r="F22" s="1" t="s">
        <v>3600</v>
      </c>
      <c r="G22" s="3">
        <v>46115.0</v>
      </c>
      <c r="H22" s="3">
        <v>46290.0</v>
      </c>
      <c r="I22" s="13"/>
      <c r="J22" s="1" t="s">
        <v>124</v>
      </c>
      <c r="K22" s="1" t="s">
        <v>71</v>
      </c>
      <c r="L22" s="1" t="s">
        <v>460</v>
      </c>
      <c r="M22" s="1" t="s">
        <v>131</v>
      </c>
      <c r="N22" s="13"/>
      <c r="P22" s="4"/>
      <c r="Q22" s="1" t="s">
        <v>1808</v>
      </c>
      <c r="R22" s="1" t="s">
        <v>1808</v>
      </c>
      <c r="S22" s="1" t="s">
        <v>1811</v>
      </c>
      <c r="T22" s="1" t="s">
        <v>3604</v>
      </c>
      <c r="U22" s="1" t="s">
        <v>1577</v>
      </c>
      <c r="V22" s="1" t="s">
        <v>2000</v>
      </c>
      <c r="W22" s="3">
        <v>46325.0</v>
      </c>
      <c r="X22" s="13"/>
    </row>
    <row r="23">
      <c r="A23" s="1" t="s">
        <v>2172</v>
      </c>
      <c r="B23" s="1" t="s">
        <v>2168</v>
      </c>
      <c r="C23" s="1" t="s">
        <v>2168</v>
      </c>
      <c r="D23" s="1" t="s">
        <v>828</v>
      </c>
      <c r="E23" s="1" t="s">
        <v>3599</v>
      </c>
      <c r="F23" s="1" t="s">
        <v>3606</v>
      </c>
      <c r="G23" s="3">
        <v>46115.0</v>
      </c>
      <c r="H23" s="3">
        <v>46290.0</v>
      </c>
      <c r="I23" s="13"/>
      <c r="J23" s="1" t="s">
        <v>124</v>
      </c>
      <c r="K23" s="1" t="s">
        <v>71</v>
      </c>
      <c r="L23" s="1" t="s">
        <v>460</v>
      </c>
      <c r="M23" s="1" t="s">
        <v>131</v>
      </c>
      <c r="N23" s="13"/>
      <c r="P23" s="4"/>
      <c r="Q23" s="1" t="s">
        <v>1808</v>
      </c>
      <c r="R23" s="1" t="s">
        <v>1808</v>
      </c>
      <c r="S23" s="1" t="s">
        <v>1811</v>
      </c>
      <c r="T23" s="1" t="s">
        <v>3604</v>
      </c>
      <c r="U23" s="1" t="s">
        <v>1577</v>
      </c>
      <c r="V23" s="1" t="s">
        <v>1995</v>
      </c>
      <c r="W23" s="3">
        <v>46325.0</v>
      </c>
      <c r="X23" s="13"/>
    </row>
    <row r="24">
      <c r="A24" s="1" t="s">
        <v>2167</v>
      </c>
      <c r="B24" s="1" t="s">
        <v>2168</v>
      </c>
      <c r="C24" s="1" t="s">
        <v>2168</v>
      </c>
      <c r="D24" s="1" t="s">
        <v>828</v>
      </c>
      <c r="E24" s="1" t="s">
        <v>3599</v>
      </c>
      <c r="F24" s="1" t="s">
        <v>3611</v>
      </c>
      <c r="G24" s="3">
        <v>46115.0</v>
      </c>
      <c r="H24" s="3">
        <v>46290.0</v>
      </c>
      <c r="I24" s="13"/>
      <c r="J24" s="1" t="s">
        <v>124</v>
      </c>
      <c r="K24" s="1" t="s">
        <v>71</v>
      </c>
      <c r="L24" s="1" t="s">
        <v>460</v>
      </c>
      <c r="M24" s="1" t="s">
        <v>131</v>
      </c>
      <c r="N24" s="13"/>
      <c r="P24" s="4"/>
      <c r="Q24" s="1" t="s">
        <v>1808</v>
      </c>
      <c r="R24" s="1" t="s">
        <v>1808</v>
      </c>
      <c r="S24" s="1" t="s">
        <v>1811</v>
      </c>
      <c r="T24" s="1" t="s">
        <v>3604</v>
      </c>
      <c r="U24" s="1" t="s">
        <v>1577</v>
      </c>
      <c r="V24" s="1" t="s">
        <v>2002</v>
      </c>
      <c r="W24" s="3">
        <v>46325.0</v>
      </c>
      <c r="X24" s="13"/>
    </row>
    <row r="25">
      <c r="A25" s="1" t="s">
        <v>2185</v>
      </c>
      <c r="B25" s="1" t="s">
        <v>2186</v>
      </c>
      <c r="C25" s="1" t="s">
        <v>2186</v>
      </c>
      <c r="D25" s="1" t="s">
        <v>116</v>
      </c>
      <c r="E25" s="1" t="s">
        <v>3618</v>
      </c>
      <c r="F25" s="1" t="s">
        <v>3619</v>
      </c>
      <c r="G25" s="3">
        <v>46119.0</v>
      </c>
      <c r="H25" s="3">
        <v>46244.0</v>
      </c>
      <c r="I25" s="4"/>
      <c r="J25" s="1" t="s">
        <v>124</v>
      </c>
      <c r="K25" s="1" t="s">
        <v>98</v>
      </c>
      <c r="L25" s="1" t="s">
        <v>460</v>
      </c>
      <c r="M25" s="1" t="s">
        <v>131</v>
      </c>
      <c r="N25" s="13"/>
      <c r="O25" s="1" t="s">
        <v>3625</v>
      </c>
      <c r="P25" s="4"/>
      <c r="Q25" s="1" t="s">
        <v>137</v>
      </c>
      <c r="R25" s="1" t="s">
        <v>137</v>
      </c>
      <c r="S25" s="1" t="s">
        <v>47</v>
      </c>
      <c r="T25" s="1" t="s">
        <v>3627</v>
      </c>
      <c r="U25" s="1" t="s">
        <v>1577</v>
      </c>
      <c r="V25" s="1" t="s">
        <v>1579</v>
      </c>
      <c r="W25" s="3">
        <v>46388.0</v>
      </c>
      <c r="X25" s="13"/>
    </row>
    <row r="26">
      <c r="A26" s="1" t="s">
        <v>2202</v>
      </c>
      <c r="B26" s="1" t="s">
        <v>2081</v>
      </c>
      <c r="C26" s="1" t="s">
        <v>2081</v>
      </c>
      <c r="D26" s="1" t="s">
        <v>116</v>
      </c>
      <c r="E26" s="1" t="s">
        <v>3630</v>
      </c>
      <c r="F26" s="1" t="s">
        <v>3631</v>
      </c>
      <c r="G26" s="3">
        <v>46167.0</v>
      </c>
      <c r="H26" s="3">
        <v>46318.0</v>
      </c>
      <c r="I26" s="13"/>
      <c r="J26" s="1" t="s">
        <v>124</v>
      </c>
      <c r="K26" s="1" t="s">
        <v>71</v>
      </c>
      <c r="L26" s="1" t="s">
        <v>162</v>
      </c>
      <c r="M26" s="1" t="s">
        <v>131</v>
      </c>
      <c r="N26" s="13"/>
      <c r="O26" s="1" t="s">
        <v>3635</v>
      </c>
      <c r="Q26" s="1" t="s">
        <v>137</v>
      </c>
      <c r="R26" s="1" t="s">
        <v>137</v>
      </c>
      <c r="S26" s="1" t="s">
        <v>47</v>
      </c>
      <c r="T26" s="1" t="s">
        <v>3637</v>
      </c>
      <c r="U26" s="1" t="s">
        <v>1577</v>
      </c>
      <c r="V26" s="1" t="s">
        <v>1579</v>
      </c>
      <c r="W26" s="3">
        <v>46293.0</v>
      </c>
      <c r="X26" s="13"/>
    </row>
    <row r="27">
      <c r="A27" s="1" t="s">
        <v>3638</v>
      </c>
      <c r="B27" s="1" t="s">
        <v>3331</v>
      </c>
      <c r="C27" s="1" t="s">
        <v>3331</v>
      </c>
      <c r="D27" s="1" t="s">
        <v>116</v>
      </c>
      <c r="E27" s="1" t="s">
        <v>3639</v>
      </c>
      <c r="F27" s="1" t="s">
        <v>3640</v>
      </c>
      <c r="G27" s="3">
        <v>46234.0</v>
      </c>
      <c r="H27" s="13"/>
      <c r="I27" s="13"/>
      <c r="J27" s="1" t="s">
        <v>124</v>
      </c>
      <c r="K27" s="1" t="s">
        <v>98</v>
      </c>
      <c r="L27" s="1" t="s">
        <v>162</v>
      </c>
      <c r="M27" s="1" t="s">
        <v>131</v>
      </c>
      <c r="N27" s="13"/>
      <c r="O27" s="1" t="s">
        <v>3642</v>
      </c>
      <c r="Q27" s="1" t="s">
        <v>137</v>
      </c>
      <c r="R27" s="1" t="s">
        <v>137</v>
      </c>
      <c r="S27" s="1" t="s">
        <v>47</v>
      </c>
      <c r="T27" s="1" t="s">
        <v>3643</v>
      </c>
      <c r="U27" s="1" t="s">
        <v>1577</v>
      </c>
      <c r="V27" s="1" t="s">
        <v>1995</v>
      </c>
      <c r="W27" s="3">
        <v>46356.0</v>
      </c>
      <c r="X27" s="13"/>
    </row>
    <row r="28">
      <c r="A28" s="1" t="s">
        <v>2238</v>
      </c>
      <c r="B28" s="1" t="s">
        <v>2239</v>
      </c>
      <c r="C28" s="1" t="s">
        <v>2239</v>
      </c>
      <c r="D28" s="1" t="s">
        <v>2413</v>
      </c>
      <c r="E28" s="1" t="s">
        <v>3648</v>
      </c>
      <c r="F28" s="1" t="s">
        <v>3649</v>
      </c>
      <c r="G28" s="3">
        <v>46122.0</v>
      </c>
      <c r="H28" s="3">
        <v>46336.0</v>
      </c>
      <c r="I28" s="13"/>
      <c r="J28" s="1" t="s">
        <v>124</v>
      </c>
      <c r="K28" s="1" t="s">
        <v>98</v>
      </c>
      <c r="L28" s="1" t="s">
        <v>460</v>
      </c>
      <c r="M28" s="1" t="s">
        <v>131</v>
      </c>
      <c r="N28" s="13"/>
      <c r="O28" s="1" t="s">
        <v>3651</v>
      </c>
      <c r="P28" s="4"/>
      <c r="Q28" s="1" t="s">
        <v>137</v>
      </c>
      <c r="R28" s="1" t="s">
        <v>137</v>
      </c>
      <c r="S28" s="1" t="s">
        <v>47</v>
      </c>
      <c r="T28" s="1" t="s">
        <v>3652</v>
      </c>
      <c r="U28" s="1" t="s">
        <v>1577</v>
      </c>
      <c r="V28" s="1" t="s">
        <v>1579</v>
      </c>
      <c r="W28" s="3">
        <v>46336.0</v>
      </c>
      <c r="X28" s="13"/>
    </row>
    <row r="29">
      <c r="A29" s="1" t="s">
        <v>2240</v>
      </c>
      <c r="B29" s="1" t="s">
        <v>2239</v>
      </c>
      <c r="C29" s="1" t="s">
        <v>2239</v>
      </c>
      <c r="D29" s="1" t="s">
        <v>2413</v>
      </c>
      <c r="E29" s="1" t="s">
        <v>3648</v>
      </c>
      <c r="F29" s="1" t="s">
        <v>3654</v>
      </c>
      <c r="G29" s="3">
        <v>46122.0</v>
      </c>
      <c r="H29" s="3">
        <v>46336.0</v>
      </c>
      <c r="I29" s="13"/>
      <c r="J29" s="1" t="s">
        <v>124</v>
      </c>
      <c r="K29" s="1" t="s">
        <v>98</v>
      </c>
      <c r="L29" s="1" t="s">
        <v>460</v>
      </c>
      <c r="M29" s="1" t="s">
        <v>131</v>
      </c>
      <c r="N29" s="13"/>
      <c r="O29" s="1" t="s">
        <v>3655</v>
      </c>
      <c r="P29" s="4"/>
      <c r="Q29" s="1" t="s">
        <v>137</v>
      </c>
      <c r="R29" s="1" t="s">
        <v>137</v>
      </c>
      <c r="S29" s="1" t="s">
        <v>47</v>
      </c>
      <c r="T29" s="1" t="s">
        <v>3652</v>
      </c>
      <c r="U29" s="1" t="s">
        <v>1577</v>
      </c>
      <c r="V29" s="1" t="s">
        <v>2000</v>
      </c>
      <c r="W29" s="3">
        <v>46336.0</v>
      </c>
      <c r="X29" s="13"/>
    </row>
    <row r="30">
      <c r="A30" s="1" t="s">
        <v>2252</v>
      </c>
      <c r="B30" s="1" t="s">
        <v>2247</v>
      </c>
      <c r="C30" s="1" t="s">
        <v>2247</v>
      </c>
      <c r="D30" s="1" t="s">
        <v>116</v>
      </c>
      <c r="E30" s="1" t="s">
        <v>3658</v>
      </c>
      <c r="F30" s="1" t="s">
        <v>3659</v>
      </c>
      <c r="G30" s="3">
        <v>46125.0</v>
      </c>
      <c r="H30" s="3">
        <v>46314.0</v>
      </c>
      <c r="I30" s="13"/>
      <c r="J30" s="1" t="s">
        <v>124</v>
      </c>
      <c r="K30" s="1" t="s">
        <v>160</v>
      </c>
      <c r="L30" s="1" t="s">
        <v>460</v>
      </c>
      <c r="M30" s="1" t="s">
        <v>131</v>
      </c>
      <c r="N30" s="13"/>
      <c r="O30" s="1" t="s">
        <v>3660</v>
      </c>
      <c r="P30" s="4"/>
      <c r="Q30" s="1" t="s">
        <v>137</v>
      </c>
      <c r="R30" s="1" t="s">
        <v>137</v>
      </c>
      <c r="S30" s="1" t="s">
        <v>47</v>
      </c>
      <c r="T30" s="1" t="s">
        <v>3661</v>
      </c>
      <c r="U30" s="1" t="s">
        <v>1577</v>
      </c>
      <c r="V30" s="1" t="s">
        <v>1579</v>
      </c>
      <c r="W30" s="3">
        <v>46314.0</v>
      </c>
      <c r="X30" s="13"/>
    </row>
    <row r="31">
      <c r="A31" s="1" t="s">
        <v>2248</v>
      </c>
      <c r="B31" s="1" t="s">
        <v>2247</v>
      </c>
      <c r="C31" s="1" t="s">
        <v>2247</v>
      </c>
      <c r="D31" s="1" t="s">
        <v>116</v>
      </c>
      <c r="E31" s="1" t="s">
        <v>3658</v>
      </c>
      <c r="F31" s="1" t="s">
        <v>3665</v>
      </c>
      <c r="G31" s="3">
        <v>46125.0</v>
      </c>
      <c r="H31" s="3">
        <v>46314.0</v>
      </c>
      <c r="I31" s="13"/>
      <c r="J31" s="1" t="s">
        <v>124</v>
      </c>
      <c r="K31" s="1" t="s">
        <v>160</v>
      </c>
      <c r="L31" s="1" t="s">
        <v>460</v>
      </c>
      <c r="M31" s="1" t="s">
        <v>131</v>
      </c>
      <c r="N31" s="13"/>
      <c r="O31" s="1" t="s">
        <v>3666</v>
      </c>
      <c r="P31" s="4"/>
      <c r="Q31" s="1" t="s">
        <v>137</v>
      </c>
      <c r="R31" s="1" t="s">
        <v>137</v>
      </c>
      <c r="S31" s="1" t="s">
        <v>47</v>
      </c>
      <c r="T31" s="1" t="s">
        <v>3661</v>
      </c>
      <c r="U31" s="1" t="s">
        <v>1577</v>
      </c>
      <c r="V31" s="1" t="s">
        <v>2000</v>
      </c>
      <c r="W31" s="3">
        <v>46314.0</v>
      </c>
      <c r="X31" s="13"/>
    </row>
    <row r="32">
      <c r="A32" s="1" t="s">
        <v>2246</v>
      </c>
      <c r="B32" s="1" t="s">
        <v>2247</v>
      </c>
      <c r="C32" s="1" t="s">
        <v>2247</v>
      </c>
      <c r="D32" s="1" t="s">
        <v>116</v>
      </c>
      <c r="E32" s="1" t="s">
        <v>3658</v>
      </c>
      <c r="F32" s="1" t="s">
        <v>3670</v>
      </c>
      <c r="G32" s="3">
        <v>46125.0</v>
      </c>
      <c r="H32" s="3">
        <v>46314.0</v>
      </c>
      <c r="I32" s="13"/>
      <c r="J32" s="1" t="s">
        <v>124</v>
      </c>
      <c r="K32" s="1" t="s">
        <v>160</v>
      </c>
      <c r="L32" s="1" t="s">
        <v>460</v>
      </c>
      <c r="M32" s="1" t="s">
        <v>131</v>
      </c>
      <c r="N32" s="13"/>
      <c r="O32" s="1" t="s">
        <v>3666</v>
      </c>
      <c r="P32" s="4"/>
      <c r="Q32" s="1" t="s">
        <v>137</v>
      </c>
      <c r="R32" s="1" t="s">
        <v>137</v>
      </c>
      <c r="S32" s="1" t="s">
        <v>47</v>
      </c>
      <c r="T32" s="1" t="s">
        <v>3661</v>
      </c>
      <c r="U32" s="1" t="s">
        <v>1577</v>
      </c>
      <c r="V32" s="1" t="s">
        <v>1995</v>
      </c>
      <c r="W32" s="3">
        <v>46314.0</v>
      </c>
      <c r="X32" s="13"/>
    </row>
    <row r="33">
      <c r="A33" s="1" t="s">
        <v>2253</v>
      </c>
      <c r="B33" s="1" t="s">
        <v>449</v>
      </c>
      <c r="C33" s="1" t="s">
        <v>449</v>
      </c>
      <c r="D33" s="1" t="s">
        <v>116</v>
      </c>
      <c r="E33" s="1" t="s">
        <v>3674</v>
      </c>
      <c r="F33" s="1" t="s">
        <v>3675</v>
      </c>
      <c r="G33" s="3">
        <v>46125.0</v>
      </c>
      <c r="H33" s="3">
        <v>46260.0</v>
      </c>
      <c r="I33" s="13"/>
      <c r="J33" s="1" t="s">
        <v>124</v>
      </c>
      <c r="K33" s="1" t="s">
        <v>98</v>
      </c>
      <c r="L33" s="1" t="s">
        <v>253</v>
      </c>
      <c r="M33" s="1" t="s">
        <v>131</v>
      </c>
      <c r="N33" s="13"/>
      <c r="O33" s="1" t="s">
        <v>3677</v>
      </c>
      <c r="P33" s="4"/>
      <c r="Q33" s="1" t="s">
        <v>137</v>
      </c>
      <c r="R33" s="1" t="s">
        <v>137</v>
      </c>
      <c r="S33" s="1" t="s">
        <v>47</v>
      </c>
      <c r="T33" s="1" t="s">
        <v>3680</v>
      </c>
      <c r="U33" s="1" t="s">
        <v>1577</v>
      </c>
      <c r="V33" s="1" t="s">
        <v>1579</v>
      </c>
      <c r="W33" s="3">
        <v>46260.0</v>
      </c>
      <c r="X33" s="13"/>
    </row>
    <row r="34">
      <c r="A34" s="1" t="s">
        <v>2256</v>
      </c>
      <c r="B34" s="1" t="s">
        <v>2255</v>
      </c>
      <c r="C34" s="1" t="s">
        <v>2255</v>
      </c>
      <c r="D34" s="1" t="s">
        <v>2760</v>
      </c>
      <c r="E34" s="1" t="s">
        <v>3681</v>
      </c>
      <c r="F34" s="1" t="s">
        <v>3682</v>
      </c>
      <c r="G34" s="3">
        <v>46125.0</v>
      </c>
      <c r="H34" s="3">
        <v>46356.0</v>
      </c>
      <c r="I34" s="13"/>
      <c r="J34" s="1" t="s">
        <v>124</v>
      </c>
      <c r="K34" s="1" t="s">
        <v>160</v>
      </c>
      <c r="L34" s="1" t="s">
        <v>460</v>
      </c>
      <c r="M34" s="1" t="s">
        <v>131</v>
      </c>
      <c r="N34" s="13"/>
      <c r="O34" s="1" t="s">
        <v>3642</v>
      </c>
      <c r="P34" s="4"/>
      <c r="Q34" s="1" t="s">
        <v>137</v>
      </c>
      <c r="R34" s="1" t="s">
        <v>137</v>
      </c>
      <c r="S34" s="1" t="s">
        <v>47</v>
      </c>
      <c r="T34" s="1" t="s">
        <v>3686</v>
      </c>
      <c r="U34" s="1" t="s">
        <v>1577</v>
      </c>
      <c r="V34" s="1" t="s">
        <v>2000</v>
      </c>
      <c r="W34" s="3">
        <v>46346.0</v>
      </c>
      <c r="X34" s="13"/>
    </row>
    <row r="35">
      <c r="A35" s="1" t="s">
        <v>2254</v>
      </c>
      <c r="B35" s="1" t="s">
        <v>2255</v>
      </c>
      <c r="C35" s="1" t="s">
        <v>2255</v>
      </c>
      <c r="D35" s="1" t="s">
        <v>2760</v>
      </c>
      <c r="E35" s="1" t="s">
        <v>3681</v>
      </c>
      <c r="F35" s="1" t="s">
        <v>3688</v>
      </c>
      <c r="G35" s="3">
        <v>46125.0</v>
      </c>
      <c r="H35" s="3">
        <v>46356.0</v>
      </c>
      <c r="I35" s="13"/>
      <c r="J35" s="1" t="s">
        <v>124</v>
      </c>
      <c r="K35" s="1" t="s">
        <v>160</v>
      </c>
      <c r="L35" s="1" t="s">
        <v>460</v>
      </c>
      <c r="M35" s="1" t="s">
        <v>131</v>
      </c>
      <c r="N35" s="13"/>
      <c r="O35" s="1" t="s">
        <v>3690</v>
      </c>
      <c r="P35" s="4"/>
      <c r="Q35" s="1" t="s">
        <v>137</v>
      </c>
      <c r="R35" s="1" t="s">
        <v>137</v>
      </c>
      <c r="S35" s="1" t="s">
        <v>47</v>
      </c>
      <c r="T35" s="1" t="s">
        <v>3686</v>
      </c>
      <c r="U35" s="1" t="s">
        <v>1577</v>
      </c>
      <c r="V35" s="1" t="s">
        <v>1995</v>
      </c>
      <c r="W35" s="3">
        <v>46346.0</v>
      </c>
      <c r="X35" s="13"/>
    </row>
    <row r="36">
      <c r="A36" s="1" t="s">
        <v>2259</v>
      </c>
      <c r="B36" s="1" t="s">
        <v>2255</v>
      </c>
      <c r="C36" s="1" t="s">
        <v>2255</v>
      </c>
      <c r="D36" s="1" t="s">
        <v>2760</v>
      </c>
      <c r="E36" s="1" t="s">
        <v>3681</v>
      </c>
      <c r="F36" s="1" t="s">
        <v>3692</v>
      </c>
      <c r="G36" s="3">
        <v>46125.0</v>
      </c>
      <c r="H36" s="3">
        <v>46356.0</v>
      </c>
      <c r="I36" s="4"/>
      <c r="J36" s="1" t="s">
        <v>124</v>
      </c>
      <c r="K36" s="1" t="s">
        <v>160</v>
      </c>
      <c r="L36" s="1" t="s">
        <v>460</v>
      </c>
      <c r="M36" s="1" t="s">
        <v>131</v>
      </c>
      <c r="O36" s="1" t="s">
        <v>3690</v>
      </c>
      <c r="Q36" s="1" t="s">
        <v>137</v>
      </c>
      <c r="R36" s="1" t="s">
        <v>137</v>
      </c>
      <c r="S36" s="1" t="s">
        <v>47</v>
      </c>
      <c r="T36" s="1" t="s">
        <v>3686</v>
      </c>
      <c r="U36" s="1" t="s">
        <v>1577</v>
      </c>
      <c r="V36" s="1" t="s">
        <v>1991</v>
      </c>
      <c r="W36" s="3">
        <v>46346.0</v>
      </c>
    </row>
    <row r="37">
      <c r="A37" s="1" t="s">
        <v>2261</v>
      </c>
      <c r="B37" s="1" t="s">
        <v>2262</v>
      </c>
      <c r="C37" s="1" t="s">
        <v>2262</v>
      </c>
      <c r="D37" s="1" t="s">
        <v>116</v>
      </c>
      <c r="E37" s="1" t="s">
        <v>3696</v>
      </c>
      <c r="F37" s="1" t="s">
        <v>3698</v>
      </c>
      <c r="G37" s="3">
        <v>46127.0</v>
      </c>
      <c r="H37" s="3">
        <v>46409.0</v>
      </c>
      <c r="I37" s="13"/>
      <c r="J37" s="1" t="s">
        <v>124</v>
      </c>
      <c r="K37" s="1" t="s">
        <v>160</v>
      </c>
      <c r="L37" s="1" t="s">
        <v>162</v>
      </c>
      <c r="M37" s="1" t="s">
        <v>131</v>
      </c>
      <c r="N37" s="13"/>
      <c r="O37" s="1" t="s">
        <v>3699</v>
      </c>
      <c r="Q37" s="1" t="s">
        <v>137</v>
      </c>
      <c r="R37" s="1" t="s">
        <v>137</v>
      </c>
      <c r="S37" s="1" t="s">
        <v>47</v>
      </c>
      <c r="T37" s="1" t="s">
        <v>3700</v>
      </c>
      <c r="U37" s="1" t="s">
        <v>1577</v>
      </c>
      <c r="V37" s="1" t="s">
        <v>1579</v>
      </c>
      <c r="W37" s="3">
        <v>46258.0</v>
      </c>
      <c r="X37" s="13"/>
    </row>
    <row r="38">
      <c r="A38" s="1" t="s">
        <v>2263</v>
      </c>
      <c r="B38" s="1" t="s">
        <v>1781</v>
      </c>
      <c r="C38" s="1" t="s">
        <v>1781</v>
      </c>
      <c r="D38" s="1" t="s">
        <v>116</v>
      </c>
      <c r="E38" s="1" t="s">
        <v>3704</v>
      </c>
      <c r="F38" s="1" t="s">
        <v>3705</v>
      </c>
      <c r="G38" s="3">
        <v>46127.0</v>
      </c>
      <c r="H38" s="3">
        <v>46279.0</v>
      </c>
      <c r="I38" s="3">
        <v>46279.0</v>
      </c>
      <c r="J38" s="1" t="s">
        <v>124</v>
      </c>
      <c r="K38" s="1" t="s">
        <v>160</v>
      </c>
      <c r="L38" s="1" t="s">
        <v>216</v>
      </c>
      <c r="M38" s="1" t="s">
        <v>131</v>
      </c>
      <c r="N38" s="13"/>
      <c r="O38" s="1" t="s">
        <v>3706</v>
      </c>
      <c r="P38" s="4"/>
      <c r="Q38" s="1" t="s">
        <v>137</v>
      </c>
      <c r="R38" s="1" t="s">
        <v>137</v>
      </c>
      <c r="S38" s="1" t="s">
        <v>47</v>
      </c>
      <c r="T38" s="1" t="s">
        <v>3707</v>
      </c>
      <c r="U38" s="1" t="s">
        <v>1577</v>
      </c>
      <c r="V38" s="1" t="s">
        <v>1579</v>
      </c>
      <c r="W38" s="3">
        <v>46279.0</v>
      </c>
      <c r="X38" s="3">
        <v>46279.0</v>
      </c>
    </row>
    <row r="39">
      <c r="A39" s="1" t="s">
        <v>2282</v>
      </c>
      <c r="B39" s="1" t="s">
        <v>590</v>
      </c>
      <c r="C39" s="1" t="s">
        <v>590</v>
      </c>
      <c r="D39" s="1" t="s">
        <v>146</v>
      </c>
      <c r="E39" s="1" t="s">
        <v>3710</v>
      </c>
      <c r="F39" s="1" t="s">
        <v>3711</v>
      </c>
      <c r="G39" s="3">
        <v>46128.0</v>
      </c>
      <c r="H39" s="3">
        <v>46237.0</v>
      </c>
      <c r="I39" s="13"/>
      <c r="J39" s="1" t="s">
        <v>124</v>
      </c>
      <c r="K39" s="1" t="s">
        <v>160</v>
      </c>
      <c r="L39" s="1" t="s">
        <v>162</v>
      </c>
      <c r="M39" s="1" t="s">
        <v>131</v>
      </c>
      <c r="N39" s="13"/>
      <c r="O39" s="1" t="s">
        <v>3712</v>
      </c>
      <c r="P39" s="4"/>
      <c r="Q39" s="1" t="s">
        <v>137</v>
      </c>
      <c r="R39" s="1" t="s">
        <v>137</v>
      </c>
      <c r="S39" s="1" t="s">
        <v>47</v>
      </c>
      <c r="T39" s="1" t="s">
        <v>3714</v>
      </c>
      <c r="U39" s="1" t="s">
        <v>1577</v>
      </c>
      <c r="V39" s="1" t="s">
        <v>1579</v>
      </c>
      <c r="W39" s="3">
        <v>46237.0</v>
      </c>
      <c r="X39" s="13"/>
    </row>
    <row r="40">
      <c r="A40" s="1" t="s">
        <v>2286</v>
      </c>
      <c r="B40" s="1" t="s">
        <v>1139</v>
      </c>
      <c r="C40" s="1" t="s">
        <v>1139</v>
      </c>
      <c r="D40" s="1" t="s">
        <v>146</v>
      </c>
      <c r="E40" s="1" t="s">
        <v>3717</v>
      </c>
      <c r="F40" s="1" t="s">
        <v>3718</v>
      </c>
      <c r="G40" s="3">
        <v>46128.0</v>
      </c>
      <c r="H40" s="3">
        <v>46328.0</v>
      </c>
      <c r="I40" s="13"/>
      <c r="J40" s="1" t="s">
        <v>124</v>
      </c>
      <c r="K40" s="1" t="s">
        <v>160</v>
      </c>
      <c r="L40" s="1" t="s">
        <v>300</v>
      </c>
      <c r="M40" s="1" t="s">
        <v>472</v>
      </c>
      <c r="N40" s="13"/>
      <c r="O40" s="1" t="s">
        <v>3719</v>
      </c>
      <c r="Q40" s="1" t="s">
        <v>137</v>
      </c>
      <c r="R40" s="1" t="s">
        <v>137</v>
      </c>
      <c r="S40" s="1" t="s">
        <v>47</v>
      </c>
      <c r="T40" s="1" t="s">
        <v>1153</v>
      </c>
      <c r="U40" s="1" t="s">
        <v>1577</v>
      </c>
      <c r="V40" s="1" t="s">
        <v>2000</v>
      </c>
      <c r="W40" s="3">
        <v>46304.0</v>
      </c>
      <c r="X40" s="13"/>
    </row>
    <row r="41">
      <c r="A41" s="1" t="s">
        <v>2287</v>
      </c>
      <c r="B41" s="1" t="s">
        <v>1139</v>
      </c>
      <c r="C41" s="1" t="s">
        <v>1139</v>
      </c>
      <c r="D41" s="1" t="s">
        <v>146</v>
      </c>
      <c r="E41" s="1" t="s">
        <v>3717</v>
      </c>
      <c r="F41" s="1" t="s">
        <v>3722</v>
      </c>
      <c r="G41" s="3">
        <v>46128.0</v>
      </c>
      <c r="H41" s="3">
        <v>46328.0</v>
      </c>
      <c r="I41" s="13"/>
      <c r="J41" s="1" t="s">
        <v>124</v>
      </c>
      <c r="K41" s="1" t="s">
        <v>160</v>
      </c>
      <c r="L41" s="1" t="s">
        <v>300</v>
      </c>
      <c r="M41" s="1" t="s">
        <v>472</v>
      </c>
      <c r="N41" s="13"/>
      <c r="O41" s="1" t="s">
        <v>3719</v>
      </c>
      <c r="P41" s="4"/>
      <c r="Q41" s="1" t="s">
        <v>137</v>
      </c>
      <c r="R41" s="1" t="s">
        <v>137</v>
      </c>
      <c r="S41" s="1" t="s">
        <v>47</v>
      </c>
      <c r="T41" s="1" t="s">
        <v>1153</v>
      </c>
      <c r="U41" s="1" t="s">
        <v>1577</v>
      </c>
      <c r="V41" s="1" t="s">
        <v>1995</v>
      </c>
      <c r="W41" s="3">
        <v>46304.0</v>
      </c>
      <c r="X41" s="13"/>
    </row>
    <row r="42">
      <c r="A42" s="1" t="s">
        <v>2285</v>
      </c>
      <c r="B42" s="1" t="s">
        <v>1139</v>
      </c>
      <c r="C42" s="1" t="s">
        <v>1139</v>
      </c>
      <c r="D42" s="1" t="s">
        <v>146</v>
      </c>
      <c r="E42" s="1" t="s">
        <v>3717</v>
      </c>
      <c r="F42" s="1" t="s">
        <v>3726</v>
      </c>
      <c r="G42" s="3">
        <v>46128.0</v>
      </c>
      <c r="H42" s="3">
        <v>46328.0</v>
      </c>
      <c r="I42" s="13"/>
      <c r="J42" s="1" t="s">
        <v>124</v>
      </c>
      <c r="K42" s="1" t="s">
        <v>160</v>
      </c>
      <c r="L42" s="1" t="s">
        <v>300</v>
      </c>
      <c r="M42" s="1" t="s">
        <v>472</v>
      </c>
      <c r="N42" s="13"/>
      <c r="O42" s="1" t="s">
        <v>3719</v>
      </c>
      <c r="P42" s="4"/>
      <c r="Q42" s="1" t="s">
        <v>137</v>
      </c>
      <c r="R42" s="1" t="s">
        <v>137</v>
      </c>
      <c r="S42" s="1" t="s">
        <v>47</v>
      </c>
      <c r="T42" s="1" t="s">
        <v>1153</v>
      </c>
      <c r="U42" s="1" t="s">
        <v>1577</v>
      </c>
      <c r="V42" s="1" t="s">
        <v>1991</v>
      </c>
      <c r="W42" s="3">
        <v>46304.0</v>
      </c>
      <c r="X42" s="13"/>
    </row>
    <row r="43">
      <c r="A43" s="1" t="s">
        <v>2288</v>
      </c>
      <c r="B43" s="1" t="s">
        <v>2290</v>
      </c>
      <c r="C43" s="1" t="s">
        <v>2290</v>
      </c>
      <c r="D43" s="1" t="s">
        <v>116</v>
      </c>
      <c r="E43" s="1" t="s">
        <v>3730</v>
      </c>
      <c r="F43" s="1" t="s">
        <v>3731</v>
      </c>
      <c r="G43" s="3">
        <v>46128.0</v>
      </c>
      <c r="H43" s="3">
        <v>46289.0</v>
      </c>
      <c r="I43" s="3">
        <v>46289.0</v>
      </c>
      <c r="J43" s="1" t="s">
        <v>124</v>
      </c>
      <c r="K43" s="1" t="s">
        <v>160</v>
      </c>
      <c r="L43" s="1" t="s">
        <v>216</v>
      </c>
      <c r="M43" s="1" t="s">
        <v>131</v>
      </c>
      <c r="N43" s="13"/>
      <c r="O43" s="1" t="s">
        <v>3733</v>
      </c>
      <c r="P43" s="4"/>
      <c r="Q43" s="1" t="s">
        <v>137</v>
      </c>
      <c r="R43" s="1" t="s">
        <v>137</v>
      </c>
      <c r="S43" s="1" t="s">
        <v>47</v>
      </c>
      <c r="T43" s="1" t="s">
        <v>3734</v>
      </c>
      <c r="U43" s="1" t="s">
        <v>1577</v>
      </c>
      <c r="V43" s="1" t="s">
        <v>1579</v>
      </c>
      <c r="W43" s="3">
        <v>46280.0</v>
      </c>
      <c r="X43" s="3">
        <v>46289.0</v>
      </c>
    </row>
    <row r="44">
      <c r="A44" s="1" t="s">
        <v>2292</v>
      </c>
      <c r="B44" s="1" t="s">
        <v>2294</v>
      </c>
      <c r="C44" s="1" t="s">
        <v>2294</v>
      </c>
      <c r="D44" s="1" t="s">
        <v>146</v>
      </c>
      <c r="E44" s="1" t="s">
        <v>3735</v>
      </c>
      <c r="F44" s="1" t="s">
        <v>3736</v>
      </c>
      <c r="G44" s="3">
        <v>46128.0</v>
      </c>
      <c r="H44" s="13"/>
      <c r="I44" s="13"/>
      <c r="J44" s="1" t="s">
        <v>124</v>
      </c>
      <c r="K44" s="1" t="s">
        <v>98</v>
      </c>
      <c r="L44" s="1" t="s">
        <v>335</v>
      </c>
      <c r="M44" s="1" t="s">
        <v>131</v>
      </c>
      <c r="N44" s="13"/>
      <c r="O44" s="1" t="s">
        <v>3738</v>
      </c>
      <c r="P44" s="4"/>
      <c r="Q44" s="1" t="s">
        <v>137</v>
      </c>
      <c r="R44" s="1" t="s">
        <v>137</v>
      </c>
      <c r="S44" s="1" t="s">
        <v>47</v>
      </c>
      <c r="T44" s="1" t="s">
        <v>3740</v>
      </c>
      <c r="U44" s="1" t="s">
        <v>1577</v>
      </c>
      <c r="V44" s="1" t="s">
        <v>1579</v>
      </c>
      <c r="W44" s="3">
        <v>46339.0</v>
      </c>
      <c r="X44" s="13"/>
    </row>
    <row r="45">
      <c r="A45" s="1" t="s">
        <v>2296</v>
      </c>
      <c r="B45" s="1" t="s">
        <v>2298</v>
      </c>
      <c r="C45" s="1" t="s">
        <v>2298</v>
      </c>
      <c r="D45" s="1" t="s">
        <v>146</v>
      </c>
      <c r="E45" s="1" t="s">
        <v>3742</v>
      </c>
      <c r="F45" s="1" t="s">
        <v>3743</v>
      </c>
      <c r="G45" s="3">
        <v>46195.0</v>
      </c>
      <c r="H45" s="13"/>
      <c r="I45" s="13"/>
      <c r="J45" s="1" t="s">
        <v>124</v>
      </c>
      <c r="K45" s="1" t="s">
        <v>160</v>
      </c>
      <c r="L45" s="1" t="s">
        <v>162</v>
      </c>
      <c r="M45" s="1" t="s">
        <v>131</v>
      </c>
      <c r="N45" s="13"/>
      <c r="P45" s="4"/>
      <c r="Q45" s="1" t="s">
        <v>137</v>
      </c>
      <c r="R45" s="1" t="s">
        <v>137</v>
      </c>
      <c r="S45" s="1" t="s">
        <v>47</v>
      </c>
      <c r="T45" s="1" t="s">
        <v>3744</v>
      </c>
      <c r="U45" s="1" t="s">
        <v>1577</v>
      </c>
      <c r="V45" s="1" t="s">
        <v>2002</v>
      </c>
      <c r="W45" s="3">
        <v>46328.0</v>
      </c>
      <c r="X45" s="13"/>
    </row>
    <row r="46">
      <c r="A46" s="1" t="s">
        <v>2300</v>
      </c>
      <c r="B46" s="1" t="s">
        <v>2301</v>
      </c>
      <c r="C46" s="1" t="s">
        <v>2301</v>
      </c>
      <c r="D46" s="1" t="s">
        <v>116</v>
      </c>
      <c r="E46" s="1" t="s">
        <v>3746</v>
      </c>
      <c r="F46" s="1" t="s">
        <v>3748</v>
      </c>
      <c r="G46" s="3">
        <v>46129.0</v>
      </c>
      <c r="H46" s="13"/>
      <c r="I46" s="13"/>
      <c r="J46" s="1" t="s">
        <v>215</v>
      </c>
      <c r="K46" s="1" t="s">
        <v>71</v>
      </c>
      <c r="L46" s="1" t="s">
        <v>253</v>
      </c>
      <c r="M46" s="1" t="s">
        <v>131</v>
      </c>
      <c r="N46" s="3">
        <v>46292.0</v>
      </c>
      <c r="O46" s="1" t="s">
        <v>3750</v>
      </c>
      <c r="P46" s="4"/>
      <c r="Q46" s="1" t="s">
        <v>137</v>
      </c>
      <c r="R46" s="1" t="s">
        <v>137</v>
      </c>
      <c r="S46" s="1" t="s">
        <v>47</v>
      </c>
      <c r="T46" s="4"/>
      <c r="U46" s="1" t="s">
        <v>1577</v>
      </c>
      <c r="V46" s="1" t="s">
        <v>2302</v>
      </c>
      <c r="W46" s="3">
        <v>46262.0</v>
      </c>
      <c r="X46" s="13"/>
    </row>
    <row r="47">
      <c r="A47" s="1" t="s">
        <v>2303</v>
      </c>
      <c r="B47" s="1" t="s">
        <v>167</v>
      </c>
      <c r="C47" s="1" t="s">
        <v>167</v>
      </c>
      <c r="D47" s="1" t="s">
        <v>116</v>
      </c>
      <c r="E47" s="1" t="s">
        <v>3752</v>
      </c>
      <c r="F47" s="1" t="s">
        <v>3753</v>
      </c>
      <c r="G47" s="3">
        <v>46258.0</v>
      </c>
      <c r="H47" s="13"/>
      <c r="I47" s="13"/>
      <c r="J47" s="1" t="s">
        <v>124</v>
      </c>
      <c r="K47" s="1" t="s">
        <v>160</v>
      </c>
      <c r="L47" s="1" t="s">
        <v>162</v>
      </c>
      <c r="M47" s="1" t="s">
        <v>131</v>
      </c>
      <c r="N47" s="13"/>
      <c r="O47" s="1" t="s">
        <v>3755</v>
      </c>
      <c r="P47" s="4"/>
      <c r="Q47" s="1" t="s">
        <v>137</v>
      </c>
      <c r="R47" s="1" t="s">
        <v>137</v>
      </c>
      <c r="S47" s="1" t="s">
        <v>47</v>
      </c>
      <c r="T47" s="1" t="s">
        <v>3756</v>
      </c>
      <c r="U47" s="1" t="s">
        <v>1577</v>
      </c>
      <c r="V47" s="1" t="s">
        <v>1579</v>
      </c>
      <c r="W47" s="3">
        <v>46325.0</v>
      </c>
      <c r="X47" s="13"/>
    </row>
    <row r="48">
      <c r="A48" s="1" t="s">
        <v>2307</v>
      </c>
      <c r="B48" s="1" t="s">
        <v>167</v>
      </c>
      <c r="C48" s="1" t="s">
        <v>167</v>
      </c>
      <c r="D48" s="1" t="s">
        <v>116</v>
      </c>
      <c r="E48" s="1" t="s">
        <v>3752</v>
      </c>
      <c r="F48" s="1" t="s">
        <v>3758</v>
      </c>
      <c r="G48" s="3">
        <v>46258.0</v>
      </c>
      <c r="H48" s="13"/>
      <c r="I48" s="13"/>
      <c r="J48" s="1" t="s">
        <v>124</v>
      </c>
      <c r="K48" s="1" t="s">
        <v>160</v>
      </c>
      <c r="L48" s="1" t="s">
        <v>162</v>
      </c>
      <c r="M48" s="1" t="s">
        <v>131</v>
      </c>
      <c r="N48" s="13"/>
      <c r="O48" s="1" t="s">
        <v>3761</v>
      </c>
      <c r="P48" s="4"/>
      <c r="Q48" s="1" t="s">
        <v>137</v>
      </c>
      <c r="R48" s="1" t="s">
        <v>137</v>
      </c>
      <c r="S48" s="1" t="s">
        <v>47</v>
      </c>
      <c r="T48" s="1" t="s">
        <v>3756</v>
      </c>
      <c r="U48" s="1" t="s">
        <v>1577</v>
      </c>
      <c r="V48" s="1" t="s">
        <v>2000</v>
      </c>
      <c r="W48" s="3">
        <v>46325.0</v>
      </c>
      <c r="X48" s="13"/>
    </row>
    <row r="49">
      <c r="A49" s="1" t="s">
        <v>2305</v>
      </c>
      <c r="B49" s="1" t="s">
        <v>167</v>
      </c>
      <c r="C49" s="1" t="s">
        <v>167</v>
      </c>
      <c r="D49" s="1" t="s">
        <v>116</v>
      </c>
      <c r="E49" s="1" t="s">
        <v>3752</v>
      </c>
      <c r="F49" s="1" t="s">
        <v>3762</v>
      </c>
      <c r="G49" s="3">
        <v>46258.0</v>
      </c>
      <c r="H49" s="13"/>
      <c r="I49" s="13"/>
      <c r="J49" s="1" t="s">
        <v>124</v>
      </c>
      <c r="K49" s="1" t="s">
        <v>160</v>
      </c>
      <c r="L49" s="1" t="s">
        <v>162</v>
      </c>
      <c r="M49" s="1" t="s">
        <v>131</v>
      </c>
      <c r="N49" s="13"/>
      <c r="O49" s="1" t="s">
        <v>3761</v>
      </c>
      <c r="P49" s="4"/>
      <c r="Q49" s="1" t="s">
        <v>137</v>
      </c>
      <c r="R49" s="1" t="s">
        <v>137</v>
      </c>
      <c r="S49" s="1" t="s">
        <v>47</v>
      </c>
      <c r="T49" s="1" t="s">
        <v>3756</v>
      </c>
      <c r="U49" s="1" t="s">
        <v>1577</v>
      </c>
      <c r="V49" s="1" t="s">
        <v>2002</v>
      </c>
      <c r="W49" s="3">
        <v>46325.0</v>
      </c>
      <c r="X49" s="13"/>
    </row>
    <row r="50">
      <c r="A50" s="1" t="s">
        <v>2310</v>
      </c>
      <c r="B50" s="1" t="s">
        <v>478</v>
      </c>
      <c r="C50" s="1" t="s">
        <v>478</v>
      </c>
      <c r="D50" s="1" t="s">
        <v>146</v>
      </c>
      <c r="E50" s="1" t="s">
        <v>3772</v>
      </c>
      <c r="F50" s="1" t="s">
        <v>3774</v>
      </c>
      <c r="G50" s="3">
        <v>46129.0</v>
      </c>
      <c r="H50" s="3">
        <v>46332.0</v>
      </c>
      <c r="I50" s="13"/>
      <c r="J50" s="1" t="s">
        <v>124</v>
      </c>
      <c r="K50" s="1" t="s">
        <v>160</v>
      </c>
      <c r="L50" s="1" t="s">
        <v>162</v>
      </c>
      <c r="M50" s="1" t="s">
        <v>131</v>
      </c>
      <c r="N50" s="13"/>
      <c r="O50" s="1" t="s">
        <v>3777</v>
      </c>
      <c r="P50" s="4"/>
      <c r="Q50" s="1" t="s">
        <v>137</v>
      </c>
      <c r="R50" s="1" t="s">
        <v>137</v>
      </c>
      <c r="S50" s="1" t="s">
        <v>47</v>
      </c>
      <c r="T50" s="1" t="s">
        <v>3779</v>
      </c>
      <c r="U50" s="1" t="s">
        <v>1577</v>
      </c>
      <c r="V50" s="1" t="s">
        <v>1579</v>
      </c>
      <c r="W50" s="3">
        <v>46332.0</v>
      </c>
      <c r="X50" s="13"/>
    </row>
    <row r="51">
      <c r="A51" s="1" t="s">
        <v>2309</v>
      </c>
      <c r="B51" s="1" t="s">
        <v>478</v>
      </c>
      <c r="C51" s="1" t="s">
        <v>478</v>
      </c>
      <c r="D51" s="1" t="s">
        <v>146</v>
      </c>
      <c r="E51" s="1" t="s">
        <v>3772</v>
      </c>
      <c r="F51" s="1" t="s">
        <v>3782</v>
      </c>
      <c r="G51" s="3">
        <v>46129.0</v>
      </c>
      <c r="H51" s="3">
        <v>46332.0</v>
      </c>
      <c r="I51" s="13"/>
      <c r="J51" s="1" t="s">
        <v>124</v>
      </c>
      <c r="K51" s="1" t="s">
        <v>160</v>
      </c>
      <c r="L51" s="1" t="s">
        <v>162</v>
      </c>
      <c r="M51" s="1" t="s">
        <v>131</v>
      </c>
      <c r="N51" s="13"/>
      <c r="O51" s="1" t="s">
        <v>3505</v>
      </c>
      <c r="P51" s="4"/>
      <c r="Q51" s="1" t="s">
        <v>137</v>
      </c>
      <c r="R51" s="1" t="s">
        <v>137</v>
      </c>
      <c r="S51" s="1" t="s">
        <v>47</v>
      </c>
      <c r="T51" s="1" t="s">
        <v>3779</v>
      </c>
      <c r="U51" s="1" t="s">
        <v>1577</v>
      </c>
      <c r="V51" s="1" t="s">
        <v>2002</v>
      </c>
      <c r="W51" s="3">
        <v>46332.0</v>
      </c>
      <c r="X51" s="13"/>
    </row>
    <row r="52">
      <c r="A52" s="1" t="s">
        <v>2311</v>
      </c>
      <c r="B52" s="1" t="s">
        <v>1256</v>
      </c>
      <c r="C52" s="1" t="s">
        <v>1256</v>
      </c>
      <c r="D52" s="1" t="s">
        <v>146</v>
      </c>
      <c r="E52" s="1" t="s">
        <v>3786</v>
      </c>
      <c r="F52" s="1" t="s">
        <v>3787</v>
      </c>
      <c r="G52" s="3">
        <v>46129.0</v>
      </c>
      <c r="H52" s="3">
        <v>46300.0</v>
      </c>
      <c r="I52" s="13"/>
      <c r="J52" s="1" t="s">
        <v>124</v>
      </c>
      <c r="K52" s="1" t="s">
        <v>160</v>
      </c>
      <c r="L52" s="1" t="s">
        <v>460</v>
      </c>
      <c r="M52" s="1" t="s">
        <v>131</v>
      </c>
      <c r="N52" s="13"/>
      <c r="O52" s="1" t="s">
        <v>3532</v>
      </c>
      <c r="P52" s="4"/>
      <c r="Q52" s="1" t="s">
        <v>137</v>
      </c>
      <c r="R52" s="1" t="s">
        <v>137</v>
      </c>
      <c r="S52" s="1" t="s">
        <v>47</v>
      </c>
      <c r="T52" s="1" t="s">
        <v>3791</v>
      </c>
      <c r="U52" s="1" t="s">
        <v>1577</v>
      </c>
      <c r="V52" s="1" t="s">
        <v>1995</v>
      </c>
      <c r="W52" s="3">
        <v>46300.0</v>
      </c>
      <c r="X52" s="13"/>
    </row>
    <row r="53">
      <c r="A53" s="1" t="s">
        <v>2315</v>
      </c>
      <c r="B53" s="1" t="s">
        <v>1256</v>
      </c>
      <c r="C53" s="1" t="s">
        <v>1256</v>
      </c>
      <c r="D53" s="1" t="s">
        <v>146</v>
      </c>
      <c r="E53" s="1" t="s">
        <v>3786</v>
      </c>
      <c r="F53" s="1" t="s">
        <v>3794</v>
      </c>
      <c r="G53" s="3">
        <v>46129.0</v>
      </c>
      <c r="H53" s="3">
        <v>46300.0</v>
      </c>
      <c r="I53" s="13"/>
      <c r="J53" s="1" t="s">
        <v>124</v>
      </c>
      <c r="K53" s="1" t="s">
        <v>160</v>
      </c>
      <c r="L53" s="1" t="s">
        <v>460</v>
      </c>
      <c r="M53" s="1" t="s">
        <v>131</v>
      </c>
      <c r="N53" s="13"/>
      <c r="O53" s="1" t="s">
        <v>3797</v>
      </c>
      <c r="P53" s="4"/>
      <c r="Q53" s="1" t="s">
        <v>137</v>
      </c>
      <c r="R53" s="1" t="s">
        <v>137</v>
      </c>
      <c r="S53" s="1" t="s">
        <v>47</v>
      </c>
      <c r="T53" s="1" t="s">
        <v>3791</v>
      </c>
      <c r="U53" s="1" t="s">
        <v>1577</v>
      </c>
      <c r="V53" s="1" t="s">
        <v>1991</v>
      </c>
      <c r="W53" s="3">
        <v>46300.0</v>
      </c>
      <c r="X53" s="13"/>
    </row>
    <row r="54">
      <c r="A54" s="1" t="s">
        <v>2313</v>
      </c>
      <c r="B54" s="1" t="s">
        <v>1256</v>
      </c>
      <c r="C54" s="1" t="s">
        <v>1256</v>
      </c>
      <c r="D54" s="1" t="s">
        <v>146</v>
      </c>
      <c r="E54" s="1" t="s">
        <v>3786</v>
      </c>
      <c r="F54" s="1" t="s">
        <v>3800</v>
      </c>
      <c r="G54" s="3">
        <v>46129.0</v>
      </c>
      <c r="H54" s="3">
        <v>46300.0</v>
      </c>
      <c r="I54" s="13"/>
      <c r="J54" s="1" t="s">
        <v>124</v>
      </c>
      <c r="K54" s="1" t="s">
        <v>160</v>
      </c>
      <c r="L54" s="1" t="s">
        <v>460</v>
      </c>
      <c r="M54" s="1" t="s">
        <v>131</v>
      </c>
      <c r="N54" s="13"/>
      <c r="O54" s="1" t="s">
        <v>3532</v>
      </c>
      <c r="P54" s="4"/>
      <c r="Q54" s="1" t="s">
        <v>137</v>
      </c>
      <c r="R54" s="1" t="s">
        <v>137</v>
      </c>
      <c r="S54" s="1" t="s">
        <v>47</v>
      </c>
      <c r="T54" s="1" t="s">
        <v>3791</v>
      </c>
      <c r="U54" s="1" t="s">
        <v>1577</v>
      </c>
      <c r="V54" s="1" t="s">
        <v>2002</v>
      </c>
      <c r="W54" s="3">
        <v>46300.0</v>
      </c>
      <c r="X54" s="13"/>
    </row>
    <row r="55">
      <c r="A55" s="1" t="s">
        <v>2317</v>
      </c>
      <c r="B55" s="1" t="s">
        <v>583</v>
      </c>
      <c r="C55" s="1" t="s">
        <v>583</v>
      </c>
      <c r="D55" s="1" t="s">
        <v>146</v>
      </c>
      <c r="E55" s="1" t="s">
        <v>3806</v>
      </c>
      <c r="F55" s="1" t="s">
        <v>3807</v>
      </c>
      <c r="G55" s="3">
        <v>46129.0</v>
      </c>
      <c r="I55" s="4"/>
      <c r="J55" s="1" t="s">
        <v>124</v>
      </c>
      <c r="K55" s="1" t="s">
        <v>160</v>
      </c>
      <c r="L55" s="1" t="s">
        <v>162</v>
      </c>
      <c r="M55" s="1" t="s">
        <v>131</v>
      </c>
      <c r="N55" s="13"/>
      <c r="O55" s="1" t="s">
        <v>3809</v>
      </c>
      <c r="P55" s="4"/>
      <c r="Q55" s="1" t="s">
        <v>137</v>
      </c>
      <c r="R55" s="1" t="s">
        <v>137</v>
      </c>
      <c r="S55" s="1" t="s">
        <v>47</v>
      </c>
      <c r="T55" s="1" t="s">
        <v>589</v>
      </c>
      <c r="U55" s="1" t="s">
        <v>1577</v>
      </c>
      <c r="V55" s="1" t="s">
        <v>1579</v>
      </c>
      <c r="W55" s="3">
        <v>46321.0</v>
      </c>
    </row>
    <row r="56">
      <c r="A56" s="1" t="s">
        <v>2318</v>
      </c>
      <c r="B56" s="1" t="s">
        <v>790</v>
      </c>
      <c r="C56" s="1" t="s">
        <v>790</v>
      </c>
      <c r="D56" s="1" t="s">
        <v>146</v>
      </c>
      <c r="E56" s="1" t="s">
        <v>3812</v>
      </c>
      <c r="F56" s="1" t="s">
        <v>3813</v>
      </c>
      <c r="G56" s="3">
        <v>46174.0</v>
      </c>
      <c r="H56" s="13"/>
      <c r="I56" s="13"/>
      <c r="J56" s="1" t="s">
        <v>124</v>
      </c>
      <c r="K56" s="1" t="s">
        <v>160</v>
      </c>
      <c r="L56" s="1" t="s">
        <v>162</v>
      </c>
      <c r="M56" s="1" t="s">
        <v>131</v>
      </c>
      <c r="N56" s="13"/>
      <c r="O56" s="1" t="s">
        <v>3635</v>
      </c>
      <c r="P56" s="4"/>
      <c r="Q56" s="1" t="s">
        <v>137</v>
      </c>
      <c r="R56" s="1" t="s">
        <v>137</v>
      </c>
      <c r="S56" s="1" t="s">
        <v>47</v>
      </c>
      <c r="T56" s="1" t="s">
        <v>3818</v>
      </c>
      <c r="U56" s="1" t="s">
        <v>1577</v>
      </c>
      <c r="V56" s="1" t="s">
        <v>1579</v>
      </c>
      <c r="W56" s="3">
        <v>46366.0</v>
      </c>
      <c r="X56" s="13"/>
    </row>
    <row r="57">
      <c r="A57" s="1" t="s">
        <v>2319</v>
      </c>
      <c r="B57" s="1" t="s">
        <v>827</v>
      </c>
      <c r="C57" s="1" t="s">
        <v>827</v>
      </c>
      <c r="D57" s="1" t="s">
        <v>828</v>
      </c>
      <c r="E57" s="1" t="s">
        <v>3819</v>
      </c>
      <c r="F57" s="1" t="s">
        <v>3820</v>
      </c>
      <c r="G57" s="3">
        <v>46129.0</v>
      </c>
      <c r="H57" s="3">
        <v>46297.0</v>
      </c>
      <c r="I57" s="13"/>
      <c r="J57" s="1" t="s">
        <v>124</v>
      </c>
      <c r="K57" s="1" t="s">
        <v>160</v>
      </c>
      <c r="L57" s="1" t="s">
        <v>162</v>
      </c>
      <c r="M57" s="1" t="s">
        <v>131</v>
      </c>
      <c r="N57" s="13"/>
      <c r="O57" s="1" t="s">
        <v>3824</v>
      </c>
      <c r="P57" s="4"/>
      <c r="Q57" s="1" t="s">
        <v>665</v>
      </c>
      <c r="R57" s="1" t="s">
        <v>665</v>
      </c>
      <c r="S57" s="1" t="s">
        <v>666</v>
      </c>
      <c r="T57" s="1" t="s">
        <v>3825</v>
      </c>
      <c r="U57" s="1" t="s">
        <v>1577</v>
      </c>
      <c r="V57" s="1" t="s">
        <v>1579</v>
      </c>
      <c r="W57" s="3">
        <v>46297.0</v>
      </c>
      <c r="X57" s="13"/>
    </row>
    <row r="58">
      <c r="A58" s="1" t="s">
        <v>2320</v>
      </c>
      <c r="B58" s="1" t="s">
        <v>827</v>
      </c>
      <c r="C58" s="1" t="s">
        <v>827</v>
      </c>
      <c r="D58" s="1" t="s">
        <v>828</v>
      </c>
      <c r="E58" s="1" t="s">
        <v>3819</v>
      </c>
      <c r="F58" s="1" t="s">
        <v>3826</v>
      </c>
      <c r="G58" s="3">
        <v>46129.0</v>
      </c>
      <c r="H58" s="3">
        <v>46297.0</v>
      </c>
      <c r="I58" s="13"/>
      <c r="J58" s="1" t="s">
        <v>124</v>
      </c>
      <c r="K58" s="1" t="s">
        <v>160</v>
      </c>
      <c r="L58" s="1" t="s">
        <v>162</v>
      </c>
      <c r="M58" s="1" t="s">
        <v>131</v>
      </c>
      <c r="N58" s="13"/>
      <c r="O58" s="1" t="s">
        <v>3777</v>
      </c>
      <c r="P58" s="4"/>
      <c r="Q58" s="1" t="s">
        <v>665</v>
      </c>
      <c r="R58" s="1" t="s">
        <v>665</v>
      </c>
      <c r="S58" s="1" t="s">
        <v>666</v>
      </c>
      <c r="T58" s="1" t="s">
        <v>3825</v>
      </c>
      <c r="U58" s="1" t="s">
        <v>1577</v>
      </c>
      <c r="V58" s="1" t="s">
        <v>2000</v>
      </c>
      <c r="W58" s="3">
        <v>46297.0</v>
      </c>
      <c r="X58" s="13"/>
    </row>
    <row r="59">
      <c r="A59" s="1" t="s">
        <v>2323</v>
      </c>
      <c r="B59" s="1" t="s">
        <v>2325</v>
      </c>
      <c r="C59" s="1" t="s">
        <v>2325</v>
      </c>
      <c r="D59" s="1" t="s">
        <v>116</v>
      </c>
      <c r="E59" s="1" t="s">
        <v>3831</v>
      </c>
      <c r="F59" s="1" t="s">
        <v>3833</v>
      </c>
      <c r="G59" s="3">
        <v>46129.0</v>
      </c>
      <c r="H59" s="13"/>
      <c r="I59" s="13"/>
      <c r="J59" s="1" t="s">
        <v>124</v>
      </c>
      <c r="K59" s="1" t="s">
        <v>98</v>
      </c>
      <c r="L59" s="1" t="s">
        <v>162</v>
      </c>
      <c r="M59" s="1" t="s">
        <v>131</v>
      </c>
      <c r="N59" s="13"/>
      <c r="O59" s="1" t="s">
        <v>3836</v>
      </c>
      <c r="P59" s="4"/>
      <c r="Q59" s="1" t="s">
        <v>137</v>
      </c>
      <c r="R59" s="1" t="s">
        <v>137</v>
      </c>
      <c r="S59" s="1" t="s">
        <v>47</v>
      </c>
      <c r="T59" s="1" t="s">
        <v>3837</v>
      </c>
      <c r="U59" s="1" t="s">
        <v>1577</v>
      </c>
      <c r="V59" s="1" t="s">
        <v>1579</v>
      </c>
      <c r="W59" s="3">
        <v>46209.0</v>
      </c>
      <c r="X59" s="13"/>
    </row>
    <row r="60">
      <c r="A60" s="1" t="s">
        <v>2326</v>
      </c>
      <c r="B60" s="1" t="s">
        <v>2327</v>
      </c>
      <c r="C60" s="1" t="s">
        <v>2327</v>
      </c>
      <c r="D60" s="1" t="s">
        <v>116</v>
      </c>
      <c r="E60" s="1" t="s">
        <v>3839</v>
      </c>
      <c r="F60" s="1" t="s">
        <v>3841</v>
      </c>
      <c r="G60" s="3">
        <v>46167.0</v>
      </c>
      <c r="H60" s="13"/>
      <c r="I60" s="13"/>
      <c r="J60" s="1" t="s">
        <v>124</v>
      </c>
      <c r="K60" s="1" t="s">
        <v>71</v>
      </c>
      <c r="L60" s="1" t="s">
        <v>335</v>
      </c>
      <c r="M60" s="1" t="s">
        <v>131</v>
      </c>
      <c r="N60" s="13"/>
      <c r="O60" s="1" t="s">
        <v>3842</v>
      </c>
      <c r="P60" s="4"/>
      <c r="Q60" s="1" t="s">
        <v>137</v>
      </c>
      <c r="R60" s="1" t="s">
        <v>137</v>
      </c>
      <c r="S60" s="1" t="s">
        <v>47</v>
      </c>
      <c r="T60" s="1" t="s">
        <v>3845</v>
      </c>
      <c r="U60" s="1" t="s">
        <v>1577</v>
      </c>
      <c r="V60" s="1" t="s">
        <v>1579</v>
      </c>
      <c r="W60" s="3">
        <v>46335.0</v>
      </c>
      <c r="X60" s="13"/>
    </row>
    <row r="61">
      <c r="A61" s="1" t="s">
        <v>3847</v>
      </c>
      <c r="B61" s="1" t="s">
        <v>1021</v>
      </c>
      <c r="C61" s="1" t="s">
        <v>1021</v>
      </c>
      <c r="D61" s="1" t="s">
        <v>146</v>
      </c>
      <c r="E61" s="1" t="s">
        <v>3848</v>
      </c>
      <c r="F61" s="1" t="s">
        <v>3849</v>
      </c>
      <c r="G61" s="3">
        <v>46129.0</v>
      </c>
      <c r="H61" s="3">
        <v>46365.0</v>
      </c>
      <c r="I61" s="13"/>
      <c r="J61" s="1" t="s">
        <v>124</v>
      </c>
      <c r="K61" s="1" t="s">
        <v>160</v>
      </c>
      <c r="L61" s="1" t="s">
        <v>363</v>
      </c>
      <c r="M61" s="1" t="s">
        <v>131</v>
      </c>
      <c r="N61" s="13"/>
      <c r="O61" s="1" t="s">
        <v>3750</v>
      </c>
      <c r="P61" s="4"/>
      <c r="Q61" s="1" t="s">
        <v>137</v>
      </c>
      <c r="R61" s="1" t="s">
        <v>3855</v>
      </c>
      <c r="S61" s="1" t="s">
        <v>3856</v>
      </c>
      <c r="T61" s="1" t="s">
        <v>3857</v>
      </c>
      <c r="U61" s="1" t="s">
        <v>1577</v>
      </c>
      <c r="V61" s="1" t="s">
        <v>3858</v>
      </c>
      <c r="W61" s="3">
        <v>46365.0</v>
      </c>
      <c r="X61" s="13"/>
    </row>
    <row r="62">
      <c r="A62" s="1" t="s">
        <v>3860</v>
      </c>
      <c r="B62" s="1" t="s">
        <v>1021</v>
      </c>
      <c r="C62" s="1" t="s">
        <v>1021</v>
      </c>
      <c r="D62" s="1" t="s">
        <v>146</v>
      </c>
      <c r="E62" s="1" t="s">
        <v>3848</v>
      </c>
      <c r="F62" s="1" t="s">
        <v>3862</v>
      </c>
      <c r="G62" s="3">
        <v>46129.0</v>
      </c>
      <c r="H62" s="3">
        <v>46365.0</v>
      </c>
      <c r="I62" s="4"/>
      <c r="J62" s="1" t="s">
        <v>124</v>
      </c>
      <c r="K62" s="1" t="s">
        <v>160</v>
      </c>
      <c r="L62" s="1" t="s">
        <v>363</v>
      </c>
      <c r="M62" s="1" t="s">
        <v>131</v>
      </c>
      <c r="N62" s="4"/>
      <c r="O62" s="1" t="s">
        <v>3863</v>
      </c>
      <c r="P62" s="4"/>
      <c r="Q62" s="1" t="s">
        <v>137</v>
      </c>
      <c r="R62" s="1" t="s">
        <v>3855</v>
      </c>
      <c r="S62" s="1" t="s">
        <v>3856</v>
      </c>
      <c r="T62" s="1" t="s">
        <v>3857</v>
      </c>
      <c r="U62" s="1" t="s">
        <v>1577</v>
      </c>
      <c r="V62" s="1" t="s">
        <v>3865</v>
      </c>
      <c r="W62" s="3">
        <v>46365.0</v>
      </c>
    </row>
    <row r="63">
      <c r="A63" s="1" t="s">
        <v>2328</v>
      </c>
      <c r="B63" s="1" t="s">
        <v>1473</v>
      </c>
      <c r="C63" s="1" t="s">
        <v>1473</v>
      </c>
      <c r="D63" s="1" t="s">
        <v>146</v>
      </c>
      <c r="E63" s="1" t="s">
        <v>3868</v>
      </c>
      <c r="F63" s="1" t="s">
        <v>3869</v>
      </c>
      <c r="G63" s="3">
        <v>46129.0</v>
      </c>
      <c r="H63" s="13"/>
      <c r="I63" s="13"/>
      <c r="J63" s="1" t="s">
        <v>124</v>
      </c>
      <c r="K63" s="1" t="s">
        <v>160</v>
      </c>
      <c r="L63" s="1" t="s">
        <v>162</v>
      </c>
      <c r="M63" s="1" t="s">
        <v>131</v>
      </c>
      <c r="N63" s="13"/>
      <c r="O63" s="1"/>
      <c r="P63" s="4"/>
      <c r="Q63" s="1" t="s">
        <v>137</v>
      </c>
      <c r="R63" s="1" t="s">
        <v>137</v>
      </c>
      <c r="S63" s="1" t="s">
        <v>47</v>
      </c>
      <c r="T63" s="1" t="s">
        <v>3872</v>
      </c>
      <c r="U63" s="1" t="s">
        <v>1577</v>
      </c>
      <c r="V63" s="1" t="s">
        <v>1579</v>
      </c>
      <c r="W63" s="3">
        <v>46353.0</v>
      </c>
      <c r="X63" s="13"/>
    </row>
    <row r="64">
      <c r="A64" s="1" t="s">
        <v>2329</v>
      </c>
      <c r="B64" s="1" t="s">
        <v>1582</v>
      </c>
      <c r="C64" s="1" t="s">
        <v>1582</v>
      </c>
      <c r="D64" s="1" t="s">
        <v>146</v>
      </c>
      <c r="E64" s="1" t="s">
        <v>3875</v>
      </c>
      <c r="F64" s="1" t="s">
        <v>3876</v>
      </c>
      <c r="G64" s="3">
        <v>46153.0</v>
      </c>
      <c r="H64" s="3">
        <v>46339.0</v>
      </c>
      <c r="I64" s="13"/>
      <c r="J64" s="1" t="s">
        <v>124</v>
      </c>
      <c r="K64" s="1" t="s">
        <v>160</v>
      </c>
      <c r="L64" s="1" t="s">
        <v>460</v>
      </c>
      <c r="M64" s="1" t="s">
        <v>131</v>
      </c>
      <c r="N64" s="13"/>
      <c r="O64" s="1" t="s">
        <v>3738</v>
      </c>
      <c r="P64" s="4"/>
      <c r="Q64" s="1" t="s">
        <v>137</v>
      </c>
      <c r="R64" s="1" t="s">
        <v>137</v>
      </c>
      <c r="S64" s="1" t="s">
        <v>47</v>
      </c>
      <c r="T64" s="1" t="s">
        <v>3879</v>
      </c>
      <c r="U64" s="1" t="s">
        <v>1577</v>
      </c>
      <c r="V64" s="1" t="s">
        <v>1579</v>
      </c>
      <c r="W64" s="3">
        <v>46339.0</v>
      </c>
      <c r="X64" s="13"/>
    </row>
    <row r="65">
      <c r="A65" s="1" t="s">
        <v>2332</v>
      </c>
      <c r="B65" s="1" t="s">
        <v>1550</v>
      </c>
      <c r="C65" s="1" t="s">
        <v>1550</v>
      </c>
      <c r="D65" s="1" t="s">
        <v>146</v>
      </c>
      <c r="E65" s="1" t="s">
        <v>3510</v>
      </c>
      <c r="F65" s="1" t="s">
        <v>3882</v>
      </c>
      <c r="G65" s="3">
        <v>46129.0</v>
      </c>
      <c r="H65" s="3">
        <v>46248.0</v>
      </c>
      <c r="I65" s="3">
        <v>46248.0</v>
      </c>
      <c r="J65" s="1" t="s">
        <v>215</v>
      </c>
      <c r="K65" s="1" t="s">
        <v>160</v>
      </c>
      <c r="L65" s="1" t="s">
        <v>216</v>
      </c>
      <c r="M65" s="1" t="s">
        <v>131</v>
      </c>
      <c r="N65" s="3">
        <v>46276.0</v>
      </c>
      <c r="O65" s="1" t="s">
        <v>3513</v>
      </c>
      <c r="P65" s="4"/>
      <c r="Q65" s="1" t="s">
        <v>137</v>
      </c>
      <c r="R65" s="1" t="s">
        <v>137</v>
      </c>
      <c r="S65" s="1" t="s">
        <v>47</v>
      </c>
      <c r="T65" s="1" t="s">
        <v>3888</v>
      </c>
      <c r="U65" s="1" t="s">
        <v>1577</v>
      </c>
      <c r="V65" s="1" t="s">
        <v>1579</v>
      </c>
      <c r="W65" s="3">
        <v>46248.0</v>
      </c>
      <c r="X65" s="3">
        <v>46248.0</v>
      </c>
    </row>
    <row r="66">
      <c r="A66" s="1" t="s">
        <v>2333</v>
      </c>
      <c r="B66" s="1" t="s">
        <v>2334</v>
      </c>
      <c r="C66" s="1" t="s">
        <v>2334</v>
      </c>
      <c r="D66" s="1" t="s">
        <v>116</v>
      </c>
      <c r="E66" s="1" t="s">
        <v>3890</v>
      </c>
      <c r="F66" s="1" t="s">
        <v>3891</v>
      </c>
      <c r="G66" s="3">
        <v>46129.0</v>
      </c>
      <c r="H66" s="3">
        <v>46185.0</v>
      </c>
      <c r="I66" s="3">
        <v>46185.0</v>
      </c>
      <c r="J66" s="1" t="s">
        <v>215</v>
      </c>
      <c r="K66" s="1" t="s">
        <v>71</v>
      </c>
      <c r="L66" s="1" t="s">
        <v>216</v>
      </c>
      <c r="M66" s="1" t="s">
        <v>131</v>
      </c>
      <c r="N66" s="3">
        <v>46185.0</v>
      </c>
      <c r="P66" s="4"/>
      <c r="Q66" s="1" t="s">
        <v>137</v>
      </c>
      <c r="R66" s="1" t="s">
        <v>137</v>
      </c>
      <c r="S66" s="1" t="s">
        <v>47</v>
      </c>
      <c r="T66" s="1" t="s">
        <v>3894</v>
      </c>
      <c r="U66" s="1" t="s">
        <v>1577</v>
      </c>
      <c r="V66" s="1" t="s">
        <v>1579</v>
      </c>
      <c r="W66" s="3">
        <v>46183.0</v>
      </c>
      <c r="X66" s="3">
        <v>46185.0</v>
      </c>
    </row>
    <row r="67">
      <c r="A67" s="1" t="s">
        <v>2335</v>
      </c>
      <c r="B67" s="1" t="s">
        <v>2337</v>
      </c>
      <c r="C67" s="1" t="s">
        <v>2337</v>
      </c>
      <c r="D67" s="1" t="s">
        <v>116</v>
      </c>
      <c r="E67" s="1" t="s">
        <v>3896</v>
      </c>
      <c r="F67" s="1" t="s">
        <v>3897</v>
      </c>
      <c r="G67" s="3">
        <v>46129.0</v>
      </c>
      <c r="H67" s="3">
        <v>46253.0</v>
      </c>
      <c r="I67" s="13"/>
      <c r="J67" s="1" t="s">
        <v>124</v>
      </c>
      <c r="K67" s="1" t="s">
        <v>98</v>
      </c>
      <c r="L67" s="1" t="s">
        <v>253</v>
      </c>
      <c r="M67" s="1" t="s">
        <v>131</v>
      </c>
      <c r="N67" s="13"/>
      <c r="O67" s="1" t="s">
        <v>3899</v>
      </c>
      <c r="Q67" s="1" t="s">
        <v>137</v>
      </c>
      <c r="R67" s="1" t="s">
        <v>137</v>
      </c>
      <c r="S67" s="1" t="s">
        <v>47</v>
      </c>
      <c r="T67" s="1" t="s">
        <v>3900</v>
      </c>
      <c r="U67" s="1" t="s">
        <v>1577</v>
      </c>
      <c r="V67" s="1" t="s">
        <v>1579</v>
      </c>
      <c r="W67" s="3">
        <v>46253.0</v>
      </c>
      <c r="X67" s="13"/>
    </row>
    <row r="68">
      <c r="A68" s="1" t="s">
        <v>2338</v>
      </c>
      <c r="B68" s="1" t="s">
        <v>2339</v>
      </c>
      <c r="C68" s="1" t="s">
        <v>2339</v>
      </c>
      <c r="D68" s="1" t="s">
        <v>146</v>
      </c>
      <c r="E68" s="1" t="s">
        <v>3905</v>
      </c>
      <c r="F68" s="1" t="s">
        <v>3906</v>
      </c>
      <c r="G68" s="3">
        <v>46129.0</v>
      </c>
      <c r="H68" s="13"/>
      <c r="I68" s="13"/>
      <c r="J68" s="1" t="s">
        <v>124</v>
      </c>
      <c r="K68" s="1" t="s">
        <v>160</v>
      </c>
      <c r="L68" s="1" t="s">
        <v>162</v>
      </c>
      <c r="M68" s="1" t="s">
        <v>131</v>
      </c>
      <c r="N68" s="13"/>
      <c r="O68" s="1" t="s">
        <v>3908</v>
      </c>
      <c r="P68" s="4"/>
      <c r="Q68" s="1" t="s">
        <v>137</v>
      </c>
      <c r="R68" s="1" t="s">
        <v>137</v>
      </c>
      <c r="S68" s="1" t="s">
        <v>47</v>
      </c>
      <c r="T68" s="1" t="s">
        <v>3910</v>
      </c>
      <c r="U68" s="1" t="s">
        <v>1577</v>
      </c>
      <c r="V68" s="1" t="s">
        <v>2000</v>
      </c>
      <c r="W68" s="3">
        <v>46315.0</v>
      </c>
      <c r="X68" s="13"/>
    </row>
    <row r="69">
      <c r="A69" s="1" t="s">
        <v>3912</v>
      </c>
      <c r="B69" s="1" t="s">
        <v>3382</v>
      </c>
      <c r="C69" s="1" t="s">
        <v>3382</v>
      </c>
      <c r="D69" s="1" t="s">
        <v>116</v>
      </c>
      <c r="E69" s="1" t="s">
        <v>3916</v>
      </c>
      <c r="F69" s="1" t="s">
        <v>3917</v>
      </c>
      <c r="G69" s="3">
        <v>46129.0</v>
      </c>
      <c r="H69" s="3">
        <v>46365.0</v>
      </c>
      <c r="I69" s="13"/>
      <c r="J69" s="1" t="s">
        <v>124</v>
      </c>
      <c r="K69" s="1" t="s">
        <v>71</v>
      </c>
      <c r="L69" s="1" t="s">
        <v>335</v>
      </c>
      <c r="M69" s="1" t="s">
        <v>131</v>
      </c>
      <c r="N69" s="13"/>
      <c r="O69" s="1" t="s">
        <v>3921</v>
      </c>
      <c r="P69" s="4"/>
      <c r="Q69" s="1" t="s">
        <v>137</v>
      </c>
      <c r="R69" s="1" t="s">
        <v>137</v>
      </c>
      <c r="S69" s="1" t="s">
        <v>47</v>
      </c>
      <c r="T69" s="1" t="s">
        <v>3923</v>
      </c>
      <c r="U69" s="1" t="s">
        <v>1577</v>
      </c>
      <c r="V69" s="1" t="s">
        <v>2002</v>
      </c>
      <c r="W69" s="3">
        <v>46365.0</v>
      </c>
      <c r="X69" s="13"/>
    </row>
    <row r="70">
      <c r="A70" s="1" t="s">
        <v>2340</v>
      </c>
      <c r="B70" s="1" t="s">
        <v>2341</v>
      </c>
      <c r="C70" s="1" t="s">
        <v>2341</v>
      </c>
      <c r="D70" s="1" t="s">
        <v>116</v>
      </c>
      <c r="E70" s="1" t="s">
        <v>3927</v>
      </c>
      <c r="F70" s="1" t="s">
        <v>3928</v>
      </c>
      <c r="G70" s="3">
        <v>46129.0</v>
      </c>
      <c r="H70" s="13"/>
      <c r="I70" s="13"/>
      <c r="J70" s="1" t="s">
        <v>124</v>
      </c>
      <c r="K70" s="1" t="s">
        <v>71</v>
      </c>
      <c r="L70" s="1" t="s">
        <v>162</v>
      </c>
      <c r="M70" s="1" t="s">
        <v>131</v>
      </c>
      <c r="N70" s="13"/>
      <c r="O70" s="1" t="s">
        <v>3930</v>
      </c>
      <c r="P70" s="4"/>
      <c r="Q70" s="1" t="s">
        <v>137</v>
      </c>
      <c r="R70" s="1" t="s">
        <v>137</v>
      </c>
      <c r="S70" s="1" t="s">
        <v>47</v>
      </c>
      <c r="T70" s="1" t="s">
        <v>3633</v>
      </c>
      <c r="U70" s="1" t="s">
        <v>1577</v>
      </c>
      <c r="V70" s="1" t="s">
        <v>1579</v>
      </c>
      <c r="W70" s="3">
        <v>46321.0</v>
      </c>
    </row>
    <row r="71">
      <c r="A71" s="1" t="s">
        <v>3938</v>
      </c>
      <c r="B71" s="1" t="s">
        <v>2075</v>
      </c>
      <c r="C71" s="1" t="s">
        <v>2075</v>
      </c>
      <c r="D71" s="1" t="s">
        <v>146</v>
      </c>
      <c r="E71" s="1" t="s">
        <v>3940</v>
      </c>
      <c r="F71" s="1" t="s">
        <v>3942</v>
      </c>
      <c r="G71" s="3">
        <v>46259.0</v>
      </c>
      <c r="H71" s="3">
        <v>46436.0</v>
      </c>
      <c r="I71" s="13"/>
      <c r="J71" s="1" t="s">
        <v>124</v>
      </c>
      <c r="K71" s="1" t="s">
        <v>160</v>
      </c>
      <c r="L71" s="1" t="s">
        <v>300</v>
      </c>
      <c r="M71" s="1" t="s">
        <v>131</v>
      </c>
      <c r="N71" s="13"/>
      <c r="O71" s="1" t="s">
        <v>3947</v>
      </c>
      <c r="P71" s="4"/>
      <c r="Q71" s="1" t="s">
        <v>137</v>
      </c>
      <c r="R71" s="1" t="s">
        <v>137</v>
      </c>
      <c r="S71" s="1" t="s">
        <v>47</v>
      </c>
      <c r="T71" s="1" t="s">
        <v>3951</v>
      </c>
      <c r="U71" s="1" t="s">
        <v>1577</v>
      </c>
      <c r="V71" s="1" t="s">
        <v>3858</v>
      </c>
      <c r="W71" s="3">
        <v>46436.0</v>
      </c>
      <c r="X71" s="13"/>
    </row>
    <row r="72">
      <c r="A72" s="1" t="s">
        <v>3952</v>
      </c>
      <c r="B72" s="1" t="s">
        <v>2075</v>
      </c>
      <c r="C72" s="1" t="s">
        <v>2075</v>
      </c>
      <c r="D72" s="1" t="s">
        <v>146</v>
      </c>
      <c r="E72" s="1" t="s">
        <v>3940</v>
      </c>
      <c r="F72" s="1" t="s">
        <v>3955</v>
      </c>
      <c r="G72" s="3">
        <v>46259.0</v>
      </c>
      <c r="H72" s="3">
        <v>46436.0</v>
      </c>
      <c r="I72" s="13"/>
      <c r="J72" s="1" t="s">
        <v>124</v>
      </c>
      <c r="K72" s="1" t="s">
        <v>160</v>
      </c>
      <c r="L72" s="1" t="s">
        <v>300</v>
      </c>
      <c r="M72" s="1" t="s">
        <v>131</v>
      </c>
      <c r="N72" s="13"/>
      <c r="O72" s="1" t="s">
        <v>3959</v>
      </c>
      <c r="P72" s="4"/>
      <c r="Q72" s="1" t="s">
        <v>137</v>
      </c>
      <c r="R72" s="1" t="s">
        <v>137</v>
      </c>
      <c r="S72" s="1" t="s">
        <v>47</v>
      </c>
      <c r="T72" s="1" t="s">
        <v>3951</v>
      </c>
      <c r="U72" s="1" t="s">
        <v>1577</v>
      </c>
      <c r="V72" s="1" t="s">
        <v>3963</v>
      </c>
      <c r="W72" s="3">
        <v>46436.0</v>
      </c>
      <c r="X72" s="13"/>
    </row>
    <row r="73">
      <c r="A73" s="1" t="s">
        <v>2345</v>
      </c>
      <c r="B73" s="1" t="s">
        <v>2138</v>
      </c>
      <c r="C73" s="1" t="s">
        <v>2138</v>
      </c>
      <c r="D73" s="1" t="s">
        <v>146</v>
      </c>
      <c r="E73" s="1" t="s">
        <v>3965</v>
      </c>
      <c r="F73" s="1" t="s">
        <v>3966</v>
      </c>
      <c r="G73" s="3">
        <v>46129.0</v>
      </c>
      <c r="H73" s="13"/>
      <c r="I73" s="13"/>
      <c r="J73" s="1" t="s">
        <v>124</v>
      </c>
      <c r="K73" s="1" t="s">
        <v>160</v>
      </c>
      <c r="L73" s="1" t="s">
        <v>162</v>
      </c>
      <c r="M73" s="1" t="s">
        <v>131</v>
      </c>
      <c r="N73" s="13"/>
      <c r="O73" s="1" t="s">
        <v>3970</v>
      </c>
      <c r="P73" s="4"/>
      <c r="Q73" s="1" t="s">
        <v>137</v>
      </c>
      <c r="R73" s="1" t="s">
        <v>137</v>
      </c>
      <c r="S73" s="1" t="s">
        <v>47</v>
      </c>
      <c r="T73" s="1" t="s">
        <v>3975</v>
      </c>
      <c r="U73" s="1" t="s">
        <v>1577</v>
      </c>
      <c r="V73" s="1" t="s">
        <v>2000</v>
      </c>
      <c r="W73" s="3">
        <v>46265.0</v>
      </c>
      <c r="X73" s="13"/>
    </row>
    <row r="74">
      <c r="A74" s="1" t="s">
        <v>2348</v>
      </c>
      <c r="B74" s="1" t="s">
        <v>2138</v>
      </c>
      <c r="C74" s="1" t="s">
        <v>2138</v>
      </c>
      <c r="D74" s="1" t="s">
        <v>146</v>
      </c>
      <c r="E74" s="1" t="s">
        <v>3965</v>
      </c>
      <c r="F74" s="1" t="s">
        <v>3980</v>
      </c>
      <c r="G74" s="3">
        <v>46129.0</v>
      </c>
      <c r="H74" s="13"/>
      <c r="I74" s="13"/>
      <c r="J74" s="1" t="s">
        <v>124</v>
      </c>
      <c r="K74" s="1" t="s">
        <v>160</v>
      </c>
      <c r="L74" s="1" t="s">
        <v>162</v>
      </c>
      <c r="M74" s="1" t="s">
        <v>131</v>
      </c>
      <c r="N74" s="13"/>
      <c r="O74" s="1" t="s">
        <v>3983</v>
      </c>
      <c r="P74" s="4"/>
      <c r="Q74" s="1" t="s">
        <v>137</v>
      </c>
      <c r="R74" s="1" t="s">
        <v>137</v>
      </c>
      <c r="S74" s="1" t="s">
        <v>47</v>
      </c>
      <c r="T74" s="1" t="s">
        <v>3975</v>
      </c>
      <c r="U74" s="1" t="s">
        <v>1577</v>
      </c>
      <c r="V74" s="1" t="s">
        <v>2002</v>
      </c>
      <c r="W74" s="3">
        <v>46265.0</v>
      </c>
      <c r="X74" s="13"/>
    </row>
    <row r="75">
      <c r="A75" s="1" t="s">
        <v>2349</v>
      </c>
      <c r="B75" s="1" t="s">
        <v>2350</v>
      </c>
      <c r="C75" s="1" t="s">
        <v>2350</v>
      </c>
      <c r="D75" s="1" t="s">
        <v>116</v>
      </c>
      <c r="E75" s="1" t="s">
        <v>3987</v>
      </c>
      <c r="F75" s="1" t="s">
        <v>3990</v>
      </c>
      <c r="G75" s="3">
        <v>46129.0</v>
      </c>
      <c r="H75" s="13"/>
      <c r="I75" s="13"/>
      <c r="J75" s="1" t="s">
        <v>124</v>
      </c>
      <c r="K75" s="1" t="s">
        <v>71</v>
      </c>
      <c r="L75" s="1" t="s">
        <v>335</v>
      </c>
      <c r="M75" s="1" t="s">
        <v>131</v>
      </c>
      <c r="N75" s="13"/>
      <c r="O75" s="1" t="s">
        <v>3992</v>
      </c>
      <c r="P75" s="4"/>
      <c r="Q75" s="1" t="s">
        <v>137</v>
      </c>
      <c r="R75" s="1" t="s">
        <v>137</v>
      </c>
      <c r="S75" s="1" t="s">
        <v>47</v>
      </c>
      <c r="T75" s="1" t="s">
        <v>3996</v>
      </c>
      <c r="U75" s="1" t="s">
        <v>1577</v>
      </c>
      <c r="V75" s="1" t="s">
        <v>2000</v>
      </c>
      <c r="W75" s="3">
        <v>46373.0</v>
      </c>
      <c r="X75" s="13"/>
    </row>
    <row r="76">
      <c r="A76" s="1" t="s">
        <v>3997</v>
      </c>
      <c r="B76" s="1" t="s">
        <v>2350</v>
      </c>
      <c r="C76" s="1" t="s">
        <v>2350</v>
      </c>
      <c r="D76" s="1" t="s">
        <v>116</v>
      </c>
      <c r="E76" s="1" t="s">
        <v>3987</v>
      </c>
      <c r="F76" s="1" t="s">
        <v>3999</v>
      </c>
      <c r="G76" s="3">
        <v>46129.0</v>
      </c>
      <c r="H76" s="3"/>
      <c r="I76" s="13"/>
      <c r="J76" s="1" t="s">
        <v>124</v>
      </c>
      <c r="K76" s="1" t="s">
        <v>71</v>
      </c>
      <c r="L76" s="1" t="s">
        <v>335</v>
      </c>
      <c r="M76" s="1" t="s">
        <v>131</v>
      </c>
      <c r="N76" s="13"/>
      <c r="O76" s="1" t="s">
        <v>4001</v>
      </c>
      <c r="P76" s="4"/>
      <c r="Q76" s="1" t="s">
        <v>137</v>
      </c>
      <c r="R76" s="1" t="s">
        <v>137</v>
      </c>
      <c r="S76" s="1" t="s">
        <v>47</v>
      </c>
      <c r="T76" s="1" t="s">
        <v>3996</v>
      </c>
      <c r="U76" s="1" t="s">
        <v>1577</v>
      </c>
      <c r="V76" s="1" t="s">
        <v>2002</v>
      </c>
      <c r="W76" s="3">
        <v>46373.0</v>
      </c>
      <c r="X76" s="13"/>
    </row>
    <row r="77">
      <c r="A77" s="1" t="s">
        <v>2351</v>
      </c>
      <c r="B77" s="1" t="s">
        <v>1721</v>
      </c>
      <c r="C77" s="1" t="s">
        <v>1721</v>
      </c>
      <c r="D77" s="1" t="s">
        <v>146</v>
      </c>
      <c r="E77" s="1" t="s">
        <v>4006</v>
      </c>
      <c r="F77" s="1" t="s">
        <v>4007</v>
      </c>
      <c r="G77" s="3">
        <v>46129.0</v>
      </c>
      <c r="H77" s="3">
        <v>46293.0</v>
      </c>
      <c r="I77" s="13"/>
      <c r="J77" s="1" t="s">
        <v>124</v>
      </c>
      <c r="K77" s="1" t="s">
        <v>160</v>
      </c>
      <c r="L77" s="1" t="s">
        <v>460</v>
      </c>
      <c r="M77" s="1" t="s">
        <v>131</v>
      </c>
      <c r="N77" s="13"/>
      <c r="O77" s="1" t="s">
        <v>4011</v>
      </c>
      <c r="P77" s="4"/>
      <c r="Q77" s="1" t="s">
        <v>137</v>
      </c>
      <c r="R77" s="1" t="s">
        <v>137</v>
      </c>
      <c r="S77" s="1" t="s">
        <v>47</v>
      </c>
      <c r="T77" s="1" t="s">
        <v>4013</v>
      </c>
      <c r="U77" s="1" t="s">
        <v>1577</v>
      </c>
      <c r="V77" s="1" t="s">
        <v>1579</v>
      </c>
      <c r="W77" s="3">
        <v>46296.0</v>
      </c>
      <c r="X77" s="13"/>
    </row>
    <row r="78">
      <c r="A78" s="1" t="s">
        <v>2353</v>
      </c>
      <c r="B78" s="1" t="s">
        <v>1912</v>
      </c>
      <c r="C78" s="1" t="s">
        <v>1912</v>
      </c>
      <c r="D78" s="1" t="s">
        <v>146</v>
      </c>
      <c r="E78" s="1" t="s">
        <v>4017</v>
      </c>
      <c r="F78" s="1" t="s">
        <v>4018</v>
      </c>
      <c r="G78" s="3">
        <v>46129.0</v>
      </c>
      <c r="H78" s="3">
        <v>46349.0</v>
      </c>
      <c r="I78" s="13"/>
      <c r="J78" s="1" t="s">
        <v>124</v>
      </c>
      <c r="K78" s="1" t="s">
        <v>160</v>
      </c>
      <c r="L78" s="1" t="s">
        <v>162</v>
      </c>
      <c r="M78" s="1" t="s">
        <v>131</v>
      </c>
      <c r="N78" s="13"/>
      <c r="O78" s="1" t="s">
        <v>4022</v>
      </c>
      <c r="P78" s="4"/>
      <c r="Q78" s="1" t="s">
        <v>137</v>
      </c>
      <c r="R78" s="1" t="s">
        <v>137</v>
      </c>
      <c r="S78" s="1" t="s">
        <v>47</v>
      </c>
      <c r="T78" s="1" t="s">
        <v>1920</v>
      </c>
      <c r="U78" s="1" t="s">
        <v>1577</v>
      </c>
      <c r="V78" s="1" t="s">
        <v>1579</v>
      </c>
      <c r="W78" s="3">
        <v>46349.0</v>
      </c>
      <c r="X78" s="13"/>
    </row>
    <row r="79">
      <c r="A79" s="1" t="s">
        <v>4025</v>
      </c>
      <c r="B79" s="1" t="s">
        <v>3475</v>
      </c>
      <c r="C79" s="1" t="s">
        <v>3475</v>
      </c>
      <c r="D79" s="1" t="s">
        <v>116</v>
      </c>
      <c r="E79" s="1" t="s">
        <v>4026</v>
      </c>
      <c r="F79" s="1" t="s">
        <v>4027</v>
      </c>
      <c r="G79" s="3">
        <v>46129.0</v>
      </c>
      <c r="H79" s="13"/>
      <c r="I79" s="13"/>
      <c r="J79" s="1" t="s">
        <v>124</v>
      </c>
      <c r="K79" s="1" t="s">
        <v>71</v>
      </c>
      <c r="L79" s="1" t="s">
        <v>162</v>
      </c>
      <c r="M79" s="1" t="s">
        <v>131</v>
      </c>
      <c r="N79" s="13"/>
      <c r="O79" s="1" t="s">
        <v>4029</v>
      </c>
      <c r="P79" s="4"/>
      <c r="Q79" s="1" t="s">
        <v>137</v>
      </c>
      <c r="R79" s="1" t="s">
        <v>137</v>
      </c>
      <c r="S79" s="1" t="s">
        <v>47</v>
      </c>
      <c r="T79" s="4"/>
      <c r="U79" s="1" t="s">
        <v>1577</v>
      </c>
      <c r="V79" s="1" t="s">
        <v>3858</v>
      </c>
      <c r="W79" s="3">
        <v>46304.0</v>
      </c>
      <c r="X79" s="13"/>
    </row>
    <row r="80">
      <c r="A80" s="1" t="s">
        <v>4034</v>
      </c>
      <c r="B80" s="1" t="s">
        <v>3475</v>
      </c>
      <c r="C80" s="1" t="s">
        <v>3475</v>
      </c>
      <c r="D80" s="1" t="s">
        <v>116</v>
      </c>
      <c r="E80" s="1" t="s">
        <v>4026</v>
      </c>
      <c r="F80" s="1" t="s">
        <v>4035</v>
      </c>
      <c r="G80" s="3">
        <v>46129.0</v>
      </c>
      <c r="H80" s="13"/>
      <c r="I80" s="13"/>
      <c r="J80" s="1" t="s">
        <v>124</v>
      </c>
      <c r="K80" s="1" t="s">
        <v>71</v>
      </c>
      <c r="L80" s="1" t="s">
        <v>162</v>
      </c>
      <c r="M80" s="1" t="s">
        <v>131</v>
      </c>
      <c r="N80" s="13"/>
      <c r="O80" s="1" t="s">
        <v>4039</v>
      </c>
      <c r="P80" s="4"/>
      <c r="Q80" s="1" t="s">
        <v>137</v>
      </c>
      <c r="R80" s="1" t="s">
        <v>137</v>
      </c>
      <c r="S80" s="1" t="s">
        <v>47</v>
      </c>
      <c r="T80" s="4"/>
      <c r="U80" s="1" t="s">
        <v>1577</v>
      </c>
      <c r="V80" s="1" t="s">
        <v>2000</v>
      </c>
      <c r="W80" s="3">
        <v>46304.0</v>
      </c>
      <c r="X80" s="13"/>
    </row>
    <row r="81">
      <c r="A81" s="1" t="s">
        <v>4042</v>
      </c>
      <c r="B81" s="1" t="s">
        <v>3475</v>
      </c>
      <c r="C81" s="1" t="s">
        <v>3475</v>
      </c>
      <c r="D81" s="1" t="s">
        <v>116</v>
      </c>
      <c r="E81" s="1" t="s">
        <v>4026</v>
      </c>
      <c r="F81" s="1" t="s">
        <v>4043</v>
      </c>
      <c r="G81" s="3">
        <v>46129.0</v>
      </c>
      <c r="H81" s="13"/>
      <c r="I81" s="13"/>
      <c r="J81" s="1" t="s">
        <v>124</v>
      </c>
      <c r="K81" s="1" t="s">
        <v>71</v>
      </c>
      <c r="L81" s="1" t="s">
        <v>162</v>
      </c>
      <c r="M81" s="1" t="s">
        <v>131</v>
      </c>
      <c r="N81" s="13"/>
      <c r="O81" s="1" t="s">
        <v>4047</v>
      </c>
      <c r="Q81" s="1" t="s">
        <v>137</v>
      </c>
      <c r="R81" s="1" t="s">
        <v>137</v>
      </c>
      <c r="S81" s="1" t="s">
        <v>47</v>
      </c>
      <c r="T81" s="4"/>
      <c r="U81" s="1" t="s">
        <v>1577</v>
      </c>
      <c r="V81" s="1" t="s">
        <v>2002</v>
      </c>
      <c r="W81" s="3">
        <v>46304.0</v>
      </c>
      <c r="X81" s="13"/>
    </row>
    <row r="82">
      <c r="A82" s="1" t="s">
        <v>4048</v>
      </c>
      <c r="B82" s="1" t="s">
        <v>3475</v>
      </c>
      <c r="C82" s="1" t="s">
        <v>3475</v>
      </c>
      <c r="D82" s="1" t="s">
        <v>116</v>
      </c>
      <c r="E82" s="1" t="s">
        <v>4026</v>
      </c>
      <c r="F82" s="1" t="s">
        <v>4051</v>
      </c>
      <c r="G82" s="3">
        <v>46129.0</v>
      </c>
      <c r="H82" s="13"/>
      <c r="I82" s="13"/>
      <c r="J82" s="1" t="s">
        <v>124</v>
      </c>
      <c r="K82" s="1" t="s">
        <v>71</v>
      </c>
      <c r="L82" s="1" t="s">
        <v>162</v>
      </c>
      <c r="M82" s="1" t="s">
        <v>131</v>
      </c>
      <c r="N82" s="13"/>
      <c r="O82" s="1" t="s">
        <v>4039</v>
      </c>
      <c r="P82" s="4"/>
      <c r="Q82" s="1" t="s">
        <v>137</v>
      </c>
      <c r="R82" s="1" t="s">
        <v>137</v>
      </c>
      <c r="S82" s="1" t="s">
        <v>47</v>
      </c>
      <c r="T82" s="4"/>
      <c r="U82" s="1" t="s">
        <v>1577</v>
      </c>
      <c r="V82" s="1" t="s">
        <v>4054</v>
      </c>
      <c r="W82" s="3">
        <v>46304.0</v>
      </c>
      <c r="X82" s="13"/>
    </row>
    <row r="83">
      <c r="A83" s="1" t="s">
        <v>4056</v>
      </c>
      <c r="B83" s="1" t="s">
        <v>3475</v>
      </c>
      <c r="C83" s="1" t="s">
        <v>3475</v>
      </c>
      <c r="D83" s="1" t="s">
        <v>116</v>
      </c>
      <c r="E83" s="1" t="s">
        <v>4026</v>
      </c>
      <c r="F83" s="1" t="s">
        <v>4059</v>
      </c>
      <c r="G83" s="3">
        <v>46129.0</v>
      </c>
      <c r="H83" s="3"/>
      <c r="I83" s="13"/>
      <c r="J83" s="1" t="s">
        <v>124</v>
      </c>
      <c r="K83" s="1" t="s">
        <v>71</v>
      </c>
      <c r="L83" s="1" t="s">
        <v>162</v>
      </c>
      <c r="M83" s="1" t="s">
        <v>131</v>
      </c>
      <c r="N83" s="13"/>
      <c r="O83" s="1" t="s">
        <v>4039</v>
      </c>
      <c r="P83" s="4"/>
      <c r="Q83" s="1" t="s">
        <v>137</v>
      </c>
      <c r="R83" s="1" t="s">
        <v>137</v>
      </c>
      <c r="S83" s="1" t="s">
        <v>47</v>
      </c>
      <c r="T83" s="1"/>
      <c r="U83" s="1" t="s">
        <v>1577</v>
      </c>
      <c r="V83" s="1" t="s">
        <v>3865</v>
      </c>
      <c r="W83" s="3">
        <v>46304.0</v>
      </c>
      <c r="X83" s="13"/>
    </row>
    <row r="84">
      <c r="A84" s="1" t="s">
        <v>4062</v>
      </c>
      <c r="B84" s="1" t="s">
        <v>1980</v>
      </c>
      <c r="C84" s="1" t="s">
        <v>1980</v>
      </c>
      <c r="D84" s="1" t="s">
        <v>146</v>
      </c>
      <c r="E84" s="1" t="s">
        <v>4066</v>
      </c>
      <c r="F84" s="1" t="s">
        <v>4067</v>
      </c>
      <c r="G84" s="3">
        <v>46300.0</v>
      </c>
      <c r="H84" s="3">
        <v>46440.0</v>
      </c>
      <c r="I84" s="4"/>
      <c r="J84" s="1" t="s">
        <v>124</v>
      </c>
      <c r="K84" s="1" t="s">
        <v>160</v>
      </c>
      <c r="L84" s="1" t="s">
        <v>162</v>
      </c>
      <c r="M84" s="1" t="s">
        <v>131</v>
      </c>
      <c r="N84" s="13"/>
      <c r="O84" s="1" t="s">
        <v>4068</v>
      </c>
      <c r="P84" s="4"/>
      <c r="Q84" s="1" t="s">
        <v>137</v>
      </c>
      <c r="R84" s="1" t="s">
        <v>137</v>
      </c>
      <c r="S84" s="1" t="s">
        <v>47</v>
      </c>
      <c r="T84" s="1" t="s">
        <v>4070</v>
      </c>
      <c r="U84" s="1" t="s">
        <v>1577</v>
      </c>
      <c r="V84" s="1" t="s">
        <v>3858</v>
      </c>
      <c r="W84" s="3">
        <v>46468.0</v>
      </c>
    </row>
    <row r="85">
      <c r="A85" s="1" t="s">
        <v>2363</v>
      </c>
      <c r="B85" s="1" t="s">
        <v>2035</v>
      </c>
      <c r="C85" s="1" t="s">
        <v>2035</v>
      </c>
      <c r="D85" s="1" t="s">
        <v>146</v>
      </c>
      <c r="E85" s="1" t="s">
        <v>4075</v>
      </c>
      <c r="F85" s="1" t="s">
        <v>4076</v>
      </c>
      <c r="G85" s="3">
        <v>46174.0</v>
      </c>
      <c r="H85" s="3">
        <v>46342.0</v>
      </c>
      <c r="I85" s="13"/>
      <c r="J85" s="1" t="s">
        <v>124</v>
      </c>
      <c r="K85" s="1" t="s">
        <v>160</v>
      </c>
      <c r="L85" s="1" t="s">
        <v>460</v>
      </c>
      <c r="M85" s="1" t="s">
        <v>131</v>
      </c>
      <c r="N85" s="13"/>
      <c r="O85" s="1"/>
      <c r="P85" s="4"/>
      <c r="Q85" s="1" t="s">
        <v>137</v>
      </c>
      <c r="R85" s="1" t="s">
        <v>2042</v>
      </c>
      <c r="S85" s="1" t="s">
        <v>2043</v>
      </c>
      <c r="T85" s="1" t="s">
        <v>4078</v>
      </c>
      <c r="U85" s="1" t="s">
        <v>1577</v>
      </c>
      <c r="V85" s="1" t="s">
        <v>1579</v>
      </c>
      <c r="W85" s="3">
        <v>46346.0</v>
      </c>
      <c r="X85" s="13"/>
    </row>
    <row r="86">
      <c r="A86" s="1" t="s">
        <v>4082</v>
      </c>
      <c r="B86" s="1" t="s">
        <v>3555</v>
      </c>
      <c r="C86" s="1" t="s">
        <v>3555</v>
      </c>
      <c r="D86" s="1" t="s">
        <v>116</v>
      </c>
      <c r="E86" s="1" t="s">
        <v>4083</v>
      </c>
      <c r="F86" s="1" t="s">
        <v>4084</v>
      </c>
      <c r="G86" s="3">
        <v>46129.0</v>
      </c>
      <c r="H86" s="3">
        <v>46218.0</v>
      </c>
      <c r="I86" s="3">
        <v>46218.0</v>
      </c>
      <c r="J86" s="1" t="s">
        <v>215</v>
      </c>
      <c r="K86" s="1" t="s">
        <v>71</v>
      </c>
      <c r="L86" s="1" t="s">
        <v>253</v>
      </c>
      <c r="M86" s="1" t="s">
        <v>131</v>
      </c>
      <c r="N86" s="3">
        <v>46295.0</v>
      </c>
      <c r="O86" s="1" t="s">
        <v>3594</v>
      </c>
      <c r="P86" s="4"/>
      <c r="Q86" s="1" t="s">
        <v>137</v>
      </c>
      <c r="R86" s="1" t="s">
        <v>137</v>
      </c>
      <c r="S86" s="1" t="s">
        <v>47</v>
      </c>
      <c r="T86" s="1" t="s">
        <v>4087</v>
      </c>
      <c r="U86" s="1" t="s">
        <v>1577</v>
      </c>
      <c r="V86" s="1" t="s">
        <v>3858</v>
      </c>
      <c r="W86" s="3">
        <v>46218.0</v>
      </c>
      <c r="X86" s="3">
        <v>46218.0</v>
      </c>
    </row>
    <row r="87">
      <c r="A87" s="1" t="s">
        <v>2364</v>
      </c>
      <c r="B87" s="1" t="s">
        <v>2365</v>
      </c>
      <c r="C87" s="1" t="s">
        <v>2365</v>
      </c>
      <c r="D87" s="1" t="s">
        <v>116</v>
      </c>
      <c r="E87" s="1" t="s">
        <v>4089</v>
      </c>
      <c r="F87" s="1" t="s">
        <v>4090</v>
      </c>
      <c r="G87" s="3">
        <v>46129.0</v>
      </c>
      <c r="H87" s="3">
        <v>46356.0</v>
      </c>
      <c r="I87" s="13"/>
      <c r="J87" s="1" t="s">
        <v>124</v>
      </c>
      <c r="K87" s="1" t="s">
        <v>98</v>
      </c>
      <c r="L87" s="1" t="s">
        <v>335</v>
      </c>
      <c r="M87" s="1" t="s">
        <v>131</v>
      </c>
      <c r="N87" s="13"/>
      <c r="O87" s="1" t="s">
        <v>4091</v>
      </c>
      <c r="P87" s="4"/>
      <c r="Q87" s="1" t="s">
        <v>137</v>
      </c>
      <c r="R87" s="1" t="s">
        <v>137</v>
      </c>
      <c r="S87" s="1" t="s">
        <v>47</v>
      </c>
      <c r="T87" s="1" t="s">
        <v>4093</v>
      </c>
      <c r="U87" s="1" t="s">
        <v>1577</v>
      </c>
      <c r="V87" s="1" t="s">
        <v>1579</v>
      </c>
      <c r="W87" s="3">
        <v>46356.0</v>
      </c>
      <c r="X87" s="13"/>
    </row>
    <row r="88">
      <c r="A88" s="1" t="s">
        <v>4095</v>
      </c>
      <c r="B88" s="1" t="s">
        <v>3590</v>
      </c>
      <c r="C88" s="1" t="s">
        <v>3590</v>
      </c>
      <c r="D88" s="1" t="s">
        <v>3246</v>
      </c>
      <c r="E88" s="1" t="s">
        <v>4096</v>
      </c>
      <c r="F88" s="1" t="s">
        <v>4097</v>
      </c>
      <c r="G88" s="3">
        <v>46275.0</v>
      </c>
      <c r="H88" s="3">
        <v>46456.0</v>
      </c>
      <c r="I88" s="13"/>
      <c r="J88" s="1" t="s">
        <v>124</v>
      </c>
      <c r="K88" s="1" t="s">
        <v>71</v>
      </c>
      <c r="L88" s="1" t="s">
        <v>335</v>
      </c>
      <c r="M88" s="1" t="s">
        <v>131</v>
      </c>
      <c r="N88" s="13"/>
      <c r="O88" s="1" t="s">
        <v>3947</v>
      </c>
      <c r="P88" s="4"/>
      <c r="Q88" s="1" t="s">
        <v>137</v>
      </c>
      <c r="R88" s="1" t="s">
        <v>137</v>
      </c>
      <c r="S88" s="1" t="s">
        <v>47</v>
      </c>
      <c r="T88" s="1" t="s">
        <v>4101</v>
      </c>
      <c r="U88" s="1" t="s">
        <v>1577</v>
      </c>
      <c r="V88" s="1" t="s">
        <v>3858</v>
      </c>
      <c r="W88" s="3">
        <v>46456.0</v>
      </c>
      <c r="X88" s="13"/>
    </row>
    <row r="89">
      <c r="A89" s="1" t="s">
        <v>4102</v>
      </c>
      <c r="B89" s="1" t="s">
        <v>3590</v>
      </c>
      <c r="C89" s="1" t="s">
        <v>3590</v>
      </c>
      <c r="D89" s="1" t="s">
        <v>3246</v>
      </c>
      <c r="E89" s="1" t="s">
        <v>4096</v>
      </c>
      <c r="F89" s="1" t="s">
        <v>4106</v>
      </c>
      <c r="G89" s="3">
        <v>46275.0</v>
      </c>
      <c r="H89" s="3">
        <v>46456.0</v>
      </c>
      <c r="I89" s="13"/>
      <c r="J89" s="1" t="s">
        <v>124</v>
      </c>
      <c r="K89" s="1" t="s">
        <v>71</v>
      </c>
      <c r="L89" s="1" t="s">
        <v>335</v>
      </c>
      <c r="M89" s="1" t="s">
        <v>131</v>
      </c>
      <c r="N89" s="13"/>
      <c r="O89" s="1" t="s">
        <v>4107</v>
      </c>
      <c r="P89" s="4"/>
      <c r="Q89" s="1" t="s">
        <v>137</v>
      </c>
      <c r="R89" s="1" t="s">
        <v>137</v>
      </c>
      <c r="S89" s="1" t="s">
        <v>47</v>
      </c>
      <c r="T89" s="1" t="s">
        <v>4101</v>
      </c>
      <c r="U89" s="1" t="s">
        <v>1577</v>
      </c>
      <c r="V89" s="1" t="s">
        <v>2302</v>
      </c>
      <c r="W89" s="3">
        <v>46456.0</v>
      </c>
      <c r="X89" s="13"/>
    </row>
    <row r="90">
      <c r="A90" s="1" t="s">
        <v>4111</v>
      </c>
      <c r="B90" s="1" t="s">
        <v>3590</v>
      </c>
      <c r="C90" s="1" t="s">
        <v>3590</v>
      </c>
      <c r="D90" s="1" t="s">
        <v>3246</v>
      </c>
      <c r="E90" s="1" t="s">
        <v>4096</v>
      </c>
      <c r="F90" s="1" t="s">
        <v>4112</v>
      </c>
      <c r="G90" s="3">
        <v>46275.0</v>
      </c>
      <c r="H90" s="3">
        <v>46456.0</v>
      </c>
      <c r="I90" s="13"/>
      <c r="J90" s="1" t="s">
        <v>124</v>
      </c>
      <c r="K90" s="1" t="s">
        <v>71</v>
      </c>
      <c r="L90" s="1" t="s">
        <v>335</v>
      </c>
      <c r="M90" s="1" t="s">
        <v>131</v>
      </c>
      <c r="N90" s="13"/>
      <c r="O90" s="1" t="s">
        <v>3959</v>
      </c>
      <c r="P90" s="4"/>
      <c r="Q90" s="1" t="s">
        <v>137</v>
      </c>
      <c r="R90" s="1" t="s">
        <v>137</v>
      </c>
      <c r="S90" s="1" t="s">
        <v>47</v>
      </c>
      <c r="T90" s="1" t="s">
        <v>4101</v>
      </c>
      <c r="U90" s="1" t="s">
        <v>1577</v>
      </c>
      <c r="V90" s="1" t="s">
        <v>4054</v>
      </c>
      <c r="W90" s="3">
        <v>46456.0</v>
      </c>
      <c r="X90" s="13"/>
    </row>
    <row r="91">
      <c r="A91" s="1" t="s">
        <v>4117</v>
      </c>
      <c r="B91" s="1" t="s">
        <v>3590</v>
      </c>
      <c r="C91" s="1" t="s">
        <v>3590</v>
      </c>
      <c r="D91" s="1" t="s">
        <v>3246</v>
      </c>
      <c r="E91" s="1" t="s">
        <v>4096</v>
      </c>
      <c r="F91" s="1" t="s">
        <v>4118</v>
      </c>
      <c r="G91" s="3">
        <v>46275.0</v>
      </c>
      <c r="H91" s="3">
        <v>46456.0</v>
      </c>
      <c r="I91" s="13"/>
      <c r="J91" s="1" t="s">
        <v>124</v>
      </c>
      <c r="K91" s="1" t="s">
        <v>71</v>
      </c>
      <c r="L91" s="1" t="s">
        <v>335</v>
      </c>
      <c r="M91" s="1" t="s">
        <v>131</v>
      </c>
      <c r="N91" s="13"/>
      <c r="O91" s="1" t="s">
        <v>3947</v>
      </c>
      <c r="P91" s="4"/>
      <c r="Q91" s="1" t="s">
        <v>137</v>
      </c>
      <c r="R91" s="1" t="s">
        <v>137</v>
      </c>
      <c r="S91" s="1" t="s">
        <v>47</v>
      </c>
      <c r="T91" s="1" t="s">
        <v>4101</v>
      </c>
      <c r="U91" s="1" t="s">
        <v>1577</v>
      </c>
      <c r="V91" s="1" t="s">
        <v>3865</v>
      </c>
      <c r="W91" s="3">
        <v>46456.0</v>
      </c>
      <c r="X91" s="13"/>
    </row>
    <row r="92">
      <c r="A92" s="1" t="s">
        <v>2368</v>
      </c>
      <c r="B92" s="1" t="s">
        <v>2331</v>
      </c>
      <c r="C92" s="1" t="s">
        <v>2331</v>
      </c>
      <c r="D92" s="1" t="s">
        <v>146</v>
      </c>
      <c r="E92" s="1" t="s">
        <v>4123</v>
      </c>
      <c r="F92" s="1" t="s">
        <v>4125</v>
      </c>
      <c r="G92" s="3">
        <v>46129.0</v>
      </c>
      <c r="H92" s="3"/>
      <c r="I92" s="13"/>
      <c r="J92" s="1" t="s">
        <v>124</v>
      </c>
      <c r="K92" s="1" t="s">
        <v>160</v>
      </c>
      <c r="L92" s="1" t="s">
        <v>300</v>
      </c>
      <c r="M92" s="1" t="s">
        <v>131</v>
      </c>
      <c r="N92" s="13"/>
      <c r="O92" s="1" t="s">
        <v>3513</v>
      </c>
      <c r="P92" s="4"/>
      <c r="Q92" s="1" t="s">
        <v>137</v>
      </c>
      <c r="R92" s="1" t="s">
        <v>137</v>
      </c>
      <c r="S92" s="1" t="s">
        <v>47</v>
      </c>
      <c r="T92" s="1" t="s">
        <v>2343</v>
      </c>
      <c r="U92" s="1" t="s">
        <v>1577</v>
      </c>
      <c r="V92" s="1" t="s">
        <v>1579</v>
      </c>
      <c r="W92" s="3">
        <v>46325.0</v>
      </c>
      <c r="X92" s="13"/>
    </row>
    <row r="93">
      <c r="A93" s="1" t="s">
        <v>2370</v>
      </c>
      <c r="B93" s="1" t="s">
        <v>2371</v>
      </c>
      <c r="C93" s="1" t="s">
        <v>2371</v>
      </c>
      <c r="D93" s="1" t="s">
        <v>116</v>
      </c>
      <c r="E93" s="1" t="s">
        <v>4129</v>
      </c>
      <c r="F93" s="1" t="s">
        <v>4130</v>
      </c>
      <c r="G93" s="3">
        <v>46129.0</v>
      </c>
      <c r="H93" s="3"/>
      <c r="I93" s="13"/>
      <c r="J93" s="1" t="s">
        <v>124</v>
      </c>
      <c r="K93" s="1" t="s">
        <v>98</v>
      </c>
      <c r="L93" s="1" t="s">
        <v>162</v>
      </c>
      <c r="M93" s="1" t="s">
        <v>131</v>
      </c>
      <c r="N93" s="13"/>
      <c r="O93" s="1" t="s">
        <v>3499</v>
      </c>
      <c r="P93" s="4"/>
      <c r="Q93" s="1" t="s">
        <v>137</v>
      </c>
      <c r="R93" s="1" t="s">
        <v>137</v>
      </c>
      <c r="S93" s="1" t="s">
        <v>47</v>
      </c>
      <c r="T93" s="1" t="s">
        <v>4135</v>
      </c>
      <c r="U93" s="1" t="s">
        <v>1577</v>
      </c>
      <c r="V93" s="1" t="s">
        <v>1579</v>
      </c>
      <c r="W93" s="3">
        <v>46209.0</v>
      </c>
      <c r="X93" s="13"/>
    </row>
    <row r="94">
      <c r="A94" s="1" t="s">
        <v>2372</v>
      </c>
      <c r="B94" s="1" t="s">
        <v>2373</v>
      </c>
      <c r="C94" s="1" t="s">
        <v>2373</v>
      </c>
      <c r="D94" s="1" t="s">
        <v>116</v>
      </c>
      <c r="E94" s="1" t="s">
        <v>4137</v>
      </c>
      <c r="F94" s="1" t="s">
        <v>4139</v>
      </c>
      <c r="G94" s="3">
        <v>46129.0</v>
      </c>
      <c r="H94" s="3">
        <v>46301.0</v>
      </c>
      <c r="I94" s="13"/>
      <c r="J94" s="1" t="s">
        <v>124</v>
      </c>
      <c r="K94" s="1" t="s">
        <v>98</v>
      </c>
      <c r="L94" s="1" t="s">
        <v>460</v>
      </c>
      <c r="M94" s="1" t="s">
        <v>131</v>
      </c>
      <c r="N94" s="13"/>
      <c r="O94" s="1" t="s">
        <v>4140</v>
      </c>
      <c r="P94" s="4"/>
      <c r="Q94" s="1" t="s">
        <v>137</v>
      </c>
      <c r="R94" s="1" t="s">
        <v>137</v>
      </c>
      <c r="S94" s="1" t="s">
        <v>47</v>
      </c>
      <c r="T94" s="1" t="s">
        <v>4141</v>
      </c>
      <c r="U94" s="1" t="s">
        <v>1577</v>
      </c>
      <c r="V94" s="1" t="s">
        <v>1579</v>
      </c>
      <c r="W94" s="3">
        <v>46314.0</v>
      </c>
      <c r="X94" s="13"/>
    </row>
    <row r="95">
      <c r="A95" s="1" t="s">
        <v>2378</v>
      </c>
      <c r="B95" s="1" t="s">
        <v>2376</v>
      </c>
      <c r="C95" s="1" t="s">
        <v>2376</v>
      </c>
      <c r="D95" s="1" t="s">
        <v>146</v>
      </c>
      <c r="E95" s="1" t="s">
        <v>4144</v>
      </c>
      <c r="F95" s="1" t="s">
        <v>4145</v>
      </c>
      <c r="G95" s="3">
        <v>46129.0</v>
      </c>
      <c r="H95" s="13"/>
      <c r="I95" s="13"/>
      <c r="J95" s="1" t="s">
        <v>124</v>
      </c>
      <c r="K95" s="1" t="s">
        <v>160</v>
      </c>
      <c r="L95" s="1" t="s">
        <v>162</v>
      </c>
      <c r="M95" s="1" t="s">
        <v>131</v>
      </c>
      <c r="N95" s="13"/>
      <c r="O95" s="1" t="s">
        <v>4148</v>
      </c>
      <c r="P95" s="4"/>
      <c r="Q95" s="1" t="s">
        <v>137</v>
      </c>
      <c r="R95" s="1" t="s">
        <v>137</v>
      </c>
      <c r="S95" s="1" t="s">
        <v>47</v>
      </c>
      <c r="T95" s="1" t="s">
        <v>4149</v>
      </c>
      <c r="U95" s="1" t="s">
        <v>1577</v>
      </c>
      <c r="V95" s="1" t="s">
        <v>1579</v>
      </c>
      <c r="W95" s="3">
        <v>46380.0</v>
      </c>
      <c r="X95" s="13"/>
    </row>
    <row r="96">
      <c r="A96" s="1" t="s">
        <v>2375</v>
      </c>
      <c r="B96" s="1" t="s">
        <v>2376</v>
      </c>
      <c r="C96" s="1" t="s">
        <v>2376</v>
      </c>
      <c r="D96" s="1" t="s">
        <v>146</v>
      </c>
      <c r="E96" s="1" t="s">
        <v>4144</v>
      </c>
      <c r="F96" s="1" t="s">
        <v>4153</v>
      </c>
      <c r="G96" s="3">
        <v>46129.0</v>
      </c>
      <c r="H96" s="13"/>
      <c r="I96" s="13"/>
      <c r="J96" s="1" t="s">
        <v>124</v>
      </c>
      <c r="K96" s="1" t="s">
        <v>160</v>
      </c>
      <c r="L96" s="1" t="s">
        <v>162</v>
      </c>
      <c r="M96" s="1" t="s">
        <v>131</v>
      </c>
      <c r="N96" s="13"/>
      <c r="O96" s="1" t="s">
        <v>4156</v>
      </c>
      <c r="P96" s="4"/>
      <c r="Q96" s="1" t="s">
        <v>137</v>
      </c>
      <c r="R96" s="1" t="s">
        <v>137</v>
      </c>
      <c r="S96" s="1" t="s">
        <v>47</v>
      </c>
      <c r="T96" s="1" t="s">
        <v>4149</v>
      </c>
      <c r="U96" s="1" t="s">
        <v>1577</v>
      </c>
      <c r="V96" s="1" t="s">
        <v>2000</v>
      </c>
      <c r="W96" s="3">
        <v>46380.0</v>
      </c>
      <c r="X96" s="13"/>
    </row>
    <row r="97">
      <c r="A97" s="1" t="s">
        <v>2384</v>
      </c>
      <c r="B97" s="1" t="s">
        <v>2376</v>
      </c>
      <c r="C97" s="1" t="s">
        <v>2376</v>
      </c>
      <c r="D97" s="1" t="s">
        <v>146</v>
      </c>
      <c r="E97" s="1" t="s">
        <v>4144</v>
      </c>
      <c r="F97" s="1" t="s">
        <v>4161</v>
      </c>
      <c r="G97" s="3">
        <v>46129.0</v>
      </c>
      <c r="H97" s="3"/>
      <c r="I97" s="13"/>
      <c r="J97" s="1" t="s">
        <v>124</v>
      </c>
      <c r="K97" s="1" t="s">
        <v>160</v>
      </c>
      <c r="L97" s="1" t="s">
        <v>162</v>
      </c>
      <c r="M97" s="1" t="s">
        <v>131</v>
      </c>
      <c r="N97" s="13"/>
      <c r="O97" s="1" t="s">
        <v>4156</v>
      </c>
      <c r="Q97" s="1" t="s">
        <v>137</v>
      </c>
      <c r="R97" s="1" t="s">
        <v>137</v>
      </c>
      <c r="S97" s="1" t="s">
        <v>47</v>
      </c>
      <c r="T97" s="1" t="s">
        <v>4149</v>
      </c>
      <c r="U97" s="1" t="s">
        <v>1577</v>
      </c>
      <c r="V97" s="1" t="s">
        <v>2002</v>
      </c>
      <c r="W97" s="3">
        <v>46380.0</v>
      </c>
      <c r="X97" s="13"/>
    </row>
    <row r="98">
      <c r="A98" s="1" t="s">
        <v>4167</v>
      </c>
      <c r="B98" s="1" t="s">
        <v>2484</v>
      </c>
      <c r="C98" s="1" t="s">
        <v>2484</v>
      </c>
      <c r="D98" s="1" t="s">
        <v>146</v>
      </c>
      <c r="E98" s="1" t="s">
        <v>4168</v>
      </c>
      <c r="F98" s="1" t="s">
        <v>4169</v>
      </c>
      <c r="G98" s="3">
        <v>46129.0</v>
      </c>
      <c r="H98" s="3"/>
      <c r="I98" s="13"/>
      <c r="J98" s="1" t="s">
        <v>124</v>
      </c>
      <c r="K98" s="1" t="s">
        <v>160</v>
      </c>
      <c r="L98" s="1" t="s">
        <v>162</v>
      </c>
      <c r="M98" s="1" t="s">
        <v>131</v>
      </c>
      <c r="N98" s="13"/>
      <c r="O98" s="1" t="s">
        <v>4170</v>
      </c>
      <c r="Q98" s="1" t="s">
        <v>137</v>
      </c>
      <c r="R98" s="1" t="s">
        <v>137</v>
      </c>
      <c r="S98" s="1" t="s">
        <v>47</v>
      </c>
      <c r="T98" s="1" t="s">
        <v>4173</v>
      </c>
      <c r="U98" s="1" t="s">
        <v>1577</v>
      </c>
      <c r="V98" s="1" t="s">
        <v>4175</v>
      </c>
      <c r="W98" s="3">
        <v>46412.0</v>
      </c>
      <c r="X98" s="13"/>
    </row>
    <row r="99">
      <c r="A99" s="1" t="s">
        <v>2389</v>
      </c>
      <c r="B99" s="1" t="s">
        <v>2390</v>
      </c>
      <c r="C99" s="1" t="s">
        <v>2390</v>
      </c>
      <c r="D99" s="1" t="s">
        <v>116</v>
      </c>
      <c r="E99" s="1" t="s">
        <v>4176</v>
      </c>
      <c r="F99" s="1" t="s">
        <v>4177</v>
      </c>
      <c r="G99" s="3">
        <v>46129.0</v>
      </c>
      <c r="H99" s="3">
        <v>46279.0</v>
      </c>
      <c r="I99" s="4"/>
      <c r="J99" s="1" t="s">
        <v>124</v>
      </c>
      <c r="K99" s="1" t="s">
        <v>98</v>
      </c>
      <c r="L99" s="1" t="s">
        <v>216</v>
      </c>
      <c r="M99" s="1" t="s">
        <v>131</v>
      </c>
      <c r="N99" s="13"/>
      <c r="O99" s="1" t="s">
        <v>4178</v>
      </c>
      <c r="P99" s="4"/>
      <c r="Q99" s="1" t="s">
        <v>137</v>
      </c>
      <c r="R99" s="1" t="s">
        <v>137</v>
      </c>
      <c r="S99" s="1" t="s">
        <v>47</v>
      </c>
      <c r="T99" s="1" t="s">
        <v>4179</v>
      </c>
      <c r="U99" s="1" t="s">
        <v>1577</v>
      </c>
      <c r="V99" s="1" t="s">
        <v>1579</v>
      </c>
      <c r="W99" s="3">
        <v>46279.0</v>
      </c>
    </row>
    <row r="100">
      <c r="A100" s="1" t="s">
        <v>2398</v>
      </c>
      <c r="B100" s="1" t="s">
        <v>2393</v>
      </c>
      <c r="C100" s="1" t="s">
        <v>2393</v>
      </c>
      <c r="D100" s="1" t="s">
        <v>116</v>
      </c>
      <c r="E100" s="1" t="s">
        <v>4180</v>
      </c>
      <c r="F100" s="1" t="s">
        <v>4181</v>
      </c>
      <c r="G100" s="3">
        <v>46129.0</v>
      </c>
      <c r="H100" s="13"/>
      <c r="I100" s="13"/>
      <c r="J100" s="1" t="s">
        <v>124</v>
      </c>
      <c r="K100" s="1" t="s">
        <v>71</v>
      </c>
      <c r="L100" s="1" t="s">
        <v>162</v>
      </c>
      <c r="M100" s="1" t="s">
        <v>131</v>
      </c>
      <c r="N100" s="13"/>
      <c r="O100" s="1" t="s">
        <v>3824</v>
      </c>
      <c r="P100" s="4"/>
      <c r="Q100" s="1" t="s">
        <v>137</v>
      </c>
      <c r="R100" s="1" t="s">
        <v>137</v>
      </c>
      <c r="S100" s="1" t="s">
        <v>47</v>
      </c>
      <c r="T100" s="4"/>
      <c r="U100" s="1" t="s">
        <v>1577</v>
      </c>
      <c r="V100" s="1" t="s">
        <v>1579</v>
      </c>
      <c r="W100" s="3">
        <v>46356.0</v>
      </c>
      <c r="X100" s="13"/>
    </row>
    <row r="101">
      <c r="A101" s="1" t="s">
        <v>2395</v>
      </c>
      <c r="B101" s="1" t="s">
        <v>2393</v>
      </c>
      <c r="C101" s="1" t="s">
        <v>2393</v>
      </c>
      <c r="D101" s="1" t="s">
        <v>116</v>
      </c>
      <c r="E101" s="1" t="s">
        <v>4180</v>
      </c>
      <c r="F101" s="1" t="s">
        <v>4182</v>
      </c>
      <c r="G101" s="3">
        <v>46129.0</v>
      </c>
      <c r="H101" s="3"/>
      <c r="I101" s="13"/>
      <c r="J101" s="1" t="s">
        <v>124</v>
      </c>
      <c r="K101" s="1" t="s">
        <v>71</v>
      </c>
      <c r="L101" s="1" t="s">
        <v>162</v>
      </c>
      <c r="M101" s="1" t="s">
        <v>131</v>
      </c>
      <c r="N101" s="13"/>
      <c r="O101" s="1" t="s">
        <v>4183</v>
      </c>
      <c r="P101" s="4"/>
      <c r="Q101" s="1" t="s">
        <v>137</v>
      </c>
      <c r="R101" s="1" t="s">
        <v>137</v>
      </c>
      <c r="S101" s="1" t="s">
        <v>47</v>
      </c>
      <c r="T101" s="1"/>
      <c r="U101" s="1" t="s">
        <v>1577</v>
      </c>
      <c r="V101" s="1" t="s">
        <v>2000</v>
      </c>
      <c r="W101" s="3">
        <v>46356.0</v>
      </c>
      <c r="X101" s="13"/>
    </row>
    <row r="102">
      <c r="A102" s="1" t="s">
        <v>2392</v>
      </c>
      <c r="B102" s="1" t="s">
        <v>2393</v>
      </c>
      <c r="C102" s="1" t="s">
        <v>2393</v>
      </c>
      <c r="D102" s="1" t="s">
        <v>116</v>
      </c>
      <c r="E102" s="1" t="s">
        <v>4180</v>
      </c>
      <c r="F102" s="1" t="s">
        <v>4184</v>
      </c>
      <c r="G102" s="3">
        <v>46129.0</v>
      </c>
      <c r="H102" s="3"/>
      <c r="I102" s="13"/>
      <c r="J102" s="1" t="s">
        <v>124</v>
      </c>
      <c r="K102" s="1" t="s">
        <v>71</v>
      </c>
      <c r="L102" s="1" t="s">
        <v>162</v>
      </c>
      <c r="M102" s="1" t="s">
        <v>131</v>
      </c>
      <c r="N102" s="13"/>
      <c r="O102" s="1" t="s">
        <v>3777</v>
      </c>
      <c r="P102" s="4"/>
      <c r="Q102" s="1" t="s">
        <v>137</v>
      </c>
      <c r="R102" s="1" t="s">
        <v>137</v>
      </c>
      <c r="S102" s="1" t="s">
        <v>47</v>
      </c>
      <c r="T102" s="1"/>
      <c r="U102" s="1" t="s">
        <v>1577</v>
      </c>
      <c r="V102" s="1" t="s">
        <v>2002</v>
      </c>
      <c r="W102" s="3">
        <v>46356.0</v>
      </c>
      <c r="X102" s="13"/>
    </row>
    <row r="103">
      <c r="A103" s="1" t="s">
        <v>2420</v>
      </c>
      <c r="B103" s="1" t="s">
        <v>2160</v>
      </c>
      <c r="C103" s="1" t="s">
        <v>2160</v>
      </c>
      <c r="D103" s="1" t="s">
        <v>116</v>
      </c>
      <c r="E103" s="1" t="s">
        <v>4185</v>
      </c>
      <c r="F103" s="1" t="s">
        <v>4186</v>
      </c>
      <c r="G103" s="3">
        <v>46139.0</v>
      </c>
      <c r="H103" s="3">
        <v>46329.0</v>
      </c>
      <c r="I103" s="13"/>
      <c r="J103" s="1" t="s">
        <v>124</v>
      </c>
      <c r="K103" s="1" t="s">
        <v>160</v>
      </c>
      <c r="L103" s="1" t="s">
        <v>460</v>
      </c>
      <c r="M103" s="1" t="s">
        <v>365</v>
      </c>
      <c r="N103" s="13"/>
      <c r="O103" s="1" t="s">
        <v>4187</v>
      </c>
      <c r="P103" s="4"/>
      <c r="Q103" s="1" t="s">
        <v>137</v>
      </c>
      <c r="R103" s="1" t="s">
        <v>137</v>
      </c>
      <c r="S103" s="1" t="s">
        <v>47</v>
      </c>
      <c r="T103" s="1" t="s">
        <v>4188</v>
      </c>
      <c r="U103" s="1" t="s">
        <v>1577</v>
      </c>
      <c r="V103" s="1" t="s">
        <v>1579</v>
      </c>
      <c r="W103" s="3">
        <v>46287.0</v>
      </c>
      <c r="X103" s="13"/>
    </row>
    <row r="104">
      <c r="A104" s="1" t="s">
        <v>2453</v>
      </c>
      <c r="B104" s="1" t="s">
        <v>2291</v>
      </c>
      <c r="C104" s="1" t="s">
        <v>2291</v>
      </c>
      <c r="D104" s="1" t="s">
        <v>116</v>
      </c>
      <c r="E104" s="1" t="s">
        <v>4189</v>
      </c>
      <c r="F104" s="1" t="s">
        <v>4190</v>
      </c>
      <c r="G104" s="3">
        <v>46141.0</v>
      </c>
      <c r="H104" s="3">
        <v>46314.0</v>
      </c>
      <c r="I104" s="13"/>
      <c r="J104" s="1" t="s">
        <v>124</v>
      </c>
      <c r="K104" s="1" t="s">
        <v>71</v>
      </c>
      <c r="L104" s="1" t="s">
        <v>460</v>
      </c>
      <c r="M104" s="1" t="s">
        <v>131</v>
      </c>
      <c r="N104" s="13"/>
      <c r="O104" s="1" t="s">
        <v>3655</v>
      </c>
      <c r="P104" s="4"/>
      <c r="Q104" s="1" t="s">
        <v>137</v>
      </c>
      <c r="R104" s="1" t="s">
        <v>137</v>
      </c>
      <c r="S104" s="1" t="s">
        <v>47</v>
      </c>
      <c r="T104" s="1" t="s">
        <v>4193</v>
      </c>
      <c r="U104" s="1" t="s">
        <v>1577</v>
      </c>
      <c r="V104" s="1" t="s">
        <v>1579</v>
      </c>
      <c r="W104" s="3">
        <v>46314.0</v>
      </c>
      <c r="X104" s="13"/>
    </row>
    <row r="105">
      <c r="A105" s="1" t="s">
        <v>2480</v>
      </c>
      <c r="B105" s="1" t="s">
        <v>2481</v>
      </c>
      <c r="C105" s="1" t="s">
        <v>2481</v>
      </c>
      <c r="D105" s="1" t="s">
        <v>2631</v>
      </c>
      <c r="E105" s="1" t="s">
        <v>4194</v>
      </c>
      <c r="F105" s="1" t="s">
        <v>4195</v>
      </c>
      <c r="G105" s="3">
        <v>46147.0</v>
      </c>
      <c r="H105" s="3">
        <v>46303.0</v>
      </c>
      <c r="I105" s="13"/>
      <c r="J105" s="1" t="s">
        <v>124</v>
      </c>
      <c r="K105" s="1" t="s">
        <v>98</v>
      </c>
      <c r="L105" s="1" t="s">
        <v>253</v>
      </c>
      <c r="M105" s="1" t="s">
        <v>131</v>
      </c>
      <c r="N105" s="13"/>
      <c r="O105" s="1" t="s">
        <v>4198</v>
      </c>
      <c r="P105" s="4"/>
      <c r="Q105" s="1" t="s">
        <v>137</v>
      </c>
      <c r="R105" s="1" t="s">
        <v>137</v>
      </c>
      <c r="S105" s="1" t="s">
        <v>47</v>
      </c>
      <c r="T105" s="1" t="s">
        <v>4199</v>
      </c>
      <c r="U105" s="1" t="s">
        <v>1577</v>
      </c>
      <c r="V105" s="1" t="s">
        <v>1579</v>
      </c>
      <c r="W105" s="3">
        <v>46308.0</v>
      </c>
      <c r="X105" s="13"/>
    </row>
    <row r="106">
      <c r="A106" s="1" t="s">
        <v>2483</v>
      </c>
      <c r="B106" s="1" t="s">
        <v>2481</v>
      </c>
      <c r="C106" s="1" t="s">
        <v>2481</v>
      </c>
      <c r="D106" s="1" t="s">
        <v>2631</v>
      </c>
      <c r="E106" s="1" t="s">
        <v>4194</v>
      </c>
      <c r="F106" s="1" t="s">
        <v>4200</v>
      </c>
      <c r="G106" s="3">
        <v>46147.0</v>
      </c>
      <c r="H106" s="3">
        <v>46303.0</v>
      </c>
      <c r="I106" s="13"/>
      <c r="J106" s="1" t="s">
        <v>124</v>
      </c>
      <c r="K106" s="1" t="s">
        <v>98</v>
      </c>
      <c r="L106" s="1" t="s">
        <v>253</v>
      </c>
      <c r="M106" s="1" t="s">
        <v>131</v>
      </c>
      <c r="N106" s="13"/>
      <c r="O106" s="1" t="s">
        <v>4201</v>
      </c>
      <c r="P106" s="4"/>
      <c r="Q106" s="1" t="s">
        <v>137</v>
      </c>
      <c r="R106" s="1" t="s">
        <v>137</v>
      </c>
      <c r="S106" s="1" t="s">
        <v>47</v>
      </c>
      <c r="T106" s="1" t="s">
        <v>4199</v>
      </c>
      <c r="U106" s="1" t="s">
        <v>1577</v>
      </c>
      <c r="V106" s="1" t="s">
        <v>2002</v>
      </c>
      <c r="W106" s="3">
        <v>46308.0</v>
      </c>
      <c r="X106" s="13"/>
    </row>
    <row r="107">
      <c r="A107" s="1" t="s">
        <v>2486</v>
      </c>
      <c r="B107" s="1" t="s">
        <v>2487</v>
      </c>
      <c r="C107" s="1" t="s">
        <v>2487</v>
      </c>
      <c r="D107" s="1" t="s">
        <v>116</v>
      </c>
      <c r="E107" s="1" t="s">
        <v>4202</v>
      </c>
      <c r="F107" s="1" t="s">
        <v>4203</v>
      </c>
      <c r="G107" s="3">
        <v>46148.0</v>
      </c>
      <c r="H107" s="3">
        <v>46314.0</v>
      </c>
      <c r="I107" s="13"/>
      <c r="J107" s="1" t="s">
        <v>124</v>
      </c>
      <c r="K107" s="1" t="s">
        <v>98</v>
      </c>
      <c r="L107" s="1" t="s">
        <v>460</v>
      </c>
      <c r="M107" s="1" t="s">
        <v>131</v>
      </c>
      <c r="N107" s="13"/>
      <c r="O107" s="1" t="s">
        <v>4204</v>
      </c>
      <c r="P107" s="4"/>
      <c r="Q107" s="1" t="s">
        <v>137</v>
      </c>
      <c r="R107" s="1" t="s">
        <v>137</v>
      </c>
      <c r="S107" s="1" t="s">
        <v>47</v>
      </c>
      <c r="T107" s="1" t="s">
        <v>4205</v>
      </c>
      <c r="U107" s="1" t="s">
        <v>1577</v>
      </c>
      <c r="V107" s="1" t="s">
        <v>1579</v>
      </c>
      <c r="W107" s="3">
        <v>46314.0</v>
      </c>
      <c r="X107" s="13"/>
    </row>
    <row r="108">
      <c r="A108" s="1" t="s">
        <v>2491</v>
      </c>
      <c r="B108" s="1" t="s">
        <v>2492</v>
      </c>
      <c r="C108" s="1" t="s">
        <v>2492</v>
      </c>
      <c r="D108" s="1" t="s">
        <v>4099</v>
      </c>
      <c r="E108" s="1" t="s">
        <v>4208</v>
      </c>
      <c r="F108" s="1" t="s">
        <v>4209</v>
      </c>
      <c r="G108" s="3">
        <v>46150.0</v>
      </c>
      <c r="H108" s="3"/>
      <c r="I108" s="13"/>
      <c r="J108" s="1" t="s">
        <v>124</v>
      </c>
      <c r="K108" s="1" t="s">
        <v>71</v>
      </c>
      <c r="L108" s="1" t="s">
        <v>335</v>
      </c>
      <c r="M108" s="1" t="s">
        <v>131</v>
      </c>
      <c r="N108" s="13"/>
      <c r="O108" s="1" t="s">
        <v>3992</v>
      </c>
      <c r="P108" s="4"/>
      <c r="Q108" s="1" t="s">
        <v>137</v>
      </c>
      <c r="R108" s="1" t="s">
        <v>137</v>
      </c>
      <c r="S108" s="1" t="s">
        <v>47</v>
      </c>
      <c r="T108" s="1" t="s">
        <v>4210</v>
      </c>
      <c r="U108" s="1" t="s">
        <v>1577</v>
      </c>
      <c r="V108" s="1" t="s">
        <v>2002</v>
      </c>
      <c r="W108" s="3">
        <v>46338.0</v>
      </c>
      <c r="X108" s="13"/>
    </row>
    <row r="109">
      <c r="A109" s="1" t="s">
        <v>2506</v>
      </c>
      <c r="B109" s="1" t="s">
        <v>2507</v>
      </c>
      <c r="C109" s="1" t="s">
        <v>2507</v>
      </c>
      <c r="D109" s="1" t="s">
        <v>116</v>
      </c>
      <c r="E109" s="1" t="s">
        <v>4211</v>
      </c>
      <c r="F109" s="1" t="s">
        <v>4212</v>
      </c>
      <c r="G109" s="3">
        <v>46154.0</v>
      </c>
      <c r="H109" s="3">
        <v>46304.0</v>
      </c>
      <c r="I109" s="13"/>
      <c r="J109" s="1" t="s">
        <v>124</v>
      </c>
      <c r="K109" s="1" t="s">
        <v>160</v>
      </c>
      <c r="L109" s="1" t="s">
        <v>162</v>
      </c>
      <c r="M109" s="1" t="s">
        <v>131</v>
      </c>
      <c r="N109" s="13"/>
      <c r="O109" s="1"/>
      <c r="P109" s="4"/>
      <c r="Q109" s="1" t="s">
        <v>665</v>
      </c>
      <c r="R109" s="1" t="s">
        <v>665</v>
      </c>
      <c r="S109" s="1" t="s">
        <v>666</v>
      </c>
      <c r="T109" s="1" t="s">
        <v>4213</v>
      </c>
      <c r="U109" s="1" t="s">
        <v>1577</v>
      </c>
      <c r="V109" s="1" t="s">
        <v>1579</v>
      </c>
      <c r="W109" s="3">
        <v>46304.0</v>
      </c>
      <c r="X109" s="13"/>
    </row>
    <row r="110">
      <c r="A110" s="1" t="s">
        <v>2675</v>
      </c>
      <c r="B110" s="1" t="s">
        <v>2212</v>
      </c>
      <c r="C110" s="1" t="s">
        <v>2212</v>
      </c>
      <c r="D110" s="1" t="s">
        <v>116</v>
      </c>
      <c r="E110" s="1" t="s">
        <v>4214</v>
      </c>
      <c r="F110" s="1" t="s">
        <v>4215</v>
      </c>
      <c r="G110" s="3">
        <v>46174.0</v>
      </c>
      <c r="H110" s="3">
        <v>46339.0</v>
      </c>
      <c r="I110" s="13"/>
      <c r="J110" s="1" t="s">
        <v>124</v>
      </c>
      <c r="K110" s="1" t="s">
        <v>98</v>
      </c>
      <c r="L110" s="1" t="s">
        <v>335</v>
      </c>
      <c r="M110" s="1" t="s">
        <v>131</v>
      </c>
      <c r="N110" s="13"/>
      <c r="O110" s="1" t="s">
        <v>4216</v>
      </c>
      <c r="P110" s="4"/>
      <c r="Q110" s="1" t="s">
        <v>137</v>
      </c>
      <c r="R110" s="1" t="s">
        <v>137</v>
      </c>
      <c r="S110" s="1" t="s">
        <v>47</v>
      </c>
      <c r="T110" s="1" t="s">
        <v>4219</v>
      </c>
      <c r="U110" s="1" t="s">
        <v>1577</v>
      </c>
      <c r="V110" s="1" t="s">
        <v>1579</v>
      </c>
      <c r="W110" s="3">
        <v>46363.0</v>
      </c>
      <c r="X110" s="13"/>
    </row>
    <row r="111">
      <c r="A111" s="1" t="s">
        <v>2674</v>
      </c>
      <c r="B111" s="1" t="s">
        <v>2212</v>
      </c>
      <c r="C111" s="1" t="s">
        <v>2212</v>
      </c>
      <c r="D111" s="1" t="s">
        <v>116</v>
      </c>
      <c r="E111" s="1" t="s">
        <v>4214</v>
      </c>
      <c r="F111" s="1" t="s">
        <v>4224</v>
      </c>
      <c r="G111" s="3">
        <v>46174.0</v>
      </c>
      <c r="H111" s="3">
        <v>46339.0</v>
      </c>
      <c r="I111" s="13"/>
      <c r="J111" s="1" t="s">
        <v>124</v>
      </c>
      <c r="K111" s="1" t="s">
        <v>98</v>
      </c>
      <c r="L111" s="1" t="s">
        <v>335</v>
      </c>
      <c r="M111" s="1" t="s">
        <v>131</v>
      </c>
      <c r="N111" s="13"/>
      <c r="O111" s="1" t="s">
        <v>4227</v>
      </c>
      <c r="P111" s="4"/>
      <c r="Q111" s="1" t="s">
        <v>137</v>
      </c>
      <c r="R111" s="1" t="s">
        <v>137</v>
      </c>
      <c r="S111" s="1" t="s">
        <v>47</v>
      </c>
      <c r="T111" s="1" t="s">
        <v>4219</v>
      </c>
      <c r="U111" s="1" t="s">
        <v>1577</v>
      </c>
      <c r="V111" s="1" t="s">
        <v>2000</v>
      </c>
      <c r="W111" s="3">
        <v>46363.0</v>
      </c>
      <c r="X111" s="13"/>
    </row>
    <row r="112">
      <c r="A112" s="1" t="s">
        <v>2678</v>
      </c>
      <c r="B112" s="1" t="s">
        <v>2212</v>
      </c>
      <c r="C112" s="1" t="s">
        <v>2212</v>
      </c>
      <c r="D112" s="1" t="s">
        <v>116</v>
      </c>
      <c r="E112" s="1" t="s">
        <v>4214</v>
      </c>
      <c r="F112" s="1" t="s">
        <v>4229</v>
      </c>
      <c r="G112" s="3">
        <v>46174.0</v>
      </c>
      <c r="H112" s="3">
        <v>46339.0</v>
      </c>
      <c r="I112" s="13"/>
      <c r="J112" s="1" t="s">
        <v>124</v>
      </c>
      <c r="K112" s="1" t="s">
        <v>98</v>
      </c>
      <c r="L112" s="1" t="s">
        <v>335</v>
      </c>
      <c r="M112" s="1" t="s">
        <v>131</v>
      </c>
      <c r="N112" s="13"/>
      <c r="O112" s="1" t="s">
        <v>4216</v>
      </c>
      <c r="P112" s="4"/>
      <c r="Q112" s="1" t="s">
        <v>137</v>
      </c>
      <c r="R112" s="1" t="s">
        <v>137</v>
      </c>
      <c r="S112" s="1" t="s">
        <v>47</v>
      </c>
      <c r="T112" s="1" t="s">
        <v>4219</v>
      </c>
      <c r="U112" s="1" t="s">
        <v>1577</v>
      </c>
      <c r="V112" s="1" t="s">
        <v>1991</v>
      </c>
      <c r="W112" s="3">
        <v>46363.0</v>
      </c>
      <c r="X112" s="13"/>
    </row>
    <row r="113">
      <c r="A113" s="1" t="s">
        <v>2688</v>
      </c>
      <c r="B113" s="1" t="s">
        <v>2066</v>
      </c>
      <c r="C113" s="1" t="s">
        <v>2066</v>
      </c>
      <c r="D113" s="1" t="s">
        <v>116</v>
      </c>
      <c r="E113" s="1" t="s">
        <v>4239</v>
      </c>
      <c r="F113" s="1" t="s">
        <v>4240</v>
      </c>
      <c r="G113" s="3">
        <v>46175.0</v>
      </c>
      <c r="H113" s="3">
        <v>46356.0</v>
      </c>
      <c r="I113" s="13"/>
      <c r="J113" s="1" t="s">
        <v>124</v>
      </c>
      <c r="K113" s="1" t="s">
        <v>160</v>
      </c>
      <c r="L113" s="1" t="s">
        <v>460</v>
      </c>
      <c r="M113" s="1" t="s">
        <v>131</v>
      </c>
      <c r="N113" s="13"/>
      <c r="O113" s="1" t="s">
        <v>4091</v>
      </c>
      <c r="P113" s="4"/>
      <c r="Q113" s="1" t="s">
        <v>137</v>
      </c>
      <c r="R113" s="1" t="s">
        <v>137</v>
      </c>
      <c r="S113" s="1" t="s">
        <v>47</v>
      </c>
      <c r="T113" s="1" t="s">
        <v>4245</v>
      </c>
      <c r="U113" s="1" t="s">
        <v>1577</v>
      </c>
      <c r="V113" s="1" t="s">
        <v>2000</v>
      </c>
      <c r="W113" s="3">
        <v>46367.0</v>
      </c>
      <c r="X113" s="13"/>
    </row>
    <row r="114">
      <c r="A114" s="1" t="s">
        <v>2702</v>
      </c>
      <c r="B114" s="1" t="s">
        <v>2501</v>
      </c>
      <c r="C114" s="1" t="s">
        <v>2501</v>
      </c>
      <c r="D114" s="1" t="s">
        <v>2502</v>
      </c>
      <c r="E114" s="1" t="s">
        <v>4248</v>
      </c>
      <c r="F114" s="1" t="s">
        <v>4250</v>
      </c>
      <c r="G114" s="3">
        <v>46188.0</v>
      </c>
      <c r="H114" s="3">
        <v>46314.0</v>
      </c>
      <c r="I114" s="13"/>
      <c r="J114" s="1" t="s">
        <v>124</v>
      </c>
      <c r="K114" s="1" t="s">
        <v>160</v>
      </c>
      <c r="L114" s="1" t="s">
        <v>460</v>
      </c>
      <c r="M114" s="1" t="s">
        <v>131</v>
      </c>
      <c r="N114" s="13"/>
      <c r="O114" s="1" t="s">
        <v>4256</v>
      </c>
      <c r="P114" s="4"/>
      <c r="Q114" s="1" t="s">
        <v>137</v>
      </c>
      <c r="R114" s="1" t="s">
        <v>137</v>
      </c>
      <c r="S114" s="1" t="s">
        <v>47</v>
      </c>
      <c r="T114" s="1" t="s">
        <v>4259</v>
      </c>
      <c r="U114" s="1" t="s">
        <v>1577</v>
      </c>
      <c r="V114" s="1" t="s">
        <v>2302</v>
      </c>
      <c r="W114" s="3">
        <v>46300.0</v>
      </c>
      <c r="X114" s="13"/>
    </row>
    <row r="115">
      <c r="A115" s="1" t="s">
        <v>2704</v>
      </c>
      <c r="B115" s="1" t="s">
        <v>2705</v>
      </c>
      <c r="C115" s="1" t="s">
        <v>2705</v>
      </c>
      <c r="D115" s="1" t="s">
        <v>3326</v>
      </c>
      <c r="E115" s="1" t="s">
        <v>3639</v>
      </c>
      <c r="F115" s="1" t="s">
        <v>4266</v>
      </c>
      <c r="G115" s="3">
        <v>46177.0</v>
      </c>
      <c r="H115" s="3">
        <v>46349.0</v>
      </c>
      <c r="I115" s="13"/>
      <c r="J115" s="1" t="s">
        <v>124</v>
      </c>
      <c r="K115" s="1" t="s">
        <v>98</v>
      </c>
      <c r="L115" s="1" t="s">
        <v>335</v>
      </c>
      <c r="M115" s="1" t="s">
        <v>131</v>
      </c>
      <c r="N115" s="13"/>
      <c r="O115" s="1" t="s">
        <v>4270</v>
      </c>
      <c r="P115" s="4"/>
      <c r="Q115" s="1" t="s">
        <v>137</v>
      </c>
      <c r="R115" s="1" t="s">
        <v>137</v>
      </c>
      <c r="S115" s="1" t="s">
        <v>47</v>
      </c>
      <c r="T115" s="1" t="s">
        <v>4272</v>
      </c>
      <c r="U115" s="1" t="s">
        <v>1577</v>
      </c>
      <c r="V115" s="1" t="s">
        <v>1579</v>
      </c>
      <c r="W115" s="3">
        <v>46349.0</v>
      </c>
      <c r="X115" s="13"/>
    </row>
    <row r="116">
      <c r="A116" s="1" t="s">
        <v>2711</v>
      </c>
      <c r="B116" s="1" t="s">
        <v>2712</v>
      </c>
      <c r="C116" s="1" t="s">
        <v>2712</v>
      </c>
      <c r="D116" s="1" t="s">
        <v>116</v>
      </c>
      <c r="E116" s="1" t="s">
        <v>4277</v>
      </c>
      <c r="F116" s="1" t="s">
        <v>4278</v>
      </c>
      <c r="G116" s="3">
        <v>46181.0</v>
      </c>
      <c r="H116" s="3">
        <v>46356.0</v>
      </c>
      <c r="I116" s="13"/>
      <c r="J116" s="1" t="s">
        <v>124</v>
      </c>
      <c r="K116" s="1" t="s">
        <v>160</v>
      </c>
      <c r="L116" s="1" t="s">
        <v>300</v>
      </c>
      <c r="M116" s="1" t="s">
        <v>131</v>
      </c>
      <c r="N116" s="13"/>
      <c r="O116" s="1" t="s">
        <v>3690</v>
      </c>
      <c r="P116" s="4"/>
      <c r="Q116" s="1" t="s">
        <v>137</v>
      </c>
      <c r="R116" s="1" t="s">
        <v>137</v>
      </c>
      <c r="S116" s="1" t="s">
        <v>47</v>
      </c>
      <c r="T116" s="1" t="s">
        <v>4283</v>
      </c>
      <c r="U116" s="1" t="s">
        <v>1577</v>
      </c>
      <c r="V116" s="1" t="s">
        <v>2000</v>
      </c>
      <c r="W116" s="3">
        <v>46363.0</v>
      </c>
      <c r="X116" s="13"/>
    </row>
    <row r="117">
      <c r="A117" s="1" t="s">
        <v>2714</v>
      </c>
      <c r="B117" s="1" t="s">
        <v>2712</v>
      </c>
      <c r="C117" s="1" t="s">
        <v>2712</v>
      </c>
      <c r="D117" s="1" t="s">
        <v>116</v>
      </c>
      <c r="E117" s="1" t="s">
        <v>4277</v>
      </c>
      <c r="F117" s="1" t="s">
        <v>4287</v>
      </c>
      <c r="G117" s="3">
        <v>46181.0</v>
      </c>
      <c r="H117" s="3">
        <v>46356.0</v>
      </c>
      <c r="I117" s="13"/>
      <c r="J117" s="1" t="s">
        <v>124</v>
      </c>
      <c r="K117" s="1" t="s">
        <v>160</v>
      </c>
      <c r="L117" s="1" t="s">
        <v>300</v>
      </c>
      <c r="M117" s="1" t="s">
        <v>131</v>
      </c>
      <c r="N117" s="13"/>
      <c r="O117" s="1" t="s">
        <v>3690</v>
      </c>
      <c r="P117" s="4"/>
      <c r="Q117" s="1" t="s">
        <v>137</v>
      </c>
      <c r="R117" s="1" t="s">
        <v>137</v>
      </c>
      <c r="S117" s="1" t="s">
        <v>47</v>
      </c>
      <c r="T117" s="1" t="s">
        <v>4283</v>
      </c>
      <c r="U117" s="1" t="s">
        <v>1577</v>
      </c>
      <c r="V117" s="1" t="s">
        <v>1995</v>
      </c>
      <c r="W117" s="3">
        <v>46363.0</v>
      </c>
      <c r="X117" s="13"/>
    </row>
    <row r="118">
      <c r="A118" s="1" t="s">
        <v>2719</v>
      </c>
      <c r="B118" s="1" t="s">
        <v>2194</v>
      </c>
      <c r="C118" s="1" t="s">
        <v>2194</v>
      </c>
      <c r="D118" s="1" t="s">
        <v>116</v>
      </c>
      <c r="E118" s="1" t="s">
        <v>4298</v>
      </c>
      <c r="F118" s="1" t="s">
        <v>4300</v>
      </c>
      <c r="G118" s="3">
        <v>46182.0</v>
      </c>
      <c r="H118" s="3">
        <v>46363.0</v>
      </c>
      <c r="I118" s="13"/>
      <c r="J118" s="1" t="s">
        <v>124</v>
      </c>
      <c r="K118" s="1" t="s">
        <v>71</v>
      </c>
      <c r="L118" s="1" t="s">
        <v>335</v>
      </c>
      <c r="M118" s="1" t="s">
        <v>131</v>
      </c>
      <c r="N118" s="13"/>
      <c r="O118" s="1" t="s">
        <v>4306</v>
      </c>
      <c r="P118" s="4"/>
      <c r="Q118" s="1" t="s">
        <v>137</v>
      </c>
      <c r="R118" s="1" t="s">
        <v>137</v>
      </c>
      <c r="S118" s="1" t="s">
        <v>47</v>
      </c>
      <c r="T118" s="1" t="s">
        <v>4308</v>
      </c>
      <c r="U118" s="1" t="s">
        <v>1577</v>
      </c>
      <c r="V118" s="1" t="s">
        <v>1579</v>
      </c>
      <c r="W118" s="3">
        <v>46374.0</v>
      </c>
      <c r="X118" s="13"/>
    </row>
    <row r="119">
      <c r="A119" s="1" t="s">
        <v>2724</v>
      </c>
      <c r="B119" s="1" t="s">
        <v>2725</v>
      </c>
      <c r="C119" s="1" t="s">
        <v>2725</v>
      </c>
      <c r="D119" s="1" t="s">
        <v>116</v>
      </c>
      <c r="E119" s="1" t="s">
        <v>4311</v>
      </c>
      <c r="F119" s="1" t="s">
        <v>4312</v>
      </c>
      <c r="G119" s="3">
        <v>46183.0</v>
      </c>
      <c r="H119" s="3">
        <v>46321.0</v>
      </c>
      <c r="I119" s="13"/>
      <c r="J119" s="1" t="s">
        <v>124</v>
      </c>
      <c r="K119" s="1" t="s">
        <v>160</v>
      </c>
      <c r="L119" s="1" t="s">
        <v>162</v>
      </c>
      <c r="M119" s="1" t="s">
        <v>131</v>
      </c>
      <c r="N119" s="13"/>
      <c r="O119" s="1" t="s">
        <v>4318</v>
      </c>
      <c r="P119" s="4"/>
      <c r="Q119" s="1" t="s">
        <v>137</v>
      </c>
      <c r="R119" s="1" t="s">
        <v>137</v>
      </c>
      <c r="S119" s="1" t="s">
        <v>47</v>
      </c>
      <c r="T119" s="1" t="s">
        <v>4321</v>
      </c>
      <c r="U119" s="1" t="s">
        <v>1577</v>
      </c>
      <c r="V119" s="1" t="s">
        <v>1579</v>
      </c>
      <c r="W119" s="3">
        <v>46387.0</v>
      </c>
      <c r="X119" s="13"/>
    </row>
    <row r="120">
      <c r="A120" s="1" t="s">
        <v>2727</v>
      </c>
      <c r="B120" s="1" t="s">
        <v>1485</v>
      </c>
      <c r="C120" s="1" t="s">
        <v>1485</v>
      </c>
      <c r="D120" s="1" t="s">
        <v>116</v>
      </c>
      <c r="E120" s="1" t="s">
        <v>4326</v>
      </c>
      <c r="F120" s="1" t="s">
        <v>4329</v>
      </c>
      <c r="G120" s="3">
        <v>46183.0</v>
      </c>
      <c r="H120" s="3">
        <v>46339.0</v>
      </c>
      <c r="I120" s="13"/>
      <c r="J120" s="1" t="s">
        <v>124</v>
      </c>
      <c r="K120" s="1" t="s">
        <v>160</v>
      </c>
      <c r="L120" s="1" t="s">
        <v>300</v>
      </c>
      <c r="M120" s="1" t="s">
        <v>131</v>
      </c>
      <c r="N120" s="13"/>
      <c r="O120" s="1" t="s">
        <v>4331</v>
      </c>
      <c r="P120" s="4"/>
      <c r="Q120" s="1" t="s">
        <v>137</v>
      </c>
      <c r="R120" s="1" t="s">
        <v>137</v>
      </c>
      <c r="S120" s="1" t="s">
        <v>47</v>
      </c>
      <c r="T120" s="1" t="s">
        <v>1494</v>
      </c>
      <c r="U120" s="1" t="s">
        <v>1577</v>
      </c>
      <c r="V120" s="1" t="s">
        <v>1579</v>
      </c>
      <c r="W120" s="3">
        <v>46342.0</v>
      </c>
      <c r="X120" s="13"/>
    </row>
    <row r="121">
      <c r="A121" s="1" t="s">
        <v>2738</v>
      </c>
      <c r="B121" s="1" t="s">
        <v>2739</v>
      </c>
      <c r="C121" s="1" t="s">
        <v>2739</v>
      </c>
      <c r="D121" s="1" t="s">
        <v>2964</v>
      </c>
      <c r="E121" s="1" t="s">
        <v>4338</v>
      </c>
      <c r="F121" s="1" t="s">
        <v>4339</v>
      </c>
      <c r="G121" s="3">
        <v>46189.0</v>
      </c>
      <c r="H121" s="3">
        <v>46374.0</v>
      </c>
      <c r="I121" s="13"/>
      <c r="J121" s="1" t="s">
        <v>124</v>
      </c>
      <c r="K121" s="1" t="s">
        <v>98</v>
      </c>
      <c r="L121" s="1" t="s">
        <v>162</v>
      </c>
      <c r="M121" s="1" t="s">
        <v>365</v>
      </c>
      <c r="N121" s="13"/>
      <c r="O121" s="1" t="s">
        <v>3738</v>
      </c>
      <c r="P121" s="4"/>
      <c r="Q121" s="1" t="s">
        <v>137</v>
      </c>
      <c r="R121" s="1" t="s">
        <v>137</v>
      </c>
      <c r="S121" s="1" t="s">
        <v>47</v>
      </c>
      <c r="T121" s="1" t="s">
        <v>4348</v>
      </c>
      <c r="U121" s="1" t="s">
        <v>1577</v>
      </c>
      <c r="V121" s="1" t="s">
        <v>1579</v>
      </c>
      <c r="W121" s="3">
        <v>46374.0</v>
      </c>
      <c r="X121" s="13"/>
    </row>
    <row r="122">
      <c r="A122" s="1" t="s">
        <v>2777</v>
      </c>
      <c r="B122" s="1" t="s">
        <v>2778</v>
      </c>
      <c r="C122" s="1" t="s">
        <v>2778</v>
      </c>
      <c r="D122" s="1" t="s">
        <v>4352</v>
      </c>
      <c r="E122" s="1" t="s">
        <v>4353</v>
      </c>
      <c r="F122" s="1" t="s">
        <v>4355</v>
      </c>
      <c r="G122" s="3">
        <v>46196.0</v>
      </c>
      <c r="H122" s="3">
        <v>46359.0</v>
      </c>
      <c r="I122" s="13"/>
      <c r="J122" s="1" t="s">
        <v>124</v>
      </c>
      <c r="K122" s="1" t="s">
        <v>71</v>
      </c>
      <c r="L122" s="1" t="s">
        <v>335</v>
      </c>
      <c r="M122" s="1" t="s">
        <v>131</v>
      </c>
      <c r="N122" s="13"/>
      <c r="O122" s="1" t="s">
        <v>3930</v>
      </c>
      <c r="P122" s="4"/>
      <c r="Q122" s="1" t="s">
        <v>137</v>
      </c>
      <c r="R122" s="1" t="s">
        <v>137</v>
      </c>
      <c r="S122" s="1" t="s">
        <v>47</v>
      </c>
      <c r="T122" s="1" t="s">
        <v>4362</v>
      </c>
      <c r="U122" s="1" t="s">
        <v>1577</v>
      </c>
      <c r="V122" s="1" t="s">
        <v>1579</v>
      </c>
      <c r="W122" s="3">
        <v>46359.0</v>
      </c>
      <c r="X122" s="13"/>
    </row>
    <row r="123">
      <c r="A123" s="1" t="s">
        <v>2780</v>
      </c>
      <c r="B123" s="1" t="s">
        <v>2525</v>
      </c>
      <c r="C123" s="1" t="s">
        <v>2525</v>
      </c>
      <c r="D123" s="1" t="s">
        <v>116</v>
      </c>
      <c r="E123" s="1" t="s">
        <v>4365</v>
      </c>
      <c r="F123" s="1" t="s">
        <v>4366</v>
      </c>
      <c r="G123" s="3">
        <v>46196.0</v>
      </c>
      <c r="H123" s="3">
        <v>46318.0</v>
      </c>
      <c r="I123" s="13"/>
      <c r="J123" s="1" t="s">
        <v>124</v>
      </c>
      <c r="K123" s="1" t="s">
        <v>160</v>
      </c>
      <c r="L123" s="1" t="s">
        <v>162</v>
      </c>
      <c r="M123" s="1" t="s">
        <v>131</v>
      </c>
      <c r="N123" s="13"/>
      <c r="P123" s="4"/>
      <c r="Q123" s="1" t="s">
        <v>665</v>
      </c>
      <c r="R123" s="1" t="s">
        <v>665</v>
      </c>
      <c r="S123" s="1" t="s">
        <v>666</v>
      </c>
      <c r="T123" s="1" t="s">
        <v>4372</v>
      </c>
      <c r="U123" s="1" t="s">
        <v>1577</v>
      </c>
      <c r="V123" s="1" t="s">
        <v>1579</v>
      </c>
      <c r="W123" s="3">
        <v>46321.0</v>
      </c>
      <c r="X123" s="13"/>
    </row>
    <row r="124">
      <c r="A124" s="1" t="s">
        <v>2816</v>
      </c>
      <c r="B124" s="1" t="s">
        <v>2817</v>
      </c>
      <c r="C124" s="1" t="s">
        <v>2817</v>
      </c>
      <c r="D124" s="1" t="s">
        <v>116</v>
      </c>
      <c r="E124" s="1" t="s">
        <v>4376</v>
      </c>
      <c r="F124" s="1" t="s">
        <v>4377</v>
      </c>
      <c r="G124" s="3">
        <v>46203.0</v>
      </c>
      <c r="H124" s="3">
        <v>46363.0</v>
      </c>
      <c r="I124" s="3"/>
      <c r="J124" s="1" t="s">
        <v>124</v>
      </c>
      <c r="K124" s="1" t="s">
        <v>71</v>
      </c>
      <c r="L124" s="1" t="s">
        <v>162</v>
      </c>
      <c r="M124" s="1" t="s">
        <v>472</v>
      </c>
      <c r="N124" s="13"/>
      <c r="O124" s="1"/>
      <c r="P124" s="4"/>
      <c r="Q124" s="1" t="s">
        <v>665</v>
      </c>
      <c r="R124" s="1" t="s">
        <v>665</v>
      </c>
      <c r="S124" s="1" t="s">
        <v>666</v>
      </c>
      <c r="T124" s="1" t="s">
        <v>4384</v>
      </c>
      <c r="U124" s="1" t="s">
        <v>1577</v>
      </c>
      <c r="V124" s="1" t="s">
        <v>1579</v>
      </c>
      <c r="W124" s="3">
        <v>46363.0</v>
      </c>
      <c r="X124" s="3"/>
    </row>
    <row r="125">
      <c r="A125" s="1" t="s">
        <v>2822</v>
      </c>
      <c r="B125" s="1" t="s">
        <v>669</v>
      </c>
      <c r="C125" s="1" t="s">
        <v>669</v>
      </c>
      <c r="D125" s="1" t="s">
        <v>670</v>
      </c>
      <c r="E125" s="1" t="s">
        <v>4390</v>
      </c>
      <c r="F125" s="1" t="s">
        <v>4391</v>
      </c>
      <c r="G125" s="3">
        <v>46203.0</v>
      </c>
      <c r="H125" s="3">
        <v>46321.0</v>
      </c>
      <c r="I125" s="13"/>
      <c r="J125" s="1" t="s">
        <v>124</v>
      </c>
      <c r="K125" s="1" t="s">
        <v>71</v>
      </c>
      <c r="L125" s="1" t="s">
        <v>460</v>
      </c>
      <c r="M125" s="1" t="s">
        <v>131</v>
      </c>
      <c r="N125" s="13"/>
      <c r="O125" s="1"/>
      <c r="Q125" s="1" t="s">
        <v>665</v>
      </c>
      <c r="R125" s="1" t="s">
        <v>665</v>
      </c>
      <c r="S125" s="1" t="s">
        <v>666</v>
      </c>
      <c r="T125" s="1" t="s">
        <v>4397</v>
      </c>
      <c r="U125" s="1" t="s">
        <v>1577</v>
      </c>
      <c r="V125" s="1" t="s">
        <v>1579</v>
      </c>
      <c r="W125" s="3">
        <v>46342.0</v>
      </c>
      <c r="X125" s="13"/>
    </row>
    <row r="126">
      <c r="A126" s="1" t="s">
        <v>2847</v>
      </c>
      <c r="B126" s="1" t="s">
        <v>1053</v>
      </c>
      <c r="C126" s="1" t="s">
        <v>1053</v>
      </c>
      <c r="D126" s="1" t="s">
        <v>116</v>
      </c>
      <c r="E126" s="1" t="s">
        <v>4402</v>
      </c>
      <c r="F126" s="1" t="s">
        <v>4404</v>
      </c>
      <c r="G126" s="3">
        <v>46204.0</v>
      </c>
      <c r="H126" s="3">
        <v>46279.0</v>
      </c>
      <c r="I126" s="13"/>
      <c r="J126" s="1" t="s">
        <v>124</v>
      </c>
      <c r="K126" s="1" t="s">
        <v>160</v>
      </c>
      <c r="L126" s="1" t="s">
        <v>460</v>
      </c>
      <c r="M126" s="1" t="s">
        <v>131</v>
      </c>
      <c r="N126" s="13"/>
      <c r="O126" s="1" t="s">
        <v>4408</v>
      </c>
      <c r="P126" s="4"/>
      <c r="Q126" s="1" t="s">
        <v>137</v>
      </c>
      <c r="R126" s="1" t="s">
        <v>137</v>
      </c>
      <c r="S126" s="1" t="s">
        <v>47</v>
      </c>
      <c r="T126" s="1" t="s">
        <v>4410</v>
      </c>
      <c r="U126" s="1" t="s">
        <v>1577</v>
      </c>
      <c r="V126" s="1" t="s">
        <v>1991</v>
      </c>
      <c r="W126" s="3">
        <v>46279.0</v>
      </c>
      <c r="X126" s="13"/>
    </row>
    <row r="127">
      <c r="A127" s="1" t="s">
        <v>2858</v>
      </c>
      <c r="B127" s="1" t="s">
        <v>2853</v>
      </c>
      <c r="C127" s="1" t="s">
        <v>2853</v>
      </c>
      <c r="D127" s="1" t="s">
        <v>4415</v>
      </c>
      <c r="E127" s="1" t="s">
        <v>4416</v>
      </c>
      <c r="F127" s="1" t="s">
        <v>4418</v>
      </c>
      <c r="G127" s="3">
        <v>46205.0</v>
      </c>
      <c r="H127" s="3">
        <v>46388.0</v>
      </c>
      <c r="I127" s="4"/>
      <c r="J127" s="1" t="s">
        <v>124</v>
      </c>
      <c r="K127" s="1" t="s">
        <v>3079</v>
      </c>
      <c r="L127" s="1" t="s">
        <v>460</v>
      </c>
      <c r="M127" s="1" t="s">
        <v>131</v>
      </c>
      <c r="O127" s="4"/>
      <c r="P127" s="4"/>
      <c r="Q127" s="1" t="s">
        <v>3080</v>
      </c>
      <c r="R127" s="1" t="s">
        <v>3080</v>
      </c>
      <c r="S127" s="1" t="s">
        <v>3081</v>
      </c>
      <c r="T127" s="1" t="s">
        <v>4422</v>
      </c>
      <c r="U127" s="1" t="s">
        <v>1577</v>
      </c>
      <c r="V127" s="1" t="s">
        <v>1579</v>
      </c>
      <c r="W127" s="3">
        <v>46478.0</v>
      </c>
    </row>
    <row r="128">
      <c r="A128" s="1" t="s">
        <v>2852</v>
      </c>
      <c r="B128" s="1" t="s">
        <v>2853</v>
      </c>
      <c r="C128" s="1" t="s">
        <v>2853</v>
      </c>
      <c r="D128" s="1" t="s">
        <v>4415</v>
      </c>
      <c r="E128" s="1" t="s">
        <v>4416</v>
      </c>
      <c r="F128" s="1" t="s">
        <v>4427</v>
      </c>
      <c r="G128" s="3">
        <v>46205.0</v>
      </c>
      <c r="H128" s="3">
        <v>46388.0</v>
      </c>
      <c r="I128" s="3"/>
      <c r="J128" s="1" t="s">
        <v>124</v>
      </c>
      <c r="K128" s="1" t="s">
        <v>3079</v>
      </c>
      <c r="L128" s="1" t="s">
        <v>460</v>
      </c>
      <c r="M128" s="1" t="s">
        <v>131</v>
      </c>
      <c r="N128" s="3"/>
      <c r="O128" s="1"/>
      <c r="P128" s="4"/>
      <c r="Q128" s="1" t="s">
        <v>3080</v>
      </c>
      <c r="R128" s="1" t="s">
        <v>3080</v>
      </c>
      <c r="S128" s="1" t="s">
        <v>3081</v>
      </c>
      <c r="T128" s="1" t="s">
        <v>4422</v>
      </c>
      <c r="U128" s="1" t="s">
        <v>1577</v>
      </c>
      <c r="V128" s="1" t="s">
        <v>2000</v>
      </c>
      <c r="W128" s="3">
        <v>46478.0</v>
      </c>
      <c r="X128" s="3"/>
    </row>
    <row r="129">
      <c r="A129" s="1" t="s">
        <v>2854</v>
      </c>
      <c r="B129" s="1" t="s">
        <v>2853</v>
      </c>
      <c r="C129" s="1" t="s">
        <v>2853</v>
      </c>
      <c r="D129" s="1" t="s">
        <v>4415</v>
      </c>
      <c r="E129" s="1" t="s">
        <v>4416</v>
      </c>
      <c r="F129" s="1" t="s">
        <v>4436</v>
      </c>
      <c r="G129" s="3">
        <v>46205.0</v>
      </c>
      <c r="H129" s="3">
        <v>46388.0</v>
      </c>
      <c r="I129" s="13"/>
      <c r="J129" s="1" t="s">
        <v>124</v>
      </c>
      <c r="K129" s="1" t="s">
        <v>3079</v>
      </c>
      <c r="L129" s="1" t="s">
        <v>460</v>
      </c>
      <c r="M129" s="1" t="s">
        <v>131</v>
      </c>
      <c r="N129" s="13"/>
      <c r="O129" s="1"/>
      <c r="P129" s="4"/>
      <c r="Q129" s="1" t="s">
        <v>3080</v>
      </c>
      <c r="R129" s="1" t="s">
        <v>3080</v>
      </c>
      <c r="S129" s="1" t="s">
        <v>3081</v>
      </c>
      <c r="T129" s="1" t="s">
        <v>4422</v>
      </c>
      <c r="U129" s="1" t="s">
        <v>1577</v>
      </c>
      <c r="V129" s="1" t="s">
        <v>2002</v>
      </c>
      <c r="W129" s="3">
        <v>46478.0</v>
      </c>
      <c r="X129" s="13"/>
    </row>
    <row r="130">
      <c r="A130" s="1" t="s">
        <v>4443</v>
      </c>
      <c r="B130" s="1" t="s">
        <v>3853</v>
      </c>
      <c r="C130" s="1" t="s">
        <v>3853</v>
      </c>
      <c r="D130" s="1" t="s">
        <v>191</v>
      </c>
      <c r="E130" s="1" t="s">
        <v>3542</v>
      </c>
      <c r="F130" s="1" t="s">
        <v>4445</v>
      </c>
      <c r="G130" s="3">
        <v>46412.0</v>
      </c>
      <c r="H130" s="3">
        <v>46587.0</v>
      </c>
      <c r="I130" s="13"/>
      <c r="J130" s="1" t="s">
        <v>124</v>
      </c>
      <c r="K130" s="1" t="s">
        <v>251</v>
      </c>
      <c r="L130" s="1" t="s">
        <v>162</v>
      </c>
      <c r="M130" s="1" t="s">
        <v>131</v>
      </c>
      <c r="N130" s="13"/>
      <c r="O130" s="1" t="s">
        <v>4450</v>
      </c>
      <c r="P130" s="4"/>
      <c r="Q130" s="1" t="s">
        <v>137</v>
      </c>
      <c r="R130" s="1" t="s">
        <v>137</v>
      </c>
      <c r="S130" s="1" t="s">
        <v>47</v>
      </c>
      <c r="T130" s="1" t="s">
        <v>4452</v>
      </c>
      <c r="U130" s="1" t="s">
        <v>1577</v>
      </c>
      <c r="V130" s="1" t="s">
        <v>3963</v>
      </c>
      <c r="W130" s="3">
        <v>46587.0</v>
      </c>
      <c r="X130" s="13"/>
    </row>
    <row r="131">
      <c r="A131" s="1" t="s">
        <v>4454</v>
      </c>
      <c r="B131" s="1" t="s">
        <v>3853</v>
      </c>
      <c r="C131" s="1" t="s">
        <v>3853</v>
      </c>
      <c r="D131" s="1" t="s">
        <v>191</v>
      </c>
      <c r="E131" s="1" t="s">
        <v>3542</v>
      </c>
      <c r="F131" s="1" t="s">
        <v>4458</v>
      </c>
      <c r="G131" s="3">
        <v>46412.0</v>
      </c>
      <c r="H131" s="3">
        <v>46587.0</v>
      </c>
      <c r="I131" s="3"/>
      <c r="J131" s="1" t="s">
        <v>124</v>
      </c>
      <c r="K131" s="1" t="s">
        <v>251</v>
      </c>
      <c r="L131" s="1" t="s">
        <v>162</v>
      </c>
      <c r="M131" s="1" t="s">
        <v>131</v>
      </c>
      <c r="N131" s="3"/>
      <c r="O131" s="1" t="s">
        <v>4461</v>
      </c>
      <c r="P131" s="4"/>
      <c r="Q131" s="1" t="s">
        <v>137</v>
      </c>
      <c r="R131" s="1" t="s">
        <v>137</v>
      </c>
      <c r="S131" s="1" t="s">
        <v>47</v>
      </c>
      <c r="T131" s="1" t="s">
        <v>4452</v>
      </c>
      <c r="U131" s="1" t="s">
        <v>1577</v>
      </c>
      <c r="V131" s="1" t="s">
        <v>4175</v>
      </c>
      <c r="W131" s="3">
        <v>46587.0</v>
      </c>
      <c r="X131" s="3"/>
    </row>
    <row r="132">
      <c r="A132" s="1" t="s">
        <v>2927</v>
      </c>
      <c r="B132" s="1" t="s">
        <v>2928</v>
      </c>
      <c r="C132" s="1" t="s">
        <v>2928</v>
      </c>
      <c r="D132" s="1" t="s">
        <v>116</v>
      </c>
      <c r="E132" s="1" t="s">
        <v>4466</v>
      </c>
      <c r="F132" s="1" t="s">
        <v>4468</v>
      </c>
      <c r="G132" s="3">
        <v>46224.0</v>
      </c>
      <c r="H132" s="3">
        <v>46266.0</v>
      </c>
      <c r="I132" s="3">
        <v>46266.0</v>
      </c>
      <c r="J132" s="1" t="s">
        <v>215</v>
      </c>
      <c r="K132" s="1" t="s">
        <v>98</v>
      </c>
      <c r="L132" s="1" t="s">
        <v>216</v>
      </c>
      <c r="M132" s="1" t="s">
        <v>131</v>
      </c>
      <c r="N132" s="3">
        <v>46266.0</v>
      </c>
      <c r="O132" s="1" t="s">
        <v>3699</v>
      </c>
      <c r="P132" s="4"/>
      <c r="Q132" s="1" t="s">
        <v>137</v>
      </c>
      <c r="R132" s="1" t="s">
        <v>137</v>
      </c>
      <c r="S132" s="1" t="s">
        <v>47</v>
      </c>
      <c r="T132" s="1" t="s">
        <v>4471</v>
      </c>
      <c r="U132" s="1" t="s">
        <v>1577</v>
      </c>
      <c r="V132" s="1" t="s">
        <v>1579</v>
      </c>
      <c r="W132" s="3">
        <v>46296.0</v>
      </c>
      <c r="X132" s="3">
        <v>46266.0</v>
      </c>
    </row>
    <row r="133">
      <c r="A133" s="1" t="s">
        <v>2930</v>
      </c>
      <c r="B133" s="1" t="s">
        <v>2149</v>
      </c>
      <c r="C133" s="1" t="s">
        <v>2149</v>
      </c>
      <c r="D133" s="1" t="s">
        <v>116</v>
      </c>
      <c r="E133" s="1" t="s">
        <v>3965</v>
      </c>
      <c r="F133" s="1" t="s">
        <v>4477</v>
      </c>
      <c r="G133" s="3">
        <v>46225.0</v>
      </c>
      <c r="H133" s="3">
        <v>46374.0</v>
      </c>
      <c r="I133" s="13"/>
      <c r="J133" s="1" t="s">
        <v>124</v>
      </c>
      <c r="K133" s="1" t="s">
        <v>160</v>
      </c>
      <c r="L133" s="1" t="s">
        <v>162</v>
      </c>
      <c r="M133" s="1" t="s">
        <v>131</v>
      </c>
      <c r="N133" s="13"/>
      <c r="O133" s="1"/>
      <c r="P133" s="4"/>
      <c r="Q133" s="1" t="s">
        <v>665</v>
      </c>
      <c r="R133" s="1" t="s">
        <v>665</v>
      </c>
      <c r="S133" s="1" t="s">
        <v>666</v>
      </c>
      <c r="T133" s="1" t="s">
        <v>4482</v>
      </c>
      <c r="U133" s="1" t="s">
        <v>1577</v>
      </c>
      <c r="V133" s="1" t="s">
        <v>1579</v>
      </c>
      <c r="W133" s="3">
        <v>46374.0</v>
      </c>
      <c r="X133" s="13"/>
    </row>
    <row r="134">
      <c r="A134" s="1" t="s">
        <v>2932</v>
      </c>
      <c r="B134" s="1" t="s">
        <v>2933</v>
      </c>
      <c r="C134" s="1" t="s">
        <v>2933</v>
      </c>
      <c r="D134" s="1" t="s">
        <v>3119</v>
      </c>
      <c r="E134" s="1" t="s">
        <v>4487</v>
      </c>
      <c r="F134" s="1" t="s">
        <v>4489</v>
      </c>
      <c r="G134" s="3">
        <v>46209.0</v>
      </c>
      <c r="H134" s="3">
        <v>46342.0</v>
      </c>
      <c r="I134" s="13"/>
      <c r="J134" s="1" t="s">
        <v>124</v>
      </c>
      <c r="K134" s="1" t="s">
        <v>98</v>
      </c>
      <c r="L134" s="1" t="s">
        <v>335</v>
      </c>
      <c r="M134" s="1" t="s">
        <v>131</v>
      </c>
      <c r="N134" s="13"/>
      <c r="O134" s="1" t="s">
        <v>4491</v>
      </c>
      <c r="P134" s="4"/>
      <c r="Q134" s="1" t="s">
        <v>665</v>
      </c>
      <c r="R134" s="1" t="s">
        <v>665</v>
      </c>
      <c r="S134" s="1" t="s">
        <v>666</v>
      </c>
      <c r="T134" s="1" t="s">
        <v>4492</v>
      </c>
      <c r="U134" s="1" t="s">
        <v>1577</v>
      </c>
      <c r="V134" s="1" t="s">
        <v>1579</v>
      </c>
      <c r="W134" s="3">
        <v>46342.0</v>
      </c>
      <c r="X134" s="13"/>
    </row>
    <row r="135">
      <c r="A135" s="1" t="s">
        <v>2953</v>
      </c>
      <c r="B135" s="1" t="s">
        <v>2954</v>
      </c>
      <c r="C135" s="1" t="s">
        <v>2954</v>
      </c>
      <c r="D135" s="1" t="s">
        <v>116</v>
      </c>
      <c r="E135" s="1" t="s">
        <v>4496</v>
      </c>
      <c r="F135" s="1" t="s">
        <v>4497</v>
      </c>
      <c r="G135" s="3">
        <v>46238.0</v>
      </c>
      <c r="H135" s="3"/>
      <c r="I135" s="13"/>
      <c r="J135" s="1" t="s">
        <v>124</v>
      </c>
      <c r="K135" s="1" t="s">
        <v>71</v>
      </c>
      <c r="L135" s="1" t="s">
        <v>335</v>
      </c>
      <c r="M135" s="1" t="s">
        <v>131</v>
      </c>
      <c r="N135" s="13"/>
      <c r="O135" s="1" t="s">
        <v>3930</v>
      </c>
      <c r="P135" s="4"/>
      <c r="Q135" s="1" t="s">
        <v>137</v>
      </c>
      <c r="R135" s="1" t="s">
        <v>137</v>
      </c>
      <c r="S135" s="1" t="s">
        <v>47</v>
      </c>
      <c r="T135" s="1" t="s">
        <v>4500</v>
      </c>
      <c r="U135" s="1" t="s">
        <v>1577</v>
      </c>
      <c r="V135" s="1" t="s">
        <v>1579</v>
      </c>
      <c r="W135" s="3">
        <v>46413.0</v>
      </c>
      <c r="X135" s="13"/>
    </row>
    <row r="136">
      <c r="A136" s="1" t="s">
        <v>2961</v>
      </c>
      <c r="B136" s="1" t="s">
        <v>2962</v>
      </c>
      <c r="C136" s="1" t="s">
        <v>2962</v>
      </c>
      <c r="D136" s="1" t="s">
        <v>3246</v>
      </c>
      <c r="E136" s="1" t="s">
        <v>4507</v>
      </c>
      <c r="F136" s="1" t="s">
        <v>4510</v>
      </c>
      <c r="G136" s="3">
        <v>46237.0</v>
      </c>
      <c r="H136" s="3">
        <v>46426.0</v>
      </c>
      <c r="I136" s="13"/>
      <c r="J136" s="1" t="s">
        <v>124</v>
      </c>
      <c r="K136" s="1" t="s">
        <v>160</v>
      </c>
      <c r="L136" s="1" t="s">
        <v>300</v>
      </c>
      <c r="M136" s="1" t="s">
        <v>131</v>
      </c>
      <c r="O136" s="1" t="s">
        <v>4519</v>
      </c>
      <c r="Q136" s="1" t="s">
        <v>137</v>
      </c>
      <c r="R136" s="1" t="s">
        <v>137</v>
      </c>
      <c r="S136" s="1" t="s">
        <v>47</v>
      </c>
      <c r="T136" s="1" t="s">
        <v>4525</v>
      </c>
      <c r="U136" s="1" t="s">
        <v>1577</v>
      </c>
      <c r="V136" s="1" t="s">
        <v>1579</v>
      </c>
      <c r="W136" s="3">
        <v>46426.0</v>
      </c>
      <c r="X136" s="13"/>
    </row>
    <row r="137">
      <c r="A137" s="1" t="s">
        <v>2966</v>
      </c>
      <c r="B137" s="1" t="s">
        <v>2967</v>
      </c>
      <c r="C137" s="1" t="s">
        <v>2967</v>
      </c>
      <c r="D137" s="1" t="s">
        <v>3246</v>
      </c>
      <c r="E137" s="1" t="s">
        <v>4534</v>
      </c>
      <c r="F137" s="1" t="s">
        <v>4537</v>
      </c>
      <c r="G137" s="3">
        <v>46230.0</v>
      </c>
      <c r="H137" s="3">
        <v>46370.0</v>
      </c>
      <c r="I137" s="13"/>
      <c r="J137" s="1" t="s">
        <v>124</v>
      </c>
      <c r="K137" s="1" t="s">
        <v>160</v>
      </c>
      <c r="L137" s="1" t="s">
        <v>300</v>
      </c>
      <c r="M137" s="1" t="s">
        <v>131</v>
      </c>
      <c r="N137" s="13"/>
      <c r="O137" s="1" t="s">
        <v>4540</v>
      </c>
      <c r="Q137" s="1" t="s">
        <v>137</v>
      </c>
      <c r="R137" s="1" t="s">
        <v>137</v>
      </c>
      <c r="S137" s="1" t="s">
        <v>47</v>
      </c>
      <c r="T137" s="1" t="s">
        <v>4542</v>
      </c>
      <c r="U137" s="1" t="s">
        <v>1577</v>
      </c>
      <c r="V137" s="1" t="s">
        <v>1579</v>
      </c>
      <c r="W137" s="3">
        <v>46370.0</v>
      </c>
      <c r="X137" s="13"/>
    </row>
    <row r="138">
      <c r="A138" s="1" t="s">
        <v>2985</v>
      </c>
      <c r="B138" s="1" t="s">
        <v>2643</v>
      </c>
      <c r="C138" s="1" t="s">
        <v>2643</v>
      </c>
      <c r="D138" s="1" t="s">
        <v>2644</v>
      </c>
      <c r="E138" s="1" t="s">
        <v>4551</v>
      </c>
      <c r="F138" s="1" t="s">
        <v>4554</v>
      </c>
      <c r="G138" s="3">
        <v>46244.0</v>
      </c>
      <c r="H138" s="3">
        <v>46419.0</v>
      </c>
      <c r="I138" s="13"/>
      <c r="J138" s="1" t="s">
        <v>124</v>
      </c>
      <c r="K138" s="1" t="s">
        <v>98</v>
      </c>
      <c r="L138" s="1" t="s">
        <v>162</v>
      </c>
      <c r="M138" s="1" t="s">
        <v>131</v>
      </c>
      <c r="N138" s="13"/>
      <c r="O138" s="1"/>
      <c r="P138" s="4"/>
      <c r="Q138" s="1" t="s">
        <v>665</v>
      </c>
      <c r="R138" s="1" t="s">
        <v>665</v>
      </c>
      <c r="S138" s="1" t="s">
        <v>666</v>
      </c>
      <c r="T138" s="1" t="s">
        <v>4559</v>
      </c>
      <c r="U138" s="1" t="s">
        <v>1577</v>
      </c>
      <c r="V138" s="1" t="s">
        <v>1579</v>
      </c>
      <c r="W138" s="3">
        <v>46419.0</v>
      </c>
      <c r="X138" s="13"/>
    </row>
    <row r="139">
      <c r="A139" s="1" t="s">
        <v>2990</v>
      </c>
      <c r="B139" s="1" t="s">
        <v>1997</v>
      </c>
      <c r="C139" s="1" t="s">
        <v>1997</v>
      </c>
      <c r="D139" s="1" t="s">
        <v>116</v>
      </c>
      <c r="E139" s="1" t="s">
        <v>4564</v>
      </c>
      <c r="F139" s="1" t="s">
        <v>4566</v>
      </c>
      <c r="G139" s="3">
        <v>46247.0</v>
      </c>
      <c r="H139" s="3"/>
      <c r="I139" s="13"/>
      <c r="J139" s="1" t="s">
        <v>124</v>
      </c>
      <c r="K139" s="1" t="s">
        <v>71</v>
      </c>
      <c r="L139" s="1" t="s">
        <v>162</v>
      </c>
      <c r="M139" s="1" t="s">
        <v>131</v>
      </c>
      <c r="N139" s="13"/>
      <c r="O139" s="1" t="s">
        <v>4170</v>
      </c>
      <c r="P139" s="4"/>
      <c r="Q139" s="1" t="s">
        <v>137</v>
      </c>
      <c r="R139" s="1" t="s">
        <v>137</v>
      </c>
      <c r="S139" s="1" t="s">
        <v>47</v>
      </c>
      <c r="T139" s="1" t="s">
        <v>4572</v>
      </c>
      <c r="U139" s="1" t="s">
        <v>1577</v>
      </c>
      <c r="V139" s="1" t="s">
        <v>1579</v>
      </c>
      <c r="W139" s="3">
        <v>46391.0</v>
      </c>
      <c r="X139" s="13"/>
    </row>
    <row r="140">
      <c r="A140" s="1" t="s">
        <v>2991</v>
      </c>
      <c r="B140" s="1" t="s">
        <v>2992</v>
      </c>
      <c r="C140" s="1" t="s">
        <v>2992</v>
      </c>
      <c r="D140" s="1" t="s">
        <v>116</v>
      </c>
      <c r="E140" s="1" t="s">
        <v>4585</v>
      </c>
      <c r="F140" s="1" t="s">
        <v>4586</v>
      </c>
      <c r="G140" s="3">
        <v>46247.0</v>
      </c>
      <c r="H140" s="3">
        <v>46391.0</v>
      </c>
      <c r="I140" s="13"/>
      <c r="J140" s="1" t="s">
        <v>124</v>
      </c>
      <c r="K140" s="1" t="s">
        <v>71</v>
      </c>
      <c r="L140" s="1" t="s">
        <v>162</v>
      </c>
      <c r="M140" s="1" t="s">
        <v>131</v>
      </c>
      <c r="N140" s="13"/>
      <c r="O140" s="1" t="s">
        <v>4588</v>
      </c>
      <c r="P140" s="4"/>
      <c r="Q140" s="1" t="s">
        <v>665</v>
      </c>
      <c r="R140" s="1" t="s">
        <v>665</v>
      </c>
      <c r="S140" s="1" t="s">
        <v>666</v>
      </c>
      <c r="T140" s="1" t="s">
        <v>4590</v>
      </c>
      <c r="U140" s="1" t="s">
        <v>1577</v>
      </c>
      <c r="V140" s="1" t="s">
        <v>1579</v>
      </c>
      <c r="W140" s="3">
        <v>46391.0</v>
      </c>
      <c r="X140" s="13"/>
    </row>
    <row r="141">
      <c r="A141" s="1" t="s">
        <v>4593</v>
      </c>
      <c r="B141" s="1" t="s">
        <v>4595</v>
      </c>
      <c r="C141" s="1" t="s">
        <v>4595</v>
      </c>
      <c r="D141" s="1" t="s">
        <v>4599</v>
      </c>
      <c r="E141" s="1" t="s">
        <v>4602</v>
      </c>
      <c r="F141" s="1" t="s">
        <v>4604</v>
      </c>
      <c r="G141" s="3">
        <v>46253.0</v>
      </c>
      <c r="H141" s="3">
        <v>46405.0</v>
      </c>
      <c r="I141" s="13"/>
      <c r="J141" s="1" t="s">
        <v>124</v>
      </c>
      <c r="K141" s="1" t="s">
        <v>160</v>
      </c>
      <c r="L141" s="1" t="s">
        <v>162</v>
      </c>
      <c r="M141" s="1" t="s">
        <v>131</v>
      </c>
      <c r="N141" s="13"/>
      <c r="O141" s="1" t="s">
        <v>4607</v>
      </c>
      <c r="P141" s="4"/>
      <c r="Q141" s="1" t="s">
        <v>137</v>
      </c>
      <c r="R141" s="1" t="s">
        <v>137</v>
      </c>
      <c r="S141" s="1" t="s">
        <v>47</v>
      </c>
      <c r="T141" s="1" t="s">
        <v>4610</v>
      </c>
      <c r="U141" s="1" t="s">
        <v>1577</v>
      </c>
      <c r="V141" s="1" t="s">
        <v>3858</v>
      </c>
      <c r="W141" s="3">
        <v>46405.0</v>
      </c>
      <c r="X141" s="13"/>
    </row>
    <row r="142">
      <c r="A142" s="1" t="s">
        <v>4613</v>
      </c>
      <c r="B142" s="1" t="s">
        <v>4595</v>
      </c>
      <c r="C142" s="1" t="s">
        <v>4595</v>
      </c>
      <c r="D142" s="1" t="s">
        <v>4599</v>
      </c>
      <c r="E142" s="1" t="s">
        <v>4602</v>
      </c>
      <c r="F142" s="1" t="s">
        <v>4618</v>
      </c>
      <c r="G142" s="3">
        <v>46253.0</v>
      </c>
      <c r="H142" s="3">
        <v>46405.0</v>
      </c>
      <c r="I142" s="13"/>
      <c r="J142" s="1" t="s">
        <v>124</v>
      </c>
      <c r="K142" s="1" t="s">
        <v>160</v>
      </c>
      <c r="L142" s="1" t="s">
        <v>162</v>
      </c>
      <c r="M142" s="1" t="s">
        <v>131</v>
      </c>
      <c r="N142" s="13"/>
      <c r="O142" s="1" t="s">
        <v>4607</v>
      </c>
      <c r="P142" s="4"/>
      <c r="Q142" s="1" t="s">
        <v>137</v>
      </c>
      <c r="R142" s="1" t="s">
        <v>137</v>
      </c>
      <c r="S142" s="1" t="s">
        <v>47</v>
      </c>
      <c r="T142" s="1" t="s">
        <v>4610</v>
      </c>
      <c r="U142" s="1" t="s">
        <v>1577</v>
      </c>
      <c r="V142" s="1" t="s">
        <v>4175</v>
      </c>
      <c r="W142" s="3">
        <v>46405.0</v>
      </c>
      <c r="X142" s="13"/>
    </row>
    <row r="143">
      <c r="A143" s="1" t="s">
        <v>4629</v>
      </c>
      <c r="B143" s="1" t="s">
        <v>4595</v>
      </c>
      <c r="C143" s="1" t="s">
        <v>4595</v>
      </c>
      <c r="D143" s="1" t="s">
        <v>4599</v>
      </c>
      <c r="E143" s="1" t="s">
        <v>4602</v>
      </c>
      <c r="F143" s="1" t="s">
        <v>4633</v>
      </c>
      <c r="G143" s="3">
        <v>46253.0</v>
      </c>
      <c r="H143" s="3">
        <v>46405.0</v>
      </c>
      <c r="I143" s="13"/>
      <c r="J143" s="1" t="s">
        <v>124</v>
      </c>
      <c r="K143" s="1" t="s">
        <v>160</v>
      </c>
      <c r="L143" s="1" t="s">
        <v>162</v>
      </c>
      <c r="M143" s="1" t="s">
        <v>131</v>
      </c>
      <c r="N143" s="13"/>
      <c r="O143" s="1" t="s">
        <v>4170</v>
      </c>
      <c r="P143" s="4"/>
      <c r="Q143" s="1" t="s">
        <v>137</v>
      </c>
      <c r="R143" s="1" t="s">
        <v>137</v>
      </c>
      <c r="S143" s="1" t="s">
        <v>47</v>
      </c>
      <c r="T143" s="1" t="s">
        <v>4610</v>
      </c>
      <c r="U143" s="1" t="s">
        <v>1577</v>
      </c>
      <c r="V143" s="1" t="s">
        <v>2000</v>
      </c>
      <c r="W143" s="3">
        <v>46405.0</v>
      </c>
      <c r="X143" s="13"/>
    </row>
    <row r="144">
      <c r="A144" s="1" t="s">
        <v>4646</v>
      </c>
      <c r="B144" s="1" t="s">
        <v>4595</v>
      </c>
      <c r="C144" s="1" t="s">
        <v>4595</v>
      </c>
      <c r="D144" s="1" t="s">
        <v>4599</v>
      </c>
      <c r="E144" s="1" t="s">
        <v>4602</v>
      </c>
      <c r="F144" s="1" t="s">
        <v>4650</v>
      </c>
      <c r="G144" s="3">
        <v>46253.0</v>
      </c>
      <c r="H144" s="3">
        <v>46405.0</v>
      </c>
      <c r="I144" s="13"/>
      <c r="J144" s="1" t="s">
        <v>124</v>
      </c>
      <c r="K144" s="1" t="s">
        <v>160</v>
      </c>
      <c r="L144" s="1" t="s">
        <v>162</v>
      </c>
      <c r="M144" s="1" t="s">
        <v>131</v>
      </c>
      <c r="N144" s="13"/>
      <c r="O144" s="1" t="s">
        <v>4654</v>
      </c>
      <c r="P144" s="4"/>
      <c r="Q144" s="1" t="s">
        <v>137</v>
      </c>
      <c r="R144" s="1" t="s">
        <v>137</v>
      </c>
      <c r="S144" s="1" t="s">
        <v>47</v>
      </c>
      <c r="T144" s="1" t="s">
        <v>4610</v>
      </c>
      <c r="U144" s="1" t="s">
        <v>1577</v>
      </c>
      <c r="V144" s="1" t="s">
        <v>2002</v>
      </c>
      <c r="W144" s="3">
        <v>46405.0</v>
      </c>
      <c r="X144" s="13"/>
    </row>
    <row r="145">
      <c r="A145" s="1" t="s">
        <v>4665</v>
      </c>
      <c r="B145" s="1" t="s">
        <v>4595</v>
      </c>
      <c r="C145" s="1" t="s">
        <v>4595</v>
      </c>
      <c r="D145" s="1" t="s">
        <v>4599</v>
      </c>
      <c r="E145" s="1" t="s">
        <v>4602</v>
      </c>
      <c r="F145" s="1" t="s">
        <v>4670</v>
      </c>
      <c r="G145" s="3">
        <v>46253.0</v>
      </c>
      <c r="H145" s="3">
        <v>46405.0</v>
      </c>
      <c r="I145" s="13"/>
      <c r="J145" s="1" t="s">
        <v>124</v>
      </c>
      <c r="K145" s="1" t="s">
        <v>160</v>
      </c>
      <c r="L145" s="1" t="s">
        <v>162</v>
      </c>
      <c r="M145" s="1" t="s">
        <v>131</v>
      </c>
      <c r="N145" s="13"/>
      <c r="O145" s="1" t="s">
        <v>4170</v>
      </c>
      <c r="P145" s="4"/>
      <c r="Q145" s="1" t="s">
        <v>137</v>
      </c>
      <c r="R145" s="1" t="s">
        <v>137</v>
      </c>
      <c r="S145" s="1" t="s">
        <v>47</v>
      </c>
      <c r="T145" s="1" t="s">
        <v>4610</v>
      </c>
      <c r="U145" s="1" t="s">
        <v>1577</v>
      </c>
      <c r="V145" s="1" t="s">
        <v>4679</v>
      </c>
      <c r="W145" s="3">
        <v>46405.0</v>
      </c>
      <c r="X145" s="13"/>
    </row>
    <row r="146">
      <c r="A146" s="1" t="s">
        <v>4690</v>
      </c>
      <c r="B146" s="1" t="s">
        <v>4694</v>
      </c>
      <c r="C146" s="1" t="s">
        <v>4694</v>
      </c>
      <c r="D146" s="1" t="s">
        <v>4697</v>
      </c>
      <c r="E146" s="1" t="s">
        <v>4698</v>
      </c>
      <c r="F146" s="1" t="s">
        <v>4701</v>
      </c>
      <c r="G146" s="3">
        <v>46253.0</v>
      </c>
      <c r="H146" s="3"/>
      <c r="I146" s="13"/>
      <c r="J146" s="1" t="s">
        <v>124</v>
      </c>
      <c r="K146" s="1" t="s">
        <v>251</v>
      </c>
      <c r="L146" s="1" t="s">
        <v>162</v>
      </c>
      <c r="M146" s="1" t="s">
        <v>131</v>
      </c>
      <c r="N146" s="13"/>
      <c r="O146" s="1" t="s">
        <v>4706</v>
      </c>
      <c r="P146" s="4"/>
      <c r="Q146" s="1" t="s">
        <v>137</v>
      </c>
      <c r="R146" s="1" t="s">
        <v>137</v>
      </c>
      <c r="S146" s="1" t="s">
        <v>47</v>
      </c>
      <c r="T146" s="1" t="s">
        <v>4709</v>
      </c>
      <c r="U146" s="1" t="s">
        <v>1577</v>
      </c>
      <c r="V146" s="1" t="s">
        <v>1579</v>
      </c>
      <c r="W146" s="3">
        <v>46620.0</v>
      </c>
      <c r="X146" s="13"/>
    </row>
    <row r="147">
      <c r="A147" s="1" t="s">
        <v>4713</v>
      </c>
      <c r="B147" s="1" t="s">
        <v>4716</v>
      </c>
      <c r="C147" s="1" t="s">
        <v>4716</v>
      </c>
      <c r="D147" s="1" t="s">
        <v>116</v>
      </c>
      <c r="E147" s="1" t="s">
        <v>4718</v>
      </c>
      <c r="F147" s="1" t="s">
        <v>4720</v>
      </c>
      <c r="G147" s="3">
        <v>46254.0</v>
      </c>
      <c r="H147" s="3">
        <v>46399.0</v>
      </c>
      <c r="I147" s="13"/>
      <c r="J147" s="1" t="s">
        <v>124</v>
      </c>
      <c r="K147" s="1" t="s">
        <v>98</v>
      </c>
      <c r="L147" s="1" t="s">
        <v>162</v>
      </c>
      <c r="M147" s="1" t="s">
        <v>131</v>
      </c>
      <c r="N147" s="13"/>
      <c r="O147" s="1" t="s">
        <v>4722</v>
      </c>
      <c r="P147" s="4"/>
      <c r="Q147" s="1" t="s">
        <v>137</v>
      </c>
      <c r="R147" s="1" t="s">
        <v>137</v>
      </c>
      <c r="S147" s="1" t="s">
        <v>47</v>
      </c>
      <c r="T147" s="1" t="s">
        <v>4727</v>
      </c>
      <c r="U147" s="1" t="s">
        <v>1577</v>
      </c>
      <c r="V147" s="1" t="s">
        <v>3858</v>
      </c>
      <c r="W147" s="3">
        <v>46399.0</v>
      </c>
      <c r="X147" s="13"/>
    </row>
    <row r="148">
      <c r="A148" s="1" t="s">
        <v>4729</v>
      </c>
      <c r="B148" s="1" t="s">
        <v>4731</v>
      </c>
      <c r="C148" s="1" t="s">
        <v>4731</v>
      </c>
      <c r="D148" s="1" t="s">
        <v>116</v>
      </c>
      <c r="E148" s="1" t="s">
        <v>4732</v>
      </c>
      <c r="F148" s="1" t="s">
        <v>4734</v>
      </c>
      <c r="G148" s="3">
        <v>46259.0</v>
      </c>
      <c r="H148" s="3">
        <v>46423.0</v>
      </c>
      <c r="I148" s="13"/>
      <c r="J148" s="1" t="s">
        <v>124</v>
      </c>
      <c r="K148" s="1" t="s">
        <v>160</v>
      </c>
      <c r="L148" s="1" t="s">
        <v>162</v>
      </c>
      <c r="M148" s="1" t="s">
        <v>131</v>
      </c>
      <c r="N148" s="13"/>
      <c r="O148" s="1" t="s">
        <v>4170</v>
      </c>
      <c r="P148" s="4"/>
      <c r="Q148" s="1" t="s">
        <v>137</v>
      </c>
      <c r="R148" s="1" t="s">
        <v>137</v>
      </c>
      <c r="S148" s="1" t="s">
        <v>47</v>
      </c>
      <c r="T148" s="1" t="s">
        <v>4744</v>
      </c>
      <c r="U148" s="1" t="s">
        <v>1577</v>
      </c>
      <c r="V148" s="1" t="s">
        <v>3858</v>
      </c>
      <c r="W148" s="3">
        <v>46423.0</v>
      </c>
      <c r="X148" s="13"/>
    </row>
    <row r="149">
      <c r="A149" s="1" t="s">
        <v>4745</v>
      </c>
      <c r="B149" s="1" t="s">
        <v>4747</v>
      </c>
      <c r="C149" s="1" t="s">
        <v>4747</v>
      </c>
      <c r="D149" s="1" t="s">
        <v>116</v>
      </c>
      <c r="E149" s="1" t="s">
        <v>4748</v>
      </c>
      <c r="F149" s="1" t="s">
        <v>4751</v>
      </c>
      <c r="G149" s="3">
        <v>46266.0</v>
      </c>
      <c r="H149" s="3"/>
      <c r="I149" s="13"/>
      <c r="J149" s="1" t="s">
        <v>124</v>
      </c>
      <c r="K149" s="1" t="s">
        <v>98</v>
      </c>
      <c r="L149" s="1" t="s">
        <v>162</v>
      </c>
      <c r="M149" s="1" t="s">
        <v>131</v>
      </c>
      <c r="N149" s="13"/>
      <c r="O149" s="1" t="s">
        <v>4755</v>
      </c>
      <c r="P149" s="4"/>
      <c r="Q149" s="1" t="s">
        <v>137</v>
      </c>
      <c r="R149" s="1" t="s">
        <v>137</v>
      </c>
      <c r="S149" s="1" t="s">
        <v>47</v>
      </c>
      <c r="T149" s="1" t="s">
        <v>4757</v>
      </c>
      <c r="U149" s="1" t="s">
        <v>1577</v>
      </c>
      <c r="V149" s="1" t="s">
        <v>2000</v>
      </c>
      <c r="W149" s="3">
        <v>46451.0</v>
      </c>
      <c r="X149" s="13"/>
    </row>
    <row r="150">
      <c r="A150" s="1" t="s">
        <v>4761</v>
      </c>
      <c r="B150" s="1" t="s">
        <v>4763</v>
      </c>
      <c r="C150" s="1" t="s">
        <v>4763</v>
      </c>
      <c r="D150" s="1" t="s">
        <v>2964</v>
      </c>
      <c r="E150" s="1" t="s">
        <v>4766</v>
      </c>
      <c r="F150" s="1" t="s">
        <v>4768</v>
      </c>
      <c r="G150" s="3">
        <v>46272.0</v>
      </c>
      <c r="H150" s="3"/>
      <c r="I150" s="13"/>
      <c r="J150" s="1" t="s">
        <v>124</v>
      </c>
      <c r="K150" s="1" t="s">
        <v>98</v>
      </c>
      <c r="L150" s="1" t="s">
        <v>162</v>
      </c>
      <c r="M150" s="1" t="s">
        <v>131</v>
      </c>
      <c r="N150" s="13"/>
      <c r="O150" s="1" t="s">
        <v>4771</v>
      </c>
      <c r="P150" s="4"/>
      <c r="Q150" s="1" t="s">
        <v>137</v>
      </c>
      <c r="R150" s="1" t="s">
        <v>137</v>
      </c>
      <c r="S150" s="1" t="s">
        <v>47</v>
      </c>
      <c r="T150" s="1"/>
      <c r="U150" s="1" t="s">
        <v>1577</v>
      </c>
      <c r="V150" s="1" t="s">
        <v>4175</v>
      </c>
      <c r="W150" s="3">
        <v>46395.0</v>
      </c>
      <c r="X150" s="13"/>
    </row>
    <row r="151">
      <c r="A151" s="1" t="s">
        <v>4778</v>
      </c>
      <c r="B151" s="1" t="s">
        <v>4780</v>
      </c>
      <c r="C151" s="1" t="s">
        <v>4780</v>
      </c>
      <c r="D151" s="1" t="s">
        <v>116</v>
      </c>
      <c r="E151" s="1" t="s">
        <v>4782</v>
      </c>
      <c r="F151" s="1" t="s">
        <v>4784</v>
      </c>
      <c r="G151" s="3">
        <v>46273.0</v>
      </c>
      <c r="H151" s="3">
        <v>46433.0</v>
      </c>
      <c r="I151" s="13"/>
      <c r="J151" s="1" t="s">
        <v>124</v>
      </c>
      <c r="K151" s="1" t="s">
        <v>71</v>
      </c>
      <c r="L151" s="1" t="s">
        <v>162</v>
      </c>
      <c r="M151" s="1" t="s">
        <v>131</v>
      </c>
      <c r="N151" s="13"/>
      <c r="O151" s="1" t="s">
        <v>4170</v>
      </c>
      <c r="P151" s="4"/>
      <c r="Q151" s="1" t="s">
        <v>137</v>
      </c>
      <c r="R151" s="1" t="s">
        <v>137</v>
      </c>
      <c r="S151" s="1" t="s">
        <v>47</v>
      </c>
      <c r="T151" s="1" t="s">
        <v>4790</v>
      </c>
      <c r="U151" s="1" t="s">
        <v>1577</v>
      </c>
      <c r="V151" s="1" t="s">
        <v>3858</v>
      </c>
      <c r="W151" s="3">
        <v>46447.0</v>
      </c>
      <c r="X151" s="13"/>
    </row>
    <row r="152">
      <c r="A152" s="1" t="s">
        <v>4795</v>
      </c>
      <c r="B152" s="1" t="s">
        <v>4797</v>
      </c>
      <c r="C152" s="1" t="s">
        <v>4797</v>
      </c>
      <c r="D152" s="1" t="s">
        <v>116</v>
      </c>
      <c r="E152" s="1" t="s">
        <v>4798</v>
      </c>
      <c r="F152" s="1" t="s">
        <v>4801</v>
      </c>
      <c r="G152" s="3">
        <v>46273.0</v>
      </c>
      <c r="H152" s="3">
        <v>46405.0</v>
      </c>
      <c r="I152" s="3"/>
      <c r="J152" s="1" t="s">
        <v>124</v>
      </c>
      <c r="K152" s="1" t="s">
        <v>71</v>
      </c>
      <c r="L152" s="1" t="s">
        <v>162</v>
      </c>
      <c r="M152" s="1" t="s">
        <v>131</v>
      </c>
      <c r="N152" s="13"/>
      <c r="O152" s="1" t="s">
        <v>4654</v>
      </c>
      <c r="P152" s="4"/>
      <c r="Q152" s="1" t="s">
        <v>137</v>
      </c>
      <c r="R152" s="1" t="s">
        <v>137</v>
      </c>
      <c r="S152" s="1" t="s">
        <v>47</v>
      </c>
      <c r="T152" s="1" t="s">
        <v>4810</v>
      </c>
      <c r="U152" s="1" t="s">
        <v>1577</v>
      </c>
      <c r="V152" s="1" t="s">
        <v>3858</v>
      </c>
      <c r="W152" s="3">
        <v>46416.0</v>
      </c>
      <c r="X152" s="3"/>
    </row>
    <row r="153">
      <c r="A153" s="1" t="s">
        <v>4815</v>
      </c>
      <c r="B153" s="1" t="s">
        <v>4816</v>
      </c>
      <c r="C153" s="1" t="s">
        <v>4816</v>
      </c>
      <c r="D153" s="1" t="s">
        <v>116</v>
      </c>
      <c r="E153" s="1" t="s">
        <v>4820</v>
      </c>
      <c r="F153" s="1" t="s">
        <v>4821</v>
      </c>
      <c r="G153" s="3">
        <v>46273.0</v>
      </c>
      <c r="H153" s="3"/>
      <c r="I153" s="3"/>
      <c r="J153" s="1" t="s">
        <v>124</v>
      </c>
      <c r="K153" s="1" t="s">
        <v>98</v>
      </c>
      <c r="L153" s="1" t="s">
        <v>162</v>
      </c>
      <c r="M153" s="1" t="s">
        <v>131</v>
      </c>
      <c r="N153" s="13"/>
      <c r="O153" s="1" t="s">
        <v>4654</v>
      </c>
      <c r="P153" s="4"/>
      <c r="Q153" s="1" t="s">
        <v>137</v>
      </c>
      <c r="R153" s="1" t="s">
        <v>137</v>
      </c>
      <c r="S153" s="1" t="s">
        <v>47</v>
      </c>
      <c r="T153" s="1" t="s">
        <v>4833</v>
      </c>
      <c r="U153" s="1" t="s">
        <v>1577</v>
      </c>
      <c r="V153" s="1" t="s">
        <v>4175</v>
      </c>
      <c r="W153" s="3">
        <v>46426.0</v>
      </c>
      <c r="X153" s="3"/>
    </row>
    <row r="154">
      <c r="A154" s="1" t="s">
        <v>4838</v>
      </c>
      <c r="B154" s="1" t="s">
        <v>4816</v>
      </c>
      <c r="C154" s="1" t="s">
        <v>4816</v>
      </c>
      <c r="D154" s="1" t="s">
        <v>116</v>
      </c>
      <c r="E154" s="1" t="s">
        <v>4820</v>
      </c>
      <c r="F154" s="1" t="s">
        <v>4842</v>
      </c>
      <c r="G154" s="3">
        <v>46273.0</v>
      </c>
      <c r="H154" s="3"/>
      <c r="I154" s="3"/>
      <c r="J154" s="1" t="s">
        <v>124</v>
      </c>
      <c r="K154" s="1" t="s">
        <v>98</v>
      </c>
      <c r="L154" s="1" t="s">
        <v>162</v>
      </c>
      <c r="M154" s="1" t="s">
        <v>131</v>
      </c>
      <c r="N154" s="13"/>
      <c r="O154" s="1" t="s">
        <v>4654</v>
      </c>
      <c r="P154" s="4"/>
      <c r="Q154" s="1" t="s">
        <v>137</v>
      </c>
      <c r="R154" s="1" t="s">
        <v>137</v>
      </c>
      <c r="S154" s="1" t="s">
        <v>47</v>
      </c>
      <c r="T154" s="1" t="s">
        <v>4833</v>
      </c>
      <c r="U154" s="1" t="s">
        <v>1577</v>
      </c>
      <c r="V154" s="1" t="s">
        <v>4679</v>
      </c>
      <c r="W154" s="3">
        <v>46426.0</v>
      </c>
      <c r="X154" s="13"/>
    </row>
    <row r="155">
      <c r="A155" s="1" t="s">
        <v>4853</v>
      </c>
      <c r="B155" s="1" t="s">
        <v>4855</v>
      </c>
      <c r="C155" s="1" t="s">
        <v>4855</v>
      </c>
      <c r="D155" s="1" t="s">
        <v>146</v>
      </c>
      <c r="E155" s="1" t="s">
        <v>4857</v>
      </c>
      <c r="F155" s="1" t="s">
        <v>4859</v>
      </c>
      <c r="G155" s="3">
        <v>46275.0</v>
      </c>
      <c r="H155" s="3"/>
      <c r="I155" s="13"/>
      <c r="J155" s="1" t="s">
        <v>124</v>
      </c>
      <c r="K155" s="1" t="s">
        <v>98</v>
      </c>
      <c r="L155" s="1" t="s">
        <v>162</v>
      </c>
      <c r="M155" s="1" t="s">
        <v>131</v>
      </c>
      <c r="N155" s="13"/>
      <c r="O155" s="1"/>
      <c r="P155" s="4"/>
      <c r="Q155" s="1" t="s">
        <v>665</v>
      </c>
      <c r="R155" s="1" t="s">
        <v>665</v>
      </c>
      <c r="S155" s="1" t="s">
        <v>666</v>
      </c>
      <c r="T155" s="1" t="s">
        <v>4868</v>
      </c>
      <c r="U155" s="1" t="s">
        <v>1577</v>
      </c>
      <c r="V155" s="1" t="s">
        <v>3858</v>
      </c>
      <c r="W155" s="3">
        <v>46447.0</v>
      </c>
      <c r="X155" s="13"/>
    </row>
    <row r="156">
      <c r="A156" s="1" t="s">
        <v>4874</v>
      </c>
      <c r="B156" s="1" t="s">
        <v>4875</v>
      </c>
      <c r="C156" s="1" t="s">
        <v>4875</v>
      </c>
      <c r="D156" s="1" t="s">
        <v>116</v>
      </c>
      <c r="E156" s="1" t="s">
        <v>4877</v>
      </c>
      <c r="F156" s="1" t="s">
        <v>4880</v>
      </c>
      <c r="G156" s="3">
        <v>46280.0</v>
      </c>
      <c r="H156" s="3">
        <v>46468.0</v>
      </c>
      <c r="I156" s="13"/>
      <c r="J156" s="1" t="s">
        <v>124</v>
      </c>
      <c r="K156" s="1" t="s">
        <v>160</v>
      </c>
      <c r="L156" s="1" t="s">
        <v>162</v>
      </c>
      <c r="M156" s="1" t="s">
        <v>131</v>
      </c>
      <c r="N156" s="13"/>
      <c r="O156" s="1" t="s">
        <v>4884</v>
      </c>
      <c r="P156" s="4"/>
      <c r="Q156" s="1" t="s">
        <v>137</v>
      </c>
      <c r="R156" s="1" t="s">
        <v>137</v>
      </c>
      <c r="S156" s="1" t="s">
        <v>47</v>
      </c>
      <c r="T156" s="1" t="s">
        <v>4889</v>
      </c>
      <c r="U156" s="1" t="s">
        <v>1577</v>
      </c>
      <c r="V156" s="1" t="s">
        <v>3858</v>
      </c>
      <c r="W156" s="3">
        <v>46468.0</v>
      </c>
      <c r="X156" s="13"/>
    </row>
    <row r="157">
      <c r="A157" s="1" t="s">
        <v>4894</v>
      </c>
      <c r="B157" s="1" t="s">
        <v>4896</v>
      </c>
      <c r="C157" s="1" t="s">
        <v>4896</v>
      </c>
      <c r="D157" s="1" t="s">
        <v>4898</v>
      </c>
      <c r="E157" s="1" t="s">
        <v>4900</v>
      </c>
      <c r="F157" s="1" t="s">
        <v>4902</v>
      </c>
      <c r="G157" s="3">
        <v>46356.0</v>
      </c>
      <c r="H157" s="3">
        <v>46491.0</v>
      </c>
      <c r="I157" s="3"/>
      <c r="J157" s="1" t="s">
        <v>124</v>
      </c>
      <c r="K157" s="1" t="s">
        <v>71</v>
      </c>
      <c r="L157" s="1" t="s">
        <v>129</v>
      </c>
      <c r="M157" s="1" t="s">
        <v>131</v>
      </c>
      <c r="N157" s="13"/>
      <c r="O157" s="1" t="s">
        <v>4907</v>
      </c>
      <c r="P157" s="4"/>
      <c r="Q157" s="1" t="s">
        <v>137</v>
      </c>
      <c r="R157" s="1" t="s">
        <v>137</v>
      </c>
      <c r="S157" s="1" t="s">
        <v>47</v>
      </c>
      <c r="T157" s="1" t="s">
        <v>4910</v>
      </c>
      <c r="U157" s="1" t="s">
        <v>1577</v>
      </c>
      <c r="V157" s="1" t="s">
        <v>4175</v>
      </c>
      <c r="W157" s="3">
        <v>46491.0</v>
      </c>
      <c r="X157" s="3"/>
    </row>
    <row r="158">
      <c r="A158" s="1" t="s">
        <v>4913</v>
      </c>
      <c r="B158" s="1" t="s">
        <v>4915</v>
      </c>
      <c r="C158" s="1" t="s">
        <v>4915</v>
      </c>
      <c r="D158" s="1" t="s">
        <v>1167</v>
      </c>
      <c r="E158" s="1" t="s">
        <v>4917</v>
      </c>
      <c r="F158" s="1" t="s">
        <v>4919</v>
      </c>
      <c r="G158" s="3">
        <v>46281.0</v>
      </c>
      <c r="H158" s="3"/>
      <c r="I158" s="3"/>
      <c r="J158" s="1" t="s">
        <v>124</v>
      </c>
      <c r="K158" s="1" t="s">
        <v>251</v>
      </c>
      <c r="L158" s="1" t="s">
        <v>162</v>
      </c>
      <c r="M158" s="1" t="s">
        <v>131</v>
      </c>
      <c r="N158" s="13"/>
      <c r="O158" s="1" t="s">
        <v>4924</v>
      </c>
      <c r="P158" s="4"/>
      <c r="Q158" s="1" t="s">
        <v>137</v>
      </c>
      <c r="R158" s="1" t="s">
        <v>137</v>
      </c>
      <c r="S158" s="1" t="s">
        <v>47</v>
      </c>
      <c r="T158" s="1"/>
      <c r="U158" s="1" t="s">
        <v>1577</v>
      </c>
      <c r="V158" s="1" t="s">
        <v>3858</v>
      </c>
      <c r="W158" s="3">
        <v>46461.0</v>
      </c>
      <c r="X158" s="3"/>
    </row>
    <row r="159">
      <c r="A159" s="1" t="s">
        <v>4932</v>
      </c>
      <c r="B159" s="1" t="s">
        <v>4933</v>
      </c>
      <c r="C159" s="1" t="s">
        <v>4933</v>
      </c>
      <c r="D159" s="1" t="s">
        <v>2964</v>
      </c>
      <c r="E159" s="1" t="s">
        <v>4935</v>
      </c>
      <c r="F159" s="1" t="s">
        <v>4936</v>
      </c>
      <c r="G159" s="3">
        <v>46281.0</v>
      </c>
      <c r="H159" s="3"/>
      <c r="I159" s="3"/>
      <c r="J159" s="1" t="s">
        <v>124</v>
      </c>
      <c r="K159" s="1" t="s">
        <v>98</v>
      </c>
      <c r="L159" s="1" t="s">
        <v>162</v>
      </c>
      <c r="M159" s="1" t="s">
        <v>131</v>
      </c>
      <c r="N159" s="13"/>
      <c r="P159" s="4"/>
      <c r="Q159" s="1" t="s">
        <v>4945</v>
      </c>
      <c r="R159" s="1" t="s">
        <v>4945</v>
      </c>
      <c r="S159" s="1" t="s">
        <v>4946</v>
      </c>
      <c r="T159" s="1" t="s">
        <v>4949</v>
      </c>
      <c r="U159" s="1" t="s">
        <v>1577</v>
      </c>
      <c r="V159" s="1" t="s">
        <v>4950</v>
      </c>
      <c r="W159" s="3">
        <v>46412.0</v>
      </c>
      <c r="X159" s="3"/>
    </row>
    <row r="160">
      <c r="A160" s="1" t="s">
        <v>4955</v>
      </c>
      <c r="B160" s="1" t="s">
        <v>4957</v>
      </c>
      <c r="C160" s="1" t="s">
        <v>4957</v>
      </c>
      <c r="D160" s="1" t="s">
        <v>116</v>
      </c>
      <c r="E160" s="1" t="s">
        <v>4958</v>
      </c>
      <c r="F160" s="1" t="s">
        <v>4961</v>
      </c>
      <c r="G160" s="3">
        <v>46281.0</v>
      </c>
      <c r="H160" s="3"/>
      <c r="I160" s="3"/>
      <c r="J160" s="1" t="s">
        <v>124</v>
      </c>
      <c r="K160" s="1" t="s">
        <v>71</v>
      </c>
      <c r="L160" s="1" t="s">
        <v>162</v>
      </c>
      <c r="M160" s="1" t="s">
        <v>131</v>
      </c>
      <c r="N160" s="13"/>
      <c r="P160" s="4"/>
      <c r="Q160" s="1" t="s">
        <v>4945</v>
      </c>
      <c r="R160" s="1" t="s">
        <v>4945</v>
      </c>
      <c r="S160" s="1" t="s">
        <v>4946</v>
      </c>
      <c r="T160" s="1"/>
      <c r="U160" s="1" t="s">
        <v>1577</v>
      </c>
      <c r="V160" s="1" t="s">
        <v>4175</v>
      </c>
      <c r="W160" s="3">
        <v>46426.0</v>
      </c>
      <c r="X160" s="3"/>
    </row>
    <row r="161">
      <c r="A161" s="1" t="s">
        <v>4972</v>
      </c>
      <c r="B161" s="1" t="s">
        <v>4957</v>
      </c>
      <c r="C161" s="1" t="s">
        <v>4957</v>
      </c>
      <c r="D161" s="1" t="s">
        <v>116</v>
      </c>
      <c r="E161" s="1" t="s">
        <v>4958</v>
      </c>
      <c r="F161" s="1" t="s">
        <v>4975</v>
      </c>
      <c r="G161" s="3">
        <v>46281.0</v>
      </c>
      <c r="H161" s="3"/>
      <c r="I161" s="3"/>
      <c r="J161" s="1" t="s">
        <v>124</v>
      </c>
      <c r="K161" s="1" t="s">
        <v>71</v>
      </c>
      <c r="L161" s="1" t="s">
        <v>162</v>
      </c>
      <c r="M161" s="1" t="s">
        <v>131</v>
      </c>
      <c r="N161" s="13"/>
      <c r="P161" s="4"/>
      <c r="Q161" s="1" t="s">
        <v>4945</v>
      </c>
      <c r="R161" s="1" t="s">
        <v>4945</v>
      </c>
      <c r="S161" s="1" t="s">
        <v>4946</v>
      </c>
      <c r="T161" s="1"/>
      <c r="U161" s="1" t="s">
        <v>1577</v>
      </c>
      <c r="V161" s="1" t="s">
        <v>4679</v>
      </c>
      <c r="W161" s="3">
        <v>46426.0</v>
      </c>
      <c r="X161" s="13"/>
    </row>
    <row r="162">
      <c r="A162" s="1" t="s">
        <v>4986</v>
      </c>
      <c r="B162" s="1" t="s">
        <v>4988</v>
      </c>
      <c r="C162" s="1" t="s">
        <v>4988</v>
      </c>
      <c r="D162" s="1" t="s">
        <v>4293</v>
      </c>
      <c r="E162" s="1" t="s">
        <v>4990</v>
      </c>
      <c r="F162" s="1" t="s">
        <v>4991</v>
      </c>
      <c r="G162" s="3">
        <v>45086.0</v>
      </c>
      <c r="H162" s="3">
        <v>45383.0</v>
      </c>
      <c r="I162" s="3">
        <v>45383.0</v>
      </c>
      <c r="J162" s="1" t="s">
        <v>215</v>
      </c>
      <c r="K162" s="1" t="s">
        <v>160</v>
      </c>
      <c r="L162" s="1" t="s">
        <v>216</v>
      </c>
      <c r="M162" s="1" t="s">
        <v>131</v>
      </c>
      <c r="N162" s="13"/>
      <c r="P162" s="4"/>
      <c r="Q162" s="1" t="s">
        <v>137</v>
      </c>
      <c r="R162" s="1" t="s">
        <v>137</v>
      </c>
      <c r="S162" s="1" t="s">
        <v>47</v>
      </c>
      <c r="T162" s="1" t="s">
        <v>4301</v>
      </c>
      <c r="U162" s="1" t="s">
        <v>1577</v>
      </c>
      <c r="V162" s="1" t="s">
        <v>3858</v>
      </c>
      <c r="W162" s="3">
        <v>45383.0</v>
      </c>
      <c r="X162" s="3">
        <v>45383.0</v>
      </c>
    </row>
    <row r="163">
      <c r="A163" s="1" t="s">
        <v>5001</v>
      </c>
      <c r="B163" s="1" t="s">
        <v>4988</v>
      </c>
      <c r="C163" s="1" t="s">
        <v>4988</v>
      </c>
      <c r="D163" s="1" t="s">
        <v>4293</v>
      </c>
      <c r="E163" s="1" t="s">
        <v>4990</v>
      </c>
      <c r="F163" s="1" t="s">
        <v>5010</v>
      </c>
      <c r="G163" s="3">
        <v>45086.0</v>
      </c>
      <c r="H163" s="3">
        <v>45383.0</v>
      </c>
      <c r="I163" s="3">
        <v>45383.0</v>
      </c>
      <c r="J163" s="1" t="s">
        <v>215</v>
      </c>
      <c r="K163" s="1" t="s">
        <v>160</v>
      </c>
      <c r="L163" s="1" t="s">
        <v>216</v>
      </c>
      <c r="M163" s="1" t="s">
        <v>131</v>
      </c>
      <c r="N163" s="13"/>
      <c r="P163" s="4"/>
      <c r="Q163" s="1" t="s">
        <v>137</v>
      </c>
      <c r="R163" s="1" t="s">
        <v>137</v>
      </c>
      <c r="S163" s="1" t="s">
        <v>47</v>
      </c>
      <c r="T163" s="1" t="s">
        <v>4301</v>
      </c>
      <c r="U163" s="1" t="s">
        <v>1577</v>
      </c>
      <c r="V163" s="1" t="s">
        <v>4950</v>
      </c>
      <c r="W163" s="3">
        <v>45383.0</v>
      </c>
      <c r="X163" s="3">
        <v>45383.0</v>
      </c>
    </row>
    <row r="164">
      <c r="A164" s="1" t="s">
        <v>5020</v>
      </c>
      <c r="B164" s="1" t="s">
        <v>5021</v>
      </c>
      <c r="C164" s="1" t="s">
        <v>5021</v>
      </c>
      <c r="D164" s="1" t="s">
        <v>4293</v>
      </c>
      <c r="E164" s="1" t="s">
        <v>5024</v>
      </c>
      <c r="F164" s="1" t="s">
        <v>5027</v>
      </c>
      <c r="G164" s="3">
        <v>44575.0</v>
      </c>
      <c r="H164" s="3">
        <v>44803.0</v>
      </c>
      <c r="I164" s="3">
        <v>44803.0</v>
      </c>
      <c r="J164" s="1" t="s">
        <v>215</v>
      </c>
      <c r="K164" s="1" t="s">
        <v>160</v>
      </c>
      <c r="L164" s="1" t="s">
        <v>216</v>
      </c>
      <c r="M164" s="1" t="s">
        <v>131</v>
      </c>
      <c r="N164" s="13"/>
      <c r="P164" s="4"/>
      <c r="Q164" s="1" t="s">
        <v>137</v>
      </c>
      <c r="R164" s="1" t="s">
        <v>137</v>
      </c>
      <c r="S164" s="1" t="s">
        <v>47</v>
      </c>
      <c r="T164" s="1" t="s">
        <v>4301</v>
      </c>
      <c r="U164" s="1" t="s">
        <v>1577</v>
      </c>
      <c r="V164" s="1" t="s">
        <v>3858</v>
      </c>
      <c r="W164" s="3">
        <v>44803.0</v>
      </c>
      <c r="X164" s="3">
        <v>44803.0</v>
      </c>
    </row>
    <row r="165">
      <c r="A165" s="1" t="s">
        <v>5039</v>
      </c>
      <c r="B165" s="1" t="s">
        <v>5040</v>
      </c>
      <c r="C165" s="1" t="s">
        <v>5040</v>
      </c>
      <c r="D165" s="1" t="s">
        <v>4293</v>
      </c>
      <c r="E165" s="1" t="s">
        <v>5043</v>
      </c>
      <c r="F165" s="1" t="s">
        <v>5048</v>
      </c>
      <c r="G165" s="3">
        <v>45573.0</v>
      </c>
      <c r="H165" s="13"/>
      <c r="I165" s="13"/>
      <c r="J165" s="1" t="s">
        <v>124</v>
      </c>
      <c r="K165" s="1" t="s">
        <v>160</v>
      </c>
      <c r="L165" s="1" t="s">
        <v>253</v>
      </c>
      <c r="M165" s="1" t="s">
        <v>131</v>
      </c>
      <c r="N165" s="13"/>
      <c r="P165" s="4"/>
      <c r="Q165" s="1" t="s">
        <v>137</v>
      </c>
      <c r="R165" s="1" t="s">
        <v>137</v>
      </c>
      <c r="S165" s="1" t="s">
        <v>47</v>
      </c>
      <c r="T165" s="1" t="s">
        <v>4301</v>
      </c>
      <c r="U165" s="1" t="s">
        <v>1577</v>
      </c>
      <c r="V165" s="1" t="s">
        <v>4679</v>
      </c>
      <c r="W165" s="3"/>
      <c r="X165" s="13"/>
    </row>
    <row r="166">
      <c r="A166" s="1" t="s">
        <v>5059</v>
      </c>
      <c r="B166" s="1" t="s">
        <v>5040</v>
      </c>
      <c r="C166" s="1" t="s">
        <v>5040</v>
      </c>
      <c r="D166" s="1" t="s">
        <v>4293</v>
      </c>
      <c r="E166" s="1" t="s">
        <v>5043</v>
      </c>
      <c r="F166" s="1" t="s">
        <v>5065</v>
      </c>
      <c r="G166" s="3">
        <v>45573.0</v>
      </c>
      <c r="H166" s="13"/>
      <c r="I166" s="13"/>
      <c r="J166" s="1" t="s">
        <v>124</v>
      </c>
      <c r="K166" s="1" t="s">
        <v>160</v>
      </c>
      <c r="L166" s="1" t="s">
        <v>253</v>
      </c>
      <c r="M166" s="1" t="s">
        <v>131</v>
      </c>
      <c r="N166" s="13"/>
      <c r="P166" s="4"/>
      <c r="Q166" s="1" t="s">
        <v>137</v>
      </c>
      <c r="R166" s="1" t="s">
        <v>137</v>
      </c>
      <c r="S166" s="1" t="s">
        <v>47</v>
      </c>
      <c r="T166" s="1" t="s">
        <v>4301</v>
      </c>
      <c r="U166" s="1" t="s">
        <v>1577</v>
      </c>
      <c r="V166" s="1" t="s">
        <v>4054</v>
      </c>
      <c r="W166" s="3"/>
      <c r="X166" s="13"/>
    </row>
    <row r="167">
      <c r="A167" s="1" t="s">
        <v>5076</v>
      </c>
      <c r="B167" s="1" t="s">
        <v>5040</v>
      </c>
      <c r="C167" s="1" t="s">
        <v>5040</v>
      </c>
      <c r="D167" s="1" t="s">
        <v>4293</v>
      </c>
      <c r="E167" s="1" t="s">
        <v>5043</v>
      </c>
      <c r="F167" s="1" t="s">
        <v>5081</v>
      </c>
      <c r="G167" s="3">
        <v>45573.0</v>
      </c>
      <c r="H167" s="13"/>
      <c r="I167" s="13"/>
      <c r="J167" s="1" t="s">
        <v>124</v>
      </c>
      <c r="K167" s="1" t="s">
        <v>160</v>
      </c>
      <c r="L167" s="1" t="s">
        <v>253</v>
      </c>
      <c r="M167" s="1" t="s">
        <v>131</v>
      </c>
      <c r="N167" s="13"/>
      <c r="P167" s="4"/>
      <c r="Q167" s="1" t="s">
        <v>137</v>
      </c>
      <c r="R167" s="1" t="s">
        <v>137</v>
      </c>
      <c r="S167" s="1" t="s">
        <v>47</v>
      </c>
      <c r="T167" s="1" t="s">
        <v>4301</v>
      </c>
      <c r="U167" s="1" t="s">
        <v>1577</v>
      </c>
      <c r="V167" s="1" t="s">
        <v>4950</v>
      </c>
      <c r="W167" s="3"/>
      <c r="X167" s="13"/>
    </row>
    <row r="168">
      <c r="A168" s="1" t="s">
        <v>5089</v>
      </c>
      <c r="B168" s="1" t="s">
        <v>5040</v>
      </c>
      <c r="C168" s="1" t="s">
        <v>5040</v>
      </c>
      <c r="D168" s="1" t="s">
        <v>4293</v>
      </c>
      <c r="E168" s="1" t="s">
        <v>5043</v>
      </c>
      <c r="F168" s="1" t="s">
        <v>5093</v>
      </c>
      <c r="G168" s="3">
        <v>45573.0</v>
      </c>
      <c r="H168" s="3"/>
      <c r="I168" s="3"/>
      <c r="J168" s="1" t="s">
        <v>124</v>
      </c>
      <c r="K168" s="1" t="s">
        <v>160</v>
      </c>
      <c r="L168" s="1" t="s">
        <v>253</v>
      </c>
      <c r="M168" s="1" t="s">
        <v>131</v>
      </c>
      <c r="N168" s="13"/>
      <c r="P168" s="4"/>
      <c r="Q168" s="1" t="s">
        <v>137</v>
      </c>
      <c r="R168" s="1" t="s">
        <v>137</v>
      </c>
      <c r="S168" s="1" t="s">
        <v>47</v>
      </c>
      <c r="T168" s="1" t="s">
        <v>4301</v>
      </c>
      <c r="U168" s="1" t="s">
        <v>1577</v>
      </c>
      <c r="V168" s="1" t="s">
        <v>5104</v>
      </c>
      <c r="W168" s="3"/>
      <c r="X168" s="13"/>
    </row>
    <row r="169">
      <c r="A169" s="1" t="s">
        <v>5105</v>
      </c>
      <c r="B169" s="1" t="s">
        <v>5040</v>
      </c>
      <c r="C169" s="1" t="s">
        <v>5040</v>
      </c>
      <c r="D169" s="1" t="s">
        <v>4293</v>
      </c>
      <c r="E169" s="1" t="s">
        <v>5043</v>
      </c>
      <c r="F169" s="1" t="s">
        <v>5111</v>
      </c>
      <c r="G169" s="3">
        <v>45573.0</v>
      </c>
      <c r="H169" s="3"/>
      <c r="I169" s="3"/>
      <c r="J169" s="1" t="s">
        <v>124</v>
      </c>
      <c r="K169" s="1" t="s">
        <v>160</v>
      </c>
      <c r="L169" s="1" t="s">
        <v>253</v>
      </c>
      <c r="M169" s="1" t="s">
        <v>131</v>
      </c>
      <c r="N169" s="13"/>
      <c r="P169" s="4"/>
      <c r="Q169" s="1" t="s">
        <v>137</v>
      </c>
      <c r="R169" s="1" t="s">
        <v>137</v>
      </c>
      <c r="S169" s="1" t="s">
        <v>47</v>
      </c>
      <c r="T169" s="1" t="s">
        <v>4301</v>
      </c>
      <c r="U169" s="1" t="s">
        <v>1577</v>
      </c>
      <c r="V169" s="1" t="s">
        <v>5120</v>
      </c>
      <c r="W169" s="3"/>
      <c r="X169" s="13"/>
    </row>
    <row r="170">
      <c r="A170" s="1" t="s">
        <v>5123</v>
      </c>
      <c r="B170" s="1" t="s">
        <v>5124</v>
      </c>
      <c r="C170" s="1" t="s">
        <v>5124</v>
      </c>
      <c r="D170" s="1" t="s">
        <v>4293</v>
      </c>
      <c r="E170" s="1" t="s">
        <v>5128</v>
      </c>
      <c r="F170" s="1" t="s">
        <v>5130</v>
      </c>
      <c r="G170" s="3">
        <v>44105.0</v>
      </c>
      <c r="H170" s="3">
        <v>44105.0</v>
      </c>
      <c r="I170" s="3">
        <v>44105.0</v>
      </c>
      <c r="J170" s="1" t="s">
        <v>215</v>
      </c>
      <c r="K170" s="1" t="s">
        <v>160</v>
      </c>
      <c r="L170" s="1" t="s">
        <v>216</v>
      </c>
      <c r="M170" s="1" t="s">
        <v>131</v>
      </c>
      <c r="N170" s="13"/>
      <c r="P170" s="4"/>
      <c r="Q170" s="1" t="s">
        <v>137</v>
      </c>
      <c r="R170" s="1" t="s">
        <v>137</v>
      </c>
      <c r="S170" s="1" t="s">
        <v>47</v>
      </c>
      <c r="T170" s="1" t="s">
        <v>4301</v>
      </c>
      <c r="U170" s="1" t="s">
        <v>1577</v>
      </c>
      <c r="V170" s="1" t="s">
        <v>4950</v>
      </c>
      <c r="W170" s="3">
        <v>44105.0</v>
      </c>
      <c r="X170" s="3">
        <v>44105.0</v>
      </c>
    </row>
    <row r="171">
      <c r="A171" s="1" t="s">
        <v>5143</v>
      </c>
      <c r="B171" s="1" t="s">
        <v>5145</v>
      </c>
      <c r="C171" s="1" t="s">
        <v>5145</v>
      </c>
      <c r="D171" s="1" t="s">
        <v>4293</v>
      </c>
      <c r="E171" s="1" t="s">
        <v>5149</v>
      </c>
      <c r="F171" s="1" t="s">
        <v>5150</v>
      </c>
      <c r="G171" s="3">
        <v>44375.0</v>
      </c>
      <c r="H171" s="3">
        <v>44599.0</v>
      </c>
      <c r="I171" s="3">
        <v>44599.0</v>
      </c>
      <c r="J171" s="1" t="s">
        <v>215</v>
      </c>
      <c r="K171" s="1" t="s">
        <v>160</v>
      </c>
      <c r="L171" s="1" t="s">
        <v>216</v>
      </c>
      <c r="M171" s="1" t="s">
        <v>131</v>
      </c>
      <c r="N171" s="13"/>
      <c r="P171" s="4"/>
      <c r="Q171" s="1" t="s">
        <v>137</v>
      </c>
      <c r="R171" s="1" t="s">
        <v>137</v>
      </c>
      <c r="S171" s="1" t="s">
        <v>47</v>
      </c>
      <c r="T171" s="1" t="s">
        <v>4301</v>
      </c>
      <c r="U171" s="1" t="s">
        <v>1577</v>
      </c>
      <c r="V171" s="1" t="s">
        <v>3858</v>
      </c>
      <c r="W171" s="3">
        <v>44599.0</v>
      </c>
      <c r="X171" s="3">
        <v>44599.0</v>
      </c>
    </row>
    <row r="172">
      <c r="A172" s="1" t="s">
        <v>5161</v>
      </c>
      <c r="B172" s="1" t="s">
        <v>5145</v>
      </c>
      <c r="C172" s="1" t="s">
        <v>5145</v>
      </c>
      <c r="D172" s="1" t="s">
        <v>4293</v>
      </c>
      <c r="E172" s="1" t="s">
        <v>5149</v>
      </c>
      <c r="F172" s="1" t="s">
        <v>5165</v>
      </c>
      <c r="G172" s="3">
        <v>44375.0</v>
      </c>
      <c r="H172" s="3">
        <v>44599.0</v>
      </c>
      <c r="I172" s="3">
        <v>44599.0</v>
      </c>
      <c r="J172" s="1" t="s">
        <v>215</v>
      </c>
      <c r="K172" s="1" t="s">
        <v>160</v>
      </c>
      <c r="L172" s="1" t="s">
        <v>216</v>
      </c>
      <c r="M172" s="1" t="s">
        <v>131</v>
      </c>
      <c r="N172" s="13"/>
      <c r="P172" s="4"/>
      <c r="Q172" s="1" t="s">
        <v>137</v>
      </c>
      <c r="R172" s="1" t="s">
        <v>137</v>
      </c>
      <c r="S172" s="1" t="s">
        <v>47</v>
      </c>
      <c r="T172" s="1" t="s">
        <v>4301</v>
      </c>
      <c r="U172" s="1" t="s">
        <v>1577</v>
      </c>
      <c r="V172" s="1" t="s">
        <v>4950</v>
      </c>
      <c r="W172" s="3">
        <v>44599.0</v>
      </c>
      <c r="X172" s="3">
        <v>44599.0</v>
      </c>
    </row>
    <row r="173">
      <c r="A173" s="1" t="s">
        <v>5177</v>
      </c>
      <c r="B173" s="1" t="s">
        <v>5178</v>
      </c>
      <c r="C173" s="1" t="s">
        <v>5178</v>
      </c>
      <c r="D173" s="1" t="s">
        <v>4293</v>
      </c>
      <c r="E173" s="1" t="s">
        <v>5181</v>
      </c>
      <c r="F173" s="1" t="s">
        <v>5183</v>
      </c>
      <c r="G173" s="3">
        <v>44306.0</v>
      </c>
      <c r="H173" s="3">
        <v>44306.0</v>
      </c>
      <c r="I173" s="3">
        <v>44306.0</v>
      </c>
      <c r="J173" s="1" t="s">
        <v>215</v>
      </c>
      <c r="K173" s="1" t="s">
        <v>160</v>
      </c>
      <c r="L173" s="1" t="s">
        <v>216</v>
      </c>
      <c r="M173" s="1" t="s">
        <v>131</v>
      </c>
      <c r="N173" s="13"/>
      <c r="P173" s="4"/>
      <c r="Q173" s="1" t="s">
        <v>137</v>
      </c>
      <c r="R173" s="1" t="s">
        <v>137</v>
      </c>
      <c r="S173" s="1" t="s">
        <v>47</v>
      </c>
      <c r="T173" s="1" t="s">
        <v>4301</v>
      </c>
      <c r="U173" s="1" t="s">
        <v>1577</v>
      </c>
      <c r="V173" s="1" t="s">
        <v>3858</v>
      </c>
      <c r="W173" s="3">
        <v>44306.0</v>
      </c>
      <c r="X173" s="3">
        <v>44306.0</v>
      </c>
    </row>
    <row r="174">
      <c r="A174" s="1" t="s">
        <v>5198</v>
      </c>
      <c r="B174" s="1" t="s">
        <v>5200</v>
      </c>
      <c r="C174" s="1" t="s">
        <v>5200</v>
      </c>
      <c r="D174" s="1" t="s">
        <v>4293</v>
      </c>
      <c r="E174" s="1" t="s">
        <v>5204</v>
      </c>
      <c r="F174" s="1" t="s">
        <v>5205</v>
      </c>
      <c r="G174" s="3">
        <v>45845.0</v>
      </c>
      <c r="H174" s="3"/>
      <c r="I174" s="3"/>
      <c r="J174" s="1" t="s">
        <v>124</v>
      </c>
      <c r="K174" s="1" t="s">
        <v>160</v>
      </c>
      <c r="L174" s="1" t="s">
        <v>253</v>
      </c>
      <c r="M174" s="1" t="s">
        <v>131</v>
      </c>
      <c r="N174" s="13"/>
      <c r="P174" s="4"/>
      <c r="Q174" s="1" t="s">
        <v>137</v>
      </c>
      <c r="R174" s="1" t="s">
        <v>137</v>
      </c>
      <c r="S174" s="1" t="s">
        <v>47</v>
      </c>
      <c r="T174" s="1" t="s">
        <v>4301</v>
      </c>
      <c r="U174" s="1" t="s">
        <v>1577</v>
      </c>
      <c r="V174" s="1" t="s">
        <v>4950</v>
      </c>
      <c r="W174" s="3"/>
      <c r="X174" s="13"/>
    </row>
    <row r="175">
      <c r="A175" s="1" t="s">
        <v>5220</v>
      </c>
      <c r="B175" s="1" t="s">
        <v>5222</v>
      </c>
      <c r="C175" s="1" t="s">
        <v>5222</v>
      </c>
      <c r="D175" s="1" t="s">
        <v>4293</v>
      </c>
      <c r="E175" s="1" t="s">
        <v>5227</v>
      </c>
      <c r="F175" s="1" t="s">
        <v>5230</v>
      </c>
      <c r="G175" s="3">
        <v>44307.0</v>
      </c>
      <c r="H175" s="3">
        <v>44307.0</v>
      </c>
      <c r="I175" s="3">
        <v>44307.0</v>
      </c>
      <c r="J175" s="1" t="s">
        <v>215</v>
      </c>
      <c r="K175" s="1" t="s">
        <v>160</v>
      </c>
      <c r="L175" s="1" t="s">
        <v>216</v>
      </c>
      <c r="M175" s="1" t="s">
        <v>131</v>
      </c>
      <c r="N175" s="13"/>
      <c r="P175" s="4"/>
      <c r="Q175" s="1" t="s">
        <v>137</v>
      </c>
      <c r="R175" s="1" t="s">
        <v>137</v>
      </c>
      <c r="S175" s="1" t="s">
        <v>47</v>
      </c>
      <c r="T175" s="1" t="s">
        <v>4301</v>
      </c>
      <c r="U175" s="1" t="s">
        <v>1577</v>
      </c>
      <c r="V175" s="1" t="s">
        <v>3858</v>
      </c>
      <c r="W175" s="3">
        <v>44307.0</v>
      </c>
      <c r="X175" s="3">
        <v>44307.0</v>
      </c>
    </row>
    <row r="176">
      <c r="A176" s="1" t="s">
        <v>5254</v>
      </c>
      <c r="B176" s="1" t="s">
        <v>5255</v>
      </c>
      <c r="C176" s="1" t="s">
        <v>5255</v>
      </c>
      <c r="D176" s="1" t="s">
        <v>4293</v>
      </c>
      <c r="E176" s="1" t="s">
        <v>5259</v>
      </c>
      <c r="F176" s="1" t="s">
        <v>5263</v>
      </c>
      <c r="G176" s="3">
        <v>44284.0</v>
      </c>
      <c r="H176" s="3">
        <v>44421.0</v>
      </c>
      <c r="I176" s="3">
        <v>44421.0</v>
      </c>
      <c r="J176" s="1" t="s">
        <v>215</v>
      </c>
      <c r="K176" s="1" t="s">
        <v>160</v>
      </c>
      <c r="L176" s="1" t="s">
        <v>216</v>
      </c>
      <c r="M176" s="1" t="s">
        <v>131</v>
      </c>
      <c r="N176" s="13"/>
      <c r="P176" s="4"/>
      <c r="Q176" s="1" t="s">
        <v>137</v>
      </c>
      <c r="R176" s="1" t="s">
        <v>137</v>
      </c>
      <c r="S176" s="1" t="s">
        <v>47</v>
      </c>
      <c r="T176" s="1" t="s">
        <v>4301</v>
      </c>
      <c r="U176" s="1" t="s">
        <v>1577</v>
      </c>
      <c r="V176" s="1" t="s">
        <v>3858</v>
      </c>
      <c r="W176" s="3">
        <v>44421.0</v>
      </c>
      <c r="X176" s="3">
        <v>44421.0</v>
      </c>
    </row>
    <row r="177">
      <c r="A177" s="1" t="s">
        <v>5280</v>
      </c>
      <c r="B177" s="1" t="s">
        <v>5282</v>
      </c>
      <c r="C177" s="1" t="s">
        <v>5282</v>
      </c>
      <c r="D177" s="1" t="s">
        <v>4293</v>
      </c>
      <c r="E177" s="1" t="s">
        <v>5288</v>
      </c>
      <c r="F177" s="1" t="s">
        <v>5292</v>
      </c>
      <c r="G177" s="3">
        <v>44439.0</v>
      </c>
      <c r="H177" s="3">
        <v>44522.0</v>
      </c>
      <c r="I177" s="3">
        <v>44522.0</v>
      </c>
      <c r="J177" s="1" t="s">
        <v>215</v>
      </c>
      <c r="K177" s="1" t="s">
        <v>160</v>
      </c>
      <c r="L177" s="1" t="s">
        <v>216</v>
      </c>
      <c r="M177" s="1" t="s">
        <v>131</v>
      </c>
      <c r="N177" s="13"/>
      <c r="P177" s="4"/>
      <c r="Q177" s="1" t="s">
        <v>137</v>
      </c>
      <c r="R177" s="1" t="s">
        <v>137</v>
      </c>
      <c r="S177" s="1" t="s">
        <v>47</v>
      </c>
      <c r="T177" s="1" t="s">
        <v>4301</v>
      </c>
      <c r="U177" s="1" t="s">
        <v>1577</v>
      </c>
      <c r="V177" s="1" t="s">
        <v>3858</v>
      </c>
      <c r="W177" s="3">
        <v>44522.0</v>
      </c>
      <c r="X177" s="3">
        <v>44522.0</v>
      </c>
    </row>
    <row r="178">
      <c r="A178" s="1" t="s">
        <v>5307</v>
      </c>
      <c r="B178" s="1" t="s">
        <v>5309</v>
      </c>
      <c r="C178" s="1" t="s">
        <v>5309</v>
      </c>
      <c r="D178" s="1" t="s">
        <v>4293</v>
      </c>
      <c r="E178" s="1" t="s">
        <v>5314</v>
      </c>
      <c r="F178" s="1" t="s">
        <v>5316</v>
      </c>
      <c r="G178" s="3">
        <v>45699.0</v>
      </c>
      <c r="H178" s="3">
        <v>45791.0</v>
      </c>
      <c r="I178" s="3">
        <v>45791.0</v>
      </c>
      <c r="J178" s="1" t="s">
        <v>215</v>
      </c>
      <c r="K178" s="1" t="s">
        <v>160</v>
      </c>
      <c r="L178" s="1" t="s">
        <v>216</v>
      </c>
      <c r="M178" s="1" t="s">
        <v>131</v>
      </c>
      <c r="N178" s="13"/>
      <c r="P178" s="4"/>
      <c r="Q178" s="1" t="s">
        <v>137</v>
      </c>
      <c r="R178" s="1" t="s">
        <v>137</v>
      </c>
      <c r="S178" s="1" t="s">
        <v>47</v>
      </c>
      <c r="T178" s="1" t="s">
        <v>4301</v>
      </c>
      <c r="U178" s="1" t="s">
        <v>1577</v>
      </c>
      <c r="V178" s="1" t="s">
        <v>4679</v>
      </c>
      <c r="W178" s="3">
        <v>45791.0</v>
      </c>
      <c r="X178" s="3">
        <v>45791.0</v>
      </c>
    </row>
    <row r="179">
      <c r="A179" s="1" t="s">
        <v>5337</v>
      </c>
      <c r="B179" s="1" t="s">
        <v>5309</v>
      </c>
      <c r="C179" s="1" t="s">
        <v>5309</v>
      </c>
      <c r="D179" s="1" t="s">
        <v>4293</v>
      </c>
      <c r="E179" s="1" t="s">
        <v>5314</v>
      </c>
      <c r="F179" s="1" t="s">
        <v>5345</v>
      </c>
      <c r="G179" s="3">
        <v>45699.0</v>
      </c>
      <c r="H179" s="3">
        <v>45791.0</v>
      </c>
      <c r="I179" s="3">
        <v>45791.0</v>
      </c>
      <c r="J179" s="1" t="s">
        <v>215</v>
      </c>
      <c r="K179" s="1" t="s">
        <v>160</v>
      </c>
      <c r="L179" s="1" t="s">
        <v>216</v>
      </c>
      <c r="M179" s="1" t="s">
        <v>131</v>
      </c>
      <c r="N179" s="13"/>
      <c r="P179" s="4"/>
      <c r="Q179" s="1" t="s">
        <v>137</v>
      </c>
      <c r="R179" s="1" t="s">
        <v>137</v>
      </c>
      <c r="S179" s="1" t="s">
        <v>47</v>
      </c>
      <c r="T179" s="1" t="s">
        <v>4301</v>
      </c>
      <c r="U179" s="1" t="s">
        <v>1577</v>
      </c>
      <c r="V179" s="1" t="s">
        <v>4950</v>
      </c>
      <c r="W179" s="3">
        <v>45791.0</v>
      </c>
      <c r="X179" s="3">
        <v>45791.0</v>
      </c>
    </row>
    <row r="180">
      <c r="A180" s="1" t="s">
        <v>5365</v>
      </c>
      <c r="B180" s="1" t="s">
        <v>5309</v>
      </c>
      <c r="C180" s="1" t="s">
        <v>5309</v>
      </c>
      <c r="D180" s="1" t="s">
        <v>4293</v>
      </c>
      <c r="E180" s="1" t="s">
        <v>5314</v>
      </c>
      <c r="F180" s="1" t="s">
        <v>5374</v>
      </c>
      <c r="G180" s="3">
        <v>45699.0</v>
      </c>
      <c r="H180" s="3">
        <v>45791.0</v>
      </c>
      <c r="I180" s="3">
        <v>45791.0</v>
      </c>
      <c r="J180" s="1" t="s">
        <v>215</v>
      </c>
      <c r="K180" s="1" t="s">
        <v>160</v>
      </c>
      <c r="L180" s="1" t="s">
        <v>216</v>
      </c>
      <c r="M180" s="1" t="s">
        <v>131</v>
      </c>
      <c r="N180" s="13"/>
      <c r="P180" s="4"/>
      <c r="Q180" s="1" t="s">
        <v>137</v>
      </c>
      <c r="R180" s="1" t="s">
        <v>137</v>
      </c>
      <c r="S180" s="1" t="s">
        <v>47</v>
      </c>
      <c r="T180" s="1" t="s">
        <v>4301</v>
      </c>
      <c r="U180" s="1" t="s">
        <v>1577</v>
      </c>
      <c r="V180" s="1" t="s">
        <v>5104</v>
      </c>
      <c r="W180" s="3">
        <v>45791.0</v>
      </c>
      <c r="X180" s="3">
        <v>45791.0</v>
      </c>
    </row>
    <row r="181">
      <c r="A181" s="1" t="s">
        <v>5396</v>
      </c>
      <c r="B181" s="1" t="s">
        <v>5309</v>
      </c>
      <c r="C181" s="1" t="s">
        <v>5309</v>
      </c>
      <c r="D181" s="1" t="s">
        <v>4293</v>
      </c>
      <c r="E181" s="1" t="s">
        <v>5314</v>
      </c>
      <c r="F181" s="1" t="s">
        <v>5404</v>
      </c>
      <c r="G181" s="3">
        <v>45699.0</v>
      </c>
      <c r="H181" s="3">
        <v>45791.0</v>
      </c>
      <c r="I181" s="3">
        <v>45791.0</v>
      </c>
      <c r="J181" s="1" t="s">
        <v>215</v>
      </c>
      <c r="K181" s="1" t="s">
        <v>160</v>
      </c>
      <c r="L181" s="1" t="s">
        <v>216</v>
      </c>
      <c r="M181" s="1" t="s">
        <v>131</v>
      </c>
      <c r="N181" s="13"/>
      <c r="P181" s="4"/>
      <c r="Q181" s="1" t="s">
        <v>137</v>
      </c>
      <c r="R181" s="1" t="s">
        <v>137</v>
      </c>
      <c r="S181" s="1" t="s">
        <v>47</v>
      </c>
      <c r="T181" s="1" t="s">
        <v>4301</v>
      </c>
      <c r="U181" s="1" t="s">
        <v>1577</v>
      </c>
      <c r="V181" s="1" t="s">
        <v>5120</v>
      </c>
      <c r="W181" s="3">
        <v>45791.0</v>
      </c>
      <c r="X181" s="3">
        <v>45791.0</v>
      </c>
    </row>
    <row r="182">
      <c r="A182" s="1" t="s">
        <v>5434</v>
      </c>
      <c r="B182" s="1" t="s">
        <v>4303</v>
      </c>
      <c r="C182" s="1" t="s">
        <v>4303</v>
      </c>
      <c r="D182" s="1" t="s">
        <v>4293</v>
      </c>
      <c r="E182" s="1" t="s">
        <v>5438</v>
      </c>
      <c r="F182" s="1" t="s">
        <v>5442</v>
      </c>
      <c r="G182" s="3">
        <v>44376.0</v>
      </c>
      <c r="H182" s="3">
        <v>44487.0</v>
      </c>
      <c r="I182" s="3">
        <v>44487.0</v>
      </c>
      <c r="J182" s="1" t="s">
        <v>215</v>
      </c>
      <c r="K182" s="1" t="s">
        <v>160</v>
      </c>
      <c r="L182" s="1" t="s">
        <v>216</v>
      </c>
      <c r="M182" s="1" t="s">
        <v>131</v>
      </c>
      <c r="N182" s="13"/>
      <c r="P182" s="4"/>
      <c r="Q182" s="1" t="s">
        <v>137</v>
      </c>
      <c r="R182" s="1" t="s">
        <v>137</v>
      </c>
      <c r="S182" s="1" t="s">
        <v>47</v>
      </c>
      <c r="T182" s="1" t="s">
        <v>4301</v>
      </c>
      <c r="U182" s="1" t="s">
        <v>1577</v>
      </c>
      <c r="V182" s="1" t="s">
        <v>3858</v>
      </c>
      <c r="W182" s="3">
        <v>44487.0</v>
      </c>
      <c r="X182" s="3">
        <v>44487.0</v>
      </c>
    </row>
    <row r="183">
      <c r="A183" s="1" t="s">
        <v>5463</v>
      </c>
      <c r="B183" s="1" t="s">
        <v>5465</v>
      </c>
      <c r="C183" s="1" t="s">
        <v>5465</v>
      </c>
      <c r="D183" s="1" t="s">
        <v>4293</v>
      </c>
      <c r="E183" s="1" t="s">
        <v>5471</v>
      </c>
      <c r="F183" s="1" t="s">
        <v>5477</v>
      </c>
      <c r="G183" s="3">
        <v>45645.0</v>
      </c>
      <c r="H183" s="3">
        <v>45824.0</v>
      </c>
      <c r="I183" s="3">
        <v>45824.0</v>
      </c>
      <c r="J183" s="1" t="s">
        <v>215</v>
      </c>
      <c r="K183" s="1" t="s">
        <v>160</v>
      </c>
      <c r="L183" s="1" t="s">
        <v>216</v>
      </c>
      <c r="M183" s="1" t="s">
        <v>131</v>
      </c>
      <c r="N183" s="13"/>
      <c r="P183" s="4"/>
      <c r="Q183" s="1" t="s">
        <v>137</v>
      </c>
      <c r="R183" s="1" t="s">
        <v>137</v>
      </c>
      <c r="S183" s="1" t="s">
        <v>47</v>
      </c>
      <c r="T183" s="1" t="s">
        <v>4301</v>
      </c>
      <c r="U183" s="1" t="s">
        <v>1577</v>
      </c>
      <c r="V183" s="1" t="s">
        <v>3858</v>
      </c>
      <c r="W183" s="3">
        <v>45824.0</v>
      </c>
      <c r="X183" s="3">
        <v>45824.0</v>
      </c>
    </row>
    <row r="184">
      <c r="A184" s="1" t="s">
        <v>5493</v>
      </c>
      <c r="B184" s="1" t="s">
        <v>5465</v>
      </c>
      <c r="C184" s="1" t="s">
        <v>5465</v>
      </c>
      <c r="D184" s="1" t="s">
        <v>4293</v>
      </c>
      <c r="E184" s="1" t="s">
        <v>5471</v>
      </c>
      <c r="F184" s="1" t="s">
        <v>5501</v>
      </c>
      <c r="G184" s="3">
        <v>45645.0</v>
      </c>
      <c r="H184" s="3">
        <v>45824.0</v>
      </c>
      <c r="I184" s="3">
        <v>45824.0</v>
      </c>
      <c r="J184" s="1" t="s">
        <v>215</v>
      </c>
      <c r="K184" s="1" t="s">
        <v>160</v>
      </c>
      <c r="L184" s="1" t="s">
        <v>216</v>
      </c>
      <c r="M184" s="1" t="s">
        <v>131</v>
      </c>
      <c r="N184" s="13"/>
      <c r="P184" s="4"/>
      <c r="Q184" s="1" t="s">
        <v>137</v>
      </c>
      <c r="R184" s="1" t="s">
        <v>137</v>
      </c>
      <c r="S184" s="1" t="s">
        <v>47</v>
      </c>
      <c r="T184" s="1" t="s">
        <v>4301</v>
      </c>
      <c r="U184" s="1" t="s">
        <v>1577</v>
      </c>
      <c r="V184" s="1" t="s">
        <v>3963</v>
      </c>
      <c r="W184" s="3">
        <v>45824.0</v>
      </c>
      <c r="X184" s="3">
        <v>45824.0</v>
      </c>
    </row>
    <row r="185">
      <c r="A185" s="1" t="s">
        <v>5526</v>
      </c>
      <c r="B185" s="1" t="s">
        <v>5465</v>
      </c>
      <c r="C185" s="1" t="s">
        <v>5465</v>
      </c>
      <c r="D185" s="1" t="s">
        <v>4293</v>
      </c>
      <c r="E185" s="1" t="s">
        <v>5471</v>
      </c>
      <c r="F185" s="1" t="s">
        <v>5532</v>
      </c>
      <c r="G185" s="3">
        <v>45645.0</v>
      </c>
      <c r="H185" s="3">
        <v>45824.0</v>
      </c>
      <c r="I185" s="3">
        <v>45824.0</v>
      </c>
      <c r="J185" s="1" t="s">
        <v>215</v>
      </c>
      <c r="K185" s="1" t="s">
        <v>160</v>
      </c>
      <c r="L185" s="1" t="s">
        <v>216</v>
      </c>
      <c r="M185" s="1" t="s">
        <v>131</v>
      </c>
      <c r="N185" s="13"/>
      <c r="P185" s="4"/>
      <c r="Q185" s="1" t="s">
        <v>137</v>
      </c>
      <c r="R185" s="1" t="s">
        <v>137</v>
      </c>
      <c r="S185" s="1" t="s">
        <v>47</v>
      </c>
      <c r="T185" s="1" t="s">
        <v>4301</v>
      </c>
      <c r="U185" s="1" t="s">
        <v>1577</v>
      </c>
      <c r="V185" s="1" t="s">
        <v>4950</v>
      </c>
      <c r="W185" s="3">
        <v>45824.0</v>
      </c>
      <c r="X185" s="3">
        <v>45824.0</v>
      </c>
    </row>
    <row r="186">
      <c r="A186" s="1" t="s">
        <v>5548</v>
      </c>
      <c r="B186" s="1" t="s">
        <v>5550</v>
      </c>
      <c r="C186" s="1" t="s">
        <v>5550</v>
      </c>
      <c r="D186" s="1" t="s">
        <v>4293</v>
      </c>
      <c r="E186" s="1" t="s">
        <v>5557</v>
      </c>
      <c r="F186" s="1" t="s">
        <v>5560</v>
      </c>
      <c r="G186" s="3">
        <v>45558.0</v>
      </c>
      <c r="H186" s="3">
        <v>45796.0</v>
      </c>
      <c r="I186" s="3">
        <v>45796.0</v>
      </c>
      <c r="J186" s="1" t="s">
        <v>215</v>
      </c>
      <c r="K186" s="1" t="s">
        <v>160</v>
      </c>
      <c r="L186" s="1" t="s">
        <v>216</v>
      </c>
      <c r="M186" s="1" t="s">
        <v>131</v>
      </c>
      <c r="N186" s="13"/>
      <c r="P186" s="4"/>
      <c r="Q186" s="1" t="s">
        <v>137</v>
      </c>
      <c r="R186" s="1" t="s">
        <v>137</v>
      </c>
      <c r="S186" s="1" t="s">
        <v>47</v>
      </c>
      <c r="T186" s="1" t="s">
        <v>4301</v>
      </c>
      <c r="U186" s="1" t="s">
        <v>1577</v>
      </c>
      <c r="V186" s="1" t="s">
        <v>4679</v>
      </c>
      <c r="W186" s="3">
        <v>45796.0</v>
      </c>
      <c r="X186" s="3">
        <v>45796.0</v>
      </c>
    </row>
    <row r="187">
      <c r="A187" s="1" t="s">
        <v>5584</v>
      </c>
      <c r="B187" s="1" t="s">
        <v>5550</v>
      </c>
      <c r="C187" s="1" t="s">
        <v>5550</v>
      </c>
      <c r="D187" s="1" t="s">
        <v>4293</v>
      </c>
      <c r="E187" s="1" t="s">
        <v>5557</v>
      </c>
      <c r="F187" s="1" t="s">
        <v>5594</v>
      </c>
      <c r="G187" s="3">
        <v>45558.0</v>
      </c>
      <c r="H187" s="3">
        <v>45796.0</v>
      </c>
      <c r="I187" s="3">
        <v>45796.0</v>
      </c>
      <c r="J187" s="1" t="s">
        <v>215</v>
      </c>
      <c r="K187" s="1" t="s">
        <v>160</v>
      </c>
      <c r="L187" s="1" t="s">
        <v>216</v>
      </c>
      <c r="M187" s="1" t="s">
        <v>131</v>
      </c>
      <c r="N187" s="13"/>
      <c r="P187" s="4"/>
      <c r="Q187" s="1" t="s">
        <v>137</v>
      </c>
      <c r="R187" s="1" t="s">
        <v>137</v>
      </c>
      <c r="S187" s="1" t="s">
        <v>47</v>
      </c>
      <c r="T187" s="1" t="s">
        <v>4301</v>
      </c>
      <c r="U187" s="1" t="s">
        <v>1577</v>
      </c>
      <c r="V187" s="1" t="s">
        <v>4950</v>
      </c>
      <c r="W187" s="3">
        <v>45796.0</v>
      </c>
      <c r="X187" s="3">
        <v>45796.0</v>
      </c>
    </row>
    <row r="188">
      <c r="A188" s="1" t="s">
        <v>5609</v>
      </c>
      <c r="B188" s="1" t="s">
        <v>5550</v>
      </c>
      <c r="C188" s="1" t="s">
        <v>5550</v>
      </c>
      <c r="D188" s="1" t="s">
        <v>4293</v>
      </c>
      <c r="E188" s="1" t="s">
        <v>5557</v>
      </c>
      <c r="F188" s="1" t="s">
        <v>5616</v>
      </c>
      <c r="G188" s="3">
        <v>45558.0</v>
      </c>
      <c r="H188" s="3">
        <v>45796.0</v>
      </c>
      <c r="I188" s="3">
        <v>45796.0</v>
      </c>
      <c r="J188" s="1" t="s">
        <v>215</v>
      </c>
      <c r="K188" s="1" t="s">
        <v>160</v>
      </c>
      <c r="L188" s="1" t="s">
        <v>216</v>
      </c>
      <c r="M188" s="1" t="s">
        <v>131</v>
      </c>
      <c r="N188" s="13"/>
      <c r="P188" s="4"/>
      <c r="Q188" s="1" t="s">
        <v>137</v>
      </c>
      <c r="R188" s="1" t="s">
        <v>137</v>
      </c>
      <c r="S188" s="1" t="s">
        <v>47</v>
      </c>
      <c r="T188" s="1" t="s">
        <v>4301</v>
      </c>
      <c r="U188" s="1" t="s">
        <v>1577</v>
      </c>
      <c r="V188" s="1" t="s">
        <v>5104</v>
      </c>
      <c r="W188" s="3">
        <v>45796.0</v>
      </c>
      <c r="X188" s="3">
        <v>45796.0</v>
      </c>
    </row>
    <row r="189">
      <c r="A189" s="1" t="s">
        <v>5642</v>
      </c>
      <c r="B189" s="1" t="s">
        <v>5550</v>
      </c>
      <c r="C189" s="1" t="s">
        <v>5550</v>
      </c>
      <c r="D189" s="1" t="s">
        <v>4293</v>
      </c>
      <c r="E189" s="1" t="s">
        <v>5557</v>
      </c>
      <c r="F189" s="1" t="s">
        <v>5651</v>
      </c>
      <c r="G189" s="3">
        <v>45558.0</v>
      </c>
      <c r="H189" s="3">
        <v>45796.0</v>
      </c>
      <c r="I189" s="3">
        <v>45796.0</v>
      </c>
      <c r="J189" s="1" t="s">
        <v>215</v>
      </c>
      <c r="K189" s="1" t="s">
        <v>160</v>
      </c>
      <c r="L189" s="1" t="s">
        <v>216</v>
      </c>
      <c r="M189" s="1" t="s">
        <v>131</v>
      </c>
      <c r="N189" s="13"/>
      <c r="P189" s="4"/>
      <c r="Q189" s="1" t="s">
        <v>137</v>
      </c>
      <c r="R189" s="1" t="s">
        <v>137</v>
      </c>
      <c r="S189" s="1" t="s">
        <v>47</v>
      </c>
      <c r="T189" s="1" t="s">
        <v>4301</v>
      </c>
      <c r="U189" s="1" t="s">
        <v>1577</v>
      </c>
      <c r="V189" s="1" t="s">
        <v>5120</v>
      </c>
      <c r="W189" s="3">
        <v>45796.0</v>
      </c>
      <c r="X189" s="3">
        <v>45796.0</v>
      </c>
    </row>
    <row r="190">
      <c r="A190" s="1" t="s">
        <v>5670</v>
      </c>
      <c r="B190" s="1" t="s">
        <v>5672</v>
      </c>
      <c r="C190" s="1" t="s">
        <v>5672</v>
      </c>
      <c r="D190" s="1" t="s">
        <v>4293</v>
      </c>
      <c r="E190" s="1" t="s">
        <v>5677</v>
      </c>
      <c r="F190" s="1" t="s">
        <v>5680</v>
      </c>
      <c r="G190" s="3">
        <v>43959.0</v>
      </c>
      <c r="H190" s="3">
        <v>44011.0</v>
      </c>
      <c r="I190" s="3">
        <v>44011.0</v>
      </c>
      <c r="J190" s="1" t="s">
        <v>215</v>
      </c>
      <c r="K190" s="1" t="s">
        <v>160</v>
      </c>
      <c r="L190" s="1" t="s">
        <v>216</v>
      </c>
      <c r="M190" s="1" t="s">
        <v>131</v>
      </c>
      <c r="N190" s="13"/>
      <c r="P190" s="4"/>
      <c r="Q190" s="1" t="s">
        <v>137</v>
      </c>
      <c r="R190" s="1" t="s">
        <v>137</v>
      </c>
      <c r="S190" s="1" t="s">
        <v>47</v>
      </c>
      <c r="T190" s="1" t="s">
        <v>4301</v>
      </c>
      <c r="U190" s="1" t="s">
        <v>1577</v>
      </c>
      <c r="V190" s="1" t="s">
        <v>3858</v>
      </c>
      <c r="W190" s="3">
        <v>44011.0</v>
      </c>
      <c r="X190" s="3">
        <v>44011.0</v>
      </c>
    </row>
    <row r="191">
      <c r="A191" s="1" t="s">
        <v>5690</v>
      </c>
      <c r="B191" s="1" t="s">
        <v>5692</v>
      </c>
      <c r="C191" s="1" t="s">
        <v>5692</v>
      </c>
      <c r="D191" s="1" t="s">
        <v>4293</v>
      </c>
      <c r="E191" s="1" t="s">
        <v>5693</v>
      </c>
      <c r="F191" s="1" t="s">
        <v>5696</v>
      </c>
      <c r="G191" s="3">
        <v>44580.0</v>
      </c>
      <c r="H191" s="3">
        <v>44678.0</v>
      </c>
      <c r="I191" s="3">
        <v>44678.0</v>
      </c>
      <c r="J191" s="1" t="s">
        <v>215</v>
      </c>
      <c r="K191" s="1" t="s">
        <v>160</v>
      </c>
      <c r="L191" s="1" t="s">
        <v>216</v>
      </c>
      <c r="M191" s="1" t="s">
        <v>131</v>
      </c>
      <c r="N191" s="13"/>
      <c r="P191" s="4"/>
      <c r="Q191" s="1" t="s">
        <v>137</v>
      </c>
      <c r="R191" s="1" t="s">
        <v>137</v>
      </c>
      <c r="S191" s="1" t="s">
        <v>47</v>
      </c>
      <c r="T191" s="1" t="s">
        <v>4301</v>
      </c>
      <c r="U191" s="1" t="s">
        <v>1577</v>
      </c>
      <c r="V191" s="1" t="s">
        <v>3858</v>
      </c>
      <c r="W191" s="3">
        <v>44678.0</v>
      </c>
      <c r="X191" s="3">
        <v>44678.0</v>
      </c>
    </row>
    <row r="192">
      <c r="A192" s="1" t="s">
        <v>5706</v>
      </c>
      <c r="B192" s="1" t="s">
        <v>5708</v>
      </c>
      <c r="C192" s="1" t="s">
        <v>5708</v>
      </c>
      <c r="D192" s="1" t="s">
        <v>4293</v>
      </c>
      <c r="E192" s="1" t="s">
        <v>5715</v>
      </c>
      <c r="F192" s="1" t="s">
        <v>5716</v>
      </c>
      <c r="G192" s="3">
        <v>43452.0</v>
      </c>
      <c r="H192" s="3">
        <v>43592.0</v>
      </c>
      <c r="I192" s="3">
        <v>43592.0</v>
      </c>
      <c r="J192" s="1" t="s">
        <v>215</v>
      </c>
      <c r="K192" s="1" t="s">
        <v>160</v>
      </c>
      <c r="L192" s="1" t="s">
        <v>216</v>
      </c>
      <c r="M192" s="1" t="s">
        <v>131</v>
      </c>
      <c r="N192" s="13"/>
      <c r="P192" s="4"/>
      <c r="Q192" s="1" t="s">
        <v>137</v>
      </c>
      <c r="R192" s="1" t="s">
        <v>137</v>
      </c>
      <c r="S192" s="1" t="s">
        <v>47</v>
      </c>
      <c r="T192" s="1" t="s">
        <v>4301</v>
      </c>
      <c r="U192" s="1" t="s">
        <v>1577</v>
      </c>
      <c r="V192" s="1" t="s">
        <v>3858</v>
      </c>
      <c r="W192" s="3">
        <v>43592.0</v>
      </c>
      <c r="X192" s="3">
        <v>43592.0</v>
      </c>
    </row>
    <row r="193">
      <c r="A193" s="1" t="s">
        <v>5726</v>
      </c>
      <c r="B193" s="1" t="s">
        <v>5728</v>
      </c>
      <c r="C193" s="1" t="s">
        <v>5728</v>
      </c>
      <c r="D193" s="1" t="s">
        <v>4293</v>
      </c>
      <c r="E193" s="1" t="s">
        <v>5731</v>
      </c>
      <c r="F193" s="1" t="s">
        <v>5733</v>
      </c>
      <c r="G193" s="3">
        <v>44188.0</v>
      </c>
      <c r="H193" s="3">
        <v>44285.0</v>
      </c>
      <c r="I193" s="3">
        <v>44285.0</v>
      </c>
      <c r="J193" s="1" t="s">
        <v>215</v>
      </c>
      <c r="K193" s="1" t="s">
        <v>160</v>
      </c>
      <c r="L193" s="1" t="s">
        <v>216</v>
      </c>
      <c r="M193" s="1" t="s">
        <v>131</v>
      </c>
      <c r="N193" s="13"/>
      <c r="P193" s="4"/>
      <c r="Q193" s="1" t="s">
        <v>137</v>
      </c>
      <c r="R193" s="1" t="s">
        <v>137</v>
      </c>
      <c r="S193" s="1" t="s">
        <v>47</v>
      </c>
      <c r="T193" s="1" t="s">
        <v>4301</v>
      </c>
      <c r="U193" s="1" t="s">
        <v>1577</v>
      </c>
      <c r="V193" s="1" t="s">
        <v>3865</v>
      </c>
      <c r="W193" s="3">
        <v>44285.0</v>
      </c>
      <c r="X193" s="3">
        <v>44285.0</v>
      </c>
    </row>
    <row r="194">
      <c r="A194" s="1" t="s">
        <v>5742</v>
      </c>
      <c r="B194" s="1" t="s">
        <v>5745</v>
      </c>
      <c r="C194" s="1" t="s">
        <v>5745</v>
      </c>
      <c r="D194" s="1" t="s">
        <v>4293</v>
      </c>
      <c r="E194" s="1" t="s">
        <v>5748</v>
      </c>
      <c r="F194" s="1" t="s">
        <v>5749</v>
      </c>
      <c r="G194" s="3">
        <v>45930.0</v>
      </c>
      <c r="H194" s="3"/>
      <c r="I194" s="3"/>
      <c r="J194" s="1" t="s">
        <v>124</v>
      </c>
      <c r="K194" s="1" t="s">
        <v>160</v>
      </c>
      <c r="L194" s="1" t="s">
        <v>253</v>
      </c>
      <c r="M194" s="1" t="s">
        <v>131</v>
      </c>
      <c r="N194" s="13"/>
      <c r="P194" s="4"/>
      <c r="Q194" s="1" t="s">
        <v>137</v>
      </c>
      <c r="R194" s="1" t="s">
        <v>137</v>
      </c>
      <c r="S194" s="1" t="s">
        <v>47</v>
      </c>
      <c r="T194" s="1" t="s">
        <v>4301</v>
      </c>
      <c r="U194" s="1" t="s">
        <v>1577</v>
      </c>
      <c r="V194" s="1" t="s">
        <v>3858</v>
      </c>
      <c r="W194" s="3"/>
      <c r="X194" s="3"/>
    </row>
    <row r="195">
      <c r="A195" s="1" t="s">
        <v>5761</v>
      </c>
      <c r="B195" s="1" t="s">
        <v>5745</v>
      </c>
      <c r="C195" s="1" t="s">
        <v>5745</v>
      </c>
      <c r="D195" s="1" t="s">
        <v>4293</v>
      </c>
      <c r="E195" s="1" t="s">
        <v>5748</v>
      </c>
      <c r="F195" s="1" t="s">
        <v>5765</v>
      </c>
      <c r="G195" s="3">
        <v>45930.0</v>
      </c>
      <c r="H195" s="3"/>
      <c r="I195" s="3"/>
      <c r="J195" s="1" t="s">
        <v>124</v>
      </c>
      <c r="K195" s="1" t="s">
        <v>160</v>
      </c>
      <c r="L195" s="1" t="s">
        <v>253</v>
      </c>
      <c r="M195" s="1" t="s">
        <v>131</v>
      </c>
      <c r="N195" s="13"/>
      <c r="P195" s="4"/>
      <c r="Q195" s="1" t="s">
        <v>137</v>
      </c>
      <c r="R195" s="1" t="s">
        <v>137</v>
      </c>
      <c r="S195" s="1" t="s">
        <v>47</v>
      </c>
      <c r="T195" s="1" t="s">
        <v>4301</v>
      </c>
      <c r="U195" s="1" t="s">
        <v>1577</v>
      </c>
      <c r="V195" s="1" t="s">
        <v>4950</v>
      </c>
      <c r="W195" s="3"/>
      <c r="X195" s="3"/>
    </row>
    <row r="196">
      <c r="A196" s="1" t="s">
        <v>5775</v>
      </c>
      <c r="B196" s="1" t="s">
        <v>5778</v>
      </c>
      <c r="C196" s="1" t="s">
        <v>5778</v>
      </c>
      <c r="D196" s="1" t="s">
        <v>4293</v>
      </c>
      <c r="E196" s="1" t="s">
        <v>5780</v>
      </c>
      <c r="F196" s="1" t="s">
        <v>5782</v>
      </c>
      <c r="G196" s="3">
        <v>44729.0</v>
      </c>
      <c r="H196" s="3">
        <v>44886.0</v>
      </c>
      <c r="I196" s="3">
        <v>44886.0</v>
      </c>
      <c r="J196" s="1" t="s">
        <v>215</v>
      </c>
      <c r="K196" s="1" t="s">
        <v>160</v>
      </c>
      <c r="L196" s="1" t="s">
        <v>216</v>
      </c>
      <c r="M196" s="1" t="s">
        <v>131</v>
      </c>
      <c r="N196" s="13"/>
      <c r="P196" s="4"/>
      <c r="Q196" s="1" t="s">
        <v>137</v>
      </c>
      <c r="R196" s="1" t="s">
        <v>137</v>
      </c>
      <c r="S196" s="1" t="s">
        <v>47</v>
      </c>
      <c r="T196" s="1" t="s">
        <v>4301</v>
      </c>
      <c r="U196" s="1" t="s">
        <v>1577</v>
      </c>
      <c r="V196" s="1" t="s">
        <v>4679</v>
      </c>
      <c r="W196" s="3">
        <v>44886.0</v>
      </c>
      <c r="X196" s="3">
        <v>44886.0</v>
      </c>
    </row>
    <row r="197">
      <c r="A197" s="1" t="s">
        <v>5792</v>
      </c>
      <c r="B197" s="1" t="s">
        <v>5778</v>
      </c>
      <c r="C197" s="1" t="s">
        <v>5778</v>
      </c>
      <c r="D197" s="1" t="s">
        <v>4293</v>
      </c>
      <c r="E197" s="1" t="s">
        <v>5780</v>
      </c>
      <c r="F197" s="1" t="s">
        <v>5798</v>
      </c>
      <c r="G197" s="3">
        <v>44729.0</v>
      </c>
      <c r="H197" s="3">
        <v>44886.0</v>
      </c>
      <c r="I197" s="3">
        <v>44886.0</v>
      </c>
      <c r="J197" s="1" t="s">
        <v>215</v>
      </c>
      <c r="K197" s="1" t="s">
        <v>160</v>
      </c>
      <c r="L197" s="1" t="s">
        <v>216</v>
      </c>
      <c r="M197" s="1" t="s">
        <v>131</v>
      </c>
      <c r="N197" s="13"/>
      <c r="P197" s="4"/>
      <c r="Q197" s="1" t="s">
        <v>137</v>
      </c>
      <c r="R197" s="1" t="s">
        <v>137</v>
      </c>
      <c r="S197" s="1" t="s">
        <v>47</v>
      </c>
      <c r="T197" s="1" t="s">
        <v>4301</v>
      </c>
      <c r="U197" s="1" t="s">
        <v>1577</v>
      </c>
      <c r="V197" s="1" t="s">
        <v>4950</v>
      </c>
      <c r="W197" s="3">
        <v>44886.0</v>
      </c>
      <c r="X197" s="3">
        <v>44886.0</v>
      </c>
    </row>
    <row r="198">
      <c r="A198" s="1" t="s">
        <v>5802</v>
      </c>
      <c r="B198" s="1" t="s">
        <v>5778</v>
      </c>
      <c r="C198" s="1" t="s">
        <v>5778</v>
      </c>
      <c r="D198" s="1" t="s">
        <v>4293</v>
      </c>
      <c r="E198" s="1" t="s">
        <v>5780</v>
      </c>
      <c r="F198" s="1" t="s">
        <v>5806</v>
      </c>
      <c r="G198" s="3">
        <v>44729.0</v>
      </c>
      <c r="H198" s="3">
        <v>44886.0</v>
      </c>
      <c r="I198" s="3">
        <v>44886.0</v>
      </c>
      <c r="J198" s="1" t="s">
        <v>215</v>
      </c>
      <c r="K198" s="1" t="s">
        <v>160</v>
      </c>
      <c r="L198" s="1" t="s">
        <v>216</v>
      </c>
      <c r="M198" s="1" t="s">
        <v>131</v>
      </c>
      <c r="N198" s="13"/>
      <c r="P198" s="4"/>
      <c r="Q198" s="1" t="s">
        <v>137</v>
      </c>
      <c r="R198" s="1" t="s">
        <v>137</v>
      </c>
      <c r="S198" s="1" t="s">
        <v>47</v>
      </c>
      <c r="T198" s="1" t="s">
        <v>4301</v>
      </c>
      <c r="U198" s="1" t="s">
        <v>1577</v>
      </c>
      <c r="V198" s="1" t="s">
        <v>5104</v>
      </c>
      <c r="W198" s="3">
        <v>44886.0</v>
      </c>
      <c r="X198" s="3">
        <v>44886.0</v>
      </c>
    </row>
    <row r="199">
      <c r="A199" s="1" t="s">
        <v>5818</v>
      </c>
      <c r="B199" s="1" t="s">
        <v>5778</v>
      </c>
      <c r="C199" s="1" t="s">
        <v>5778</v>
      </c>
      <c r="D199" s="1" t="s">
        <v>4293</v>
      </c>
      <c r="E199" s="1" t="s">
        <v>5780</v>
      </c>
      <c r="F199" s="1" t="s">
        <v>5824</v>
      </c>
      <c r="G199" s="3">
        <v>44729.0</v>
      </c>
      <c r="H199" s="3">
        <v>44886.0</v>
      </c>
      <c r="I199" s="3">
        <v>44886.0</v>
      </c>
      <c r="J199" s="1" t="s">
        <v>215</v>
      </c>
      <c r="K199" s="1" t="s">
        <v>160</v>
      </c>
      <c r="L199" s="1" t="s">
        <v>216</v>
      </c>
      <c r="M199" s="1" t="s">
        <v>131</v>
      </c>
      <c r="N199" s="13"/>
      <c r="Q199" s="1" t="s">
        <v>137</v>
      </c>
      <c r="R199" s="1" t="s">
        <v>137</v>
      </c>
      <c r="S199" s="1" t="s">
        <v>47</v>
      </c>
      <c r="T199" s="1" t="s">
        <v>4301</v>
      </c>
      <c r="U199" s="1" t="s">
        <v>1577</v>
      </c>
      <c r="V199" s="1" t="s">
        <v>5120</v>
      </c>
      <c r="W199" s="3">
        <v>44886.0</v>
      </c>
      <c r="X199" s="3">
        <v>44886.0</v>
      </c>
    </row>
    <row r="200">
      <c r="A200" s="1" t="s">
        <v>5834</v>
      </c>
      <c r="B200" s="1" t="s">
        <v>5835</v>
      </c>
      <c r="C200" s="1" t="s">
        <v>5835</v>
      </c>
      <c r="D200" s="1" t="s">
        <v>4293</v>
      </c>
      <c r="E200" s="1" t="s">
        <v>5838</v>
      </c>
      <c r="F200" s="1" t="s">
        <v>5839</v>
      </c>
      <c r="G200" s="3">
        <v>45630.0</v>
      </c>
      <c r="H200" s="3">
        <v>45693.0</v>
      </c>
      <c r="I200" s="3">
        <v>45693.0</v>
      </c>
      <c r="J200" s="1" t="s">
        <v>215</v>
      </c>
      <c r="K200" s="1" t="s">
        <v>160</v>
      </c>
      <c r="L200" s="1" t="s">
        <v>216</v>
      </c>
      <c r="M200" s="1" t="s">
        <v>131</v>
      </c>
      <c r="N200" s="13"/>
      <c r="Q200" s="1" t="s">
        <v>137</v>
      </c>
      <c r="R200" s="1" t="s">
        <v>137</v>
      </c>
      <c r="S200" s="1" t="s">
        <v>47</v>
      </c>
      <c r="T200" s="1" t="s">
        <v>4301</v>
      </c>
      <c r="U200" s="1" t="s">
        <v>1577</v>
      </c>
      <c r="V200" s="1" t="s">
        <v>4679</v>
      </c>
      <c r="W200" s="3">
        <v>45693.0</v>
      </c>
      <c r="X200" s="3">
        <v>45693.0</v>
      </c>
    </row>
    <row r="201">
      <c r="A201" s="1" t="s">
        <v>5855</v>
      </c>
      <c r="B201" s="1" t="s">
        <v>5835</v>
      </c>
      <c r="C201" s="1" t="s">
        <v>5835</v>
      </c>
      <c r="D201" s="1" t="s">
        <v>4293</v>
      </c>
      <c r="E201" s="1" t="s">
        <v>5838</v>
      </c>
      <c r="F201" s="1" t="s">
        <v>5858</v>
      </c>
      <c r="G201" s="3">
        <v>45630.0</v>
      </c>
      <c r="H201" s="3">
        <v>45693.0</v>
      </c>
      <c r="I201" s="3">
        <v>45693.0</v>
      </c>
      <c r="J201" s="1" t="s">
        <v>215</v>
      </c>
      <c r="K201" s="1" t="s">
        <v>160</v>
      </c>
      <c r="L201" s="1" t="s">
        <v>216</v>
      </c>
      <c r="M201" s="1" t="s">
        <v>131</v>
      </c>
      <c r="N201" s="13"/>
      <c r="O201" s="4"/>
      <c r="P201" s="4"/>
      <c r="Q201" s="1" t="s">
        <v>137</v>
      </c>
      <c r="R201" s="1" t="s">
        <v>137</v>
      </c>
      <c r="S201" s="1" t="s">
        <v>47</v>
      </c>
      <c r="T201" s="1" t="s">
        <v>4301</v>
      </c>
      <c r="U201" s="1" t="s">
        <v>1577</v>
      </c>
      <c r="V201" s="1" t="s">
        <v>4950</v>
      </c>
      <c r="W201" s="3">
        <v>45693.0</v>
      </c>
      <c r="X201" s="3">
        <v>45693.0</v>
      </c>
    </row>
    <row r="202">
      <c r="A202" s="1" t="s">
        <v>5876</v>
      </c>
      <c r="B202" s="1" t="s">
        <v>5835</v>
      </c>
      <c r="C202" s="1" t="s">
        <v>5835</v>
      </c>
      <c r="D202" s="1" t="s">
        <v>4293</v>
      </c>
      <c r="E202" s="1" t="s">
        <v>5838</v>
      </c>
      <c r="F202" s="1" t="s">
        <v>5884</v>
      </c>
      <c r="G202" s="3">
        <v>45630.0</v>
      </c>
      <c r="H202" s="3">
        <v>45693.0</v>
      </c>
      <c r="I202" s="3">
        <v>45693.0</v>
      </c>
      <c r="J202" s="1" t="s">
        <v>215</v>
      </c>
      <c r="K202" s="1" t="s">
        <v>160</v>
      </c>
      <c r="L202" s="1" t="s">
        <v>216</v>
      </c>
      <c r="M202" s="1" t="s">
        <v>131</v>
      </c>
      <c r="N202" s="13"/>
      <c r="O202" s="4"/>
      <c r="P202" s="4"/>
      <c r="Q202" s="1" t="s">
        <v>137</v>
      </c>
      <c r="R202" s="1" t="s">
        <v>137</v>
      </c>
      <c r="S202" s="1" t="s">
        <v>47</v>
      </c>
      <c r="T202" s="1" t="s">
        <v>4301</v>
      </c>
      <c r="U202" s="1" t="s">
        <v>1577</v>
      </c>
      <c r="V202" s="1" t="s">
        <v>5104</v>
      </c>
      <c r="W202" s="3">
        <v>45693.0</v>
      </c>
      <c r="X202" s="3">
        <v>45693.0</v>
      </c>
    </row>
    <row r="203">
      <c r="A203" s="1" t="s">
        <v>5901</v>
      </c>
      <c r="B203" s="1" t="s">
        <v>5835</v>
      </c>
      <c r="C203" s="1" t="s">
        <v>5835</v>
      </c>
      <c r="D203" s="1" t="s">
        <v>4293</v>
      </c>
      <c r="E203" s="1" t="s">
        <v>5838</v>
      </c>
      <c r="F203" s="1" t="s">
        <v>5904</v>
      </c>
      <c r="G203" s="3">
        <v>45630.0</v>
      </c>
      <c r="H203" s="3">
        <v>45693.0</v>
      </c>
      <c r="I203" s="3">
        <v>45693.0</v>
      </c>
      <c r="J203" s="1" t="s">
        <v>215</v>
      </c>
      <c r="K203" s="1" t="s">
        <v>160</v>
      </c>
      <c r="L203" s="1" t="s">
        <v>216</v>
      </c>
      <c r="M203" s="1" t="s">
        <v>131</v>
      </c>
      <c r="N203" s="13"/>
      <c r="O203" s="4"/>
      <c r="P203" s="4"/>
      <c r="Q203" s="1" t="s">
        <v>137</v>
      </c>
      <c r="R203" s="1" t="s">
        <v>137</v>
      </c>
      <c r="S203" s="1" t="s">
        <v>47</v>
      </c>
      <c r="T203" s="1" t="s">
        <v>4301</v>
      </c>
      <c r="U203" s="1" t="s">
        <v>1577</v>
      </c>
      <c r="V203" s="1" t="s">
        <v>5120</v>
      </c>
      <c r="W203" s="3">
        <v>45693.0</v>
      </c>
      <c r="X203" s="3">
        <v>45693.0</v>
      </c>
    </row>
    <row r="204">
      <c r="A204" s="1" t="s">
        <v>5919</v>
      </c>
      <c r="B204" s="1" t="s">
        <v>5921</v>
      </c>
      <c r="C204" s="1" t="s">
        <v>5921</v>
      </c>
      <c r="D204" s="1" t="s">
        <v>4293</v>
      </c>
      <c r="E204" s="1" t="s">
        <v>5925</v>
      </c>
      <c r="F204" s="1" t="s">
        <v>5928</v>
      </c>
      <c r="G204" s="3">
        <v>44733.0</v>
      </c>
      <c r="H204" s="3">
        <v>44838.0</v>
      </c>
      <c r="I204" s="3">
        <v>44838.0</v>
      </c>
      <c r="J204" s="1" t="s">
        <v>215</v>
      </c>
      <c r="K204" s="1" t="s">
        <v>160</v>
      </c>
      <c r="L204" s="1" t="s">
        <v>216</v>
      </c>
      <c r="M204" s="1" t="s">
        <v>131</v>
      </c>
      <c r="N204" s="13"/>
      <c r="O204" s="4"/>
      <c r="P204" s="4"/>
      <c r="Q204" s="1" t="s">
        <v>137</v>
      </c>
      <c r="R204" s="1" t="s">
        <v>137</v>
      </c>
      <c r="S204" s="1" t="s">
        <v>47</v>
      </c>
      <c r="T204" s="1" t="s">
        <v>4301</v>
      </c>
      <c r="U204" s="1" t="s">
        <v>1577</v>
      </c>
      <c r="V204" s="1" t="s">
        <v>3858</v>
      </c>
      <c r="W204" s="3">
        <v>44838.0</v>
      </c>
      <c r="X204" s="3">
        <v>44838.0</v>
      </c>
    </row>
    <row r="205">
      <c r="A205" s="1" t="s">
        <v>5944</v>
      </c>
      <c r="B205" s="1" t="s">
        <v>5946</v>
      </c>
      <c r="C205" s="1" t="s">
        <v>5946</v>
      </c>
      <c r="D205" s="1" t="s">
        <v>4293</v>
      </c>
      <c r="E205" s="1" t="s">
        <v>5949</v>
      </c>
      <c r="F205" s="1" t="s">
        <v>5953</v>
      </c>
      <c r="G205" s="3">
        <v>44302.0</v>
      </c>
      <c r="H205" s="3">
        <v>44392.0</v>
      </c>
      <c r="I205" s="3">
        <v>44392.0</v>
      </c>
      <c r="J205" s="1" t="s">
        <v>215</v>
      </c>
      <c r="K205" s="1" t="s">
        <v>160</v>
      </c>
      <c r="L205" s="1" t="s">
        <v>216</v>
      </c>
      <c r="M205" s="1" t="s">
        <v>131</v>
      </c>
      <c r="N205" s="13"/>
      <c r="P205" s="4"/>
      <c r="Q205" s="1" t="s">
        <v>137</v>
      </c>
      <c r="R205" s="1" t="s">
        <v>137</v>
      </c>
      <c r="S205" s="1" t="s">
        <v>47</v>
      </c>
      <c r="T205" s="1" t="s">
        <v>4301</v>
      </c>
      <c r="U205" s="1" t="s">
        <v>1577</v>
      </c>
      <c r="V205" s="1" t="s">
        <v>3858</v>
      </c>
      <c r="W205" s="3">
        <v>44392.0</v>
      </c>
      <c r="X205" s="3">
        <v>44392.0</v>
      </c>
    </row>
    <row r="206">
      <c r="A206" s="1" t="s">
        <v>5969</v>
      </c>
      <c r="B206" s="1" t="s">
        <v>5073</v>
      </c>
      <c r="C206" s="1" t="s">
        <v>5073</v>
      </c>
      <c r="D206" s="1" t="s">
        <v>4293</v>
      </c>
      <c r="E206" s="1" t="s">
        <v>5976</v>
      </c>
      <c r="F206" s="1" t="s">
        <v>5977</v>
      </c>
      <c r="G206" s="3">
        <v>44806.0</v>
      </c>
      <c r="H206" s="3">
        <v>45146.0</v>
      </c>
      <c r="I206" s="3">
        <v>45146.0</v>
      </c>
      <c r="J206" s="1" t="s">
        <v>215</v>
      </c>
      <c r="K206" s="1" t="s">
        <v>160</v>
      </c>
      <c r="L206" s="1" t="s">
        <v>216</v>
      </c>
      <c r="M206" s="1" t="s">
        <v>131</v>
      </c>
      <c r="N206" s="13"/>
      <c r="P206" s="4"/>
      <c r="Q206" s="1" t="s">
        <v>137</v>
      </c>
      <c r="R206" s="1" t="s">
        <v>137</v>
      </c>
      <c r="S206" s="1" t="s">
        <v>47</v>
      </c>
      <c r="T206" s="1" t="s">
        <v>4301</v>
      </c>
      <c r="U206" s="1" t="s">
        <v>1577</v>
      </c>
      <c r="V206" s="1" t="s">
        <v>3858</v>
      </c>
      <c r="W206" s="3">
        <v>45146.0</v>
      </c>
      <c r="X206" s="3">
        <v>45146.0</v>
      </c>
    </row>
    <row r="207">
      <c r="A207" s="1" t="s">
        <v>5988</v>
      </c>
      <c r="B207" s="1" t="s">
        <v>5073</v>
      </c>
      <c r="C207" s="1" t="s">
        <v>5073</v>
      </c>
      <c r="D207" s="1" t="s">
        <v>4293</v>
      </c>
      <c r="E207" s="1" t="s">
        <v>5976</v>
      </c>
      <c r="F207" s="1" t="s">
        <v>5995</v>
      </c>
      <c r="G207" s="3">
        <v>44806.0</v>
      </c>
      <c r="H207" s="3">
        <v>45146.0</v>
      </c>
      <c r="I207" s="3">
        <v>45146.0</v>
      </c>
      <c r="J207" s="1" t="s">
        <v>215</v>
      </c>
      <c r="K207" s="1" t="s">
        <v>160</v>
      </c>
      <c r="L207" s="1" t="s">
        <v>216</v>
      </c>
      <c r="M207" s="1" t="s">
        <v>131</v>
      </c>
      <c r="N207" s="13"/>
      <c r="P207" s="4"/>
      <c r="Q207" s="1" t="s">
        <v>137</v>
      </c>
      <c r="R207" s="1" t="s">
        <v>137</v>
      </c>
      <c r="S207" s="1" t="s">
        <v>47</v>
      </c>
      <c r="T207" s="1" t="s">
        <v>4301</v>
      </c>
      <c r="U207" s="1" t="s">
        <v>1577</v>
      </c>
      <c r="V207" s="1" t="s">
        <v>4950</v>
      </c>
      <c r="W207" s="3">
        <v>45146.0</v>
      </c>
      <c r="X207" s="3">
        <v>45146.0</v>
      </c>
    </row>
    <row r="208">
      <c r="A208" s="1" t="s">
        <v>6003</v>
      </c>
      <c r="B208" s="1" t="s">
        <v>5114</v>
      </c>
      <c r="C208" s="1" t="s">
        <v>5114</v>
      </c>
      <c r="D208" s="1" t="s">
        <v>4293</v>
      </c>
      <c r="E208" s="1" t="s">
        <v>6009</v>
      </c>
      <c r="F208" s="1" t="s">
        <v>6011</v>
      </c>
      <c r="G208" s="3">
        <v>43300.0</v>
      </c>
      <c r="H208" s="3">
        <v>43327.0</v>
      </c>
      <c r="I208" s="3">
        <v>43327.0</v>
      </c>
      <c r="J208" s="1" t="s">
        <v>215</v>
      </c>
      <c r="K208" s="1" t="s">
        <v>160</v>
      </c>
      <c r="L208" s="1" t="s">
        <v>216</v>
      </c>
      <c r="M208" s="1" t="s">
        <v>131</v>
      </c>
      <c r="N208" s="13"/>
      <c r="P208" s="4"/>
      <c r="Q208" s="1" t="s">
        <v>137</v>
      </c>
      <c r="R208" s="1" t="s">
        <v>137</v>
      </c>
      <c r="S208" s="1" t="s">
        <v>47</v>
      </c>
      <c r="T208" s="1" t="s">
        <v>4301</v>
      </c>
      <c r="U208" s="1" t="s">
        <v>1577</v>
      </c>
      <c r="V208" s="1" t="s">
        <v>3858</v>
      </c>
      <c r="W208" s="3">
        <v>43327.0</v>
      </c>
      <c r="X208" s="3">
        <v>43327.0</v>
      </c>
    </row>
    <row r="209">
      <c r="A209" s="1" t="s">
        <v>6020</v>
      </c>
      <c r="B209" s="1" t="s">
        <v>5114</v>
      </c>
      <c r="C209" s="1" t="s">
        <v>5114</v>
      </c>
      <c r="D209" s="1" t="s">
        <v>4293</v>
      </c>
      <c r="E209" s="1" t="s">
        <v>6009</v>
      </c>
      <c r="F209" s="1" t="s">
        <v>6025</v>
      </c>
      <c r="G209" s="3">
        <v>43300.0</v>
      </c>
      <c r="H209" s="3">
        <v>43327.0</v>
      </c>
      <c r="I209" s="3">
        <v>43327.0</v>
      </c>
      <c r="J209" s="1" t="s">
        <v>215</v>
      </c>
      <c r="K209" s="1" t="s">
        <v>160</v>
      </c>
      <c r="L209" s="1" t="s">
        <v>216</v>
      </c>
      <c r="M209" s="1" t="s">
        <v>131</v>
      </c>
      <c r="N209" s="13"/>
      <c r="P209" s="4"/>
      <c r="Q209" s="1" t="s">
        <v>137</v>
      </c>
      <c r="R209" s="1" t="s">
        <v>137</v>
      </c>
      <c r="S209" s="1" t="s">
        <v>47</v>
      </c>
      <c r="T209" s="1" t="s">
        <v>4301</v>
      </c>
      <c r="U209" s="1" t="s">
        <v>1577</v>
      </c>
      <c r="V209" s="1" t="s">
        <v>4950</v>
      </c>
      <c r="W209" s="3">
        <v>43327.0</v>
      </c>
      <c r="X209" s="3">
        <v>43327.0</v>
      </c>
    </row>
    <row r="210">
      <c r="A210" s="1" t="s">
        <v>6032</v>
      </c>
      <c r="B210" s="1" t="s">
        <v>6034</v>
      </c>
      <c r="C210" s="1" t="s">
        <v>6034</v>
      </c>
      <c r="D210" s="1" t="s">
        <v>4293</v>
      </c>
      <c r="E210" s="1" t="s">
        <v>6035</v>
      </c>
      <c r="F210" s="1" t="s">
        <v>6037</v>
      </c>
      <c r="G210" s="3">
        <v>44736.0</v>
      </c>
      <c r="H210" s="3">
        <v>45110.0</v>
      </c>
      <c r="I210" s="3">
        <v>45110.0</v>
      </c>
      <c r="J210" s="1" t="s">
        <v>215</v>
      </c>
      <c r="K210" s="1" t="s">
        <v>160</v>
      </c>
      <c r="L210" s="1" t="s">
        <v>216</v>
      </c>
      <c r="M210" s="1" t="s">
        <v>131</v>
      </c>
      <c r="N210" s="13"/>
      <c r="P210" s="4"/>
      <c r="Q210" s="1" t="s">
        <v>137</v>
      </c>
      <c r="R210" s="1" t="s">
        <v>137</v>
      </c>
      <c r="S210" s="1" t="s">
        <v>47</v>
      </c>
      <c r="T210" s="1" t="s">
        <v>4301</v>
      </c>
      <c r="U210" s="1" t="s">
        <v>1577</v>
      </c>
      <c r="V210" s="1" t="s">
        <v>3858</v>
      </c>
      <c r="W210" s="3">
        <v>45110.0</v>
      </c>
      <c r="X210" s="3">
        <v>45110.0</v>
      </c>
    </row>
    <row r="211">
      <c r="A211" s="1" t="s">
        <v>6042</v>
      </c>
      <c r="B211" s="1" t="s">
        <v>6043</v>
      </c>
      <c r="C211" s="1" t="s">
        <v>6043</v>
      </c>
      <c r="D211" s="1" t="s">
        <v>4293</v>
      </c>
      <c r="E211" s="1" t="s">
        <v>6045</v>
      </c>
      <c r="F211" s="1" t="s">
        <v>6048</v>
      </c>
      <c r="G211" s="3">
        <v>44349.0</v>
      </c>
      <c r="H211" s="3">
        <v>44676.0</v>
      </c>
      <c r="I211" s="3">
        <v>44676.0</v>
      </c>
      <c r="J211" s="1" t="s">
        <v>215</v>
      </c>
      <c r="K211" s="1" t="s">
        <v>160</v>
      </c>
      <c r="L211" s="1" t="s">
        <v>216</v>
      </c>
      <c r="M211" s="1" t="s">
        <v>131</v>
      </c>
      <c r="N211" s="13"/>
      <c r="O211" s="4"/>
      <c r="P211" s="4"/>
      <c r="Q211" s="1" t="s">
        <v>137</v>
      </c>
      <c r="R211" s="1" t="s">
        <v>137</v>
      </c>
      <c r="S211" s="1" t="s">
        <v>47</v>
      </c>
      <c r="T211" s="1" t="s">
        <v>4301</v>
      </c>
      <c r="U211" s="1" t="s">
        <v>1577</v>
      </c>
      <c r="V211" s="1" t="s">
        <v>3858</v>
      </c>
      <c r="W211" s="3">
        <v>44676.0</v>
      </c>
      <c r="X211" s="3">
        <v>44676.0</v>
      </c>
    </row>
    <row r="212">
      <c r="A212" s="1" t="s">
        <v>6051</v>
      </c>
      <c r="B212" s="1" t="s">
        <v>6053</v>
      </c>
      <c r="C212" s="1" t="s">
        <v>6053</v>
      </c>
      <c r="D212" s="1" t="s">
        <v>4293</v>
      </c>
      <c r="E212" s="1" t="s">
        <v>6056</v>
      </c>
      <c r="F212" s="1" t="s">
        <v>6058</v>
      </c>
      <c r="G212" s="3">
        <v>44272.0</v>
      </c>
      <c r="H212" s="3">
        <v>44272.0</v>
      </c>
      <c r="I212" s="3">
        <v>44272.0</v>
      </c>
      <c r="J212" s="1" t="s">
        <v>215</v>
      </c>
      <c r="K212" s="1" t="s">
        <v>160</v>
      </c>
      <c r="L212" s="1" t="s">
        <v>216</v>
      </c>
      <c r="M212" s="1" t="s">
        <v>131</v>
      </c>
      <c r="N212" s="4"/>
      <c r="O212" s="4"/>
      <c r="P212" s="4"/>
      <c r="Q212" s="1" t="s">
        <v>137</v>
      </c>
      <c r="R212" s="1" t="s">
        <v>137</v>
      </c>
      <c r="S212" s="1" t="s">
        <v>47</v>
      </c>
      <c r="T212" s="1" t="s">
        <v>4301</v>
      </c>
      <c r="U212" s="1" t="s">
        <v>1577</v>
      </c>
      <c r="V212" s="1" t="s">
        <v>3858</v>
      </c>
      <c r="W212" s="3">
        <v>44272.0</v>
      </c>
      <c r="X212" s="3">
        <v>44272.0</v>
      </c>
    </row>
    <row r="213">
      <c r="A213" s="1" t="s">
        <v>6064</v>
      </c>
      <c r="B213" s="1" t="s">
        <v>6066</v>
      </c>
      <c r="C213" s="1" t="s">
        <v>6066</v>
      </c>
      <c r="D213" s="1" t="s">
        <v>4293</v>
      </c>
      <c r="E213" s="1" t="s">
        <v>6068</v>
      </c>
      <c r="F213" s="1" t="s">
        <v>6069</v>
      </c>
      <c r="G213" s="3">
        <v>45394.0</v>
      </c>
      <c r="H213" s="3">
        <v>45426.0</v>
      </c>
      <c r="I213" s="3">
        <v>45426.0</v>
      </c>
      <c r="J213" s="1" t="s">
        <v>215</v>
      </c>
      <c r="K213" s="1" t="s">
        <v>160</v>
      </c>
      <c r="L213" s="1" t="s">
        <v>216</v>
      </c>
      <c r="M213" s="1" t="s">
        <v>131</v>
      </c>
      <c r="N213" s="13"/>
      <c r="P213" s="4"/>
      <c r="Q213" s="1" t="s">
        <v>137</v>
      </c>
      <c r="R213" s="1" t="s">
        <v>137</v>
      </c>
      <c r="S213" s="1" t="s">
        <v>47</v>
      </c>
      <c r="T213" s="1" t="s">
        <v>4301</v>
      </c>
      <c r="U213" s="1" t="s">
        <v>1577</v>
      </c>
      <c r="V213" s="1" t="s">
        <v>4679</v>
      </c>
      <c r="W213" s="3">
        <v>45426.0</v>
      </c>
      <c r="X213" s="3">
        <v>45426.0</v>
      </c>
    </row>
    <row r="214">
      <c r="A214" s="1" t="s">
        <v>6075</v>
      </c>
      <c r="B214" s="1" t="s">
        <v>6066</v>
      </c>
      <c r="C214" s="1" t="s">
        <v>6066</v>
      </c>
      <c r="D214" s="1" t="s">
        <v>4293</v>
      </c>
      <c r="E214" s="1" t="s">
        <v>6068</v>
      </c>
      <c r="F214" s="1" t="s">
        <v>6077</v>
      </c>
      <c r="G214" s="3">
        <v>45394.0</v>
      </c>
      <c r="H214" s="3">
        <v>45426.0</v>
      </c>
      <c r="I214" s="3">
        <v>45426.0</v>
      </c>
      <c r="J214" s="1" t="s">
        <v>215</v>
      </c>
      <c r="K214" s="1" t="s">
        <v>160</v>
      </c>
      <c r="L214" s="1" t="s">
        <v>216</v>
      </c>
      <c r="M214" s="1" t="s">
        <v>131</v>
      </c>
      <c r="N214" s="13"/>
      <c r="P214" s="4"/>
      <c r="Q214" s="1" t="s">
        <v>137</v>
      </c>
      <c r="R214" s="1" t="s">
        <v>137</v>
      </c>
      <c r="S214" s="1" t="s">
        <v>47</v>
      </c>
      <c r="T214" s="1" t="s">
        <v>4301</v>
      </c>
      <c r="U214" s="1" t="s">
        <v>1577</v>
      </c>
      <c r="V214" s="1" t="s">
        <v>4950</v>
      </c>
      <c r="W214" s="3">
        <v>45426.0</v>
      </c>
      <c r="X214" s="3">
        <v>45426.0</v>
      </c>
    </row>
    <row r="215">
      <c r="A215" s="1" t="s">
        <v>6085</v>
      </c>
      <c r="B215" s="1" t="s">
        <v>6066</v>
      </c>
      <c r="C215" s="1" t="s">
        <v>6066</v>
      </c>
      <c r="D215" s="1" t="s">
        <v>4293</v>
      </c>
      <c r="E215" s="1" t="s">
        <v>6068</v>
      </c>
      <c r="F215" s="1" t="s">
        <v>6088</v>
      </c>
      <c r="G215" s="3">
        <v>45394.0</v>
      </c>
      <c r="H215" s="3">
        <v>45426.0</v>
      </c>
      <c r="I215" s="3">
        <v>45426.0</v>
      </c>
      <c r="J215" s="1" t="s">
        <v>215</v>
      </c>
      <c r="K215" s="1" t="s">
        <v>160</v>
      </c>
      <c r="L215" s="1" t="s">
        <v>216</v>
      </c>
      <c r="M215" s="1" t="s">
        <v>131</v>
      </c>
      <c r="N215" s="13"/>
      <c r="P215" s="4"/>
      <c r="Q215" s="1" t="s">
        <v>137</v>
      </c>
      <c r="R215" s="1" t="s">
        <v>137</v>
      </c>
      <c r="S215" s="1" t="s">
        <v>47</v>
      </c>
      <c r="T215" s="1" t="s">
        <v>4301</v>
      </c>
      <c r="U215" s="1" t="s">
        <v>1577</v>
      </c>
      <c r="V215" s="1" t="s">
        <v>5104</v>
      </c>
      <c r="W215" s="3">
        <v>45426.0</v>
      </c>
      <c r="X215" s="3">
        <v>45426.0</v>
      </c>
    </row>
    <row r="216">
      <c r="A216" s="1" t="s">
        <v>6095</v>
      </c>
      <c r="B216" s="1" t="s">
        <v>6066</v>
      </c>
      <c r="C216" s="1" t="s">
        <v>6066</v>
      </c>
      <c r="D216" s="1" t="s">
        <v>4293</v>
      </c>
      <c r="E216" s="1" t="s">
        <v>6068</v>
      </c>
      <c r="F216" s="1" t="s">
        <v>6100</v>
      </c>
      <c r="G216" s="3">
        <v>45394.0</v>
      </c>
      <c r="H216" s="3">
        <v>45426.0</v>
      </c>
      <c r="I216" s="3">
        <v>45426.0</v>
      </c>
      <c r="J216" s="1" t="s">
        <v>215</v>
      </c>
      <c r="K216" s="1" t="s">
        <v>160</v>
      </c>
      <c r="L216" s="1" t="s">
        <v>216</v>
      </c>
      <c r="M216" s="1" t="s">
        <v>131</v>
      </c>
      <c r="N216" s="13"/>
      <c r="P216" s="4"/>
      <c r="Q216" s="1" t="s">
        <v>137</v>
      </c>
      <c r="R216" s="1" t="s">
        <v>137</v>
      </c>
      <c r="S216" s="1" t="s">
        <v>47</v>
      </c>
      <c r="T216" s="1" t="s">
        <v>4301</v>
      </c>
      <c r="U216" s="1" t="s">
        <v>1577</v>
      </c>
      <c r="V216" s="1" t="s">
        <v>5120</v>
      </c>
      <c r="W216" s="3">
        <v>45426.0</v>
      </c>
      <c r="X216" s="3">
        <v>45426.0</v>
      </c>
    </row>
    <row r="217">
      <c r="A217" s="1" t="s">
        <v>6108</v>
      </c>
      <c r="B217" s="1" t="s">
        <v>6110</v>
      </c>
      <c r="C217" s="1" t="s">
        <v>6110</v>
      </c>
      <c r="D217" s="1" t="s">
        <v>4293</v>
      </c>
      <c r="E217" s="1" t="s">
        <v>6113</v>
      </c>
      <c r="F217" s="1" t="s">
        <v>6114</v>
      </c>
      <c r="G217" s="3">
        <v>44762.0</v>
      </c>
      <c r="H217" s="3">
        <v>44868.0</v>
      </c>
      <c r="I217" s="3">
        <v>44868.0</v>
      </c>
      <c r="J217" s="1" t="s">
        <v>215</v>
      </c>
      <c r="K217" s="1" t="s">
        <v>160</v>
      </c>
      <c r="L217" s="1" t="s">
        <v>216</v>
      </c>
      <c r="M217" s="1" t="s">
        <v>131</v>
      </c>
      <c r="N217" s="13"/>
      <c r="P217" s="4"/>
      <c r="Q217" s="1" t="s">
        <v>137</v>
      </c>
      <c r="R217" s="1" t="s">
        <v>137</v>
      </c>
      <c r="S217" s="1" t="s">
        <v>47</v>
      </c>
      <c r="T217" s="1" t="s">
        <v>4301</v>
      </c>
      <c r="U217" s="1" t="s">
        <v>1577</v>
      </c>
      <c r="V217" s="1" t="s">
        <v>3858</v>
      </c>
      <c r="W217" s="3">
        <v>44868.0</v>
      </c>
      <c r="X217" s="3">
        <v>44868.0</v>
      </c>
    </row>
    <row r="218">
      <c r="A218" s="1" t="s">
        <v>6119</v>
      </c>
      <c r="B218" s="1" t="s">
        <v>6121</v>
      </c>
      <c r="C218" s="1" t="s">
        <v>6121</v>
      </c>
      <c r="D218" s="1" t="s">
        <v>4293</v>
      </c>
      <c r="E218" s="1" t="s">
        <v>6124</v>
      </c>
      <c r="F218" s="1" t="s">
        <v>6125</v>
      </c>
      <c r="G218" s="3">
        <v>45204.0</v>
      </c>
      <c r="H218" s="3">
        <v>45352.0</v>
      </c>
      <c r="I218" s="3">
        <v>45352.0</v>
      </c>
      <c r="J218" s="1" t="s">
        <v>215</v>
      </c>
      <c r="K218" s="1" t="s">
        <v>160</v>
      </c>
      <c r="L218" s="1" t="s">
        <v>216</v>
      </c>
      <c r="M218" s="1" t="s">
        <v>131</v>
      </c>
      <c r="N218" s="13"/>
      <c r="P218" s="4"/>
      <c r="Q218" s="1" t="s">
        <v>137</v>
      </c>
      <c r="R218" s="1" t="s">
        <v>137</v>
      </c>
      <c r="S218" s="1" t="s">
        <v>47</v>
      </c>
      <c r="T218" s="1" t="s">
        <v>4301</v>
      </c>
      <c r="U218" s="1" t="s">
        <v>1577</v>
      </c>
      <c r="V218" s="1" t="s">
        <v>4679</v>
      </c>
      <c r="W218" s="3">
        <v>45352.0</v>
      </c>
      <c r="X218" s="3">
        <v>45352.0</v>
      </c>
    </row>
    <row r="219">
      <c r="A219" s="1" t="s">
        <v>6133</v>
      </c>
      <c r="B219" s="1" t="s">
        <v>6121</v>
      </c>
      <c r="C219" s="1" t="s">
        <v>6121</v>
      </c>
      <c r="D219" s="1" t="s">
        <v>4293</v>
      </c>
      <c r="E219" s="1" t="s">
        <v>6124</v>
      </c>
      <c r="F219" s="1" t="s">
        <v>6134</v>
      </c>
      <c r="G219" s="3">
        <v>45204.0</v>
      </c>
      <c r="H219" s="3">
        <v>45352.0</v>
      </c>
      <c r="I219" s="3">
        <v>45352.0</v>
      </c>
      <c r="J219" s="1" t="s">
        <v>215</v>
      </c>
      <c r="K219" s="1" t="s">
        <v>160</v>
      </c>
      <c r="L219" s="1" t="s">
        <v>216</v>
      </c>
      <c r="M219" s="1" t="s">
        <v>131</v>
      </c>
      <c r="N219" s="13"/>
      <c r="P219" s="4"/>
      <c r="Q219" s="1" t="s">
        <v>137</v>
      </c>
      <c r="R219" s="1" t="s">
        <v>137</v>
      </c>
      <c r="S219" s="1" t="s">
        <v>47</v>
      </c>
      <c r="T219" s="1" t="s">
        <v>4301</v>
      </c>
      <c r="U219" s="1" t="s">
        <v>1577</v>
      </c>
      <c r="V219" s="1" t="s">
        <v>4950</v>
      </c>
      <c r="W219" s="3">
        <v>45352.0</v>
      </c>
      <c r="X219" s="3">
        <v>45352.0</v>
      </c>
    </row>
    <row r="220">
      <c r="A220" s="1" t="s">
        <v>6146</v>
      </c>
      <c r="B220" s="1" t="s">
        <v>6121</v>
      </c>
      <c r="C220" s="1" t="s">
        <v>6121</v>
      </c>
      <c r="D220" s="1" t="s">
        <v>4293</v>
      </c>
      <c r="E220" s="1" t="s">
        <v>6124</v>
      </c>
      <c r="F220" s="1" t="s">
        <v>6155</v>
      </c>
      <c r="G220" s="3">
        <v>45204.0</v>
      </c>
      <c r="H220" s="3">
        <v>45352.0</v>
      </c>
      <c r="I220" s="3">
        <v>45352.0</v>
      </c>
      <c r="J220" s="1" t="s">
        <v>215</v>
      </c>
      <c r="K220" s="1" t="s">
        <v>160</v>
      </c>
      <c r="L220" s="1" t="s">
        <v>216</v>
      </c>
      <c r="M220" s="1" t="s">
        <v>131</v>
      </c>
      <c r="N220" s="13"/>
      <c r="P220" s="4"/>
      <c r="Q220" s="1" t="s">
        <v>137</v>
      </c>
      <c r="R220" s="1" t="s">
        <v>137</v>
      </c>
      <c r="S220" s="1" t="s">
        <v>47</v>
      </c>
      <c r="T220" s="1" t="s">
        <v>4301</v>
      </c>
      <c r="U220" s="1" t="s">
        <v>1577</v>
      </c>
      <c r="V220" s="1" t="s">
        <v>5104</v>
      </c>
      <c r="W220" s="3">
        <v>45352.0</v>
      </c>
      <c r="X220" s="3">
        <v>45352.0</v>
      </c>
    </row>
    <row r="221">
      <c r="A221" s="1" t="s">
        <v>6179</v>
      </c>
      <c r="B221" s="1" t="s">
        <v>6121</v>
      </c>
      <c r="C221" s="1" t="s">
        <v>6121</v>
      </c>
      <c r="D221" s="1" t="s">
        <v>4293</v>
      </c>
      <c r="E221" s="1" t="s">
        <v>6124</v>
      </c>
      <c r="F221" s="1" t="s">
        <v>6185</v>
      </c>
      <c r="G221" s="3">
        <v>45204.0</v>
      </c>
      <c r="H221" s="3">
        <v>45352.0</v>
      </c>
      <c r="I221" s="3">
        <v>45352.0</v>
      </c>
      <c r="J221" s="1" t="s">
        <v>215</v>
      </c>
      <c r="K221" s="1" t="s">
        <v>160</v>
      </c>
      <c r="L221" s="1" t="s">
        <v>216</v>
      </c>
      <c r="M221" s="1" t="s">
        <v>131</v>
      </c>
      <c r="N221" s="13"/>
      <c r="P221" s="4"/>
      <c r="Q221" s="1" t="s">
        <v>137</v>
      </c>
      <c r="R221" s="1" t="s">
        <v>137</v>
      </c>
      <c r="S221" s="1" t="s">
        <v>47</v>
      </c>
      <c r="T221" s="1" t="s">
        <v>4301</v>
      </c>
      <c r="U221" s="1" t="s">
        <v>1577</v>
      </c>
      <c r="V221" s="1" t="s">
        <v>5120</v>
      </c>
      <c r="W221" s="3">
        <v>45352.0</v>
      </c>
      <c r="X221" s="3">
        <v>45352.0</v>
      </c>
    </row>
    <row r="222">
      <c r="A222" s="1" t="s">
        <v>6205</v>
      </c>
      <c r="B222" s="1" t="s">
        <v>6208</v>
      </c>
      <c r="C222" s="1" t="s">
        <v>6208</v>
      </c>
      <c r="D222" s="1" t="s">
        <v>4293</v>
      </c>
      <c r="E222" s="1" t="s">
        <v>6211</v>
      </c>
      <c r="F222" s="1" t="s">
        <v>6216</v>
      </c>
      <c r="G222" s="3">
        <v>45756.0</v>
      </c>
      <c r="H222" s="3"/>
      <c r="I222" s="3"/>
      <c r="J222" s="1" t="s">
        <v>124</v>
      </c>
      <c r="K222" s="1" t="s">
        <v>160</v>
      </c>
      <c r="L222" s="1" t="s">
        <v>253</v>
      </c>
      <c r="M222" s="1" t="s">
        <v>131</v>
      </c>
      <c r="N222" s="13"/>
      <c r="O222" s="4"/>
      <c r="P222" s="4"/>
      <c r="Q222" s="1" t="s">
        <v>137</v>
      </c>
      <c r="R222" s="1" t="s">
        <v>137</v>
      </c>
      <c r="S222" s="1" t="s">
        <v>47</v>
      </c>
      <c r="T222" s="1" t="s">
        <v>4301</v>
      </c>
      <c r="U222" s="1" t="s">
        <v>1577</v>
      </c>
      <c r="V222" s="1" t="s">
        <v>4679</v>
      </c>
      <c r="W222" s="3"/>
      <c r="X222" s="13"/>
    </row>
    <row r="223">
      <c r="A223" s="1" t="s">
        <v>6238</v>
      </c>
      <c r="B223" s="1" t="s">
        <v>6208</v>
      </c>
      <c r="C223" s="1" t="s">
        <v>6208</v>
      </c>
      <c r="D223" s="1" t="s">
        <v>4293</v>
      </c>
      <c r="E223" s="1" t="s">
        <v>6211</v>
      </c>
      <c r="F223" s="1" t="s">
        <v>6244</v>
      </c>
      <c r="G223" s="3">
        <v>45756.0</v>
      </c>
      <c r="H223" s="3"/>
      <c r="I223" s="3"/>
      <c r="J223" s="1" t="s">
        <v>124</v>
      </c>
      <c r="K223" s="1" t="s">
        <v>160</v>
      </c>
      <c r="L223" s="1" t="s">
        <v>253</v>
      </c>
      <c r="M223" s="1" t="s">
        <v>131</v>
      </c>
      <c r="N223" s="4"/>
      <c r="O223" s="4"/>
      <c r="P223" s="4"/>
      <c r="Q223" s="1" t="s">
        <v>137</v>
      </c>
      <c r="R223" s="1" t="s">
        <v>137</v>
      </c>
      <c r="S223" s="1" t="s">
        <v>47</v>
      </c>
      <c r="T223" s="1" t="s">
        <v>4301</v>
      </c>
      <c r="U223" s="1" t="s">
        <v>1577</v>
      </c>
      <c r="V223" s="1" t="s">
        <v>4054</v>
      </c>
      <c r="W223" s="3"/>
      <c r="X223" s="3"/>
    </row>
    <row r="224">
      <c r="A224" s="1" t="s">
        <v>6259</v>
      </c>
      <c r="B224" s="1" t="s">
        <v>6208</v>
      </c>
      <c r="C224" s="1" t="s">
        <v>6208</v>
      </c>
      <c r="D224" s="1" t="s">
        <v>4293</v>
      </c>
      <c r="E224" s="1" t="s">
        <v>6211</v>
      </c>
      <c r="F224" s="1" t="s">
        <v>6265</v>
      </c>
      <c r="G224" s="3">
        <v>45756.0</v>
      </c>
      <c r="H224" s="3"/>
      <c r="I224" s="3"/>
      <c r="J224" s="1" t="s">
        <v>124</v>
      </c>
      <c r="K224" s="1" t="s">
        <v>160</v>
      </c>
      <c r="L224" s="1" t="s">
        <v>253</v>
      </c>
      <c r="M224" s="1" t="s">
        <v>131</v>
      </c>
      <c r="N224" s="4"/>
      <c r="O224" s="4"/>
      <c r="P224" s="4"/>
      <c r="Q224" s="1" t="s">
        <v>137</v>
      </c>
      <c r="R224" s="1" t="s">
        <v>137</v>
      </c>
      <c r="S224" s="1" t="s">
        <v>47</v>
      </c>
      <c r="T224" s="1" t="s">
        <v>4301</v>
      </c>
      <c r="U224" s="1" t="s">
        <v>1577</v>
      </c>
      <c r="V224" s="1" t="s">
        <v>4950</v>
      </c>
      <c r="W224" s="3"/>
      <c r="X224" s="3"/>
    </row>
    <row r="225">
      <c r="A225" s="1" t="s">
        <v>6280</v>
      </c>
      <c r="B225" s="1" t="s">
        <v>6208</v>
      </c>
      <c r="C225" s="1" t="s">
        <v>6208</v>
      </c>
      <c r="D225" s="1" t="s">
        <v>4293</v>
      </c>
      <c r="E225" s="1" t="s">
        <v>6211</v>
      </c>
      <c r="F225" s="1" t="s">
        <v>6290</v>
      </c>
      <c r="G225" s="3">
        <v>45756.0</v>
      </c>
      <c r="H225" s="3"/>
      <c r="I225" s="3"/>
      <c r="J225" s="1" t="s">
        <v>124</v>
      </c>
      <c r="K225" s="1" t="s">
        <v>160</v>
      </c>
      <c r="L225" s="1" t="s">
        <v>253</v>
      </c>
      <c r="M225" s="1" t="s">
        <v>131</v>
      </c>
      <c r="N225" s="4"/>
      <c r="O225" s="4"/>
      <c r="P225" s="4"/>
      <c r="Q225" s="1" t="s">
        <v>137</v>
      </c>
      <c r="R225" s="1" t="s">
        <v>137</v>
      </c>
      <c r="S225" s="1" t="s">
        <v>47</v>
      </c>
      <c r="T225" s="1" t="s">
        <v>4301</v>
      </c>
      <c r="U225" s="1" t="s">
        <v>1577</v>
      </c>
      <c r="V225" s="1" t="s">
        <v>5104</v>
      </c>
      <c r="W225" s="3"/>
      <c r="X225" s="3"/>
    </row>
    <row r="226">
      <c r="A226" s="1" t="s">
        <v>6308</v>
      </c>
      <c r="B226" s="1" t="s">
        <v>6208</v>
      </c>
      <c r="C226" s="1" t="s">
        <v>6208</v>
      </c>
      <c r="D226" s="1" t="s">
        <v>4293</v>
      </c>
      <c r="E226" s="1" t="s">
        <v>6211</v>
      </c>
      <c r="F226" s="1" t="s">
        <v>6316</v>
      </c>
      <c r="G226" s="3">
        <v>45756.0</v>
      </c>
      <c r="H226" s="3"/>
      <c r="I226" s="3"/>
      <c r="J226" s="1" t="s">
        <v>124</v>
      </c>
      <c r="K226" s="1" t="s">
        <v>160</v>
      </c>
      <c r="L226" s="1" t="s">
        <v>253</v>
      </c>
      <c r="M226" s="1" t="s">
        <v>131</v>
      </c>
      <c r="N226" s="13"/>
      <c r="O226" s="4"/>
      <c r="P226" s="4"/>
      <c r="Q226" s="1" t="s">
        <v>137</v>
      </c>
      <c r="R226" s="1" t="s">
        <v>137</v>
      </c>
      <c r="S226" s="1" t="s">
        <v>47</v>
      </c>
      <c r="T226" s="1" t="s">
        <v>4301</v>
      </c>
      <c r="U226" s="1" t="s">
        <v>1577</v>
      </c>
      <c r="V226" s="1" t="s">
        <v>5120</v>
      </c>
      <c r="W226" s="3"/>
      <c r="X226" s="3"/>
    </row>
    <row r="227">
      <c r="A227" s="1" t="s">
        <v>6335</v>
      </c>
      <c r="B227" s="1" t="s">
        <v>6141</v>
      </c>
      <c r="C227" s="1" t="s">
        <v>6141</v>
      </c>
      <c r="D227" s="1" t="s">
        <v>4293</v>
      </c>
      <c r="E227" s="1" t="s">
        <v>6142</v>
      </c>
      <c r="F227" s="1" t="s">
        <v>6342</v>
      </c>
      <c r="G227" s="3">
        <v>44748.0</v>
      </c>
      <c r="H227" s="3">
        <v>45013.0</v>
      </c>
      <c r="I227" s="3">
        <v>45013.0</v>
      </c>
      <c r="J227" s="1" t="s">
        <v>215</v>
      </c>
      <c r="K227" s="1" t="s">
        <v>160</v>
      </c>
      <c r="L227" s="1" t="s">
        <v>216</v>
      </c>
      <c r="M227" s="1" t="s">
        <v>131</v>
      </c>
      <c r="N227" s="13"/>
      <c r="O227" s="4"/>
      <c r="P227" s="4"/>
      <c r="Q227" s="1" t="s">
        <v>137</v>
      </c>
      <c r="R227" s="1" t="s">
        <v>137</v>
      </c>
      <c r="S227" s="1" t="s">
        <v>47</v>
      </c>
      <c r="T227" s="1" t="s">
        <v>4301</v>
      </c>
      <c r="U227" s="1" t="s">
        <v>1577</v>
      </c>
      <c r="V227" s="1" t="s">
        <v>4679</v>
      </c>
      <c r="W227" s="3">
        <v>45013.0</v>
      </c>
      <c r="X227" s="3">
        <v>45013.0</v>
      </c>
    </row>
    <row r="228">
      <c r="A228" s="1" t="s">
        <v>6363</v>
      </c>
      <c r="B228" s="1" t="s">
        <v>6141</v>
      </c>
      <c r="C228" s="1" t="s">
        <v>6141</v>
      </c>
      <c r="D228" s="1" t="s">
        <v>4293</v>
      </c>
      <c r="E228" s="1" t="s">
        <v>6142</v>
      </c>
      <c r="F228" s="1" t="s">
        <v>6371</v>
      </c>
      <c r="G228" s="3">
        <v>44748.0</v>
      </c>
      <c r="H228" s="3">
        <v>45013.0</v>
      </c>
      <c r="I228" s="3">
        <v>45013.0</v>
      </c>
      <c r="J228" s="1" t="s">
        <v>215</v>
      </c>
      <c r="K228" s="1" t="s">
        <v>160</v>
      </c>
      <c r="L228" s="1" t="s">
        <v>216</v>
      </c>
      <c r="M228" s="1" t="s">
        <v>131</v>
      </c>
      <c r="N228" s="13"/>
      <c r="O228" s="4"/>
      <c r="P228" s="4"/>
      <c r="Q228" s="1" t="s">
        <v>137</v>
      </c>
      <c r="R228" s="1" t="s">
        <v>137</v>
      </c>
      <c r="S228" s="1" t="s">
        <v>47</v>
      </c>
      <c r="T228" s="1" t="s">
        <v>4301</v>
      </c>
      <c r="U228" s="1" t="s">
        <v>1577</v>
      </c>
      <c r="V228" s="1" t="s">
        <v>4950</v>
      </c>
      <c r="W228" s="3">
        <v>45013.0</v>
      </c>
      <c r="X228" s="3">
        <v>45013.0</v>
      </c>
    </row>
    <row r="229">
      <c r="A229" s="1" t="s">
        <v>6384</v>
      </c>
      <c r="B229" s="1" t="s">
        <v>6141</v>
      </c>
      <c r="C229" s="1" t="s">
        <v>6141</v>
      </c>
      <c r="D229" s="1" t="s">
        <v>4293</v>
      </c>
      <c r="E229" s="1" t="s">
        <v>6142</v>
      </c>
      <c r="F229" s="1" t="s">
        <v>6388</v>
      </c>
      <c r="G229" s="3">
        <v>44748.0</v>
      </c>
      <c r="H229" s="3">
        <v>45013.0</v>
      </c>
      <c r="I229" s="3">
        <v>45013.0</v>
      </c>
      <c r="J229" s="1" t="s">
        <v>215</v>
      </c>
      <c r="K229" s="1" t="s">
        <v>160</v>
      </c>
      <c r="L229" s="1" t="s">
        <v>216</v>
      </c>
      <c r="M229" s="1" t="s">
        <v>131</v>
      </c>
      <c r="N229" s="13"/>
      <c r="O229" s="4"/>
      <c r="P229" s="4"/>
      <c r="Q229" s="1" t="s">
        <v>137</v>
      </c>
      <c r="R229" s="1" t="s">
        <v>137</v>
      </c>
      <c r="S229" s="1" t="s">
        <v>47</v>
      </c>
      <c r="T229" s="1" t="s">
        <v>4301</v>
      </c>
      <c r="U229" s="1" t="s">
        <v>1577</v>
      </c>
      <c r="V229" s="1" t="s">
        <v>5104</v>
      </c>
      <c r="W229" s="3">
        <v>45013.0</v>
      </c>
      <c r="X229" s="3">
        <v>45013.0</v>
      </c>
    </row>
    <row r="230">
      <c r="A230" s="1" t="s">
        <v>6402</v>
      </c>
      <c r="B230" s="1" t="s">
        <v>6141</v>
      </c>
      <c r="C230" s="1" t="s">
        <v>6141</v>
      </c>
      <c r="D230" s="1" t="s">
        <v>4293</v>
      </c>
      <c r="E230" s="1" t="s">
        <v>6142</v>
      </c>
      <c r="F230" s="1" t="s">
        <v>6410</v>
      </c>
      <c r="G230" s="3">
        <v>44748.0</v>
      </c>
      <c r="H230" s="3">
        <v>45013.0</v>
      </c>
      <c r="I230" s="3">
        <v>45013.0</v>
      </c>
      <c r="J230" s="1" t="s">
        <v>215</v>
      </c>
      <c r="K230" s="1" t="s">
        <v>160</v>
      </c>
      <c r="L230" s="1" t="s">
        <v>216</v>
      </c>
      <c r="M230" s="1" t="s">
        <v>131</v>
      </c>
      <c r="N230" s="13"/>
      <c r="O230" s="4"/>
      <c r="P230" s="4"/>
      <c r="Q230" s="1" t="s">
        <v>137</v>
      </c>
      <c r="R230" s="1" t="s">
        <v>137</v>
      </c>
      <c r="S230" s="1" t="s">
        <v>47</v>
      </c>
      <c r="T230" s="1" t="s">
        <v>4301</v>
      </c>
      <c r="U230" s="1" t="s">
        <v>1577</v>
      </c>
      <c r="V230" s="1" t="s">
        <v>5120</v>
      </c>
      <c r="W230" s="3">
        <v>45013.0</v>
      </c>
      <c r="X230" s="3">
        <v>45013.0</v>
      </c>
    </row>
    <row r="231">
      <c r="A231" s="1" t="s">
        <v>6421</v>
      </c>
      <c r="B231" s="1" t="s">
        <v>6147</v>
      </c>
      <c r="C231" s="1" t="s">
        <v>6147</v>
      </c>
      <c r="D231" s="1" t="s">
        <v>4293</v>
      </c>
      <c r="E231" s="1" t="s">
        <v>6148</v>
      </c>
      <c r="F231" s="1" t="s">
        <v>6426</v>
      </c>
      <c r="G231" s="3">
        <v>45554.0</v>
      </c>
      <c r="H231" s="3">
        <v>45631.0</v>
      </c>
      <c r="I231" s="3">
        <v>45631.0</v>
      </c>
      <c r="J231" s="1" t="s">
        <v>215</v>
      </c>
      <c r="K231" s="1" t="s">
        <v>160</v>
      </c>
      <c r="L231" s="1" t="s">
        <v>216</v>
      </c>
      <c r="M231" s="1" t="s">
        <v>131</v>
      </c>
      <c r="N231" s="13"/>
      <c r="O231" s="4"/>
      <c r="P231" s="4"/>
      <c r="Q231" s="1" t="s">
        <v>137</v>
      </c>
      <c r="R231" s="1" t="s">
        <v>137</v>
      </c>
      <c r="S231" s="1" t="s">
        <v>47</v>
      </c>
      <c r="T231" s="1" t="s">
        <v>4301</v>
      </c>
      <c r="U231" s="1" t="s">
        <v>1577</v>
      </c>
      <c r="V231" s="1" t="s">
        <v>3858</v>
      </c>
      <c r="W231" s="3">
        <v>45631.0</v>
      </c>
      <c r="X231" s="3">
        <v>45631.0</v>
      </c>
    </row>
    <row r="232">
      <c r="A232" s="1" t="s">
        <v>6445</v>
      </c>
      <c r="B232" s="1" t="s">
        <v>6147</v>
      </c>
      <c r="C232" s="1" t="s">
        <v>6147</v>
      </c>
      <c r="D232" s="1" t="s">
        <v>4293</v>
      </c>
      <c r="E232" s="1" t="s">
        <v>6148</v>
      </c>
      <c r="F232" s="1" t="s">
        <v>6449</v>
      </c>
      <c r="G232" s="3">
        <v>45554.0</v>
      </c>
      <c r="H232" s="3">
        <v>45631.0</v>
      </c>
      <c r="I232" s="3">
        <v>45631.0</v>
      </c>
      <c r="J232" s="1" t="s">
        <v>215</v>
      </c>
      <c r="K232" s="1" t="s">
        <v>160</v>
      </c>
      <c r="L232" s="1" t="s">
        <v>216</v>
      </c>
      <c r="M232" s="1" t="s">
        <v>131</v>
      </c>
      <c r="N232" s="13"/>
      <c r="O232" s="4"/>
      <c r="P232" s="4"/>
      <c r="Q232" s="1" t="s">
        <v>137</v>
      </c>
      <c r="R232" s="1" t="s">
        <v>137</v>
      </c>
      <c r="S232" s="1" t="s">
        <v>47</v>
      </c>
      <c r="T232" s="1" t="s">
        <v>4301</v>
      </c>
      <c r="U232" s="1" t="s">
        <v>1577</v>
      </c>
      <c r="V232" s="1" t="s">
        <v>3963</v>
      </c>
      <c r="W232" s="3">
        <v>45631.0</v>
      </c>
      <c r="X232" s="3">
        <v>45631.0</v>
      </c>
    </row>
    <row r="233">
      <c r="A233" s="1" t="s">
        <v>6475</v>
      </c>
      <c r="B233" s="1" t="s">
        <v>6147</v>
      </c>
      <c r="C233" s="1" t="s">
        <v>6147</v>
      </c>
      <c r="D233" s="1" t="s">
        <v>4293</v>
      </c>
      <c r="E233" s="1" t="s">
        <v>6148</v>
      </c>
      <c r="F233" s="1" t="s">
        <v>6480</v>
      </c>
      <c r="G233" s="3">
        <v>45554.0</v>
      </c>
      <c r="H233" s="3">
        <v>45631.0</v>
      </c>
      <c r="I233" s="3">
        <v>45631.0</v>
      </c>
      <c r="J233" s="1" t="s">
        <v>215</v>
      </c>
      <c r="K233" s="1" t="s">
        <v>160</v>
      </c>
      <c r="L233" s="1" t="s">
        <v>216</v>
      </c>
      <c r="M233" s="1" t="s">
        <v>131</v>
      </c>
      <c r="N233" s="13"/>
      <c r="O233" s="4"/>
      <c r="P233" s="4"/>
      <c r="Q233" s="1" t="s">
        <v>137</v>
      </c>
      <c r="R233" s="1" t="s">
        <v>137</v>
      </c>
      <c r="S233" s="1" t="s">
        <v>47</v>
      </c>
      <c r="T233" s="1" t="s">
        <v>4301</v>
      </c>
      <c r="U233" s="1" t="s">
        <v>1577</v>
      </c>
      <c r="V233" s="1" t="s">
        <v>3865</v>
      </c>
      <c r="W233" s="3">
        <v>45631.0</v>
      </c>
      <c r="X233" s="3">
        <v>45631.0</v>
      </c>
    </row>
    <row r="234">
      <c r="A234" s="1" t="s">
        <v>6499</v>
      </c>
      <c r="B234" s="1" t="s">
        <v>6147</v>
      </c>
      <c r="C234" s="1" t="s">
        <v>6147</v>
      </c>
      <c r="D234" s="1" t="s">
        <v>4293</v>
      </c>
      <c r="E234" s="1" t="s">
        <v>6148</v>
      </c>
      <c r="F234" s="1" t="s">
        <v>6505</v>
      </c>
      <c r="G234" s="3">
        <v>45554.0</v>
      </c>
      <c r="H234" s="3">
        <v>45631.0</v>
      </c>
      <c r="I234" s="3">
        <v>45631.0</v>
      </c>
      <c r="J234" s="1" t="s">
        <v>215</v>
      </c>
      <c r="K234" s="1" t="s">
        <v>160</v>
      </c>
      <c r="L234" s="1" t="s">
        <v>216</v>
      </c>
      <c r="M234" s="1" t="s">
        <v>131</v>
      </c>
      <c r="N234" s="13"/>
      <c r="O234" s="4"/>
      <c r="P234" s="4"/>
      <c r="Q234" s="1" t="s">
        <v>137</v>
      </c>
      <c r="R234" s="1" t="s">
        <v>137</v>
      </c>
      <c r="S234" s="1" t="s">
        <v>47</v>
      </c>
      <c r="T234" s="1" t="s">
        <v>4301</v>
      </c>
      <c r="U234" s="1" t="s">
        <v>1577</v>
      </c>
      <c r="V234" s="1" t="s">
        <v>4950</v>
      </c>
      <c r="W234" s="3">
        <v>45631.0</v>
      </c>
      <c r="X234" s="3">
        <v>45631.0</v>
      </c>
    </row>
    <row r="235">
      <c r="A235" s="1" t="s">
        <v>6525</v>
      </c>
      <c r="B235" s="1" t="s">
        <v>6153</v>
      </c>
      <c r="C235" s="1" t="s">
        <v>6153</v>
      </c>
      <c r="D235" s="1" t="s">
        <v>4293</v>
      </c>
      <c r="E235" s="1" t="s">
        <v>6156</v>
      </c>
      <c r="F235" s="1" t="s">
        <v>6532</v>
      </c>
      <c r="G235" s="3">
        <v>44396.0</v>
      </c>
      <c r="H235" s="3">
        <v>44397.0</v>
      </c>
      <c r="I235" s="3">
        <v>44397.0</v>
      </c>
      <c r="J235" s="1" t="s">
        <v>215</v>
      </c>
      <c r="K235" s="1" t="s">
        <v>160</v>
      </c>
      <c r="L235" s="1" t="s">
        <v>216</v>
      </c>
      <c r="M235" s="1" t="s">
        <v>131</v>
      </c>
      <c r="N235" s="13"/>
      <c r="P235" s="4"/>
      <c r="Q235" s="1" t="s">
        <v>137</v>
      </c>
      <c r="R235" s="1" t="s">
        <v>137</v>
      </c>
      <c r="S235" s="1" t="s">
        <v>47</v>
      </c>
      <c r="T235" s="1" t="s">
        <v>4301</v>
      </c>
      <c r="U235" s="1" t="s">
        <v>1577</v>
      </c>
      <c r="V235" s="1" t="s">
        <v>3858</v>
      </c>
      <c r="W235" s="3">
        <v>44397.0</v>
      </c>
      <c r="X235" s="3">
        <v>44397.0</v>
      </c>
    </row>
    <row r="236">
      <c r="A236" s="1" t="s">
        <v>6553</v>
      </c>
      <c r="B236" s="1" t="s">
        <v>6153</v>
      </c>
      <c r="C236" s="1" t="s">
        <v>6153</v>
      </c>
      <c r="D236" s="1" t="s">
        <v>4293</v>
      </c>
      <c r="E236" s="1" t="s">
        <v>6156</v>
      </c>
      <c r="F236" s="1" t="s">
        <v>6557</v>
      </c>
      <c r="G236" s="3">
        <v>44396.0</v>
      </c>
      <c r="H236" s="3">
        <v>44397.0</v>
      </c>
      <c r="I236" s="3">
        <v>44397.0</v>
      </c>
      <c r="J236" s="1" t="s">
        <v>215</v>
      </c>
      <c r="K236" s="1" t="s">
        <v>160</v>
      </c>
      <c r="L236" s="1" t="s">
        <v>216</v>
      </c>
      <c r="M236" s="1" t="s">
        <v>131</v>
      </c>
      <c r="N236" s="13"/>
      <c r="P236" s="4"/>
      <c r="Q236" s="1" t="s">
        <v>137</v>
      </c>
      <c r="R236" s="1" t="s">
        <v>137</v>
      </c>
      <c r="S236" s="1" t="s">
        <v>47</v>
      </c>
      <c r="T236" s="1" t="s">
        <v>4301</v>
      </c>
      <c r="U236" s="1" t="s">
        <v>1577</v>
      </c>
      <c r="V236" s="1" t="s">
        <v>4679</v>
      </c>
      <c r="W236" s="3">
        <v>44397.0</v>
      </c>
      <c r="X236" s="3">
        <v>44397.0</v>
      </c>
    </row>
    <row r="237">
      <c r="A237" s="1" t="s">
        <v>6567</v>
      </c>
      <c r="B237" s="1" t="s">
        <v>6153</v>
      </c>
      <c r="C237" s="1" t="s">
        <v>6153</v>
      </c>
      <c r="D237" s="1" t="s">
        <v>4293</v>
      </c>
      <c r="E237" s="1" t="s">
        <v>6156</v>
      </c>
      <c r="F237" s="1" t="s">
        <v>6574</v>
      </c>
      <c r="G237" s="3">
        <v>44396.0</v>
      </c>
      <c r="H237" s="3">
        <v>44397.0</v>
      </c>
      <c r="I237" s="3">
        <v>44397.0</v>
      </c>
      <c r="J237" s="1" t="s">
        <v>215</v>
      </c>
      <c r="K237" s="1" t="s">
        <v>160</v>
      </c>
      <c r="L237" s="1" t="s">
        <v>216</v>
      </c>
      <c r="M237" s="1" t="s">
        <v>131</v>
      </c>
      <c r="N237" s="13"/>
      <c r="P237" s="4"/>
      <c r="Q237" s="1" t="s">
        <v>137</v>
      </c>
      <c r="R237" s="1" t="s">
        <v>137</v>
      </c>
      <c r="S237" s="1" t="s">
        <v>47</v>
      </c>
      <c r="T237" s="1" t="s">
        <v>4301</v>
      </c>
      <c r="U237" s="1" t="s">
        <v>1577</v>
      </c>
      <c r="V237" s="1" t="s">
        <v>3865</v>
      </c>
      <c r="W237" s="3">
        <v>44397.0</v>
      </c>
      <c r="X237" s="3">
        <v>44397.0</v>
      </c>
    </row>
    <row r="238">
      <c r="A238" s="1" t="s">
        <v>6588</v>
      </c>
      <c r="B238" s="1" t="s">
        <v>6153</v>
      </c>
      <c r="C238" s="1" t="s">
        <v>6153</v>
      </c>
      <c r="D238" s="1" t="s">
        <v>4293</v>
      </c>
      <c r="E238" s="1" t="s">
        <v>6156</v>
      </c>
      <c r="F238" s="1" t="s">
        <v>6590</v>
      </c>
      <c r="G238" s="3">
        <v>44396.0</v>
      </c>
      <c r="H238" s="3">
        <v>44397.0</v>
      </c>
      <c r="I238" s="3">
        <v>44397.0</v>
      </c>
      <c r="J238" s="1" t="s">
        <v>215</v>
      </c>
      <c r="K238" s="1" t="s">
        <v>160</v>
      </c>
      <c r="L238" s="1" t="s">
        <v>216</v>
      </c>
      <c r="M238" s="1" t="s">
        <v>131</v>
      </c>
      <c r="N238" s="13"/>
      <c r="P238" s="4"/>
      <c r="Q238" s="1" t="s">
        <v>137</v>
      </c>
      <c r="R238" s="1" t="s">
        <v>137</v>
      </c>
      <c r="S238" s="1" t="s">
        <v>47</v>
      </c>
      <c r="T238" s="1" t="s">
        <v>4301</v>
      </c>
      <c r="U238" s="1" t="s">
        <v>1577</v>
      </c>
      <c r="V238" s="1" t="s">
        <v>4950</v>
      </c>
      <c r="W238" s="3">
        <v>44397.0</v>
      </c>
      <c r="X238" s="3">
        <v>44397.0</v>
      </c>
    </row>
    <row r="239">
      <c r="A239" s="1" t="s">
        <v>6601</v>
      </c>
      <c r="B239" s="1" t="s">
        <v>6153</v>
      </c>
      <c r="C239" s="1" t="s">
        <v>6153</v>
      </c>
      <c r="D239" s="1" t="s">
        <v>4293</v>
      </c>
      <c r="E239" s="1" t="s">
        <v>6156</v>
      </c>
      <c r="F239" s="1" t="s">
        <v>6605</v>
      </c>
      <c r="G239" s="3">
        <v>44396.0</v>
      </c>
      <c r="H239" s="3">
        <v>44397.0</v>
      </c>
      <c r="I239" s="3">
        <v>44397.0</v>
      </c>
      <c r="J239" s="1" t="s">
        <v>215</v>
      </c>
      <c r="K239" s="1" t="s">
        <v>160</v>
      </c>
      <c r="L239" s="1" t="s">
        <v>216</v>
      </c>
      <c r="M239" s="1" t="s">
        <v>131</v>
      </c>
      <c r="N239" s="13"/>
      <c r="P239" s="4"/>
      <c r="Q239" s="1" t="s">
        <v>137</v>
      </c>
      <c r="R239" s="1" t="s">
        <v>137</v>
      </c>
      <c r="S239" s="1" t="s">
        <v>47</v>
      </c>
      <c r="T239" s="1" t="s">
        <v>4301</v>
      </c>
      <c r="U239" s="1" t="s">
        <v>1577</v>
      </c>
      <c r="V239" s="1" t="s">
        <v>5104</v>
      </c>
      <c r="W239" s="3">
        <v>44397.0</v>
      </c>
      <c r="X239" s="3">
        <v>44397.0</v>
      </c>
    </row>
    <row r="240">
      <c r="A240" s="1" t="s">
        <v>6615</v>
      </c>
      <c r="B240" s="1" t="s">
        <v>6153</v>
      </c>
      <c r="C240" s="1" t="s">
        <v>6153</v>
      </c>
      <c r="D240" s="1" t="s">
        <v>4293</v>
      </c>
      <c r="E240" s="1" t="s">
        <v>6156</v>
      </c>
      <c r="F240" s="1" t="s">
        <v>6619</v>
      </c>
      <c r="G240" s="3">
        <v>44396.0</v>
      </c>
      <c r="H240" s="3">
        <v>44397.0</v>
      </c>
      <c r="I240" s="3">
        <v>44397.0</v>
      </c>
      <c r="J240" s="1" t="s">
        <v>215</v>
      </c>
      <c r="K240" s="1" t="s">
        <v>160</v>
      </c>
      <c r="L240" s="1" t="s">
        <v>216</v>
      </c>
      <c r="M240" s="1" t="s">
        <v>131</v>
      </c>
      <c r="N240" s="13"/>
      <c r="O240" s="4"/>
      <c r="P240" s="4"/>
      <c r="Q240" s="1" t="s">
        <v>137</v>
      </c>
      <c r="R240" s="1" t="s">
        <v>137</v>
      </c>
      <c r="S240" s="1" t="s">
        <v>47</v>
      </c>
      <c r="T240" s="1" t="s">
        <v>4301</v>
      </c>
      <c r="U240" s="1" t="s">
        <v>1577</v>
      </c>
      <c r="V240" s="1" t="s">
        <v>5120</v>
      </c>
      <c r="W240" s="3">
        <v>44397.0</v>
      </c>
      <c r="X240" s="3">
        <v>44397.0</v>
      </c>
    </row>
    <row r="241">
      <c r="A241" s="1" t="s">
        <v>6630</v>
      </c>
      <c r="B241" s="1" t="s">
        <v>6631</v>
      </c>
      <c r="C241" s="1" t="s">
        <v>6631</v>
      </c>
      <c r="D241" s="1" t="s">
        <v>4293</v>
      </c>
      <c r="E241" s="1" t="s">
        <v>6635</v>
      </c>
      <c r="F241" s="1" t="s">
        <v>6637</v>
      </c>
      <c r="G241" s="3">
        <v>45930.0</v>
      </c>
      <c r="H241" s="3"/>
      <c r="I241" s="3"/>
      <c r="J241" s="1" t="s">
        <v>124</v>
      </c>
      <c r="K241" s="1" t="s">
        <v>160</v>
      </c>
      <c r="L241" s="1" t="s">
        <v>253</v>
      </c>
      <c r="M241" s="1" t="s">
        <v>131</v>
      </c>
      <c r="N241" s="4"/>
      <c r="O241" s="4"/>
      <c r="P241" s="4"/>
      <c r="Q241" s="1" t="s">
        <v>137</v>
      </c>
      <c r="R241" s="1" t="s">
        <v>137</v>
      </c>
      <c r="S241" s="1" t="s">
        <v>47</v>
      </c>
      <c r="T241" s="1" t="s">
        <v>4301</v>
      </c>
      <c r="U241" s="1" t="s">
        <v>1577</v>
      </c>
      <c r="V241" s="1" t="s">
        <v>3858</v>
      </c>
      <c r="W241" s="3"/>
      <c r="X241" s="3"/>
    </row>
    <row r="242">
      <c r="A242" s="1" t="s">
        <v>6647</v>
      </c>
      <c r="B242" s="1" t="s">
        <v>6631</v>
      </c>
      <c r="C242" s="1" t="s">
        <v>6631</v>
      </c>
      <c r="D242" s="1" t="s">
        <v>4293</v>
      </c>
      <c r="E242" s="1" t="s">
        <v>6635</v>
      </c>
      <c r="F242" s="1" t="s">
        <v>6652</v>
      </c>
      <c r="G242" s="3">
        <v>45930.0</v>
      </c>
      <c r="H242" s="3"/>
      <c r="I242" s="3"/>
      <c r="J242" s="1" t="s">
        <v>124</v>
      </c>
      <c r="K242" s="1" t="s">
        <v>160</v>
      </c>
      <c r="L242" s="1" t="s">
        <v>253</v>
      </c>
      <c r="M242" s="1" t="s">
        <v>131</v>
      </c>
      <c r="N242" s="13"/>
      <c r="O242" s="4"/>
      <c r="P242" s="4"/>
      <c r="Q242" s="1" t="s">
        <v>137</v>
      </c>
      <c r="R242" s="1" t="s">
        <v>137</v>
      </c>
      <c r="S242" s="1" t="s">
        <v>47</v>
      </c>
      <c r="T242" s="1" t="s">
        <v>4301</v>
      </c>
      <c r="U242" s="1" t="s">
        <v>1577</v>
      </c>
      <c r="V242" s="1" t="s">
        <v>4950</v>
      </c>
      <c r="W242" s="3"/>
      <c r="X242" s="3"/>
    </row>
    <row r="243">
      <c r="A243" s="1" t="s">
        <v>6662</v>
      </c>
      <c r="B243" s="1" t="s">
        <v>6162</v>
      </c>
      <c r="C243" s="1" t="s">
        <v>6162</v>
      </c>
      <c r="D243" s="1" t="s">
        <v>4293</v>
      </c>
      <c r="E243" s="1" t="s">
        <v>6163</v>
      </c>
      <c r="F243" s="1" t="s">
        <v>6668</v>
      </c>
      <c r="G243" s="3">
        <v>45348.0</v>
      </c>
      <c r="H243" s="3">
        <v>45538.0</v>
      </c>
      <c r="I243" s="3">
        <v>45538.0</v>
      </c>
      <c r="J243" s="1" t="s">
        <v>215</v>
      </c>
      <c r="K243" s="1" t="s">
        <v>160</v>
      </c>
      <c r="L243" s="1" t="s">
        <v>216</v>
      </c>
      <c r="M243" s="1" t="s">
        <v>131</v>
      </c>
      <c r="N243" s="13"/>
      <c r="P243" s="4"/>
      <c r="Q243" s="1" t="s">
        <v>137</v>
      </c>
      <c r="R243" s="1" t="s">
        <v>137</v>
      </c>
      <c r="S243" s="1" t="s">
        <v>47</v>
      </c>
      <c r="T243" s="1" t="s">
        <v>4301</v>
      </c>
      <c r="U243" s="1" t="s">
        <v>1577</v>
      </c>
      <c r="V243" s="1" t="s">
        <v>3858</v>
      </c>
      <c r="W243" s="3">
        <v>45538.0</v>
      </c>
      <c r="X243" s="3">
        <v>45538.0</v>
      </c>
    </row>
    <row r="244">
      <c r="A244" s="1" t="s">
        <v>6680</v>
      </c>
      <c r="B244" s="1" t="s">
        <v>6172</v>
      </c>
      <c r="C244" s="1" t="s">
        <v>6172</v>
      </c>
      <c r="D244" s="1" t="s">
        <v>4293</v>
      </c>
      <c r="E244" s="1" t="s">
        <v>6175</v>
      </c>
      <c r="F244" s="1" t="s">
        <v>6689</v>
      </c>
      <c r="G244" s="3">
        <v>43952.0</v>
      </c>
      <c r="H244" s="3">
        <v>43952.0</v>
      </c>
      <c r="I244" s="3">
        <v>43952.0</v>
      </c>
      <c r="J244" s="1" t="s">
        <v>215</v>
      </c>
      <c r="K244" s="1" t="s">
        <v>160</v>
      </c>
      <c r="L244" s="1" t="s">
        <v>216</v>
      </c>
      <c r="M244" s="1" t="s">
        <v>131</v>
      </c>
      <c r="N244" s="13"/>
      <c r="P244" s="4"/>
      <c r="Q244" s="1" t="s">
        <v>137</v>
      </c>
      <c r="R244" s="1" t="s">
        <v>137</v>
      </c>
      <c r="S244" s="1" t="s">
        <v>47</v>
      </c>
      <c r="T244" s="1" t="s">
        <v>4301</v>
      </c>
      <c r="U244" s="1" t="s">
        <v>1577</v>
      </c>
      <c r="V244" s="1" t="s">
        <v>4950</v>
      </c>
      <c r="W244" s="3">
        <v>43952.0</v>
      </c>
      <c r="X244" s="3">
        <v>43952.0</v>
      </c>
    </row>
    <row r="245">
      <c r="A245" s="1" t="s">
        <v>6702</v>
      </c>
      <c r="B245" s="1" t="s">
        <v>6184</v>
      </c>
      <c r="C245" s="1" t="s">
        <v>6184</v>
      </c>
      <c r="D245" s="1" t="s">
        <v>4293</v>
      </c>
      <c r="E245" s="1" t="s">
        <v>6186</v>
      </c>
      <c r="F245" s="1" t="s">
        <v>6707</v>
      </c>
      <c r="G245" s="3">
        <v>43679.0</v>
      </c>
      <c r="H245" s="3">
        <v>43990.0</v>
      </c>
      <c r="I245" s="3">
        <v>43990.0</v>
      </c>
      <c r="J245" s="1" t="s">
        <v>215</v>
      </c>
      <c r="K245" s="1" t="s">
        <v>160</v>
      </c>
      <c r="L245" s="1" t="s">
        <v>216</v>
      </c>
      <c r="M245" s="1" t="s">
        <v>131</v>
      </c>
      <c r="N245" s="13"/>
      <c r="Q245" s="1" t="s">
        <v>137</v>
      </c>
      <c r="R245" s="1" t="s">
        <v>137</v>
      </c>
      <c r="S245" s="1" t="s">
        <v>47</v>
      </c>
      <c r="T245" s="1" t="s">
        <v>4301</v>
      </c>
      <c r="U245" s="1" t="s">
        <v>1577</v>
      </c>
      <c r="V245" s="1" t="s">
        <v>3858</v>
      </c>
      <c r="W245" s="3">
        <v>43990.0</v>
      </c>
      <c r="X245" s="3">
        <v>43990.0</v>
      </c>
    </row>
    <row r="246">
      <c r="A246" s="1" t="s">
        <v>6717</v>
      </c>
      <c r="B246" s="1" t="s">
        <v>6184</v>
      </c>
      <c r="C246" s="1" t="s">
        <v>6184</v>
      </c>
      <c r="D246" s="1" t="s">
        <v>4293</v>
      </c>
      <c r="E246" s="1" t="s">
        <v>6186</v>
      </c>
      <c r="F246" s="1" t="s">
        <v>6724</v>
      </c>
      <c r="G246" s="3">
        <v>43679.0</v>
      </c>
      <c r="H246" s="3">
        <v>43990.0</v>
      </c>
      <c r="I246" s="3">
        <v>43990.0</v>
      </c>
      <c r="J246" s="1" t="s">
        <v>215</v>
      </c>
      <c r="K246" s="1" t="s">
        <v>160</v>
      </c>
      <c r="L246" s="1" t="s">
        <v>216</v>
      </c>
      <c r="M246" s="1" t="s">
        <v>131</v>
      </c>
      <c r="P246" s="4"/>
      <c r="Q246" s="1" t="s">
        <v>137</v>
      </c>
      <c r="R246" s="1" t="s">
        <v>137</v>
      </c>
      <c r="S246" s="1" t="s">
        <v>47</v>
      </c>
      <c r="T246" s="1" t="s">
        <v>4301</v>
      </c>
      <c r="U246" s="1" t="s">
        <v>1577</v>
      </c>
      <c r="V246" s="1" t="s">
        <v>3865</v>
      </c>
      <c r="W246" s="3">
        <v>43990.0</v>
      </c>
      <c r="X246" s="3">
        <v>43990.0</v>
      </c>
    </row>
    <row r="247">
      <c r="A247" s="1" t="s">
        <v>6738</v>
      </c>
      <c r="B247" s="1" t="s">
        <v>6184</v>
      </c>
      <c r="C247" s="1" t="s">
        <v>6184</v>
      </c>
      <c r="D247" s="1" t="s">
        <v>4293</v>
      </c>
      <c r="E247" s="1" t="s">
        <v>6186</v>
      </c>
      <c r="F247" s="1" t="s">
        <v>6742</v>
      </c>
      <c r="G247" s="3">
        <v>43679.0</v>
      </c>
      <c r="H247" s="3">
        <v>43990.0</v>
      </c>
      <c r="I247" s="3">
        <v>43990.0</v>
      </c>
      <c r="J247" s="1" t="s">
        <v>215</v>
      </c>
      <c r="K247" s="1" t="s">
        <v>160</v>
      </c>
      <c r="L247" s="1" t="s">
        <v>216</v>
      </c>
      <c r="M247" s="1" t="s">
        <v>131</v>
      </c>
      <c r="N247" s="13"/>
      <c r="Q247" s="1" t="s">
        <v>137</v>
      </c>
      <c r="R247" s="1" t="s">
        <v>137</v>
      </c>
      <c r="S247" s="1" t="s">
        <v>47</v>
      </c>
      <c r="T247" s="1" t="s">
        <v>4301</v>
      </c>
      <c r="U247" s="1" t="s">
        <v>1577</v>
      </c>
      <c r="V247" s="1" t="s">
        <v>4950</v>
      </c>
      <c r="W247" s="3">
        <v>43990.0</v>
      </c>
      <c r="X247" s="3">
        <v>43990.0</v>
      </c>
    </row>
    <row r="248">
      <c r="A248" s="1" t="s">
        <v>6753</v>
      </c>
      <c r="B248" s="1" t="s">
        <v>6192</v>
      </c>
      <c r="C248" s="1" t="s">
        <v>6192</v>
      </c>
      <c r="D248" s="1" t="s">
        <v>4293</v>
      </c>
      <c r="E248" s="1" t="s">
        <v>6195</v>
      </c>
      <c r="F248" s="1" t="s">
        <v>6757</v>
      </c>
      <c r="G248" s="3">
        <v>45770.0</v>
      </c>
      <c r="H248" s="3">
        <v>46084.0</v>
      </c>
      <c r="I248" s="3">
        <v>46084.0</v>
      </c>
      <c r="J248" s="1" t="s">
        <v>215</v>
      </c>
      <c r="K248" s="1" t="s">
        <v>160</v>
      </c>
      <c r="L248" s="1" t="s">
        <v>216</v>
      </c>
      <c r="M248" s="1" t="s">
        <v>131</v>
      </c>
      <c r="N248" s="13"/>
      <c r="P248" s="4"/>
      <c r="Q248" s="1" t="s">
        <v>137</v>
      </c>
      <c r="R248" s="1" t="s">
        <v>137</v>
      </c>
      <c r="S248" s="1" t="s">
        <v>47</v>
      </c>
      <c r="T248" s="1" t="s">
        <v>4301</v>
      </c>
      <c r="U248" s="1" t="s">
        <v>1577</v>
      </c>
      <c r="V248" s="1" t="s">
        <v>3858</v>
      </c>
      <c r="W248" s="3">
        <v>46084.0</v>
      </c>
      <c r="X248" s="3">
        <v>46084.0</v>
      </c>
    </row>
    <row r="249">
      <c r="A249" s="1" t="s">
        <v>6767</v>
      </c>
      <c r="B249" s="1" t="s">
        <v>6192</v>
      </c>
      <c r="C249" s="1" t="s">
        <v>6192</v>
      </c>
      <c r="D249" s="1" t="s">
        <v>4293</v>
      </c>
      <c r="E249" s="1" t="s">
        <v>6195</v>
      </c>
      <c r="F249" s="1" t="s">
        <v>6771</v>
      </c>
      <c r="G249" s="3">
        <v>45770.0</v>
      </c>
      <c r="H249" s="3">
        <v>46084.0</v>
      </c>
      <c r="I249" s="3">
        <v>46084.0</v>
      </c>
      <c r="J249" s="1" t="s">
        <v>215</v>
      </c>
      <c r="K249" s="1" t="s">
        <v>160</v>
      </c>
      <c r="L249" s="1" t="s">
        <v>216</v>
      </c>
      <c r="M249" s="1" t="s">
        <v>131</v>
      </c>
      <c r="N249" s="13"/>
      <c r="P249" s="4"/>
      <c r="Q249" s="1" t="s">
        <v>137</v>
      </c>
      <c r="R249" s="1" t="s">
        <v>137</v>
      </c>
      <c r="S249" s="1" t="s">
        <v>47</v>
      </c>
      <c r="T249" s="1" t="s">
        <v>4301</v>
      </c>
      <c r="U249" s="1" t="s">
        <v>1577</v>
      </c>
      <c r="V249" s="1" t="s">
        <v>3865</v>
      </c>
      <c r="W249" s="3">
        <v>46084.0</v>
      </c>
      <c r="X249" s="3">
        <v>46084.0</v>
      </c>
    </row>
    <row r="250">
      <c r="A250" s="1" t="s">
        <v>6784</v>
      </c>
      <c r="B250" s="1" t="s">
        <v>6203</v>
      </c>
      <c r="C250" s="1" t="s">
        <v>6203</v>
      </c>
      <c r="D250" s="1" t="s">
        <v>4293</v>
      </c>
      <c r="E250" s="1" t="s">
        <v>6206</v>
      </c>
      <c r="F250" s="1" t="s">
        <v>6789</v>
      </c>
      <c r="G250" s="3">
        <v>45621.0</v>
      </c>
      <c r="H250" s="3">
        <v>45699.0</v>
      </c>
      <c r="I250" s="3">
        <v>45699.0</v>
      </c>
      <c r="J250" s="1" t="s">
        <v>215</v>
      </c>
      <c r="K250" s="1" t="s">
        <v>160</v>
      </c>
      <c r="L250" s="1" t="s">
        <v>216</v>
      </c>
      <c r="M250" s="1" t="s">
        <v>131</v>
      </c>
      <c r="N250" s="13"/>
      <c r="P250" s="4"/>
      <c r="Q250" s="1" t="s">
        <v>137</v>
      </c>
      <c r="R250" s="1" t="s">
        <v>137</v>
      </c>
      <c r="S250" s="1" t="s">
        <v>47</v>
      </c>
      <c r="T250" s="1" t="s">
        <v>4301</v>
      </c>
      <c r="U250" s="1" t="s">
        <v>1577</v>
      </c>
      <c r="V250" s="1" t="s">
        <v>3858</v>
      </c>
      <c r="W250" s="3">
        <v>45699.0</v>
      </c>
      <c r="X250" s="3">
        <v>45699.0</v>
      </c>
    </row>
    <row r="251">
      <c r="A251" s="1" t="s">
        <v>6800</v>
      </c>
      <c r="B251" s="1" t="s">
        <v>6203</v>
      </c>
      <c r="C251" s="1" t="s">
        <v>6203</v>
      </c>
      <c r="D251" s="1" t="s">
        <v>4293</v>
      </c>
      <c r="E251" s="1" t="s">
        <v>6206</v>
      </c>
      <c r="F251" s="1" t="s">
        <v>6805</v>
      </c>
      <c r="G251" s="3">
        <v>45621.0</v>
      </c>
      <c r="H251" s="3">
        <v>45699.0</v>
      </c>
      <c r="I251" s="3">
        <v>45699.0</v>
      </c>
      <c r="J251" s="1" t="s">
        <v>215</v>
      </c>
      <c r="K251" s="1" t="s">
        <v>160</v>
      </c>
      <c r="L251" s="1" t="s">
        <v>216</v>
      </c>
      <c r="M251" s="1" t="s">
        <v>131</v>
      </c>
      <c r="N251" s="13"/>
      <c r="O251" s="4"/>
      <c r="P251" s="4"/>
      <c r="Q251" s="1" t="s">
        <v>137</v>
      </c>
      <c r="R251" s="1" t="s">
        <v>137</v>
      </c>
      <c r="S251" s="1" t="s">
        <v>47</v>
      </c>
      <c r="T251" s="1" t="s">
        <v>4301</v>
      </c>
      <c r="U251" s="1" t="s">
        <v>1577</v>
      </c>
      <c r="V251" s="1" t="s">
        <v>3865</v>
      </c>
      <c r="W251" s="3">
        <v>45699.0</v>
      </c>
      <c r="X251" s="3">
        <v>45699.0</v>
      </c>
    </row>
    <row r="252">
      <c r="A252" s="1" t="s">
        <v>6815</v>
      </c>
      <c r="B252" s="1" t="s">
        <v>6203</v>
      </c>
      <c r="C252" s="1" t="s">
        <v>6203</v>
      </c>
      <c r="D252" s="1" t="s">
        <v>4293</v>
      </c>
      <c r="E252" s="1" t="s">
        <v>6206</v>
      </c>
      <c r="F252" s="1" t="s">
        <v>6820</v>
      </c>
      <c r="G252" s="3">
        <v>45621.0</v>
      </c>
      <c r="H252" s="3">
        <v>45699.0</v>
      </c>
      <c r="I252" s="3">
        <v>45699.0</v>
      </c>
      <c r="J252" s="1" t="s">
        <v>215</v>
      </c>
      <c r="K252" s="1" t="s">
        <v>160</v>
      </c>
      <c r="L252" s="1" t="s">
        <v>216</v>
      </c>
      <c r="M252" s="1" t="s">
        <v>131</v>
      </c>
      <c r="N252" s="13"/>
      <c r="O252" s="4"/>
      <c r="P252" s="4"/>
      <c r="Q252" s="1" t="s">
        <v>137</v>
      </c>
      <c r="R252" s="1" t="s">
        <v>137</v>
      </c>
      <c r="S252" s="1" t="s">
        <v>47</v>
      </c>
      <c r="T252" s="1" t="s">
        <v>4301</v>
      </c>
      <c r="U252" s="1" t="s">
        <v>1577</v>
      </c>
      <c r="V252" s="1" t="s">
        <v>4950</v>
      </c>
      <c r="W252" s="3">
        <v>45699.0</v>
      </c>
      <c r="X252" s="3">
        <v>45699.0</v>
      </c>
    </row>
    <row r="253">
      <c r="A253" s="1" t="s">
        <v>6830</v>
      </c>
      <c r="B253" s="1" t="s">
        <v>6215</v>
      </c>
      <c r="C253" s="1" t="s">
        <v>6215</v>
      </c>
      <c r="D253" s="1" t="s">
        <v>4293</v>
      </c>
      <c r="E253" s="1" t="s">
        <v>6218</v>
      </c>
      <c r="F253" s="1" t="s">
        <v>6840</v>
      </c>
      <c r="G253" s="3">
        <v>45126.0</v>
      </c>
      <c r="H253" s="3">
        <v>45313.0</v>
      </c>
      <c r="I253" s="3">
        <v>45313.0</v>
      </c>
      <c r="J253" s="1" t="s">
        <v>215</v>
      </c>
      <c r="K253" s="1" t="s">
        <v>160</v>
      </c>
      <c r="L253" s="1" t="s">
        <v>216</v>
      </c>
      <c r="M253" s="1" t="s">
        <v>131</v>
      </c>
      <c r="N253" s="13"/>
      <c r="O253" s="4"/>
      <c r="P253" s="4"/>
      <c r="Q253" s="1" t="s">
        <v>137</v>
      </c>
      <c r="R253" s="1" t="s">
        <v>137</v>
      </c>
      <c r="S253" s="1" t="s">
        <v>47</v>
      </c>
      <c r="T253" s="1" t="s">
        <v>4301</v>
      </c>
      <c r="U253" s="1" t="s">
        <v>1577</v>
      </c>
      <c r="V253" s="1" t="s">
        <v>3858</v>
      </c>
      <c r="W253" s="3">
        <v>45313.0</v>
      </c>
      <c r="X253" s="3">
        <v>45313.0</v>
      </c>
    </row>
    <row r="254">
      <c r="A254" s="1" t="s">
        <v>6855</v>
      </c>
      <c r="B254" s="1" t="s">
        <v>6215</v>
      </c>
      <c r="C254" s="1" t="s">
        <v>6215</v>
      </c>
      <c r="D254" s="1" t="s">
        <v>4293</v>
      </c>
      <c r="E254" s="1" t="s">
        <v>6218</v>
      </c>
      <c r="F254" s="1" t="s">
        <v>6860</v>
      </c>
      <c r="G254" s="3">
        <v>45126.0</v>
      </c>
      <c r="H254" s="3">
        <v>45313.0</v>
      </c>
      <c r="I254" s="3">
        <v>45313.0</v>
      </c>
      <c r="J254" s="1" t="s">
        <v>215</v>
      </c>
      <c r="K254" s="1" t="s">
        <v>160</v>
      </c>
      <c r="L254" s="1" t="s">
        <v>216</v>
      </c>
      <c r="M254" s="1" t="s">
        <v>131</v>
      </c>
      <c r="N254" s="13"/>
      <c r="O254" s="4"/>
      <c r="P254" s="4"/>
      <c r="Q254" s="1" t="s">
        <v>137</v>
      </c>
      <c r="R254" s="1" t="s">
        <v>137</v>
      </c>
      <c r="S254" s="1" t="s">
        <v>47</v>
      </c>
      <c r="T254" s="1" t="s">
        <v>4301</v>
      </c>
      <c r="U254" s="1" t="s">
        <v>1577</v>
      </c>
      <c r="V254" s="1" t="s">
        <v>3963</v>
      </c>
      <c r="W254" s="3">
        <v>45313.0</v>
      </c>
      <c r="X254" s="3">
        <v>45313.0</v>
      </c>
    </row>
    <row r="255">
      <c r="A255" s="1" t="s">
        <v>6868</v>
      </c>
      <c r="B255" s="1" t="s">
        <v>6215</v>
      </c>
      <c r="C255" s="1" t="s">
        <v>6215</v>
      </c>
      <c r="D255" s="1" t="s">
        <v>4293</v>
      </c>
      <c r="E255" s="1" t="s">
        <v>6218</v>
      </c>
      <c r="F255" s="1" t="s">
        <v>6873</v>
      </c>
      <c r="G255" s="3">
        <v>45126.0</v>
      </c>
      <c r="H255" s="3">
        <v>45313.0</v>
      </c>
      <c r="I255" s="3">
        <v>45313.0</v>
      </c>
      <c r="J255" s="1" t="s">
        <v>215</v>
      </c>
      <c r="K255" s="1" t="s">
        <v>160</v>
      </c>
      <c r="L255" s="1" t="s">
        <v>216</v>
      </c>
      <c r="M255" s="1" t="s">
        <v>131</v>
      </c>
      <c r="N255" s="4"/>
      <c r="O255" s="4"/>
      <c r="P255" s="4"/>
      <c r="Q255" s="1" t="s">
        <v>137</v>
      </c>
      <c r="R255" s="1" t="s">
        <v>137</v>
      </c>
      <c r="S255" s="1" t="s">
        <v>47</v>
      </c>
      <c r="T255" s="1" t="s">
        <v>4301</v>
      </c>
      <c r="U255" s="1" t="s">
        <v>1577</v>
      </c>
      <c r="V255" s="1" t="s">
        <v>3865</v>
      </c>
      <c r="W255" s="3">
        <v>45313.0</v>
      </c>
      <c r="X255" s="3">
        <v>45313.0</v>
      </c>
    </row>
    <row r="256">
      <c r="A256" s="1" t="s">
        <v>6889</v>
      </c>
      <c r="B256" s="1" t="s">
        <v>6225</v>
      </c>
      <c r="C256" s="1" t="s">
        <v>6225</v>
      </c>
      <c r="D256" s="1" t="s">
        <v>4293</v>
      </c>
      <c r="E256" s="1" t="s">
        <v>6226</v>
      </c>
      <c r="F256" s="1" t="s">
        <v>6893</v>
      </c>
      <c r="G256" s="3">
        <v>45266.0</v>
      </c>
      <c r="H256" s="3">
        <v>45315.0</v>
      </c>
      <c r="I256" s="3">
        <v>45315.0</v>
      </c>
      <c r="J256" s="1" t="s">
        <v>215</v>
      </c>
      <c r="K256" s="1" t="s">
        <v>160</v>
      </c>
      <c r="L256" s="1" t="s">
        <v>216</v>
      </c>
      <c r="M256" s="1" t="s">
        <v>131</v>
      </c>
      <c r="N256" s="13"/>
      <c r="O256" s="4"/>
      <c r="P256" s="4"/>
      <c r="Q256" s="1" t="s">
        <v>137</v>
      </c>
      <c r="R256" s="1" t="s">
        <v>137</v>
      </c>
      <c r="S256" s="1" t="s">
        <v>47</v>
      </c>
      <c r="T256" s="1" t="s">
        <v>4301</v>
      </c>
      <c r="U256" s="1" t="s">
        <v>1577</v>
      </c>
      <c r="V256" s="1" t="s">
        <v>4950</v>
      </c>
      <c r="W256" s="3">
        <v>45315.0</v>
      </c>
      <c r="X256" s="3">
        <v>45315.0</v>
      </c>
    </row>
    <row r="257">
      <c r="A257" s="1" t="s">
        <v>6904</v>
      </c>
      <c r="B257" s="1" t="s">
        <v>4529</v>
      </c>
      <c r="C257" s="1" t="s">
        <v>4529</v>
      </c>
      <c r="D257" s="1" t="s">
        <v>4293</v>
      </c>
      <c r="E257" s="1" t="s">
        <v>6237</v>
      </c>
      <c r="F257" s="1" t="s">
        <v>6910</v>
      </c>
      <c r="G257" s="3">
        <v>44916.0</v>
      </c>
      <c r="H257" s="3">
        <v>45077.0</v>
      </c>
      <c r="I257" s="3">
        <v>45077.0</v>
      </c>
      <c r="J257" s="1" t="s">
        <v>215</v>
      </c>
      <c r="K257" s="1" t="s">
        <v>160</v>
      </c>
      <c r="L257" s="1" t="s">
        <v>216</v>
      </c>
      <c r="M257" s="1" t="s">
        <v>131</v>
      </c>
      <c r="N257" s="13"/>
      <c r="O257" s="4"/>
      <c r="P257" s="4"/>
      <c r="Q257" s="1" t="s">
        <v>137</v>
      </c>
      <c r="R257" s="1" t="s">
        <v>137</v>
      </c>
      <c r="S257" s="1" t="s">
        <v>47</v>
      </c>
      <c r="T257" s="1" t="s">
        <v>4301</v>
      </c>
      <c r="U257" s="1" t="s">
        <v>1577</v>
      </c>
      <c r="V257" s="1" t="s">
        <v>3858</v>
      </c>
      <c r="W257" s="3">
        <v>45077.0</v>
      </c>
      <c r="X257" s="3">
        <v>45077.0</v>
      </c>
    </row>
    <row r="258">
      <c r="A258" s="1" t="s">
        <v>6924</v>
      </c>
      <c r="B258" s="1" t="s">
        <v>4529</v>
      </c>
      <c r="C258" s="1" t="s">
        <v>4529</v>
      </c>
      <c r="D258" s="1" t="s">
        <v>4293</v>
      </c>
      <c r="E258" s="1" t="s">
        <v>6237</v>
      </c>
      <c r="F258" s="1" t="s">
        <v>6928</v>
      </c>
      <c r="G258" s="3">
        <v>44916.0</v>
      </c>
      <c r="H258" s="3">
        <v>45077.0</v>
      </c>
      <c r="I258" s="3">
        <v>45077.0</v>
      </c>
      <c r="J258" s="1" t="s">
        <v>215</v>
      </c>
      <c r="K258" s="1" t="s">
        <v>160</v>
      </c>
      <c r="L258" s="1" t="s">
        <v>216</v>
      </c>
      <c r="M258" s="1" t="s">
        <v>131</v>
      </c>
      <c r="N258" s="4"/>
      <c r="O258" s="4"/>
      <c r="P258" s="4"/>
      <c r="Q258" s="1" t="s">
        <v>137</v>
      </c>
      <c r="R258" s="1" t="s">
        <v>137</v>
      </c>
      <c r="S258" s="1" t="s">
        <v>47</v>
      </c>
      <c r="T258" s="1" t="s">
        <v>4301</v>
      </c>
      <c r="U258" s="1" t="s">
        <v>1577</v>
      </c>
      <c r="V258" s="1" t="s">
        <v>3865</v>
      </c>
      <c r="W258" s="3">
        <v>45077.0</v>
      </c>
      <c r="X258" s="3">
        <v>45077.0</v>
      </c>
    </row>
    <row r="259">
      <c r="A259" s="1" t="s">
        <v>6941</v>
      </c>
      <c r="B259" s="1" t="s">
        <v>4529</v>
      </c>
      <c r="C259" s="1" t="s">
        <v>4529</v>
      </c>
      <c r="D259" s="1" t="s">
        <v>4293</v>
      </c>
      <c r="E259" s="1" t="s">
        <v>6237</v>
      </c>
      <c r="F259" s="1" t="s">
        <v>6945</v>
      </c>
      <c r="G259" s="3">
        <v>44916.0</v>
      </c>
      <c r="H259" s="3">
        <v>45077.0</v>
      </c>
      <c r="I259" s="3">
        <v>45077.0</v>
      </c>
      <c r="J259" s="1" t="s">
        <v>215</v>
      </c>
      <c r="K259" s="1" t="s">
        <v>160</v>
      </c>
      <c r="L259" s="1" t="s">
        <v>216</v>
      </c>
      <c r="M259" s="1" t="s">
        <v>131</v>
      </c>
      <c r="N259" s="13"/>
      <c r="O259" s="4"/>
      <c r="P259" s="4"/>
      <c r="Q259" s="1" t="s">
        <v>137</v>
      </c>
      <c r="R259" s="1" t="s">
        <v>137</v>
      </c>
      <c r="S259" s="1" t="s">
        <v>47</v>
      </c>
      <c r="T259" s="1" t="s">
        <v>4301</v>
      </c>
      <c r="U259" s="1" t="s">
        <v>1577</v>
      </c>
      <c r="V259" s="1" t="s">
        <v>4950</v>
      </c>
      <c r="W259" s="3">
        <v>45077.0</v>
      </c>
      <c r="X259" s="3">
        <v>45077.0</v>
      </c>
    </row>
    <row r="260">
      <c r="A260" s="1" t="s">
        <v>6962</v>
      </c>
      <c r="B260" s="1" t="s">
        <v>4999</v>
      </c>
      <c r="C260" s="1" t="s">
        <v>4999</v>
      </c>
      <c r="D260" s="1" t="s">
        <v>4293</v>
      </c>
      <c r="E260" s="1" t="s">
        <v>6247</v>
      </c>
      <c r="F260" s="1" t="s">
        <v>6966</v>
      </c>
      <c r="G260" s="3">
        <v>44937.0</v>
      </c>
      <c r="H260" s="3">
        <v>45153.0</v>
      </c>
      <c r="I260" s="3">
        <v>45153.0</v>
      </c>
      <c r="J260" s="1" t="s">
        <v>215</v>
      </c>
      <c r="K260" s="1" t="s">
        <v>160</v>
      </c>
      <c r="L260" s="1" t="s">
        <v>216</v>
      </c>
      <c r="M260" s="1" t="s">
        <v>131</v>
      </c>
      <c r="N260" s="13"/>
      <c r="O260" s="4"/>
      <c r="P260" s="4"/>
      <c r="Q260" s="1" t="s">
        <v>137</v>
      </c>
      <c r="R260" s="1" t="s">
        <v>137</v>
      </c>
      <c r="S260" s="1" t="s">
        <v>47</v>
      </c>
      <c r="T260" s="1" t="s">
        <v>4301</v>
      </c>
      <c r="U260" s="1" t="s">
        <v>1577</v>
      </c>
      <c r="V260" s="1" t="s">
        <v>3858</v>
      </c>
      <c r="W260" s="3">
        <v>45153.0</v>
      </c>
      <c r="X260" s="3">
        <v>45153.0</v>
      </c>
    </row>
    <row r="261">
      <c r="A261" s="1" t="s">
        <v>6978</v>
      </c>
      <c r="B261" s="1" t="s">
        <v>6253</v>
      </c>
      <c r="C261" s="1" t="s">
        <v>6253</v>
      </c>
      <c r="D261" s="1" t="s">
        <v>4293</v>
      </c>
      <c r="E261" s="1" t="s">
        <v>6255</v>
      </c>
      <c r="F261" s="1" t="s">
        <v>6985</v>
      </c>
      <c r="G261" s="3">
        <v>45426.0</v>
      </c>
      <c r="H261" s="3">
        <v>45699.0</v>
      </c>
      <c r="I261" s="3">
        <v>45699.0</v>
      </c>
      <c r="J261" s="1" t="s">
        <v>215</v>
      </c>
      <c r="K261" s="1" t="s">
        <v>160</v>
      </c>
      <c r="L261" s="1" t="s">
        <v>216</v>
      </c>
      <c r="M261" s="1" t="s">
        <v>131</v>
      </c>
      <c r="N261" s="4"/>
      <c r="O261" s="4"/>
      <c r="P261" s="4"/>
      <c r="Q261" s="1" t="s">
        <v>137</v>
      </c>
      <c r="R261" s="1" t="s">
        <v>137</v>
      </c>
      <c r="S261" s="1" t="s">
        <v>47</v>
      </c>
      <c r="T261" s="1" t="s">
        <v>4301</v>
      </c>
      <c r="U261" s="1" t="s">
        <v>1577</v>
      </c>
      <c r="V261" s="1" t="s">
        <v>3858</v>
      </c>
      <c r="W261" s="3">
        <v>45699.0</v>
      </c>
      <c r="X261" s="3">
        <v>45699.0</v>
      </c>
    </row>
    <row r="262">
      <c r="A262" s="1" t="s">
        <v>7001</v>
      </c>
      <c r="B262" s="1" t="s">
        <v>6253</v>
      </c>
      <c r="C262" s="1" t="s">
        <v>6253</v>
      </c>
      <c r="D262" s="1" t="s">
        <v>4293</v>
      </c>
      <c r="E262" s="1" t="s">
        <v>6255</v>
      </c>
      <c r="F262" s="1" t="s">
        <v>7006</v>
      </c>
      <c r="G262" s="3">
        <v>45426.0</v>
      </c>
      <c r="H262" s="3">
        <v>45699.0</v>
      </c>
      <c r="I262" s="3">
        <v>45699.0</v>
      </c>
      <c r="J262" s="1" t="s">
        <v>215</v>
      </c>
      <c r="K262" s="1" t="s">
        <v>160</v>
      </c>
      <c r="L262" s="1" t="s">
        <v>216</v>
      </c>
      <c r="M262" s="1" t="s">
        <v>131</v>
      </c>
      <c r="N262" s="13"/>
      <c r="O262" s="4"/>
      <c r="P262" s="4"/>
      <c r="Q262" s="1" t="s">
        <v>137</v>
      </c>
      <c r="R262" s="1" t="s">
        <v>137</v>
      </c>
      <c r="S262" s="1" t="s">
        <v>47</v>
      </c>
      <c r="T262" s="1" t="s">
        <v>4301</v>
      </c>
      <c r="U262" s="1" t="s">
        <v>1577</v>
      </c>
      <c r="V262" s="1" t="s">
        <v>4950</v>
      </c>
      <c r="W262" s="3">
        <v>45699.0</v>
      </c>
      <c r="X262" s="3">
        <v>45699.0</v>
      </c>
    </row>
    <row r="263">
      <c r="A263" s="1" t="s">
        <v>7014</v>
      </c>
      <c r="B263" s="1" t="s">
        <v>4368</v>
      </c>
      <c r="C263" s="1" t="s">
        <v>4368</v>
      </c>
      <c r="D263" s="1" t="s">
        <v>4293</v>
      </c>
      <c r="E263" s="1" t="s">
        <v>6261</v>
      </c>
      <c r="F263" s="1" t="s">
        <v>7018</v>
      </c>
      <c r="G263" s="3">
        <v>44391.0</v>
      </c>
      <c r="H263" s="3">
        <v>44663.0</v>
      </c>
      <c r="I263" s="3">
        <v>44663.0</v>
      </c>
      <c r="J263" s="1" t="s">
        <v>215</v>
      </c>
      <c r="K263" s="1" t="s">
        <v>160</v>
      </c>
      <c r="L263" s="1" t="s">
        <v>216</v>
      </c>
      <c r="M263" s="1" t="s">
        <v>131</v>
      </c>
      <c r="N263" s="13"/>
      <c r="O263" s="4"/>
      <c r="P263" s="4"/>
      <c r="Q263" s="1" t="s">
        <v>137</v>
      </c>
      <c r="R263" s="1" t="s">
        <v>137</v>
      </c>
      <c r="S263" s="1" t="s">
        <v>47</v>
      </c>
      <c r="T263" s="1" t="s">
        <v>4301</v>
      </c>
      <c r="U263" s="1" t="s">
        <v>1577</v>
      </c>
      <c r="V263" s="1" t="s">
        <v>3858</v>
      </c>
      <c r="W263" s="3">
        <v>44663.0</v>
      </c>
      <c r="X263" s="3">
        <v>44663.0</v>
      </c>
    </row>
    <row r="264">
      <c r="A264" s="1" t="s">
        <v>7032</v>
      </c>
      <c r="B264" s="1" t="s">
        <v>6268</v>
      </c>
      <c r="C264" s="1" t="s">
        <v>6268</v>
      </c>
      <c r="D264" s="1" t="s">
        <v>4293</v>
      </c>
      <c r="E264" s="1" t="s">
        <v>6270</v>
      </c>
      <c r="F264" s="1" t="s">
        <v>7036</v>
      </c>
      <c r="G264" s="3">
        <v>45293.0</v>
      </c>
      <c r="H264" s="3">
        <v>45349.0</v>
      </c>
      <c r="I264" s="3">
        <v>45349.0</v>
      </c>
      <c r="J264" s="1" t="s">
        <v>215</v>
      </c>
      <c r="K264" s="1" t="s">
        <v>160</v>
      </c>
      <c r="L264" s="1" t="s">
        <v>216</v>
      </c>
      <c r="M264" s="1" t="s">
        <v>131</v>
      </c>
      <c r="N264" s="13"/>
      <c r="O264" s="4"/>
      <c r="P264" s="4"/>
      <c r="Q264" s="1" t="s">
        <v>137</v>
      </c>
      <c r="R264" s="1" t="s">
        <v>137</v>
      </c>
      <c r="S264" s="1" t="s">
        <v>47</v>
      </c>
      <c r="T264" s="1" t="s">
        <v>4301</v>
      </c>
      <c r="U264" s="1" t="s">
        <v>1577</v>
      </c>
      <c r="V264" s="1" t="s">
        <v>4679</v>
      </c>
      <c r="W264" s="3">
        <v>45349.0</v>
      </c>
      <c r="X264" s="3">
        <v>45349.0</v>
      </c>
    </row>
    <row r="265">
      <c r="A265" s="1" t="s">
        <v>7049</v>
      </c>
      <c r="B265" s="1" t="s">
        <v>6268</v>
      </c>
      <c r="C265" s="1" t="s">
        <v>6268</v>
      </c>
      <c r="D265" s="1" t="s">
        <v>4293</v>
      </c>
      <c r="E265" s="1" t="s">
        <v>6270</v>
      </c>
      <c r="F265" s="1" t="s">
        <v>7056</v>
      </c>
      <c r="G265" s="3">
        <v>45293.0</v>
      </c>
      <c r="H265" s="3">
        <v>45349.0</v>
      </c>
      <c r="I265" s="3">
        <v>45349.0</v>
      </c>
      <c r="J265" s="1" t="s">
        <v>215</v>
      </c>
      <c r="K265" s="1" t="s">
        <v>160</v>
      </c>
      <c r="L265" s="1" t="s">
        <v>216</v>
      </c>
      <c r="M265" s="1" t="s">
        <v>131</v>
      </c>
      <c r="N265" s="13"/>
      <c r="O265" s="4"/>
      <c r="P265" s="4"/>
      <c r="Q265" s="1" t="s">
        <v>137</v>
      </c>
      <c r="R265" s="1" t="s">
        <v>137</v>
      </c>
      <c r="S265" s="1" t="s">
        <v>47</v>
      </c>
      <c r="T265" s="1" t="s">
        <v>4301</v>
      </c>
      <c r="U265" s="1" t="s">
        <v>1577</v>
      </c>
      <c r="V265" s="1" t="s">
        <v>4950</v>
      </c>
      <c r="W265" s="3">
        <v>45349.0</v>
      </c>
      <c r="X265" s="3">
        <v>45349.0</v>
      </c>
    </row>
    <row r="266">
      <c r="A266" s="1" t="s">
        <v>7071</v>
      </c>
      <c r="B266" s="1" t="s">
        <v>6268</v>
      </c>
      <c r="C266" s="1" t="s">
        <v>6268</v>
      </c>
      <c r="D266" s="1" t="s">
        <v>4293</v>
      </c>
      <c r="E266" s="1" t="s">
        <v>6270</v>
      </c>
      <c r="F266" s="1" t="s">
        <v>7077</v>
      </c>
      <c r="G266" s="3">
        <v>45293.0</v>
      </c>
      <c r="H266" s="3">
        <v>45349.0</v>
      </c>
      <c r="I266" s="3">
        <v>45349.0</v>
      </c>
      <c r="J266" s="1" t="s">
        <v>215</v>
      </c>
      <c r="K266" s="1" t="s">
        <v>160</v>
      </c>
      <c r="L266" s="1" t="s">
        <v>216</v>
      </c>
      <c r="M266" s="1" t="s">
        <v>131</v>
      </c>
      <c r="N266" s="4"/>
      <c r="O266" s="4"/>
      <c r="P266" s="4"/>
      <c r="Q266" s="1" t="s">
        <v>137</v>
      </c>
      <c r="R266" s="1" t="s">
        <v>137</v>
      </c>
      <c r="S266" s="1" t="s">
        <v>47</v>
      </c>
      <c r="T266" s="1" t="s">
        <v>4301</v>
      </c>
      <c r="U266" s="1" t="s">
        <v>1577</v>
      </c>
      <c r="V266" s="1" t="s">
        <v>5104</v>
      </c>
      <c r="W266" s="3">
        <v>45349.0</v>
      </c>
      <c r="X266" s="3">
        <v>45349.0</v>
      </c>
    </row>
    <row r="267">
      <c r="A267" s="1" t="s">
        <v>7093</v>
      </c>
      <c r="B267" s="1" t="s">
        <v>6268</v>
      </c>
      <c r="C267" s="1" t="s">
        <v>6268</v>
      </c>
      <c r="D267" s="1" t="s">
        <v>4293</v>
      </c>
      <c r="E267" s="1" t="s">
        <v>6270</v>
      </c>
      <c r="F267" s="1" t="s">
        <v>7100</v>
      </c>
      <c r="G267" s="3">
        <v>45293.0</v>
      </c>
      <c r="H267" s="3">
        <v>45349.0</v>
      </c>
      <c r="I267" s="3">
        <v>45349.0</v>
      </c>
      <c r="J267" s="1" t="s">
        <v>215</v>
      </c>
      <c r="K267" s="1" t="s">
        <v>160</v>
      </c>
      <c r="L267" s="1" t="s">
        <v>216</v>
      </c>
      <c r="M267" s="1" t="s">
        <v>131</v>
      </c>
      <c r="N267" s="13"/>
      <c r="O267" s="4"/>
      <c r="P267" s="4"/>
      <c r="Q267" s="1" t="s">
        <v>137</v>
      </c>
      <c r="R267" s="1" t="s">
        <v>137</v>
      </c>
      <c r="S267" s="1" t="s">
        <v>47</v>
      </c>
      <c r="T267" s="1" t="s">
        <v>4301</v>
      </c>
      <c r="U267" s="1" t="s">
        <v>1577</v>
      </c>
      <c r="V267" s="1" t="s">
        <v>5120</v>
      </c>
      <c r="W267" s="3">
        <v>45349.0</v>
      </c>
      <c r="X267" s="3">
        <v>45349.0</v>
      </c>
    </row>
    <row r="268">
      <c r="A268" s="1" t="s">
        <v>7115</v>
      </c>
      <c r="B268" s="1" t="s">
        <v>5304</v>
      </c>
      <c r="C268" s="1" t="s">
        <v>5304</v>
      </c>
      <c r="D268" s="1" t="s">
        <v>4293</v>
      </c>
      <c r="E268" s="1" t="s">
        <v>6278</v>
      </c>
      <c r="F268" s="1" t="s">
        <v>7120</v>
      </c>
      <c r="G268" s="3">
        <v>44985.0</v>
      </c>
      <c r="H268" s="3">
        <v>45455.0</v>
      </c>
      <c r="I268" s="3">
        <v>45455.0</v>
      </c>
      <c r="J268" s="1" t="s">
        <v>215</v>
      </c>
      <c r="K268" s="1" t="s">
        <v>160</v>
      </c>
      <c r="L268" s="1" t="s">
        <v>216</v>
      </c>
      <c r="M268" s="1" t="s">
        <v>131</v>
      </c>
      <c r="N268" s="13"/>
      <c r="O268" s="4"/>
      <c r="P268" s="4"/>
      <c r="Q268" s="1" t="s">
        <v>137</v>
      </c>
      <c r="R268" s="1" t="s">
        <v>137</v>
      </c>
      <c r="S268" s="1" t="s">
        <v>47</v>
      </c>
      <c r="T268" s="1" t="s">
        <v>4301</v>
      </c>
      <c r="U268" s="1" t="s">
        <v>1577</v>
      </c>
      <c r="V268" s="1" t="s">
        <v>3858</v>
      </c>
      <c r="W268" s="3">
        <v>45455.0</v>
      </c>
      <c r="X268" s="3">
        <v>45455.0</v>
      </c>
    </row>
    <row r="269">
      <c r="A269" s="1" t="s">
        <v>7136</v>
      </c>
      <c r="B269" s="1" t="s">
        <v>5304</v>
      </c>
      <c r="C269" s="1" t="s">
        <v>5304</v>
      </c>
      <c r="D269" s="1" t="s">
        <v>4293</v>
      </c>
      <c r="E269" s="1" t="s">
        <v>6278</v>
      </c>
      <c r="F269" s="1" t="s">
        <v>7143</v>
      </c>
      <c r="G269" s="3">
        <v>44985.0</v>
      </c>
      <c r="H269" s="3">
        <v>45455.0</v>
      </c>
      <c r="I269" s="3">
        <v>45455.0</v>
      </c>
      <c r="J269" s="1" t="s">
        <v>215</v>
      </c>
      <c r="K269" s="1" t="s">
        <v>160</v>
      </c>
      <c r="L269" s="1" t="s">
        <v>216</v>
      </c>
      <c r="M269" s="1" t="s">
        <v>131</v>
      </c>
      <c r="N269" s="4"/>
      <c r="O269" s="4"/>
      <c r="P269" s="4"/>
      <c r="Q269" s="1" t="s">
        <v>137</v>
      </c>
      <c r="R269" s="1" t="s">
        <v>137</v>
      </c>
      <c r="S269" s="1" t="s">
        <v>47</v>
      </c>
      <c r="T269" s="1" t="s">
        <v>4301</v>
      </c>
      <c r="U269" s="1" t="s">
        <v>1577</v>
      </c>
      <c r="V269" s="1" t="s">
        <v>4950</v>
      </c>
      <c r="W269" s="3">
        <v>45455.0</v>
      </c>
      <c r="X269" s="3">
        <v>45455.0</v>
      </c>
    </row>
    <row r="270">
      <c r="A270" s="1" t="s">
        <v>7158</v>
      </c>
      <c r="B270" s="1" t="s">
        <v>6283</v>
      </c>
      <c r="C270" s="1" t="s">
        <v>6283</v>
      </c>
      <c r="D270" s="1" t="s">
        <v>4293</v>
      </c>
      <c r="E270" s="1" t="s">
        <v>6286</v>
      </c>
      <c r="F270" s="1" t="s">
        <v>7162</v>
      </c>
      <c r="G270" s="3">
        <v>44405.0</v>
      </c>
      <c r="H270" s="3">
        <v>44784.0</v>
      </c>
      <c r="I270" s="3">
        <v>44784.0</v>
      </c>
      <c r="J270" s="1" t="s">
        <v>215</v>
      </c>
      <c r="K270" s="1" t="s">
        <v>160</v>
      </c>
      <c r="L270" s="1" t="s">
        <v>216</v>
      </c>
      <c r="M270" s="1" t="s">
        <v>131</v>
      </c>
      <c r="N270" s="13"/>
      <c r="O270" s="4"/>
      <c r="P270" s="4"/>
      <c r="Q270" s="1" t="s">
        <v>137</v>
      </c>
      <c r="R270" s="1" t="s">
        <v>137</v>
      </c>
      <c r="S270" s="1" t="s">
        <v>47</v>
      </c>
      <c r="T270" s="1" t="s">
        <v>4301</v>
      </c>
      <c r="U270" s="1" t="s">
        <v>1577</v>
      </c>
      <c r="V270" s="1" t="s">
        <v>3858</v>
      </c>
      <c r="W270" s="3">
        <v>44784.0</v>
      </c>
      <c r="X270" s="3">
        <v>44784.0</v>
      </c>
    </row>
    <row r="271">
      <c r="A271" s="1" t="s">
        <v>7177</v>
      </c>
      <c r="B271" s="1" t="s">
        <v>6283</v>
      </c>
      <c r="C271" s="1" t="s">
        <v>6283</v>
      </c>
      <c r="D271" s="1" t="s">
        <v>4293</v>
      </c>
      <c r="E271" s="1" t="s">
        <v>6286</v>
      </c>
      <c r="F271" s="1" t="s">
        <v>7183</v>
      </c>
      <c r="G271" s="3">
        <v>44405.0</v>
      </c>
      <c r="H271" s="3">
        <v>44784.0</v>
      </c>
      <c r="I271" s="3">
        <v>44784.0</v>
      </c>
      <c r="J271" s="1" t="s">
        <v>215</v>
      </c>
      <c r="K271" s="1" t="s">
        <v>160</v>
      </c>
      <c r="L271" s="1" t="s">
        <v>216</v>
      </c>
      <c r="M271" s="1" t="s">
        <v>131</v>
      </c>
      <c r="N271" s="13"/>
      <c r="O271" s="4"/>
      <c r="P271" s="4"/>
      <c r="Q271" s="1" t="s">
        <v>137</v>
      </c>
      <c r="R271" s="1" t="s">
        <v>137</v>
      </c>
      <c r="S271" s="1" t="s">
        <v>47</v>
      </c>
      <c r="T271" s="1" t="s">
        <v>4301</v>
      </c>
      <c r="U271" s="1" t="s">
        <v>1577</v>
      </c>
      <c r="V271" s="1" t="s">
        <v>4950</v>
      </c>
      <c r="W271" s="3">
        <v>44784.0</v>
      </c>
      <c r="X271" s="3">
        <v>44784.0</v>
      </c>
    </row>
    <row r="272">
      <c r="A272" s="1" t="s">
        <v>7202</v>
      </c>
      <c r="B272" s="1" t="s">
        <v>4614</v>
      </c>
      <c r="C272" s="1" t="s">
        <v>4614</v>
      </c>
      <c r="D272" s="1" t="s">
        <v>4293</v>
      </c>
      <c r="E272" s="1" t="s">
        <v>6296</v>
      </c>
      <c r="F272" s="1" t="s">
        <v>7211</v>
      </c>
      <c r="G272" s="3">
        <v>44768.0</v>
      </c>
      <c r="H272" s="3">
        <v>44893.0</v>
      </c>
      <c r="I272" s="3">
        <v>44893.0</v>
      </c>
      <c r="J272" s="1" t="s">
        <v>215</v>
      </c>
      <c r="K272" s="1" t="s">
        <v>160</v>
      </c>
      <c r="L272" s="1" t="s">
        <v>216</v>
      </c>
      <c r="M272" s="1" t="s">
        <v>131</v>
      </c>
      <c r="N272" s="13"/>
      <c r="O272" s="4"/>
      <c r="P272" s="4"/>
      <c r="Q272" s="1" t="s">
        <v>137</v>
      </c>
      <c r="R272" s="1" t="s">
        <v>137</v>
      </c>
      <c r="S272" s="1" t="s">
        <v>47</v>
      </c>
      <c r="T272" s="1" t="s">
        <v>4301</v>
      </c>
      <c r="U272" s="1" t="s">
        <v>1577</v>
      </c>
      <c r="V272" s="1" t="s">
        <v>3858</v>
      </c>
      <c r="W272" s="3">
        <v>44893.0</v>
      </c>
      <c r="X272" s="3">
        <v>44893.0</v>
      </c>
    </row>
    <row r="273">
      <c r="A273" s="1" t="s">
        <v>7230</v>
      </c>
      <c r="B273" s="1" t="s">
        <v>6302</v>
      </c>
      <c r="C273" s="1" t="s">
        <v>6302</v>
      </c>
      <c r="D273" s="1" t="s">
        <v>4293</v>
      </c>
      <c r="E273" s="1" t="s">
        <v>6304</v>
      </c>
      <c r="F273" s="1" t="s">
        <v>7237</v>
      </c>
      <c r="G273" s="3">
        <v>44439.0</v>
      </c>
      <c r="H273" s="3">
        <v>44683.0</v>
      </c>
      <c r="I273" s="3">
        <v>44683.0</v>
      </c>
      <c r="J273" s="1" t="s">
        <v>215</v>
      </c>
      <c r="K273" s="1" t="s">
        <v>160</v>
      </c>
      <c r="L273" s="1" t="s">
        <v>216</v>
      </c>
      <c r="M273" s="1" t="s">
        <v>131</v>
      </c>
      <c r="N273" s="4"/>
      <c r="O273" s="4"/>
      <c r="P273" s="4"/>
      <c r="Q273" s="1" t="s">
        <v>137</v>
      </c>
      <c r="R273" s="1" t="s">
        <v>137</v>
      </c>
      <c r="S273" s="1" t="s">
        <v>47</v>
      </c>
      <c r="T273" s="1" t="s">
        <v>4301</v>
      </c>
      <c r="U273" s="1" t="s">
        <v>1577</v>
      </c>
      <c r="V273" s="1" t="s">
        <v>3858</v>
      </c>
      <c r="W273" s="3">
        <v>44683.0</v>
      </c>
      <c r="X273" s="3">
        <v>44683.0</v>
      </c>
    </row>
    <row r="274">
      <c r="A274" s="1" t="s">
        <v>7251</v>
      </c>
      <c r="B274" s="1" t="s">
        <v>6302</v>
      </c>
      <c r="C274" s="1" t="s">
        <v>6302</v>
      </c>
      <c r="D274" s="1" t="s">
        <v>4293</v>
      </c>
      <c r="E274" s="1" t="s">
        <v>6304</v>
      </c>
      <c r="F274" s="1" t="s">
        <v>7257</v>
      </c>
      <c r="G274" s="3">
        <v>44439.0</v>
      </c>
      <c r="H274" s="3">
        <v>44683.0</v>
      </c>
      <c r="I274" s="3">
        <v>44683.0</v>
      </c>
      <c r="J274" s="1" t="s">
        <v>215</v>
      </c>
      <c r="K274" s="1" t="s">
        <v>160</v>
      </c>
      <c r="L274" s="1" t="s">
        <v>216</v>
      </c>
      <c r="M274" s="1" t="s">
        <v>131</v>
      </c>
      <c r="N274" s="4"/>
      <c r="O274" s="4"/>
      <c r="P274" s="4"/>
      <c r="Q274" s="1" t="s">
        <v>137</v>
      </c>
      <c r="R274" s="1" t="s">
        <v>137</v>
      </c>
      <c r="S274" s="1" t="s">
        <v>47</v>
      </c>
      <c r="T274" s="1" t="s">
        <v>4301</v>
      </c>
      <c r="U274" s="1" t="s">
        <v>1577</v>
      </c>
      <c r="V274" s="1" t="s">
        <v>3963</v>
      </c>
      <c r="W274" s="3">
        <v>44683.0</v>
      </c>
      <c r="X274" s="3">
        <v>44683.0</v>
      </c>
    </row>
    <row r="275">
      <c r="A275" s="1" t="s">
        <v>7274</v>
      </c>
      <c r="B275" s="1" t="s">
        <v>6311</v>
      </c>
      <c r="C275" s="1" t="s">
        <v>6311</v>
      </c>
      <c r="D275" s="1" t="s">
        <v>4293</v>
      </c>
      <c r="E275" s="1" t="s">
        <v>6312</v>
      </c>
      <c r="F275" s="1" t="s">
        <v>7281</v>
      </c>
      <c r="G275" s="3">
        <v>44539.0</v>
      </c>
      <c r="H275" s="3">
        <v>44742.0</v>
      </c>
      <c r="I275" s="3">
        <v>44742.0</v>
      </c>
      <c r="J275" s="1" t="s">
        <v>215</v>
      </c>
      <c r="K275" s="1" t="s">
        <v>160</v>
      </c>
      <c r="L275" s="1" t="s">
        <v>216</v>
      </c>
      <c r="M275" s="1" t="s">
        <v>131</v>
      </c>
      <c r="N275" s="13"/>
      <c r="O275" s="4"/>
      <c r="P275" s="4"/>
      <c r="Q275" s="1" t="s">
        <v>137</v>
      </c>
      <c r="R275" s="1" t="s">
        <v>137</v>
      </c>
      <c r="S275" s="1" t="s">
        <v>47</v>
      </c>
      <c r="T275" s="1" t="s">
        <v>4301</v>
      </c>
      <c r="U275" s="1" t="s">
        <v>1577</v>
      </c>
      <c r="V275" s="1" t="s">
        <v>3858</v>
      </c>
      <c r="W275" s="3">
        <v>44742.0</v>
      </c>
      <c r="X275" s="3">
        <v>44742.0</v>
      </c>
    </row>
    <row r="276">
      <c r="A276" s="1" t="s">
        <v>7291</v>
      </c>
      <c r="B276" s="1" t="s">
        <v>6319</v>
      </c>
      <c r="C276" s="1" t="s">
        <v>6319</v>
      </c>
      <c r="D276" s="1" t="s">
        <v>4293</v>
      </c>
      <c r="E276" s="1" t="s">
        <v>6321</v>
      </c>
      <c r="F276" s="1" t="s">
        <v>7298</v>
      </c>
      <c r="G276" s="3">
        <v>45299.0</v>
      </c>
      <c r="H276" s="3">
        <v>45322.0</v>
      </c>
      <c r="I276" s="3">
        <v>45322.0</v>
      </c>
      <c r="J276" s="1" t="s">
        <v>215</v>
      </c>
      <c r="K276" s="1" t="s">
        <v>160</v>
      </c>
      <c r="L276" s="1" t="s">
        <v>216</v>
      </c>
      <c r="M276" s="1" t="s">
        <v>131</v>
      </c>
      <c r="N276" s="13"/>
      <c r="O276" s="4"/>
      <c r="P276" s="4"/>
      <c r="Q276" s="1" t="s">
        <v>137</v>
      </c>
      <c r="R276" s="1" t="s">
        <v>137</v>
      </c>
      <c r="S276" s="1" t="s">
        <v>47</v>
      </c>
      <c r="T276" s="1" t="s">
        <v>4301</v>
      </c>
      <c r="U276" s="1" t="s">
        <v>1577</v>
      </c>
      <c r="V276" s="1" t="s">
        <v>7314</v>
      </c>
      <c r="W276" s="3">
        <v>45322.0</v>
      </c>
      <c r="X276" s="3">
        <v>45322.0</v>
      </c>
    </row>
    <row r="277">
      <c r="A277" s="1" t="s">
        <v>7319</v>
      </c>
      <c r="B277" s="1" t="s">
        <v>6325</v>
      </c>
      <c r="C277" s="1" t="s">
        <v>6325</v>
      </c>
      <c r="D277" s="1" t="s">
        <v>4293</v>
      </c>
      <c r="E277" s="1" t="s">
        <v>6327</v>
      </c>
      <c r="F277" s="1" t="s">
        <v>7324</v>
      </c>
      <c r="G277" s="3">
        <v>45509.0</v>
      </c>
      <c r="H277" s="3">
        <v>45509.0</v>
      </c>
      <c r="I277" s="3">
        <v>45509.0</v>
      </c>
      <c r="J277" s="1" t="s">
        <v>215</v>
      </c>
      <c r="K277" s="1" t="s">
        <v>160</v>
      </c>
      <c r="L277" s="1" t="s">
        <v>216</v>
      </c>
      <c r="M277" s="1" t="s">
        <v>131</v>
      </c>
      <c r="N277" s="4"/>
      <c r="O277" s="4"/>
      <c r="P277" s="4"/>
      <c r="Q277" s="1" t="s">
        <v>137</v>
      </c>
      <c r="R277" s="1" t="s">
        <v>137</v>
      </c>
      <c r="S277" s="1" t="s">
        <v>47</v>
      </c>
      <c r="T277" s="1" t="s">
        <v>4301</v>
      </c>
      <c r="U277" s="1" t="s">
        <v>1577</v>
      </c>
      <c r="V277" s="1" t="s">
        <v>7334</v>
      </c>
      <c r="W277" s="3">
        <v>45509.0</v>
      </c>
      <c r="X277" s="3">
        <v>45509.0</v>
      </c>
    </row>
    <row r="278">
      <c r="A278" s="1" t="s">
        <v>7337</v>
      </c>
      <c r="B278" s="1" t="s">
        <v>4846</v>
      </c>
      <c r="C278" s="1" t="s">
        <v>4846</v>
      </c>
      <c r="D278" s="1" t="s">
        <v>4293</v>
      </c>
      <c r="E278" s="1" t="s">
        <v>6337</v>
      </c>
      <c r="F278" s="1" t="s">
        <v>7345</v>
      </c>
      <c r="G278" s="3">
        <v>45904.0</v>
      </c>
      <c r="H278" s="3">
        <v>46037.0</v>
      </c>
      <c r="I278" s="3">
        <v>46037.0</v>
      </c>
      <c r="J278" s="1" t="s">
        <v>215</v>
      </c>
      <c r="K278" s="1" t="s">
        <v>160</v>
      </c>
      <c r="L278" s="1" t="s">
        <v>216</v>
      </c>
      <c r="M278" s="1" t="s">
        <v>131</v>
      </c>
      <c r="N278" s="4"/>
      <c r="O278" s="4"/>
      <c r="P278" s="4"/>
      <c r="Q278" s="1" t="s">
        <v>137</v>
      </c>
      <c r="R278" s="1" t="s">
        <v>137</v>
      </c>
      <c r="S278" s="1" t="s">
        <v>47</v>
      </c>
      <c r="T278" s="1" t="s">
        <v>4301</v>
      </c>
      <c r="U278" s="1" t="s">
        <v>1577</v>
      </c>
      <c r="V278" s="1" t="s">
        <v>4679</v>
      </c>
      <c r="W278" s="3">
        <v>46037.0</v>
      </c>
      <c r="X278" s="3">
        <v>46037.0</v>
      </c>
    </row>
    <row r="279">
      <c r="A279" s="1" t="s">
        <v>7357</v>
      </c>
      <c r="B279" s="1" t="s">
        <v>4846</v>
      </c>
      <c r="C279" s="1" t="s">
        <v>4846</v>
      </c>
      <c r="D279" s="1" t="s">
        <v>4293</v>
      </c>
      <c r="E279" s="1" t="s">
        <v>6337</v>
      </c>
      <c r="F279" s="1" t="s">
        <v>7364</v>
      </c>
      <c r="G279" s="3">
        <v>45904.0</v>
      </c>
      <c r="H279" s="3">
        <v>46037.0</v>
      </c>
      <c r="I279" s="3">
        <v>46037.0</v>
      </c>
      <c r="J279" s="1" t="s">
        <v>215</v>
      </c>
      <c r="K279" s="1" t="s">
        <v>160</v>
      </c>
      <c r="L279" s="1" t="s">
        <v>216</v>
      </c>
      <c r="M279" s="1" t="s">
        <v>131</v>
      </c>
      <c r="N279" s="4"/>
      <c r="O279" s="4"/>
      <c r="P279" s="4"/>
      <c r="Q279" s="1" t="s">
        <v>137</v>
      </c>
      <c r="R279" s="1" t="s">
        <v>137</v>
      </c>
      <c r="S279" s="1" t="s">
        <v>47</v>
      </c>
      <c r="T279" s="1" t="s">
        <v>4301</v>
      </c>
      <c r="U279" s="1" t="s">
        <v>1577</v>
      </c>
      <c r="V279" s="1" t="s">
        <v>4950</v>
      </c>
      <c r="W279" s="3">
        <v>46037.0</v>
      </c>
      <c r="X279" s="3">
        <v>46037.0</v>
      </c>
    </row>
    <row r="280">
      <c r="A280" s="1" t="s">
        <v>7376</v>
      </c>
      <c r="B280" s="1" t="s">
        <v>4846</v>
      </c>
      <c r="C280" s="1" t="s">
        <v>4846</v>
      </c>
      <c r="D280" s="1" t="s">
        <v>4293</v>
      </c>
      <c r="E280" s="1" t="s">
        <v>6337</v>
      </c>
      <c r="F280" s="1" t="s">
        <v>7381</v>
      </c>
      <c r="G280" s="3">
        <v>45904.0</v>
      </c>
      <c r="H280" s="3">
        <v>46037.0</v>
      </c>
      <c r="I280" s="3">
        <v>46037.0</v>
      </c>
      <c r="J280" s="1" t="s">
        <v>215</v>
      </c>
      <c r="K280" s="1" t="s">
        <v>160</v>
      </c>
      <c r="L280" s="1" t="s">
        <v>216</v>
      </c>
      <c r="M280" s="1" t="s">
        <v>131</v>
      </c>
      <c r="N280" s="4"/>
      <c r="O280" s="4"/>
      <c r="P280" s="4"/>
      <c r="Q280" s="1" t="s">
        <v>137</v>
      </c>
      <c r="R280" s="1" t="s">
        <v>137</v>
      </c>
      <c r="S280" s="1" t="s">
        <v>47</v>
      </c>
      <c r="T280" s="1" t="s">
        <v>4301</v>
      </c>
      <c r="U280" s="1" t="s">
        <v>1577</v>
      </c>
      <c r="V280" s="1" t="s">
        <v>5104</v>
      </c>
      <c r="W280" s="3">
        <v>46037.0</v>
      </c>
      <c r="X280" s="3">
        <v>46037.0</v>
      </c>
    </row>
    <row r="281">
      <c r="A281" s="1" t="s">
        <v>7392</v>
      </c>
      <c r="B281" s="1" t="s">
        <v>4846</v>
      </c>
      <c r="C281" s="1" t="s">
        <v>4846</v>
      </c>
      <c r="D281" s="1" t="s">
        <v>4293</v>
      </c>
      <c r="E281" s="1" t="s">
        <v>6337</v>
      </c>
      <c r="F281" s="1" t="s">
        <v>7400</v>
      </c>
      <c r="G281" s="3">
        <v>45904.0</v>
      </c>
      <c r="H281" s="3">
        <v>46037.0</v>
      </c>
      <c r="I281" s="3">
        <v>46037.0</v>
      </c>
      <c r="J281" s="1" t="s">
        <v>215</v>
      </c>
      <c r="K281" s="1" t="s">
        <v>160</v>
      </c>
      <c r="L281" s="1" t="s">
        <v>216</v>
      </c>
      <c r="M281" s="1" t="s">
        <v>131</v>
      </c>
      <c r="N281" s="4"/>
      <c r="O281" s="4"/>
      <c r="P281" s="4"/>
      <c r="Q281" s="1" t="s">
        <v>137</v>
      </c>
      <c r="R281" s="1" t="s">
        <v>137</v>
      </c>
      <c r="S281" s="1" t="s">
        <v>47</v>
      </c>
      <c r="T281" s="1" t="s">
        <v>4301</v>
      </c>
      <c r="U281" s="1" t="s">
        <v>1577</v>
      </c>
      <c r="V281" s="1" t="s">
        <v>5120</v>
      </c>
      <c r="W281" s="3">
        <v>46037.0</v>
      </c>
      <c r="X281" s="3">
        <v>46037.0</v>
      </c>
    </row>
    <row r="282">
      <c r="A282" s="1" t="s">
        <v>7413</v>
      </c>
      <c r="B282" s="1" t="s">
        <v>6344</v>
      </c>
      <c r="C282" s="1" t="s">
        <v>6344</v>
      </c>
      <c r="D282" s="1" t="s">
        <v>4293</v>
      </c>
      <c r="E282" s="1" t="s">
        <v>6346</v>
      </c>
      <c r="F282" s="1" t="s">
        <v>7419</v>
      </c>
      <c r="G282" s="3">
        <v>44812.0</v>
      </c>
      <c r="H282" s="3">
        <v>44957.0</v>
      </c>
      <c r="I282" s="3">
        <v>44957.0</v>
      </c>
      <c r="J282" s="1" t="s">
        <v>215</v>
      </c>
      <c r="K282" s="1" t="s">
        <v>160</v>
      </c>
      <c r="L282" s="1" t="s">
        <v>216</v>
      </c>
      <c r="M282" s="1" t="s">
        <v>131</v>
      </c>
      <c r="N282" s="4"/>
      <c r="O282" s="4"/>
      <c r="P282" s="4"/>
      <c r="Q282" s="1" t="s">
        <v>137</v>
      </c>
      <c r="R282" s="1" t="s">
        <v>137</v>
      </c>
      <c r="S282" s="1" t="s">
        <v>47</v>
      </c>
      <c r="T282" s="1" t="s">
        <v>4301</v>
      </c>
      <c r="U282" s="1" t="s">
        <v>1577</v>
      </c>
      <c r="V282" s="1" t="s">
        <v>3858</v>
      </c>
      <c r="W282" s="3">
        <v>44957.0</v>
      </c>
      <c r="X282" s="3">
        <v>44957.0</v>
      </c>
    </row>
    <row r="283">
      <c r="A283" s="1" t="s">
        <v>7430</v>
      </c>
      <c r="B283" s="1" t="s">
        <v>6353</v>
      </c>
      <c r="C283" s="1" t="s">
        <v>6353</v>
      </c>
      <c r="D283" s="1" t="s">
        <v>4293</v>
      </c>
      <c r="E283" s="1" t="s">
        <v>6354</v>
      </c>
      <c r="F283" s="1" t="s">
        <v>7434</v>
      </c>
      <c r="G283" s="3">
        <v>45649.0</v>
      </c>
      <c r="H283" s="3">
        <v>46140.0</v>
      </c>
      <c r="I283" s="3">
        <v>46140.0</v>
      </c>
      <c r="J283" s="1" t="s">
        <v>215</v>
      </c>
      <c r="K283" s="1" t="s">
        <v>160</v>
      </c>
      <c r="L283" s="1" t="s">
        <v>216</v>
      </c>
      <c r="M283" s="1" t="s">
        <v>131</v>
      </c>
      <c r="N283" s="4"/>
      <c r="O283" s="4"/>
      <c r="P283" s="4"/>
      <c r="Q283" s="1" t="s">
        <v>137</v>
      </c>
      <c r="R283" s="1" t="s">
        <v>137</v>
      </c>
      <c r="S283" s="1" t="s">
        <v>47</v>
      </c>
      <c r="T283" s="1" t="s">
        <v>4301</v>
      </c>
      <c r="U283" s="1" t="s">
        <v>1577</v>
      </c>
      <c r="V283" s="1" t="s">
        <v>3858</v>
      </c>
      <c r="W283" s="3">
        <v>46140.0</v>
      </c>
      <c r="X283" s="3">
        <v>46140.0</v>
      </c>
    </row>
    <row r="284">
      <c r="A284" s="1" t="s">
        <v>7452</v>
      </c>
      <c r="B284" s="1" t="s">
        <v>6353</v>
      </c>
      <c r="C284" s="1" t="s">
        <v>6353</v>
      </c>
      <c r="D284" s="1" t="s">
        <v>4293</v>
      </c>
      <c r="E284" s="1" t="s">
        <v>6354</v>
      </c>
      <c r="F284" s="1" t="s">
        <v>7457</v>
      </c>
      <c r="G284" s="3">
        <v>45649.0</v>
      </c>
      <c r="H284" s="3">
        <v>46140.0</v>
      </c>
      <c r="I284" s="3">
        <v>46140.0</v>
      </c>
      <c r="J284" s="1" t="s">
        <v>215</v>
      </c>
      <c r="K284" s="1" t="s">
        <v>160</v>
      </c>
      <c r="L284" s="1" t="s">
        <v>216</v>
      </c>
      <c r="M284" s="1" t="s">
        <v>131</v>
      </c>
      <c r="N284" s="4"/>
      <c r="O284" s="4"/>
      <c r="P284" s="4"/>
      <c r="Q284" s="1" t="s">
        <v>137</v>
      </c>
      <c r="R284" s="1" t="s">
        <v>137</v>
      </c>
      <c r="S284" s="1" t="s">
        <v>47</v>
      </c>
      <c r="T284" s="1" t="s">
        <v>4301</v>
      </c>
      <c r="U284" s="1" t="s">
        <v>1577</v>
      </c>
      <c r="V284" s="1" t="s">
        <v>4950</v>
      </c>
      <c r="W284" s="3">
        <v>46140.0</v>
      </c>
      <c r="X284" s="3">
        <v>46140.0</v>
      </c>
    </row>
    <row r="285">
      <c r="A285" s="1" t="s">
        <v>7469</v>
      </c>
      <c r="B285" s="1" t="s">
        <v>5382</v>
      </c>
      <c r="C285" s="1" t="s">
        <v>5382</v>
      </c>
      <c r="D285" s="1" t="s">
        <v>4293</v>
      </c>
      <c r="E285" s="1" t="s">
        <v>6361</v>
      </c>
      <c r="F285" s="1" t="s">
        <v>7471</v>
      </c>
      <c r="G285" s="3">
        <v>45607.0</v>
      </c>
      <c r="H285" s="3">
        <v>45720.0</v>
      </c>
      <c r="I285" s="3">
        <v>45720.0</v>
      </c>
      <c r="J285" s="1" t="s">
        <v>215</v>
      </c>
      <c r="K285" s="1" t="s">
        <v>160</v>
      </c>
      <c r="L285" s="1" t="s">
        <v>216</v>
      </c>
      <c r="M285" s="1" t="s">
        <v>131</v>
      </c>
      <c r="N285" s="4"/>
      <c r="O285" s="4"/>
      <c r="P285" s="4"/>
      <c r="Q285" s="1" t="s">
        <v>137</v>
      </c>
      <c r="R285" s="1" t="s">
        <v>137</v>
      </c>
      <c r="S285" s="1" t="s">
        <v>47</v>
      </c>
      <c r="T285" s="1" t="s">
        <v>4301</v>
      </c>
      <c r="U285" s="1" t="s">
        <v>1577</v>
      </c>
      <c r="V285" s="1" t="s">
        <v>3858</v>
      </c>
      <c r="W285" s="3">
        <v>45720.0</v>
      </c>
      <c r="X285" s="3">
        <v>45720.0</v>
      </c>
    </row>
    <row r="286">
      <c r="A286" s="1" t="s">
        <v>7488</v>
      </c>
      <c r="B286" s="1" t="s">
        <v>5382</v>
      </c>
      <c r="C286" s="1" t="s">
        <v>5382</v>
      </c>
      <c r="D286" s="1" t="s">
        <v>4293</v>
      </c>
      <c r="E286" s="1" t="s">
        <v>6361</v>
      </c>
      <c r="F286" s="1" t="s">
        <v>7492</v>
      </c>
      <c r="G286" s="3">
        <v>45607.0</v>
      </c>
      <c r="H286" s="3">
        <v>45720.0</v>
      </c>
      <c r="I286" s="3">
        <v>45720.0</v>
      </c>
      <c r="J286" s="1" t="s">
        <v>215</v>
      </c>
      <c r="K286" s="1" t="s">
        <v>160</v>
      </c>
      <c r="L286" s="1" t="s">
        <v>216</v>
      </c>
      <c r="M286" s="1" t="s">
        <v>131</v>
      </c>
      <c r="N286" s="4"/>
      <c r="O286" s="4"/>
      <c r="P286" s="4"/>
      <c r="Q286" s="1" t="s">
        <v>137</v>
      </c>
      <c r="R286" s="1" t="s">
        <v>137</v>
      </c>
      <c r="S286" s="1" t="s">
        <v>47</v>
      </c>
      <c r="T286" s="1" t="s">
        <v>4301</v>
      </c>
      <c r="U286" s="1" t="s">
        <v>1577</v>
      </c>
      <c r="V286" s="1" t="s">
        <v>3963</v>
      </c>
      <c r="W286" s="3">
        <v>45720.0</v>
      </c>
      <c r="X286" s="3">
        <v>45720.0</v>
      </c>
    </row>
    <row r="287">
      <c r="A287" s="1" t="s">
        <v>7507</v>
      </c>
      <c r="B287" s="1" t="s">
        <v>5382</v>
      </c>
      <c r="C287" s="1" t="s">
        <v>5382</v>
      </c>
      <c r="D287" s="1" t="s">
        <v>4293</v>
      </c>
      <c r="E287" s="1" t="s">
        <v>6361</v>
      </c>
      <c r="F287" s="1" t="s">
        <v>7511</v>
      </c>
      <c r="G287" s="3">
        <v>45607.0</v>
      </c>
      <c r="H287" s="3">
        <v>45720.0</v>
      </c>
      <c r="I287" s="3">
        <v>45720.0</v>
      </c>
      <c r="J287" s="1" t="s">
        <v>215</v>
      </c>
      <c r="K287" s="1" t="s">
        <v>160</v>
      </c>
      <c r="L287" s="1" t="s">
        <v>216</v>
      </c>
      <c r="M287" s="1" t="s">
        <v>131</v>
      </c>
      <c r="N287" s="4"/>
      <c r="O287" s="4"/>
      <c r="P287" s="4"/>
      <c r="Q287" s="1" t="s">
        <v>137</v>
      </c>
      <c r="R287" s="1" t="s">
        <v>137</v>
      </c>
      <c r="S287" s="1" t="s">
        <v>47</v>
      </c>
      <c r="T287" s="1" t="s">
        <v>4301</v>
      </c>
      <c r="U287" s="1" t="s">
        <v>1577</v>
      </c>
      <c r="V287" s="1" t="s">
        <v>4679</v>
      </c>
      <c r="W287" s="3">
        <v>45720.0</v>
      </c>
      <c r="X287" s="3">
        <v>45720.0</v>
      </c>
    </row>
    <row r="288">
      <c r="A288" s="1" t="s">
        <v>7524</v>
      </c>
      <c r="B288" s="1" t="s">
        <v>5382</v>
      </c>
      <c r="C288" s="1" t="s">
        <v>5382</v>
      </c>
      <c r="D288" s="1" t="s">
        <v>4293</v>
      </c>
      <c r="E288" s="1" t="s">
        <v>6361</v>
      </c>
      <c r="F288" s="1" t="s">
        <v>7525</v>
      </c>
      <c r="G288" s="3">
        <v>45607.0</v>
      </c>
      <c r="H288" s="3">
        <v>45720.0</v>
      </c>
      <c r="I288" s="3">
        <v>45720.0</v>
      </c>
      <c r="J288" s="1" t="s">
        <v>215</v>
      </c>
      <c r="K288" s="1" t="s">
        <v>160</v>
      </c>
      <c r="L288" s="1" t="s">
        <v>216</v>
      </c>
      <c r="M288" s="1" t="s">
        <v>131</v>
      </c>
      <c r="N288" s="4"/>
      <c r="O288" s="4"/>
      <c r="P288" s="4"/>
      <c r="Q288" s="1" t="s">
        <v>137</v>
      </c>
      <c r="R288" s="1" t="s">
        <v>137</v>
      </c>
      <c r="S288" s="1" t="s">
        <v>47</v>
      </c>
      <c r="T288" s="1" t="s">
        <v>4301</v>
      </c>
      <c r="U288" s="1" t="s">
        <v>1577</v>
      </c>
      <c r="V288" s="1" t="s">
        <v>4950</v>
      </c>
      <c r="W288" s="3">
        <v>45720.0</v>
      </c>
      <c r="X288" s="3">
        <v>45720.0</v>
      </c>
    </row>
    <row r="289">
      <c r="A289" s="1" t="s">
        <v>7535</v>
      </c>
      <c r="B289" s="1" t="s">
        <v>5382</v>
      </c>
      <c r="C289" s="1" t="s">
        <v>5382</v>
      </c>
      <c r="D289" s="1" t="s">
        <v>4293</v>
      </c>
      <c r="E289" s="1" t="s">
        <v>6361</v>
      </c>
      <c r="F289" s="1" t="s">
        <v>7539</v>
      </c>
      <c r="G289" s="3">
        <v>45607.0</v>
      </c>
      <c r="H289" s="3">
        <v>45720.0</v>
      </c>
      <c r="I289" s="3">
        <v>45720.0</v>
      </c>
      <c r="J289" s="1" t="s">
        <v>215</v>
      </c>
      <c r="K289" s="1" t="s">
        <v>160</v>
      </c>
      <c r="L289" s="1" t="s">
        <v>216</v>
      </c>
      <c r="M289" s="1" t="s">
        <v>131</v>
      </c>
      <c r="N289" s="4"/>
      <c r="O289" s="4"/>
      <c r="P289" s="4"/>
      <c r="Q289" s="1" t="s">
        <v>137</v>
      </c>
      <c r="R289" s="1" t="s">
        <v>137</v>
      </c>
      <c r="S289" s="1" t="s">
        <v>47</v>
      </c>
      <c r="T289" s="1" t="s">
        <v>4301</v>
      </c>
      <c r="U289" s="1" t="s">
        <v>1577</v>
      </c>
      <c r="V289" s="1" t="s">
        <v>5104</v>
      </c>
      <c r="W289" s="3">
        <v>45720.0</v>
      </c>
      <c r="X289" s="3">
        <v>45720.0</v>
      </c>
    </row>
    <row r="290">
      <c r="A290" s="1" t="s">
        <v>7554</v>
      </c>
      <c r="B290" s="1" t="s">
        <v>5382</v>
      </c>
      <c r="C290" s="1" t="s">
        <v>5382</v>
      </c>
      <c r="D290" s="1" t="s">
        <v>4293</v>
      </c>
      <c r="E290" s="1" t="s">
        <v>6361</v>
      </c>
      <c r="F290" s="1" t="s">
        <v>7556</v>
      </c>
      <c r="G290" s="3">
        <v>45607.0</v>
      </c>
      <c r="H290" s="3">
        <v>45720.0</v>
      </c>
      <c r="I290" s="3">
        <v>45720.0</v>
      </c>
      <c r="J290" s="1" t="s">
        <v>215</v>
      </c>
      <c r="K290" s="1" t="s">
        <v>160</v>
      </c>
      <c r="L290" s="1" t="s">
        <v>216</v>
      </c>
      <c r="M290" s="1" t="s">
        <v>131</v>
      </c>
      <c r="N290" s="4"/>
      <c r="O290" s="4"/>
      <c r="P290" s="4"/>
      <c r="Q290" s="1" t="s">
        <v>137</v>
      </c>
      <c r="R290" s="1" t="s">
        <v>137</v>
      </c>
      <c r="S290" s="1" t="s">
        <v>47</v>
      </c>
      <c r="T290" s="1" t="s">
        <v>4301</v>
      </c>
      <c r="U290" s="1" t="s">
        <v>1577</v>
      </c>
      <c r="V290" s="1" t="s">
        <v>5120</v>
      </c>
      <c r="W290" s="3">
        <v>45720.0</v>
      </c>
      <c r="X290" s="3">
        <v>45720.0</v>
      </c>
    </row>
    <row r="291">
      <c r="A291" s="1" t="s">
        <v>7572</v>
      </c>
      <c r="B291" s="1" t="s">
        <v>6370</v>
      </c>
      <c r="C291" s="1" t="s">
        <v>6370</v>
      </c>
      <c r="D291" s="1" t="s">
        <v>4293</v>
      </c>
      <c r="E291" s="1" t="s">
        <v>6373</v>
      </c>
      <c r="F291" s="1" t="s">
        <v>7574</v>
      </c>
      <c r="G291" s="3">
        <v>44600.0</v>
      </c>
      <c r="H291" s="3">
        <v>44774.0</v>
      </c>
      <c r="I291" s="3">
        <v>44774.0</v>
      </c>
      <c r="J291" s="1" t="s">
        <v>215</v>
      </c>
      <c r="K291" s="1" t="s">
        <v>160</v>
      </c>
      <c r="L291" s="1" t="s">
        <v>216</v>
      </c>
      <c r="M291" s="1" t="s">
        <v>131</v>
      </c>
      <c r="N291" s="4"/>
      <c r="O291" s="4"/>
      <c r="P291" s="4"/>
      <c r="Q291" s="1" t="s">
        <v>137</v>
      </c>
      <c r="R291" s="1" t="s">
        <v>137</v>
      </c>
      <c r="S291" s="1" t="s">
        <v>47</v>
      </c>
      <c r="T291" s="1" t="s">
        <v>4301</v>
      </c>
      <c r="U291" s="1" t="s">
        <v>1577</v>
      </c>
      <c r="V291" s="1" t="s">
        <v>3858</v>
      </c>
      <c r="W291" s="3">
        <v>44774.0</v>
      </c>
      <c r="X291" s="3">
        <v>44774.0</v>
      </c>
    </row>
    <row r="292">
      <c r="A292" s="1" t="s">
        <v>7583</v>
      </c>
      <c r="B292" s="1" t="s">
        <v>6370</v>
      </c>
      <c r="C292" s="1" t="s">
        <v>6370</v>
      </c>
      <c r="D292" s="1" t="s">
        <v>4293</v>
      </c>
      <c r="E292" s="1" t="s">
        <v>6373</v>
      </c>
      <c r="F292" s="1" t="s">
        <v>7584</v>
      </c>
      <c r="G292" s="3">
        <v>44600.0</v>
      </c>
      <c r="H292" s="3">
        <v>44774.0</v>
      </c>
      <c r="I292" s="3">
        <v>44774.0</v>
      </c>
      <c r="J292" s="1" t="s">
        <v>215</v>
      </c>
      <c r="K292" s="1" t="s">
        <v>160</v>
      </c>
      <c r="L292" s="1" t="s">
        <v>216</v>
      </c>
      <c r="M292" s="1" t="s">
        <v>131</v>
      </c>
      <c r="N292" s="4"/>
      <c r="O292" s="4"/>
      <c r="P292" s="4"/>
      <c r="Q292" s="1" t="s">
        <v>137</v>
      </c>
      <c r="R292" s="1" t="s">
        <v>137</v>
      </c>
      <c r="S292" s="1" t="s">
        <v>47</v>
      </c>
      <c r="T292" s="1" t="s">
        <v>4301</v>
      </c>
      <c r="U292" s="1" t="s">
        <v>1577</v>
      </c>
      <c r="V292" s="1" t="s">
        <v>7334</v>
      </c>
      <c r="W292" s="3">
        <v>44774.0</v>
      </c>
      <c r="X292" s="3">
        <v>44774.0</v>
      </c>
    </row>
    <row r="293">
      <c r="A293" s="1" t="s">
        <v>7600</v>
      </c>
      <c r="B293" s="1" t="s">
        <v>6379</v>
      </c>
      <c r="C293" s="1" t="s">
        <v>6379</v>
      </c>
      <c r="D293" s="1" t="s">
        <v>4293</v>
      </c>
      <c r="E293" s="1" t="s">
        <v>6381</v>
      </c>
      <c r="F293" s="1" t="s">
        <v>7605</v>
      </c>
      <c r="G293" s="3">
        <v>44256.0</v>
      </c>
      <c r="H293" s="3">
        <v>44256.0</v>
      </c>
      <c r="I293" s="3">
        <v>44256.0</v>
      </c>
      <c r="J293" s="1" t="s">
        <v>215</v>
      </c>
      <c r="K293" s="1" t="s">
        <v>160</v>
      </c>
      <c r="L293" s="1" t="s">
        <v>216</v>
      </c>
      <c r="M293" s="1" t="s">
        <v>131</v>
      </c>
      <c r="N293" s="13"/>
      <c r="O293" s="4"/>
      <c r="P293" s="4"/>
      <c r="Q293" s="1" t="s">
        <v>137</v>
      </c>
      <c r="R293" s="1" t="s">
        <v>137</v>
      </c>
      <c r="S293" s="1" t="s">
        <v>47</v>
      </c>
      <c r="T293" s="1" t="s">
        <v>4301</v>
      </c>
      <c r="U293" s="1" t="s">
        <v>1577</v>
      </c>
      <c r="V293" s="1" t="s">
        <v>4950</v>
      </c>
      <c r="W293" s="3">
        <v>44256.0</v>
      </c>
      <c r="X293" s="3">
        <v>44256.0</v>
      </c>
    </row>
    <row r="294">
      <c r="A294" s="1" t="s">
        <v>7619</v>
      </c>
      <c r="B294" s="1" t="s">
        <v>6389</v>
      </c>
      <c r="C294" s="1" t="s">
        <v>6389</v>
      </c>
      <c r="D294" s="1" t="s">
        <v>4293</v>
      </c>
      <c r="E294" s="1" t="s">
        <v>6391</v>
      </c>
      <c r="F294" s="1" t="s">
        <v>7622</v>
      </c>
      <c r="G294" s="3">
        <v>45103.0</v>
      </c>
      <c r="H294" s="3">
        <v>45103.0</v>
      </c>
      <c r="I294" s="3">
        <v>45103.0</v>
      </c>
      <c r="J294" s="1" t="s">
        <v>215</v>
      </c>
      <c r="K294" s="1" t="s">
        <v>160</v>
      </c>
      <c r="L294" s="1" t="s">
        <v>216</v>
      </c>
      <c r="M294" s="1" t="s">
        <v>131</v>
      </c>
      <c r="N294" s="4"/>
      <c r="O294" s="4"/>
      <c r="P294" s="4"/>
      <c r="Q294" s="1" t="s">
        <v>137</v>
      </c>
      <c r="R294" s="1" t="s">
        <v>137</v>
      </c>
      <c r="S294" s="1" t="s">
        <v>47</v>
      </c>
      <c r="T294" s="1" t="s">
        <v>4301</v>
      </c>
      <c r="U294" s="1" t="s">
        <v>1577</v>
      </c>
      <c r="V294" s="1" t="s">
        <v>7334</v>
      </c>
      <c r="W294" s="3">
        <v>45103.0</v>
      </c>
      <c r="X294" s="3">
        <v>45103.0</v>
      </c>
    </row>
    <row r="295">
      <c r="A295" s="1" t="s">
        <v>7640</v>
      </c>
      <c r="B295" s="1" t="s">
        <v>6397</v>
      </c>
      <c r="C295" s="1" t="s">
        <v>6397</v>
      </c>
      <c r="D295" s="1" t="s">
        <v>4293</v>
      </c>
      <c r="E295" s="1" t="s">
        <v>6399</v>
      </c>
      <c r="F295" s="1" t="s">
        <v>7644</v>
      </c>
      <c r="G295" s="3">
        <v>43009.0</v>
      </c>
      <c r="H295" s="3">
        <v>43070.0</v>
      </c>
      <c r="I295" s="3">
        <v>43070.0</v>
      </c>
      <c r="J295" s="1" t="s">
        <v>215</v>
      </c>
      <c r="K295" s="1" t="s">
        <v>160</v>
      </c>
      <c r="L295" s="1" t="s">
        <v>216</v>
      </c>
      <c r="M295" s="1" t="s">
        <v>131</v>
      </c>
      <c r="N295" s="4"/>
      <c r="O295" s="4"/>
      <c r="P295" s="4"/>
      <c r="Q295" s="1" t="s">
        <v>137</v>
      </c>
      <c r="R295" s="1" t="s">
        <v>137</v>
      </c>
      <c r="S295" s="1" t="s">
        <v>47</v>
      </c>
      <c r="T295" s="1" t="s">
        <v>4301</v>
      </c>
      <c r="U295" s="1" t="s">
        <v>1577</v>
      </c>
      <c r="V295" s="1" t="s">
        <v>3858</v>
      </c>
      <c r="W295" s="3">
        <v>43070.0</v>
      </c>
      <c r="X295" s="3">
        <v>43070.0</v>
      </c>
    </row>
    <row r="296">
      <c r="A296" s="1" t="s">
        <v>7657</v>
      </c>
      <c r="B296" s="1" t="s">
        <v>6213</v>
      </c>
      <c r="C296" s="1" t="s">
        <v>6213</v>
      </c>
      <c r="D296" s="1" t="s">
        <v>4293</v>
      </c>
      <c r="E296" s="1" t="s">
        <v>7661</v>
      </c>
      <c r="F296" s="1" t="s">
        <v>7664</v>
      </c>
      <c r="G296" s="3">
        <v>45076.0</v>
      </c>
      <c r="H296" s="3"/>
      <c r="I296" s="3"/>
      <c r="J296" s="1" t="s">
        <v>124</v>
      </c>
      <c r="K296" s="1" t="s">
        <v>160</v>
      </c>
      <c r="L296" s="1" t="s">
        <v>253</v>
      </c>
      <c r="M296" s="1" t="s">
        <v>131</v>
      </c>
      <c r="N296" s="4"/>
      <c r="O296" s="4"/>
      <c r="P296" s="4"/>
      <c r="Q296" s="1" t="s">
        <v>137</v>
      </c>
      <c r="R296" s="1" t="s">
        <v>137</v>
      </c>
      <c r="S296" s="1" t="s">
        <v>47</v>
      </c>
      <c r="T296" s="1" t="s">
        <v>4301</v>
      </c>
      <c r="U296" s="1" t="s">
        <v>1577</v>
      </c>
      <c r="V296" s="1" t="s">
        <v>3858</v>
      </c>
      <c r="W296" s="3"/>
      <c r="X296" s="13"/>
    </row>
    <row r="297">
      <c r="A297" s="1" t="s">
        <v>7677</v>
      </c>
      <c r="B297" s="1" t="s">
        <v>7679</v>
      </c>
      <c r="C297" s="1" t="s">
        <v>7679</v>
      </c>
      <c r="D297" s="1" t="s">
        <v>4293</v>
      </c>
      <c r="E297" s="1" t="s">
        <v>7683</v>
      </c>
      <c r="F297" s="1" t="s">
        <v>7686</v>
      </c>
      <c r="G297" s="3">
        <v>46301.0</v>
      </c>
      <c r="H297" s="3"/>
      <c r="I297" s="3"/>
      <c r="J297" s="1" t="s">
        <v>124</v>
      </c>
      <c r="K297" s="1" t="s">
        <v>160</v>
      </c>
      <c r="L297" s="1" t="s">
        <v>253</v>
      </c>
      <c r="M297" s="1" t="s">
        <v>131</v>
      </c>
      <c r="N297" s="4"/>
      <c r="O297" s="4"/>
      <c r="P297" s="4"/>
      <c r="Q297" s="1" t="s">
        <v>137</v>
      </c>
      <c r="R297" s="1" t="s">
        <v>137</v>
      </c>
      <c r="S297" s="1" t="s">
        <v>47</v>
      </c>
      <c r="T297" s="1" t="s">
        <v>4301</v>
      </c>
      <c r="U297" s="1" t="s">
        <v>1577</v>
      </c>
      <c r="V297" s="1" t="s">
        <v>4679</v>
      </c>
      <c r="W297" s="3"/>
    </row>
    <row r="298">
      <c r="A298" s="1" t="s">
        <v>7703</v>
      </c>
      <c r="B298" s="1" t="s">
        <v>7679</v>
      </c>
      <c r="C298" s="1" t="s">
        <v>7679</v>
      </c>
      <c r="D298" s="1" t="s">
        <v>4293</v>
      </c>
      <c r="E298" s="1" t="s">
        <v>7683</v>
      </c>
      <c r="F298" s="1" t="s">
        <v>7708</v>
      </c>
      <c r="G298" s="3">
        <v>46301.0</v>
      </c>
      <c r="H298" s="3"/>
      <c r="I298" s="3"/>
      <c r="J298" s="1" t="s">
        <v>124</v>
      </c>
      <c r="K298" s="1" t="s">
        <v>160</v>
      </c>
      <c r="L298" s="1" t="s">
        <v>253</v>
      </c>
      <c r="M298" s="1" t="s">
        <v>131</v>
      </c>
      <c r="N298" s="4"/>
      <c r="O298" s="4"/>
      <c r="P298" s="4"/>
      <c r="Q298" s="1" t="s">
        <v>137</v>
      </c>
      <c r="R298" s="1" t="s">
        <v>137</v>
      </c>
      <c r="S298" s="1" t="s">
        <v>47</v>
      </c>
      <c r="T298" s="1" t="s">
        <v>4301</v>
      </c>
      <c r="U298" s="1" t="s">
        <v>1577</v>
      </c>
      <c r="V298" s="1" t="s">
        <v>4054</v>
      </c>
      <c r="W298" s="3"/>
      <c r="X298" s="3"/>
    </row>
    <row r="299">
      <c r="A299" s="1" t="s">
        <v>7718</v>
      </c>
      <c r="B299" s="1" t="s">
        <v>7679</v>
      </c>
      <c r="C299" s="1" t="s">
        <v>7679</v>
      </c>
      <c r="D299" s="1" t="s">
        <v>4293</v>
      </c>
      <c r="E299" s="1" t="s">
        <v>7683</v>
      </c>
      <c r="F299" s="1" t="s">
        <v>7721</v>
      </c>
      <c r="G299" s="3">
        <v>46301.0</v>
      </c>
      <c r="H299" s="3"/>
      <c r="I299" s="3"/>
      <c r="J299" s="1" t="s">
        <v>124</v>
      </c>
      <c r="K299" s="1" t="s">
        <v>160</v>
      </c>
      <c r="L299" s="1" t="s">
        <v>253</v>
      </c>
      <c r="M299" s="1" t="s">
        <v>131</v>
      </c>
      <c r="N299" s="4"/>
      <c r="O299" s="4"/>
      <c r="P299" s="4"/>
      <c r="Q299" s="1" t="s">
        <v>137</v>
      </c>
      <c r="R299" s="1" t="s">
        <v>137</v>
      </c>
      <c r="S299" s="1" t="s">
        <v>47</v>
      </c>
      <c r="T299" s="1" t="s">
        <v>4301</v>
      </c>
      <c r="U299" s="1" t="s">
        <v>1577</v>
      </c>
      <c r="V299" s="1" t="s">
        <v>4950</v>
      </c>
      <c r="W299" s="3"/>
      <c r="X299" s="3"/>
    </row>
    <row r="300">
      <c r="A300" s="1" t="s">
        <v>7733</v>
      </c>
      <c r="B300" s="1" t="s">
        <v>7679</v>
      </c>
      <c r="C300" s="1" t="s">
        <v>7679</v>
      </c>
      <c r="D300" s="1" t="s">
        <v>4293</v>
      </c>
      <c r="E300" s="1" t="s">
        <v>7683</v>
      </c>
      <c r="F300" s="1" t="s">
        <v>7737</v>
      </c>
      <c r="G300" s="3">
        <v>46301.0</v>
      </c>
      <c r="H300" s="13"/>
      <c r="I300" s="4"/>
      <c r="J300" s="1" t="s">
        <v>124</v>
      </c>
      <c r="K300" s="1" t="s">
        <v>160</v>
      </c>
      <c r="L300" s="1" t="s">
        <v>253</v>
      </c>
      <c r="M300" s="1" t="s">
        <v>131</v>
      </c>
      <c r="N300" s="4"/>
      <c r="O300" s="4"/>
      <c r="P300" s="4"/>
      <c r="Q300" s="1" t="s">
        <v>137</v>
      </c>
      <c r="R300" s="1" t="s">
        <v>137</v>
      </c>
      <c r="S300" s="1" t="s">
        <v>47</v>
      </c>
      <c r="T300" s="1" t="s">
        <v>4301</v>
      </c>
      <c r="U300" s="1" t="s">
        <v>1577</v>
      </c>
      <c r="V300" s="1" t="s">
        <v>5104</v>
      </c>
      <c r="W300" s="3"/>
    </row>
    <row r="301">
      <c r="A301" s="1" t="s">
        <v>7749</v>
      </c>
      <c r="B301" s="1" t="s">
        <v>7679</v>
      </c>
      <c r="C301" s="1" t="s">
        <v>7679</v>
      </c>
      <c r="D301" s="1" t="s">
        <v>4293</v>
      </c>
      <c r="E301" s="1" t="s">
        <v>7683</v>
      </c>
      <c r="F301" s="1" t="s">
        <v>7756</v>
      </c>
      <c r="G301" s="3">
        <v>46301.0</v>
      </c>
      <c r="H301" s="3"/>
      <c r="I301" s="3"/>
      <c r="J301" s="1" t="s">
        <v>124</v>
      </c>
      <c r="K301" s="1" t="s">
        <v>160</v>
      </c>
      <c r="L301" s="1" t="s">
        <v>253</v>
      </c>
      <c r="M301" s="1" t="s">
        <v>131</v>
      </c>
      <c r="N301" s="4"/>
      <c r="O301" s="4"/>
      <c r="P301" s="4"/>
      <c r="Q301" s="1" t="s">
        <v>137</v>
      </c>
      <c r="R301" s="1" t="s">
        <v>137</v>
      </c>
      <c r="S301" s="1" t="s">
        <v>47</v>
      </c>
      <c r="T301" s="1" t="s">
        <v>4301</v>
      </c>
      <c r="U301" s="1" t="s">
        <v>1577</v>
      </c>
      <c r="V301" s="1" t="s">
        <v>5120</v>
      </c>
      <c r="W301" s="3"/>
    </row>
    <row r="302">
      <c r="A302" s="1" t="s">
        <v>7769</v>
      </c>
      <c r="B302" s="1" t="s">
        <v>6408</v>
      </c>
      <c r="C302" s="1" t="s">
        <v>6408</v>
      </c>
      <c r="D302" s="1" t="s">
        <v>4293</v>
      </c>
      <c r="E302" s="1" t="s">
        <v>6411</v>
      </c>
      <c r="F302" s="1" t="s">
        <v>7777</v>
      </c>
      <c r="G302" s="3">
        <v>45555.0</v>
      </c>
      <c r="H302" s="3">
        <v>45762.0</v>
      </c>
      <c r="I302" s="3">
        <v>45762.0</v>
      </c>
      <c r="J302" s="1" t="s">
        <v>215</v>
      </c>
      <c r="K302" s="1" t="s">
        <v>160</v>
      </c>
      <c r="L302" s="1" t="s">
        <v>216</v>
      </c>
      <c r="M302" s="1" t="s">
        <v>131</v>
      </c>
      <c r="O302" s="4"/>
      <c r="P302" s="4"/>
      <c r="Q302" s="1" t="s">
        <v>137</v>
      </c>
      <c r="R302" s="1" t="s">
        <v>137</v>
      </c>
      <c r="S302" s="1" t="s">
        <v>47</v>
      </c>
      <c r="T302" s="1" t="s">
        <v>4301</v>
      </c>
      <c r="U302" s="1" t="s">
        <v>1577</v>
      </c>
      <c r="V302" s="1" t="s">
        <v>3858</v>
      </c>
      <c r="W302" s="3">
        <v>45762.0</v>
      </c>
      <c r="X302" s="3">
        <v>45762.0</v>
      </c>
    </row>
    <row r="303">
      <c r="A303" s="1" t="s">
        <v>7788</v>
      </c>
      <c r="B303" s="1" t="s">
        <v>6408</v>
      </c>
      <c r="C303" s="1" t="s">
        <v>6408</v>
      </c>
      <c r="D303" s="1" t="s">
        <v>4293</v>
      </c>
      <c r="E303" s="1" t="s">
        <v>6411</v>
      </c>
      <c r="F303" s="1" t="s">
        <v>7796</v>
      </c>
      <c r="G303" s="3">
        <v>45555.0</v>
      </c>
      <c r="H303" s="3">
        <v>45762.0</v>
      </c>
      <c r="I303" s="3">
        <v>45762.0</v>
      </c>
      <c r="J303" s="1" t="s">
        <v>215</v>
      </c>
      <c r="K303" s="1" t="s">
        <v>160</v>
      </c>
      <c r="L303" s="1" t="s">
        <v>216</v>
      </c>
      <c r="M303" s="1" t="s">
        <v>131</v>
      </c>
      <c r="N303" s="4"/>
      <c r="O303" s="4"/>
      <c r="P303" s="4"/>
      <c r="Q303" s="1" t="s">
        <v>137</v>
      </c>
      <c r="R303" s="1" t="s">
        <v>137</v>
      </c>
      <c r="S303" s="1" t="s">
        <v>47</v>
      </c>
      <c r="T303" s="1" t="s">
        <v>4301</v>
      </c>
      <c r="U303" s="1" t="s">
        <v>1577</v>
      </c>
      <c r="V303" s="1" t="s">
        <v>4054</v>
      </c>
      <c r="W303" s="3">
        <v>45762.0</v>
      </c>
      <c r="X303" s="3">
        <v>45762.0</v>
      </c>
    </row>
    <row r="304">
      <c r="A304" s="1" t="s">
        <v>7810</v>
      </c>
      <c r="B304" s="1" t="s">
        <v>6408</v>
      </c>
      <c r="C304" s="1" t="s">
        <v>6408</v>
      </c>
      <c r="D304" s="1" t="s">
        <v>4293</v>
      </c>
      <c r="E304" s="1" t="s">
        <v>6411</v>
      </c>
      <c r="F304" s="1" t="s">
        <v>7817</v>
      </c>
      <c r="G304" s="3">
        <v>45555.0</v>
      </c>
      <c r="H304" s="3">
        <v>45762.0</v>
      </c>
      <c r="I304" s="3">
        <v>45762.0</v>
      </c>
      <c r="J304" s="1" t="s">
        <v>215</v>
      </c>
      <c r="K304" s="1" t="s">
        <v>160</v>
      </c>
      <c r="L304" s="1" t="s">
        <v>216</v>
      </c>
      <c r="M304" s="1" t="s">
        <v>131</v>
      </c>
      <c r="N304" s="13"/>
      <c r="O304" s="4"/>
      <c r="P304" s="4"/>
      <c r="Q304" s="1" t="s">
        <v>137</v>
      </c>
      <c r="R304" s="1" t="s">
        <v>137</v>
      </c>
      <c r="S304" s="1" t="s">
        <v>47</v>
      </c>
      <c r="T304" s="1" t="s">
        <v>4301</v>
      </c>
      <c r="U304" s="1" t="s">
        <v>1577</v>
      </c>
      <c r="V304" s="1" t="s">
        <v>3865</v>
      </c>
      <c r="W304" s="3">
        <v>45762.0</v>
      </c>
      <c r="X304" s="3">
        <v>45762.0</v>
      </c>
    </row>
    <row r="305">
      <c r="A305" s="1" t="s">
        <v>7834</v>
      </c>
      <c r="B305" s="1" t="s">
        <v>6408</v>
      </c>
      <c r="C305" s="1" t="s">
        <v>6408</v>
      </c>
      <c r="D305" s="1" t="s">
        <v>4293</v>
      </c>
      <c r="E305" s="1" t="s">
        <v>6411</v>
      </c>
      <c r="F305" s="1" t="s">
        <v>7843</v>
      </c>
      <c r="G305" s="3">
        <v>45555.0</v>
      </c>
      <c r="H305" s="3">
        <v>45762.0</v>
      </c>
      <c r="I305" s="3">
        <v>45762.0</v>
      </c>
      <c r="J305" s="1" t="s">
        <v>215</v>
      </c>
      <c r="K305" s="1" t="s">
        <v>160</v>
      </c>
      <c r="L305" s="1" t="s">
        <v>216</v>
      </c>
      <c r="M305" s="1" t="s">
        <v>131</v>
      </c>
      <c r="N305" s="13"/>
      <c r="Q305" s="1" t="s">
        <v>137</v>
      </c>
      <c r="R305" s="1" t="s">
        <v>137</v>
      </c>
      <c r="S305" s="1" t="s">
        <v>47</v>
      </c>
      <c r="T305" s="1" t="s">
        <v>4301</v>
      </c>
      <c r="U305" s="1" t="s">
        <v>1577</v>
      </c>
      <c r="V305" s="1" t="s">
        <v>4950</v>
      </c>
      <c r="W305" s="3">
        <v>45762.0</v>
      </c>
      <c r="X305" s="3">
        <v>45762.0</v>
      </c>
    </row>
    <row r="306">
      <c r="A306" s="1" t="s">
        <v>7860</v>
      </c>
      <c r="B306" s="1" t="s">
        <v>6418</v>
      </c>
      <c r="C306" s="1" t="s">
        <v>6418</v>
      </c>
      <c r="D306" s="1" t="s">
        <v>4293</v>
      </c>
      <c r="E306" s="1" t="s">
        <v>6419</v>
      </c>
      <c r="F306" s="1" t="s">
        <v>7870</v>
      </c>
      <c r="G306" s="3">
        <v>45890.0</v>
      </c>
      <c r="H306" s="3">
        <v>45943.0</v>
      </c>
      <c r="I306" s="3">
        <v>45943.0</v>
      </c>
      <c r="J306" s="1" t="s">
        <v>215</v>
      </c>
      <c r="K306" s="1" t="s">
        <v>160</v>
      </c>
      <c r="L306" s="1" t="s">
        <v>216</v>
      </c>
      <c r="M306" s="1" t="s">
        <v>131</v>
      </c>
      <c r="P306" s="4"/>
      <c r="Q306" s="1" t="s">
        <v>137</v>
      </c>
      <c r="R306" s="1" t="s">
        <v>137</v>
      </c>
      <c r="S306" s="1" t="s">
        <v>47</v>
      </c>
      <c r="T306" s="1" t="s">
        <v>4301</v>
      </c>
      <c r="U306" s="1" t="s">
        <v>1577</v>
      </c>
      <c r="V306" s="1" t="s">
        <v>3858</v>
      </c>
      <c r="W306" s="3">
        <v>45943.0</v>
      </c>
      <c r="X306" s="3">
        <v>45943.0</v>
      </c>
    </row>
    <row r="307">
      <c r="A307" s="1" t="s">
        <v>7890</v>
      </c>
      <c r="B307" s="1" t="s">
        <v>6418</v>
      </c>
      <c r="C307" s="1" t="s">
        <v>6418</v>
      </c>
      <c r="D307" s="1" t="s">
        <v>4293</v>
      </c>
      <c r="E307" s="1" t="s">
        <v>6419</v>
      </c>
      <c r="F307" s="1" t="s">
        <v>7898</v>
      </c>
      <c r="G307" s="3">
        <v>45890.0</v>
      </c>
      <c r="H307" s="3">
        <v>45943.0</v>
      </c>
      <c r="I307" s="3">
        <v>45943.0</v>
      </c>
      <c r="J307" s="1" t="s">
        <v>215</v>
      </c>
      <c r="K307" s="1" t="s">
        <v>160</v>
      </c>
      <c r="L307" s="1" t="s">
        <v>216</v>
      </c>
      <c r="M307" s="1" t="s">
        <v>131</v>
      </c>
      <c r="N307" s="13"/>
      <c r="O307" s="4"/>
      <c r="P307" s="4"/>
      <c r="Q307" s="1" t="s">
        <v>137</v>
      </c>
      <c r="R307" s="1" t="s">
        <v>137</v>
      </c>
      <c r="S307" s="1" t="s">
        <v>47</v>
      </c>
      <c r="T307" s="1" t="s">
        <v>4301</v>
      </c>
      <c r="U307" s="1" t="s">
        <v>1577</v>
      </c>
      <c r="V307" s="1" t="s">
        <v>3865</v>
      </c>
      <c r="W307" s="3">
        <v>45943.0</v>
      </c>
      <c r="X307" s="3">
        <v>45943.0</v>
      </c>
    </row>
    <row r="308">
      <c r="A308" s="1" t="s">
        <v>7915</v>
      </c>
      <c r="B308" s="1" t="s">
        <v>6418</v>
      </c>
      <c r="C308" s="1" t="s">
        <v>6418</v>
      </c>
      <c r="D308" s="1" t="s">
        <v>4293</v>
      </c>
      <c r="E308" s="1" t="s">
        <v>6419</v>
      </c>
      <c r="F308" s="1" t="s">
        <v>7920</v>
      </c>
      <c r="G308" s="3">
        <v>45890.0</v>
      </c>
      <c r="H308" s="3">
        <v>45943.0</v>
      </c>
      <c r="I308" s="3">
        <v>45943.0</v>
      </c>
      <c r="J308" s="1" t="s">
        <v>215</v>
      </c>
      <c r="K308" s="1" t="s">
        <v>160</v>
      </c>
      <c r="L308" s="1" t="s">
        <v>216</v>
      </c>
      <c r="M308" s="1" t="s">
        <v>131</v>
      </c>
      <c r="N308" s="13"/>
      <c r="O308" s="4"/>
      <c r="P308" s="4"/>
      <c r="Q308" s="1" t="s">
        <v>137</v>
      </c>
      <c r="R308" s="1" t="s">
        <v>137</v>
      </c>
      <c r="S308" s="1" t="s">
        <v>47</v>
      </c>
      <c r="T308" s="1" t="s">
        <v>4301</v>
      </c>
      <c r="U308" s="1" t="s">
        <v>1577</v>
      </c>
      <c r="V308" s="1" t="s">
        <v>4950</v>
      </c>
      <c r="W308" s="3">
        <v>45943.0</v>
      </c>
      <c r="X308" s="3">
        <v>45943.0</v>
      </c>
    </row>
    <row r="309">
      <c r="A309" s="1" t="s">
        <v>7937</v>
      </c>
      <c r="B309" s="1" t="s">
        <v>7199</v>
      </c>
      <c r="C309" s="1" t="s">
        <v>7199</v>
      </c>
      <c r="D309" s="1" t="s">
        <v>4293</v>
      </c>
      <c r="E309" s="1" t="s">
        <v>7942</v>
      </c>
      <c r="F309" s="1" t="s">
        <v>7946</v>
      </c>
      <c r="G309" s="3">
        <v>45777.0</v>
      </c>
      <c r="H309" s="3"/>
      <c r="I309" s="3"/>
      <c r="J309" s="1" t="s">
        <v>124</v>
      </c>
      <c r="K309" s="1" t="s">
        <v>160</v>
      </c>
      <c r="L309" s="1" t="s">
        <v>253</v>
      </c>
      <c r="M309" s="1" t="s">
        <v>131</v>
      </c>
      <c r="N309" s="13"/>
      <c r="O309" s="4"/>
      <c r="P309" s="4"/>
      <c r="Q309" s="1" t="s">
        <v>137</v>
      </c>
      <c r="R309" s="1" t="s">
        <v>137</v>
      </c>
      <c r="S309" s="1" t="s">
        <v>47</v>
      </c>
      <c r="T309" s="1" t="s">
        <v>4301</v>
      </c>
      <c r="U309" s="1" t="s">
        <v>1577</v>
      </c>
      <c r="V309" s="1" t="s">
        <v>3858</v>
      </c>
      <c r="W309" s="3"/>
      <c r="X309" s="3"/>
    </row>
    <row r="310">
      <c r="A310" s="1" t="s">
        <v>7976</v>
      </c>
      <c r="B310" s="1" t="s">
        <v>7199</v>
      </c>
      <c r="C310" s="1" t="s">
        <v>7199</v>
      </c>
      <c r="D310" s="1" t="s">
        <v>4293</v>
      </c>
      <c r="E310" s="1" t="s">
        <v>7942</v>
      </c>
      <c r="F310" s="1" t="s">
        <v>7987</v>
      </c>
      <c r="G310" s="3">
        <v>45777.0</v>
      </c>
      <c r="H310" s="3"/>
      <c r="I310" s="3"/>
      <c r="J310" s="1" t="s">
        <v>124</v>
      </c>
      <c r="K310" s="1" t="s">
        <v>160</v>
      </c>
      <c r="L310" s="1" t="s">
        <v>253</v>
      </c>
      <c r="M310" s="1" t="s">
        <v>131</v>
      </c>
      <c r="N310" s="13"/>
      <c r="O310" s="4"/>
      <c r="P310" s="4"/>
      <c r="Q310" s="1" t="s">
        <v>137</v>
      </c>
      <c r="R310" s="1" t="s">
        <v>137</v>
      </c>
      <c r="S310" s="1" t="s">
        <v>47</v>
      </c>
      <c r="T310" s="1" t="s">
        <v>4301</v>
      </c>
      <c r="U310" s="1" t="s">
        <v>1577</v>
      </c>
      <c r="V310" s="1" t="s">
        <v>4950</v>
      </c>
      <c r="W310" s="3"/>
      <c r="X310" s="3"/>
    </row>
    <row r="311">
      <c r="A311" s="1" t="s">
        <v>8017</v>
      </c>
      <c r="B311" s="1" t="s">
        <v>6427</v>
      </c>
      <c r="C311" s="1" t="s">
        <v>6427</v>
      </c>
      <c r="D311" s="1" t="s">
        <v>4293</v>
      </c>
      <c r="E311" s="1" t="s">
        <v>6429</v>
      </c>
      <c r="F311" s="1" t="s">
        <v>8027</v>
      </c>
      <c r="G311" s="3">
        <v>45098.0</v>
      </c>
      <c r="H311" s="3">
        <v>45301.0</v>
      </c>
      <c r="I311" s="3">
        <v>45301.0</v>
      </c>
      <c r="J311" s="1" t="s">
        <v>215</v>
      </c>
      <c r="K311" s="1" t="s">
        <v>160</v>
      </c>
      <c r="L311" s="1" t="s">
        <v>216</v>
      </c>
      <c r="M311" s="1" t="s">
        <v>131</v>
      </c>
      <c r="N311" s="4"/>
      <c r="O311" s="4"/>
      <c r="P311" s="4"/>
      <c r="Q311" s="1" t="s">
        <v>137</v>
      </c>
      <c r="R311" s="1" t="s">
        <v>137</v>
      </c>
      <c r="S311" s="1" t="s">
        <v>47</v>
      </c>
      <c r="T311" s="1" t="s">
        <v>4301</v>
      </c>
      <c r="U311" s="1" t="s">
        <v>1577</v>
      </c>
      <c r="V311" s="1" t="s">
        <v>4679</v>
      </c>
      <c r="W311" s="3">
        <v>45301.0</v>
      </c>
      <c r="X311" s="3">
        <v>45301.0</v>
      </c>
    </row>
    <row r="312">
      <c r="A312" s="1" t="s">
        <v>8055</v>
      </c>
      <c r="B312" s="1" t="s">
        <v>6427</v>
      </c>
      <c r="C312" s="1" t="s">
        <v>6427</v>
      </c>
      <c r="D312" s="1" t="s">
        <v>4293</v>
      </c>
      <c r="E312" s="1" t="s">
        <v>6429</v>
      </c>
      <c r="F312" s="1" t="s">
        <v>8067</v>
      </c>
      <c r="G312" s="3">
        <v>45098.0</v>
      </c>
      <c r="H312" s="3">
        <v>45301.0</v>
      </c>
      <c r="I312" s="3">
        <v>45301.0</v>
      </c>
      <c r="J312" s="1" t="s">
        <v>215</v>
      </c>
      <c r="K312" s="1" t="s">
        <v>160</v>
      </c>
      <c r="L312" s="1" t="s">
        <v>216</v>
      </c>
      <c r="M312" s="1" t="s">
        <v>131</v>
      </c>
      <c r="N312" s="4"/>
      <c r="O312" s="4"/>
      <c r="P312" s="4"/>
      <c r="Q312" s="1" t="s">
        <v>137</v>
      </c>
      <c r="R312" s="1" t="s">
        <v>137</v>
      </c>
      <c r="S312" s="1" t="s">
        <v>47</v>
      </c>
      <c r="T312" s="1" t="s">
        <v>4301</v>
      </c>
      <c r="U312" s="1" t="s">
        <v>1577</v>
      </c>
      <c r="V312" s="1" t="s">
        <v>4950</v>
      </c>
      <c r="W312" s="3">
        <v>45301.0</v>
      </c>
      <c r="X312" s="3">
        <v>45301.0</v>
      </c>
    </row>
    <row r="313">
      <c r="A313" s="1" t="s">
        <v>8086</v>
      </c>
      <c r="B313" s="1" t="s">
        <v>6427</v>
      </c>
      <c r="C313" s="1" t="s">
        <v>6427</v>
      </c>
      <c r="D313" s="1" t="s">
        <v>4293</v>
      </c>
      <c r="E313" s="1" t="s">
        <v>6429</v>
      </c>
      <c r="F313" s="1" t="s">
        <v>8090</v>
      </c>
      <c r="G313" s="3">
        <v>45098.0</v>
      </c>
      <c r="H313" s="3">
        <v>45301.0</v>
      </c>
      <c r="I313" s="3">
        <v>45301.0</v>
      </c>
      <c r="J313" s="1" t="s">
        <v>215</v>
      </c>
      <c r="K313" s="1" t="s">
        <v>160</v>
      </c>
      <c r="L313" s="1" t="s">
        <v>216</v>
      </c>
      <c r="M313" s="1" t="s">
        <v>131</v>
      </c>
      <c r="P313" s="4"/>
      <c r="Q313" s="1" t="s">
        <v>137</v>
      </c>
      <c r="R313" s="1" t="s">
        <v>137</v>
      </c>
      <c r="S313" s="1" t="s">
        <v>47</v>
      </c>
      <c r="T313" s="1" t="s">
        <v>4301</v>
      </c>
      <c r="U313" s="1" t="s">
        <v>1577</v>
      </c>
      <c r="V313" s="1" t="s">
        <v>5104</v>
      </c>
      <c r="W313" s="3">
        <v>45301.0</v>
      </c>
      <c r="X313" s="3">
        <v>45301.0</v>
      </c>
    </row>
    <row r="314">
      <c r="A314" s="1" t="s">
        <v>8102</v>
      </c>
      <c r="B314" s="1" t="s">
        <v>6427</v>
      </c>
      <c r="C314" s="1" t="s">
        <v>6427</v>
      </c>
      <c r="D314" s="1" t="s">
        <v>4293</v>
      </c>
      <c r="E314" s="1" t="s">
        <v>6429</v>
      </c>
      <c r="F314" s="1" t="s">
        <v>8106</v>
      </c>
      <c r="G314" s="3">
        <v>45098.0</v>
      </c>
      <c r="H314" s="3">
        <v>45301.0</v>
      </c>
      <c r="I314" s="3">
        <v>45301.0</v>
      </c>
      <c r="J314" s="1" t="s">
        <v>215</v>
      </c>
      <c r="K314" s="1" t="s">
        <v>160</v>
      </c>
      <c r="L314" s="1" t="s">
        <v>216</v>
      </c>
      <c r="M314" s="1" t="s">
        <v>131</v>
      </c>
      <c r="P314" s="4"/>
      <c r="Q314" s="1" t="s">
        <v>137</v>
      </c>
      <c r="R314" s="1" t="s">
        <v>137</v>
      </c>
      <c r="S314" s="1" t="s">
        <v>47</v>
      </c>
      <c r="T314" s="1" t="s">
        <v>4301</v>
      </c>
      <c r="U314" s="1" t="s">
        <v>1577</v>
      </c>
      <c r="V314" s="1" t="s">
        <v>5120</v>
      </c>
      <c r="W314" s="3">
        <v>45301.0</v>
      </c>
      <c r="X314" s="3">
        <v>45301.0</v>
      </c>
    </row>
    <row r="315">
      <c r="A315" s="1" t="s">
        <v>8128</v>
      </c>
      <c r="B315" s="1" t="s">
        <v>6438</v>
      </c>
      <c r="C315" s="1" t="s">
        <v>6438</v>
      </c>
      <c r="D315" s="1" t="s">
        <v>4293</v>
      </c>
      <c r="E315" s="1" t="s">
        <v>6441</v>
      </c>
      <c r="F315" s="1" t="s">
        <v>8138</v>
      </c>
      <c r="G315" s="3">
        <v>44560.0</v>
      </c>
      <c r="H315" s="3">
        <v>43967.0</v>
      </c>
      <c r="I315" s="3">
        <v>43967.0</v>
      </c>
      <c r="J315" s="1" t="s">
        <v>215</v>
      </c>
      <c r="K315" s="1" t="s">
        <v>160</v>
      </c>
      <c r="L315" s="1" t="s">
        <v>216</v>
      </c>
      <c r="M315" s="1" t="s">
        <v>131</v>
      </c>
      <c r="N315" s="13"/>
      <c r="P315" s="4"/>
      <c r="Q315" s="1" t="s">
        <v>137</v>
      </c>
      <c r="R315" s="1" t="s">
        <v>137</v>
      </c>
      <c r="S315" s="1" t="s">
        <v>47</v>
      </c>
      <c r="T315" s="1" t="s">
        <v>4301</v>
      </c>
      <c r="U315" s="1" t="s">
        <v>1577</v>
      </c>
      <c r="V315" s="1" t="s">
        <v>3858</v>
      </c>
      <c r="W315" s="3">
        <v>43967.0</v>
      </c>
      <c r="X315" s="3">
        <v>43967.0</v>
      </c>
    </row>
    <row r="316">
      <c r="A316" s="1" t="s">
        <v>8167</v>
      </c>
      <c r="B316" s="1" t="s">
        <v>6451</v>
      </c>
      <c r="C316" s="1" t="s">
        <v>6451</v>
      </c>
      <c r="D316" s="1" t="s">
        <v>4293</v>
      </c>
      <c r="E316" s="1" t="s">
        <v>6453</v>
      </c>
      <c r="F316" s="1" t="s">
        <v>8176</v>
      </c>
      <c r="G316" s="3">
        <v>44692.0</v>
      </c>
      <c r="H316" s="3">
        <v>45200.0</v>
      </c>
      <c r="I316" s="3">
        <v>45200.0</v>
      </c>
      <c r="J316" s="1" t="s">
        <v>215</v>
      </c>
      <c r="K316" s="1" t="s">
        <v>160</v>
      </c>
      <c r="L316" s="1" t="s">
        <v>216</v>
      </c>
      <c r="M316" s="1" t="s">
        <v>131</v>
      </c>
      <c r="N316" s="13"/>
      <c r="O316" s="4"/>
      <c r="P316" s="4"/>
      <c r="Q316" s="1" t="s">
        <v>137</v>
      </c>
      <c r="R316" s="1" t="s">
        <v>137</v>
      </c>
      <c r="S316" s="1" t="s">
        <v>47</v>
      </c>
      <c r="T316" s="1" t="s">
        <v>4301</v>
      </c>
      <c r="U316" s="1" t="s">
        <v>1577</v>
      </c>
      <c r="V316" s="1" t="s">
        <v>3858</v>
      </c>
      <c r="W316" s="3">
        <v>45200.0</v>
      </c>
      <c r="X316" s="3">
        <v>45200.0</v>
      </c>
    </row>
    <row r="317">
      <c r="A317" s="1" t="s">
        <v>8206</v>
      </c>
      <c r="B317" s="1" t="s">
        <v>6461</v>
      </c>
      <c r="C317" s="1" t="s">
        <v>6461</v>
      </c>
      <c r="D317" s="1" t="s">
        <v>4293</v>
      </c>
      <c r="E317" s="1" t="s">
        <v>6463</v>
      </c>
      <c r="F317" s="1" t="s">
        <v>8217</v>
      </c>
      <c r="G317" s="3">
        <v>45832.0</v>
      </c>
      <c r="H317" s="3">
        <v>45909.0</v>
      </c>
      <c r="I317" s="3">
        <v>45909.0</v>
      </c>
      <c r="J317" s="1" t="s">
        <v>215</v>
      </c>
      <c r="K317" s="1" t="s">
        <v>160</v>
      </c>
      <c r="L317" s="1" t="s">
        <v>216</v>
      </c>
      <c r="M317" s="1" t="s">
        <v>131</v>
      </c>
      <c r="N317" s="4"/>
      <c r="O317" s="4"/>
      <c r="P317" s="4"/>
      <c r="Q317" s="1" t="s">
        <v>137</v>
      </c>
      <c r="R317" s="1" t="s">
        <v>137</v>
      </c>
      <c r="S317" s="1" t="s">
        <v>47</v>
      </c>
      <c r="T317" s="1" t="s">
        <v>4301</v>
      </c>
      <c r="U317" s="1" t="s">
        <v>1577</v>
      </c>
      <c r="V317" s="1" t="s">
        <v>4679</v>
      </c>
      <c r="W317" s="3">
        <v>45909.0</v>
      </c>
      <c r="X317" s="3">
        <v>45909.0</v>
      </c>
    </row>
    <row r="318">
      <c r="A318" s="1" t="s">
        <v>8443</v>
      </c>
      <c r="B318" s="1" t="s">
        <v>6461</v>
      </c>
      <c r="C318" s="1" t="s">
        <v>6461</v>
      </c>
      <c r="D318" s="1" t="s">
        <v>4293</v>
      </c>
      <c r="E318" s="1" t="s">
        <v>6463</v>
      </c>
      <c r="F318" s="1" t="s">
        <v>8450</v>
      </c>
      <c r="G318" s="3">
        <v>45832.0</v>
      </c>
      <c r="H318" s="3">
        <v>45909.0</v>
      </c>
      <c r="I318" s="3">
        <v>45909.0</v>
      </c>
      <c r="J318" s="1" t="s">
        <v>215</v>
      </c>
      <c r="K318" s="1" t="s">
        <v>160</v>
      </c>
      <c r="L318" s="1" t="s">
        <v>216</v>
      </c>
      <c r="M318" s="1" t="s">
        <v>131</v>
      </c>
      <c r="N318" s="4"/>
      <c r="O318" s="4"/>
      <c r="P318" s="4"/>
      <c r="Q318" s="1" t="s">
        <v>137</v>
      </c>
      <c r="R318" s="1" t="s">
        <v>137</v>
      </c>
      <c r="S318" s="1" t="s">
        <v>47</v>
      </c>
      <c r="T318" s="1" t="s">
        <v>4301</v>
      </c>
      <c r="U318" s="1" t="s">
        <v>1577</v>
      </c>
      <c r="V318" s="1" t="s">
        <v>4950</v>
      </c>
      <c r="W318" s="3">
        <v>45909.0</v>
      </c>
      <c r="X318" s="3">
        <v>45909.0</v>
      </c>
    </row>
    <row r="319">
      <c r="A319" s="1" t="s">
        <v>8464</v>
      </c>
      <c r="B319" s="1" t="s">
        <v>6461</v>
      </c>
      <c r="C319" s="1" t="s">
        <v>6461</v>
      </c>
      <c r="D319" s="1" t="s">
        <v>4293</v>
      </c>
      <c r="E319" s="1" t="s">
        <v>6463</v>
      </c>
      <c r="F319" s="1" t="s">
        <v>8471</v>
      </c>
      <c r="G319" s="3">
        <v>45832.0</v>
      </c>
      <c r="H319" s="3">
        <v>45909.0</v>
      </c>
      <c r="I319" s="3">
        <v>45909.0</v>
      </c>
      <c r="J319" s="1" t="s">
        <v>215</v>
      </c>
      <c r="K319" s="1" t="s">
        <v>160</v>
      </c>
      <c r="L319" s="1" t="s">
        <v>216</v>
      </c>
      <c r="M319" s="1" t="s">
        <v>131</v>
      </c>
      <c r="N319" s="4"/>
      <c r="O319" s="4"/>
      <c r="P319" s="4"/>
      <c r="Q319" s="1" t="s">
        <v>137</v>
      </c>
      <c r="R319" s="1" t="s">
        <v>137</v>
      </c>
      <c r="S319" s="1" t="s">
        <v>47</v>
      </c>
      <c r="T319" s="1" t="s">
        <v>4301</v>
      </c>
      <c r="U319" s="1" t="s">
        <v>1577</v>
      </c>
      <c r="V319" s="1" t="s">
        <v>5104</v>
      </c>
      <c r="W319" s="3">
        <v>45909.0</v>
      </c>
      <c r="X319" s="3">
        <v>45909.0</v>
      </c>
    </row>
    <row r="320">
      <c r="A320" s="1" t="s">
        <v>8484</v>
      </c>
      <c r="B320" s="1" t="s">
        <v>6461</v>
      </c>
      <c r="C320" s="1" t="s">
        <v>6461</v>
      </c>
      <c r="D320" s="1" t="s">
        <v>4293</v>
      </c>
      <c r="E320" s="1" t="s">
        <v>6463</v>
      </c>
      <c r="F320" s="1" t="s">
        <v>8487</v>
      </c>
      <c r="G320" s="3">
        <v>45832.0</v>
      </c>
      <c r="H320" s="3">
        <v>45909.0</v>
      </c>
      <c r="I320" s="3">
        <v>45909.0</v>
      </c>
      <c r="J320" s="1" t="s">
        <v>215</v>
      </c>
      <c r="K320" s="1" t="s">
        <v>160</v>
      </c>
      <c r="L320" s="1" t="s">
        <v>216</v>
      </c>
      <c r="M320" s="1" t="s">
        <v>131</v>
      </c>
      <c r="N320" s="4"/>
      <c r="O320" s="4"/>
      <c r="P320" s="4"/>
      <c r="Q320" s="1" t="s">
        <v>137</v>
      </c>
      <c r="R320" s="1" t="s">
        <v>137</v>
      </c>
      <c r="S320" s="1" t="s">
        <v>47</v>
      </c>
      <c r="T320" s="1" t="s">
        <v>4301</v>
      </c>
      <c r="U320" s="1" t="s">
        <v>1577</v>
      </c>
      <c r="V320" s="1" t="s">
        <v>5120</v>
      </c>
      <c r="W320" s="3">
        <v>45909.0</v>
      </c>
      <c r="X320" s="3">
        <v>45909.0</v>
      </c>
    </row>
    <row r="321">
      <c r="A321" s="1" t="s">
        <v>8499</v>
      </c>
      <c r="B321" s="1" t="s">
        <v>6005</v>
      </c>
      <c r="C321" s="1" t="s">
        <v>6005</v>
      </c>
      <c r="D321" s="1" t="s">
        <v>4293</v>
      </c>
      <c r="E321" s="1" t="s">
        <v>8502</v>
      </c>
      <c r="F321" s="1" t="s">
        <v>8504</v>
      </c>
      <c r="G321" s="3">
        <v>45372.0</v>
      </c>
      <c r="H321" s="3"/>
      <c r="I321" s="3"/>
      <c r="J321" s="1" t="s">
        <v>124</v>
      </c>
      <c r="K321" s="1" t="s">
        <v>160</v>
      </c>
      <c r="L321" s="1" t="s">
        <v>253</v>
      </c>
      <c r="M321" s="1" t="s">
        <v>131</v>
      </c>
      <c r="N321" s="4"/>
      <c r="O321" s="4"/>
      <c r="P321" s="4"/>
      <c r="Q321" s="1" t="s">
        <v>137</v>
      </c>
      <c r="R321" s="1" t="s">
        <v>137</v>
      </c>
      <c r="S321" s="1" t="s">
        <v>47</v>
      </c>
      <c r="T321" s="1" t="s">
        <v>4301</v>
      </c>
      <c r="U321" s="1" t="s">
        <v>1577</v>
      </c>
      <c r="V321" s="1" t="s">
        <v>3858</v>
      </c>
      <c r="W321" s="3"/>
      <c r="X321" s="3"/>
    </row>
    <row r="322">
      <c r="A322" s="1" t="s">
        <v>8517</v>
      </c>
      <c r="B322" s="1" t="s">
        <v>6472</v>
      </c>
      <c r="C322" s="1" t="s">
        <v>6472</v>
      </c>
      <c r="D322" s="1" t="s">
        <v>4293</v>
      </c>
      <c r="E322" s="1" t="s">
        <v>6473</v>
      </c>
      <c r="F322" s="1" t="s">
        <v>8521</v>
      </c>
      <c r="G322" s="3">
        <v>45914.0</v>
      </c>
      <c r="H322" s="3">
        <v>44901.0</v>
      </c>
      <c r="I322" s="3">
        <v>44901.0</v>
      </c>
      <c r="J322" s="1" t="s">
        <v>215</v>
      </c>
      <c r="K322" s="1" t="s">
        <v>160</v>
      </c>
      <c r="L322" s="1" t="s">
        <v>216</v>
      </c>
      <c r="M322" s="1" t="s">
        <v>131</v>
      </c>
      <c r="N322" s="4"/>
      <c r="O322" s="4"/>
      <c r="P322" s="4"/>
      <c r="Q322" s="1" t="s">
        <v>137</v>
      </c>
      <c r="R322" s="1" t="s">
        <v>137</v>
      </c>
      <c r="S322" s="1" t="s">
        <v>47</v>
      </c>
      <c r="T322" s="1" t="s">
        <v>4301</v>
      </c>
      <c r="U322" s="1" t="s">
        <v>1577</v>
      </c>
      <c r="V322" s="1" t="s">
        <v>3858</v>
      </c>
      <c r="W322" s="3">
        <v>44901.0</v>
      </c>
      <c r="X322" s="3">
        <v>44901.0</v>
      </c>
    </row>
    <row r="323">
      <c r="A323" s="1" t="s">
        <v>8532</v>
      </c>
      <c r="B323" s="1" t="s">
        <v>6472</v>
      </c>
      <c r="C323" s="1" t="s">
        <v>6472</v>
      </c>
      <c r="D323" s="1" t="s">
        <v>4293</v>
      </c>
      <c r="E323" s="1" t="s">
        <v>6473</v>
      </c>
      <c r="F323" s="1" t="s">
        <v>8538</v>
      </c>
      <c r="G323" s="3">
        <v>45914.0</v>
      </c>
      <c r="H323" s="3">
        <v>44901.0</v>
      </c>
      <c r="I323" s="3">
        <v>44901.0</v>
      </c>
      <c r="J323" s="1" t="s">
        <v>215</v>
      </c>
      <c r="K323" s="1" t="s">
        <v>160</v>
      </c>
      <c r="L323" s="1" t="s">
        <v>216</v>
      </c>
      <c r="M323" s="1" t="s">
        <v>131</v>
      </c>
      <c r="N323" s="4"/>
      <c r="O323" s="4"/>
      <c r="P323" s="4"/>
      <c r="Q323" s="1" t="s">
        <v>137</v>
      </c>
      <c r="R323" s="1" t="s">
        <v>137</v>
      </c>
      <c r="S323" s="1" t="s">
        <v>47</v>
      </c>
      <c r="T323" s="1" t="s">
        <v>4301</v>
      </c>
      <c r="U323" s="1" t="s">
        <v>1577</v>
      </c>
      <c r="V323" s="1" t="s">
        <v>4950</v>
      </c>
      <c r="W323" s="3">
        <v>44901.0</v>
      </c>
      <c r="X323" s="3">
        <v>44901.0</v>
      </c>
    </row>
    <row r="324">
      <c r="A324" s="1" t="s">
        <v>8549</v>
      </c>
      <c r="B324" s="1" t="s">
        <v>6482</v>
      </c>
      <c r="C324" s="1" t="s">
        <v>6482</v>
      </c>
      <c r="D324" s="1" t="s">
        <v>4293</v>
      </c>
      <c r="E324" s="1" t="s">
        <v>6484</v>
      </c>
      <c r="F324" s="1" t="s">
        <v>8556</v>
      </c>
      <c r="G324" s="3">
        <v>43278.0</v>
      </c>
      <c r="H324" s="3">
        <v>43441.0</v>
      </c>
      <c r="I324" s="3">
        <v>43441.0</v>
      </c>
      <c r="J324" s="1" t="s">
        <v>215</v>
      </c>
      <c r="K324" s="1" t="s">
        <v>160</v>
      </c>
      <c r="L324" s="1" t="s">
        <v>216</v>
      </c>
      <c r="M324" s="1" t="s">
        <v>131</v>
      </c>
      <c r="N324" s="4"/>
      <c r="O324" s="4"/>
      <c r="P324" s="4"/>
      <c r="Q324" s="1" t="s">
        <v>137</v>
      </c>
      <c r="R324" s="1" t="s">
        <v>137</v>
      </c>
      <c r="S324" s="1" t="s">
        <v>47</v>
      </c>
      <c r="T324" s="1" t="s">
        <v>4301</v>
      </c>
      <c r="U324" s="1" t="s">
        <v>1577</v>
      </c>
      <c r="V324" s="1" t="s">
        <v>3858</v>
      </c>
      <c r="W324" s="3">
        <v>43441.0</v>
      </c>
      <c r="X324" s="3">
        <v>43441.0</v>
      </c>
    </row>
    <row r="325">
      <c r="A325" s="1" t="s">
        <v>8568</v>
      </c>
      <c r="B325" s="1" t="s">
        <v>6492</v>
      </c>
      <c r="C325" s="1" t="s">
        <v>6492</v>
      </c>
      <c r="D325" s="1" t="s">
        <v>4293</v>
      </c>
      <c r="E325" s="1" t="s">
        <v>6495</v>
      </c>
      <c r="F325" s="1" t="s">
        <v>8574</v>
      </c>
      <c r="G325" s="3">
        <v>45947.0</v>
      </c>
      <c r="H325" s="3">
        <v>46031.0</v>
      </c>
      <c r="I325" s="3">
        <v>46031.0</v>
      </c>
      <c r="J325" s="1" t="s">
        <v>215</v>
      </c>
      <c r="K325" s="1" t="s">
        <v>160</v>
      </c>
      <c r="L325" s="1" t="s">
        <v>216</v>
      </c>
      <c r="M325" s="1" t="s">
        <v>131</v>
      </c>
      <c r="N325" s="4"/>
      <c r="O325" s="4"/>
      <c r="P325" s="4"/>
      <c r="Q325" s="1" t="s">
        <v>137</v>
      </c>
      <c r="R325" s="1" t="s">
        <v>137</v>
      </c>
      <c r="S325" s="1" t="s">
        <v>47</v>
      </c>
      <c r="T325" s="1" t="s">
        <v>4301</v>
      </c>
      <c r="U325" s="1" t="s">
        <v>1577</v>
      </c>
      <c r="V325" s="1" t="s">
        <v>4679</v>
      </c>
      <c r="W325" s="3">
        <v>46031.0</v>
      </c>
      <c r="X325" s="3">
        <v>46031.0</v>
      </c>
    </row>
    <row r="326">
      <c r="A326" s="1" t="s">
        <v>8589</v>
      </c>
      <c r="B326" s="1" t="s">
        <v>6492</v>
      </c>
      <c r="C326" s="1" t="s">
        <v>6492</v>
      </c>
      <c r="D326" s="1" t="s">
        <v>4293</v>
      </c>
      <c r="E326" s="1" t="s">
        <v>6495</v>
      </c>
      <c r="F326" s="1" t="s">
        <v>8594</v>
      </c>
      <c r="G326" s="3">
        <v>45947.0</v>
      </c>
      <c r="H326" s="3">
        <v>46031.0</v>
      </c>
      <c r="I326" s="3">
        <v>46031.0</v>
      </c>
      <c r="J326" s="1" t="s">
        <v>215</v>
      </c>
      <c r="K326" s="1" t="s">
        <v>160</v>
      </c>
      <c r="L326" s="1" t="s">
        <v>216</v>
      </c>
      <c r="M326" s="1" t="s">
        <v>131</v>
      </c>
      <c r="N326" s="4"/>
      <c r="O326" s="4"/>
      <c r="P326" s="4"/>
      <c r="Q326" s="1" t="s">
        <v>137</v>
      </c>
      <c r="R326" s="1" t="s">
        <v>137</v>
      </c>
      <c r="S326" s="1" t="s">
        <v>47</v>
      </c>
      <c r="T326" s="1" t="s">
        <v>4301</v>
      </c>
      <c r="U326" s="1" t="s">
        <v>1577</v>
      </c>
      <c r="V326" s="1" t="s">
        <v>4950</v>
      </c>
      <c r="W326" s="3">
        <v>46031.0</v>
      </c>
      <c r="X326" s="3">
        <v>46031.0</v>
      </c>
    </row>
    <row r="327">
      <c r="A327" s="1" t="s">
        <v>8605</v>
      </c>
      <c r="B327" s="1" t="s">
        <v>6492</v>
      </c>
      <c r="C327" s="1" t="s">
        <v>6492</v>
      </c>
      <c r="D327" s="1" t="s">
        <v>4293</v>
      </c>
      <c r="E327" s="1" t="s">
        <v>6495</v>
      </c>
      <c r="F327" s="1" t="s">
        <v>8611</v>
      </c>
      <c r="G327" s="3">
        <v>45947.0</v>
      </c>
      <c r="H327" s="3">
        <v>46031.0</v>
      </c>
      <c r="I327" s="3">
        <v>46031.0</v>
      </c>
      <c r="J327" s="1" t="s">
        <v>215</v>
      </c>
      <c r="K327" s="1" t="s">
        <v>160</v>
      </c>
      <c r="L327" s="1" t="s">
        <v>216</v>
      </c>
      <c r="M327" s="1" t="s">
        <v>131</v>
      </c>
      <c r="N327" s="4"/>
      <c r="O327" s="4"/>
      <c r="P327" s="4"/>
      <c r="Q327" s="1" t="s">
        <v>137</v>
      </c>
      <c r="R327" s="1" t="s">
        <v>137</v>
      </c>
      <c r="S327" s="1" t="s">
        <v>47</v>
      </c>
      <c r="T327" s="1" t="s">
        <v>4301</v>
      </c>
      <c r="U327" s="1" t="s">
        <v>1577</v>
      </c>
      <c r="V327" s="1" t="s">
        <v>5104</v>
      </c>
      <c r="W327" s="3">
        <v>46031.0</v>
      </c>
      <c r="X327" s="3">
        <v>46031.0</v>
      </c>
    </row>
    <row r="328">
      <c r="A328" s="1" t="s">
        <v>8641</v>
      </c>
      <c r="B328" s="1" t="s">
        <v>6492</v>
      </c>
      <c r="C328" s="1" t="s">
        <v>6492</v>
      </c>
      <c r="D328" s="1" t="s">
        <v>4293</v>
      </c>
      <c r="E328" s="1" t="s">
        <v>6495</v>
      </c>
      <c r="F328" s="1" t="s">
        <v>8644</v>
      </c>
      <c r="G328" s="3">
        <v>45947.0</v>
      </c>
      <c r="H328" s="3">
        <v>46031.0</v>
      </c>
      <c r="I328" s="3">
        <v>46031.0</v>
      </c>
      <c r="J328" s="1" t="s">
        <v>215</v>
      </c>
      <c r="K328" s="1" t="s">
        <v>160</v>
      </c>
      <c r="L328" s="1" t="s">
        <v>216</v>
      </c>
      <c r="M328" s="1" t="s">
        <v>131</v>
      </c>
      <c r="N328" s="4"/>
      <c r="O328" s="4"/>
      <c r="P328" s="4"/>
      <c r="Q328" s="1" t="s">
        <v>137</v>
      </c>
      <c r="R328" s="1" t="s">
        <v>137</v>
      </c>
      <c r="S328" s="1" t="s">
        <v>47</v>
      </c>
      <c r="T328" s="1" t="s">
        <v>4301</v>
      </c>
      <c r="U328" s="1" t="s">
        <v>1577</v>
      </c>
      <c r="V328" s="1" t="s">
        <v>5120</v>
      </c>
      <c r="W328" s="3">
        <v>46031.0</v>
      </c>
      <c r="X328" s="3">
        <v>46031.0</v>
      </c>
    </row>
    <row r="329">
      <c r="A329" s="1" t="s">
        <v>8662</v>
      </c>
      <c r="B329" s="1" t="s">
        <v>8664</v>
      </c>
      <c r="C329" s="1" t="s">
        <v>8664</v>
      </c>
      <c r="D329" s="1" t="s">
        <v>4293</v>
      </c>
      <c r="E329" s="1" t="s">
        <v>8667</v>
      </c>
      <c r="F329" s="1" t="s">
        <v>8669</v>
      </c>
      <c r="G329" s="3">
        <v>45933.0</v>
      </c>
      <c r="H329" s="3"/>
      <c r="I329" s="3"/>
      <c r="J329" s="1" t="s">
        <v>124</v>
      </c>
      <c r="K329" s="1" t="s">
        <v>160</v>
      </c>
      <c r="L329" s="1" t="s">
        <v>253</v>
      </c>
      <c r="M329" s="1" t="s">
        <v>131</v>
      </c>
      <c r="N329" s="4"/>
      <c r="O329" s="4"/>
      <c r="P329" s="4"/>
      <c r="Q329" s="1" t="s">
        <v>137</v>
      </c>
      <c r="R329" s="1" t="s">
        <v>137</v>
      </c>
      <c r="S329" s="1" t="s">
        <v>47</v>
      </c>
      <c r="T329" s="1" t="s">
        <v>4301</v>
      </c>
      <c r="U329" s="1" t="s">
        <v>1577</v>
      </c>
      <c r="V329" s="1" t="s">
        <v>3858</v>
      </c>
      <c r="W329" s="3"/>
      <c r="X329" s="3"/>
    </row>
    <row r="330">
      <c r="A330" s="1" t="s">
        <v>8682</v>
      </c>
      <c r="B330" s="1" t="s">
        <v>8664</v>
      </c>
      <c r="C330" s="1" t="s">
        <v>8664</v>
      </c>
      <c r="D330" s="1" t="s">
        <v>4293</v>
      </c>
      <c r="E330" s="1" t="s">
        <v>8667</v>
      </c>
      <c r="F330" s="1" t="s">
        <v>8686</v>
      </c>
      <c r="G330" s="3">
        <v>45933.0</v>
      </c>
      <c r="H330" s="13"/>
      <c r="I330" s="4"/>
      <c r="J330" s="1" t="s">
        <v>124</v>
      </c>
      <c r="K330" s="1" t="s">
        <v>160</v>
      </c>
      <c r="L330" s="1" t="s">
        <v>253</v>
      </c>
      <c r="M330" s="1" t="s">
        <v>131</v>
      </c>
      <c r="N330" s="4"/>
      <c r="O330" s="4"/>
      <c r="P330" s="4"/>
      <c r="Q330" s="1" t="s">
        <v>137</v>
      </c>
      <c r="R330" s="1" t="s">
        <v>137</v>
      </c>
      <c r="S330" s="1" t="s">
        <v>47</v>
      </c>
      <c r="T330" s="1" t="s">
        <v>4301</v>
      </c>
      <c r="U330" s="1" t="s">
        <v>1577</v>
      </c>
      <c r="V330" s="1" t="s">
        <v>4950</v>
      </c>
      <c r="W330" s="3"/>
    </row>
    <row r="331">
      <c r="A331" s="1" t="s">
        <v>8702</v>
      </c>
      <c r="B331" s="1" t="s">
        <v>6507</v>
      </c>
      <c r="C331" s="1" t="s">
        <v>6507</v>
      </c>
      <c r="D331" s="1" t="s">
        <v>4293</v>
      </c>
      <c r="E331" s="1" t="s">
        <v>6509</v>
      </c>
      <c r="F331" s="1" t="s">
        <v>8709</v>
      </c>
      <c r="G331" s="3">
        <v>44494.0</v>
      </c>
      <c r="H331" s="3">
        <v>44539.0</v>
      </c>
      <c r="I331" s="3">
        <v>44539.0</v>
      </c>
      <c r="J331" s="1" t="s">
        <v>215</v>
      </c>
      <c r="K331" s="1" t="s">
        <v>160</v>
      </c>
      <c r="L331" s="1" t="s">
        <v>216</v>
      </c>
      <c r="M331" s="1" t="s">
        <v>131</v>
      </c>
      <c r="N331" s="4"/>
      <c r="O331" s="4"/>
      <c r="P331" s="4"/>
      <c r="Q331" s="1" t="s">
        <v>137</v>
      </c>
      <c r="R331" s="1" t="s">
        <v>137</v>
      </c>
      <c r="S331" s="1" t="s">
        <v>47</v>
      </c>
      <c r="T331" s="1" t="s">
        <v>4301</v>
      </c>
      <c r="U331" s="1" t="s">
        <v>1577</v>
      </c>
      <c r="V331" s="1" t="s">
        <v>3865</v>
      </c>
      <c r="W331" s="3">
        <v>44539.0</v>
      </c>
      <c r="X331" s="3">
        <v>44539.0</v>
      </c>
    </row>
    <row r="332">
      <c r="A332" s="1" t="s">
        <v>8727</v>
      </c>
      <c r="B332" s="1" t="s">
        <v>6517</v>
      </c>
      <c r="C332" s="1" t="s">
        <v>6517</v>
      </c>
      <c r="D332" s="1" t="s">
        <v>4293</v>
      </c>
      <c r="E332" s="1" t="s">
        <v>6521</v>
      </c>
      <c r="F332" s="1" t="s">
        <v>8733</v>
      </c>
      <c r="G332" s="3">
        <v>45779.0</v>
      </c>
      <c r="H332" s="3">
        <v>46072.0</v>
      </c>
      <c r="I332" s="3">
        <v>46072.0</v>
      </c>
      <c r="J332" s="1" t="s">
        <v>215</v>
      </c>
      <c r="K332" s="1" t="s">
        <v>160</v>
      </c>
      <c r="L332" s="1" t="s">
        <v>216</v>
      </c>
      <c r="M332" s="1" t="s">
        <v>131</v>
      </c>
      <c r="N332" s="4"/>
      <c r="O332" s="4"/>
      <c r="P332" s="4"/>
      <c r="Q332" s="1" t="s">
        <v>137</v>
      </c>
      <c r="R332" s="1" t="s">
        <v>137</v>
      </c>
      <c r="S332" s="1" t="s">
        <v>47</v>
      </c>
      <c r="T332" s="1" t="s">
        <v>4301</v>
      </c>
      <c r="U332" s="1" t="s">
        <v>1577</v>
      </c>
      <c r="V332" s="1" t="s">
        <v>3858</v>
      </c>
      <c r="W332" s="3">
        <v>46072.0</v>
      </c>
      <c r="X332" s="3">
        <v>46072.0</v>
      </c>
    </row>
    <row r="333">
      <c r="A333" s="1" t="s">
        <v>8743</v>
      </c>
      <c r="B333" s="1" t="s">
        <v>6517</v>
      </c>
      <c r="C333" s="1" t="s">
        <v>6517</v>
      </c>
      <c r="D333" s="1" t="s">
        <v>4293</v>
      </c>
      <c r="E333" s="1" t="s">
        <v>6521</v>
      </c>
      <c r="F333" s="1" t="s">
        <v>8749</v>
      </c>
      <c r="G333" s="3">
        <v>45779.0</v>
      </c>
      <c r="H333" s="3">
        <v>46072.0</v>
      </c>
      <c r="I333" s="3">
        <v>46072.0</v>
      </c>
      <c r="J333" s="1" t="s">
        <v>215</v>
      </c>
      <c r="K333" s="1" t="s">
        <v>160</v>
      </c>
      <c r="L333" s="1" t="s">
        <v>216</v>
      </c>
      <c r="M333" s="1" t="s">
        <v>131</v>
      </c>
      <c r="N333" s="4"/>
      <c r="O333" s="4"/>
      <c r="P333" s="4"/>
      <c r="Q333" s="1" t="s">
        <v>137</v>
      </c>
      <c r="R333" s="1" t="s">
        <v>137</v>
      </c>
      <c r="S333" s="1" t="s">
        <v>47</v>
      </c>
      <c r="T333" s="1" t="s">
        <v>4301</v>
      </c>
      <c r="U333" s="1" t="s">
        <v>1577</v>
      </c>
      <c r="V333" s="1" t="s">
        <v>4054</v>
      </c>
      <c r="W333" s="3">
        <v>46072.0</v>
      </c>
      <c r="X333" s="3">
        <v>46072.0</v>
      </c>
    </row>
    <row r="334">
      <c r="A334" s="1" t="s">
        <v>8768</v>
      </c>
      <c r="B334" s="1" t="s">
        <v>6517</v>
      </c>
      <c r="C334" s="1" t="s">
        <v>6517</v>
      </c>
      <c r="D334" s="1" t="s">
        <v>4293</v>
      </c>
      <c r="E334" s="1" t="s">
        <v>6521</v>
      </c>
      <c r="F334" s="1" t="s">
        <v>8774</v>
      </c>
      <c r="G334" s="3">
        <v>45779.0</v>
      </c>
      <c r="H334" s="3">
        <v>46072.0</v>
      </c>
      <c r="I334" s="3">
        <v>46072.0</v>
      </c>
      <c r="J334" s="1" t="s">
        <v>215</v>
      </c>
      <c r="K334" s="1" t="s">
        <v>160</v>
      </c>
      <c r="L334" s="1" t="s">
        <v>216</v>
      </c>
      <c r="M334" s="1" t="s">
        <v>131</v>
      </c>
      <c r="N334" s="4"/>
      <c r="O334" s="4"/>
      <c r="P334" s="4"/>
      <c r="Q334" s="1" t="s">
        <v>137</v>
      </c>
      <c r="R334" s="1" t="s">
        <v>137</v>
      </c>
      <c r="S334" s="1" t="s">
        <v>47</v>
      </c>
      <c r="T334" s="1" t="s">
        <v>4301</v>
      </c>
      <c r="U334" s="1" t="s">
        <v>1577</v>
      </c>
      <c r="V334" s="1" t="s">
        <v>3865</v>
      </c>
      <c r="W334" s="3">
        <v>46072.0</v>
      </c>
      <c r="X334" s="3">
        <v>46072.0</v>
      </c>
    </row>
    <row r="335">
      <c r="A335" s="1" t="s">
        <v>8790</v>
      </c>
      <c r="B335" s="1" t="s">
        <v>6517</v>
      </c>
      <c r="C335" s="1" t="s">
        <v>6517</v>
      </c>
      <c r="D335" s="1" t="s">
        <v>4293</v>
      </c>
      <c r="E335" s="1" t="s">
        <v>6521</v>
      </c>
      <c r="F335" s="1" t="s">
        <v>8795</v>
      </c>
      <c r="G335" s="3">
        <v>45779.0</v>
      </c>
      <c r="H335" s="3">
        <v>46072.0</v>
      </c>
      <c r="I335" s="3">
        <v>46072.0</v>
      </c>
      <c r="J335" s="1" t="s">
        <v>215</v>
      </c>
      <c r="K335" s="1" t="s">
        <v>160</v>
      </c>
      <c r="L335" s="1" t="s">
        <v>216</v>
      </c>
      <c r="M335" s="1" t="s">
        <v>131</v>
      </c>
      <c r="N335" s="4"/>
      <c r="O335" s="4"/>
      <c r="P335" s="4"/>
      <c r="Q335" s="1" t="s">
        <v>137</v>
      </c>
      <c r="R335" s="1" t="s">
        <v>137</v>
      </c>
      <c r="S335" s="1" t="s">
        <v>47</v>
      </c>
      <c r="T335" s="1" t="s">
        <v>4301</v>
      </c>
      <c r="U335" s="1" t="s">
        <v>1577</v>
      </c>
      <c r="V335" s="1" t="s">
        <v>4950</v>
      </c>
      <c r="W335" s="3">
        <v>46072.0</v>
      </c>
      <c r="X335" s="3">
        <v>46072.0</v>
      </c>
    </row>
    <row r="336">
      <c r="A336" s="1" t="s">
        <v>8809</v>
      </c>
      <c r="B336" s="1" t="s">
        <v>6533</v>
      </c>
      <c r="C336" s="1" t="s">
        <v>6533</v>
      </c>
      <c r="D336" s="1" t="s">
        <v>4293</v>
      </c>
      <c r="E336" s="1" t="s">
        <v>6535</v>
      </c>
      <c r="F336" s="1" t="s">
        <v>8815</v>
      </c>
      <c r="G336" s="3">
        <v>45279.0</v>
      </c>
      <c r="H336" s="3">
        <v>45315.0</v>
      </c>
      <c r="I336" s="3">
        <v>45315.0</v>
      </c>
      <c r="J336" s="1" t="s">
        <v>215</v>
      </c>
      <c r="K336" s="1" t="s">
        <v>160</v>
      </c>
      <c r="L336" s="1" t="s">
        <v>216</v>
      </c>
      <c r="M336" s="1" t="s">
        <v>131</v>
      </c>
      <c r="N336" s="4"/>
      <c r="O336" s="4"/>
      <c r="P336" s="4"/>
      <c r="Q336" s="1" t="s">
        <v>137</v>
      </c>
      <c r="R336" s="1" t="s">
        <v>137</v>
      </c>
      <c r="S336" s="1" t="s">
        <v>47</v>
      </c>
      <c r="T336" s="1" t="s">
        <v>4301</v>
      </c>
      <c r="U336" s="1" t="s">
        <v>1577</v>
      </c>
      <c r="V336" s="1" t="s">
        <v>4950</v>
      </c>
      <c r="W336" s="3">
        <v>45315.0</v>
      </c>
      <c r="X336" s="3">
        <v>45315.0</v>
      </c>
    </row>
    <row r="337">
      <c r="A337" s="1" t="s">
        <v>8826</v>
      </c>
      <c r="B337" s="1" t="s">
        <v>6544</v>
      </c>
      <c r="C337" s="1" t="s">
        <v>6544</v>
      </c>
      <c r="D337" s="1" t="s">
        <v>4293</v>
      </c>
      <c r="E337" s="1" t="s">
        <v>6547</v>
      </c>
      <c r="F337" s="1" t="s">
        <v>8835</v>
      </c>
      <c r="G337" s="3">
        <v>45224.0</v>
      </c>
      <c r="H337" s="3">
        <v>45249.0</v>
      </c>
      <c r="I337" s="3">
        <v>45249.0</v>
      </c>
      <c r="J337" s="1" t="s">
        <v>215</v>
      </c>
      <c r="K337" s="1" t="s">
        <v>160</v>
      </c>
      <c r="L337" s="1" t="s">
        <v>216</v>
      </c>
      <c r="M337" s="1" t="s">
        <v>131</v>
      </c>
      <c r="N337" s="4"/>
      <c r="O337" s="4"/>
      <c r="P337" s="4"/>
      <c r="Q337" s="1" t="s">
        <v>137</v>
      </c>
      <c r="R337" s="1" t="s">
        <v>137</v>
      </c>
      <c r="S337" s="1" t="s">
        <v>47</v>
      </c>
      <c r="T337" s="1" t="s">
        <v>4301</v>
      </c>
      <c r="U337" s="1" t="s">
        <v>1577</v>
      </c>
      <c r="V337" s="1" t="s">
        <v>3858</v>
      </c>
      <c r="W337" s="3">
        <v>45249.0</v>
      </c>
      <c r="X337" s="3">
        <v>45249.0</v>
      </c>
    </row>
    <row r="338">
      <c r="A338" s="1" t="s">
        <v>8855</v>
      </c>
      <c r="B338" s="1" t="s">
        <v>6544</v>
      </c>
      <c r="C338" s="1" t="s">
        <v>6544</v>
      </c>
      <c r="D338" s="1" t="s">
        <v>4293</v>
      </c>
      <c r="E338" s="1" t="s">
        <v>6547</v>
      </c>
      <c r="F338" s="1" t="s">
        <v>8865</v>
      </c>
      <c r="G338" s="3">
        <v>45224.0</v>
      </c>
      <c r="H338" s="3">
        <v>45249.0</v>
      </c>
      <c r="I338" s="3">
        <v>45249.0</v>
      </c>
      <c r="J338" s="1" t="s">
        <v>215</v>
      </c>
      <c r="K338" s="1" t="s">
        <v>160</v>
      </c>
      <c r="L338" s="1" t="s">
        <v>216</v>
      </c>
      <c r="M338" s="1" t="s">
        <v>131</v>
      </c>
      <c r="N338" s="4"/>
      <c r="O338" s="4"/>
      <c r="P338" s="4"/>
      <c r="Q338" s="1" t="s">
        <v>137</v>
      </c>
      <c r="R338" s="1" t="s">
        <v>137</v>
      </c>
      <c r="S338" s="1" t="s">
        <v>47</v>
      </c>
      <c r="T338" s="1" t="s">
        <v>4301</v>
      </c>
      <c r="U338" s="1" t="s">
        <v>1577</v>
      </c>
      <c r="V338" s="1" t="s">
        <v>3865</v>
      </c>
      <c r="W338" s="3">
        <v>45249.0</v>
      </c>
      <c r="X338" s="3">
        <v>45249.0</v>
      </c>
    </row>
    <row r="339">
      <c r="A339" s="1" t="s">
        <v>8874</v>
      </c>
      <c r="B339" s="1" t="s">
        <v>8875</v>
      </c>
      <c r="C339" s="1" t="s">
        <v>8875</v>
      </c>
      <c r="D339" s="1" t="s">
        <v>4293</v>
      </c>
      <c r="E339" s="1" t="s">
        <v>8879</v>
      </c>
      <c r="F339" s="1" t="s">
        <v>8880</v>
      </c>
      <c r="G339" s="3">
        <v>44820.0</v>
      </c>
      <c r="H339" s="3"/>
      <c r="I339" s="3"/>
      <c r="J339" s="1" t="s">
        <v>124</v>
      </c>
      <c r="K339" s="1" t="s">
        <v>160</v>
      </c>
      <c r="L339" s="1" t="s">
        <v>253</v>
      </c>
      <c r="M339" s="1" t="s">
        <v>131</v>
      </c>
      <c r="N339" s="4"/>
      <c r="O339" s="4"/>
      <c r="P339" s="4"/>
      <c r="Q339" s="1" t="s">
        <v>137</v>
      </c>
      <c r="R339" s="1" t="s">
        <v>137</v>
      </c>
      <c r="S339" s="1" t="s">
        <v>47</v>
      </c>
      <c r="T339" s="1" t="s">
        <v>4301</v>
      </c>
      <c r="U339" s="1" t="s">
        <v>1577</v>
      </c>
      <c r="V339" s="1" t="s">
        <v>3858</v>
      </c>
      <c r="W339" s="3"/>
      <c r="X339" s="3"/>
    </row>
    <row r="340">
      <c r="A340" s="1" t="s">
        <v>8891</v>
      </c>
      <c r="B340" s="1" t="s">
        <v>6559</v>
      </c>
      <c r="C340" s="1" t="s">
        <v>6559</v>
      </c>
      <c r="D340" s="1" t="s">
        <v>4293</v>
      </c>
      <c r="E340" s="1" t="s">
        <v>6561</v>
      </c>
      <c r="F340" s="1" t="s">
        <v>8896</v>
      </c>
      <c r="G340" s="3">
        <v>45656.0</v>
      </c>
      <c r="H340" s="3">
        <v>46084.0</v>
      </c>
      <c r="I340" s="3">
        <v>46084.0</v>
      </c>
      <c r="J340" s="1" t="s">
        <v>215</v>
      </c>
      <c r="K340" s="1" t="s">
        <v>160</v>
      </c>
      <c r="L340" s="1" t="s">
        <v>216</v>
      </c>
      <c r="M340" s="1" t="s">
        <v>131</v>
      </c>
      <c r="N340" s="4"/>
      <c r="O340" s="4"/>
      <c r="P340" s="4"/>
      <c r="Q340" s="1" t="s">
        <v>137</v>
      </c>
      <c r="R340" s="1" t="s">
        <v>137</v>
      </c>
      <c r="S340" s="1" t="s">
        <v>47</v>
      </c>
      <c r="T340" s="1" t="s">
        <v>4301</v>
      </c>
      <c r="U340" s="1" t="s">
        <v>1577</v>
      </c>
      <c r="V340" s="1" t="s">
        <v>3858</v>
      </c>
      <c r="W340" s="3">
        <v>46084.0</v>
      </c>
      <c r="X340" s="3">
        <v>46084.0</v>
      </c>
    </row>
    <row r="341">
      <c r="A341" s="1" t="s">
        <v>8902</v>
      </c>
      <c r="B341" s="1" t="s">
        <v>6559</v>
      </c>
      <c r="C341" s="1" t="s">
        <v>6559</v>
      </c>
      <c r="D341" s="1" t="s">
        <v>4293</v>
      </c>
      <c r="E341" s="1" t="s">
        <v>6561</v>
      </c>
      <c r="F341" s="1" t="s">
        <v>8906</v>
      </c>
      <c r="G341" s="3">
        <v>45656.0</v>
      </c>
      <c r="H341" s="3">
        <v>46084.0</v>
      </c>
      <c r="I341" s="3">
        <v>46084.0</v>
      </c>
      <c r="J341" s="1" t="s">
        <v>215</v>
      </c>
      <c r="K341" s="1" t="s">
        <v>160</v>
      </c>
      <c r="L341" s="1" t="s">
        <v>216</v>
      </c>
      <c r="M341" s="1" t="s">
        <v>131</v>
      </c>
      <c r="N341" s="4"/>
      <c r="O341" s="4"/>
      <c r="P341" s="4"/>
      <c r="Q341" s="1" t="s">
        <v>137</v>
      </c>
      <c r="R341" s="1" t="s">
        <v>137</v>
      </c>
      <c r="S341" s="1" t="s">
        <v>47</v>
      </c>
      <c r="T341" s="1" t="s">
        <v>4301</v>
      </c>
      <c r="U341" s="1" t="s">
        <v>1577</v>
      </c>
      <c r="V341" s="1" t="s">
        <v>4950</v>
      </c>
      <c r="W341" s="3">
        <v>46084.0</v>
      </c>
      <c r="X341" s="3">
        <v>46084.0</v>
      </c>
    </row>
    <row r="342">
      <c r="A342" s="1" t="s">
        <v>8912</v>
      </c>
      <c r="B342" s="1" t="s">
        <v>6570</v>
      </c>
      <c r="C342" s="1" t="s">
        <v>6570</v>
      </c>
      <c r="D342" s="1" t="s">
        <v>4293</v>
      </c>
      <c r="E342" s="1" t="s">
        <v>6573</v>
      </c>
      <c r="F342" s="1" t="s">
        <v>8917</v>
      </c>
      <c r="G342" s="3">
        <v>45470.0</v>
      </c>
      <c r="H342" s="3">
        <v>45813.0</v>
      </c>
      <c r="I342" s="3">
        <v>45813.0</v>
      </c>
      <c r="J342" s="1" t="s">
        <v>215</v>
      </c>
      <c r="K342" s="1" t="s">
        <v>160</v>
      </c>
      <c r="L342" s="1" t="s">
        <v>216</v>
      </c>
      <c r="M342" s="1" t="s">
        <v>131</v>
      </c>
      <c r="N342" s="4"/>
      <c r="O342" s="4"/>
      <c r="P342" s="4"/>
      <c r="Q342" s="1" t="s">
        <v>137</v>
      </c>
      <c r="R342" s="1" t="s">
        <v>137</v>
      </c>
      <c r="S342" s="1" t="s">
        <v>47</v>
      </c>
      <c r="T342" s="1" t="s">
        <v>4301</v>
      </c>
      <c r="U342" s="1" t="s">
        <v>1577</v>
      </c>
      <c r="V342" s="1" t="s">
        <v>3858</v>
      </c>
      <c r="W342" s="3">
        <v>45813.0</v>
      </c>
      <c r="X342" s="3">
        <v>45813.0</v>
      </c>
    </row>
    <row r="343">
      <c r="A343" s="1" t="s">
        <v>8925</v>
      </c>
      <c r="B343" s="1" t="s">
        <v>6582</v>
      </c>
      <c r="C343" s="1" t="s">
        <v>6582</v>
      </c>
      <c r="D343" s="1" t="s">
        <v>4293</v>
      </c>
      <c r="E343" s="1" t="s">
        <v>6584</v>
      </c>
      <c r="F343" s="1" t="s">
        <v>8928</v>
      </c>
      <c r="G343" s="3">
        <v>44358.0</v>
      </c>
      <c r="H343" s="3">
        <v>44490.0</v>
      </c>
      <c r="I343" s="3">
        <v>44490.0</v>
      </c>
      <c r="J343" s="1" t="s">
        <v>215</v>
      </c>
      <c r="K343" s="1" t="s">
        <v>160</v>
      </c>
      <c r="L343" s="1" t="s">
        <v>216</v>
      </c>
      <c r="M343" s="1" t="s">
        <v>131</v>
      </c>
      <c r="N343" s="4"/>
      <c r="O343" s="4"/>
      <c r="P343" s="4"/>
      <c r="Q343" s="1" t="s">
        <v>137</v>
      </c>
      <c r="R343" s="1" t="s">
        <v>137</v>
      </c>
      <c r="S343" s="1" t="s">
        <v>47</v>
      </c>
      <c r="T343" s="1" t="s">
        <v>4301</v>
      </c>
      <c r="U343" s="1" t="s">
        <v>1577</v>
      </c>
      <c r="V343" s="1" t="s">
        <v>3858</v>
      </c>
      <c r="W343" s="3">
        <v>44490.0</v>
      </c>
      <c r="X343" s="3">
        <v>44490.0</v>
      </c>
    </row>
    <row r="344">
      <c r="A344" s="1" t="s">
        <v>8936</v>
      </c>
      <c r="B344" s="1" t="s">
        <v>4887</v>
      </c>
      <c r="C344" s="1" t="s">
        <v>4887</v>
      </c>
      <c r="D344" s="1" t="s">
        <v>4293</v>
      </c>
      <c r="E344" s="1" t="s">
        <v>6594</v>
      </c>
      <c r="F344" s="1" t="s">
        <v>8939</v>
      </c>
      <c r="G344" s="3">
        <v>45614.0</v>
      </c>
      <c r="H344" s="3">
        <v>45834.0</v>
      </c>
      <c r="I344" s="3">
        <v>45834.0</v>
      </c>
      <c r="J344" s="1" t="s">
        <v>215</v>
      </c>
      <c r="K344" s="1" t="s">
        <v>160</v>
      </c>
      <c r="L344" s="1" t="s">
        <v>216</v>
      </c>
      <c r="M344" s="1" t="s">
        <v>131</v>
      </c>
      <c r="O344" s="4"/>
      <c r="P344" s="4"/>
      <c r="Q344" s="1" t="s">
        <v>137</v>
      </c>
      <c r="R344" s="1" t="s">
        <v>137</v>
      </c>
      <c r="S344" s="1" t="s">
        <v>47</v>
      </c>
      <c r="T344" s="1" t="s">
        <v>4301</v>
      </c>
      <c r="U344" s="1" t="s">
        <v>1577</v>
      </c>
      <c r="V344" s="1" t="s">
        <v>4679</v>
      </c>
      <c r="W344" s="3">
        <v>45834.0</v>
      </c>
      <c r="X344" s="3">
        <v>45834.0</v>
      </c>
    </row>
    <row r="345">
      <c r="A345" s="1" t="s">
        <v>8944</v>
      </c>
      <c r="B345" s="1" t="s">
        <v>4887</v>
      </c>
      <c r="C345" s="1" t="s">
        <v>4887</v>
      </c>
      <c r="D345" s="1" t="s">
        <v>4293</v>
      </c>
      <c r="E345" s="1" t="s">
        <v>6594</v>
      </c>
      <c r="F345" s="1" t="s">
        <v>8946</v>
      </c>
      <c r="G345" s="3">
        <v>45614.0</v>
      </c>
      <c r="H345" s="3">
        <v>45834.0</v>
      </c>
      <c r="I345" s="3">
        <v>45834.0</v>
      </c>
      <c r="J345" s="1" t="s">
        <v>215</v>
      </c>
      <c r="K345" s="1" t="s">
        <v>160</v>
      </c>
      <c r="L345" s="1" t="s">
        <v>216</v>
      </c>
      <c r="M345" s="1" t="s">
        <v>131</v>
      </c>
      <c r="N345" s="4"/>
      <c r="O345" s="4"/>
      <c r="P345" s="4"/>
      <c r="Q345" s="1" t="s">
        <v>137</v>
      </c>
      <c r="R345" s="1" t="s">
        <v>137</v>
      </c>
      <c r="S345" s="1" t="s">
        <v>47</v>
      </c>
      <c r="T345" s="1" t="s">
        <v>4301</v>
      </c>
      <c r="U345" s="1" t="s">
        <v>1577</v>
      </c>
      <c r="V345" s="1" t="s">
        <v>4950</v>
      </c>
      <c r="W345" s="3">
        <v>45834.0</v>
      </c>
      <c r="X345" s="3">
        <v>45834.0</v>
      </c>
    </row>
    <row r="346">
      <c r="A346" s="1" t="s">
        <v>8952</v>
      </c>
      <c r="B346" s="1" t="s">
        <v>4887</v>
      </c>
      <c r="C346" s="1" t="s">
        <v>4887</v>
      </c>
      <c r="D346" s="1" t="s">
        <v>4293</v>
      </c>
      <c r="E346" s="1" t="s">
        <v>6594</v>
      </c>
      <c r="F346" s="1" t="s">
        <v>8958</v>
      </c>
      <c r="G346" s="3">
        <v>45614.0</v>
      </c>
      <c r="H346" s="3">
        <v>45834.0</v>
      </c>
      <c r="I346" s="3">
        <v>45834.0</v>
      </c>
      <c r="J346" s="1" t="s">
        <v>215</v>
      </c>
      <c r="K346" s="1" t="s">
        <v>160</v>
      </c>
      <c r="L346" s="1" t="s">
        <v>216</v>
      </c>
      <c r="M346" s="1" t="s">
        <v>131</v>
      </c>
      <c r="N346" s="4"/>
      <c r="O346" s="4"/>
      <c r="P346" s="4"/>
      <c r="Q346" s="1" t="s">
        <v>137</v>
      </c>
      <c r="R346" s="1" t="s">
        <v>137</v>
      </c>
      <c r="S346" s="1" t="s">
        <v>47</v>
      </c>
      <c r="T346" s="1" t="s">
        <v>4301</v>
      </c>
      <c r="U346" s="1" t="s">
        <v>1577</v>
      </c>
      <c r="V346" s="1" t="s">
        <v>5104</v>
      </c>
      <c r="W346" s="3">
        <v>45834.0</v>
      </c>
      <c r="X346" s="3">
        <v>45834.0</v>
      </c>
    </row>
    <row r="347">
      <c r="A347" s="1" t="s">
        <v>8966</v>
      </c>
      <c r="B347" s="1" t="s">
        <v>4887</v>
      </c>
      <c r="C347" s="1" t="s">
        <v>4887</v>
      </c>
      <c r="D347" s="1" t="s">
        <v>4293</v>
      </c>
      <c r="E347" s="1" t="s">
        <v>6594</v>
      </c>
      <c r="F347" s="1" t="s">
        <v>8969</v>
      </c>
      <c r="G347" s="3">
        <v>45614.0</v>
      </c>
      <c r="H347" s="3">
        <v>45834.0</v>
      </c>
      <c r="I347" s="3">
        <v>45834.0</v>
      </c>
      <c r="J347" s="1" t="s">
        <v>215</v>
      </c>
      <c r="K347" s="1" t="s">
        <v>160</v>
      </c>
      <c r="L347" s="1" t="s">
        <v>216</v>
      </c>
      <c r="M347" s="1" t="s">
        <v>131</v>
      </c>
      <c r="N347" s="4"/>
      <c r="O347" s="4"/>
      <c r="P347" s="4"/>
      <c r="Q347" s="1" t="s">
        <v>137</v>
      </c>
      <c r="R347" s="1" t="s">
        <v>137</v>
      </c>
      <c r="S347" s="1" t="s">
        <v>47</v>
      </c>
      <c r="T347" s="1" t="s">
        <v>4301</v>
      </c>
      <c r="U347" s="1" t="s">
        <v>1577</v>
      </c>
      <c r="V347" s="1" t="s">
        <v>5120</v>
      </c>
      <c r="W347" s="3">
        <v>45834.0</v>
      </c>
      <c r="X347" s="3">
        <v>45834.0</v>
      </c>
    </row>
    <row r="348">
      <c r="A348" s="1" t="s">
        <v>8980</v>
      </c>
      <c r="B348" s="1" t="s">
        <v>6602</v>
      </c>
      <c r="C348" s="1" t="s">
        <v>6602</v>
      </c>
      <c r="D348" s="1" t="s">
        <v>4293</v>
      </c>
      <c r="E348" s="1" t="s">
        <v>6604</v>
      </c>
      <c r="F348" s="1" t="s">
        <v>8991</v>
      </c>
      <c r="G348" s="3">
        <v>44413.0</v>
      </c>
      <c r="H348" s="3">
        <v>44504.0</v>
      </c>
      <c r="I348" s="3">
        <v>44504.0</v>
      </c>
      <c r="J348" s="1" t="s">
        <v>215</v>
      </c>
      <c r="K348" s="1" t="s">
        <v>160</v>
      </c>
      <c r="L348" s="1" t="s">
        <v>216</v>
      </c>
      <c r="M348" s="1" t="s">
        <v>131</v>
      </c>
      <c r="N348" s="4"/>
      <c r="O348" s="4"/>
      <c r="P348" s="4"/>
      <c r="Q348" s="1" t="s">
        <v>137</v>
      </c>
      <c r="R348" s="1" t="s">
        <v>137</v>
      </c>
      <c r="S348" s="1" t="s">
        <v>47</v>
      </c>
      <c r="T348" s="1" t="s">
        <v>4301</v>
      </c>
      <c r="U348" s="1" t="s">
        <v>1577</v>
      </c>
      <c r="V348" s="1" t="s">
        <v>3858</v>
      </c>
      <c r="W348" s="3">
        <v>44504.0</v>
      </c>
      <c r="X348" s="3">
        <v>44504.0</v>
      </c>
    </row>
    <row r="349">
      <c r="A349" s="1" t="s">
        <v>9007</v>
      </c>
      <c r="B349" s="1" t="s">
        <v>6613</v>
      </c>
      <c r="C349" s="1" t="s">
        <v>6613</v>
      </c>
      <c r="D349" s="1" t="s">
        <v>4293</v>
      </c>
      <c r="E349" s="1" t="s">
        <v>6614</v>
      </c>
      <c r="F349" s="1" t="s">
        <v>9014</v>
      </c>
      <c r="G349" s="3">
        <v>45432.0</v>
      </c>
      <c r="H349" s="3">
        <v>45804.0</v>
      </c>
      <c r="I349" s="3">
        <v>45804.0</v>
      </c>
      <c r="J349" s="1" t="s">
        <v>215</v>
      </c>
      <c r="K349" s="1" t="s">
        <v>160</v>
      </c>
      <c r="L349" s="1" t="s">
        <v>216</v>
      </c>
      <c r="M349" s="1" t="s">
        <v>131</v>
      </c>
      <c r="N349" s="4"/>
      <c r="O349" s="4"/>
      <c r="P349" s="4"/>
      <c r="Q349" s="1" t="s">
        <v>137</v>
      </c>
      <c r="R349" s="1" t="s">
        <v>137</v>
      </c>
      <c r="S349" s="1" t="s">
        <v>47</v>
      </c>
      <c r="T349" s="1" t="s">
        <v>4301</v>
      </c>
      <c r="U349" s="1" t="s">
        <v>1577</v>
      </c>
      <c r="V349" s="1" t="s">
        <v>3858</v>
      </c>
      <c r="W349" s="3">
        <v>45804.0</v>
      </c>
      <c r="X349" s="3">
        <v>45804.0</v>
      </c>
    </row>
    <row r="350">
      <c r="A350" s="1" t="s">
        <v>9033</v>
      </c>
      <c r="B350" s="1" t="s">
        <v>6613</v>
      </c>
      <c r="C350" s="1" t="s">
        <v>6613</v>
      </c>
      <c r="D350" s="1" t="s">
        <v>4293</v>
      </c>
      <c r="E350" s="1" t="s">
        <v>6614</v>
      </c>
      <c r="F350" s="1" t="s">
        <v>9035</v>
      </c>
      <c r="G350" s="3">
        <v>45432.0</v>
      </c>
      <c r="H350" s="3">
        <v>45804.0</v>
      </c>
      <c r="I350" s="3">
        <v>45804.0</v>
      </c>
      <c r="J350" s="1" t="s">
        <v>215</v>
      </c>
      <c r="K350" s="1" t="s">
        <v>160</v>
      </c>
      <c r="L350" s="1" t="s">
        <v>216</v>
      </c>
      <c r="M350" s="1" t="s">
        <v>131</v>
      </c>
      <c r="N350" s="4"/>
      <c r="O350" s="4"/>
      <c r="P350" s="4"/>
      <c r="Q350" s="1" t="s">
        <v>137</v>
      </c>
      <c r="R350" s="1" t="s">
        <v>137</v>
      </c>
      <c r="S350" s="1" t="s">
        <v>47</v>
      </c>
      <c r="T350" s="1" t="s">
        <v>4301</v>
      </c>
      <c r="U350" s="1" t="s">
        <v>1577</v>
      </c>
      <c r="V350" s="1" t="s">
        <v>3963</v>
      </c>
      <c r="W350" s="3">
        <v>45804.0</v>
      </c>
      <c r="X350" s="3">
        <v>45804.0</v>
      </c>
    </row>
    <row r="351">
      <c r="A351" s="1" t="s">
        <v>9047</v>
      </c>
      <c r="B351" s="1" t="s">
        <v>6613</v>
      </c>
      <c r="C351" s="1" t="s">
        <v>6613</v>
      </c>
      <c r="D351" s="1" t="s">
        <v>4293</v>
      </c>
      <c r="E351" s="1" t="s">
        <v>6614</v>
      </c>
      <c r="F351" s="1" t="s">
        <v>9052</v>
      </c>
      <c r="G351" s="3">
        <v>45432.0</v>
      </c>
      <c r="H351" s="3">
        <v>45804.0</v>
      </c>
      <c r="I351" s="3">
        <v>45804.0</v>
      </c>
      <c r="J351" s="1" t="s">
        <v>215</v>
      </c>
      <c r="K351" s="1" t="s">
        <v>160</v>
      </c>
      <c r="L351" s="1" t="s">
        <v>216</v>
      </c>
      <c r="M351" s="1" t="s">
        <v>131</v>
      </c>
      <c r="N351" s="4"/>
      <c r="O351" s="4"/>
      <c r="P351" s="4"/>
      <c r="Q351" s="1" t="s">
        <v>137</v>
      </c>
      <c r="R351" s="1" t="s">
        <v>137</v>
      </c>
      <c r="S351" s="1" t="s">
        <v>47</v>
      </c>
      <c r="T351" s="1" t="s">
        <v>4301</v>
      </c>
      <c r="U351" s="1" t="s">
        <v>1577</v>
      </c>
      <c r="V351" s="1" t="s">
        <v>4950</v>
      </c>
      <c r="W351" s="3">
        <v>45804.0</v>
      </c>
      <c r="X351" s="3">
        <v>45804.0</v>
      </c>
    </row>
    <row r="352">
      <c r="A352" s="1" t="s">
        <v>9069</v>
      </c>
      <c r="B352" s="1" t="s">
        <v>6624</v>
      </c>
      <c r="C352" s="1" t="s">
        <v>6624</v>
      </c>
      <c r="D352" s="1" t="s">
        <v>4293</v>
      </c>
      <c r="E352" s="1" t="s">
        <v>6626</v>
      </c>
      <c r="F352" s="1" t="s">
        <v>9076</v>
      </c>
      <c r="G352" s="3">
        <v>44651.0</v>
      </c>
      <c r="H352" s="3">
        <v>44728.0</v>
      </c>
      <c r="I352" s="3">
        <v>44728.0</v>
      </c>
      <c r="J352" s="1" t="s">
        <v>215</v>
      </c>
      <c r="K352" s="1" t="s">
        <v>160</v>
      </c>
      <c r="L352" s="1" t="s">
        <v>216</v>
      </c>
      <c r="M352" s="1" t="s">
        <v>131</v>
      </c>
      <c r="N352" s="4"/>
      <c r="O352" s="4"/>
      <c r="P352" s="4"/>
      <c r="Q352" s="1" t="s">
        <v>137</v>
      </c>
      <c r="R352" s="1" t="s">
        <v>137</v>
      </c>
      <c r="S352" s="1" t="s">
        <v>47</v>
      </c>
      <c r="T352" s="1" t="s">
        <v>4301</v>
      </c>
      <c r="U352" s="1" t="s">
        <v>1577</v>
      </c>
      <c r="V352" s="1" t="s">
        <v>3858</v>
      </c>
      <c r="W352" s="3">
        <v>44728.0</v>
      </c>
      <c r="X352" s="3">
        <v>44728.0</v>
      </c>
    </row>
    <row r="353">
      <c r="A353" s="1" t="s">
        <v>9087</v>
      </c>
      <c r="B353" s="1" t="s">
        <v>9090</v>
      </c>
      <c r="C353" s="1" t="s">
        <v>9090</v>
      </c>
      <c r="D353" s="1" t="s">
        <v>4293</v>
      </c>
      <c r="E353" s="1" t="s">
        <v>9093</v>
      </c>
      <c r="F353" s="1" t="s">
        <v>9096</v>
      </c>
      <c r="G353" s="3">
        <v>44826.0</v>
      </c>
      <c r="H353" s="13"/>
      <c r="I353" s="4"/>
      <c r="J353" s="1" t="s">
        <v>124</v>
      </c>
      <c r="K353" s="1" t="s">
        <v>160</v>
      </c>
      <c r="L353" s="1" t="s">
        <v>253</v>
      </c>
      <c r="M353" s="1" t="s">
        <v>131</v>
      </c>
      <c r="N353" s="4"/>
      <c r="O353" s="4"/>
      <c r="P353" s="4"/>
      <c r="Q353" s="1" t="s">
        <v>137</v>
      </c>
      <c r="R353" s="1" t="s">
        <v>137</v>
      </c>
      <c r="S353" s="1" t="s">
        <v>47</v>
      </c>
      <c r="T353" s="1" t="s">
        <v>4301</v>
      </c>
      <c r="U353" s="1" t="s">
        <v>1577</v>
      </c>
      <c r="V353" s="1" t="s">
        <v>3858</v>
      </c>
      <c r="W353" s="3"/>
    </row>
    <row r="354">
      <c r="A354" s="1" t="s">
        <v>9105</v>
      </c>
      <c r="B354" s="1" t="s">
        <v>6639</v>
      </c>
      <c r="C354" s="1" t="s">
        <v>6639</v>
      </c>
      <c r="D354" s="1" t="s">
        <v>4293</v>
      </c>
      <c r="E354" s="1" t="s">
        <v>6641</v>
      </c>
      <c r="F354" s="1" t="s">
        <v>9108</v>
      </c>
      <c r="G354" s="3">
        <v>44535.0</v>
      </c>
      <c r="H354" s="3">
        <v>44535.0</v>
      </c>
      <c r="I354" s="3">
        <v>44535.0</v>
      </c>
      <c r="J354" s="1" t="s">
        <v>215</v>
      </c>
      <c r="K354" s="1" t="s">
        <v>160</v>
      </c>
      <c r="L354" s="1" t="s">
        <v>216</v>
      </c>
      <c r="M354" s="1" t="s">
        <v>131</v>
      </c>
      <c r="N354" s="4"/>
      <c r="O354" s="4"/>
      <c r="P354" s="4"/>
      <c r="Q354" s="1" t="s">
        <v>137</v>
      </c>
      <c r="R354" s="1" t="s">
        <v>137</v>
      </c>
      <c r="S354" s="1" t="s">
        <v>47</v>
      </c>
      <c r="T354" s="1" t="s">
        <v>4301</v>
      </c>
      <c r="U354" s="1" t="s">
        <v>1577</v>
      </c>
      <c r="V354" s="1" t="s">
        <v>7334</v>
      </c>
      <c r="W354" s="3">
        <v>44535.0</v>
      </c>
      <c r="X354" s="3">
        <v>44535.0</v>
      </c>
    </row>
    <row r="355">
      <c r="A355" s="1" t="s">
        <v>9114</v>
      </c>
      <c r="B355" s="1" t="s">
        <v>5875</v>
      </c>
      <c r="C355" s="1" t="s">
        <v>5875</v>
      </c>
      <c r="D355" s="1" t="s">
        <v>4293</v>
      </c>
      <c r="E355" s="1" t="s">
        <v>6653</v>
      </c>
      <c r="F355" s="1" t="s">
        <v>9119</v>
      </c>
      <c r="G355" s="3">
        <v>45644.0</v>
      </c>
      <c r="H355" s="3">
        <v>45929.0</v>
      </c>
      <c r="I355" s="3">
        <v>45929.0</v>
      </c>
      <c r="J355" s="1" t="s">
        <v>215</v>
      </c>
      <c r="K355" s="1" t="s">
        <v>160</v>
      </c>
      <c r="L355" s="1" t="s">
        <v>216</v>
      </c>
      <c r="M355" s="1" t="s">
        <v>131</v>
      </c>
      <c r="N355" s="4"/>
      <c r="O355" s="4"/>
      <c r="P355" s="4"/>
      <c r="Q355" s="1" t="s">
        <v>137</v>
      </c>
      <c r="R355" s="1" t="s">
        <v>137</v>
      </c>
      <c r="S355" s="1" t="s">
        <v>47</v>
      </c>
      <c r="T355" s="1" t="s">
        <v>4301</v>
      </c>
      <c r="U355" s="1" t="s">
        <v>1577</v>
      </c>
      <c r="V355" s="1" t="s">
        <v>3858</v>
      </c>
      <c r="W355" s="3">
        <v>45929.0</v>
      </c>
      <c r="X355" s="3">
        <v>45929.0</v>
      </c>
    </row>
    <row r="356">
      <c r="A356" s="1" t="s">
        <v>9127</v>
      </c>
      <c r="B356" s="1" t="s">
        <v>6661</v>
      </c>
      <c r="C356" s="1" t="s">
        <v>6661</v>
      </c>
      <c r="D356" s="1" t="s">
        <v>4293</v>
      </c>
      <c r="E356" s="1" t="s">
        <v>6664</v>
      </c>
      <c r="F356" s="1" t="s">
        <v>9132</v>
      </c>
      <c r="G356" s="3">
        <v>43301.0</v>
      </c>
      <c r="H356" s="3">
        <v>43360.0</v>
      </c>
      <c r="I356" s="3">
        <v>43360.0</v>
      </c>
      <c r="J356" s="1" t="s">
        <v>215</v>
      </c>
      <c r="K356" s="1" t="s">
        <v>160</v>
      </c>
      <c r="L356" s="1" t="s">
        <v>216</v>
      </c>
      <c r="M356" s="1" t="s">
        <v>131</v>
      </c>
      <c r="N356" s="4"/>
      <c r="O356" s="4"/>
      <c r="P356" s="4"/>
      <c r="Q356" s="1" t="s">
        <v>137</v>
      </c>
      <c r="R356" s="1" t="s">
        <v>137</v>
      </c>
      <c r="S356" s="1" t="s">
        <v>47</v>
      </c>
      <c r="T356" s="1" t="s">
        <v>4301</v>
      </c>
      <c r="U356" s="1" t="s">
        <v>1577</v>
      </c>
      <c r="V356" s="1" t="s">
        <v>3858</v>
      </c>
      <c r="W356" s="3">
        <v>43360.0</v>
      </c>
      <c r="X356" s="3">
        <v>43360.0</v>
      </c>
    </row>
    <row r="357">
      <c r="A357" s="1" t="s">
        <v>9144</v>
      </c>
      <c r="B357" s="1" t="s">
        <v>6673</v>
      </c>
      <c r="C357" s="1" t="s">
        <v>6673</v>
      </c>
      <c r="D357" s="1" t="s">
        <v>4293</v>
      </c>
      <c r="E357" s="1" t="s">
        <v>6674</v>
      </c>
      <c r="F357" s="1" t="s">
        <v>9152</v>
      </c>
      <c r="G357" s="3">
        <v>43370.0</v>
      </c>
      <c r="H357" s="3">
        <v>43563.0</v>
      </c>
      <c r="I357" s="3">
        <v>43563.0</v>
      </c>
      <c r="J357" s="1" t="s">
        <v>215</v>
      </c>
      <c r="K357" s="1" t="s">
        <v>160</v>
      </c>
      <c r="L357" s="1" t="s">
        <v>216</v>
      </c>
      <c r="M357" s="1" t="s">
        <v>131</v>
      </c>
      <c r="N357" s="4"/>
      <c r="O357" s="4"/>
      <c r="P357" s="4"/>
      <c r="Q357" s="1" t="s">
        <v>137</v>
      </c>
      <c r="R357" s="1" t="s">
        <v>137</v>
      </c>
      <c r="S357" s="1" t="s">
        <v>47</v>
      </c>
      <c r="T357" s="1" t="s">
        <v>4301</v>
      </c>
      <c r="U357" s="1" t="s">
        <v>1577</v>
      </c>
      <c r="V357" s="1" t="s">
        <v>3858</v>
      </c>
      <c r="W357" s="3">
        <v>43563.0</v>
      </c>
      <c r="X357" s="3">
        <v>43563.0</v>
      </c>
    </row>
    <row r="358">
      <c r="A358" s="1" t="s">
        <v>9163</v>
      </c>
      <c r="B358" s="1" t="s">
        <v>6683</v>
      </c>
      <c r="C358" s="1" t="s">
        <v>6683</v>
      </c>
      <c r="D358" s="1" t="s">
        <v>4293</v>
      </c>
      <c r="E358" s="1" t="s">
        <v>6686</v>
      </c>
      <c r="F358" s="1" t="s">
        <v>9168</v>
      </c>
      <c r="G358" s="3">
        <v>44256.0</v>
      </c>
      <c r="H358" s="3">
        <v>44256.0</v>
      </c>
      <c r="I358" s="3">
        <v>44256.0</v>
      </c>
      <c r="J358" s="1" t="s">
        <v>215</v>
      </c>
      <c r="K358" s="1" t="s">
        <v>160</v>
      </c>
      <c r="L358" s="1" t="s">
        <v>216</v>
      </c>
      <c r="M358" s="1" t="s">
        <v>131</v>
      </c>
      <c r="N358" s="4"/>
      <c r="O358" s="4"/>
      <c r="P358" s="4"/>
      <c r="Q358" s="1" t="s">
        <v>137</v>
      </c>
      <c r="R358" s="1" t="s">
        <v>137</v>
      </c>
      <c r="S358" s="1" t="s">
        <v>47</v>
      </c>
      <c r="T358" s="1" t="s">
        <v>4301</v>
      </c>
      <c r="U358" s="1" t="s">
        <v>1577</v>
      </c>
      <c r="V358" s="1" t="s">
        <v>3858</v>
      </c>
      <c r="W358" s="3">
        <v>44256.0</v>
      </c>
      <c r="X358" s="3">
        <v>44256.0</v>
      </c>
    </row>
    <row r="359">
      <c r="A359" s="1" t="s">
        <v>9180</v>
      </c>
      <c r="B359" s="1" t="s">
        <v>6693</v>
      </c>
      <c r="C359" s="1" t="s">
        <v>6693</v>
      </c>
      <c r="D359" s="1" t="s">
        <v>4293</v>
      </c>
      <c r="E359" s="1" t="s">
        <v>6694</v>
      </c>
      <c r="F359" s="1" t="s">
        <v>9190</v>
      </c>
      <c r="G359" s="3">
        <v>42993.0</v>
      </c>
      <c r="H359" s="3">
        <v>43040.0</v>
      </c>
      <c r="I359" s="3">
        <v>43040.0</v>
      </c>
      <c r="J359" s="1" t="s">
        <v>215</v>
      </c>
      <c r="K359" s="1" t="s">
        <v>160</v>
      </c>
      <c r="L359" s="1" t="s">
        <v>216</v>
      </c>
      <c r="M359" s="1" t="s">
        <v>131</v>
      </c>
      <c r="N359" s="4"/>
      <c r="O359" s="4"/>
      <c r="P359" s="4"/>
      <c r="Q359" s="1" t="s">
        <v>137</v>
      </c>
      <c r="R359" s="1" t="s">
        <v>137</v>
      </c>
      <c r="S359" s="1" t="s">
        <v>47</v>
      </c>
      <c r="T359" s="1" t="s">
        <v>4301</v>
      </c>
      <c r="U359" s="1" t="s">
        <v>1577</v>
      </c>
      <c r="V359" s="1" t="s">
        <v>3858</v>
      </c>
      <c r="W359" s="3">
        <v>43040.0</v>
      </c>
      <c r="X359" s="3">
        <v>43040.0</v>
      </c>
    </row>
    <row r="360">
      <c r="A360" s="1" t="s">
        <v>9198</v>
      </c>
      <c r="B360" s="1" t="s">
        <v>7109</v>
      </c>
      <c r="C360" s="1" t="s">
        <v>7109</v>
      </c>
      <c r="D360" s="1" t="s">
        <v>4293</v>
      </c>
      <c r="E360" s="1" t="s">
        <v>9202</v>
      </c>
      <c r="F360" s="1" t="s">
        <v>9203</v>
      </c>
      <c r="G360" s="3">
        <v>45783.0</v>
      </c>
      <c r="H360" s="3"/>
      <c r="I360" s="3"/>
      <c r="J360" s="1" t="s">
        <v>124</v>
      </c>
      <c r="K360" s="1" t="s">
        <v>160</v>
      </c>
      <c r="L360" s="1" t="s">
        <v>253</v>
      </c>
      <c r="M360" s="1" t="s">
        <v>131</v>
      </c>
      <c r="N360" s="4"/>
      <c r="O360" s="4"/>
      <c r="P360" s="4"/>
      <c r="Q360" s="1" t="s">
        <v>137</v>
      </c>
      <c r="R360" s="1" t="s">
        <v>137</v>
      </c>
      <c r="S360" s="1" t="s">
        <v>47</v>
      </c>
      <c r="T360" s="1" t="s">
        <v>4301</v>
      </c>
      <c r="U360" s="1" t="s">
        <v>1577</v>
      </c>
      <c r="V360" s="1" t="s">
        <v>4679</v>
      </c>
      <c r="W360" s="3"/>
    </row>
    <row r="361">
      <c r="A361" s="1" t="s">
        <v>9212</v>
      </c>
      <c r="B361" s="1" t="s">
        <v>7109</v>
      </c>
      <c r="C361" s="1" t="s">
        <v>7109</v>
      </c>
      <c r="D361" s="1" t="s">
        <v>4293</v>
      </c>
      <c r="E361" s="1" t="s">
        <v>9202</v>
      </c>
      <c r="F361" s="1" t="s">
        <v>9218</v>
      </c>
      <c r="G361" s="3">
        <v>45783.0</v>
      </c>
      <c r="H361" s="3"/>
      <c r="I361" s="3"/>
      <c r="J361" s="1" t="s">
        <v>124</v>
      </c>
      <c r="K361" s="1" t="s">
        <v>160</v>
      </c>
      <c r="L361" s="1" t="s">
        <v>253</v>
      </c>
      <c r="M361" s="1" t="s">
        <v>131</v>
      </c>
      <c r="N361" s="4"/>
      <c r="O361" s="4"/>
      <c r="P361" s="4"/>
      <c r="Q361" s="1" t="s">
        <v>137</v>
      </c>
      <c r="R361" s="1" t="s">
        <v>137</v>
      </c>
      <c r="S361" s="1" t="s">
        <v>47</v>
      </c>
      <c r="T361" s="1" t="s">
        <v>4301</v>
      </c>
      <c r="U361" s="1" t="s">
        <v>1577</v>
      </c>
      <c r="V361" s="1" t="s">
        <v>4950</v>
      </c>
      <c r="W361" s="3"/>
      <c r="X361" s="3"/>
    </row>
    <row r="362">
      <c r="A362" s="1" t="s">
        <v>9232</v>
      </c>
      <c r="B362" s="1" t="s">
        <v>7109</v>
      </c>
      <c r="C362" s="1" t="s">
        <v>7109</v>
      </c>
      <c r="D362" s="1" t="s">
        <v>4293</v>
      </c>
      <c r="E362" s="1" t="s">
        <v>9202</v>
      </c>
      <c r="F362" s="1" t="s">
        <v>9239</v>
      </c>
      <c r="G362" s="3">
        <v>45783.0</v>
      </c>
      <c r="H362" s="3"/>
      <c r="I362" s="3"/>
      <c r="J362" s="1" t="s">
        <v>124</v>
      </c>
      <c r="K362" s="1" t="s">
        <v>160</v>
      </c>
      <c r="L362" s="1" t="s">
        <v>253</v>
      </c>
      <c r="M362" s="1" t="s">
        <v>131</v>
      </c>
      <c r="N362" s="4"/>
      <c r="O362" s="4"/>
      <c r="P362" s="4"/>
      <c r="Q362" s="1" t="s">
        <v>137</v>
      </c>
      <c r="R362" s="1" t="s">
        <v>137</v>
      </c>
      <c r="S362" s="1" t="s">
        <v>47</v>
      </c>
      <c r="T362" s="1" t="s">
        <v>4301</v>
      </c>
      <c r="U362" s="1" t="s">
        <v>1577</v>
      </c>
      <c r="V362" s="1" t="s">
        <v>5104</v>
      </c>
      <c r="W362" s="3"/>
      <c r="X362" s="3"/>
    </row>
    <row r="363">
      <c r="A363" s="1" t="s">
        <v>9251</v>
      </c>
      <c r="B363" s="1" t="s">
        <v>7109</v>
      </c>
      <c r="C363" s="1" t="s">
        <v>7109</v>
      </c>
      <c r="D363" s="1" t="s">
        <v>4293</v>
      </c>
      <c r="E363" s="1" t="s">
        <v>9202</v>
      </c>
      <c r="F363" s="1" t="s">
        <v>9259</v>
      </c>
      <c r="G363" s="3">
        <v>45783.0</v>
      </c>
      <c r="H363" s="3"/>
      <c r="I363" s="3"/>
      <c r="J363" s="1" t="s">
        <v>124</v>
      </c>
      <c r="K363" s="1" t="s">
        <v>160</v>
      </c>
      <c r="L363" s="1" t="s">
        <v>253</v>
      </c>
      <c r="M363" s="1" t="s">
        <v>131</v>
      </c>
      <c r="N363" s="4"/>
      <c r="O363" s="4"/>
      <c r="P363" s="4"/>
      <c r="Q363" s="1" t="s">
        <v>137</v>
      </c>
      <c r="R363" s="1" t="s">
        <v>137</v>
      </c>
      <c r="S363" s="1" t="s">
        <v>47</v>
      </c>
      <c r="T363" s="1" t="s">
        <v>4301</v>
      </c>
      <c r="U363" s="1" t="s">
        <v>1577</v>
      </c>
      <c r="V363" s="1" t="s">
        <v>5120</v>
      </c>
      <c r="W363" s="3"/>
      <c r="X363" s="3"/>
    </row>
    <row r="364">
      <c r="A364" s="1" t="s">
        <v>9270</v>
      </c>
      <c r="B364" s="1" t="s">
        <v>6701</v>
      </c>
      <c r="C364" s="1" t="s">
        <v>6701</v>
      </c>
      <c r="D364" s="1" t="s">
        <v>4293</v>
      </c>
      <c r="E364" s="1" t="s">
        <v>6704</v>
      </c>
      <c r="F364" s="1" t="s">
        <v>9280</v>
      </c>
      <c r="G364" s="3">
        <v>45698.0</v>
      </c>
      <c r="H364" s="3">
        <v>45882.0</v>
      </c>
      <c r="I364" s="3">
        <v>45882.0</v>
      </c>
      <c r="J364" s="1" t="s">
        <v>215</v>
      </c>
      <c r="K364" s="1" t="s">
        <v>160</v>
      </c>
      <c r="L364" s="1" t="s">
        <v>216</v>
      </c>
      <c r="M364" s="1" t="s">
        <v>131</v>
      </c>
      <c r="N364" s="13"/>
      <c r="O364" s="4"/>
      <c r="P364" s="4"/>
      <c r="Q364" s="1" t="s">
        <v>137</v>
      </c>
      <c r="R364" s="1" t="s">
        <v>137</v>
      </c>
      <c r="S364" s="1" t="s">
        <v>47</v>
      </c>
      <c r="T364" s="1" t="s">
        <v>4301</v>
      </c>
      <c r="U364" s="1" t="s">
        <v>1577</v>
      </c>
      <c r="V364" s="1" t="s">
        <v>3858</v>
      </c>
      <c r="W364" s="3">
        <v>45882.0</v>
      </c>
      <c r="X364" s="3">
        <v>45882.0</v>
      </c>
    </row>
    <row r="365">
      <c r="A365" s="1" t="s">
        <v>9291</v>
      </c>
      <c r="B365" s="1" t="s">
        <v>6701</v>
      </c>
      <c r="C365" s="1" t="s">
        <v>6701</v>
      </c>
      <c r="D365" s="1" t="s">
        <v>4293</v>
      </c>
      <c r="E365" s="1" t="s">
        <v>6704</v>
      </c>
      <c r="F365" s="1" t="s">
        <v>9296</v>
      </c>
      <c r="G365" s="3">
        <v>45698.0</v>
      </c>
      <c r="H365" s="3">
        <v>45882.0</v>
      </c>
      <c r="I365" s="3">
        <v>45882.0</v>
      </c>
      <c r="J365" s="1" t="s">
        <v>215</v>
      </c>
      <c r="K365" s="1" t="s">
        <v>160</v>
      </c>
      <c r="L365" s="1" t="s">
        <v>216</v>
      </c>
      <c r="M365" s="1" t="s">
        <v>131</v>
      </c>
      <c r="N365" s="4"/>
      <c r="O365" s="4"/>
      <c r="P365" s="4"/>
      <c r="Q365" s="1" t="s">
        <v>137</v>
      </c>
      <c r="R365" s="1" t="s">
        <v>137</v>
      </c>
      <c r="S365" s="1" t="s">
        <v>47</v>
      </c>
      <c r="T365" s="1" t="s">
        <v>4301</v>
      </c>
      <c r="U365" s="1" t="s">
        <v>1577</v>
      </c>
      <c r="V365" s="1" t="s">
        <v>4950</v>
      </c>
      <c r="W365" s="3">
        <v>45882.0</v>
      </c>
      <c r="X365" s="3">
        <v>45882.0</v>
      </c>
    </row>
    <row r="366">
      <c r="A366" s="1" t="s">
        <v>9306</v>
      </c>
      <c r="B366" s="1" t="s">
        <v>6713</v>
      </c>
      <c r="C366" s="1" t="s">
        <v>6713</v>
      </c>
      <c r="D366" s="1" t="s">
        <v>4293</v>
      </c>
      <c r="E366" s="1" t="s">
        <v>6714</v>
      </c>
      <c r="F366" s="1" t="s">
        <v>9307</v>
      </c>
      <c r="G366" s="3">
        <v>43675.0</v>
      </c>
      <c r="H366" s="3">
        <v>43936.0</v>
      </c>
      <c r="I366" s="3">
        <v>43936.0</v>
      </c>
      <c r="J366" s="1" t="s">
        <v>215</v>
      </c>
      <c r="K366" s="1" t="s">
        <v>160</v>
      </c>
      <c r="L366" s="1" t="s">
        <v>216</v>
      </c>
      <c r="M366" s="1" t="s">
        <v>131</v>
      </c>
      <c r="N366" s="4"/>
      <c r="O366" s="4"/>
      <c r="P366" s="4"/>
      <c r="Q366" s="1" t="s">
        <v>137</v>
      </c>
      <c r="R366" s="1" t="s">
        <v>137</v>
      </c>
      <c r="S366" s="1" t="s">
        <v>47</v>
      </c>
      <c r="T366" s="1" t="s">
        <v>4301</v>
      </c>
      <c r="U366" s="1" t="s">
        <v>1577</v>
      </c>
      <c r="V366" s="1" t="s">
        <v>3858</v>
      </c>
      <c r="W366" s="3">
        <v>43936.0</v>
      </c>
      <c r="X366" s="3">
        <v>43936.0</v>
      </c>
    </row>
    <row r="367">
      <c r="A367" s="1" t="s">
        <v>9317</v>
      </c>
      <c r="B367" s="1" t="s">
        <v>6721</v>
      </c>
      <c r="C367" s="1" t="s">
        <v>6721</v>
      </c>
      <c r="D367" s="1" t="s">
        <v>4293</v>
      </c>
      <c r="E367" s="1" t="s">
        <v>6722</v>
      </c>
      <c r="F367" s="1" t="s">
        <v>9321</v>
      </c>
      <c r="G367" s="3">
        <v>45266.0</v>
      </c>
      <c r="H367" s="3">
        <v>45449.0</v>
      </c>
      <c r="I367" s="3">
        <v>45449.0</v>
      </c>
      <c r="J367" s="1" t="s">
        <v>215</v>
      </c>
      <c r="K367" s="1" t="s">
        <v>160</v>
      </c>
      <c r="L367" s="1" t="s">
        <v>216</v>
      </c>
      <c r="M367" s="1" t="s">
        <v>131</v>
      </c>
      <c r="N367" s="4"/>
      <c r="O367" s="4"/>
      <c r="P367" s="4"/>
      <c r="Q367" s="1" t="s">
        <v>137</v>
      </c>
      <c r="R367" s="1" t="s">
        <v>137</v>
      </c>
      <c r="S367" s="1" t="s">
        <v>47</v>
      </c>
      <c r="T367" s="1" t="s">
        <v>4301</v>
      </c>
      <c r="U367" s="1" t="s">
        <v>1577</v>
      </c>
      <c r="V367" s="1" t="s">
        <v>3858</v>
      </c>
      <c r="W367" s="3">
        <v>45449.0</v>
      </c>
      <c r="X367" s="3">
        <v>45449.0</v>
      </c>
    </row>
    <row r="368">
      <c r="A368" s="1" t="s">
        <v>9336</v>
      </c>
      <c r="B368" s="1" t="s">
        <v>9337</v>
      </c>
      <c r="C368" s="1" t="s">
        <v>9337</v>
      </c>
      <c r="D368" s="1" t="s">
        <v>4293</v>
      </c>
      <c r="E368" s="1" t="s">
        <v>9340</v>
      </c>
      <c r="F368" s="1" t="s">
        <v>9342</v>
      </c>
      <c r="G368" s="3">
        <v>45631.0</v>
      </c>
      <c r="H368" s="3"/>
      <c r="I368" s="3"/>
      <c r="J368" s="1" t="s">
        <v>124</v>
      </c>
      <c r="K368" s="1" t="s">
        <v>160</v>
      </c>
      <c r="L368" s="1" t="s">
        <v>253</v>
      </c>
      <c r="M368" s="1" t="s">
        <v>131</v>
      </c>
      <c r="N368" s="4"/>
      <c r="O368" s="4"/>
      <c r="P368" s="4"/>
      <c r="Q368" s="1" t="s">
        <v>137</v>
      </c>
      <c r="R368" s="1" t="s">
        <v>137</v>
      </c>
      <c r="S368" s="1" t="s">
        <v>47</v>
      </c>
      <c r="T368" s="1" t="s">
        <v>4301</v>
      </c>
      <c r="U368" s="1" t="s">
        <v>1577</v>
      </c>
      <c r="V368" s="1" t="s">
        <v>4950</v>
      </c>
      <c r="W368" s="3"/>
      <c r="X368" s="3"/>
    </row>
    <row r="369">
      <c r="A369" s="1" t="s">
        <v>9358</v>
      </c>
      <c r="B369" s="1" t="s">
        <v>6731</v>
      </c>
      <c r="C369" s="1" t="s">
        <v>6731</v>
      </c>
      <c r="D369" s="1" t="s">
        <v>4293</v>
      </c>
      <c r="E369" s="1" t="s">
        <v>6734</v>
      </c>
      <c r="F369" s="1" t="s">
        <v>9365</v>
      </c>
      <c r="G369" s="3">
        <v>44547.0</v>
      </c>
      <c r="H369" s="3">
        <v>44749.0</v>
      </c>
      <c r="I369" s="3">
        <v>44749.0</v>
      </c>
      <c r="J369" s="1" t="s">
        <v>215</v>
      </c>
      <c r="K369" s="1" t="s">
        <v>160</v>
      </c>
      <c r="L369" s="1" t="s">
        <v>216</v>
      </c>
      <c r="M369" s="1" t="s">
        <v>131</v>
      </c>
      <c r="N369" s="4"/>
      <c r="O369" s="4"/>
      <c r="P369" s="4"/>
      <c r="Q369" s="1" t="s">
        <v>137</v>
      </c>
      <c r="R369" s="1" t="s">
        <v>137</v>
      </c>
      <c r="S369" s="1" t="s">
        <v>47</v>
      </c>
      <c r="T369" s="1" t="s">
        <v>4301</v>
      </c>
      <c r="U369" s="1" t="s">
        <v>1577</v>
      </c>
      <c r="V369" s="1" t="s">
        <v>3858</v>
      </c>
      <c r="W369" s="3">
        <v>44749.0</v>
      </c>
      <c r="X369" s="3">
        <v>44749.0</v>
      </c>
    </row>
    <row r="370">
      <c r="A370" s="1" t="s">
        <v>9377</v>
      </c>
      <c r="B370" s="1" t="s">
        <v>6745</v>
      </c>
      <c r="C370" s="1" t="s">
        <v>6745</v>
      </c>
      <c r="D370" s="1" t="s">
        <v>4293</v>
      </c>
      <c r="E370" s="1" t="s">
        <v>6749</v>
      </c>
      <c r="F370" s="1" t="s">
        <v>9381</v>
      </c>
      <c r="G370" s="3">
        <v>44183.0</v>
      </c>
      <c r="H370" s="3">
        <v>44308.0</v>
      </c>
      <c r="I370" s="3">
        <v>44308.0</v>
      </c>
      <c r="J370" s="1" t="s">
        <v>215</v>
      </c>
      <c r="K370" s="1" t="s">
        <v>160</v>
      </c>
      <c r="L370" s="1" t="s">
        <v>216</v>
      </c>
      <c r="M370" s="1" t="s">
        <v>131</v>
      </c>
      <c r="N370" s="4"/>
      <c r="O370" s="4"/>
      <c r="P370" s="4"/>
      <c r="Q370" s="1" t="s">
        <v>137</v>
      </c>
      <c r="R370" s="1" t="s">
        <v>137</v>
      </c>
      <c r="S370" s="1" t="s">
        <v>47</v>
      </c>
      <c r="T370" s="1" t="s">
        <v>4301</v>
      </c>
      <c r="U370" s="1" t="s">
        <v>1577</v>
      </c>
      <c r="V370" s="1" t="s">
        <v>3858</v>
      </c>
      <c r="W370" s="3">
        <v>44308.0</v>
      </c>
      <c r="X370" s="3">
        <v>44308.0</v>
      </c>
    </row>
    <row r="371">
      <c r="A371" s="1" t="s">
        <v>9392</v>
      </c>
      <c r="B371" s="1" t="s">
        <v>6745</v>
      </c>
      <c r="C371" s="1" t="s">
        <v>6745</v>
      </c>
      <c r="D371" s="1" t="s">
        <v>4293</v>
      </c>
      <c r="E371" s="1" t="s">
        <v>6749</v>
      </c>
      <c r="F371" s="1" t="s">
        <v>9398</v>
      </c>
      <c r="G371" s="3">
        <v>44183.0</v>
      </c>
      <c r="H371" s="3">
        <v>44308.0</v>
      </c>
      <c r="I371" s="3">
        <v>44308.0</v>
      </c>
      <c r="J371" s="1" t="s">
        <v>215</v>
      </c>
      <c r="K371" s="1" t="s">
        <v>160</v>
      </c>
      <c r="L371" s="1" t="s">
        <v>216</v>
      </c>
      <c r="M371" s="1" t="s">
        <v>131</v>
      </c>
      <c r="N371" s="4"/>
      <c r="O371" s="4"/>
      <c r="P371" s="4"/>
      <c r="Q371" s="1" t="s">
        <v>137</v>
      </c>
      <c r="R371" s="1" t="s">
        <v>137</v>
      </c>
      <c r="S371" s="1" t="s">
        <v>47</v>
      </c>
      <c r="T371" s="1" t="s">
        <v>4301</v>
      </c>
      <c r="U371" s="1" t="s">
        <v>1577</v>
      </c>
      <c r="V371" s="1" t="s">
        <v>3963</v>
      </c>
      <c r="W371" s="3">
        <v>44308.0</v>
      </c>
      <c r="X371" s="3">
        <v>44308.0</v>
      </c>
    </row>
    <row r="372">
      <c r="A372" s="1" t="s">
        <v>9409</v>
      </c>
      <c r="B372" s="1" t="s">
        <v>6745</v>
      </c>
      <c r="C372" s="1" t="s">
        <v>6745</v>
      </c>
      <c r="D372" s="1" t="s">
        <v>4293</v>
      </c>
      <c r="E372" s="1" t="s">
        <v>6749</v>
      </c>
      <c r="F372" s="1" t="s">
        <v>9414</v>
      </c>
      <c r="G372" s="3">
        <v>44183.0</v>
      </c>
      <c r="H372" s="3">
        <v>44308.0</v>
      </c>
      <c r="I372" s="3">
        <v>44308.0</v>
      </c>
      <c r="J372" s="1" t="s">
        <v>215</v>
      </c>
      <c r="K372" s="1" t="s">
        <v>160</v>
      </c>
      <c r="L372" s="1" t="s">
        <v>216</v>
      </c>
      <c r="M372" s="1" t="s">
        <v>131</v>
      </c>
      <c r="N372" s="4"/>
      <c r="O372" s="4"/>
      <c r="P372" s="4"/>
      <c r="Q372" s="1" t="s">
        <v>137</v>
      </c>
      <c r="R372" s="1" t="s">
        <v>137</v>
      </c>
      <c r="S372" s="1" t="s">
        <v>47</v>
      </c>
      <c r="T372" s="1" t="s">
        <v>4301</v>
      </c>
      <c r="U372" s="1" t="s">
        <v>1577</v>
      </c>
      <c r="V372" s="1" t="s">
        <v>4054</v>
      </c>
      <c r="W372" s="3">
        <v>44308.0</v>
      </c>
      <c r="X372" s="3">
        <v>44308.0</v>
      </c>
    </row>
    <row r="373">
      <c r="A373" s="1" t="s">
        <v>9430</v>
      </c>
      <c r="B373" s="1" t="s">
        <v>6745</v>
      </c>
      <c r="C373" s="1" t="s">
        <v>6745</v>
      </c>
      <c r="D373" s="1" t="s">
        <v>4293</v>
      </c>
      <c r="E373" s="1" t="s">
        <v>6749</v>
      </c>
      <c r="F373" s="1" t="s">
        <v>9435</v>
      </c>
      <c r="G373" s="3">
        <v>44183.0</v>
      </c>
      <c r="H373" s="3">
        <v>44308.0</v>
      </c>
      <c r="I373" s="3">
        <v>44308.0</v>
      </c>
      <c r="J373" s="1" t="s">
        <v>215</v>
      </c>
      <c r="K373" s="1" t="s">
        <v>160</v>
      </c>
      <c r="L373" s="1" t="s">
        <v>216</v>
      </c>
      <c r="M373" s="1" t="s">
        <v>131</v>
      </c>
      <c r="N373" s="4"/>
      <c r="O373" s="4"/>
      <c r="P373" s="4"/>
      <c r="Q373" s="1" t="s">
        <v>137</v>
      </c>
      <c r="R373" s="1" t="s">
        <v>137</v>
      </c>
      <c r="S373" s="1" t="s">
        <v>47</v>
      </c>
      <c r="T373" s="1" t="s">
        <v>4301</v>
      </c>
      <c r="U373" s="1" t="s">
        <v>1577</v>
      </c>
      <c r="V373" s="1" t="s">
        <v>3865</v>
      </c>
      <c r="W373" s="3">
        <v>44308.0</v>
      </c>
      <c r="X373" s="3">
        <v>44308.0</v>
      </c>
    </row>
    <row r="374">
      <c r="A374" s="1" t="s">
        <v>9445</v>
      </c>
      <c r="B374" s="1" t="s">
        <v>6745</v>
      </c>
      <c r="C374" s="1" t="s">
        <v>6745</v>
      </c>
      <c r="D374" s="1" t="s">
        <v>4293</v>
      </c>
      <c r="E374" s="1" t="s">
        <v>6749</v>
      </c>
      <c r="F374" s="1" t="s">
        <v>9448</v>
      </c>
      <c r="G374" s="3">
        <v>44183.0</v>
      </c>
      <c r="H374" s="3">
        <v>44308.0</v>
      </c>
      <c r="I374" s="3">
        <v>44308.0</v>
      </c>
      <c r="J374" s="1" t="s">
        <v>215</v>
      </c>
      <c r="K374" s="1" t="s">
        <v>160</v>
      </c>
      <c r="L374" s="1" t="s">
        <v>216</v>
      </c>
      <c r="M374" s="1" t="s">
        <v>131</v>
      </c>
      <c r="N374" s="4"/>
      <c r="O374" s="4"/>
      <c r="P374" s="4"/>
      <c r="Q374" s="1" t="s">
        <v>137</v>
      </c>
      <c r="R374" s="1" t="s">
        <v>137</v>
      </c>
      <c r="S374" s="1" t="s">
        <v>47</v>
      </c>
      <c r="T374" s="1" t="s">
        <v>4301</v>
      </c>
      <c r="U374" s="1" t="s">
        <v>1577</v>
      </c>
      <c r="V374" s="1" t="s">
        <v>4950</v>
      </c>
      <c r="W374" s="3">
        <v>44308.0</v>
      </c>
      <c r="X374" s="3">
        <v>44308.0</v>
      </c>
    </row>
    <row r="375">
      <c r="A375" s="1" t="s">
        <v>9458</v>
      </c>
      <c r="B375" s="1" t="s">
        <v>6758</v>
      </c>
      <c r="C375" s="1" t="s">
        <v>6758</v>
      </c>
      <c r="D375" s="1" t="s">
        <v>4293</v>
      </c>
      <c r="E375" s="1" t="s">
        <v>6760</v>
      </c>
      <c r="F375" s="1" t="s">
        <v>9462</v>
      </c>
      <c r="G375" s="3">
        <v>44166.0</v>
      </c>
      <c r="H375" s="3">
        <v>44166.0</v>
      </c>
      <c r="I375" s="3">
        <v>44166.0</v>
      </c>
      <c r="J375" s="1" t="s">
        <v>215</v>
      </c>
      <c r="K375" s="1" t="s">
        <v>160</v>
      </c>
      <c r="L375" s="1" t="s">
        <v>216</v>
      </c>
      <c r="M375" s="1" t="s">
        <v>131</v>
      </c>
      <c r="N375" s="4"/>
      <c r="O375" s="4"/>
      <c r="P375" s="4"/>
      <c r="Q375" s="1" t="s">
        <v>137</v>
      </c>
      <c r="R375" s="1" t="s">
        <v>137</v>
      </c>
      <c r="S375" s="1" t="s">
        <v>47</v>
      </c>
      <c r="T375" s="1" t="s">
        <v>4301</v>
      </c>
      <c r="U375" s="1" t="s">
        <v>1577</v>
      </c>
      <c r="V375" s="1" t="s">
        <v>3858</v>
      </c>
      <c r="W375" s="3">
        <v>44166.0</v>
      </c>
      <c r="X375" s="3">
        <v>44166.0</v>
      </c>
    </row>
    <row r="376">
      <c r="A376" s="1" t="s">
        <v>9473</v>
      </c>
      <c r="B376" s="1" t="s">
        <v>6758</v>
      </c>
      <c r="C376" s="1" t="s">
        <v>6758</v>
      </c>
      <c r="D376" s="1" t="s">
        <v>4293</v>
      </c>
      <c r="E376" s="1" t="s">
        <v>6760</v>
      </c>
      <c r="F376" s="1" t="s">
        <v>9476</v>
      </c>
      <c r="G376" s="3">
        <v>44166.0</v>
      </c>
      <c r="H376" s="3">
        <v>44166.0</v>
      </c>
      <c r="I376" s="3">
        <v>44166.0</v>
      </c>
      <c r="J376" s="1" t="s">
        <v>215</v>
      </c>
      <c r="K376" s="1" t="s">
        <v>160</v>
      </c>
      <c r="L376" s="1" t="s">
        <v>216</v>
      </c>
      <c r="M376" s="1" t="s">
        <v>131</v>
      </c>
      <c r="N376" s="4"/>
      <c r="O376" s="4"/>
      <c r="P376" s="4"/>
      <c r="Q376" s="1" t="s">
        <v>137</v>
      </c>
      <c r="R376" s="1" t="s">
        <v>137</v>
      </c>
      <c r="S376" s="1" t="s">
        <v>47</v>
      </c>
      <c r="T376" s="1" t="s">
        <v>4301</v>
      </c>
      <c r="U376" s="1" t="s">
        <v>1577</v>
      </c>
      <c r="V376" s="1" t="s">
        <v>4679</v>
      </c>
      <c r="W376" s="3">
        <v>44166.0</v>
      </c>
      <c r="X376" s="3">
        <v>44166.0</v>
      </c>
    </row>
    <row r="377">
      <c r="A377" s="1" t="s">
        <v>9491</v>
      </c>
      <c r="B377" s="1" t="s">
        <v>6758</v>
      </c>
      <c r="C377" s="1" t="s">
        <v>6758</v>
      </c>
      <c r="D377" s="1" t="s">
        <v>4293</v>
      </c>
      <c r="E377" s="1" t="s">
        <v>6760</v>
      </c>
      <c r="F377" s="1" t="s">
        <v>9495</v>
      </c>
      <c r="G377" s="3">
        <v>44166.0</v>
      </c>
      <c r="H377" s="3">
        <v>44166.0</v>
      </c>
      <c r="I377" s="3">
        <v>44166.0</v>
      </c>
      <c r="J377" s="1" t="s">
        <v>215</v>
      </c>
      <c r="K377" s="1" t="s">
        <v>160</v>
      </c>
      <c r="L377" s="1" t="s">
        <v>216</v>
      </c>
      <c r="M377" s="1" t="s">
        <v>131</v>
      </c>
      <c r="N377" s="4"/>
      <c r="O377" s="4"/>
      <c r="P377" s="4"/>
      <c r="Q377" s="1" t="s">
        <v>137</v>
      </c>
      <c r="R377" s="1" t="s">
        <v>137</v>
      </c>
      <c r="S377" s="1" t="s">
        <v>47</v>
      </c>
      <c r="T377" s="1" t="s">
        <v>4301</v>
      </c>
      <c r="U377" s="1" t="s">
        <v>1577</v>
      </c>
      <c r="V377" s="1" t="s">
        <v>4950</v>
      </c>
      <c r="W377" s="3">
        <v>44166.0</v>
      </c>
      <c r="X377" s="3">
        <v>44166.0</v>
      </c>
    </row>
    <row r="378">
      <c r="A378" s="1" t="s">
        <v>9510</v>
      </c>
      <c r="B378" s="1" t="s">
        <v>6758</v>
      </c>
      <c r="C378" s="1" t="s">
        <v>6758</v>
      </c>
      <c r="D378" s="1" t="s">
        <v>4293</v>
      </c>
      <c r="E378" s="1" t="s">
        <v>6760</v>
      </c>
      <c r="F378" s="1" t="s">
        <v>9515</v>
      </c>
      <c r="G378" s="3">
        <v>44166.0</v>
      </c>
      <c r="H378" s="3">
        <v>44166.0</v>
      </c>
      <c r="I378" s="3">
        <v>44166.0</v>
      </c>
      <c r="J378" s="1" t="s">
        <v>215</v>
      </c>
      <c r="K378" s="1" t="s">
        <v>160</v>
      </c>
      <c r="L378" s="1" t="s">
        <v>216</v>
      </c>
      <c r="M378" s="1" t="s">
        <v>131</v>
      </c>
      <c r="N378" s="4"/>
      <c r="O378" s="4"/>
      <c r="P378" s="4"/>
      <c r="Q378" s="1" t="s">
        <v>137</v>
      </c>
      <c r="R378" s="1" t="s">
        <v>137</v>
      </c>
      <c r="S378" s="1" t="s">
        <v>47</v>
      </c>
      <c r="T378" s="1" t="s">
        <v>4301</v>
      </c>
      <c r="U378" s="1" t="s">
        <v>1577</v>
      </c>
      <c r="V378" s="1" t="s">
        <v>5104</v>
      </c>
      <c r="W378" s="3">
        <v>44166.0</v>
      </c>
      <c r="X378" s="3">
        <v>44166.0</v>
      </c>
    </row>
    <row r="379">
      <c r="A379" s="1" t="s">
        <v>9545</v>
      </c>
      <c r="B379" s="1" t="s">
        <v>6758</v>
      </c>
      <c r="C379" s="1" t="s">
        <v>6758</v>
      </c>
      <c r="D379" s="1" t="s">
        <v>4293</v>
      </c>
      <c r="E379" s="1" t="s">
        <v>6760</v>
      </c>
      <c r="F379" s="1" t="s">
        <v>9550</v>
      </c>
      <c r="G379" s="3">
        <v>44166.0</v>
      </c>
      <c r="H379" s="3">
        <v>44166.0</v>
      </c>
      <c r="I379" s="3">
        <v>44166.0</v>
      </c>
      <c r="J379" s="1" t="s">
        <v>215</v>
      </c>
      <c r="K379" s="1" t="s">
        <v>160</v>
      </c>
      <c r="L379" s="1" t="s">
        <v>216</v>
      </c>
      <c r="M379" s="1" t="s">
        <v>131</v>
      </c>
      <c r="N379" s="4"/>
      <c r="O379" s="4"/>
      <c r="P379" s="4"/>
      <c r="Q379" s="1" t="s">
        <v>137</v>
      </c>
      <c r="R379" s="1" t="s">
        <v>137</v>
      </c>
      <c r="S379" s="1" t="s">
        <v>47</v>
      </c>
      <c r="T379" s="1" t="s">
        <v>4301</v>
      </c>
      <c r="U379" s="1" t="s">
        <v>1577</v>
      </c>
      <c r="V379" s="1" t="s">
        <v>5120</v>
      </c>
      <c r="W379" s="3">
        <v>44166.0</v>
      </c>
      <c r="X379" s="3">
        <v>44166.0</v>
      </c>
    </row>
    <row r="380">
      <c r="A380" s="1" t="s">
        <v>9567</v>
      </c>
      <c r="B380" s="1" t="s">
        <v>6766</v>
      </c>
      <c r="C380" s="1" t="s">
        <v>6766</v>
      </c>
      <c r="D380" s="1" t="s">
        <v>4293</v>
      </c>
      <c r="E380" s="1" t="s">
        <v>6768</v>
      </c>
      <c r="F380" s="1" t="s">
        <v>9576</v>
      </c>
      <c r="G380" s="3">
        <v>44378.0</v>
      </c>
      <c r="H380" s="3">
        <v>44378.0</v>
      </c>
      <c r="I380" s="3">
        <v>44378.0</v>
      </c>
      <c r="J380" s="1" t="s">
        <v>215</v>
      </c>
      <c r="K380" s="1" t="s">
        <v>160</v>
      </c>
      <c r="L380" s="1" t="s">
        <v>216</v>
      </c>
      <c r="M380" s="1" t="s">
        <v>131</v>
      </c>
      <c r="O380" s="4"/>
      <c r="P380" s="4"/>
      <c r="Q380" s="1" t="s">
        <v>137</v>
      </c>
      <c r="R380" s="1" t="s">
        <v>137</v>
      </c>
      <c r="S380" s="1" t="s">
        <v>47</v>
      </c>
      <c r="T380" s="1" t="s">
        <v>4301</v>
      </c>
      <c r="U380" s="1" t="s">
        <v>1577</v>
      </c>
      <c r="V380" s="1" t="s">
        <v>4950</v>
      </c>
      <c r="W380" s="3">
        <v>44378.0</v>
      </c>
      <c r="X380" s="3">
        <v>44378.0</v>
      </c>
    </row>
    <row r="381">
      <c r="A381" s="1" t="s">
        <v>9596</v>
      </c>
      <c r="B381" s="1" t="s">
        <v>9599</v>
      </c>
      <c r="C381" s="1" t="s">
        <v>9599</v>
      </c>
      <c r="D381" s="1" t="s">
        <v>4293</v>
      </c>
      <c r="E381" s="1" t="s">
        <v>9605</v>
      </c>
      <c r="F381" s="1" t="s">
        <v>9606</v>
      </c>
      <c r="G381" s="3">
        <v>45905.0</v>
      </c>
      <c r="H381" s="3"/>
      <c r="I381" s="3"/>
      <c r="J381" s="1" t="s">
        <v>124</v>
      </c>
      <c r="K381" s="1" t="s">
        <v>160</v>
      </c>
      <c r="L381" s="1" t="s">
        <v>253</v>
      </c>
      <c r="M381" s="1" t="s">
        <v>131</v>
      </c>
      <c r="N381" s="4"/>
      <c r="O381" s="4"/>
      <c r="P381" s="4"/>
      <c r="Q381" s="1" t="s">
        <v>137</v>
      </c>
      <c r="R381" s="1" t="s">
        <v>137</v>
      </c>
      <c r="S381" s="1" t="s">
        <v>47</v>
      </c>
      <c r="T381" s="1" t="s">
        <v>4301</v>
      </c>
      <c r="U381" s="1" t="s">
        <v>1577</v>
      </c>
      <c r="V381" s="1" t="s">
        <v>3963</v>
      </c>
      <c r="W381" s="3"/>
      <c r="X381" s="3"/>
    </row>
    <row r="382">
      <c r="A382" s="1" t="s">
        <v>9627</v>
      </c>
      <c r="B382" s="1" t="s">
        <v>9599</v>
      </c>
      <c r="C382" s="1" t="s">
        <v>9599</v>
      </c>
      <c r="D382" s="1" t="s">
        <v>4293</v>
      </c>
      <c r="E382" s="1" t="s">
        <v>9605</v>
      </c>
      <c r="F382" s="1" t="s">
        <v>9636</v>
      </c>
      <c r="G382" s="3">
        <v>45905.0</v>
      </c>
      <c r="H382" s="3"/>
      <c r="I382" s="3"/>
      <c r="J382" s="1" t="s">
        <v>124</v>
      </c>
      <c r="K382" s="1" t="s">
        <v>160</v>
      </c>
      <c r="L382" s="1" t="s">
        <v>253</v>
      </c>
      <c r="M382" s="1" t="s">
        <v>131</v>
      </c>
      <c r="N382" s="4"/>
      <c r="O382" s="4"/>
      <c r="P382" s="4"/>
      <c r="Q382" s="1" t="s">
        <v>137</v>
      </c>
      <c r="R382" s="1" t="s">
        <v>137</v>
      </c>
      <c r="S382" s="1" t="s">
        <v>47</v>
      </c>
      <c r="T382" s="1" t="s">
        <v>4301</v>
      </c>
      <c r="U382" s="1" t="s">
        <v>1577</v>
      </c>
      <c r="V382" s="1" t="s">
        <v>4679</v>
      </c>
      <c r="W382" s="3"/>
      <c r="X382" s="3"/>
    </row>
    <row r="383">
      <c r="A383" s="1" t="s">
        <v>9652</v>
      </c>
      <c r="B383" s="1" t="s">
        <v>9599</v>
      </c>
      <c r="C383" s="1" t="s">
        <v>9599</v>
      </c>
      <c r="D383" s="1" t="s">
        <v>4293</v>
      </c>
      <c r="E383" s="1" t="s">
        <v>9605</v>
      </c>
      <c r="F383" s="1" t="s">
        <v>9662</v>
      </c>
      <c r="G383" s="3">
        <v>45905.0</v>
      </c>
      <c r="H383" s="13"/>
      <c r="I383" s="4"/>
      <c r="J383" s="1" t="s">
        <v>124</v>
      </c>
      <c r="K383" s="1" t="s">
        <v>160</v>
      </c>
      <c r="L383" s="1" t="s">
        <v>253</v>
      </c>
      <c r="M383" s="1" t="s">
        <v>131</v>
      </c>
      <c r="N383" s="4"/>
      <c r="O383" s="4"/>
      <c r="P383" s="4"/>
      <c r="Q383" s="1" t="s">
        <v>137</v>
      </c>
      <c r="R383" s="1" t="s">
        <v>137</v>
      </c>
      <c r="S383" s="1" t="s">
        <v>47</v>
      </c>
      <c r="T383" s="1" t="s">
        <v>4301</v>
      </c>
      <c r="U383" s="1" t="s">
        <v>1577</v>
      </c>
      <c r="V383" s="1" t="s">
        <v>4054</v>
      </c>
      <c r="W383" s="3"/>
    </row>
    <row r="384">
      <c r="A384" s="1" t="s">
        <v>9674</v>
      </c>
      <c r="B384" s="1" t="s">
        <v>9599</v>
      </c>
      <c r="C384" s="1" t="s">
        <v>9599</v>
      </c>
      <c r="D384" s="1" t="s">
        <v>4293</v>
      </c>
      <c r="E384" s="1" t="s">
        <v>9605</v>
      </c>
      <c r="F384" s="1" t="s">
        <v>9681</v>
      </c>
      <c r="G384" s="3">
        <v>45905.0</v>
      </c>
      <c r="H384" s="13"/>
      <c r="I384" s="4"/>
      <c r="J384" s="1" t="s">
        <v>124</v>
      </c>
      <c r="K384" s="1" t="s">
        <v>160</v>
      </c>
      <c r="L384" s="1" t="s">
        <v>253</v>
      </c>
      <c r="M384" s="1" t="s">
        <v>131</v>
      </c>
      <c r="N384" s="4"/>
      <c r="O384" s="4"/>
      <c r="P384" s="4"/>
      <c r="Q384" s="1" t="s">
        <v>137</v>
      </c>
      <c r="R384" s="1" t="s">
        <v>137</v>
      </c>
      <c r="S384" s="1" t="s">
        <v>47</v>
      </c>
      <c r="T384" s="1" t="s">
        <v>4301</v>
      </c>
      <c r="U384" s="1" t="s">
        <v>1577</v>
      </c>
      <c r="V384" s="1" t="s">
        <v>4950</v>
      </c>
      <c r="W384" s="3"/>
    </row>
    <row r="385">
      <c r="A385" s="1" t="s">
        <v>9695</v>
      </c>
      <c r="B385" s="1" t="s">
        <v>9599</v>
      </c>
      <c r="C385" s="1" t="s">
        <v>9599</v>
      </c>
      <c r="D385" s="1" t="s">
        <v>4293</v>
      </c>
      <c r="E385" s="1" t="s">
        <v>9605</v>
      </c>
      <c r="F385" s="1" t="s">
        <v>9703</v>
      </c>
      <c r="G385" s="3">
        <v>45905.0</v>
      </c>
      <c r="H385" s="13"/>
      <c r="I385" s="4"/>
      <c r="J385" s="1" t="s">
        <v>124</v>
      </c>
      <c r="K385" s="1" t="s">
        <v>160</v>
      </c>
      <c r="L385" s="1" t="s">
        <v>253</v>
      </c>
      <c r="M385" s="1" t="s">
        <v>131</v>
      </c>
      <c r="N385" s="4"/>
      <c r="O385" s="4"/>
      <c r="P385" s="4"/>
      <c r="Q385" s="1" t="s">
        <v>137</v>
      </c>
      <c r="R385" s="1" t="s">
        <v>137</v>
      </c>
      <c r="S385" s="1" t="s">
        <v>47</v>
      </c>
      <c r="T385" s="1" t="s">
        <v>4301</v>
      </c>
      <c r="U385" s="1" t="s">
        <v>1577</v>
      </c>
      <c r="V385" s="1" t="s">
        <v>5104</v>
      </c>
      <c r="W385" s="3"/>
    </row>
    <row r="386">
      <c r="A386" s="1" t="s">
        <v>9717</v>
      </c>
      <c r="B386" s="1" t="s">
        <v>9599</v>
      </c>
      <c r="C386" s="1" t="s">
        <v>9599</v>
      </c>
      <c r="D386" s="1" t="s">
        <v>4293</v>
      </c>
      <c r="E386" s="1" t="s">
        <v>9605</v>
      </c>
      <c r="F386" s="1" t="s">
        <v>9723</v>
      </c>
      <c r="G386" s="3">
        <v>45905.0</v>
      </c>
      <c r="H386" s="3"/>
      <c r="I386" s="3"/>
      <c r="J386" s="1" t="s">
        <v>124</v>
      </c>
      <c r="K386" s="1" t="s">
        <v>160</v>
      </c>
      <c r="L386" s="1" t="s">
        <v>253</v>
      </c>
      <c r="M386" s="1" t="s">
        <v>131</v>
      </c>
      <c r="N386" s="4"/>
      <c r="O386" s="4"/>
      <c r="P386" s="4"/>
      <c r="Q386" s="1" t="s">
        <v>137</v>
      </c>
      <c r="R386" s="1" t="s">
        <v>137</v>
      </c>
      <c r="S386" s="1" t="s">
        <v>47</v>
      </c>
      <c r="T386" s="1" t="s">
        <v>4301</v>
      </c>
      <c r="U386" s="1" t="s">
        <v>1577</v>
      </c>
      <c r="V386" s="1" t="s">
        <v>5120</v>
      </c>
      <c r="W386" s="3"/>
      <c r="X386" s="3"/>
    </row>
    <row r="387">
      <c r="A387" s="1" t="s">
        <v>9739</v>
      </c>
      <c r="B387" s="1" t="s">
        <v>9742</v>
      </c>
      <c r="C387" s="1" t="s">
        <v>9742</v>
      </c>
      <c r="D387" s="1" t="s">
        <v>4293</v>
      </c>
      <c r="E387" s="1" t="s">
        <v>9746</v>
      </c>
      <c r="F387" s="1" t="s">
        <v>9749</v>
      </c>
      <c r="G387" s="3">
        <v>44908.0</v>
      </c>
      <c r="H387" s="3"/>
      <c r="I387" s="3"/>
      <c r="J387" s="1" t="s">
        <v>124</v>
      </c>
      <c r="K387" s="1" t="s">
        <v>160</v>
      </c>
      <c r="L387" s="1" t="s">
        <v>253</v>
      </c>
      <c r="M387" s="1" t="s">
        <v>131</v>
      </c>
      <c r="N387" s="4"/>
      <c r="O387" s="4"/>
      <c r="P387" s="4"/>
      <c r="Q387" s="1" t="s">
        <v>137</v>
      </c>
      <c r="R387" s="1" t="s">
        <v>137</v>
      </c>
      <c r="S387" s="1" t="s">
        <v>47</v>
      </c>
      <c r="T387" s="1" t="s">
        <v>4301</v>
      </c>
      <c r="U387" s="1" t="s">
        <v>1577</v>
      </c>
      <c r="V387" s="1" t="s">
        <v>3858</v>
      </c>
      <c r="W387" s="3"/>
      <c r="X387" s="3"/>
    </row>
    <row r="388">
      <c r="A388" s="1" t="s">
        <v>9769</v>
      </c>
      <c r="B388" s="1" t="s">
        <v>6779</v>
      </c>
      <c r="C388" s="1" t="s">
        <v>6779</v>
      </c>
      <c r="D388" s="1" t="s">
        <v>4293</v>
      </c>
      <c r="E388" s="1" t="s">
        <v>6781</v>
      </c>
      <c r="F388" s="1" t="s">
        <v>9775</v>
      </c>
      <c r="G388" s="3">
        <v>44832.0</v>
      </c>
      <c r="H388" s="3">
        <v>45049.0</v>
      </c>
      <c r="I388" s="3">
        <v>45049.0</v>
      </c>
      <c r="J388" s="1" t="s">
        <v>215</v>
      </c>
      <c r="K388" s="1" t="s">
        <v>160</v>
      </c>
      <c r="L388" s="1" t="s">
        <v>216</v>
      </c>
      <c r="M388" s="1" t="s">
        <v>131</v>
      </c>
      <c r="N388" s="4"/>
      <c r="O388" s="4"/>
      <c r="P388" s="4"/>
      <c r="Q388" s="1" t="s">
        <v>137</v>
      </c>
      <c r="R388" s="1" t="s">
        <v>137</v>
      </c>
      <c r="S388" s="1" t="s">
        <v>47</v>
      </c>
      <c r="T388" s="1" t="s">
        <v>4301</v>
      </c>
      <c r="U388" s="1" t="s">
        <v>1577</v>
      </c>
      <c r="V388" s="1" t="s">
        <v>3858</v>
      </c>
      <c r="W388" s="3">
        <v>45049.0</v>
      </c>
      <c r="X388" s="3">
        <v>45049.0</v>
      </c>
    </row>
    <row r="389">
      <c r="A389" s="1" t="s">
        <v>9787</v>
      </c>
      <c r="B389" s="1" t="s">
        <v>6792</v>
      </c>
      <c r="C389" s="1" t="s">
        <v>6792</v>
      </c>
      <c r="D389" s="1" t="s">
        <v>4293</v>
      </c>
      <c r="E389" s="1" t="s">
        <v>6794</v>
      </c>
      <c r="F389" s="1" t="s">
        <v>9797</v>
      </c>
      <c r="G389" s="3">
        <v>45729.0</v>
      </c>
      <c r="H389" s="3">
        <v>45924.0</v>
      </c>
      <c r="I389" s="3">
        <v>45924.0</v>
      </c>
      <c r="J389" s="1" t="s">
        <v>215</v>
      </c>
      <c r="K389" s="1" t="s">
        <v>160</v>
      </c>
      <c r="L389" s="1" t="s">
        <v>216</v>
      </c>
      <c r="M389" s="1" t="s">
        <v>131</v>
      </c>
      <c r="N389" s="4"/>
      <c r="O389" s="4"/>
      <c r="P389" s="4"/>
      <c r="Q389" s="1" t="s">
        <v>137</v>
      </c>
      <c r="R389" s="1" t="s">
        <v>137</v>
      </c>
      <c r="S389" s="1" t="s">
        <v>47</v>
      </c>
      <c r="T389" s="1" t="s">
        <v>4301</v>
      </c>
      <c r="U389" s="1" t="s">
        <v>1577</v>
      </c>
      <c r="V389" s="1" t="s">
        <v>3858</v>
      </c>
      <c r="W389" s="3">
        <v>45924.0</v>
      </c>
      <c r="X389" s="3">
        <v>45924.0</v>
      </c>
    </row>
    <row r="390">
      <c r="A390" s="1" t="s">
        <v>9809</v>
      </c>
      <c r="B390" s="1" t="s">
        <v>6792</v>
      </c>
      <c r="C390" s="1" t="s">
        <v>6792</v>
      </c>
      <c r="D390" s="1" t="s">
        <v>4293</v>
      </c>
      <c r="E390" s="1" t="s">
        <v>6794</v>
      </c>
      <c r="F390" s="1" t="s">
        <v>9816</v>
      </c>
      <c r="G390" s="3">
        <v>45729.0</v>
      </c>
      <c r="H390" s="3">
        <v>45924.0</v>
      </c>
      <c r="I390" s="3">
        <v>45924.0</v>
      </c>
      <c r="J390" s="1" t="s">
        <v>215</v>
      </c>
      <c r="K390" s="1" t="s">
        <v>160</v>
      </c>
      <c r="L390" s="1" t="s">
        <v>216</v>
      </c>
      <c r="M390" s="1" t="s">
        <v>131</v>
      </c>
      <c r="N390" s="4"/>
      <c r="O390" s="4"/>
      <c r="P390" s="4"/>
      <c r="Q390" s="1" t="s">
        <v>137</v>
      </c>
      <c r="R390" s="1" t="s">
        <v>137</v>
      </c>
      <c r="S390" s="1" t="s">
        <v>47</v>
      </c>
      <c r="T390" s="1" t="s">
        <v>4301</v>
      </c>
      <c r="U390" s="1" t="s">
        <v>1577</v>
      </c>
      <c r="V390" s="1" t="s">
        <v>3963</v>
      </c>
      <c r="W390" s="3">
        <v>45924.0</v>
      </c>
      <c r="X390" s="3">
        <v>45924.0</v>
      </c>
    </row>
    <row r="391">
      <c r="A391" s="1" t="s">
        <v>9832</v>
      </c>
      <c r="B391" s="1" t="s">
        <v>6665</v>
      </c>
      <c r="C391" s="1" t="s">
        <v>6665</v>
      </c>
      <c r="D391" s="1" t="s">
        <v>4293</v>
      </c>
      <c r="E391" s="1" t="s">
        <v>6807</v>
      </c>
      <c r="F391" s="1" t="s">
        <v>9857</v>
      </c>
      <c r="G391" s="3">
        <v>44132.0</v>
      </c>
      <c r="H391" s="3">
        <v>44210.0</v>
      </c>
      <c r="I391" s="3">
        <v>44210.0</v>
      </c>
      <c r="J391" s="1" t="s">
        <v>215</v>
      </c>
      <c r="K391" s="1" t="s">
        <v>160</v>
      </c>
      <c r="L391" s="1" t="s">
        <v>216</v>
      </c>
      <c r="M391" s="1" t="s">
        <v>131</v>
      </c>
      <c r="N391" s="4"/>
      <c r="O391" s="4"/>
      <c r="P391" s="4"/>
      <c r="Q391" s="1" t="s">
        <v>137</v>
      </c>
      <c r="R391" s="1" t="s">
        <v>137</v>
      </c>
      <c r="S391" s="1" t="s">
        <v>47</v>
      </c>
      <c r="T391" s="1" t="s">
        <v>4301</v>
      </c>
      <c r="U391" s="1" t="s">
        <v>1577</v>
      </c>
      <c r="V391" s="1" t="s">
        <v>3858</v>
      </c>
      <c r="W391" s="3">
        <v>44210.0</v>
      </c>
      <c r="X391" s="3">
        <v>44210.0</v>
      </c>
    </row>
    <row r="392">
      <c r="A392" s="1" t="s">
        <v>9875</v>
      </c>
      <c r="B392" s="1" t="s">
        <v>5971</v>
      </c>
      <c r="C392" s="1" t="s">
        <v>5971</v>
      </c>
      <c r="D392" s="1" t="s">
        <v>4293</v>
      </c>
      <c r="E392" s="1" t="s">
        <v>6817</v>
      </c>
      <c r="F392" s="1" t="s">
        <v>9882</v>
      </c>
      <c r="G392" s="3">
        <v>44197.0</v>
      </c>
      <c r="H392" s="3">
        <v>44197.0</v>
      </c>
      <c r="I392" s="3">
        <v>44197.0</v>
      </c>
      <c r="J392" s="1" t="s">
        <v>215</v>
      </c>
      <c r="K392" s="1" t="s">
        <v>160</v>
      </c>
      <c r="L392" s="1" t="s">
        <v>216</v>
      </c>
      <c r="M392" s="1" t="s">
        <v>131</v>
      </c>
      <c r="O392" s="4"/>
      <c r="Q392" s="1" t="s">
        <v>137</v>
      </c>
      <c r="R392" s="1" t="s">
        <v>137</v>
      </c>
      <c r="S392" s="1" t="s">
        <v>47</v>
      </c>
      <c r="T392" s="1" t="s">
        <v>4301</v>
      </c>
      <c r="U392" s="1" t="s">
        <v>1577</v>
      </c>
      <c r="V392" s="1" t="s">
        <v>4950</v>
      </c>
      <c r="W392" s="3">
        <v>44197.0</v>
      </c>
      <c r="X392" s="3">
        <v>44197.0</v>
      </c>
    </row>
    <row r="393">
      <c r="A393" s="1" t="s">
        <v>9896</v>
      </c>
      <c r="B393" s="1" t="s">
        <v>6824</v>
      </c>
      <c r="C393" s="1" t="s">
        <v>6824</v>
      </c>
      <c r="D393" s="1" t="s">
        <v>4293</v>
      </c>
      <c r="E393" s="1" t="s">
        <v>6826</v>
      </c>
      <c r="F393" s="1" t="s">
        <v>9902</v>
      </c>
      <c r="G393" s="3">
        <v>45467.0</v>
      </c>
      <c r="H393" s="3">
        <v>45618.0</v>
      </c>
      <c r="I393" s="3">
        <v>45618.0</v>
      </c>
      <c r="J393" s="1" t="s">
        <v>215</v>
      </c>
      <c r="K393" s="1" t="s">
        <v>160</v>
      </c>
      <c r="L393" s="1" t="s">
        <v>216</v>
      </c>
      <c r="M393" s="1" t="s">
        <v>131</v>
      </c>
      <c r="O393" s="4"/>
      <c r="Q393" s="1" t="s">
        <v>137</v>
      </c>
      <c r="R393" s="1" t="s">
        <v>137</v>
      </c>
      <c r="S393" s="1" t="s">
        <v>47</v>
      </c>
      <c r="T393" s="1" t="s">
        <v>4301</v>
      </c>
      <c r="U393" s="1" t="s">
        <v>1577</v>
      </c>
      <c r="V393" s="1" t="s">
        <v>4950</v>
      </c>
      <c r="W393" s="3">
        <v>45618.0</v>
      </c>
      <c r="X393" s="3">
        <v>45618.0</v>
      </c>
    </row>
    <row r="394">
      <c r="A394" s="1" t="s">
        <v>9911</v>
      </c>
      <c r="B394" s="1" t="s">
        <v>6836</v>
      </c>
      <c r="C394" s="1" t="s">
        <v>6836</v>
      </c>
      <c r="D394" s="1" t="s">
        <v>4293</v>
      </c>
      <c r="E394" s="1" t="s">
        <v>6837</v>
      </c>
      <c r="F394" s="1" t="s">
        <v>9919</v>
      </c>
      <c r="G394" s="3">
        <v>44409.0</v>
      </c>
      <c r="H394" s="3">
        <v>44409.0</v>
      </c>
      <c r="I394" s="3">
        <v>44409.0</v>
      </c>
      <c r="J394" s="1" t="s">
        <v>215</v>
      </c>
      <c r="K394" s="1" t="s">
        <v>160</v>
      </c>
      <c r="L394" s="1" t="s">
        <v>216</v>
      </c>
      <c r="M394" s="1" t="s">
        <v>131</v>
      </c>
      <c r="N394" s="4"/>
      <c r="O394" s="4"/>
      <c r="P394" s="4"/>
      <c r="Q394" s="1" t="s">
        <v>137</v>
      </c>
      <c r="R394" s="1" t="s">
        <v>137</v>
      </c>
      <c r="S394" s="1" t="s">
        <v>47</v>
      </c>
      <c r="T394" s="1" t="s">
        <v>4301</v>
      </c>
      <c r="U394" s="1" t="s">
        <v>1577</v>
      </c>
      <c r="V394" s="1" t="s">
        <v>4950</v>
      </c>
      <c r="W394" s="3">
        <v>44409.0</v>
      </c>
      <c r="X394" s="3">
        <v>44409.0</v>
      </c>
    </row>
    <row r="395">
      <c r="A395" s="1" t="s">
        <v>9934</v>
      </c>
      <c r="B395" s="1" t="s">
        <v>9936</v>
      </c>
      <c r="C395" s="1" t="s">
        <v>9936</v>
      </c>
      <c r="D395" s="1" t="s">
        <v>4293</v>
      </c>
      <c r="E395" s="1" t="s">
        <v>4569</v>
      </c>
      <c r="F395" s="1" t="s">
        <v>9944</v>
      </c>
      <c r="G395" s="3">
        <v>45979.0</v>
      </c>
      <c r="H395" s="13"/>
      <c r="I395" s="4"/>
      <c r="J395" s="1" t="s">
        <v>124</v>
      </c>
      <c r="K395" s="1" t="s">
        <v>160</v>
      </c>
      <c r="L395" s="1" t="s">
        <v>253</v>
      </c>
      <c r="M395" s="1" t="s">
        <v>131</v>
      </c>
      <c r="N395" s="4"/>
      <c r="O395" s="4"/>
      <c r="P395" s="4"/>
      <c r="Q395" s="1" t="s">
        <v>137</v>
      </c>
      <c r="R395" s="1" t="s">
        <v>137</v>
      </c>
      <c r="S395" s="1" t="s">
        <v>47</v>
      </c>
      <c r="T395" s="1" t="s">
        <v>4301</v>
      </c>
      <c r="U395" s="1" t="s">
        <v>1577</v>
      </c>
      <c r="V395" s="1" t="s">
        <v>4679</v>
      </c>
      <c r="W395" s="3"/>
    </row>
    <row r="396">
      <c r="A396" s="1" t="s">
        <v>9956</v>
      </c>
      <c r="B396" s="1" t="s">
        <v>9936</v>
      </c>
      <c r="C396" s="1" t="s">
        <v>9936</v>
      </c>
      <c r="D396" s="1" t="s">
        <v>4293</v>
      </c>
      <c r="E396" s="1" t="s">
        <v>4569</v>
      </c>
      <c r="F396" s="1" t="s">
        <v>9961</v>
      </c>
      <c r="G396" s="3">
        <v>45979.0</v>
      </c>
      <c r="H396" s="13"/>
      <c r="I396" s="4"/>
      <c r="J396" s="1" t="s">
        <v>124</v>
      </c>
      <c r="K396" s="1" t="s">
        <v>160</v>
      </c>
      <c r="L396" s="1" t="s">
        <v>253</v>
      </c>
      <c r="M396" s="1" t="s">
        <v>131</v>
      </c>
      <c r="O396" s="4"/>
      <c r="P396" s="4"/>
      <c r="Q396" s="1" t="s">
        <v>137</v>
      </c>
      <c r="R396" s="1" t="s">
        <v>137</v>
      </c>
      <c r="S396" s="1" t="s">
        <v>47</v>
      </c>
      <c r="T396" s="1" t="s">
        <v>4301</v>
      </c>
      <c r="U396" s="1" t="s">
        <v>1577</v>
      </c>
      <c r="V396" s="1" t="s">
        <v>4950</v>
      </c>
      <c r="W396" s="3"/>
    </row>
    <row r="397">
      <c r="A397" s="1" t="s">
        <v>9972</v>
      </c>
      <c r="B397" s="1" t="s">
        <v>9936</v>
      </c>
      <c r="C397" s="1" t="s">
        <v>9936</v>
      </c>
      <c r="D397" s="1" t="s">
        <v>4293</v>
      </c>
      <c r="E397" s="1" t="s">
        <v>4569</v>
      </c>
      <c r="F397" s="1" t="s">
        <v>9975</v>
      </c>
      <c r="G397" s="3">
        <v>45979.0</v>
      </c>
      <c r="H397" s="13"/>
      <c r="I397" s="13"/>
      <c r="J397" s="1" t="s">
        <v>124</v>
      </c>
      <c r="K397" s="1" t="s">
        <v>160</v>
      </c>
      <c r="L397" s="1" t="s">
        <v>253</v>
      </c>
      <c r="M397" s="1" t="s">
        <v>131</v>
      </c>
      <c r="N397" s="13"/>
      <c r="O397" s="4"/>
      <c r="P397" s="4"/>
      <c r="Q397" s="1" t="s">
        <v>137</v>
      </c>
      <c r="R397" s="1" t="s">
        <v>137</v>
      </c>
      <c r="S397" s="1" t="s">
        <v>47</v>
      </c>
      <c r="T397" s="1" t="s">
        <v>4301</v>
      </c>
      <c r="U397" s="1" t="s">
        <v>1577</v>
      </c>
      <c r="V397" s="1" t="s">
        <v>5104</v>
      </c>
      <c r="W397" s="3"/>
      <c r="X397" s="13"/>
    </row>
    <row r="398">
      <c r="A398" s="1" t="s">
        <v>9989</v>
      </c>
      <c r="B398" s="1" t="s">
        <v>9936</v>
      </c>
      <c r="C398" s="1" t="s">
        <v>9936</v>
      </c>
      <c r="D398" s="1" t="s">
        <v>4293</v>
      </c>
      <c r="E398" s="1" t="s">
        <v>4569</v>
      </c>
      <c r="F398" s="1" t="s">
        <v>9997</v>
      </c>
      <c r="G398" s="3">
        <v>45979.0</v>
      </c>
      <c r="H398" s="13"/>
      <c r="I398" s="13"/>
      <c r="J398" s="1" t="s">
        <v>124</v>
      </c>
      <c r="K398" s="1" t="s">
        <v>160</v>
      </c>
      <c r="L398" s="1" t="s">
        <v>253</v>
      </c>
      <c r="M398" s="1" t="s">
        <v>131</v>
      </c>
      <c r="N398" s="13"/>
      <c r="O398" s="4"/>
      <c r="P398" s="4"/>
      <c r="Q398" s="1" t="s">
        <v>137</v>
      </c>
      <c r="R398" s="1" t="s">
        <v>137</v>
      </c>
      <c r="S398" s="1" t="s">
        <v>47</v>
      </c>
      <c r="T398" s="1" t="s">
        <v>4301</v>
      </c>
      <c r="U398" s="1" t="s">
        <v>1577</v>
      </c>
      <c r="V398" s="1" t="s">
        <v>5120</v>
      </c>
      <c r="W398" s="3"/>
      <c r="X398" s="13"/>
    </row>
    <row r="399">
      <c r="A399" s="1" t="s">
        <v>10011</v>
      </c>
      <c r="B399" s="1" t="s">
        <v>6846</v>
      </c>
      <c r="C399" s="1" t="s">
        <v>6846</v>
      </c>
      <c r="D399" s="1" t="s">
        <v>4293</v>
      </c>
      <c r="E399" s="1" t="s">
        <v>6847</v>
      </c>
      <c r="F399" s="1" t="s">
        <v>10017</v>
      </c>
      <c r="G399" s="3">
        <v>45300.0</v>
      </c>
      <c r="H399" s="3">
        <v>45558.0</v>
      </c>
      <c r="I399" s="3">
        <v>45558.0</v>
      </c>
      <c r="J399" s="1" t="s">
        <v>215</v>
      </c>
      <c r="K399" s="1" t="s">
        <v>160</v>
      </c>
      <c r="L399" s="1" t="s">
        <v>216</v>
      </c>
      <c r="M399" s="1" t="s">
        <v>131</v>
      </c>
      <c r="N399" s="13"/>
      <c r="O399" s="4"/>
      <c r="P399" s="4"/>
      <c r="Q399" s="1" t="s">
        <v>137</v>
      </c>
      <c r="R399" s="1" t="s">
        <v>137</v>
      </c>
      <c r="S399" s="1" t="s">
        <v>47</v>
      </c>
      <c r="T399" s="1" t="s">
        <v>4301</v>
      </c>
      <c r="U399" s="1" t="s">
        <v>1577</v>
      </c>
      <c r="V399" s="1" t="s">
        <v>3858</v>
      </c>
      <c r="W399" s="3">
        <v>45558.0</v>
      </c>
      <c r="X399" s="3">
        <v>45558.0</v>
      </c>
    </row>
    <row r="400">
      <c r="A400" s="1" t="s">
        <v>10031</v>
      </c>
      <c r="B400" s="1" t="s">
        <v>6856</v>
      </c>
      <c r="C400" s="1" t="s">
        <v>6856</v>
      </c>
      <c r="D400" s="1" t="s">
        <v>4293</v>
      </c>
      <c r="E400" s="1" t="s">
        <v>6857</v>
      </c>
      <c r="F400" s="1" t="s">
        <v>10039</v>
      </c>
      <c r="G400" s="3">
        <v>44314.0</v>
      </c>
      <c r="H400" s="3">
        <v>44440.0</v>
      </c>
      <c r="I400" s="3">
        <v>44440.0</v>
      </c>
      <c r="J400" s="1" t="s">
        <v>215</v>
      </c>
      <c r="K400" s="1" t="s">
        <v>160</v>
      </c>
      <c r="L400" s="1" t="s">
        <v>216</v>
      </c>
      <c r="M400" s="1" t="s">
        <v>131</v>
      </c>
      <c r="N400" s="13"/>
      <c r="O400" s="4"/>
      <c r="Q400" s="1" t="s">
        <v>137</v>
      </c>
      <c r="R400" s="1" t="s">
        <v>137</v>
      </c>
      <c r="S400" s="1" t="s">
        <v>47</v>
      </c>
      <c r="T400" s="1" t="s">
        <v>4301</v>
      </c>
      <c r="U400" s="1" t="s">
        <v>1577</v>
      </c>
      <c r="V400" s="1" t="s">
        <v>3858</v>
      </c>
      <c r="W400" s="3">
        <v>44440.0</v>
      </c>
      <c r="X400" s="3">
        <v>44440.0</v>
      </c>
    </row>
    <row r="401">
      <c r="A401" s="1" t="s">
        <v>10057</v>
      </c>
      <c r="B401" s="1" t="s">
        <v>5686</v>
      </c>
      <c r="C401" s="1" t="s">
        <v>5686</v>
      </c>
      <c r="D401" s="1" t="s">
        <v>4293</v>
      </c>
      <c r="E401" s="1" t="s">
        <v>6863</v>
      </c>
      <c r="F401" s="1" t="s">
        <v>10059</v>
      </c>
      <c r="G401" s="3">
        <v>43749.0</v>
      </c>
      <c r="H401" s="3">
        <v>43921.0</v>
      </c>
      <c r="I401" s="3">
        <v>43921.0</v>
      </c>
      <c r="J401" s="1" t="s">
        <v>215</v>
      </c>
      <c r="K401" s="1" t="s">
        <v>160</v>
      </c>
      <c r="L401" s="1" t="s">
        <v>216</v>
      </c>
      <c r="M401" s="1" t="s">
        <v>131</v>
      </c>
      <c r="N401" s="13"/>
      <c r="O401" s="4"/>
      <c r="P401" s="4"/>
      <c r="Q401" s="1" t="s">
        <v>137</v>
      </c>
      <c r="R401" s="1" t="s">
        <v>137</v>
      </c>
      <c r="S401" s="1" t="s">
        <v>47</v>
      </c>
      <c r="T401" s="1" t="s">
        <v>4301</v>
      </c>
      <c r="U401" s="1" t="s">
        <v>1577</v>
      </c>
      <c r="V401" s="1" t="s">
        <v>3858</v>
      </c>
      <c r="W401" s="3">
        <v>43921.0</v>
      </c>
      <c r="X401" s="3">
        <v>43921.0</v>
      </c>
    </row>
    <row r="402">
      <c r="A402" s="1" t="s">
        <v>10073</v>
      </c>
      <c r="B402" s="1" t="s">
        <v>6866</v>
      </c>
      <c r="C402" s="1" t="s">
        <v>6866</v>
      </c>
      <c r="D402" s="1" t="s">
        <v>4293</v>
      </c>
      <c r="E402" s="1" t="s">
        <v>6869</v>
      </c>
      <c r="F402" s="1" t="s">
        <v>10079</v>
      </c>
      <c r="G402" s="3">
        <v>42831.0</v>
      </c>
      <c r="H402" s="3">
        <v>42852.0</v>
      </c>
      <c r="I402" s="3">
        <v>42852.0</v>
      </c>
      <c r="J402" s="1" t="s">
        <v>215</v>
      </c>
      <c r="K402" s="1" t="s">
        <v>160</v>
      </c>
      <c r="L402" s="1" t="s">
        <v>216</v>
      </c>
      <c r="M402" s="1" t="s">
        <v>131</v>
      </c>
      <c r="N402" s="13"/>
      <c r="O402" s="4"/>
      <c r="P402" s="4"/>
      <c r="Q402" s="1" t="s">
        <v>137</v>
      </c>
      <c r="R402" s="1" t="s">
        <v>137</v>
      </c>
      <c r="S402" s="1" t="s">
        <v>47</v>
      </c>
      <c r="T402" s="1" t="s">
        <v>4301</v>
      </c>
      <c r="U402" s="1" t="s">
        <v>1577</v>
      </c>
      <c r="V402" s="1" t="s">
        <v>3858</v>
      </c>
      <c r="W402" s="3">
        <v>42852.0</v>
      </c>
      <c r="X402" s="3">
        <v>42852.0</v>
      </c>
    </row>
    <row r="403">
      <c r="A403" s="1" t="s">
        <v>10095</v>
      </c>
      <c r="B403" s="1" t="s">
        <v>6876</v>
      </c>
      <c r="C403" s="1" t="s">
        <v>6876</v>
      </c>
      <c r="D403" s="1" t="s">
        <v>4293</v>
      </c>
      <c r="E403" s="1" t="s">
        <v>6878</v>
      </c>
      <c r="F403" s="1" t="s">
        <v>10101</v>
      </c>
      <c r="G403" s="3">
        <v>45412.0</v>
      </c>
      <c r="H403" s="3">
        <v>45608.0</v>
      </c>
      <c r="I403" s="3">
        <v>45608.0</v>
      </c>
      <c r="J403" s="1" t="s">
        <v>215</v>
      </c>
      <c r="K403" s="1" t="s">
        <v>160</v>
      </c>
      <c r="L403" s="1" t="s">
        <v>216</v>
      </c>
      <c r="M403" s="1" t="s">
        <v>131</v>
      </c>
      <c r="N403" s="13"/>
      <c r="O403" s="4"/>
      <c r="P403" s="4"/>
      <c r="Q403" s="1" t="s">
        <v>137</v>
      </c>
      <c r="R403" s="1" t="s">
        <v>137</v>
      </c>
      <c r="S403" s="1" t="s">
        <v>47</v>
      </c>
      <c r="T403" s="1" t="s">
        <v>4301</v>
      </c>
      <c r="U403" s="1" t="s">
        <v>1577</v>
      </c>
      <c r="V403" s="1" t="s">
        <v>3858</v>
      </c>
      <c r="W403" s="3">
        <v>45608.0</v>
      </c>
      <c r="X403" s="3">
        <v>45608.0</v>
      </c>
    </row>
    <row r="404">
      <c r="A404" s="1" t="s">
        <v>10112</v>
      </c>
      <c r="B404" s="1" t="s">
        <v>6876</v>
      </c>
      <c r="C404" s="1" t="s">
        <v>6876</v>
      </c>
      <c r="D404" s="1" t="s">
        <v>4293</v>
      </c>
      <c r="E404" s="1" t="s">
        <v>6878</v>
      </c>
      <c r="F404" s="1" t="s">
        <v>10118</v>
      </c>
      <c r="G404" s="3">
        <v>45412.0</v>
      </c>
      <c r="H404" s="3">
        <v>45608.0</v>
      </c>
      <c r="I404" s="3">
        <v>45608.0</v>
      </c>
      <c r="J404" s="1" t="s">
        <v>215</v>
      </c>
      <c r="K404" s="1" t="s">
        <v>160</v>
      </c>
      <c r="L404" s="1" t="s">
        <v>216</v>
      </c>
      <c r="M404" s="1" t="s">
        <v>131</v>
      </c>
      <c r="N404" s="13"/>
      <c r="O404" s="4"/>
      <c r="P404" s="4"/>
      <c r="Q404" s="1" t="s">
        <v>137</v>
      </c>
      <c r="R404" s="1" t="s">
        <v>137</v>
      </c>
      <c r="S404" s="1" t="s">
        <v>47</v>
      </c>
      <c r="T404" s="1" t="s">
        <v>4301</v>
      </c>
      <c r="U404" s="1" t="s">
        <v>1577</v>
      </c>
      <c r="V404" s="1" t="s">
        <v>3963</v>
      </c>
      <c r="W404" s="3">
        <v>45608.0</v>
      </c>
      <c r="X404" s="3">
        <v>45608.0</v>
      </c>
    </row>
    <row r="405">
      <c r="A405" s="1" t="s">
        <v>10133</v>
      </c>
      <c r="B405" s="1" t="s">
        <v>6876</v>
      </c>
      <c r="C405" s="1" t="s">
        <v>6876</v>
      </c>
      <c r="D405" s="1" t="s">
        <v>4293</v>
      </c>
      <c r="E405" s="1" t="s">
        <v>6878</v>
      </c>
      <c r="F405" s="1" t="s">
        <v>10139</v>
      </c>
      <c r="G405" s="3">
        <v>45412.0</v>
      </c>
      <c r="H405" s="3">
        <v>45608.0</v>
      </c>
      <c r="I405" s="3">
        <v>45608.0</v>
      </c>
      <c r="J405" s="1" t="s">
        <v>215</v>
      </c>
      <c r="K405" s="1" t="s">
        <v>160</v>
      </c>
      <c r="L405" s="1" t="s">
        <v>216</v>
      </c>
      <c r="M405" s="1" t="s">
        <v>131</v>
      </c>
      <c r="N405" s="13"/>
      <c r="O405" s="4"/>
      <c r="P405" s="4"/>
      <c r="Q405" s="1" t="s">
        <v>137</v>
      </c>
      <c r="R405" s="1" t="s">
        <v>137</v>
      </c>
      <c r="S405" s="1" t="s">
        <v>47</v>
      </c>
      <c r="T405" s="1" t="s">
        <v>4301</v>
      </c>
      <c r="U405" s="1" t="s">
        <v>1577</v>
      </c>
      <c r="V405" s="1" t="s">
        <v>4679</v>
      </c>
      <c r="W405" s="3">
        <v>45608.0</v>
      </c>
      <c r="X405" s="3">
        <v>45608.0</v>
      </c>
    </row>
    <row r="406">
      <c r="A406" s="1" t="s">
        <v>10156</v>
      </c>
      <c r="B406" s="1" t="s">
        <v>6876</v>
      </c>
      <c r="C406" s="1" t="s">
        <v>6876</v>
      </c>
      <c r="D406" s="1" t="s">
        <v>4293</v>
      </c>
      <c r="E406" s="1" t="s">
        <v>6878</v>
      </c>
      <c r="F406" s="1" t="s">
        <v>10160</v>
      </c>
      <c r="G406" s="3">
        <v>45412.0</v>
      </c>
      <c r="H406" s="3">
        <v>45608.0</v>
      </c>
      <c r="I406" s="3">
        <v>45608.0</v>
      </c>
      <c r="J406" s="1" t="s">
        <v>215</v>
      </c>
      <c r="K406" s="1" t="s">
        <v>160</v>
      </c>
      <c r="L406" s="1" t="s">
        <v>216</v>
      </c>
      <c r="M406" s="1" t="s">
        <v>131</v>
      </c>
      <c r="N406" s="13"/>
      <c r="O406" s="4"/>
      <c r="P406" s="4"/>
      <c r="Q406" s="1" t="s">
        <v>137</v>
      </c>
      <c r="R406" s="1" t="s">
        <v>137</v>
      </c>
      <c r="S406" s="1" t="s">
        <v>47</v>
      </c>
      <c r="T406" s="1" t="s">
        <v>4301</v>
      </c>
      <c r="U406" s="1" t="s">
        <v>1577</v>
      </c>
      <c r="V406" s="1" t="s">
        <v>4950</v>
      </c>
      <c r="W406" s="3">
        <v>45608.0</v>
      </c>
      <c r="X406" s="3">
        <v>45608.0</v>
      </c>
    </row>
    <row r="407">
      <c r="A407" s="1" t="s">
        <v>10175</v>
      </c>
      <c r="B407" s="1" t="s">
        <v>6876</v>
      </c>
      <c r="C407" s="1" t="s">
        <v>6876</v>
      </c>
      <c r="D407" s="1" t="s">
        <v>4293</v>
      </c>
      <c r="E407" s="1" t="s">
        <v>6878</v>
      </c>
      <c r="F407" s="1" t="s">
        <v>10181</v>
      </c>
      <c r="G407" s="3">
        <v>45412.0</v>
      </c>
      <c r="H407" s="3">
        <v>45608.0</v>
      </c>
      <c r="I407" s="3">
        <v>45608.0</v>
      </c>
      <c r="J407" s="1" t="s">
        <v>215</v>
      </c>
      <c r="K407" s="1" t="s">
        <v>160</v>
      </c>
      <c r="L407" s="1" t="s">
        <v>216</v>
      </c>
      <c r="M407" s="1" t="s">
        <v>131</v>
      </c>
      <c r="N407" s="13"/>
      <c r="O407" s="4"/>
      <c r="P407" s="4"/>
      <c r="Q407" s="1" t="s">
        <v>137</v>
      </c>
      <c r="R407" s="1" t="s">
        <v>137</v>
      </c>
      <c r="S407" s="1" t="s">
        <v>47</v>
      </c>
      <c r="T407" s="1" t="s">
        <v>4301</v>
      </c>
      <c r="U407" s="1" t="s">
        <v>1577</v>
      </c>
      <c r="V407" s="1" t="s">
        <v>5104</v>
      </c>
      <c r="W407" s="3">
        <v>45608.0</v>
      </c>
      <c r="X407" s="3">
        <v>45608.0</v>
      </c>
    </row>
    <row r="408">
      <c r="A408" s="1" t="s">
        <v>10195</v>
      </c>
      <c r="B408" s="1" t="s">
        <v>6876</v>
      </c>
      <c r="C408" s="1" t="s">
        <v>6876</v>
      </c>
      <c r="D408" s="1" t="s">
        <v>4293</v>
      </c>
      <c r="E408" s="1" t="s">
        <v>6878</v>
      </c>
      <c r="F408" s="1" t="s">
        <v>10201</v>
      </c>
      <c r="G408" s="3">
        <v>45412.0</v>
      </c>
      <c r="H408" s="3">
        <v>45608.0</v>
      </c>
      <c r="I408" s="3">
        <v>45608.0</v>
      </c>
      <c r="J408" s="1" t="s">
        <v>215</v>
      </c>
      <c r="K408" s="1" t="s">
        <v>160</v>
      </c>
      <c r="L408" s="1" t="s">
        <v>216</v>
      </c>
      <c r="M408" s="1" t="s">
        <v>131</v>
      </c>
      <c r="N408" s="13"/>
      <c r="O408" s="4"/>
      <c r="P408" s="4"/>
      <c r="Q408" s="1" t="s">
        <v>137</v>
      </c>
      <c r="R408" s="1" t="s">
        <v>137</v>
      </c>
      <c r="S408" s="1" t="s">
        <v>47</v>
      </c>
      <c r="T408" s="1" t="s">
        <v>4301</v>
      </c>
      <c r="U408" s="1" t="s">
        <v>1577</v>
      </c>
      <c r="V408" s="1" t="s">
        <v>5120</v>
      </c>
      <c r="W408" s="3">
        <v>45608.0</v>
      </c>
      <c r="X408" s="3">
        <v>45608.0</v>
      </c>
    </row>
    <row r="409">
      <c r="A409" s="1" t="s">
        <v>10215</v>
      </c>
      <c r="B409" s="1" t="s">
        <v>6888</v>
      </c>
      <c r="C409" s="1" t="s">
        <v>6888</v>
      </c>
      <c r="D409" s="1" t="s">
        <v>4293</v>
      </c>
      <c r="E409" s="1" t="s">
        <v>6890</v>
      </c>
      <c r="F409" s="1" t="s">
        <v>10219</v>
      </c>
      <c r="G409" s="3">
        <v>44061.0</v>
      </c>
      <c r="H409" s="3">
        <v>44356.0</v>
      </c>
      <c r="I409" s="3">
        <v>44356.0</v>
      </c>
      <c r="J409" s="1" t="s">
        <v>215</v>
      </c>
      <c r="K409" s="1" t="s">
        <v>160</v>
      </c>
      <c r="L409" s="1" t="s">
        <v>216</v>
      </c>
      <c r="M409" s="1" t="s">
        <v>131</v>
      </c>
      <c r="O409" s="4"/>
      <c r="P409" s="4"/>
      <c r="Q409" s="1" t="s">
        <v>137</v>
      </c>
      <c r="R409" s="1" t="s">
        <v>137</v>
      </c>
      <c r="S409" s="1" t="s">
        <v>47</v>
      </c>
      <c r="T409" s="1" t="s">
        <v>4301</v>
      </c>
      <c r="U409" s="1" t="s">
        <v>1577</v>
      </c>
      <c r="V409" s="1" t="s">
        <v>3858</v>
      </c>
      <c r="W409" s="3">
        <v>44356.0</v>
      </c>
      <c r="X409" s="3">
        <v>44356.0</v>
      </c>
    </row>
    <row r="410">
      <c r="A410" s="1" t="s">
        <v>10235</v>
      </c>
      <c r="B410" s="1" t="s">
        <v>6888</v>
      </c>
      <c r="C410" s="1" t="s">
        <v>6888</v>
      </c>
      <c r="D410" s="1" t="s">
        <v>4293</v>
      </c>
      <c r="E410" s="1" t="s">
        <v>6890</v>
      </c>
      <c r="F410" s="1" t="s">
        <v>10239</v>
      </c>
      <c r="G410" s="3">
        <v>44061.0</v>
      </c>
      <c r="H410" s="3">
        <v>44356.0</v>
      </c>
      <c r="I410" s="3">
        <v>44356.0</v>
      </c>
      <c r="J410" s="1" t="s">
        <v>215</v>
      </c>
      <c r="K410" s="1" t="s">
        <v>160</v>
      </c>
      <c r="L410" s="1" t="s">
        <v>216</v>
      </c>
      <c r="M410" s="1" t="s">
        <v>131</v>
      </c>
      <c r="N410" s="4"/>
      <c r="O410" s="4"/>
      <c r="P410" s="4"/>
      <c r="Q410" s="1" t="s">
        <v>137</v>
      </c>
      <c r="R410" s="1" t="s">
        <v>137</v>
      </c>
      <c r="S410" s="1" t="s">
        <v>47</v>
      </c>
      <c r="T410" s="1" t="s">
        <v>4301</v>
      </c>
      <c r="U410" s="1" t="s">
        <v>1577</v>
      </c>
      <c r="V410" s="1" t="s">
        <v>3963</v>
      </c>
      <c r="W410" s="3">
        <v>44356.0</v>
      </c>
      <c r="X410" s="3">
        <v>44356.0</v>
      </c>
    </row>
    <row r="411">
      <c r="A411" s="1" t="s">
        <v>10252</v>
      </c>
      <c r="B411" s="1" t="s">
        <v>6888</v>
      </c>
      <c r="C411" s="1" t="s">
        <v>6888</v>
      </c>
      <c r="D411" s="1" t="s">
        <v>4293</v>
      </c>
      <c r="E411" s="1" t="s">
        <v>6890</v>
      </c>
      <c r="F411" s="1" t="s">
        <v>10259</v>
      </c>
      <c r="G411" s="3">
        <v>44061.0</v>
      </c>
      <c r="H411" s="3">
        <v>44356.0</v>
      </c>
      <c r="I411" s="3">
        <v>44356.0</v>
      </c>
      <c r="J411" s="1" t="s">
        <v>215</v>
      </c>
      <c r="K411" s="1" t="s">
        <v>160</v>
      </c>
      <c r="L411" s="1" t="s">
        <v>216</v>
      </c>
      <c r="M411" s="1" t="s">
        <v>131</v>
      </c>
      <c r="N411" s="13"/>
      <c r="O411" s="4"/>
      <c r="P411" s="4"/>
      <c r="Q411" s="1" t="s">
        <v>137</v>
      </c>
      <c r="R411" s="1" t="s">
        <v>137</v>
      </c>
      <c r="S411" s="1" t="s">
        <v>47</v>
      </c>
      <c r="T411" s="1" t="s">
        <v>4301</v>
      </c>
      <c r="U411" s="1" t="s">
        <v>1577</v>
      </c>
      <c r="V411" s="1" t="s">
        <v>3865</v>
      </c>
      <c r="W411" s="3">
        <v>44356.0</v>
      </c>
      <c r="X411" s="3">
        <v>44356.0</v>
      </c>
    </row>
    <row r="412">
      <c r="A412" s="1" t="s">
        <v>10272</v>
      </c>
      <c r="B412" s="1" t="s">
        <v>6888</v>
      </c>
      <c r="C412" s="1" t="s">
        <v>6888</v>
      </c>
      <c r="D412" s="1" t="s">
        <v>4293</v>
      </c>
      <c r="E412" s="1" t="s">
        <v>6890</v>
      </c>
      <c r="F412" s="1" t="s">
        <v>10276</v>
      </c>
      <c r="G412" s="3">
        <v>44061.0</v>
      </c>
      <c r="H412" s="3">
        <v>44356.0</v>
      </c>
      <c r="I412" s="3">
        <v>44356.0</v>
      </c>
      <c r="J412" s="1" t="s">
        <v>215</v>
      </c>
      <c r="K412" s="1" t="s">
        <v>160</v>
      </c>
      <c r="L412" s="1" t="s">
        <v>216</v>
      </c>
      <c r="M412" s="1" t="s">
        <v>131</v>
      </c>
      <c r="N412" s="13"/>
      <c r="O412" s="4"/>
      <c r="P412" s="4"/>
      <c r="Q412" s="1" t="s">
        <v>137</v>
      </c>
      <c r="R412" s="1" t="s">
        <v>137</v>
      </c>
      <c r="S412" s="1" t="s">
        <v>47</v>
      </c>
      <c r="T412" s="1" t="s">
        <v>4301</v>
      </c>
      <c r="U412" s="1" t="s">
        <v>1577</v>
      </c>
      <c r="V412" s="1" t="s">
        <v>4950</v>
      </c>
      <c r="W412" s="3">
        <v>44356.0</v>
      </c>
      <c r="X412" s="3">
        <v>44356.0</v>
      </c>
    </row>
    <row r="413">
      <c r="A413" s="1" t="s">
        <v>10283</v>
      </c>
      <c r="B413" s="1" t="s">
        <v>6897</v>
      </c>
      <c r="C413" s="1" t="s">
        <v>6897</v>
      </c>
      <c r="D413" s="1" t="s">
        <v>4293</v>
      </c>
      <c r="E413" s="1" t="s">
        <v>6899</v>
      </c>
      <c r="F413" s="1" t="s">
        <v>10286</v>
      </c>
      <c r="G413" s="3">
        <v>45832.0</v>
      </c>
      <c r="H413" s="3">
        <v>46065.0</v>
      </c>
      <c r="I413" s="3">
        <v>46065.0</v>
      </c>
      <c r="J413" s="1" t="s">
        <v>215</v>
      </c>
      <c r="K413" s="1" t="s">
        <v>160</v>
      </c>
      <c r="L413" s="1" t="s">
        <v>216</v>
      </c>
      <c r="M413" s="1" t="s">
        <v>131</v>
      </c>
      <c r="N413" s="13"/>
      <c r="O413" s="4"/>
      <c r="P413" s="4"/>
      <c r="Q413" s="1" t="s">
        <v>137</v>
      </c>
      <c r="R413" s="1" t="s">
        <v>137</v>
      </c>
      <c r="S413" s="1" t="s">
        <v>47</v>
      </c>
      <c r="T413" s="1" t="s">
        <v>4301</v>
      </c>
      <c r="U413" s="1" t="s">
        <v>1577</v>
      </c>
      <c r="V413" s="1" t="s">
        <v>3858</v>
      </c>
      <c r="W413" s="3">
        <v>46065.0</v>
      </c>
      <c r="X413" s="3">
        <v>46065.0</v>
      </c>
    </row>
    <row r="414">
      <c r="A414" s="1" t="s">
        <v>10295</v>
      </c>
      <c r="B414" s="1" t="s">
        <v>6897</v>
      </c>
      <c r="C414" s="1" t="s">
        <v>6897</v>
      </c>
      <c r="D414" s="1" t="s">
        <v>4293</v>
      </c>
      <c r="E414" s="1" t="s">
        <v>6899</v>
      </c>
      <c r="F414" s="1" t="s">
        <v>10298</v>
      </c>
      <c r="G414" s="3">
        <v>45832.0</v>
      </c>
      <c r="H414" s="3">
        <v>46065.0</v>
      </c>
      <c r="I414" s="3">
        <v>46065.0</v>
      </c>
      <c r="J414" s="1" t="s">
        <v>215</v>
      </c>
      <c r="K414" s="1" t="s">
        <v>160</v>
      </c>
      <c r="L414" s="1" t="s">
        <v>216</v>
      </c>
      <c r="M414" s="1" t="s">
        <v>131</v>
      </c>
      <c r="N414" s="13"/>
      <c r="O414" s="4"/>
      <c r="P414" s="4"/>
      <c r="Q414" s="1" t="s">
        <v>137</v>
      </c>
      <c r="R414" s="1" t="s">
        <v>137</v>
      </c>
      <c r="S414" s="1" t="s">
        <v>47</v>
      </c>
      <c r="T414" s="1" t="s">
        <v>4301</v>
      </c>
      <c r="U414" s="1" t="s">
        <v>1577</v>
      </c>
      <c r="V414" s="1" t="s">
        <v>4950</v>
      </c>
      <c r="W414" s="3">
        <v>46065.0</v>
      </c>
      <c r="X414" s="3">
        <v>46065.0</v>
      </c>
    </row>
    <row r="415">
      <c r="A415" s="1" t="s">
        <v>10308</v>
      </c>
      <c r="B415" s="1" t="s">
        <v>6905</v>
      </c>
      <c r="C415" s="1" t="s">
        <v>6905</v>
      </c>
      <c r="D415" s="1" t="s">
        <v>4293</v>
      </c>
      <c r="E415" s="1" t="s">
        <v>6906</v>
      </c>
      <c r="F415" s="1" t="s">
        <v>10312</v>
      </c>
      <c r="G415" s="3">
        <v>44314.0</v>
      </c>
      <c r="H415" s="3">
        <v>44308.0</v>
      </c>
      <c r="I415" s="3">
        <v>44308.0</v>
      </c>
      <c r="J415" s="1" t="s">
        <v>215</v>
      </c>
      <c r="K415" s="1" t="s">
        <v>160</v>
      </c>
      <c r="L415" s="1" t="s">
        <v>216</v>
      </c>
      <c r="M415" s="1" t="s">
        <v>131</v>
      </c>
      <c r="N415" s="13"/>
      <c r="O415" s="4"/>
      <c r="P415" s="4"/>
      <c r="Q415" s="1" t="s">
        <v>137</v>
      </c>
      <c r="R415" s="1" t="s">
        <v>137</v>
      </c>
      <c r="S415" s="1" t="s">
        <v>47</v>
      </c>
      <c r="T415" s="1" t="s">
        <v>4301</v>
      </c>
      <c r="U415" s="1" t="s">
        <v>1577</v>
      </c>
      <c r="V415" s="1" t="s">
        <v>3858</v>
      </c>
      <c r="W415" s="3">
        <v>44308.0</v>
      </c>
      <c r="X415" s="3">
        <v>44308.0</v>
      </c>
    </row>
    <row r="416">
      <c r="A416" s="1" t="s">
        <v>10320</v>
      </c>
      <c r="B416" s="1" t="s">
        <v>6913</v>
      </c>
      <c r="C416" s="1" t="s">
        <v>6913</v>
      </c>
      <c r="D416" s="1" t="s">
        <v>4293</v>
      </c>
      <c r="E416" s="1" t="s">
        <v>6915</v>
      </c>
      <c r="F416" s="1" t="s">
        <v>10324</v>
      </c>
      <c r="G416" s="3">
        <v>44228.0</v>
      </c>
      <c r="H416" s="3">
        <v>44228.0</v>
      </c>
      <c r="I416" s="3">
        <v>44228.0</v>
      </c>
      <c r="J416" s="1" t="s">
        <v>215</v>
      </c>
      <c r="K416" s="1" t="s">
        <v>160</v>
      </c>
      <c r="L416" s="1" t="s">
        <v>216</v>
      </c>
      <c r="M416" s="1" t="s">
        <v>131</v>
      </c>
      <c r="N416" s="4"/>
      <c r="O416" s="4"/>
      <c r="P416" s="4"/>
      <c r="Q416" s="1" t="s">
        <v>137</v>
      </c>
      <c r="R416" s="1" t="s">
        <v>137</v>
      </c>
      <c r="S416" s="1" t="s">
        <v>47</v>
      </c>
      <c r="T416" s="1" t="s">
        <v>4301</v>
      </c>
      <c r="U416" s="1" t="s">
        <v>1577</v>
      </c>
      <c r="V416" s="1" t="s">
        <v>4950</v>
      </c>
      <c r="W416" s="3">
        <v>44228.0</v>
      </c>
      <c r="X416" s="3">
        <v>44228.0</v>
      </c>
    </row>
    <row r="417">
      <c r="A417" s="1" t="s">
        <v>10331</v>
      </c>
      <c r="B417" s="1" t="s">
        <v>6923</v>
      </c>
      <c r="C417" s="1" t="s">
        <v>6923</v>
      </c>
      <c r="D417" s="1" t="s">
        <v>4293</v>
      </c>
      <c r="E417" s="1" t="s">
        <v>6925</v>
      </c>
      <c r="F417" s="1" t="s">
        <v>10334</v>
      </c>
      <c r="G417" s="3">
        <v>44985.0</v>
      </c>
      <c r="H417" s="3">
        <v>45372.0</v>
      </c>
      <c r="I417" s="3">
        <v>45372.0</v>
      </c>
      <c r="J417" s="1" t="s">
        <v>215</v>
      </c>
      <c r="K417" s="1" t="s">
        <v>160</v>
      </c>
      <c r="L417" s="1" t="s">
        <v>216</v>
      </c>
      <c r="M417" s="1" t="s">
        <v>131</v>
      </c>
      <c r="N417" s="4"/>
      <c r="O417" s="4"/>
      <c r="P417" s="4"/>
      <c r="Q417" s="1" t="s">
        <v>137</v>
      </c>
      <c r="R417" s="1" t="s">
        <v>137</v>
      </c>
      <c r="S417" s="1" t="s">
        <v>47</v>
      </c>
      <c r="T417" s="1" t="s">
        <v>4301</v>
      </c>
      <c r="U417" s="1" t="s">
        <v>1577</v>
      </c>
      <c r="V417" s="1" t="s">
        <v>4679</v>
      </c>
      <c r="W417" s="3">
        <v>45372.0</v>
      </c>
      <c r="X417" s="3">
        <v>45372.0</v>
      </c>
    </row>
    <row r="418">
      <c r="A418" s="1" t="s">
        <v>10342</v>
      </c>
      <c r="B418" s="1" t="s">
        <v>6923</v>
      </c>
      <c r="C418" s="1" t="s">
        <v>6923</v>
      </c>
      <c r="D418" s="1" t="s">
        <v>4293</v>
      </c>
      <c r="E418" s="1" t="s">
        <v>6925</v>
      </c>
      <c r="F418" s="1" t="s">
        <v>10344</v>
      </c>
      <c r="G418" s="3">
        <v>44985.0</v>
      </c>
      <c r="H418" s="3">
        <v>45372.0</v>
      </c>
      <c r="I418" s="3">
        <v>45372.0</v>
      </c>
      <c r="J418" s="1" t="s">
        <v>215</v>
      </c>
      <c r="K418" s="1" t="s">
        <v>160</v>
      </c>
      <c r="L418" s="1" t="s">
        <v>216</v>
      </c>
      <c r="M418" s="1" t="s">
        <v>131</v>
      </c>
      <c r="N418" s="4"/>
      <c r="O418" s="4"/>
      <c r="P418" s="4"/>
      <c r="Q418" s="1" t="s">
        <v>137</v>
      </c>
      <c r="R418" s="1" t="s">
        <v>137</v>
      </c>
      <c r="S418" s="1" t="s">
        <v>47</v>
      </c>
      <c r="T418" s="1" t="s">
        <v>4301</v>
      </c>
      <c r="U418" s="1" t="s">
        <v>1577</v>
      </c>
      <c r="V418" s="1" t="s">
        <v>4950</v>
      </c>
      <c r="W418" s="3">
        <v>45372.0</v>
      </c>
      <c r="X418" s="3">
        <v>45372.0</v>
      </c>
    </row>
    <row r="419">
      <c r="A419" s="1" t="s">
        <v>10351</v>
      </c>
      <c r="B419" s="1" t="s">
        <v>6923</v>
      </c>
      <c r="C419" s="1" t="s">
        <v>6923</v>
      </c>
      <c r="D419" s="1" t="s">
        <v>4293</v>
      </c>
      <c r="E419" s="1" t="s">
        <v>6925</v>
      </c>
      <c r="F419" s="1" t="s">
        <v>10363</v>
      </c>
      <c r="G419" s="3">
        <v>44985.0</v>
      </c>
      <c r="H419" s="3">
        <v>45372.0</v>
      </c>
      <c r="I419" s="3">
        <v>45372.0</v>
      </c>
      <c r="J419" s="1" t="s">
        <v>215</v>
      </c>
      <c r="K419" s="1" t="s">
        <v>160</v>
      </c>
      <c r="L419" s="1" t="s">
        <v>216</v>
      </c>
      <c r="M419" s="1" t="s">
        <v>131</v>
      </c>
      <c r="N419" s="4"/>
      <c r="O419" s="4"/>
      <c r="P419" s="4"/>
      <c r="Q419" s="1" t="s">
        <v>137</v>
      </c>
      <c r="R419" s="1" t="s">
        <v>137</v>
      </c>
      <c r="S419" s="1" t="s">
        <v>47</v>
      </c>
      <c r="T419" s="1" t="s">
        <v>4301</v>
      </c>
      <c r="U419" s="1" t="s">
        <v>1577</v>
      </c>
      <c r="V419" s="1" t="s">
        <v>5104</v>
      </c>
      <c r="W419" s="3">
        <v>45372.0</v>
      </c>
      <c r="X419" s="3">
        <v>45372.0</v>
      </c>
    </row>
    <row r="420">
      <c r="A420" s="1" t="s">
        <v>10373</v>
      </c>
      <c r="B420" s="1" t="s">
        <v>6923</v>
      </c>
      <c r="C420" s="1" t="s">
        <v>6923</v>
      </c>
      <c r="D420" s="1" t="s">
        <v>4293</v>
      </c>
      <c r="E420" s="1" t="s">
        <v>6925</v>
      </c>
      <c r="F420" s="1" t="s">
        <v>10375</v>
      </c>
      <c r="G420" s="3">
        <v>44985.0</v>
      </c>
      <c r="H420" s="3">
        <v>45372.0</v>
      </c>
      <c r="I420" s="3">
        <v>45372.0</v>
      </c>
      <c r="J420" s="1" t="s">
        <v>215</v>
      </c>
      <c r="K420" s="1" t="s">
        <v>160</v>
      </c>
      <c r="L420" s="1" t="s">
        <v>216</v>
      </c>
      <c r="M420" s="1" t="s">
        <v>131</v>
      </c>
      <c r="N420" s="4"/>
      <c r="O420" s="4"/>
      <c r="P420" s="4"/>
      <c r="Q420" s="1" t="s">
        <v>137</v>
      </c>
      <c r="R420" s="1" t="s">
        <v>137</v>
      </c>
      <c r="S420" s="1" t="s">
        <v>47</v>
      </c>
      <c r="T420" s="1" t="s">
        <v>4301</v>
      </c>
      <c r="U420" s="1" t="s">
        <v>1577</v>
      </c>
      <c r="V420" s="1" t="s">
        <v>5120</v>
      </c>
      <c r="W420" s="3">
        <v>45372.0</v>
      </c>
      <c r="X420" s="3">
        <v>45372.0</v>
      </c>
    </row>
    <row r="421">
      <c r="A421" s="1" t="s">
        <v>10385</v>
      </c>
      <c r="B421" s="1" t="s">
        <v>6930</v>
      </c>
      <c r="C421" s="1" t="s">
        <v>6930</v>
      </c>
      <c r="D421" s="1" t="s">
        <v>4293</v>
      </c>
      <c r="E421" s="1" t="s">
        <v>6933</v>
      </c>
      <c r="F421" s="1" t="s">
        <v>10387</v>
      </c>
      <c r="G421" s="3">
        <v>45700.0</v>
      </c>
      <c r="H421" s="3">
        <v>45819.0</v>
      </c>
      <c r="I421" s="3">
        <v>45819.0</v>
      </c>
      <c r="J421" s="1" t="s">
        <v>215</v>
      </c>
      <c r="K421" s="1" t="s">
        <v>160</v>
      </c>
      <c r="L421" s="1" t="s">
        <v>216</v>
      </c>
      <c r="M421" s="1" t="s">
        <v>131</v>
      </c>
      <c r="N421" s="4"/>
      <c r="O421" s="4"/>
      <c r="P421" s="4"/>
      <c r="Q421" s="1" t="s">
        <v>137</v>
      </c>
      <c r="R421" s="1" t="s">
        <v>137</v>
      </c>
      <c r="S421" s="1" t="s">
        <v>47</v>
      </c>
      <c r="T421" s="1" t="s">
        <v>4301</v>
      </c>
      <c r="U421" s="1" t="s">
        <v>1577</v>
      </c>
      <c r="V421" s="1" t="s">
        <v>3963</v>
      </c>
      <c r="W421" s="3">
        <v>45819.0</v>
      </c>
      <c r="X421" s="3">
        <v>45819.0</v>
      </c>
    </row>
    <row r="422">
      <c r="A422" s="1" t="s">
        <v>10394</v>
      </c>
      <c r="B422" s="1" t="s">
        <v>6930</v>
      </c>
      <c r="C422" s="1" t="s">
        <v>6930</v>
      </c>
      <c r="D422" s="1" t="s">
        <v>4293</v>
      </c>
      <c r="E422" s="1" t="s">
        <v>6933</v>
      </c>
      <c r="F422" s="1" t="s">
        <v>10399</v>
      </c>
      <c r="G422" s="3">
        <v>45700.0</v>
      </c>
      <c r="H422" s="3">
        <v>45819.0</v>
      </c>
      <c r="I422" s="3">
        <v>45819.0</v>
      </c>
      <c r="J422" s="1" t="s">
        <v>215</v>
      </c>
      <c r="K422" s="1" t="s">
        <v>160</v>
      </c>
      <c r="L422" s="1" t="s">
        <v>216</v>
      </c>
      <c r="M422" s="1" t="s">
        <v>131</v>
      </c>
      <c r="N422" s="13"/>
      <c r="O422" s="4"/>
      <c r="P422" s="4"/>
      <c r="Q422" s="1" t="s">
        <v>137</v>
      </c>
      <c r="R422" s="1" t="s">
        <v>137</v>
      </c>
      <c r="S422" s="1" t="s">
        <v>47</v>
      </c>
      <c r="T422" s="1" t="s">
        <v>4301</v>
      </c>
      <c r="U422" s="1" t="s">
        <v>1577</v>
      </c>
      <c r="V422" s="1" t="s">
        <v>4950</v>
      </c>
      <c r="W422" s="3">
        <v>45819.0</v>
      </c>
      <c r="X422" s="3">
        <v>45819.0</v>
      </c>
    </row>
    <row r="423">
      <c r="A423" s="1" t="s">
        <v>10411</v>
      </c>
      <c r="B423" s="1" t="s">
        <v>6940</v>
      </c>
      <c r="C423" s="1" t="s">
        <v>6940</v>
      </c>
      <c r="D423" s="1" t="s">
        <v>4293</v>
      </c>
      <c r="E423" s="1" t="s">
        <v>6942</v>
      </c>
      <c r="F423" s="1" t="s">
        <v>10414</v>
      </c>
      <c r="G423" s="3">
        <v>43371.0</v>
      </c>
      <c r="H423" s="3">
        <v>44518.0</v>
      </c>
      <c r="I423" s="3">
        <v>44518.0</v>
      </c>
      <c r="J423" s="1" t="s">
        <v>215</v>
      </c>
      <c r="K423" s="1" t="s">
        <v>160</v>
      </c>
      <c r="L423" s="1" t="s">
        <v>216</v>
      </c>
      <c r="M423" s="1" t="s">
        <v>131</v>
      </c>
      <c r="N423" s="13"/>
      <c r="O423" s="4"/>
      <c r="P423" s="4"/>
      <c r="Q423" s="1" t="s">
        <v>137</v>
      </c>
      <c r="R423" s="1" t="s">
        <v>137</v>
      </c>
      <c r="S423" s="1" t="s">
        <v>47</v>
      </c>
      <c r="T423" s="1" t="s">
        <v>4301</v>
      </c>
      <c r="U423" s="1" t="s">
        <v>1577</v>
      </c>
      <c r="V423" s="1" t="s">
        <v>3858</v>
      </c>
      <c r="W423" s="3">
        <v>44518.0</v>
      </c>
      <c r="X423" s="3">
        <v>44518.0</v>
      </c>
    </row>
    <row r="424">
      <c r="A424" s="1" t="s">
        <v>10425</v>
      </c>
      <c r="B424" s="1" t="s">
        <v>6950</v>
      </c>
      <c r="C424" s="1" t="s">
        <v>6950</v>
      </c>
      <c r="D424" s="1" t="s">
        <v>4293</v>
      </c>
      <c r="E424" s="1" t="s">
        <v>6952</v>
      </c>
      <c r="F424" s="1" t="s">
        <v>10429</v>
      </c>
      <c r="G424" s="3">
        <v>45226.0</v>
      </c>
      <c r="H424" s="3">
        <v>45532.0</v>
      </c>
      <c r="I424" s="3">
        <v>45532.0</v>
      </c>
      <c r="J424" s="1" t="s">
        <v>215</v>
      </c>
      <c r="K424" s="1" t="s">
        <v>160</v>
      </c>
      <c r="L424" s="1" t="s">
        <v>216</v>
      </c>
      <c r="M424" s="1" t="s">
        <v>131</v>
      </c>
      <c r="N424" s="13"/>
      <c r="O424" s="4"/>
      <c r="P424" s="4"/>
      <c r="Q424" s="1" t="s">
        <v>137</v>
      </c>
      <c r="R424" s="1" t="s">
        <v>137</v>
      </c>
      <c r="S424" s="1" t="s">
        <v>47</v>
      </c>
      <c r="T424" s="1" t="s">
        <v>4301</v>
      </c>
      <c r="U424" s="1" t="s">
        <v>1577</v>
      </c>
      <c r="V424" s="1" t="s">
        <v>3858</v>
      </c>
      <c r="W424" s="3">
        <v>45532.0</v>
      </c>
      <c r="X424" s="3">
        <v>45532.0</v>
      </c>
    </row>
    <row r="425">
      <c r="A425" s="1" t="s">
        <v>10437</v>
      </c>
      <c r="B425" s="1" t="s">
        <v>6950</v>
      </c>
      <c r="C425" s="1" t="s">
        <v>6950</v>
      </c>
      <c r="D425" s="1" t="s">
        <v>4293</v>
      </c>
      <c r="E425" s="1" t="s">
        <v>6952</v>
      </c>
      <c r="F425" s="1" t="s">
        <v>10439</v>
      </c>
      <c r="G425" s="3">
        <v>45226.0</v>
      </c>
      <c r="H425" s="3">
        <v>45532.0</v>
      </c>
      <c r="I425" s="3">
        <v>45532.0</v>
      </c>
      <c r="J425" s="1" t="s">
        <v>215</v>
      </c>
      <c r="K425" s="1" t="s">
        <v>160</v>
      </c>
      <c r="L425" s="1" t="s">
        <v>216</v>
      </c>
      <c r="M425" s="1" t="s">
        <v>131</v>
      </c>
      <c r="N425" s="4"/>
      <c r="O425" s="4"/>
      <c r="P425" s="4"/>
      <c r="Q425" s="1" t="s">
        <v>137</v>
      </c>
      <c r="R425" s="1" t="s">
        <v>137</v>
      </c>
      <c r="S425" s="1" t="s">
        <v>47</v>
      </c>
      <c r="T425" s="1" t="s">
        <v>4301</v>
      </c>
      <c r="U425" s="1" t="s">
        <v>1577</v>
      </c>
      <c r="V425" s="1" t="s">
        <v>4950</v>
      </c>
      <c r="W425" s="3">
        <v>45532.0</v>
      </c>
      <c r="X425" s="3">
        <v>45532.0</v>
      </c>
    </row>
    <row r="426">
      <c r="A426" s="1" t="s">
        <v>10448</v>
      </c>
      <c r="B426" s="1" t="s">
        <v>10449</v>
      </c>
      <c r="C426" s="1" t="s">
        <v>10449</v>
      </c>
      <c r="D426" s="1" t="s">
        <v>4293</v>
      </c>
      <c r="E426" s="1" t="s">
        <v>10452</v>
      </c>
      <c r="F426" s="1" t="s">
        <v>10454</v>
      </c>
      <c r="G426" s="3">
        <v>45910.0</v>
      </c>
      <c r="H426" s="3"/>
      <c r="I426" s="3"/>
      <c r="J426" s="1" t="s">
        <v>124</v>
      </c>
      <c r="K426" s="1" t="s">
        <v>160</v>
      </c>
      <c r="L426" s="1" t="s">
        <v>253</v>
      </c>
      <c r="M426" s="1" t="s">
        <v>131</v>
      </c>
      <c r="N426" s="13"/>
      <c r="O426" s="4"/>
      <c r="P426" s="4"/>
      <c r="Q426" s="1" t="s">
        <v>137</v>
      </c>
      <c r="R426" s="1" t="s">
        <v>137</v>
      </c>
      <c r="S426" s="1" t="s">
        <v>47</v>
      </c>
      <c r="T426" s="1" t="s">
        <v>4301</v>
      </c>
      <c r="U426" s="1" t="s">
        <v>1577</v>
      </c>
      <c r="V426" s="1" t="s">
        <v>3858</v>
      </c>
      <c r="W426" s="3"/>
      <c r="X426" s="3"/>
    </row>
    <row r="427">
      <c r="A427" s="1" t="s">
        <v>10466</v>
      </c>
      <c r="B427" s="1" t="s">
        <v>10449</v>
      </c>
      <c r="C427" s="1" t="s">
        <v>10449</v>
      </c>
      <c r="D427" s="1" t="s">
        <v>4293</v>
      </c>
      <c r="E427" s="1" t="s">
        <v>10452</v>
      </c>
      <c r="F427" s="1" t="s">
        <v>10468</v>
      </c>
      <c r="G427" s="3">
        <v>45910.0</v>
      </c>
      <c r="H427" s="3"/>
      <c r="I427" s="3"/>
      <c r="J427" s="1" t="s">
        <v>124</v>
      </c>
      <c r="K427" s="1" t="s">
        <v>160</v>
      </c>
      <c r="L427" s="1" t="s">
        <v>253</v>
      </c>
      <c r="M427" s="1" t="s">
        <v>131</v>
      </c>
      <c r="N427" s="13"/>
      <c r="O427" s="4"/>
      <c r="P427" s="4"/>
      <c r="Q427" s="1" t="s">
        <v>137</v>
      </c>
      <c r="R427" s="1" t="s">
        <v>137</v>
      </c>
      <c r="S427" s="1" t="s">
        <v>47</v>
      </c>
      <c r="T427" s="1" t="s">
        <v>4301</v>
      </c>
      <c r="U427" s="1" t="s">
        <v>1577</v>
      </c>
      <c r="V427" s="1" t="s">
        <v>4950</v>
      </c>
      <c r="W427" s="3"/>
      <c r="X427" s="3"/>
    </row>
    <row r="428">
      <c r="A428" s="1" t="s">
        <v>10480</v>
      </c>
      <c r="B428" s="1" t="s">
        <v>6958</v>
      </c>
      <c r="C428" s="1" t="s">
        <v>6958</v>
      </c>
      <c r="D428" s="1" t="s">
        <v>4293</v>
      </c>
      <c r="E428" s="1" t="s">
        <v>6959</v>
      </c>
      <c r="F428" s="1" t="s">
        <v>10487</v>
      </c>
      <c r="G428" s="3">
        <v>45121.0</v>
      </c>
      <c r="H428" s="3">
        <v>45595.0</v>
      </c>
      <c r="I428" s="3">
        <v>45595.0</v>
      </c>
      <c r="J428" s="1" t="s">
        <v>215</v>
      </c>
      <c r="K428" s="1" t="s">
        <v>160</v>
      </c>
      <c r="L428" s="1" t="s">
        <v>216</v>
      </c>
      <c r="M428" s="1" t="s">
        <v>131</v>
      </c>
      <c r="N428" s="13"/>
      <c r="O428" s="4"/>
      <c r="P428" s="4"/>
      <c r="Q428" s="1" t="s">
        <v>137</v>
      </c>
      <c r="R428" s="1" t="s">
        <v>137</v>
      </c>
      <c r="S428" s="1" t="s">
        <v>47</v>
      </c>
      <c r="T428" s="1" t="s">
        <v>4301</v>
      </c>
      <c r="U428" s="1" t="s">
        <v>1577</v>
      </c>
      <c r="V428" s="1" t="s">
        <v>3858</v>
      </c>
      <c r="W428" s="3">
        <v>45595.0</v>
      </c>
      <c r="X428" s="3">
        <v>45595.0</v>
      </c>
    </row>
    <row r="429">
      <c r="A429" s="1" t="s">
        <v>10506</v>
      </c>
      <c r="B429" s="1" t="s">
        <v>6965</v>
      </c>
      <c r="C429" s="1" t="s">
        <v>6965</v>
      </c>
      <c r="D429" s="1" t="s">
        <v>4293</v>
      </c>
      <c r="E429" s="1" t="s">
        <v>6967</v>
      </c>
      <c r="F429" s="1" t="s">
        <v>10516</v>
      </c>
      <c r="G429" s="3">
        <v>44308.0</v>
      </c>
      <c r="H429" s="3">
        <v>44489.0</v>
      </c>
      <c r="I429" s="3">
        <v>44489.0</v>
      </c>
      <c r="J429" s="1" t="s">
        <v>215</v>
      </c>
      <c r="K429" s="1" t="s">
        <v>160</v>
      </c>
      <c r="L429" s="1" t="s">
        <v>216</v>
      </c>
      <c r="M429" s="1" t="s">
        <v>131</v>
      </c>
      <c r="N429" s="13"/>
      <c r="O429" s="4"/>
      <c r="P429" s="4"/>
      <c r="Q429" s="1" t="s">
        <v>137</v>
      </c>
      <c r="R429" s="1" t="s">
        <v>137</v>
      </c>
      <c r="S429" s="1" t="s">
        <v>47</v>
      </c>
      <c r="T429" s="1" t="s">
        <v>4301</v>
      </c>
      <c r="U429" s="1" t="s">
        <v>1577</v>
      </c>
      <c r="V429" s="1" t="s">
        <v>3858</v>
      </c>
      <c r="W429" s="3">
        <v>44489.0</v>
      </c>
      <c r="X429" s="3">
        <v>44489.0</v>
      </c>
    </row>
    <row r="430">
      <c r="A430" s="1" t="s">
        <v>10538</v>
      </c>
      <c r="B430" s="1" t="s">
        <v>10539</v>
      </c>
      <c r="C430" s="1" t="s">
        <v>10539</v>
      </c>
      <c r="D430" s="1" t="s">
        <v>4293</v>
      </c>
      <c r="E430" s="1" t="s">
        <v>10545</v>
      </c>
      <c r="F430" s="1" t="s">
        <v>10547</v>
      </c>
      <c r="G430" s="3">
        <v>45929.0</v>
      </c>
      <c r="H430" s="3"/>
      <c r="I430" s="3"/>
      <c r="J430" s="1" t="s">
        <v>124</v>
      </c>
      <c r="K430" s="1" t="s">
        <v>160</v>
      </c>
      <c r="L430" s="1" t="s">
        <v>253</v>
      </c>
      <c r="M430" s="1" t="s">
        <v>131</v>
      </c>
      <c r="N430" s="13"/>
      <c r="O430" s="4"/>
      <c r="P430" s="4"/>
      <c r="Q430" s="1" t="s">
        <v>137</v>
      </c>
      <c r="R430" s="1" t="s">
        <v>137</v>
      </c>
      <c r="S430" s="1" t="s">
        <v>47</v>
      </c>
      <c r="T430" s="1" t="s">
        <v>4301</v>
      </c>
      <c r="U430" s="1" t="s">
        <v>1577</v>
      </c>
      <c r="V430" s="1" t="s">
        <v>3858</v>
      </c>
      <c r="W430" s="3"/>
      <c r="X430" s="13"/>
    </row>
    <row r="431">
      <c r="A431" s="1" t="s">
        <v>10567</v>
      </c>
      <c r="B431" s="1" t="s">
        <v>10539</v>
      </c>
      <c r="C431" s="1" t="s">
        <v>10539</v>
      </c>
      <c r="D431" s="1" t="s">
        <v>4293</v>
      </c>
      <c r="E431" s="1" t="s">
        <v>10545</v>
      </c>
      <c r="F431" s="1" t="s">
        <v>10575</v>
      </c>
      <c r="G431" s="3">
        <v>45929.0</v>
      </c>
      <c r="H431" s="3"/>
      <c r="I431" s="3"/>
      <c r="J431" s="1" t="s">
        <v>124</v>
      </c>
      <c r="K431" s="1" t="s">
        <v>160</v>
      </c>
      <c r="L431" s="1" t="s">
        <v>253</v>
      </c>
      <c r="M431" s="1" t="s">
        <v>131</v>
      </c>
      <c r="N431" s="13"/>
      <c r="O431" s="4"/>
      <c r="P431" s="4"/>
      <c r="Q431" s="1" t="s">
        <v>137</v>
      </c>
      <c r="R431" s="1" t="s">
        <v>137</v>
      </c>
      <c r="S431" s="1" t="s">
        <v>47</v>
      </c>
      <c r="T431" s="1" t="s">
        <v>4301</v>
      </c>
      <c r="U431" s="1" t="s">
        <v>1577</v>
      </c>
      <c r="V431" s="1" t="s">
        <v>4950</v>
      </c>
      <c r="W431" s="3"/>
      <c r="X431" s="13"/>
    </row>
    <row r="432">
      <c r="A432" s="1" t="s">
        <v>10596</v>
      </c>
      <c r="B432" s="1" t="s">
        <v>6971</v>
      </c>
      <c r="C432" s="1" t="s">
        <v>6971</v>
      </c>
      <c r="D432" s="1" t="s">
        <v>4293</v>
      </c>
      <c r="E432" s="1" t="s">
        <v>6972</v>
      </c>
      <c r="F432" s="1" t="s">
        <v>10604</v>
      </c>
      <c r="G432" s="3">
        <v>43619.0</v>
      </c>
      <c r="H432" s="3">
        <v>43860.0</v>
      </c>
      <c r="I432" s="3">
        <v>43860.0</v>
      </c>
      <c r="J432" s="1" t="s">
        <v>215</v>
      </c>
      <c r="K432" s="1" t="s">
        <v>160</v>
      </c>
      <c r="L432" s="1" t="s">
        <v>216</v>
      </c>
      <c r="M432" s="1" t="s">
        <v>131</v>
      </c>
      <c r="N432" s="13"/>
      <c r="O432" s="4"/>
      <c r="P432" s="4"/>
      <c r="Q432" s="1" t="s">
        <v>137</v>
      </c>
      <c r="R432" s="1" t="s">
        <v>137</v>
      </c>
      <c r="S432" s="1" t="s">
        <v>47</v>
      </c>
      <c r="T432" s="1" t="s">
        <v>4301</v>
      </c>
      <c r="U432" s="1" t="s">
        <v>1577</v>
      </c>
      <c r="V432" s="1" t="s">
        <v>3858</v>
      </c>
      <c r="W432" s="3">
        <v>43860.0</v>
      </c>
      <c r="X432" s="3">
        <v>43860.0</v>
      </c>
    </row>
    <row r="433">
      <c r="A433" s="1" t="s">
        <v>10627</v>
      </c>
      <c r="B433" s="1" t="s">
        <v>6971</v>
      </c>
      <c r="C433" s="1" t="s">
        <v>6971</v>
      </c>
      <c r="D433" s="1" t="s">
        <v>4293</v>
      </c>
      <c r="E433" s="1" t="s">
        <v>6972</v>
      </c>
      <c r="F433" s="1" t="s">
        <v>10634</v>
      </c>
      <c r="G433" s="3">
        <v>43619.0</v>
      </c>
      <c r="H433" s="3">
        <v>43860.0</v>
      </c>
      <c r="I433" s="3">
        <v>43860.0</v>
      </c>
      <c r="J433" s="1" t="s">
        <v>215</v>
      </c>
      <c r="K433" s="1" t="s">
        <v>160</v>
      </c>
      <c r="L433" s="1" t="s">
        <v>216</v>
      </c>
      <c r="M433" s="1" t="s">
        <v>131</v>
      </c>
      <c r="N433" s="4"/>
      <c r="O433" s="4"/>
      <c r="P433" s="4"/>
      <c r="Q433" s="1" t="s">
        <v>137</v>
      </c>
      <c r="R433" s="1" t="s">
        <v>137</v>
      </c>
      <c r="S433" s="1" t="s">
        <v>47</v>
      </c>
      <c r="T433" s="1" t="s">
        <v>4301</v>
      </c>
      <c r="U433" s="1" t="s">
        <v>1577</v>
      </c>
      <c r="V433" s="1" t="s">
        <v>4950</v>
      </c>
      <c r="W433" s="3">
        <v>43860.0</v>
      </c>
      <c r="X433" s="3">
        <v>43860.0</v>
      </c>
    </row>
    <row r="434">
      <c r="A434" s="1" t="s">
        <v>10652</v>
      </c>
      <c r="B434" s="1" t="s">
        <v>6975</v>
      </c>
      <c r="C434" s="1" t="s">
        <v>6975</v>
      </c>
      <c r="D434" s="1" t="s">
        <v>4293</v>
      </c>
      <c r="E434" s="1" t="s">
        <v>6976</v>
      </c>
      <c r="F434" s="1" t="s">
        <v>10662</v>
      </c>
      <c r="G434" s="3">
        <v>44509.0</v>
      </c>
      <c r="H434" s="3">
        <v>44511.0</v>
      </c>
      <c r="I434" s="3">
        <v>44511.0</v>
      </c>
      <c r="J434" s="1" t="s">
        <v>215</v>
      </c>
      <c r="K434" s="1" t="s">
        <v>160</v>
      </c>
      <c r="L434" s="1" t="s">
        <v>216</v>
      </c>
      <c r="M434" s="1" t="s">
        <v>131</v>
      </c>
      <c r="N434" s="4"/>
      <c r="O434" s="4"/>
      <c r="P434" s="4"/>
      <c r="Q434" s="1" t="s">
        <v>137</v>
      </c>
      <c r="R434" s="1" t="s">
        <v>137</v>
      </c>
      <c r="S434" s="1" t="s">
        <v>47</v>
      </c>
      <c r="T434" s="1" t="s">
        <v>4301</v>
      </c>
      <c r="U434" s="1" t="s">
        <v>1577</v>
      </c>
      <c r="V434" s="1" t="s">
        <v>3858</v>
      </c>
      <c r="W434" s="3">
        <v>44511.0</v>
      </c>
      <c r="X434" s="3">
        <v>44511.0</v>
      </c>
    </row>
    <row r="435">
      <c r="A435" s="1" t="s">
        <v>10674</v>
      </c>
      <c r="B435" s="1" t="s">
        <v>6983</v>
      </c>
      <c r="C435" s="1" t="s">
        <v>6983</v>
      </c>
      <c r="D435" s="1" t="s">
        <v>4293</v>
      </c>
      <c r="E435" s="1" t="s">
        <v>6987</v>
      </c>
      <c r="F435" s="1" t="s">
        <v>10682</v>
      </c>
      <c r="G435" s="3">
        <v>45125.0</v>
      </c>
      <c r="H435" s="3">
        <v>45567.0</v>
      </c>
      <c r="I435" s="3">
        <v>45567.0</v>
      </c>
      <c r="J435" s="1" t="s">
        <v>215</v>
      </c>
      <c r="K435" s="1" t="s">
        <v>160</v>
      </c>
      <c r="L435" s="1" t="s">
        <v>216</v>
      </c>
      <c r="M435" s="1" t="s">
        <v>131</v>
      </c>
      <c r="N435" s="4"/>
      <c r="O435" s="4"/>
      <c r="P435" s="4"/>
      <c r="Q435" s="1" t="s">
        <v>137</v>
      </c>
      <c r="R435" s="1" t="s">
        <v>137</v>
      </c>
      <c r="S435" s="1" t="s">
        <v>47</v>
      </c>
      <c r="T435" s="1" t="s">
        <v>4301</v>
      </c>
      <c r="U435" s="1" t="s">
        <v>1577</v>
      </c>
      <c r="V435" s="1" t="s">
        <v>3858</v>
      </c>
      <c r="W435" s="3">
        <v>45567.0</v>
      </c>
      <c r="X435" s="3">
        <v>45567.0</v>
      </c>
    </row>
    <row r="436">
      <c r="A436" s="1" t="s">
        <v>10692</v>
      </c>
      <c r="B436" s="1" t="s">
        <v>6983</v>
      </c>
      <c r="C436" s="1" t="s">
        <v>6983</v>
      </c>
      <c r="D436" s="1" t="s">
        <v>4293</v>
      </c>
      <c r="E436" s="1" t="s">
        <v>6987</v>
      </c>
      <c r="F436" s="1" t="s">
        <v>10697</v>
      </c>
      <c r="G436" s="3">
        <v>45125.0</v>
      </c>
      <c r="H436" s="3">
        <v>45567.0</v>
      </c>
      <c r="I436" s="3">
        <v>45567.0</v>
      </c>
      <c r="J436" s="1" t="s">
        <v>215</v>
      </c>
      <c r="K436" s="1" t="s">
        <v>160</v>
      </c>
      <c r="L436" s="1" t="s">
        <v>216</v>
      </c>
      <c r="M436" s="1" t="s">
        <v>131</v>
      </c>
      <c r="N436" s="4"/>
      <c r="O436" s="4"/>
      <c r="P436" s="4"/>
      <c r="Q436" s="1" t="s">
        <v>137</v>
      </c>
      <c r="R436" s="1" t="s">
        <v>137</v>
      </c>
      <c r="S436" s="1" t="s">
        <v>47</v>
      </c>
      <c r="T436" s="1" t="s">
        <v>4301</v>
      </c>
      <c r="U436" s="1" t="s">
        <v>1577</v>
      </c>
      <c r="V436" s="1" t="s">
        <v>4950</v>
      </c>
      <c r="W436" s="3">
        <v>45567.0</v>
      </c>
      <c r="X436" s="3">
        <v>45567.0</v>
      </c>
    </row>
    <row r="437">
      <c r="A437" s="1" t="s">
        <v>10715</v>
      </c>
      <c r="B437" s="1" t="s">
        <v>6995</v>
      </c>
      <c r="C437" s="1" t="s">
        <v>6995</v>
      </c>
      <c r="D437" s="1" t="s">
        <v>4293</v>
      </c>
      <c r="E437" s="1" t="s">
        <v>6996</v>
      </c>
      <c r="F437" s="1" t="s">
        <v>10721</v>
      </c>
      <c r="G437" s="3">
        <v>45728.0</v>
      </c>
      <c r="H437" s="3">
        <v>45866.0</v>
      </c>
      <c r="I437" s="3">
        <v>45866.0</v>
      </c>
      <c r="J437" s="1" t="s">
        <v>215</v>
      </c>
      <c r="K437" s="1" t="s">
        <v>160</v>
      </c>
      <c r="L437" s="1" t="s">
        <v>216</v>
      </c>
      <c r="M437" s="1" t="s">
        <v>131</v>
      </c>
      <c r="N437" s="4"/>
      <c r="O437" s="4"/>
      <c r="P437" s="4"/>
      <c r="Q437" s="1" t="s">
        <v>137</v>
      </c>
      <c r="R437" s="1" t="s">
        <v>137</v>
      </c>
      <c r="S437" s="1" t="s">
        <v>47</v>
      </c>
      <c r="T437" s="1" t="s">
        <v>4301</v>
      </c>
      <c r="U437" s="1" t="s">
        <v>1577</v>
      </c>
      <c r="V437" s="1" t="s">
        <v>4679</v>
      </c>
      <c r="W437" s="3">
        <v>45866.0</v>
      </c>
      <c r="X437" s="3">
        <v>45866.0</v>
      </c>
    </row>
    <row r="438">
      <c r="A438" s="1" t="s">
        <v>10739</v>
      </c>
      <c r="B438" s="1" t="s">
        <v>6995</v>
      </c>
      <c r="C438" s="1" t="s">
        <v>6995</v>
      </c>
      <c r="D438" s="1" t="s">
        <v>4293</v>
      </c>
      <c r="E438" s="1" t="s">
        <v>6996</v>
      </c>
      <c r="F438" s="1" t="s">
        <v>10742</v>
      </c>
      <c r="G438" s="3">
        <v>45728.0</v>
      </c>
      <c r="H438" s="3">
        <v>45866.0</v>
      </c>
      <c r="I438" s="3">
        <v>45866.0</v>
      </c>
      <c r="J438" s="1" t="s">
        <v>215</v>
      </c>
      <c r="K438" s="1" t="s">
        <v>160</v>
      </c>
      <c r="L438" s="1" t="s">
        <v>216</v>
      </c>
      <c r="M438" s="1" t="s">
        <v>131</v>
      </c>
      <c r="N438" s="4"/>
      <c r="O438" s="4"/>
      <c r="P438" s="4"/>
      <c r="Q438" s="1" t="s">
        <v>137</v>
      </c>
      <c r="R438" s="1" t="s">
        <v>137</v>
      </c>
      <c r="S438" s="1" t="s">
        <v>47</v>
      </c>
      <c r="T438" s="1" t="s">
        <v>4301</v>
      </c>
      <c r="U438" s="1" t="s">
        <v>1577</v>
      </c>
      <c r="V438" s="1" t="s">
        <v>4950</v>
      </c>
      <c r="W438" s="3">
        <v>45866.0</v>
      </c>
      <c r="X438" s="3">
        <v>45866.0</v>
      </c>
    </row>
    <row r="439">
      <c r="A439" s="1" t="s">
        <v>10756</v>
      </c>
      <c r="B439" s="1" t="s">
        <v>6995</v>
      </c>
      <c r="C439" s="1" t="s">
        <v>6995</v>
      </c>
      <c r="D439" s="1" t="s">
        <v>4293</v>
      </c>
      <c r="E439" s="1" t="s">
        <v>6996</v>
      </c>
      <c r="F439" s="1" t="s">
        <v>10765</v>
      </c>
      <c r="G439" s="3">
        <v>45728.0</v>
      </c>
      <c r="H439" s="3">
        <v>45866.0</v>
      </c>
      <c r="I439" s="3">
        <v>45866.0</v>
      </c>
      <c r="J439" s="1" t="s">
        <v>215</v>
      </c>
      <c r="K439" s="1" t="s">
        <v>160</v>
      </c>
      <c r="L439" s="1" t="s">
        <v>216</v>
      </c>
      <c r="M439" s="1" t="s">
        <v>131</v>
      </c>
      <c r="N439" s="4"/>
      <c r="O439" s="4"/>
      <c r="P439" s="4"/>
      <c r="Q439" s="1" t="s">
        <v>137</v>
      </c>
      <c r="R439" s="1" t="s">
        <v>137</v>
      </c>
      <c r="S439" s="1" t="s">
        <v>47</v>
      </c>
      <c r="T439" s="1" t="s">
        <v>4301</v>
      </c>
      <c r="U439" s="1" t="s">
        <v>1577</v>
      </c>
      <c r="V439" s="1" t="s">
        <v>5104</v>
      </c>
      <c r="W439" s="3">
        <v>45866.0</v>
      </c>
      <c r="X439" s="3">
        <v>45866.0</v>
      </c>
    </row>
    <row r="440">
      <c r="A440" s="1" t="s">
        <v>10777</v>
      </c>
      <c r="B440" s="1" t="s">
        <v>6995</v>
      </c>
      <c r="C440" s="1" t="s">
        <v>6995</v>
      </c>
      <c r="D440" s="1" t="s">
        <v>4293</v>
      </c>
      <c r="E440" s="1" t="s">
        <v>6996</v>
      </c>
      <c r="F440" s="1" t="s">
        <v>10782</v>
      </c>
      <c r="G440" s="3">
        <v>45728.0</v>
      </c>
      <c r="H440" s="3">
        <v>45866.0</v>
      </c>
      <c r="I440" s="3">
        <v>45866.0</v>
      </c>
      <c r="J440" s="1" t="s">
        <v>215</v>
      </c>
      <c r="K440" s="1" t="s">
        <v>160</v>
      </c>
      <c r="L440" s="1" t="s">
        <v>216</v>
      </c>
      <c r="M440" s="1" t="s">
        <v>131</v>
      </c>
      <c r="N440" s="4"/>
      <c r="O440" s="4"/>
      <c r="P440" s="4"/>
      <c r="Q440" s="1" t="s">
        <v>137</v>
      </c>
      <c r="R440" s="1" t="s">
        <v>137</v>
      </c>
      <c r="S440" s="1" t="s">
        <v>47</v>
      </c>
      <c r="T440" s="1" t="s">
        <v>4301</v>
      </c>
      <c r="U440" s="1" t="s">
        <v>1577</v>
      </c>
      <c r="V440" s="1" t="s">
        <v>5120</v>
      </c>
      <c r="W440" s="3">
        <v>45866.0</v>
      </c>
      <c r="X440" s="3">
        <v>45866.0</v>
      </c>
    </row>
    <row r="441">
      <c r="A441" s="1" t="s">
        <v>10792</v>
      </c>
      <c r="B441" s="1" t="s">
        <v>7007</v>
      </c>
      <c r="C441" s="1" t="s">
        <v>7007</v>
      </c>
      <c r="D441" s="1" t="s">
        <v>4293</v>
      </c>
      <c r="E441" s="1" t="s">
        <v>7009</v>
      </c>
      <c r="F441" s="1" t="s">
        <v>10797</v>
      </c>
      <c r="G441" s="3">
        <v>44343.0</v>
      </c>
      <c r="H441" s="3">
        <v>44440.0</v>
      </c>
      <c r="I441" s="3">
        <v>44440.0</v>
      </c>
      <c r="J441" s="1" t="s">
        <v>215</v>
      </c>
      <c r="K441" s="1" t="s">
        <v>160</v>
      </c>
      <c r="L441" s="1" t="s">
        <v>216</v>
      </c>
      <c r="M441" s="1" t="s">
        <v>131</v>
      </c>
      <c r="N441" s="4"/>
      <c r="O441" s="4"/>
      <c r="P441" s="4"/>
      <c r="Q441" s="1" t="s">
        <v>137</v>
      </c>
      <c r="R441" s="1" t="s">
        <v>137</v>
      </c>
      <c r="S441" s="1" t="s">
        <v>47</v>
      </c>
      <c r="T441" s="1" t="s">
        <v>4301</v>
      </c>
      <c r="U441" s="1" t="s">
        <v>1577</v>
      </c>
      <c r="V441" s="1" t="s">
        <v>3858</v>
      </c>
      <c r="W441" s="3">
        <v>44440.0</v>
      </c>
      <c r="X441" s="3">
        <v>44440.0</v>
      </c>
    </row>
    <row r="442">
      <c r="A442" s="1" t="s">
        <v>10808</v>
      </c>
      <c r="B442" s="1" t="s">
        <v>10811</v>
      </c>
      <c r="C442" s="1" t="s">
        <v>10811</v>
      </c>
      <c r="D442" s="1" t="s">
        <v>4293</v>
      </c>
      <c r="E442" s="1" t="s">
        <v>10813</v>
      </c>
      <c r="F442" s="1" t="s">
        <v>10815</v>
      </c>
      <c r="G442" s="3">
        <v>45560.0</v>
      </c>
      <c r="H442" s="3"/>
      <c r="I442" s="3"/>
      <c r="J442" s="1" t="s">
        <v>124</v>
      </c>
      <c r="K442" s="1" t="s">
        <v>160</v>
      </c>
      <c r="L442" s="1" t="s">
        <v>253</v>
      </c>
      <c r="M442" s="1" t="s">
        <v>131</v>
      </c>
      <c r="N442" s="4"/>
      <c r="O442" s="4"/>
      <c r="P442" s="4"/>
      <c r="Q442" s="1" t="s">
        <v>137</v>
      </c>
      <c r="R442" s="1" t="s">
        <v>137</v>
      </c>
      <c r="S442" s="1" t="s">
        <v>47</v>
      </c>
      <c r="T442" s="1" t="s">
        <v>4301</v>
      </c>
      <c r="U442" s="1" t="s">
        <v>1577</v>
      </c>
      <c r="V442" s="1" t="s">
        <v>3858</v>
      </c>
      <c r="W442" s="3"/>
      <c r="X442" s="3"/>
    </row>
    <row r="443">
      <c r="A443" s="1" t="s">
        <v>10829</v>
      </c>
      <c r="B443" s="1" t="s">
        <v>10811</v>
      </c>
      <c r="C443" s="1" t="s">
        <v>10811</v>
      </c>
      <c r="D443" s="1" t="s">
        <v>4293</v>
      </c>
      <c r="E443" s="1" t="s">
        <v>10813</v>
      </c>
      <c r="F443" s="1" t="s">
        <v>10836</v>
      </c>
      <c r="G443" s="3">
        <v>45560.0</v>
      </c>
      <c r="H443" s="3"/>
      <c r="I443" s="3"/>
      <c r="J443" s="1" t="s">
        <v>124</v>
      </c>
      <c r="K443" s="1" t="s">
        <v>160</v>
      </c>
      <c r="L443" s="1" t="s">
        <v>253</v>
      </c>
      <c r="M443" s="1" t="s">
        <v>131</v>
      </c>
      <c r="N443" s="4"/>
      <c r="O443" s="4"/>
      <c r="P443" s="4"/>
      <c r="Q443" s="1" t="s">
        <v>137</v>
      </c>
      <c r="R443" s="1" t="s">
        <v>137</v>
      </c>
      <c r="S443" s="1" t="s">
        <v>47</v>
      </c>
      <c r="T443" s="1" t="s">
        <v>4301</v>
      </c>
      <c r="U443" s="1" t="s">
        <v>1577</v>
      </c>
      <c r="V443" s="1" t="s">
        <v>3963</v>
      </c>
      <c r="W443" s="3"/>
      <c r="X443" s="3"/>
    </row>
    <row r="444">
      <c r="A444" s="1" t="s">
        <v>10846</v>
      </c>
      <c r="B444" s="1" t="s">
        <v>10811</v>
      </c>
      <c r="C444" s="1" t="s">
        <v>10811</v>
      </c>
      <c r="D444" s="1" t="s">
        <v>4293</v>
      </c>
      <c r="E444" s="1" t="s">
        <v>10813</v>
      </c>
      <c r="F444" s="1" t="s">
        <v>10850</v>
      </c>
      <c r="G444" s="3">
        <v>45560.0</v>
      </c>
      <c r="H444" s="3"/>
      <c r="I444" s="3"/>
      <c r="J444" s="1" t="s">
        <v>124</v>
      </c>
      <c r="K444" s="1" t="s">
        <v>160</v>
      </c>
      <c r="L444" s="1" t="s">
        <v>253</v>
      </c>
      <c r="M444" s="1" t="s">
        <v>131</v>
      </c>
      <c r="N444" s="4"/>
      <c r="O444" s="4"/>
      <c r="P444" s="4"/>
      <c r="Q444" s="1" t="s">
        <v>137</v>
      </c>
      <c r="R444" s="1" t="s">
        <v>137</v>
      </c>
      <c r="S444" s="1" t="s">
        <v>47</v>
      </c>
      <c r="T444" s="1" t="s">
        <v>4301</v>
      </c>
      <c r="U444" s="1" t="s">
        <v>1577</v>
      </c>
      <c r="V444" s="1" t="s">
        <v>4950</v>
      </c>
      <c r="W444" s="3"/>
      <c r="X444" s="3"/>
    </row>
    <row r="445">
      <c r="A445" s="1" t="s">
        <v>10858</v>
      </c>
      <c r="B445" s="1" t="s">
        <v>10860</v>
      </c>
      <c r="C445" s="1" t="s">
        <v>10860</v>
      </c>
      <c r="D445" s="1" t="s">
        <v>4293</v>
      </c>
      <c r="E445" s="1" t="s">
        <v>10864</v>
      </c>
      <c r="F445" s="1" t="s">
        <v>10867</v>
      </c>
      <c r="G445" s="3">
        <v>44967.0</v>
      </c>
      <c r="H445" s="3"/>
      <c r="I445" s="3"/>
      <c r="J445" s="1" t="s">
        <v>124</v>
      </c>
      <c r="K445" s="1" t="s">
        <v>160</v>
      </c>
      <c r="L445" s="1" t="s">
        <v>253</v>
      </c>
      <c r="M445" s="1" t="s">
        <v>131</v>
      </c>
      <c r="N445" s="4"/>
      <c r="O445" s="4"/>
      <c r="P445" s="4"/>
      <c r="Q445" s="1" t="s">
        <v>137</v>
      </c>
      <c r="R445" s="1" t="s">
        <v>137</v>
      </c>
      <c r="S445" s="1" t="s">
        <v>47</v>
      </c>
      <c r="T445" s="1" t="s">
        <v>4301</v>
      </c>
      <c r="U445" s="1" t="s">
        <v>1577</v>
      </c>
      <c r="V445" s="1" t="s">
        <v>3858</v>
      </c>
      <c r="W445" s="3"/>
      <c r="X445" s="3"/>
    </row>
    <row r="446">
      <c r="A446" s="1" t="s">
        <v>10873</v>
      </c>
      <c r="B446" s="1" t="s">
        <v>6082</v>
      </c>
      <c r="C446" s="1" t="s">
        <v>6082</v>
      </c>
      <c r="D446" s="1" t="s">
        <v>4293</v>
      </c>
      <c r="E446" s="1" t="s">
        <v>7017</v>
      </c>
      <c r="F446" s="1" t="s">
        <v>10875</v>
      </c>
      <c r="G446" s="3">
        <v>45597.0</v>
      </c>
      <c r="H446" s="3">
        <v>45715.0</v>
      </c>
      <c r="I446" s="3">
        <v>45715.0</v>
      </c>
      <c r="J446" s="1" t="s">
        <v>215</v>
      </c>
      <c r="K446" s="1" t="s">
        <v>160</v>
      </c>
      <c r="L446" s="1" t="s">
        <v>216</v>
      </c>
      <c r="M446" s="1" t="s">
        <v>131</v>
      </c>
      <c r="N446" s="4"/>
      <c r="O446" s="4"/>
      <c r="P446" s="4"/>
      <c r="Q446" s="1" t="s">
        <v>137</v>
      </c>
      <c r="R446" s="1" t="s">
        <v>137</v>
      </c>
      <c r="S446" s="1" t="s">
        <v>47</v>
      </c>
      <c r="T446" s="1" t="s">
        <v>4301</v>
      </c>
      <c r="U446" s="1" t="s">
        <v>1577</v>
      </c>
      <c r="V446" s="1" t="s">
        <v>3858</v>
      </c>
      <c r="W446" s="3">
        <v>45715.0</v>
      </c>
      <c r="X446" s="3">
        <v>45715.0</v>
      </c>
    </row>
    <row r="447">
      <c r="A447" s="1" t="s">
        <v>10884</v>
      </c>
      <c r="B447" s="1" t="s">
        <v>6082</v>
      </c>
      <c r="C447" s="1" t="s">
        <v>6082</v>
      </c>
      <c r="D447" s="1" t="s">
        <v>4293</v>
      </c>
      <c r="E447" s="1" t="s">
        <v>7017</v>
      </c>
      <c r="F447" s="1" t="s">
        <v>10887</v>
      </c>
      <c r="G447" s="3">
        <v>45597.0</v>
      </c>
      <c r="H447" s="3">
        <v>45715.0</v>
      </c>
      <c r="I447" s="3">
        <v>45715.0</v>
      </c>
      <c r="J447" s="1" t="s">
        <v>215</v>
      </c>
      <c r="K447" s="1" t="s">
        <v>160</v>
      </c>
      <c r="L447" s="1" t="s">
        <v>216</v>
      </c>
      <c r="M447" s="1" t="s">
        <v>131</v>
      </c>
      <c r="N447" s="4"/>
      <c r="O447" s="4"/>
      <c r="P447" s="4"/>
      <c r="Q447" s="1" t="s">
        <v>137</v>
      </c>
      <c r="R447" s="1" t="s">
        <v>137</v>
      </c>
      <c r="S447" s="1" t="s">
        <v>47</v>
      </c>
      <c r="T447" s="1" t="s">
        <v>4301</v>
      </c>
      <c r="U447" s="1" t="s">
        <v>1577</v>
      </c>
      <c r="V447" s="1" t="s">
        <v>4679</v>
      </c>
      <c r="W447" s="3">
        <v>45715.0</v>
      </c>
      <c r="X447" s="3">
        <v>45715.0</v>
      </c>
    </row>
    <row r="448">
      <c r="A448" s="1" t="s">
        <v>10905</v>
      </c>
      <c r="B448" s="1" t="s">
        <v>6082</v>
      </c>
      <c r="C448" s="1" t="s">
        <v>6082</v>
      </c>
      <c r="D448" s="1" t="s">
        <v>4293</v>
      </c>
      <c r="E448" s="1" t="s">
        <v>7017</v>
      </c>
      <c r="F448" s="1" t="s">
        <v>10908</v>
      </c>
      <c r="G448" s="3">
        <v>45597.0</v>
      </c>
      <c r="H448" s="3">
        <v>45715.0</v>
      </c>
      <c r="I448" s="3">
        <v>45715.0</v>
      </c>
      <c r="J448" s="1" t="s">
        <v>215</v>
      </c>
      <c r="K448" s="1" t="s">
        <v>160</v>
      </c>
      <c r="L448" s="1" t="s">
        <v>216</v>
      </c>
      <c r="M448" s="1" t="s">
        <v>131</v>
      </c>
      <c r="N448" s="4"/>
      <c r="O448" s="4"/>
      <c r="P448" s="4"/>
      <c r="Q448" s="1" t="s">
        <v>137</v>
      </c>
      <c r="R448" s="1" t="s">
        <v>137</v>
      </c>
      <c r="S448" s="1" t="s">
        <v>47</v>
      </c>
      <c r="T448" s="1" t="s">
        <v>4301</v>
      </c>
      <c r="U448" s="1" t="s">
        <v>1577</v>
      </c>
      <c r="V448" s="1" t="s">
        <v>4950</v>
      </c>
      <c r="W448" s="3">
        <v>45715.0</v>
      </c>
      <c r="X448" s="3">
        <v>45715.0</v>
      </c>
    </row>
    <row r="449">
      <c r="A449" s="1" t="s">
        <v>10916</v>
      </c>
      <c r="B449" s="1" t="s">
        <v>6082</v>
      </c>
      <c r="C449" s="1" t="s">
        <v>6082</v>
      </c>
      <c r="D449" s="1" t="s">
        <v>4293</v>
      </c>
      <c r="E449" s="1" t="s">
        <v>7017</v>
      </c>
      <c r="F449" s="1" t="s">
        <v>10920</v>
      </c>
      <c r="G449" s="3">
        <v>45597.0</v>
      </c>
      <c r="H449" s="3">
        <v>45715.0</v>
      </c>
      <c r="I449" s="3">
        <v>45715.0</v>
      </c>
      <c r="J449" s="1" t="s">
        <v>215</v>
      </c>
      <c r="K449" s="1" t="s">
        <v>160</v>
      </c>
      <c r="L449" s="1" t="s">
        <v>216</v>
      </c>
      <c r="M449" s="1" t="s">
        <v>131</v>
      </c>
      <c r="N449" s="4"/>
      <c r="O449" s="4"/>
      <c r="P449" s="4"/>
      <c r="Q449" s="1" t="s">
        <v>137</v>
      </c>
      <c r="R449" s="1" t="s">
        <v>137</v>
      </c>
      <c r="S449" s="1" t="s">
        <v>47</v>
      </c>
      <c r="T449" s="1" t="s">
        <v>4301</v>
      </c>
      <c r="U449" s="1" t="s">
        <v>1577</v>
      </c>
      <c r="V449" s="1" t="s">
        <v>5104</v>
      </c>
      <c r="W449" s="3">
        <v>45715.0</v>
      </c>
      <c r="X449" s="3">
        <v>45715.0</v>
      </c>
    </row>
    <row r="450">
      <c r="A450" s="1" t="s">
        <v>10926</v>
      </c>
      <c r="B450" s="1" t="s">
        <v>6082</v>
      </c>
      <c r="C450" s="1" t="s">
        <v>6082</v>
      </c>
      <c r="D450" s="1" t="s">
        <v>4293</v>
      </c>
      <c r="E450" s="1" t="s">
        <v>7017</v>
      </c>
      <c r="F450" s="1" t="s">
        <v>10931</v>
      </c>
      <c r="G450" s="3">
        <v>45597.0</v>
      </c>
      <c r="H450" s="3">
        <v>45715.0</v>
      </c>
      <c r="I450" s="3">
        <v>45715.0</v>
      </c>
      <c r="J450" s="1" t="s">
        <v>215</v>
      </c>
      <c r="K450" s="1" t="s">
        <v>160</v>
      </c>
      <c r="L450" s="1" t="s">
        <v>216</v>
      </c>
      <c r="M450" s="1" t="s">
        <v>131</v>
      </c>
      <c r="N450" s="4"/>
      <c r="O450" s="4"/>
      <c r="P450" s="4"/>
      <c r="Q450" s="1" t="s">
        <v>137</v>
      </c>
      <c r="R450" s="1" t="s">
        <v>137</v>
      </c>
      <c r="S450" s="1" t="s">
        <v>47</v>
      </c>
      <c r="T450" s="1" t="s">
        <v>4301</v>
      </c>
      <c r="U450" s="1" t="s">
        <v>1577</v>
      </c>
      <c r="V450" s="1" t="s">
        <v>5120</v>
      </c>
      <c r="W450" s="3">
        <v>45715.0</v>
      </c>
      <c r="X450" s="3">
        <v>45715.0</v>
      </c>
    </row>
    <row r="451">
      <c r="A451" s="1" t="s">
        <v>10938</v>
      </c>
      <c r="B451" s="1" t="s">
        <v>7022</v>
      </c>
      <c r="C451" s="1" t="s">
        <v>7022</v>
      </c>
      <c r="D451" s="1" t="s">
        <v>4293</v>
      </c>
      <c r="E451" s="1" t="s">
        <v>7023</v>
      </c>
      <c r="F451" s="1" t="s">
        <v>10945</v>
      </c>
      <c r="G451" s="3">
        <v>44735.0</v>
      </c>
      <c r="H451" s="3">
        <v>44903.0</v>
      </c>
      <c r="I451" s="3">
        <v>44903.0</v>
      </c>
      <c r="J451" s="1" t="s">
        <v>215</v>
      </c>
      <c r="K451" s="1" t="s">
        <v>160</v>
      </c>
      <c r="L451" s="1" t="s">
        <v>216</v>
      </c>
      <c r="M451" s="1" t="s">
        <v>131</v>
      </c>
      <c r="N451" s="13"/>
      <c r="O451" s="4"/>
      <c r="P451" s="4"/>
      <c r="Q451" s="1" t="s">
        <v>137</v>
      </c>
      <c r="R451" s="1" t="s">
        <v>137</v>
      </c>
      <c r="S451" s="1" t="s">
        <v>47</v>
      </c>
      <c r="T451" s="1" t="s">
        <v>4301</v>
      </c>
      <c r="U451" s="1" t="s">
        <v>1577</v>
      </c>
      <c r="V451" s="1" t="s">
        <v>4679</v>
      </c>
      <c r="W451" s="3">
        <v>44903.0</v>
      </c>
      <c r="X451" s="3">
        <v>44903.0</v>
      </c>
    </row>
    <row r="452">
      <c r="A452" s="1" t="s">
        <v>10954</v>
      </c>
      <c r="B452" s="1" t="s">
        <v>7022</v>
      </c>
      <c r="C452" s="1" t="s">
        <v>7022</v>
      </c>
      <c r="D452" s="1" t="s">
        <v>4293</v>
      </c>
      <c r="E452" s="1" t="s">
        <v>7023</v>
      </c>
      <c r="F452" s="1" t="s">
        <v>10958</v>
      </c>
      <c r="G452" s="3">
        <v>44735.0</v>
      </c>
      <c r="H452" s="3">
        <v>44903.0</v>
      </c>
      <c r="I452" s="3">
        <v>44903.0</v>
      </c>
      <c r="J452" s="1" t="s">
        <v>215</v>
      </c>
      <c r="K452" s="1" t="s">
        <v>160</v>
      </c>
      <c r="L452" s="1" t="s">
        <v>216</v>
      </c>
      <c r="M452" s="1" t="s">
        <v>131</v>
      </c>
      <c r="O452" s="4"/>
      <c r="Q452" s="1" t="s">
        <v>137</v>
      </c>
      <c r="R452" s="1" t="s">
        <v>137</v>
      </c>
      <c r="S452" s="1" t="s">
        <v>47</v>
      </c>
      <c r="T452" s="1" t="s">
        <v>4301</v>
      </c>
      <c r="U452" s="1" t="s">
        <v>1577</v>
      </c>
      <c r="V452" s="1" t="s">
        <v>4950</v>
      </c>
      <c r="W452" s="3">
        <v>44903.0</v>
      </c>
      <c r="X452" s="3">
        <v>44903.0</v>
      </c>
    </row>
    <row r="453">
      <c r="A453" s="1" t="s">
        <v>10966</v>
      </c>
      <c r="B453" s="1" t="s">
        <v>7022</v>
      </c>
      <c r="C453" s="1" t="s">
        <v>7022</v>
      </c>
      <c r="D453" s="1" t="s">
        <v>4293</v>
      </c>
      <c r="E453" s="1" t="s">
        <v>7023</v>
      </c>
      <c r="F453" s="1" t="s">
        <v>10973</v>
      </c>
      <c r="G453" s="3">
        <v>44735.0</v>
      </c>
      <c r="H453" s="3">
        <v>44903.0</v>
      </c>
      <c r="I453" s="3">
        <v>44903.0</v>
      </c>
      <c r="J453" s="1" t="s">
        <v>215</v>
      </c>
      <c r="K453" s="1" t="s">
        <v>160</v>
      </c>
      <c r="L453" s="1" t="s">
        <v>216</v>
      </c>
      <c r="M453" s="1" t="s">
        <v>131</v>
      </c>
      <c r="N453" s="4"/>
      <c r="O453" s="4"/>
      <c r="P453" s="4"/>
      <c r="Q453" s="1" t="s">
        <v>137</v>
      </c>
      <c r="R453" s="1" t="s">
        <v>137</v>
      </c>
      <c r="S453" s="1" t="s">
        <v>47</v>
      </c>
      <c r="T453" s="1" t="s">
        <v>4301</v>
      </c>
      <c r="U453" s="1" t="s">
        <v>1577</v>
      </c>
      <c r="V453" s="1" t="s">
        <v>5104</v>
      </c>
      <c r="W453" s="3">
        <v>44903.0</v>
      </c>
      <c r="X453" s="3">
        <v>44903.0</v>
      </c>
    </row>
    <row r="454">
      <c r="A454" s="1" t="s">
        <v>10984</v>
      </c>
      <c r="B454" s="1" t="s">
        <v>7022</v>
      </c>
      <c r="C454" s="1" t="s">
        <v>7022</v>
      </c>
      <c r="D454" s="1" t="s">
        <v>4293</v>
      </c>
      <c r="E454" s="1" t="s">
        <v>7023</v>
      </c>
      <c r="F454" s="1" t="s">
        <v>10987</v>
      </c>
      <c r="G454" s="3">
        <v>44735.0</v>
      </c>
      <c r="H454" s="3">
        <v>44903.0</v>
      </c>
      <c r="I454" s="3">
        <v>44903.0</v>
      </c>
      <c r="J454" s="1" t="s">
        <v>215</v>
      </c>
      <c r="K454" s="1" t="s">
        <v>160</v>
      </c>
      <c r="L454" s="1" t="s">
        <v>216</v>
      </c>
      <c r="M454" s="1" t="s">
        <v>131</v>
      </c>
      <c r="O454" s="4"/>
      <c r="P454" s="4"/>
      <c r="Q454" s="1" t="s">
        <v>137</v>
      </c>
      <c r="R454" s="1" t="s">
        <v>137</v>
      </c>
      <c r="S454" s="1" t="s">
        <v>47</v>
      </c>
      <c r="T454" s="1" t="s">
        <v>4301</v>
      </c>
      <c r="U454" s="1" t="s">
        <v>1577</v>
      </c>
      <c r="V454" s="1" t="s">
        <v>5120</v>
      </c>
      <c r="W454" s="3">
        <v>44903.0</v>
      </c>
      <c r="X454" s="3">
        <v>44903.0</v>
      </c>
    </row>
    <row r="455">
      <c r="A455" s="1" t="s">
        <v>10997</v>
      </c>
      <c r="B455" s="1" t="s">
        <v>6174</v>
      </c>
      <c r="C455" s="1" t="s">
        <v>6174</v>
      </c>
      <c r="D455" s="1" t="s">
        <v>4293</v>
      </c>
      <c r="E455" s="1" t="s">
        <v>7033</v>
      </c>
      <c r="F455" s="1" t="s">
        <v>11000</v>
      </c>
      <c r="G455" s="3">
        <v>45000.0</v>
      </c>
      <c r="H455" s="3">
        <v>45146.0</v>
      </c>
      <c r="I455" s="3">
        <v>45146.0</v>
      </c>
      <c r="J455" s="1" t="s">
        <v>215</v>
      </c>
      <c r="K455" s="1" t="s">
        <v>160</v>
      </c>
      <c r="L455" s="1" t="s">
        <v>216</v>
      </c>
      <c r="M455" s="1" t="s">
        <v>131</v>
      </c>
      <c r="N455" s="13"/>
      <c r="O455" s="4"/>
      <c r="P455" s="4"/>
      <c r="Q455" s="1" t="s">
        <v>137</v>
      </c>
      <c r="R455" s="1" t="s">
        <v>137</v>
      </c>
      <c r="S455" s="1" t="s">
        <v>47</v>
      </c>
      <c r="T455" s="1" t="s">
        <v>4301</v>
      </c>
      <c r="U455" s="1" t="s">
        <v>1577</v>
      </c>
      <c r="V455" s="1" t="s">
        <v>4679</v>
      </c>
      <c r="W455" s="3">
        <v>45146.0</v>
      </c>
      <c r="X455" s="3">
        <v>45146.0</v>
      </c>
    </row>
    <row r="456">
      <c r="A456" s="1" t="s">
        <v>11013</v>
      </c>
      <c r="B456" s="1" t="s">
        <v>6174</v>
      </c>
      <c r="C456" s="1" t="s">
        <v>6174</v>
      </c>
      <c r="D456" s="1" t="s">
        <v>4293</v>
      </c>
      <c r="E456" s="1" t="s">
        <v>7033</v>
      </c>
      <c r="F456" s="1" t="s">
        <v>11017</v>
      </c>
      <c r="G456" s="3">
        <v>45000.0</v>
      </c>
      <c r="H456" s="3">
        <v>45146.0</v>
      </c>
      <c r="I456" s="3">
        <v>45146.0</v>
      </c>
      <c r="J456" s="1" t="s">
        <v>215</v>
      </c>
      <c r="K456" s="1" t="s">
        <v>160</v>
      </c>
      <c r="L456" s="1" t="s">
        <v>216</v>
      </c>
      <c r="M456" s="1" t="s">
        <v>131</v>
      </c>
      <c r="N456" s="13"/>
      <c r="O456" s="4"/>
      <c r="P456" s="4"/>
      <c r="Q456" s="1" t="s">
        <v>137</v>
      </c>
      <c r="R456" s="1" t="s">
        <v>137</v>
      </c>
      <c r="S456" s="1" t="s">
        <v>47</v>
      </c>
      <c r="T456" s="1" t="s">
        <v>4301</v>
      </c>
      <c r="U456" s="1" t="s">
        <v>1577</v>
      </c>
      <c r="V456" s="1" t="s">
        <v>4950</v>
      </c>
      <c r="W456" s="3">
        <v>45146.0</v>
      </c>
      <c r="X456" s="3">
        <v>45146.0</v>
      </c>
    </row>
    <row r="457">
      <c r="A457" s="1" t="s">
        <v>11025</v>
      </c>
      <c r="B457" s="1" t="s">
        <v>6174</v>
      </c>
      <c r="C457" s="1" t="s">
        <v>6174</v>
      </c>
      <c r="D457" s="1" t="s">
        <v>4293</v>
      </c>
      <c r="E457" s="1" t="s">
        <v>7033</v>
      </c>
      <c r="F457" s="1" t="s">
        <v>11028</v>
      </c>
      <c r="G457" s="3">
        <v>45000.0</v>
      </c>
      <c r="H457" s="3">
        <v>45146.0</v>
      </c>
      <c r="I457" s="3">
        <v>45146.0</v>
      </c>
      <c r="J457" s="1" t="s">
        <v>215</v>
      </c>
      <c r="K457" s="1" t="s">
        <v>160</v>
      </c>
      <c r="L457" s="1" t="s">
        <v>216</v>
      </c>
      <c r="M457" s="1" t="s">
        <v>131</v>
      </c>
      <c r="N457" s="13"/>
      <c r="O457" s="4"/>
      <c r="P457" s="4"/>
      <c r="Q457" s="1" t="s">
        <v>137</v>
      </c>
      <c r="R457" s="1" t="s">
        <v>137</v>
      </c>
      <c r="S457" s="1" t="s">
        <v>47</v>
      </c>
      <c r="T457" s="1" t="s">
        <v>4301</v>
      </c>
      <c r="U457" s="1" t="s">
        <v>1577</v>
      </c>
      <c r="V457" s="1" t="s">
        <v>5104</v>
      </c>
      <c r="W457" s="3">
        <v>45146.0</v>
      </c>
      <c r="X457" s="3">
        <v>45146.0</v>
      </c>
    </row>
    <row r="458">
      <c r="A458" s="1" t="s">
        <v>11038</v>
      </c>
      <c r="B458" s="1" t="s">
        <v>6174</v>
      </c>
      <c r="C458" s="1" t="s">
        <v>6174</v>
      </c>
      <c r="D458" s="1" t="s">
        <v>4293</v>
      </c>
      <c r="E458" s="1" t="s">
        <v>7033</v>
      </c>
      <c r="F458" s="1" t="s">
        <v>11040</v>
      </c>
      <c r="G458" s="3">
        <v>45000.0</v>
      </c>
      <c r="H458" s="3">
        <v>45146.0</v>
      </c>
      <c r="I458" s="3">
        <v>45146.0</v>
      </c>
      <c r="J458" s="1" t="s">
        <v>215</v>
      </c>
      <c r="K458" s="1" t="s">
        <v>160</v>
      </c>
      <c r="L458" s="1" t="s">
        <v>216</v>
      </c>
      <c r="M458" s="1" t="s">
        <v>131</v>
      </c>
      <c r="O458" s="4"/>
      <c r="P458" s="4"/>
      <c r="Q458" s="1" t="s">
        <v>137</v>
      </c>
      <c r="R458" s="1" t="s">
        <v>137</v>
      </c>
      <c r="S458" s="1" t="s">
        <v>47</v>
      </c>
      <c r="T458" s="1" t="s">
        <v>4301</v>
      </c>
      <c r="U458" s="1" t="s">
        <v>1577</v>
      </c>
      <c r="V458" s="1" t="s">
        <v>5120</v>
      </c>
      <c r="W458" s="3">
        <v>45146.0</v>
      </c>
      <c r="X458" s="3">
        <v>45146.0</v>
      </c>
    </row>
    <row r="459">
      <c r="A459" s="1" t="s">
        <v>11045</v>
      </c>
      <c r="B459" s="1" t="s">
        <v>7042</v>
      </c>
      <c r="C459" s="1" t="s">
        <v>7042</v>
      </c>
      <c r="D459" s="1" t="s">
        <v>4293</v>
      </c>
      <c r="E459" s="1" t="s">
        <v>7044</v>
      </c>
      <c r="F459" s="1" t="s">
        <v>11048</v>
      </c>
      <c r="G459" s="3">
        <v>43825.0</v>
      </c>
      <c r="H459" s="3">
        <v>43984.0</v>
      </c>
      <c r="I459" s="3">
        <v>43984.0</v>
      </c>
      <c r="J459" s="1" t="s">
        <v>215</v>
      </c>
      <c r="K459" s="1" t="s">
        <v>160</v>
      </c>
      <c r="L459" s="1" t="s">
        <v>216</v>
      </c>
      <c r="M459" s="1" t="s">
        <v>131</v>
      </c>
      <c r="N459" s="13"/>
      <c r="O459" s="4"/>
      <c r="P459" s="4"/>
      <c r="Q459" s="1" t="s">
        <v>137</v>
      </c>
      <c r="R459" s="1" t="s">
        <v>137</v>
      </c>
      <c r="S459" s="1" t="s">
        <v>47</v>
      </c>
      <c r="T459" s="1" t="s">
        <v>4301</v>
      </c>
      <c r="U459" s="1" t="s">
        <v>1577</v>
      </c>
      <c r="V459" s="1" t="s">
        <v>3858</v>
      </c>
      <c r="W459" s="3">
        <v>43984.0</v>
      </c>
      <c r="X459" s="3">
        <v>43984.0</v>
      </c>
    </row>
    <row r="460">
      <c r="A460" s="1" t="s">
        <v>11056</v>
      </c>
      <c r="B460" s="1" t="s">
        <v>7042</v>
      </c>
      <c r="C460" s="1" t="s">
        <v>7042</v>
      </c>
      <c r="D460" s="1" t="s">
        <v>4293</v>
      </c>
      <c r="E460" s="1" t="s">
        <v>7044</v>
      </c>
      <c r="F460" s="1" t="s">
        <v>11060</v>
      </c>
      <c r="G460" s="3">
        <v>43825.0</v>
      </c>
      <c r="H460" s="3">
        <v>43984.0</v>
      </c>
      <c r="I460" s="3">
        <v>43984.0</v>
      </c>
      <c r="J460" s="1" t="s">
        <v>215</v>
      </c>
      <c r="K460" s="1" t="s">
        <v>160</v>
      </c>
      <c r="L460" s="1" t="s">
        <v>216</v>
      </c>
      <c r="M460" s="1" t="s">
        <v>131</v>
      </c>
      <c r="N460" s="13"/>
      <c r="O460" s="4"/>
      <c r="P460" s="4"/>
      <c r="Q460" s="1" t="s">
        <v>137</v>
      </c>
      <c r="R460" s="1" t="s">
        <v>137</v>
      </c>
      <c r="S460" s="1" t="s">
        <v>47</v>
      </c>
      <c r="T460" s="1" t="s">
        <v>4301</v>
      </c>
      <c r="U460" s="1" t="s">
        <v>1577</v>
      </c>
      <c r="V460" s="1" t="s">
        <v>4950</v>
      </c>
      <c r="W460" s="3">
        <v>43984.0</v>
      </c>
      <c r="X460" s="3">
        <v>43984.0</v>
      </c>
    </row>
    <row r="461">
      <c r="A461" s="1" t="s">
        <v>11068</v>
      </c>
      <c r="B461" s="1" t="s">
        <v>7052</v>
      </c>
      <c r="C461" s="1" t="s">
        <v>7052</v>
      </c>
      <c r="D461" s="1" t="s">
        <v>4293</v>
      </c>
      <c r="E461" s="1" t="s">
        <v>7054</v>
      </c>
      <c r="F461" s="1" t="s">
        <v>11075</v>
      </c>
      <c r="G461" s="3">
        <v>45420.0</v>
      </c>
      <c r="H461" s="3">
        <v>45467.0</v>
      </c>
      <c r="I461" s="3">
        <v>45467.0</v>
      </c>
      <c r="J461" s="1" t="s">
        <v>215</v>
      </c>
      <c r="K461" s="1" t="s">
        <v>160</v>
      </c>
      <c r="L461" s="1" t="s">
        <v>216</v>
      </c>
      <c r="M461" s="1" t="s">
        <v>131</v>
      </c>
      <c r="O461" s="4"/>
      <c r="P461" s="4"/>
      <c r="Q461" s="1" t="s">
        <v>137</v>
      </c>
      <c r="R461" s="1" t="s">
        <v>137</v>
      </c>
      <c r="S461" s="1" t="s">
        <v>47</v>
      </c>
      <c r="T461" s="1" t="s">
        <v>4301</v>
      </c>
      <c r="U461" s="1" t="s">
        <v>1577</v>
      </c>
      <c r="V461" s="1" t="s">
        <v>3858</v>
      </c>
      <c r="W461" s="3">
        <v>45467.0</v>
      </c>
      <c r="X461" s="3">
        <v>45467.0</v>
      </c>
    </row>
    <row r="462">
      <c r="A462" s="1" t="s">
        <v>11083</v>
      </c>
      <c r="B462" s="1" t="s">
        <v>7052</v>
      </c>
      <c r="C462" s="1" t="s">
        <v>7052</v>
      </c>
      <c r="D462" s="1" t="s">
        <v>4293</v>
      </c>
      <c r="E462" s="1" t="s">
        <v>7054</v>
      </c>
      <c r="F462" s="1" t="s">
        <v>11088</v>
      </c>
      <c r="G462" s="3">
        <v>45420.0</v>
      </c>
      <c r="H462" s="3">
        <v>45467.0</v>
      </c>
      <c r="I462" s="3">
        <v>45467.0</v>
      </c>
      <c r="J462" s="1" t="s">
        <v>215</v>
      </c>
      <c r="K462" s="1" t="s">
        <v>160</v>
      </c>
      <c r="L462" s="1" t="s">
        <v>216</v>
      </c>
      <c r="M462" s="1" t="s">
        <v>131</v>
      </c>
      <c r="O462" s="4"/>
      <c r="P462" s="4"/>
      <c r="Q462" s="1" t="s">
        <v>137</v>
      </c>
      <c r="R462" s="1" t="s">
        <v>137</v>
      </c>
      <c r="S462" s="1" t="s">
        <v>47</v>
      </c>
      <c r="T462" s="1" t="s">
        <v>4301</v>
      </c>
      <c r="U462" s="1" t="s">
        <v>1577</v>
      </c>
      <c r="V462" s="1" t="s">
        <v>4950</v>
      </c>
      <c r="W462" s="3">
        <v>45467.0</v>
      </c>
      <c r="X462" s="3">
        <v>45467.0</v>
      </c>
    </row>
    <row r="463">
      <c r="A463" s="1" t="s">
        <v>11101</v>
      </c>
      <c r="B463" s="1" t="s">
        <v>7063</v>
      </c>
      <c r="C463" s="1" t="s">
        <v>7063</v>
      </c>
      <c r="D463" s="1" t="s">
        <v>4293</v>
      </c>
      <c r="E463" s="1" t="s">
        <v>7066</v>
      </c>
      <c r="F463" s="1" t="s">
        <v>11106</v>
      </c>
      <c r="G463" s="3">
        <v>45763.0</v>
      </c>
      <c r="H463" s="3">
        <v>46029.0</v>
      </c>
      <c r="I463" s="3">
        <v>46029.0</v>
      </c>
      <c r="J463" s="1" t="s">
        <v>215</v>
      </c>
      <c r="K463" s="1" t="s">
        <v>160</v>
      </c>
      <c r="L463" s="1" t="s">
        <v>216</v>
      </c>
      <c r="M463" s="1" t="s">
        <v>131</v>
      </c>
      <c r="O463" s="4"/>
      <c r="P463" s="4"/>
      <c r="Q463" s="1" t="s">
        <v>137</v>
      </c>
      <c r="R463" s="1" t="s">
        <v>137</v>
      </c>
      <c r="S463" s="1" t="s">
        <v>47</v>
      </c>
      <c r="T463" s="1" t="s">
        <v>4301</v>
      </c>
      <c r="U463" s="1" t="s">
        <v>1577</v>
      </c>
      <c r="V463" s="1" t="s">
        <v>3858</v>
      </c>
      <c r="W463" s="3">
        <v>46029.0</v>
      </c>
      <c r="X463" s="3">
        <v>46029.0</v>
      </c>
    </row>
    <row r="464">
      <c r="A464" s="1" t="s">
        <v>11122</v>
      </c>
      <c r="B464" s="1" t="s">
        <v>7063</v>
      </c>
      <c r="C464" s="1" t="s">
        <v>7063</v>
      </c>
      <c r="D464" s="1" t="s">
        <v>4293</v>
      </c>
      <c r="E464" s="1" t="s">
        <v>7066</v>
      </c>
      <c r="F464" s="1" t="s">
        <v>11127</v>
      </c>
      <c r="G464" s="3">
        <v>45763.0</v>
      </c>
      <c r="H464" s="3">
        <v>46029.0</v>
      </c>
      <c r="I464" s="3">
        <v>46029.0</v>
      </c>
      <c r="J464" s="1" t="s">
        <v>215</v>
      </c>
      <c r="K464" s="1" t="s">
        <v>160</v>
      </c>
      <c r="L464" s="1" t="s">
        <v>216</v>
      </c>
      <c r="M464" s="1" t="s">
        <v>131</v>
      </c>
      <c r="N464" s="13"/>
      <c r="O464" s="4"/>
      <c r="Q464" s="1" t="s">
        <v>137</v>
      </c>
      <c r="R464" s="1" t="s">
        <v>137</v>
      </c>
      <c r="S464" s="1" t="s">
        <v>47</v>
      </c>
      <c r="T464" s="1" t="s">
        <v>4301</v>
      </c>
      <c r="U464" s="1" t="s">
        <v>1577</v>
      </c>
      <c r="V464" s="1" t="s">
        <v>4950</v>
      </c>
      <c r="W464" s="3">
        <v>46029.0</v>
      </c>
      <c r="X464" s="3">
        <v>46029.0</v>
      </c>
    </row>
    <row r="465">
      <c r="A465" s="1" t="s">
        <v>11142</v>
      </c>
      <c r="B465" s="1" t="s">
        <v>6816</v>
      </c>
      <c r="C465" s="1" t="s">
        <v>6816</v>
      </c>
      <c r="D465" s="1" t="s">
        <v>4293</v>
      </c>
      <c r="E465" s="1" t="s">
        <v>7078</v>
      </c>
      <c r="F465" s="1" t="s">
        <v>11148</v>
      </c>
      <c r="G465" s="3">
        <v>45784.0</v>
      </c>
      <c r="H465" s="3">
        <v>46055.0</v>
      </c>
      <c r="I465" s="3">
        <v>46055.0</v>
      </c>
      <c r="J465" s="1" t="s">
        <v>215</v>
      </c>
      <c r="K465" s="1" t="s">
        <v>160</v>
      </c>
      <c r="L465" s="1" t="s">
        <v>216</v>
      </c>
      <c r="M465" s="1" t="s">
        <v>131</v>
      </c>
      <c r="N465" s="13"/>
      <c r="O465" s="4"/>
      <c r="P465" s="4"/>
      <c r="Q465" s="1" t="s">
        <v>137</v>
      </c>
      <c r="R465" s="1" t="s">
        <v>137</v>
      </c>
      <c r="S465" s="1" t="s">
        <v>47</v>
      </c>
      <c r="T465" s="1" t="s">
        <v>4301</v>
      </c>
      <c r="U465" s="1" t="s">
        <v>1577</v>
      </c>
      <c r="V465" s="1" t="s">
        <v>3858</v>
      </c>
      <c r="W465" s="3">
        <v>46055.0</v>
      </c>
      <c r="X465" s="3">
        <v>46055.0</v>
      </c>
    </row>
    <row r="466">
      <c r="A466" s="1" t="s">
        <v>11168</v>
      </c>
      <c r="B466" s="1" t="s">
        <v>7083</v>
      </c>
      <c r="C466" s="1" t="s">
        <v>7083</v>
      </c>
      <c r="D466" s="1" t="s">
        <v>4293</v>
      </c>
      <c r="E466" s="1" t="s">
        <v>7086</v>
      </c>
      <c r="F466" s="1" t="s">
        <v>11175</v>
      </c>
      <c r="G466" s="3">
        <v>44292.0</v>
      </c>
      <c r="H466" s="3">
        <v>44470.0</v>
      </c>
      <c r="I466" s="3">
        <v>44470.0</v>
      </c>
      <c r="J466" s="1" t="s">
        <v>215</v>
      </c>
      <c r="K466" s="1" t="s">
        <v>160</v>
      </c>
      <c r="L466" s="1" t="s">
        <v>216</v>
      </c>
      <c r="M466" s="1" t="s">
        <v>131</v>
      </c>
      <c r="N466" s="4"/>
      <c r="O466" s="4"/>
      <c r="P466" s="4"/>
      <c r="Q466" s="1" t="s">
        <v>137</v>
      </c>
      <c r="R466" s="1" t="s">
        <v>137</v>
      </c>
      <c r="S466" s="1" t="s">
        <v>47</v>
      </c>
      <c r="T466" s="1" t="s">
        <v>4301</v>
      </c>
      <c r="U466" s="1" t="s">
        <v>1577</v>
      </c>
      <c r="V466" s="1" t="s">
        <v>3858</v>
      </c>
      <c r="W466" s="3">
        <v>44470.0</v>
      </c>
      <c r="X466" s="3">
        <v>44470.0</v>
      </c>
    </row>
    <row r="467">
      <c r="A467" s="1" t="s">
        <v>11199</v>
      </c>
      <c r="B467" s="1" t="s">
        <v>7097</v>
      </c>
      <c r="C467" s="1" t="s">
        <v>7097</v>
      </c>
      <c r="D467" s="1" t="s">
        <v>4293</v>
      </c>
      <c r="E467" s="1" t="s">
        <v>7099</v>
      </c>
      <c r="F467" s="1" t="s">
        <v>11210</v>
      </c>
      <c r="G467" s="3">
        <v>44249.0</v>
      </c>
      <c r="H467" s="3">
        <v>44249.0</v>
      </c>
      <c r="I467" s="3">
        <v>44249.0</v>
      </c>
      <c r="J467" s="1" t="s">
        <v>215</v>
      </c>
      <c r="K467" s="1" t="s">
        <v>160</v>
      </c>
      <c r="L467" s="1" t="s">
        <v>216</v>
      </c>
      <c r="M467" s="1" t="s">
        <v>131</v>
      </c>
      <c r="O467" s="4"/>
      <c r="P467" s="4"/>
      <c r="Q467" s="1" t="s">
        <v>137</v>
      </c>
      <c r="R467" s="1" t="s">
        <v>137</v>
      </c>
      <c r="S467" s="1" t="s">
        <v>47</v>
      </c>
      <c r="T467" s="1" t="s">
        <v>4301</v>
      </c>
      <c r="U467" s="1" t="s">
        <v>1577</v>
      </c>
      <c r="V467" s="1" t="s">
        <v>3858</v>
      </c>
      <c r="W467" s="3">
        <v>44249.0</v>
      </c>
      <c r="X467" s="3">
        <v>44249.0</v>
      </c>
    </row>
    <row r="468">
      <c r="A468" s="1" t="s">
        <v>11233</v>
      </c>
      <c r="B468" s="1" t="s">
        <v>7107</v>
      </c>
      <c r="C468" s="1" t="s">
        <v>7107</v>
      </c>
      <c r="D468" s="1" t="s">
        <v>4293</v>
      </c>
      <c r="E468" s="1" t="s">
        <v>7110</v>
      </c>
      <c r="F468" s="1" t="s">
        <v>11242</v>
      </c>
      <c r="G468" s="3">
        <v>44314.0</v>
      </c>
      <c r="H468" s="3">
        <v>44251.0</v>
      </c>
      <c r="I468" s="3">
        <v>44251.0</v>
      </c>
      <c r="J468" s="1" t="s">
        <v>215</v>
      </c>
      <c r="K468" s="1" t="s">
        <v>160</v>
      </c>
      <c r="L468" s="1" t="s">
        <v>216</v>
      </c>
      <c r="M468" s="1" t="s">
        <v>131</v>
      </c>
      <c r="N468" s="13"/>
      <c r="O468" s="4"/>
      <c r="P468" s="4"/>
      <c r="Q468" s="1" t="s">
        <v>137</v>
      </c>
      <c r="R468" s="1" t="s">
        <v>137</v>
      </c>
      <c r="S468" s="1" t="s">
        <v>47</v>
      </c>
      <c r="T468" s="1" t="s">
        <v>4301</v>
      </c>
      <c r="U468" s="1" t="s">
        <v>1577</v>
      </c>
      <c r="V468" s="1" t="s">
        <v>3858</v>
      </c>
      <c r="W468" s="3">
        <v>44251.0</v>
      </c>
      <c r="X468" s="3">
        <v>44251.0</v>
      </c>
    </row>
    <row r="469">
      <c r="A469" s="1" t="s">
        <v>11256</v>
      </c>
      <c r="B469" s="1" t="s">
        <v>7119</v>
      </c>
      <c r="C469" s="1" t="s">
        <v>7119</v>
      </c>
      <c r="D469" s="1" t="s">
        <v>4293</v>
      </c>
      <c r="E469" s="1" t="s">
        <v>7122</v>
      </c>
      <c r="F469" s="1" t="s">
        <v>11257</v>
      </c>
      <c r="G469" s="3">
        <v>45395.0</v>
      </c>
      <c r="H469" s="3">
        <v>45525.0</v>
      </c>
      <c r="I469" s="3">
        <v>45525.0</v>
      </c>
      <c r="J469" s="1" t="s">
        <v>215</v>
      </c>
      <c r="K469" s="1" t="s">
        <v>160</v>
      </c>
      <c r="L469" s="1" t="s">
        <v>216</v>
      </c>
      <c r="M469" s="1" t="s">
        <v>131</v>
      </c>
      <c r="N469" s="13"/>
      <c r="O469" s="4"/>
      <c r="P469" s="4"/>
      <c r="Q469" s="1" t="s">
        <v>137</v>
      </c>
      <c r="R469" s="1" t="s">
        <v>137</v>
      </c>
      <c r="S469" s="1" t="s">
        <v>47</v>
      </c>
      <c r="T469" s="1" t="s">
        <v>4301</v>
      </c>
      <c r="U469" s="1" t="s">
        <v>1577</v>
      </c>
      <c r="V469" s="1" t="s">
        <v>3858</v>
      </c>
      <c r="W469" s="3">
        <v>45525.0</v>
      </c>
      <c r="X469" s="3">
        <v>45525.0</v>
      </c>
    </row>
    <row r="470">
      <c r="A470" s="1" t="s">
        <v>11273</v>
      </c>
      <c r="B470" s="1" t="s">
        <v>7130</v>
      </c>
      <c r="C470" s="1" t="s">
        <v>7130</v>
      </c>
      <c r="D470" s="1" t="s">
        <v>4293</v>
      </c>
      <c r="E470" s="1" t="s">
        <v>7132</v>
      </c>
      <c r="F470" s="1" t="s">
        <v>11279</v>
      </c>
      <c r="G470" s="3">
        <v>45832.0</v>
      </c>
      <c r="H470" s="3">
        <v>45909.0</v>
      </c>
      <c r="I470" s="3">
        <v>45909.0</v>
      </c>
      <c r="J470" s="1" t="s">
        <v>215</v>
      </c>
      <c r="K470" s="1" t="s">
        <v>160</v>
      </c>
      <c r="L470" s="1" t="s">
        <v>216</v>
      </c>
      <c r="M470" s="1" t="s">
        <v>131</v>
      </c>
      <c r="N470" s="13"/>
      <c r="O470" s="4"/>
      <c r="P470" s="4"/>
      <c r="Q470" s="1" t="s">
        <v>137</v>
      </c>
      <c r="R470" s="1" t="s">
        <v>137</v>
      </c>
      <c r="S470" s="1" t="s">
        <v>47</v>
      </c>
      <c r="T470" s="1" t="s">
        <v>4301</v>
      </c>
      <c r="U470" s="1" t="s">
        <v>1577</v>
      </c>
      <c r="V470" s="1" t="s">
        <v>4679</v>
      </c>
      <c r="W470" s="3">
        <v>45909.0</v>
      </c>
      <c r="X470" s="3">
        <v>45909.0</v>
      </c>
    </row>
    <row r="471">
      <c r="A471" s="1" t="s">
        <v>11292</v>
      </c>
      <c r="B471" s="1" t="s">
        <v>7130</v>
      </c>
      <c r="C471" s="1" t="s">
        <v>7130</v>
      </c>
      <c r="D471" s="1" t="s">
        <v>4293</v>
      </c>
      <c r="E471" s="1" t="s">
        <v>7132</v>
      </c>
      <c r="F471" s="1" t="s">
        <v>11304</v>
      </c>
      <c r="G471" s="3">
        <v>45832.0</v>
      </c>
      <c r="H471" s="3">
        <v>45909.0</v>
      </c>
      <c r="I471" s="3">
        <v>45909.0</v>
      </c>
      <c r="J471" s="1" t="s">
        <v>215</v>
      </c>
      <c r="K471" s="1" t="s">
        <v>160</v>
      </c>
      <c r="L471" s="1" t="s">
        <v>216</v>
      </c>
      <c r="M471" s="1" t="s">
        <v>131</v>
      </c>
      <c r="N471" s="4"/>
      <c r="O471" s="4"/>
      <c r="P471" s="4"/>
      <c r="Q471" s="1" t="s">
        <v>137</v>
      </c>
      <c r="R471" s="1" t="s">
        <v>137</v>
      </c>
      <c r="S471" s="1" t="s">
        <v>47</v>
      </c>
      <c r="T471" s="1" t="s">
        <v>4301</v>
      </c>
      <c r="U471" s="1" t="s">
        <v>1577</v>
      </c>
      <c r="V471" s="1" t="s">
        <v>4950</v>
      </c>
      <c r="W471" s="3">
        <v>45909.0</v>
      </c>
      <c r="X471" s="3">
        <v>45909.0</v>
      </c>
    </row>
    <row r="472">
      <c r="A472" s="1" t="s">
        <v>11316</v>
      </c>
      <c r="B472" s="1" t="s">
        <v>7130</v>
      </c>
      <c r="C472" s="1" t="s">
        <v>7130</v>
      </c>
      <c r="D472" s="1" t="s">
        <v>4293</v>
      </c>
      <c r="E472" s="1" t="s">
        <v>7132</v>
      </c>
      <c r="F472" s="1" t="s">
        <v>11318</v>
      </c>
      <c r="G472" s="3">
        <v>45832.0</v>
      </c>
      <c r="H472" s="3">
        <v>45909.0</v>
      </c>
      <c r="I472" s="3">
        <v>45909.0</v>
      </c>
      <c r="J472" s="1" t="s">
        <v>215</v>
      </c>
      <c r="K472" s="1" t="s">
        <v>160</v>
      </c>
      <c r="L472" s="1" t="s">
        <v>216</v>
      </c>
      <c r="M472" s="1" t="s">
        <v>131</v>
      </c>
      <c r="N472" s="13"/>
      <c r="O472" s="4"/>
      <c r="P472" s="4"/>
      <c r="Q472" s="1" t="s">
        <v>137</v>
      </c>
      <c r="R472" s="1" t="s">
        <v>137</v>
      </c>
      <c r="S472" s="1" t="s">
        <v>47</v>
      </c>
      <c r="T472" s="1" t="s">
        <v>4301</v>
      </c>
      <c r="U472" s="1" t="s">
        <v>1577</v>
      </c>
      <c r="V472" s="1" t="s">
        <v>5104</v>
      </c>
      <c r="W472" s="3">
        <v>45909.0</v>
      </c>
      <c r="X472" s="3">
        <v>45909.0</v>
      </c>
    </row>
    <row r="473">
      <c r="A473" s="1" t="s">
        <v>11331</v>
      </c>
      <c r="B473" s="1" t="s">
        <v>7130</v>
      </c>
      <c r="C473" s="1" t="s">
        <v>7130</v>
      </c>
      <c r="D473" s="1" t="s">
        <v>4293</v>
      </c>
      <c r="E473" s="1" t="s">
        <v>7132</v>
      </c>
      <c r="F473" s="1" t="s">
        <v>11337</v>
      </c>
      <c r="G473" s="3">
        <v>45832.0</v>
      </c>
      <c r="H473" s="3">
        <v>45909.0</v>
      </c>
      <c r="I473" s="3">
        <v>45909.0</v>
      </c>
      <c r="J473" s="1" t="s">
        <v>215</v>
      </c>
      <c r="K473" s="1" t="s">
        <v>160</v>
      </c>
      <c r="L473" s="1" t="s">
        <v>216</v>
      </c>
      <c r="M473" s="1" t="s">
        <v>131</v>
      </c>
      <c r="N473" s="13"/>
      <c r="O473" s="4"/>
      <c r="P473" s="4"/>
      <c r="Q473" s="1" t="s">
        <v>137</v>
      </c>
      <c r="R473" s="1" t="s">
        <v>137</v>
      </c>
      <c r="S473" s="1" t="s">
        <v>47</v>
      </c>
      <c r="T473" s="1" t="s">
        <v>4301</v>
      </c>
      <c r="U473" s="1" t="s">
        <v>1577</v>
      </c>
      <c r="V473" s="1" t="s">
        <v>5120</v>
      </c>
      <c r="W473" s="3">
        <v>45909.0</v>
      </c>
      <c r="X473" s="3">
        <v>45909.0</v>
      </c>
    </row>
    <row r="474">
      <c r="A474" s="1" t="s">
        <v>11352</v>
      </c>
      <c r="B474" s="1" t="s">
        <v>7142</v>
      </c>
      <c r="C474" s="1" t="s">
        <v>7142</v>
      </c>
      <c r="D474" s="1" t="s">
        <v>4293</v>
      </c>
      <c r="E474" s="1" t="s">
        <v>7145</v>
      </c>
      <c r="F474" s="1" t="s">
        <v>11366</v>
      </c>
      <c r="G474" s="3">
        <v>44328.0</v>
      </c>
      <c r="H474" s="3">
        <v>44358.0</v>
      </c>
      <c r="I474" s="3">
        <v>44358.0</v>
      </c>
      <c r="J474" s="1" t="s">
        <v>215</v>
      </c>
      <c r="K474" s="1" t="s">
        <v>160</v>
      </c>
      <c r="L474" s="1" t="s">
        <v>216</v>
      </c>
      <c r="M474" s="1" t="s">
        <v>131</v>
      </c>
      <c r="N474" s="4"/>
      <c r="O474" s="4"/>
      <c r="P474" s="4"/>
      <c r="Q474" s="1" t="s">
        <v>137</v>
      </c>
      <c r="R474" s="1" t="s">
        <v>137</v>
      </c>
      <c r="S474" s="1" t="s">
        <v>47</v>
      </c>
      <c r="T474" s="1" t="s">
        <v>4301</v>
      </c>
      <c r="U474" s="1" t="s">
        <v>1577</v>
      </c>
      <c r="V474" s="1" t="s">
        <v>3858</v>
      </c>
      <c r="W474" s="3">
        <v>44358.0</v>
      </c>
      <c r="X474" s="3">
        <v>44358.0</v>
      </c>
    </row>
    <row r="475">
      <c r="A475" s="1" t="s">
        <v>11381</v>
      </c>
      <c r="B475" s="1" t="s">
        <v>7153</v>
      </c>
      <c r="C475" s="1" t="s">
        <v>7153</v>
      </c>
      <c r="D475" s="1" t="s">
        <v>4293</v>
      </c>
      <c r="E475" s="1" t="s">
        <v>7154</v>
      </c>
      <c r="F475" s="1" t="s">
        <v>11385</v>
      </c>
      <c r="G475" s="3">
        <v>45229.0</v>
      </c>
      <c r="H475" s="3">
        <v>45426.0</v>
      </c>
      <c r="I475" s="3">
        <v>45426.0</v>
      </c>
      <c r="J475" s="1" t="s">
        <v>215</v>
      </c>
      <c r="K475" s="1" t="s">
        <v>160</v>
      </c>
      <c r="L475" s="1" t="s">
        <v>216</v>
      </c>
      <c r="M475" s="1" t="s">
        <v>131</v>
      </c>
      <c r="N475" s="4"/>
      <c r="O475" s="4"/>
      <c r="P475" s="4"/>
      <c r="Q475" s="1" t="s">
        <v>137</v>
      </c>
      <c r="R475" s="1" t="s">
        <v>137</v>
      </c>
      <c r="S475" s="1" t="s">
        <v>47</v>
      </c>
      <c r="T475" s="1" t="s">
        <v>4301</v>
      </c>
      <c r="U475" s="1" t="s">
        <v>1577</v>
      </c>
      <c r="V475" s="1" t="s">
        <v>3858</v>
      </c>
      <c r="W475" s="3">
        <v>45426.0</v>
      </c>
      <c r="X475" s="3">
        <v>45426.0</v>
      </c>
    </row>
    <row r="476">
      <c r="A476" s="1" t="s">
        <v>11397</v>
      </c>
      <c r="B476" s="1" t="s">
        <v>7153</v>
      </c>
      <c r="C476" s="1" t="s">
        <v>7153</v>
      </c>
      <c r="D476" s="1" t="s">
        <v>4293</v>
      </c>
      <c r="E476" s="1" t="s">
        <v>7154</v>
      </c>
      <c r="F476" s="1" t="s">
        <v>11403</v>
      </c>
      <c r="G476" s="3">
        <v>45229.0</v>
      </c>
      <c r="H476" s="3">
        <v>45426.0</v>
      </c>
      <c r="I476" s="3">
        <v>45426.0</v>
      </c>
      <c r="J476" s="1" t="s">
        <v>215</v>
      </c>
      <c r="K476" s="1" t="s">
        <v>160</v>
      </c>
      <c r="L476" s="1" t="s">
        <v>216</v>
      </c>
      <c r="M476" s="1" t="s">
        <v>131</v>
      </c>
      <c r="N476" s="13"/>
      <c r="O476" s="4"/>
      <c r="P476" s="4"/>
      <c r="Q476" s="1" t="s">
        <v>137</v>
      </c>
      <c r="R476" s="1" t="s">
        <v>137</v>
      </c>
      <c r="S476" s="1" t="s">
        <v>47</v>
      </c>
      <c r="T476" s="1" t="s">
        <v>4301</v>
      </c>
      <c r="U476" s="1" t="s">
        <v>1577</v>
      </c>
      <c r="V476" s="1" t="s">
        <v>4679</v>
      </c>
      <c r="W476" s="3">
        <v>45426.0</v>
      </c>
      <c r="X476" s="3">
        <v>45426.0</v>
      </c>
    </row>
    <row r="477">
      <c r="A477" s="1" t="s">
        <v>11412</v>
      </c>
      <c r="B477" s="1" t="s">
        <v>7153</v>
      </c>
      <c r="C477" s="1" t="s">
        <v>7153</v>
      </c>
      <c r="D477" s="1" t="s">
        <v>4293</v>
      </c>
      <c r="E477" s="1" t="s">
        <v>7154</v>
      </c>
      <c r="F477" s="1" t="s">
        <v>11415</v>
      </c>
      <c r="G477" s="3">
        <v>45229.0</v>
      </c>
      <c r="H477" s="3">
        <v>45426.0</v>
      </c>
      <c r="I477" s="3">
        <v>45426.0</v>
      </c>
      <c r="J477" s="1" t="s">
        <v>215</v>
      </c>
      <c r="K477" s="1" t="s">
        <v>160</v>
      </c>
      <c r="L477" s="1" t="s">
        <v>216</v>
      </c>
      <c r="M477" s="1" t="s">
        <v>131</v>
      </c>
      <c r="N477" s="13"/>
      <c r="O477" s="4"/>
      <c r="P477" s="4"/>
      <c r="Q477" s="1" t="s">
        <v>137</v>
      </c>
      <c r="R477" s="1" t="s">
        <v>137</v>
      </c>
      <c r="S477" s="1" t="s">
        <v>47</v>
      </c>
      <c r="T477" s="1" t="s">
        <v>4301</v>
      </c>
      <c r="U477" s="1" t="s">
        <v>1577</v>
      </c>
      <c r="V477" s="1" t="s">
        <v>4950</v>
      </c>
      <c r="W477" s="3">
        <v>45426.0</v>
      </c>
      <c r="X477" s="3">
        <v>45426.0</v>
      </c>
    </row>
    <row r="478">
      <c r="A478" s="1" t="s">
        <v>11429</v>
      </c>
      <c r="B478" s="1" t="s">
        <v>7153</v>
      </c>
      <c r="C478" s="1" t="s">
        <v>7153</v>
      </c>
      <c r="D478" s="1" t="s">
        <v>4293</v>
      </c>
      <c r="E478" s="1" t="s">
        <v>7154</v>
      </c>
      <c r="F478" s="1" t="s">
        <v>11435</v>
      </c>
      <c r="G478" s="3">
        <v>45229.0</v>
      </c>
      <c r="H478" s="3">
        <v>45426.0</v>
      </c>
      <c r="I478" s="3">
        <v>45426.0</v>
      </c>
      <c r="J478" s="1" t="s">
        <v>215</v>
      </c>
      <c r="K478" s="1" t="s">
        <v>160</v>
      </c>
      <c r="L478" s="1" t="s">
        <v>216</v>
      </c>
      <c r="M478" s="1" t="s">
        <v>131</v>
      </c>
      <c r="N478" s="4"/>
      <c r="O478" s="4"/>
      <c r="P478" s="4"/>
      <c r="Q478" s="1" t="s">
        <v>137</v>
      </c>
      <c r="R478" s="1" t="s">
        <v>137</v>
      </c>
      <c r="S478" s="1" t="s">
        <v>47</v>
      </c>
      <c r="T478" s="1" t="s">
        <v>4301</v>
      </c>
      <c r="U478" s="1" t="s">
        <v>1577</v>
      </c>
      <c r="V478" s="1" t="s">
        <v>5104</v>
      </c>
      <c r="W478" s="3">
        <v>45426.0</v>
      </c>
      <c r="X478" s="3">
        <v>45426.0</v>
      </c>
    </row>
    <row r="479">
      <c r="A479" s="1" t="s">
        <v>11450</v>
      </c>
      <c r="B479" s="1" t="s">
        <v>7153</v>
      </c>
      <c r="C479" s="1" t="s">
        <v>7153</v>
      </c>
      <c r="D479" s="1" t="s">
        <v>4293</v>
      </c>
      <c r="E479" s="1" t="s">
        <v>7154</v>
      </c>
      <c r="F479" s="1" t="s">
        <v>11455</v>
      </c>
      <c r="G479" s="3">
        <v>45229.0</v>
      </c>
      <c r="H479" s="3">
        <v>45426.0</v>
      </c>
      <c r="I479" s="3">
        <v>45426.0</v>
      </c>
      <c r="J479" s="1" t="s">
        <v>215</v>
      </c>
      <c r="K479" s="1" t="s">
        <v>160</v>
      </c>
      <c r="L479" s="1" t="s">
        <v>216</v>
      </c>
      <c r="M479" s="1" t="s">
        <v>131</v>
      </c>
      <c r="N479" s="4"/>
      <c r="O479" s="4"/>
      <c r="P479" s="4"/>
      <c r="Q479" s="1" t="s">
        <v>137</v>
      </c>
      <c r="R479" s="1" t="s">
        <v>137</v>
      </c>
      <c r="S479" s="1" t="s">
        <v>47</v>
      </c>
      <c r="T479" s="1" t="s">
        <v>4301</v>
      </c>
      <c r="U479" s="1" t="s">
        <v>1577</v>
      </c>
      <c r="V479" s="1" t="s">
        <v>5120</v>
      </c>
      <c r="W479" s="3">
        <v>45426.0</v>
      </c>
      <c r="X479" s="3">
        <v>45426.0</v>
      </c>
    </row>
    <row r="480">
      <c r="A480" s="1" t="s">
        <v>11466</v>
      </c>
      <c r="B480" s="1" t="s">
        <v>7157</v>
      </c>
      <c r="C480" s="1" t="s">
        <v>7157</v>
      </c>
      <c r="D480" s="1" t="s">
        <v>4293</v>
      </c>
      <c r="E480" s="1" t="s">
        <v>7159</v>
      </c>
      <c r="F480" s="1" t="s">
        <v>11471</v>
      </c>
      <c r="G480" s="3">
        <v>43952.0</v>
      </c>
      <c r="H480" s="3">
        <v>43952.0</v>
      </c>
      <c r="I480" s="3">
        <v>43952.0</v>
      </c>
      <c r="J480" s="1" t="s">
        <v>215</v>
      </c>
      <c r="K480" s="1" t="s">
        <v>160</v>
      </c>
      <c r="L480" s="1" t="s">
        <v>216</v>
      </c>
      <c r="M480" s="1" t="s">
        <v>131</v>
      </c>
      <c r="N480" s="13"/>
      <c r="O480" s="4"/>
      <c r="P480" s="4"/>
      <c r="Q480" s="1" t="s">
        <v>137</v>
      </c>
      <c r="R480" s="1" t="s">
        <v>137</v>
      </c>
      <c r="S480" s="1" t="s">
        <v>47</v>
      </c>
      <c r="T480" s="1" t="s">
        <v>4301</v>
      </c>
      <c r="U480" s="1" t="s">
        <v>1577</v>
      </c>
      <c r="V480" s="1" t="s">
        <v>4950</v>
      </c>
      <c r="W480" s="3">
        <v>43952.0</v>
      </c>
      <c r="X480" s="3">
        <v>43952.0</v>
      </c>
    </row>
    <row r="481">
      <c r="A481" s="1" t="s">
        <v>11483</v>
      </c>
      <c r="B481" s="1" t="s">
        <v>7169</v>
      </c>
      <c r="C481" s="1" t="s">
        <v>7169</v>
      </c>
      <c r="D481" s="1" t="s">
        <v>4293</v>
      </c>
      <c r="E481" s="1" t="s">
        <v>7172</v>
      </c>
      <c r="F481" s="1" t="s">
        <v>11494</v>
      </c>
      <c r="G481" s="3">
        <v>43425.0</v>
      </c>
      <c r="H481" s="3">
        <v>43455.0</v>
      </c>
      <c r="I481" s="3">
        <v>43455.0</v>
      </c>
      <c r="J481" s="1" t="s">
        <v>215</v>
      </c>
      <c r="K481" s="1" t="s">
        <v>160</v>
      </c>
      <c r="L481" s="1" t="s">
        <v>216</v>
      </c>
      <c r="M481" s="1" t="s">
        <v>131</v>
      </c>
      <c r="N481" s="13"/>
      <c r="O481" s="4"/>
      <c r="P481" s="4"/>
      <c r="Q481" s="1" t="s">
        <v>137</v>
      </c>
      <c r="R481" s="1" t="s">
        <v>137</v>
      </c>
      <c r="S481" s="1" t="s">
        <v>47</v>
      </c>
      <c r="T481" s="1" t="s">
        <v>4301</v>
      </c>
      <c r="U481" s="1" t="s">
        <v>1577</v>
      </c>
      <c r="V481" s="1" t="s">
        <v>3858</v>
      </c>
      <c r="W481" s="3">
        <v>43455.0</v>
      </c>
      <c r="X481" s="3">
        <v>43455.0</v>
      </c>
    </row>
    <row r="482">
      <c r="A482" s="1" t="s">
        <v>11521</v>
      </c>
      <c r="B482" s="1" t="s">
        <v>6466</v>
      </c>
      <c r="C482" s="1" t="s">
        <v>6466</v>
      </c>
      <c r="D482" s="1" t="s">
        <v>4293</v>
      </c>
      <c r="E482" s="1" t="s">
        <v>7178</v>
      </c>
      <c r="F482" s="1" t="s">
        <v>11528</v>
      </c>
      <c r="G482" s="3">
        <v>44197.0</v>
      </c>
      <c r="H482" s="3">
        <v>44197.0</v>
      </c>
      <c r="I482" s="3">
        <v>44197.0</v>
      </c>
      <c r="J482" s="1" t="s">
        <v>215</v>
      </c>
      <c r="K482" s="1" t="s">
        <v>160</v>
      </c>
      <c r="L482" s="1" t="s">
        <v>216</v>
      </c>
      <c r="M482" s="1" t="s">
        <v>131</v>
      </c>
      <c r="N482" s="13"/>
      <c r="O482" s="4"/>
      <c r="Q482" s="1" t="s">
        <v>137</v>
      </c>
      <c r="R482" s="1" t="s">
        <v>137</v>
      </c>
      <c r="S482" s="1" t="s">
        <v>47</v>
      </c>
      <c r="T482" s="1" t="s">
        <v>4301</v>
      </c>
      <c r="U482" s="1" t="s">
        <v>1577</v>
      </c>
      <c r="V482" s="1" t="s">
        <v>4950</v>
      </c>
      <c r="W482" s="3">
        <v>44197.0</v>
      </c>
      <c r="X482" s="3">
        <v>44197.0</v>
      </c>
    </row>
    <row r="483">
      <c r="A483" s="1" t="s">
        <v>11548</v>
      </c>
      <c r="B483" s="1" t="s">
        <v>7188</v>
      </c>
      <c r="C483" s="1" t="s">
        <v>7188</v>
      </c>
      <c r="D483" s="1" t="s">
        <v>4293</v>
      </c>
      <c r="E483" s="1" t="s">
        <v>7190</v>
      </c>
      <c r="F483" s="1" t="s">
        <v>11553</v>
      </c>
      <c r="G483" s="3">
        <v>43026.0</v>
      </c>
      <c r="H483" s="3">
        <v>42661.0</v>
      </c>
      <c r="I483" s="3">
        <v>42661.0</v>
      </c>
      <c r="J483" s="1" t="s">
        <v>215</v>
      </c>
      <c r="K483" s="1" t="s">
        <v>160</v>
      </c>
      <c r="L483" s="1" t="s">
        <v>216</v>
      </c>
      <c r="M483" s="1" t="s">
        <v>131</v>
      </c>
      <c r="N483" s="13"/>
      <c r="O483" s="4"/>
      <c r="P483" s="4"/>
      <c r="Q483" s="1" t="s">
        <v>137</v>
      </c>
      <c r="R483" s="1" t="s">
        <v>137</v>
      </c>
      <c r="S483" s="1" t="s">
        <v>47</v>
      </c>
      <c r="T483" s="1" t="s">
        <v>4301</v>
      </c>
      <c r="U483" s="1" t="s">
        <v>1577</v>
      </c>
      <c r="V483" s="1" t="s">
        <v>3858</v>
      </c>
      <c r="W483" s="3">
        <v>42661.0</v>
      </c>
      <c r="X483" s="3">
        <v>42661.0</v>
      </c>
    </row>
    <row r="484">
      <c r="A484" s="1" t="s">
        <v>11570</v>
      </c>
      <c r="B484" s="1" t="s">
        <v>7195</v>
      </c>
      <c r="C484" s="1" t="s">
        <v>7195</v>
      </c>
      <c r="D484" s="1" t="s">
        <v>4293</v>
      </c>
      <c r="E484" s="1" t="s">
        <v>7196</v>
      </c>
      <c r="F484" s="1" t="s">
        <v>11579</v>
      </c>
      <c r="G484" s="3">
        <v>42802.0</v>
      </c>
      <c r="H484" s="3">
        <v>42802.0</v>
      </c>
      <c r="I484" s="3">
        <v>42802.0</v>
      </c>
      <c r="J484" s="1" t="s">
        <v>215</v>
      </c>
      <c r="K484" s="1" t="s">
        <v>160</v>
      </c>
      <c r="L484" s="1" t="s">
        <v>216</v>
      </c>
      <c r="M484" s="1" t="s">
        <v>131</v>
      </c>
      <c r="N484" s="13"/>
      <c r="O484" s="4"/>
      <c r="P484" s="4"/>
      <c r="Q484" s="1" t="s">
        <v>137</v>
      </c>
      <c r="R484" s="1" t="s">
        <v>137</v>
      </c>
      <c r="S484" s="1" t="s">
        <v>47</v>
      </c>
      <c r="T484" s="1" t="s">
        <v>4301</v>
      </c>
      <c r="U484" s="1" t="s">
        <v>1577</v>
      </c>
      <c r="V484" s="1" t="s">
        <v>3858</v>
      </c>
      <c r="W484" s="3">
        <v>42802.0</v>
      </c>
      <c r="X484" s="3">
        <v>42802.0</v>
      </c>
    </row>
    <row r="485">
      <c r="A485" s="1" t="s">
        <v>11596</v>
      </c>
      <c r="B485" s="1" t="s">
        <v>7205</v>
      </c>
      <c r="C485" s="1" t="s">
        <v>7205</v>
      </c>
      <c r="D485" s="1" t="s">
        <v>4293</v>
      </c>
      <c r="E485" s="1" t="s">
        <v>7209</v>
      </c>
      <c r="F485" s="1" t="s">
        <v>11612</v>
      </c>
      <c r="G485" s="3">
        <v>45034.0</v>
      </c>
      <c r="H485" s="3">
        <v>45825.0</v>
      </c>
      <c r="I485" s="3">
        <v>45825.0</v>
      </c>
      <c r="J485" s="1" t="s">
        <v>215</v>
      </c>
      <c r="K485" s="1" t="s">
        <v>160</v>
      </c>
      <c r="L485" s="1" t="s">
        <v>216</v>
      </c>
      <c r="M485" s="1" t="s">
        <v>131</v>
      </c>
      <c r="N485" s="13"/>
      <c r="O485" s="4"/>
      <c r="P485" s="4"/>
      <c r="Q485" s="1" t="s">
        <v>137</v>
      </c>
      <c r="R485" s="1" t="s">
        <v>137</v>
      </c>
      <c r="S485" s="1" t="s">
        <v>47</v>
      </c>
      <c r="T485" s="1" t="s">
        <v>4301</v>
      </c>
      <c r="U485" s="1" t="s">
        <v>1577</v>
      </c>
      <c r="V485" s="1" t="s">
        <v>3858</v>
      </c>
      <c r="W485" s="3">
        <v>45825.0</v>
      </c>
      <c r="X485" s="3">
        <v>45825.0</v>
      </c>
    </row>
    <row r="486">
      <c r="A486" s="1" t="s">
        <v>11637</v>
      </c>
      <c r="B486" s="1" t="s">
        <v>7213</v>
      </c>
      <c r="C486" s="1" t="s">
        <v>7213</v>
      </c>
      <c r="D486" s="1" t="s">
        <v>4293</v>
      </c>
      <c r="E486" s="1" t="s">
        <v>7215</v>
      </c>
      <c r="F486" s="1" t="s">
        <v>11646</v>
      </c>
      <c r="G486" s="3">
        <v>45215.0</v>
      </c>
      <c r="H486" s="3">
        <v>45377.0</v>
      </c>
      <c r="I486" s="3">
        <v>45377.0</v>
      </c>
      <c r="J486" s="1" t="s">
        <v>215</v>
      </c>
      <c r="K486" s="1" t="s">
        <v>160</v>
      </c>
      <c r="L486" s="1" t="s">
        <v>216</v>
      </c>
      <c r="M486" s="1" t="s">
        <v>131</v>
      </c>
      <c r="N486" s="13"/>
      <c r="O486" s="4"/>
      <c r="P486" s="4"/>
      <c r="Q486" s="1" t="s">
        <v>137</v>
      </c>
      <c r="R486" s="1" t="s">
        <v>137</v>
      </c>
      <c r="S486" s="1" t="s">
        <v>47</v>
      </c>
      <c r="T486" s="1" t="s">
        <v>4301</v>
      </c>
      <c r="U486" s="1" t="s">
        <v>1577</v>
      </c>
      <c r="V486" s="1" t="s">
        <v>3858</v>
      </c>
      <c r="W486" s="3">
        <v>45377.0</v>
      </c>
      <c r="X486" s="3">
        <v>45377.0</v>
      </c>
    </row>
    <row r="487">
      <c r="A487" s="1" t="s">
        <v>11669</v>
      </c>
      <c r="B487" s="1" t="s">
        <v>7213</v>
      </c>
      <c r="C487" s="1" t="s">
        <v>7213</v>
      </c>
      <c r="D487" s="1" t="s">
        <v>4293</v>
      </c>
      <c r="E487" s="1" t="s">
        <v>7215</v>
      </c>
      <c r="F487" s="1" t="s">
        <v>11677</v>
      </c>
      <c r="G487" s="3">
        <v>45215.0</v>
      </c>
      <c r="H487" s="3">
        <v>45377.0</v>
      </c>
      <c r="I487" s="3">
        <v>45377.0</v>
      </c>
      <c r="J487" s="1" t="s">
        <v>215</v>
      </c>
      <c r="K487" s="1" t="s">
        <v>160</v>
      </c>
      <c r="L487" s="1" t="s">
        <v>216</v>
      </c>
      <c r="M487" s="1" t="s">
        <v>131</v>
      </c>
      <c r="N487" s="13"/>
      <c r="O487" s="4"/>
      <c r="P487" s="4"/>
      <c r="Q487" s="1" t="s">
        <v>137</v>
      </c>
      <c r="R487" s="1" t="s">
        <v>137</v>
      </c>
      <c r="S487" s="1" t="s">
        <v>47</v>
      </c>
      <c r="T487" s="1" t="s">
        <v>4301</v>
      </c>
      <c r="U487" s="1" t="s">
        <v>1577</v>
      </c>
      <c r="V487" s="1" t="s">
        <v>4950</v>
      </c>
      <c r="W487" s="3">
        <v>45377.0</v>
      </c>
      <c r="X487" s="3">
        <v>45377.0</v>
      </c>
    </row>
    <row r="488">
      <c r="A488" s="1" t="s">
        <v>11702</v>
      </c>
      <c r="B488" s="1" t="s">
        <v>5324</v>
      </c>
      <c r="C488" s="1" t="s">
        <v>5324</v>
      </c>
      <c r="D488" s="1" t="s">
        <v>4293</v>
      </c>
      <c r="E488" s="1" t="s">
        <v>7223</v>
      </c>
      <c r="F488" s="1" t="s">
        <v>11711</v>
      </c>
      <c r="G488" s="3">
        <v>44075.0</v>
      </c>
      <c r="H488" s="3">
        <v>44075.0</v>
      </c>
      <c r="I488" s="3">
        <v>44075.0</v>
      </c>
      <c r="J488" s="1" t="s">
        <v>215</v>
      </c>
      <c r="K488" s="1" t="s">
        <v>160</v>
      </c>
      <c r="L488" s="1" t="s">
        <v>216</v>
      </c>
      <c r="M488" s="1" t="s">
        <v>131</v>
      </c>
      <c r="N488" s="13"/>
      <c r="O488" s="4"/>
      <c r="P488" s="4"/>
      <c r="Q488" s="1" t="s">
        <v>137</v>
      </c>
      <c r="R488" s="1" t="s">
        <v>137</v>
      </c>
      <c r="S488" s="1" t="s">
        <v>47</v>
      </c>
      <c r="T488" s="1" t="s">
        <v>4301</v>
      </c>
      <c r="U488" s="1" t="s">
        <v>1577</v>
      </c>
      <c r="V488" s="1" t="s">
        <v>4950</v>
      </c>
      <c r="W488" s="3">
        <v>44075.0</v>
      </c>
      <c r="X488" s="3">
        <v>44075.0</v>
      </c>
    </row>
    <row r="489">
      <c r="A489" s="1" t="s">
        <v>11730</v>
      </c>
      <c r="B489" s="1" t="s">
        <v>7232</v>
      </c>
      <c r="C489" s="1" t="s">
        <v>7232</v>
      </c>
      <c r="D489" s="1" t="s">
        <v>4293</v>
      </c>
      <c r="E489" s="1" t="s">
        <v>7234</v>
      </c>
      <c r="F489" s="1" t="s">
        <v>11736</v>
      </c>
      <c r="G489" s="3">
        <v>44330.0</v>
      </c>
      <c r="H489" s="3">
        <v>44391.0</v>
      </c>
      <c r="I489" s="3">
        <v>44391.0</v>
      </c>
      <c r="J489" s="1" t="s">
        <v>215</v>
      </c>
      <c r="K489" s="1" t="s">
        <v>160</v>
      </c>
      <c r="L489" s="1" t="s">
        <v>216</v>
      </c>
      <c r="M489" s="1" t="s">
        <v>131</v>
      </c>
      <c r="N489" s="4"/>
      <c r="O489" s="4"/>
      <c r="P489" s="4"/>
      <c r="Q489" s="1" t="s">
        <v>137</v>
      </c>
      <c r="R489" s="1" t="s">
        <v>137</v>
      </c>
      <c r="S489" s="1" t="s">
        <v>47</v>
      </c>
      <c r="T489" s="1" t="s">
        <v>4301</v>
      </c>
      <c r="U489" s="1" t="s">
        <v>1577</v>
      </c>
      <c r="V489" s="1" t="s">
        <v>3858</v>
      </c>
      <c r="W489" s="3">
        <v>44391.0</v>
      </c>
      <c r="X489" s="3">
        <v>44391.0</v>
      </c>
    </row>
    <row r="490">
      <c r="A490" s="1" t="s">
        <v>11758</v>
      </c>
      <c r="B490" s="1" t="s">
        <v>7232</v>
      </c>
      <c r="C490" s="1" t="s">
        <v>7232</v>
      </c>
      <c r="D490" s="1" t="s">
        <v>4293</v>
      </c>
      <c r="E490" s="1" t="s">
        <v>7234</v>
      </c>
      <c r="F490" s="1" t="s">
        <v>11768</v>
      </c>
      <c r="G490" s="3">
        <v>44330.0</v>
      </c>
      <c r="H490" s="3">
        <v>44391.0</v>
      </c>
      <c r="I490" s="3">
        <v>44391.0</v>
      </c>
      <c r="J490" s="1" t="s">
        <v>215</v>
      </c>
      <c r="K490" s="1" t="s">
        <v>160</v>
      </c>
      <c r="L490" s="1" t="s">
        <v>216</v>
      </c>
      <c r="M490" s="1" t="s">
        <v>131</v>
      </c>
      <c r="N490" s="13"/>
      <c r="O490" s="4"/>
      <c r="P490" s="4"/>
      <c r="Q490" s="1" t="s">
        <v>137</v>
      </c>
      <c r="R490" s="1" t="s">
        <v>137</v>
      </c>
      <c r="S490" s="1" t="s">
        <v>47</v>
      </c>
      <c r="T490" s="1" t="s">
        <v>4301</v>
      </c>
      <c r="U490" s="1" t="s">
        <v>1577</v>
      </c>
      <c r="V490" s="1" t="s">
        <v>4679</v>
      </c>
      <c r="W490" s="3">
        <v>44391.0</v>
      </c>
      <c r="X490" s="3">
        <v>44391.0</v>
      </c>
    </row>
    <row r="491">
      <c r="A491" s="1" t="s">
        <v>11786</v>
      </c>
      <c r="B491" s="1" t="s">
        <v>7232</v>
      </c>
      <c r="C491" s="1" t="s">
        <v>7232</v>
      </c>
      <c r="D491" s="1" t="s">
        <v>4293</v>
      </c>
      <c r="E491" s="1" t="s">
        <v>7234</v>
      </c>
      <c r="F491" s="1" t="s">
        <v>11794</v>
      </c>
      <c r="G491" s="3">
        <v>44330.0</v>
      </c>
      <c r="H491" s="3">
        <v>44391.0</v>
      </c>
      <c r="I491" s="3">
        <v>44391.0</v>
      </c>
      <c r="J491" s="1" t="s">
        <v>215</v>
      </c>
      <c r="K491" s="1" t="s">
        <v>160</v>
      </c>
      <c r="L491" s="1" t="s">
        <v>216</v>
      </c>
      <c r="M491" s="1" t="s">
        <v>131</v>
      </c>
      <c r="N491" s="13"/>
      <c r="O491" s="4"/>
      <c r="P491" s="4"/>
      <c r="Q491" s="1" t="s">
        <v>137</v>
      </c>
      <c r="R491" s="1" t="s">
        <v>137</v>
      </c>
      <c r="S491" s="1" t="s">
        <v>47</v>
      </c>
      <c r="T491" s="1" t="s">
        <v>4301</v>
      </c>
      <c r="U491" s="1" t="s">
        <v>1577</v>
      </c>
      <c r="V491" s="1" t="s">
        <v>4950</v>
      </c>
      <c r="W491" s="3">
        <v>44391.0</v>
      </c>
      <c r="X491" s="3">
        <v>44391.0</v>
      </c>
    </row>
    <row r="492">
      <c r="A492" s="1" t="s">
        <v>11818</v>
      </c>
      <c r="B492" s="1" t="s">
        <v>7232</v>
      </c>
      <c r="C492" s="1" t="s">
        <v>7232</v>
      </c>
      <c r="D492" s="1" t="s">
        <v>4293</v>
      </c>
      <c r="E492" s="1" t="s">
        <v>7234</v>
      </c>
      <c r="F492" s="1" t="s">
        <v>11827</v>
      </c>
      <c r="G492" s="3">
        <v>44330.0</v>
      </c>
      <c r="H492" s="3">
        <v>44391.0</v>
      </c>
      <c r="I492" s="3">
        <v>44391.0</v>
      </c>
      <c r="J492" s="1" t="s">
        <v>215</v>
      </c>
      <c r="K492" s="1" t="s">
        <v>160</v>
      </c>
      <c r="L492" s="1" t="s">
        <v>216</v>
      </c>
      <c r="M492" s="1" t="s">
        <v>131</v>
      </c>
      <c r="N492" s="4"/>
      <c r="O492" s="4"/>
      <c r="P492" s="4"/>
      <c r="Q492" s="1" t="s">
        <v>137</v>
      </c>
      <c r="R492" s="1" t="s">
        <v>137</v>
      </c>
      <c r="S492" s="1" t="s">
        <v>47</v>
      </c>
      <c r="T492" s="1" t="s">
        <v>4301</v>
      </c>
      <c r="U492" s="1" t="s">
        <v>1577</v>
      </c>
      <c r="V492" s="1" t="s">
        <v>5104</v>
      </c>
      <c r="W492" s="3">
        <v>44391.0</v>
      </c>
      <c r="X492" s="3">
        <v>44391.0</v>
      </c>
    </row>
    <row r="493">
      <c r="A493" s="1" t="s">
        <v>11849</v>
      </c>
      <c r="B493" s="1" t="s">
        <v>7232</v>
      </c>
      <c r="C493" s="1" t="s">
        <v>7232</v>
      </c>
      <c r="D493" s="1" t="s">
        <v>4293</v>
      </c>
      <c r="E493" s="1" t="s">
        <v>7234</v>
      </c>
      <c r="F493" s="1" t="s">
        <v>11859</v>
      </c>
      <c r="G493" s="3">
        <v>44330.0</v>
      </c>
      <c r="H493" s="3">
        <v>44391.0</v>
      </c>
      <c r="I493" s="3">
        <v>44391.0</v>
      </c>
      <c r="J493" s="1" t="s">
        <v>215</v>
      </c>
      <c r="K493" s="1" t="s">
        <v>160</v>
      </c>
      <c r="L493" s="1" t="s">
        <v>216</v>
      </c>
      <c r="M493" s="1" t="s">
        <v>131</v>
      </c>
      <c r="O493" s="4"/>
      <c r="P493" s="4"/>
      <c r="Q493" s="1" t="s">
        <v>137</v>
      </c>
      <c r="R493" s="1" t="s">
        <v>137</v>
      </c>
      <c r="S493" s="1" t="s">
        <v>47</v>
      </c>
      <c r="T493" s="1" t="s">
        <v>4301</v>
      </c>
      <c r="U493" s="1" t="s">
        <v>1577</v>
      </c>
      <c r="V493" s="1" t="s">
        <v>5120</v>
      </c>
      <c r="W493" s="3">
        <v>44391.0</v>
      </c>
      <c r="X493" s="3">
        <v>44391.0</v>
      </c>
    </row>
    <row r="494">
      <c r="A494" s="1" t="s">
        <v>11883</v>
      </c>
      <c r="B494" s="1" t="s">
        <v>7239</v>
      </c>
      <c r="C494" s="1" t="s">
        <v>7239</v>
      </c>
      <c r="D494" s="1" t="s">
        <v>4293</v>
      </c>
      <c r="E494" s="1" t="s">
        <v>7241</v>
      </c>
      <c r="F494" s="1" t="s">
        <v>11888</v>
      </c>
      <c r="G494" s="3">
        <v>45016.0</v>
      </c>
      <c r="H494" s="3">
        <v>45105.0</v>
      </c>
      <c r="I494" s="3">
        <v>45105.0</v>
      </c>
      <c r="J494" s="1" t="s">
        <v>215</v>
      </c>
      <c r="K494" s="1" t="s">
        <v>160</v>
      </c>
      <c r="L494" s="1" t="s">
        <v>216</v>
      </c>
      <c r="M494" s="1" t="s">
        <v>131</v>
      </c>
      <c r="N494" s="4"/>
      <c r="O494" s="4"/>
      <c r="P494" s="4"/>
      <c r="Q494" s="1" t="s">
        <v>137</v>
      </c>
      <c r="R494" s="1" t="s">
        <v>137</v>
      </c>
      <c r="S494" s="1" t="s">
        <v>47</v>
      </c>
      <c r="T494" s="1" t="s">
        <v>4301</v>
      </c>
      <c r="U494" s="1" t="s">
        <v>1577</v>
      </c>
      <c r="V494" s="1" t="s">
        <v>3858</v>
      </c>
      <c r="W494" s="3">
        <v>45105.0</v>
      </c>
      <c r="X494" s="3">
        <v>45105.0</v>
      </c>
    </row>
    <row r="495">
      <c r="A495" s="1" t="s">
        <v>11908</v>
      </c>
      <c r="B495" s="1" t="s">
        <v>7239</v>
      </c>
      <c r="C495" s="1" t="s">
        <v>7239</v>
      </c>
      <c r="D495" s="1" t="s">
        <v>4293</v>
      </c>
      <c r="E495" s="1" t="s">
        <v>7241</v>
      </c>
      <c r="F495" s="1" t="s">
        <v>11915</v>
      </c>
      <c r="G495" s="3">
        <v>45016.0</v>
      </c>
      <c r="H495" s="3">
        <v>45105.0</v>
      </c>
      <c r="I495" s="3">
        <v>45105.0</v>
      </c>
      <c r="J495" s="1" t="s">
        <v>215</v>
      </c>
      <c r="K495" s="1" t="s">
        <v>160</v>
      </c>
      <c r="L495" s="1" t="s">
        <v>216</v>
      </c>
      <c r="M495" s="1" t="s">
        <v>131</v>
      </c>
      <c r="N495" s="4"/>
      <c r="O495" s="4"/>
      <c r="P495" s="4"/>
      <c r="Q495" s="1" t="s">
        <v>137</v>
      </c>
      <c r="R495" s="1" t="s">
        <v>137</v>
      </c>
      <c r="S495" s="1" t="s">
        <v>47</v>
      </c>
      <c r="T495" s="1" t="s">
        <v>4301</v>
      </c>
      <c r="U495" s="1" t="s">
        <v>1577</v>
      </c>
      <c r="V495" s="1" t="s">
        <v>4950</v>
      </c>
      <c r="W495" s="3">
        <v>45105.0</v>
      </c>
      <c r="X495" s="3">
        <v>45105.0</v>
      </c>
    </row>
    <row r="496">
      <c r="A496" s="1" t="s">
        <v>11931</v>
      </c>
      <c r="B496" s="1" t="s">
        <v>7246</v>
      </c>
      <c r="C496" s="1" t="s">
        <v>7246</v>
      </c>
      <c r="D496" s="1" t="s">
        <v>4293</v>
      </c>
      <c r="E496" s="1" t="s">
        <v>7247</v>
      </c>
      <c r="F496" s="1" t="s">
        <v>11937</v>
      </c>
      <c r="G496" s="3">
        <v>45764.0</v>
      </c>
      <c r="H496" s="3">
        <v>45978.0</v>
      </c>
      <c r="I496" s="3">
        <v>45978.0</v>
      </c>
      <c r="J496" s="1" t="s">
        <v>215</v>
      </c>
      <c r="K496" s="1" t="s">
        <v>160</v>
      </c>
      <c r="L496" s="1" t="s">
        <v>216</v>
      </c>
      <c r="M496" s="1" t="s">
        <v>131</v>
      </c>
      <c r="N496" s="4"/>
      <c r="O496" s="4"/>
      <c r="P496" s="4"/>
      <c r="Q496" s="1" t="s">
        <v>137</v>
      </c>
      <c r="R496" s="1" t="s">
        <v>137</v>
      </c>
      <c r="S496" s="1" t="s">
        <v>47</v>
      </c>
      <c r="T496" s="1" t="s">
        <v>4301</v>
      </c>
      <c r="U496" s="1" t="s">
        <v>1577</v>
      </c>
      <c r="V496" s="1" t="s">
        <v>3858</v>
      </c>
      <c r="W496" s="3">
        <v>45978.0</v>
      </c>
      <c r="X496" s="3">
        <v>45978.0</v>
      </c>
    </row>
    <row r="497">
      <c r="A497" s="1" t="s">
        <v>11949</v>
      </c>
      <c r="B497" s="1" t="s">
        <v>7246</v>
      </c>
      <c r="C497" s="1" t="s">
        <v>7246</v>
      </c>
      <c r="D497" s="1" t="s">
        <v>4293</v>
      </c>
      <c r="E497" s="1" t="s">
        <v>7247</v>
      </c>
      <c r="F497" s="1" t="s">
        <v>11955</v>
      </c>
      <c r="G497" s="3">
        <v>45764.0</v>
      </c>
      <c r="H497" s="3">
        <v>45978.0</v>
      </c>
      <c r="I497" s="3">
        <v>45978.0</v>
      </c>
      <c r="J497" s="1" t="s">
        <v>215</v>
      </c>
      <c r="K497" s="1" t="s">
        <v>160</v>
      </c>
      <c r="L497" s="1" t="s">
        <v>216</v>
      </c>
      <c r="M497" s="1" t="s">
        <v>131</v>
      </c>
      <c r="O497" s="4"/>
      <c r="P497" s="4"/>
      <c r="Q497" s="1" t="s">
        <v>137</v>
      </c>
      <c r="R497" s="1" t="s">
        <v>137</v>
      </c>
      <c r="S497" s="1" t="s">
        <v>47</v>
      </c>
      <c r="T497" s="1" t="s">
        <v>4301</v>
      </c>
      <c r="U497" s="1" t="s">
        <v>1577</v>
      </c>
      <c r="V497" s="1" t="s">
        <v>4950</v>
      </c>
      <c r="W497" s="3">
        <v>45978.0</v>
      </c>
      <c r="X497" s="3">
        <v>45978.0</v>
      </c>
    </row>
    <row r="498">
      <c r="A498" s="1" t="s">
        <v>11967</v>
      </c>
      <c r="B498" s="1" t="s">
        <v>7256</v>
      </c>
      <c r="C498" s="1" t="s">
        <v>7256</v>
      </c>
      <c r="D498" s="1" t="s">
        <v>4293</v>
      </c>
      <c r="E498" s="1" t="s">
        <v>7259</v>
      </c>
      <c r="F498" s="1" t="s">
        <v>11973</v>
      </c>
      <c r="G498" s="3">
        <v>44981.0</v>
      </c>
      <c r="H498" s="3">
        <v>45035.0</v>
      </c>
      <c r="I498" s="3">
        <v>45035.0</v>
      </c>
      <c r="J498" s="1" t="s">
        <v>215</v>
      </c>
      <c r="K498" s="1" t="s">
        <v>160</v>
      </c>
      <c r="L498" s="1" t="s">
        <v>216</v>
      </c>
      <c r="M498" s="1" t="s">
        <v>131</v>
      </c>
      <c r="N498" s="4"/>
      <c r="O498" s="4"/>
      <c r="P498" s="4"/>
      <c r="Q498" s="1" t="s">
        <v>137</v>
      </c>
      <c r="R498" s="1" t="s">
        <v>137</v>
      </c>
      <c r="S498" s="1" t="s">
        <v>47</v>
      </c>
      <c r="T498" s="1" t="s">
        <v>4301</v>
      </c>
      <c r="U498" s="1" t="s">
        <v>1577</v>
      </c>
      <c r="V498" s="1" t="s">
        <v>4679</v>
      </c>
      <c r="W498" s="3">
        <v>45035.0</v>
      </c>
      <c r="X498" s="3">
        <v>45035.0</v>
      </c>
    </row>
    <row r="499">
      <c r="A499" s="1" t="s">
        <v>11984</v>
      </c>
      <c r="B499" s="1" t="s">
        <v>7256</v>
      </c>
      <c r="C499" s="1" t="s">
        <v>7256</v>
      </c>
      <c r="D499" s="1" t="s">
        <v>4293</v>
      </c>
      <c r="E499" s="1" t="s">
        <v>7259</v>
      </c>
      <c r="F499" s="1" t="s">
        <v>11986</v>
      </c>
      <c r="G499" s="3">
        <v>44981.0</v>
      </c>
      <c r="H499" s="3">
        <v>45035.0</v>
      </c>
      <c r="I499" s="3">
        <v>45035.0</v>
      </c>
      <c r="J499" s="1" t="s">
        <v>215</v>
      </c>
      <c r="K499" s="1" t="s">
        <v>160</v>
      </c>
      <c r="L499" s="1" t="s">
        <v>216</v>
      </c>
      <c r="M499" s="1" t="s">
        <v>131</v>
      </c>
      <c r="N499" s="4"/>
      <c r="O499" s="4"/>
      <c r="P499" s="4"/>
      <c r="Q499" s="1" t="s">
        <v>137</v>
      </c>
      <c r="R499" s="1" t="s">
        <v>137</v>
      </c>
      <c r="S499" s="1" t="s">
        <v>47</v>
      </c>
      <c r="T499" s="1" t="s">
        <v>4301</v>
      </c>
      <c r="U499" s="1" t="s">
        <v>1577</v>
      </c>
      <c r="V499" s="1" t="s">
        <v>4950</v>
      </c>
      <c r="W499" s="3">
        <v>45035.0</v>
      </c>
      <c r="X499" s="3">
        <v>45035.0</v>
      </c>
    </row>
    <row r="500">
      <c r="A500" s="1" t="s">
        <v>12000</v>
      </c>
      <c r="B500" s="1" t="s">
        <v>7256</v>
      </c>
      <c r="C500" s="1" t="s">
        <v>7256</v>
      </c>
      <c r="D500" s="1" t="s">
        <v>4293</v>
      </c>
      <c r="E500" s="1" t="s">
        <v>7259</v>
      </c>
      <c r="F500" s="1" t="s">
        <v>12007</v>
      </c>
      <c r="G500" s="3">
        <v>44981.0</v>
      </c>
      <c r="H500" s="3">
        <v>45035.0</v>
      </c>
      <c r="I500" s="3">
        <v>45035.0</v>
      </c>
      <c r="J500" s="1" t="s">
        <v>215</v>
      </c>
      <c r="K500" s="1" t="s">
        <v>160</v>
      </c>
      <c r="L500" s="1" t="s">
        <v>216</v>
      </c>
      <c r="M500" s="1" t="s">
        <v>131</v>
      </c>
      <c r="N500" s="4"/>
      <c r="O500" s="4"/>
      <c r="P500" s="4"/>
      <c r="Q500" s="1" t="s">
        <v>137</v>
      </c>
      <c r="R500" s="1" t="s">
        <v>137</v>
      </c>
      <c r="S500" s="1" t="s">
        <v>47</v>
      </c>
      <c r="T500" s="1" t="s">
        <v>4301</v>
      </c>
      <c r="U500" s="1" t="s">
        <v>1577</v>
      </c>
      <c r="V500" s="1" t="s">
        <v>5104</v>
      </c>
      <c r="W500" s="3">
        <v>45035.0</v>
      </c>
      <c r="X500" s="3">
        <v>45035.0</v>
      </c>
    </row>
    <row r="501">
      <c r="A501" s="1" t="s">
        <v>12019</v>
      </c>
      <c r="B501" s="1" t="s">
        <v>7256</v>
      </c>
      <c r="C501" s="1" t="s">
        <v>7256</v>
      </c>
      <c r="D501" s="1" t="s">
        <v>4293</v>
      </c>
      <c r="E501" s="1" t="s">
        <v>7259</v>
      </c>
      <c r="F501" s="1" t="s">
        <v>12028</v>
      </c>
      <c r="G501" s="3">
        <v>44981.0</v>
      </c>
      <c r="H501" s="3">
        <v>45035.0</v>
      </c>
      <c r="I501" s="3">
        <v>45035.0</v>
      </c>
      <c r="J501" s="1" t="s">
        <v>215</v>
      </c>
      <c r="K501" s="1" t="s">
        <v>160</v>
      </c>
      <c r="L501" s="1" t="s">
        <v>216</v>
      </c>
      <c r="M501" s="1" t="s">
        <v>131</v>
      </c>
      <c r="N501" s="4"/>
      <c r="O501" s="4"/>
      <c r="P501" s="4"/>
      <c r="Q501" s="1" t="s">
        <v>137</v>
      </c>
      <c r="R501" s="1" t="s">
        <v>137</v>
      </c>
      <c r="S501" s="1" t="s">
        <v>47</v>
      </c>
      <c r="T501" s="1" t="s">
        <v>4301</v>
      </c>
      <c r="U501" s="1" t="s">
        <v>1577</v>
      </c>
      <c r="V501" s="1" t="s">
        <v>5120</v>
      </c>
      <c r="W501" s="3">
        <v>45035.0</v>
      </c>
      <c r="X501" s="3">
        <v>45035.0</v>
      </c>
    </row>
    <row r="502">
      <c r="A502" s="1" t="s">
        <v>12041</v>
      </c>
      <c r="B502" s="1" t="s">
        <v>7266</v>
      </c>
      <c r="C502" s="1" t="s">
        <v>7266</v>
      </c>
      <c r="D502" s="1" t="s">
        <v>4293</v>
      </c>
      <c r="E502" s="1" t="s">
        <v>7267</v>
      </c>
      <c r="F502" s="1" t="s">
        <v>12046</v>
      </c>
      <c r="G502" s="3">
        <v>45706.0</v>
      </c>
      <c r="H502" s="3">
        <v>45824.0</v>
      </c>
      <c r="I502" s="3">
        <v>45824.0</v>
      </c>
      <c r="J502" s="1" t="s">
        <v>215</v>
      </c>
      <c r="K502" s="1" t="s">
        <v>160</v>
      </c>
      <c r="L502" s="1" t="s">
        <v>216</v>
      </c>
      <c r="M502" s="1" t="s">
        <v>131</v>
      </c>
      <c r="O502" s="4"/>
      <c r="P502" s="4"/>
      <c r="Q502" s="1" t="s">
        <v>137</v>
      </c>
      <c r="R502" s="1" t="s">
        <v>137</v>
      </c>
      <c r="S502" s="1" t="s">
        <v>47</v>
      </c>
      <c r="T502" s="1" t="s">
        <v>4301</v>
      </c>
      <c r="U502" s="1" t="s">
        <v>1577</v>
      </c>
      <c r="V502" s="1" t="s">
        <v>4679</v>
      </c>
      <c r="W502" s="3">
        <v>45824.0</v>
      </c>
      <c r="X502" s="3">
        <v>45824.0</v>
      </c>
    </row>
    <row r="503">
      <c r="A503" s="1" t="s">
        <v>12059</v>
      </c>
      <c r="B503" s="1" t="s">
        <v>7266</v>
      </c>
      <c r="C503" s="1" t="s">
        <v>7266</v>
      </c>
      <c r="D503" s="1" t="s">
        <v>4293</v>
      </c>
      <c r="E503" s="1" t="s">
        <v>7267</v>
      </c>
      <c r="F503" s="1" t="s">
        <v>12064</v>
      </c>
      <c r="G503" s="3">
        <v>45706.0</v>
      </c>
      <c r="H503" s="3">
        <v>45824.0</v>
      </c>
      <c r="I503" s="3">
        <v>45824.0</v>
      </c>
      <c r="J503" s="1" t="s">
        <v>215</v>
      </c>
      <c r="K503" s="1" t="s">
        <v>160</v>
      </c>
      <c r="L503" s="1" t="s">
        <v>216</v>
      </c>
      <c r="M503" s="1" t="s">
        <v>131</v>
      </c>
      <c r="O503" s="4"/>
      <c r="P503" s="4"/>
      <c r="Q503" s="1" t="s">
        <v>137</v>
      </c>
      <c r="R503" s="1" t="s">
        <v>137</v>
      </c>
      <c r="S503" s="1" t="s">
        <v>47</v>
      </c>
      <c r="T503" s="1" t="s">
        <v>4301</v>
      </c>
      <c r="U503" s="1" t="s">
        <v>1577</v>
      </c>
      <c r="V503" s="1" t="s">
        <v>4950</v>
      </c>
      <c r="W503" s="3">
        <v>45824.0</v>
      </c>
      <c r="X503" s="3">
        <v>45824.0</v>
      </c>
    </row>
    <row r="504">
      <c r="A504" s="1" t="s">
        <v>12074</v>
      </c>
      <c r="B504" s="1" t="s">
        <v>7266</v>
      </c>
      <c r="C504" s="1" t="s">
        <v>7266</v>
      </c>
      <c r="D504" s="1" t="s">
        <v>4293</v>
      </c>
      <c r="E504" s="1" t="s">
        <v>7267</v>
      </c>
      <c r="F504" s="1" t="s">
        <v>12080</v>
      </c>
      <c r="G504" s="3">
        <v>45706.0</v>
      </c>
      <c r="H504" s="3">
        <v>45824.0</v>
      </c>
      <c r="I504" s="3">
        <v>45824.0</v>
      </c>
      <c r="J504" s="1" t="s">
        <v>215</v>
      </c>
      <c r="K504" s="1" t="s">
        <v>160</v>
      </c>
      <c r="L504" s="1" t="s">
        <v>216</v>
      </c>
      <c r="M504" s="1" t="s">
        <v>131</v>
      </c>
      <c r="O504" s="4"/>
      <c r="P504" s="4"/>
      <c r="Q504" s="1" t="s">
        <v>137</v>
      </c>
      <c r="R504" s="1" t="s">
        <v>137</v>
      </c>
      <c r="S504" s="1" t="s">
        <v>47</v>
      </c>
      <c r="T504" s="1" t="s">
        <v>4301</v>
      </c>
      <c r="U504" s="1" t="s">
        <v>1577</v>
      </c>
      <c r="V504" s="1" t="s">
        <v>5104</v>
      </c>
      <c r="W504" s="3">
        <v>45824.0</v>
      </c>
      <c r="X504" s="3">
        <v>45824.0</v>
      </c>
    </row>
    <row r="505">
      <c r="A505" s="1" t="s">
        <v>12109</v>
      </c>
      <c r="B505" s="1" t="s">
        <v>7266</v>
      </c>
      <c r="C505" s="1" t="s">
        <v>7266</v>
      </c>
      <c r="D505" s="1" t="s">
        <v>4293</v>
      </c>
      <c r="E505" s="1" t="s">
        <v>7267</v>
      </c>
      <c r="F505" s="1" t="s">
        <v>12116</v>
      </c>
      <c r="G505" s="3">
        <v>45706.0</v>
      </c>
      <c r="H505" s="3">
        <v>45824.0</v>
      </c>
      <c r="I505" s="3">
        <v>45824.0</v>
      </c>
      <c r="J505" s="1" t="s">
        <v>215</v>
      </c>
      <c r="K505" s="1" t="s">
        <v>160</v>
      </c>
      <c r="L505" s="1" t="s">
        <v>216</v>
      </c>
      <c r="M505" s="1" t="s">
        <v>131</v>
      </c>
      <c r="N505" s="13"/>
      <c r="O505" s="4"/>
      <c r="P505" s="4"/>
      <c r="Q505" s="1" t="s">
        <v>137</v>
      </c>
      <c r="R505" s="1" t="s">
        <v>137</v>
      </c>
      <c r="S505" s="1" t="s">
        <v>47</v>
      </c>
      <c r="T505" s="1" t="s">
        <v>4301</v>
      </c>
      <c r="U505" s="1" t="s">
        <v>1577</v>
      </c>
      <c r="V505" s="1" t="s">
        <v>5120</v>
      </c>
      <c r="W505" s="3">
        <v>45824.0</v>
      </c>
      <c r="X505" s="3">
        <v>45824.0</v>
      </c>
    </row>
    <row r="506">
      <c r="A506" s="1" t="s">
        <v>12129</v>
      </c>
      <c r="B506" s="1" t="s">
        <v>7276</v>
      </c>
      <c r="C506" s="1" t="s">
        <v>7276</v>
      </c>
      <c r="D506" s="1" t="s">
        <v>4293</v>
      </c>
      <c r="E506" s="1" t="s">
        <v>7277</v>
      </c>
      <c r="F506" s="1" t="s">
        <v>12134</v>
      </c>
      <c r="G506" s="3">
        <v>44883.0</v>
      </c>
      <c r="H506" s="3">
        <v>44911.0</v>
      </c>
      <c r="I506" s="3">
        <v>44911.0</v>
      </c>
      <c r="J506" s="1" t="s">
        <v>215</v>
      </c>
      <c r="K506" s="1" t="s">
        <v>160</v>
      </c>
      <c r="L506" s="1" t="s">
        <v>216</v>
      </c>
      <c r="M506" s="1" t="s">
        <v>131</v>
      </c>
      <c r="N506" s="13"/>
      <c r="O506" s="4"/>
      <c r="P506" s="4"/>
      <c r="Q506" s="1" t="s">
        <v>137</v>
      </c>
      <c r="R506" s="1" t="s">
        <v>137</v>
      </c>
      <c r="S506" s="1" t="s">
        <v>47</v>
      </c>
      <c r="T506" s="1" t="s">
        <v>4301</v>
      </c>
      <c r="U506" s="1" t="s">
        <v>1577</v>
      </c>
      <c r="V506" s="1" t="s">
        <v>4950</v>
      </c>
      <c r="W506" s="3">
        <v>44911.0</v>
      </c>
      <c r="X506" s="3">
        <v>44911.0</v>
      </c>
    </row>
    <row r="507">
      <c r="A507" s="1" t="s">
        <v>12149</v>
      </c>
      <c r="B507" s="1" t="s">
        <v>6332</v>
      </c>
      <c r="C507" s="1" t="s">
        <v>6332</v>
      </c>
      <c r="D507" s="1" t="s">
        <v>4293</v>
      </c>
      <c r="E507" s="1" t="s">
        <v>7283</v>
      </c>
      <c r="F507" s="1" t="s">
        <v>12153</v>
      </c>
      <c r="G507" s="3">
        <v>44742.0</v>
      </c>
      <c r="H507" s="3">
        <v>44760.0</v>
      </c>
      <c r="I507" s="3">
        <v>44760.0</v>
      </c>
      <c r="J507" s="1" t="s">
        <v>215</v>
      </c>
      <c r="K507" s="1" t="s">
        <v>160</v>
      </c>
      <c r="L507" s="1" t="s">
        <v>216</v>
      </c>
      <c r="M507" s="1" t="s">
        <v>131</v>
      </c>
      <c r="N507" s="13"/>
      <c r="O507" s="4"/>
      <c r="Q507" s="1" t="s">
        <v>137</v>
      </c>
      <c r="R507" s="1" t="s">
        <v>137</v>
      </c>
      <c r="S507" s="1" t="s">
        <v>47</v>
      </c>
      <c r="T507" s="1" t="s">
        <v>4301</v>
      </c>
      <c r="U507" s="1" t="s">
        <v>1577</v>
      </c>
      <c r="V507" s="1" t="s">
        <v>4679</v>
      </c>
      <c r="W507" s="3">
        <v>44760.0</v>
      </c>
      <c r="X507" s="3">
        <v>44760.0</v>
      </c>
    </row>
    <row r="508">
      <c r="A508" s="1" t="s">
        <v>12162</v>
      </c>
      <c r="B508" s="1" t="s">
        <v>6332</v>
      </c>
      <c r="C508" s="1" t="s">
        <v>6332</v>
      </c>
      <c r="D508" s="1" t="s">
        <v>4293</v>
      </c>
      <c r="E508" s="1" t="s">
        <v>7283</v>
      </c>
      <c r="F508" s="1" t="s">
        <v>12169</v>
      </c>
      <c r="G508" s="3">
        <v>44742.0</v>
      </c>
      <c r="H508" s="3">
        <v>44760.0</v>
      </c>
      <c r="I508" s="3">
        <v>44760.0</v>
      </c>
      <c r="J508" s="1" t="s">
        <v>215</v>
      </c>
      <c r="K508" s="1" t="s">
        <v>160</v>
      </c>
      <c r="L508" s="1" t="s">
        <v>216</v>
      </c>
      <c r="M508" s="1" t="s">
        <v>131</v>
      </c>
      <c r="N508" s="13"/>
      <c r="O508" s="4"/>
      <c r="P508" s="4"/>
      <c r="Q508" s="1" t="s">
        <v>137</v>
      </c>
      <c r="R508" s="1" t="s">
        <v>137</v>
      </c>
      <c r="S508" s="1" t="s">
        <v>47</v>
      </c>
      <c r="T508" s="1" t="s">
        <v>4301</v>
      </c>
      <c r="U508" s="1" t="s">
        <v>1577</v>
      </c>
      <c r="V508" s="1" t="s">
        <v>4950</v>
      </c>
      <c r="W508" s="3">
        <v>44760.0</v>
      </c>
      <c r="X508" s="3">
        <v>44760.0</v>
      </c>
    </row>
    <row r="509">
      <c r="A509" s="1" t="s">
        <v>12181</v>
      </c>
      <c r="B509" s="1" t="s">
        <v>6332</v>
      </c>
      <c r="C509" s="1" t="s">
        <v>6332</v>
      </c>
      <c r="D509" s="1" t="s">
        <v>4293</v>
      </c>
      <c r="E509" s="1" t="s">
        <v>7283</v>
      </c>
      <c r="F509" s="1" t="s">
        <v>12187</v>
      </c>
      <c r="G509" s="3">
        <v>44742.0</v>
      </c>
      <c r="H509" s="3">
        <v>44760.0</v>
      </c>
      <c r="I509" s="3">
        <v>44760.0</v>
      </c>
      <c r="J509" s="1" t="s">
        <v>215</v>
      </c>
      <c r="K509" s="1" t="s">
        <v>160</v>
      </c>
      <c r="L509" s="1" t="s">
        <v>216</v>
      </c>
      <c r="M509" s="1" t="s">
        <v>131</v>
      </c>
      <c r="N509" s="13"/>
      <c r="O509" s="4"/>
      <c r="P509" s="4"/>
      <c r="Q509" s="1" t="s">
        <v>137</v>
      </c>
      <c r="R509" s="1" t="s">
        <v>137</v>
      </c>
      <c r="S509" s="1" t="s">
        <v>47</v>
      </c>
      <c r="T509" s="1" t="s">
        <v>4301</v>
      </c>
      <c r="U509" s="1" t="s">
        <v>1577</v>
      </c>
      <c r="V509" s="1" t="s">
        <v>5104</v>
      </c>
      <c r="W509" s="3">
        <v>44760.0</v>
      </c>
      <c r="X509" s="3">
        <v>44760.0</v>
      </c>
    </row>
    <row r="510">
      <c r="A510" s="1" t="s">
        <v>12202</v>
      </c>
      <c r="B510" s="1" t="s">
        <v>6332</v>
      </c>
      <c r="C510" s="1" t="s">
        <v>6332</v>
      </c>
      <c r="D510" s="1" t="s">
        <v>4293</v>
      </c>
      <c r="E510" s="1" t="s">
        <v>7283</v>
      </c>
      <c r="F510" s="1" t="s">
        <v>12207</v>
      </c>
      <c r="G510" s="3">
        <v>44742.0</v>
      </c>
      <c r="H510" s="3">
        <v>44760.0</v>
      </c>
      <c r="I510" s="3">
        <v>44760.0</v>
      </c>
      <c r="J510" s="1" t="s">
        <v>215</v>
      </c>
      <c r="K510" s="1" t="s">
        <v>160</v>
      </c>
      <c r="L510" s="1" t="s">
        <v>216</v>
      </c>
      <c r="M510" s="1" t="s">
        <v>131</v>
      </c>
      <c r="O510" s="4"/>
      <c r="Q510" s="1" t="s">
        <v>137</v>
      </c>
      <c r="R510" s="1" t="s">
        <v>137</v>
      </c>
      <c r="S510" s="1" t="s">
        <v>47</v>
      </c>
      <c r="T510" s="1" t="s">
        <v>4301</v>
      </c>
      <c r="U510" s="1" t="s">
        <v>1577</v>
      </c>
      <c r="V510" s="1" t="s">
        <v>5120</v>
      </c>
      <c r="W510" s="3">
        <v>44760.0</v>
      </c>
      <c r="X510" s="3">
        <v>44760.0</v>
      </c>
    </row>
    <row r="511">
      <c r="A511" s="1" t="s">
        <v>12217</v>
      </c>
      <c r="B511" s="1" t="s">
        <v>7289</v>
      </c>
      <c r="C511" s="1" t="s">
        <v>7289</v>
      </c>
      <c r="D511" s="1" t="s">
        <v>4293</v>
      </c>
      <c r="E511" s="1" t="s">
        <v>7292</v>
      </c>
      <c r="F511" s="1" t="s">
        <v>12221</v>
      </c>
      <c r="G511" s="3">
        <v>44560.0</v>
      </c>
      <c r="H511" s="3">
        <v>43861.0</v>
      </c>
      <c r="I511" s="3">
        <v>43861.0</v>
      </c>
      <c r="J511" s="1" t="s">
        <v>215</v>
      </c>
      <c r="K511" s="1" t="s">
        <v>160</v>
      </c>
      <c r="L511" s="1" t="s">
        <v>216</v>
      </c>
      <c r="M511" s="1" t="s">
        <v>131</v>
      </c>
      <c r="O511" s="4"/>
      <c r="Q511" s="1" t="s">
        <v>137</v>
      </c>
      <c r="R511" s="1" t="s">
        <v>137</v>
      </c>
      <c r="S511" s="1" t="s">
        <v>47</v>
      </c>
      <c r="T511" s="1" t="s">
        <v>4301</v>
      </c>
      <c r="U511" s="1" t="s">
        <v>1577</v>
      </c>
      <c r="V511" s="1" t="s">
        <v>3858</v>
      </c>
      <c r="W511" s="3">
        <v>43861.0</v>
      </c>
      <c r="X511" s="3">
        <v>43861.0</v>
      </c>
    </row>
    <row r="512">
      <c r="A512" s="1" t="s">
        <v>12232</v>
      </c>
      <c r="B512" s="1" t="s">
        <v>7301</v>
      </c>
      <c r="C512" s="1" t="s">
        <v>7301</v>
      </c>
      <c r="D512" s="1" t="s">
        <v>4293</v>
      </c>
      <c r="E512" s="1" t="s">
        <v>7303</v>
      </c>
      <c r="F512" s="1" t="s">
        <v>12239</v>
      </c>
      <c r="G512" s="3">
        <v>43342.0</v>
      </c>
      <c r="H512" s="3">
        <v>43344.0</v>
      </c>
      <c r="I512" s="3">
        <v>43344.0</v>
      </c>
      <c r="J512" s="1" t="s">
        <v>215</v>
      </c>
      <c r="K512" s="1" t="s">
        <v>160</v>
      </c>
      <c r="L512" s="1" t="s">
        <v>216</v>
      </c>
      <c r="M512" s="1" t="s">
        <v>131</v>
      </c>
      <c r="O512" s="4"/>
      <c r="Q512" s="1" t="s">
        <v>137</v>
      </c>
      <c r="R512" s="1" t="s">
        <v>137</v>
      </c>
      <c r="S512" s="1" t="s">
        <v>47</v>
      </c>
      <c r="T512" s="1" t="s">
        <v>4301</v>
      </c>
      <c r="U512" s="1" t="s">
        <v>1577</v>
      </c>
      <c r="V512" s="1" t="s">
        <v>3858</v>
      </c>
      <c r="W512" s="3">
        <v>43344.0</v>
      </c>
      <c r="X512" s="3">
        <v>43344.0</v>
      </c>
    </row>
    <row r="513">
      <c r="A513" s="1" t="s">
        <v>12250</v>
      </c>
      <c r="B513" s="1" t="s">
        <v>7301</v>
      </c>
      <c r="C513" s="1" t="s">
        <v>7301</v>
      </c>
      <c r="D513" s="1" t="s">
        <v>4293</v>
      </c>
      <c r="E513" s="1" t="s">
        <v>7303</v>
      </c>
      <c r="F513" s="1" t="s">
        <v>12254</v>
      </c>
      <c r="G513" s="3">
        <v>43342.0</v>
      </c>
      <c r="H513" s="3">
        <v>43344.0</v>
      </c>
      <c r="I513" s="3">
        <v>43344.0</v>
      </c>
      <c r="J513" s="1" t="s">
        <v>215</v>
      </c>
      <c r="K513" s="1" t="s">
        <v>160</v>
      </c>
      <c r="L513" s="1" t="s">
        <v>216</v>
      </c>
      <c r="M513" s="1" t="s">
        <v>131</v>
      </c>
      <c r="N513" s="13"/>
      <c r="O513" s="4"/>
      <c r="Q513" s="1" t="s">
        <v>137</v>
      </c>
      <c r="R513" s="1" t="s">
        <v>137</v>
      </c>
      <c r="S513" s="1" t="s">
        <v>47</v>
      </c>
      <c r="T513" s="1" t="s">
        <v>4301</v>
      </c>
      <c r="U513" s="1" t="s">
        <v>1577</v>
      </c>
      <c r="V513" s="1" t="s">
        <v>4950</v>
      </c>
      <c r="W513" s="3">
        <v>43344.0</v>
      </c>
      <c r="X513" s="3">
        <v>43344.0</v>
      </c>
    </row>
    <row r="514">
      <c r="A514" s="1" t="s">
        <v>12266</v>
      </c>
      <c r="B514" s="1" t="s">
        <v>7309</v>
      </c>
      <c r="C514" s="1" t="s">
        <v>7309</v>
      </c>
      <c r="D514" s="1" t="s">
        <v>4293</v>
      </c>
      <c r="E514" s="1" t="s">
        <v>7310</v>
      </c>
      <c r="F514" s="1" t="s">
        <v>12269</v>
      </c>
      <c r="G514" s="3">
        <v>44378.0</v>
      </c>
      <c r="H514" s="3">
        <v>44378.0</v>
      </c>
      <c r="I514" s="3">
        <v>44378.0</v>
      </c>
      <c r="J514" s="1" t="s">
        <v>215</v>
      </c>
      <c r="K514" s="1" t="s">
        <v>160</v>
      </c>
      <c r="L514" s="1" t="s">
        <v>216</v>
      </c>
      <c r="M514" s="1" t="s">
        <v>131</v>
      </c>
      <c r="N514" s="13"/>
      <c r="O514" s="4"/>
      <c r="Q514" s="1" t="s">
        <v>137</v>
      </c>
      <c r="R514" s="1" t="s">
        <v>137</v>
      </c>
      <c r="S514" s="1" t="s">
        <v>47</v>
      </c>
      <c r="T514" s="1" t="s">
        <v>4301</v>
      </c>
      <c r="U514" s="1" t="s">
        <v>1577</v>
      </c>
      <c r="V514" s="1" t="s">
        <v>4950</v>
      </c>
      <c r="W514" s="3">
        <v>44378.0</v>
      </c>
      <c r="X514" s="3">
        <v>44378.0</v>
      </c>
    </row>
    <row r="515">
      <c r="A515" s="1" t="s">
        <v>12279</v>
      </c>
      <c r="B515" s="1" t="s">
        <v>4501</v>
      </c>
      <c r="C515" s="1" t="s">
        <v>4501</v>
      </c>
      <c r="D515" s="1" t="s">
        <v>4293</v>
      </c>
      <c r="E515" s="1" t="s">
        <v>12285</v>
      </c>
      <c r="F515" s="1" t="s">
        <v>12286</v>
      </c>
      <c r="G515" s="3">
        <v>45642.0</v>
      </c>
      <c r="H515" s="3"/>
      <c r="I515" s="3"/>
      <c r="J515" s="1" t="s">
        <v>124</v>
      </c>
      <c r="K515" s="1" t="s">
        <v>160</v>
      </c>
      <c r="L515" s="1" t="s">
        <v>253</v>
      </c>
      <c r="M515" s="1" t="s">
        <v>131</v>
      </c>
      <c r="O515" s="4"/>
      <c r="Q515" s="1" t="s">
        <v>137</v>
      </c>
      <c r="R515" s="1" t="s">
        <v>137</v>
      </c>
      <c r="S515" s="1" t="s">
        <v>47</v>
      </c>
      <c r="T515" s="1" t="s">
        <v>4301</v>
      </c>
      <c r="U515" s="1" t="s">
        <v>1577</v>
      </c>
      <c r="V515" s="1" t="s">
        <v>3963</v>
      </c>
      <c r="W515" s="3"/>
      <c r="X515" s="3"/>
    </row>
    <row r="516">
      <c r="A516" s="1" t="s">
        <v>12299</v>
      </c>
      <c r="B516" s="1" t="s">
        <v>7318</v>
      </c>
      <c r="C516" s="1" t="s">
        <v>7318</v>
      </c>
      <c r="D516" s="1" t="s">
        <v>4293</v>
      </c>
      <c r="E516" s="1" t="s">
        <v>7322</v>
      </c>
      <c r="F516" s="1" t="s">
        <v>12310</v>
      </c>
      <c r="G516" s="3">
        <v>45447.0</v>
      </c>
      <c r="H516" s="3">
        <v>45616.0</v>
      </c>
      <c r="I516" s="3">
        <v>45616.0</v>
      </c>
      <c r="J516" s="1" t="s">
        <v>215</v>
      </c>
      <c r="K516" s="1" t="s">
        <v>160</v>
      </c>
      <c r="L516" s="1" t="s">
        <v>216</v>
      </c>
      <c r="M516" s="1" t="s">
        <v>131</v>
      </c>
      <c r="O516" s="4"/>
      <c r="Q516" s="1" t="s">
        <v>137</v>
      </c>
      <c r="R516" s="1" t="s">
        <v>137</v>
      </c>
      <c r="S516" s="1" t="s">
        <v>47</v>
      </c>
      <c r="T516" s="1" t="s">
        <v>4301</v>
      </c>
      <c r="U516" s="1" t="s">
        <v>1577</v>
      </c>
      <c r="V516" s="1" t="s">
        <v>3858</v>
      </c>
      <c r="W516" s="3">
        <v>45616.0</v>
      </c>
      <c r="X516" s="3">
        <v>45616.0</v>
      </c>
    </row>
    <row r="517">
      <c r="A517" s="1" t="s">
        <v>12325</v>
      </c>
      <c r="B517" s="1" t="s">
        <v>7318</v>
      </c>
      <c r="C517" s="1" t="s">
        <v>7318</v>
      </c>
      <c r="D517" s="1" t="s">
        <v>4293</v>
      </c>
      <c r="E517" s="1" t="s">
        <v>7322</v>
      </c>
      <c r="F517" s="1" t="s">
        <v>12329</v>
      </c>
      <c r="G517" s="3">
        <v>45447.0</v>
      </c>
      <c r="H517" s="3">
        <v>45616.0</v>
      </c>
      <c r="I517" s="3">
        <v>45616.0</v>
      </c>
      <c r="J517" s="1" t="s">
        <v>215</v>
      </c>
      <c r="K517" s="1" t="s">
        <v>160</v>
      </c>
      <c r="L517" s="1" t="s">
        <v>216</v>
      </c>
      <c r="M517" s="1" t="s">
        <v>131</v>
      </c>
      <c r="N517" s="13"/>
      <c r="O517" s="4"/>
      <c r="Q517" s="1" t="s">
        <v>137</v>
      </c>
      <c r="R517" s="1" t="s">
        <v>137</v>
      </c>
      <c r="S517" s="1" t="s">
        <v>47</v>
      </c>
      <c r="T517" s="1" t="s">
        <v>4301</v>
      </c>
      <c r="U517" s="1" t="s">
        <v>1577</v>
      </c>
      <c r="V517" s="1" t="s">
        <v>4950</v>
      </c>
      <c r="W517" s="3">
        <v>45616.0</v>
      </c>
      <c r="X517" s="3">
        <v>45616.0</v>
      </c>
    </row>
    <row r="518">
      <c r="A518" s="1" t="s">
        <v>12339</v>
      </c>
      <c r="B518" s="1" t="s">
        <v>7328</v>
      </c>
      <c r="C518" s="1" t="s">
        <v>7328</v>
      </c>
      <c r="D518" s="1" t="s">
        <v>4293</v>
      </c>
      <c r="E518" s="1" t="s">
        <v>7330</v>
      </c>
      <c r="F518" s="1" t="s">
        <v>12343</v>
      </c>
      <c r="G518" s="3">
        <v>43816.0</v>
      </c>
      <c r="H518" s="3">
        <v>43816.0</v>
      </c>
      <c r="I518" s="3">
        <v>43816.0</v>
      </c>
      <c r="J518" s="1" t="s">
        <v>215</v>
      </c>
      <c r="K518" s="1" t="s">
        <v>160</v>
      </c>
      <c r="L518" s="1" t="s">
        <v>216</v>
      </c>
      <c r="M518" s="1" t="s">
        <v>131</v>
      </c>
      <c r="O518" s="4"/>
      <c r="Q518" s="1" t="s">
        <v>137</v>
      </c>
      <c r="R518" s="1" t="s">
        <v>137</v>
      </c>
      <c r="S518" s="1" t="s">
        <v>47</v>
      </c>
      <c r="T518" s="1" t="s">
        <v>4301</v>
      </c>
      <c r="U518" s="1" t="s">
        <v>1577</v>
      </c>
      <c r="V518" s="1" t="s">
        <v>3858</v>
      </c>
      <c r="W518" s="3">
        <v>43816.0</v>
      </c>
      <c r="X518" s="3">
        <v>43816.0</v>
      </c>
    </row>
    <row r="519">
      <c r="A519" s="1" t="s">
        <v>12351</v>
      </c>
      <c r="B519" s="1" t="s">
        <v>4696</v>
      </c>
      <c r="C519" s="1" t="s">
        <v>4696</v>
      </c>
      <c r="D519" s="1" t="s">
        <v>4293</v>
      </c>
      <c r="E519" s="1" t="s">
        <v>7339</v>
      </c>
      <c r="F519" s="1" t="s">
        <v>12354</v>
      </c>
      <c r="G519" s="3">
        <v>44197.0</v>
      </c>
      <c r="H519" s="3">
        <v>44197.0</v>
      </c>
      <c r="I519" s="3">
        <v>44197.0</v>
      </c>
      <c r="J519" s="1" t="s">
        <v>215</v>
      </c>
      <c r="K519" s="1" t="s">
        <v>160</v>
      </c>
      <c r="L519" s="1" t="s">
        <v>216</v>
      </c>
      <c r="M519" s="1" t="s">
        <v>131</v>
      </c>
      <c r="N519" s="13"/>
      <c r="O519" s="1"/>
      <c r="Q519" s="1" t="s">
        <v>137</v>
      </c>
      <c r="R519" s="1" t="s">
        <v>137</v>
      </c>
      <c r="S519" s="1" t="s">
        <v>47</v>
      </c>
      <c r="T519" s="1" t="s">
        <v>4301</v>
      </c>
      <c r="U519" s="1" t="s">
        <v>1577</v>
      </c>
      <c r="V519" s="1" t="s">
        <v>4950</v>
      </c>
      <c r="W519" s="3">
        <v>44197.0</v>
      </c>
      <c r="X519" s="3">
        <v>44197.0</v>
      </c>
    </row>
    <row r="520">
      <c r="A520" s="1" t="s">
        <v>12364</v>
      </c>
      <c r="B520" s="1" t="s">
        <v>7347</v>
      </c>
      <c r="C520" s="1" t="s">
        <v>7347</v>
      </c>
      <c r="D520" s="1" t="s">
        <v>4293</v>
      </c>
      <c r="E520" s="1" t="s">
        <v>7350</v>
      </c>
      <c r="F520" s="1" t="s">
        <v>12367</v>
      </c>
      <c r="G520" s="3">
        <v>44361.0</v>
      </c>
      <c r="H520" s="3">
        <v>44363.0</v>
      </c>
      <c r="I520" s="3">
        <v>44363.0</v>
      </c>
      <c r="J520" s="1" t="s">
        <v>215</v>
      </c>
      <c r="K520" s="1" t="s">
        <v>160</v>
      </c>
      <c r="L520" s="1" t="s">
        <v>216</v>
      </c>
      <c r="M520" s="1" t="s">
        <v>131</v>
      </c>
      <c r="N520" s="13"/>
      <c r="O520" s="4"/>
      <c r="Q520" s="1" t="s">
        <v>137</v>
      </c>
      <c r="R520" s="1" t="s">
        <v>137</v>
      </c>
      <c r="S520" s="1" t="s">
        <v>47</v>
      </c>
      <c r="T520" s="1" t="s">
        <v>4301</v>
      </c>
      <c r="U520" s="1" t="s">
        <v>1577</v>
      </c>
      <c r="V520" s="1" t="s">
        <v>3858</v>
      </c>
      <c r="W520" s="3">
        <v>44363.0</v>
      </c>
      <c r="X520" s="3">
        <v>44363.0</v>
      </c>
    </row>
    <row r="521">
      <c r="A521" s="1" t="s">
        <v>12373</v>
      </c>
      <c r="B521" s="1" t="s">
        <v>7356</v>
      </c>
      <c r="C521" s="1" t="s">
        <v>7356</v>
      </c>
      <c r="D521" s="1" t="s">
        <v>4293</v>
      </c>
      <c r="E521" s="1" t="s">
        <v>7358</v>
      </c>
      <c r="F521" s="1" t="s">
        <v>12377</v>
      </c>
      <c r="G521" s="3">
        <v>45952.0</v>
      </c>
      <c r="H521" s="3">
        <v>46212.0</v>
      </c>
      <c r="I521" s="3">
        <v>46212.0</v>
      </c>
      <c r="J521" s="1" t="s">
        <v>124</v>
      </c>
      <c r="K521" s="1" t="s">
        <v>160</v>
      </c>
      <c r="L521" s="1" t="s">
        <v>253</v>
      </c>
      <c r="M521" s="1" t="s">
        <v>131</v>
      </c>
      <c r="N521" s="13"/>
      <c r="O521" s="1" t="s">
        <v>12380</v>
      </c>
      <c r="Q521" s="1" t="s">
        <v>137</v>
      </c>
      <c r="R521" s="1" t="s">
        <v>137</v>
      </c>
      <c r="S521" s="1" t="s">
        <v>47</v>
      </c>
      <c r="T521" s="1" t="s">
        <v>4301</v>
      </c>
      <c r="U521" s="1" t="s">
        <v>1577</v>
      </c>
      <c r="V521" s="1" t="s">
        <v>4950</v>
      </c>
      <c r="W521" s="3">
        <v>46212.0</v>
      </c>
      <c r="X521" s="3">
        <v>46212.0</v>
      </c>
    </row>
    <row r="522">
      <c r="A522" s="1" t="s">
        <v>12385</v>
      </c>
      <c r="B522" s="1" t="s">
        <v>6787</v>
      </c>
      <c r="C522" s="1" t="s">
        <v>6787</v>
      </c>
      <c r="D522" s="1" t="s">
        <v>4293</v>
      </c>
      <c r="E522" s="1" t="s">
        <v>12387</v>
      </c>
      <c r="F522" s="1" t="s">
        <v>12389</v>
      </c>
      <c r="G522" s="3">
        <v>45756.0</v>
      </c>
      <c r="H522" s="3"/>
      <c r="I522" s="3"/>
      <c r="J522" s="1" t="s">
        <v>124</v>
      </c>
      <c r="K522" s="1" t="s">
        <v>160</v>
      </c>
      <c r="L522" s="1" t="s">
        <v>253</v>
      </c>
      <c r="M522" s="1" t="s">
        <v>131</v>
      </c>
      <c r="N522" s="13"/>
      <c r="O522" s="4"/>
      <c r="Q522" s="1" t="s">
        <v>137</v>
      </c>
      <c r="R522" s="1" t="s">
        <v>137</v>
      </c>
      <c r="S522" s="1" t="s">
        <v>47</v>
      </c>
      <c r="T522" s="1" t="s">
        <v>4301</v>
      </c>
      <c r="U522" s="1" t="s">
        <v>1577</v>
      </c>
      <c r="V522" s="1" t="s">
        <v>3858</v>
      </c>
      <c r="W522" s="3"/>
      <c r="X522" s="3"/>
    </row>
    <row r="523">
      <c r="A523" s="1" t="s">
        <v>12393</v>
      </c>
      <c r="B523" s="1" t="s">
        <v>6787</v>
      </c>
      <c r="C523" s="1" t="s">
        <v>6787</v>
      </c>
      <c r="D523" s="1" t="s">
        <v>4293</v>
      </c>
      <c r="E523" s="1" t="s">
        <v>12387</v>
      </c>
      <c r="F523" s="1" t="s">
        <v>12394</v>
      </c>
      <c r="G523" s="3">
        <v>45756.0</v>
      </c>
      <c r="H523" s="3"/>
      <c r="I523" s="3"/>
      <c r="J523" s="1" t="s">
        <v>124</v>
      </c>
      <c r="K523" s="1" t="s">
        <v>160</v>
      </c>
      <c r="L523" s="1" t="s">
        <v>253</v>
      </c>
      <c r="M523" s="1" t="s">
        <v>131</v>
      </c>
      <c r="O523" s="4"/>
      <c r="Q523" s="1" t="s">
        <v>137</v>
      </c>
      <c r="R523" s="1" t="s">
        <v>137</v>
      </c>
      <c r="S523" s="1" t="s">
        <v>47</v>
      </c>
      <c r="T523" s="1" t="s">
        <v>4301</v>
      </c>
      <c r="U523" s="1" t="s">
        <v>1577</v>
      </c>
      <c r="V523" s="1" t="s">
        <v>4950</v>
      </c>
      <c r="W523" s="3"/>
      <c r="X523" s="3"/>
    </row>
    <row r="524">
      <c r="A524" s="1" t="s">
        <v>12399</v>
      </c>
      <c r="B524" s="1" t="s">
        <v>7366</v>
      </c>
      <c r="C524" s="1" t="s">
        <v>7366</v>
      </c>
      <c r="D524" s="1" t="s">
        <v>4293</v>
      </c>
      <c r="E524" s="1" t="s">
        <v>7368</v>
      </c>
      <c r="F524" s="1" t="s">
        <v>12401</v>
      </c>
      <c r="G524" s="3">
        <v>44012.0</v>
      </c>
      <c r="H524" s="3">
        <v>44299.0</v>
      </c>
      <c r="I524" s="3">
        <v>44299.0</v>
      </c>
      <c r="J524" s="1" t="s">
        <v>215</v>
      </c>
      <c r="K524" s="1" t="s">
        <v>160</v>
      </c>
      <c r="L524" s="1" t="s">
        <v>216</v>
      </c>
      <c r="M524" s="1" t="s">
        <v>131</v>
      </c>
      <c r="O524" s="4"/>
      <c r="Q524" s="1" t="s">
        <v>137</v>
      </c>
      <c r="R524" s="1" t="s">
        <v>137</v>
      </c>
      <c r="S524" s="1" t="s">
        <v>47</v>
      </c>
      <c r="T524" s="1" t="s">
        <v>4301</v>
      </c>
      <c r="U524" s="1" t="s">
        <v>1577</v>
      </c>
      <c r="V524" s="1" t="s">
        <v>3858</v>
      </c>
      <c r="W524" s="3">
        <v>44299.0</v>
      </c>
      <c r="X524" s="3">
        <v>44299.0</v>
      </c>
    </row>
    <row r="525">
      <c r="A525" s="1" t="s">
        <v>12406</v>
      </c>
      <c r="B525" s="1" t="s">
        <v>7375</v>
      </c>
      <c r="C525" s="1" t="s">
        <v>7375</v>
      </c>
      <c r="D525" s="1" t="s">
        <v>4293</v>
      </c>
      <c r="E525" s="1" t="s">
        <v>7378</v>
      </c>
      <c r="F525" s="1" t="s">
        <v>12409</v>
      </c>
      <c r="G525" s="3">
        <v>44132.0</v>
      </c>
      <c r="H525" s="3">
        <v>44223.0</v>
      </c>
      <c r="I525" s="3">
        <v>44223.0</v>
      </c>
      <c r="J525" s="1" t="s">
        <v>215</v>
      </c>
      <c r="K525" s="1" t="s">
        <v>160</v>
      </c>
      <c r="L525" s="1" t="s">
        <v>216</v>
      </c>
      <c r="M525" s="1" t="s">
        <v>131</v>
      </c>
      <c r="O525" s="4"/>
      <c r="Q525" s="1" t="s">
        <v>137</v>
      </c>
      <c r="R525" s="1" t="s">
        <v>137</v>
      </c>
      <c r="S525" s="1" t="s">
        <v>47</v>
      </c>
      <c r="T525" s="1" t="s">
        <v>4301</v>
      </c>
      <c r="U525" s="1" t="s">
        <v>1577</v>
      </c>
      <c r="V525" s="1" t="s">
        <v>3858</v>
      </c>
      <c r="W525" s="3">
        <v>44223.0</v>
      </c>
      <c r="X525" s="3">
        <v>44223.0</v>
      </c>
    </row>
    <row r="526">
      <c r="A526" s="1" t="s">
        <v>12415</v>
      </c>
      <c r="B526" s="1" t="s">
        <v>7375</v>
      </c>
      <c r="C526" s="1" t="s">
        <v>7375</v>
      </c>
      <c r="D526" s="1" t="s">
        <v>4293</v>
      </c>
      <c r="E526" s="1" t="s">
        <v>7378</v>
      </c>
      <c r="F526" s="1" t="s">
        <v>12416</v>
      </c>
      <c r="G526" s="3">
        <v>44132.0</v>
      </c>
      <c r="H526" s="3">
        <v>44223.0</v>
      </c>
      <c r="I526" s="3">
        <v>44223.0</v>
      </c>
      <c r="J526" s="1" t="s">
        <v>215</v>
      </c>
      <c r="K526" s="1" t="s">
        <v>160</v>
      </c>
      <c r="L526" s="1" t="s">
        <v>216</v>
      </c>
      <c r="M526" s="1" t="s">
        <v>131</v>
      </c>
      <c r="O526" s="4"/>
      <c r="Q526" s="1" t="s">
        <v>137</v>
      </c>
      <c r="R526" s="1" t="s">
        <v>137</v>
      </c>
      <c r="S526" s="1" t="s">
        <v>47</v>
      </c>
      <c r="T526" s="1" t="s">
        <v>4301</v>
      </c>
      <c r="U526" s="1" t="s">
        <v>1577</v>
      </c>
      <c r="V526" s="1" t="s">
        <v>4950</v>
      </c>
      <c r="W526" s="3">
        <v>44223.0</v>
      </c>
      <c r="X526" s="3">
        <v>44223.0</v>
      </c>
    </row>
    <row r="527">
      <c r="A527" s="1" t="s">
        <v>12421</v>
      </c>
      <c r="B527" s="1" t="s">
        <v>7385</v>
      </c>
      <c r="C527" s="1" t="s">
        <v>7385</v>
      </c>
      <c r="D527" s="1" t="s">
        <v>4293</v>
      </c>
      <c r="E527" s="1" t="s">
        <v>7387</v>
      </c>
      <c r="F527" s="1" t="s">
        <v>12424</v>
      </c>
      <c r="G527" s="3">
        <v>45161.0</v>
      </c>
      <c r="H527" s="3">
        <v>45161.0</v>
      </c>
      <c r="I527" s="3">
        <v>45161.0</v>
      </c>
      <c r="J527" s="1" t="s">
        <v>215</v>
      </c>
      <c r="K527" s="1" t="s">
        <v>160</v>
      </c>
      <c r="L527" s="1" t="s">
        <v>216</v>
      </c>
      <c r="M527" s="1" t="s">
        <v>131</v>
      </c>
      <c r="O527" s="4"/>
      <c r="Q527" s="1" t="s">
        <v>137</v>
      </c>
      <c r="R527" s="1" t="s">
        <v>137</v>
      </c>
      <c r="S527" s="1" t="s">
        <v>47</v>
      </c>
      <c r="T527" s="1" t="s">
        <v>4301</v>
      </c>
      <c r="U527" s="1" t="s">
        <v>1577</v>
      </c>
      <c r="V527" s="1" t="s">
        <v>7334</v>
      </c>
      <c r="W527" s="3">
        <v>45161.0</v>
      </c>
      <c r="X527" s="3">
        <v>45161.0</v>
      </c>
    </row>
    <row r="528">
      <c r="A528" s="1" t="s">
        <v>12431</v>
      </c>
      <c r="B528" s="1" t="s">
        <v>7393</v>
      </c>
      <c r="C528" s="1" t="s">
        <v>7393</v>
      </c>
      <c r="D528" s="1" t="s">
        <v>4293</v>
      </c>
      <c r="E528" s="1" t="s">
        <v>7396</v>
      </c>
      <c r="F528" s="1" t="s">
        <v>12433</v>
      </c>
      <c r="G528" s="3">
        <v>45728.0</v>
      </c>
      <c r="H528" s="3">
        <v>45918.0</v>
      </c>
      <c r="I528" s="3">
        <v>45918.0</v>
      </c>
      <c r="J528" s="1" t="s">
        <v>215</v>
      </c>
      <c r="K528" s="1" t="s">
        <v>160</v>
      </c>
      <c r="L528" s="1" t="s">
        <v>216</v>
      </c>
      <c r="M528" s="1" t="s">
        <v>131</v>
      </c>
      <c r="O528" s="4"/>
      <c r="Q528" s="1" t="s">
        <v>137</v>
      </c>
      <c r="R528" s="1" t="s">
        <v>137</v>
      </c>
      <c r="S528" s="1" t="s">
        <v>47</v>
      </c>
      <c r="T528" s="1" t="s">
        <v>4301</v>
      </c>
      <c r="U528" s="1" t="s">
        <v>1577</v>
      </c>
      <c r="V528" s="1" t="s">
        <v>4679</v>
      </c>
      <c r="W528" s="3">
        <v>45918.0</v>
      </c>
      <c r="X528" s="3">
        <v>45918.0</v>
      </c>
    </row>
    <row r="529">
      <c r="A529" s="1" t="s">
        <v>12439</v>
      </c>
      <c r="B529" s="1" t="s">
        <v>7393</v>
      </c>
      <c r="C529" s="1" t="s">
        <v>7393</v>
      </c>
      <c r="D529" s="1" t="s">
        <v>4293</v>
      </c>
      <c r="E529" s="1" t="s">
        <v>7396</v>
      </c>
      <c r="F529" s="1" t="s">
        <v>12442</v>
      </c>
      <c r="G529" s="3">
        <v>45728.0</v>
      </c>
      <c r="H529" s="3">
        <v>45918.0</v>
      </c>
      <c r="I529" s="3">
        <v>45918.0</v>
      </c>
      <c r="J529" s="1" t="s">
        <v>215</v>
      </c>
      <c r="K529" s="1" t="s">
        <v>160</v>
      </c>
      <c r="L529" s="1" t="s">
        <v>216</v>
      </c>
      <c r="M529" s="1" t="s">
        <v>131</v>
      </c>
      <c r="O529" s="4"/>
      <c r="Q529" s="1" t="s">
        <v>137</v>
      </c>
      <c r="R529" s="1" t="s">
        <v>137</v>
      </c>
      <c r="S529" s="1" t="s">
        <v>47</v>
      </c>
      <c r="T529" s="1" t="s">
        <v>4301</v>
      </c>
      <c r="U529" s="1" t="s">
        <v>1577</v>
      </c>
      <c r="V529" s="1" t="s">
        <v>4950</v>
      </c>
      <c r="W529" s="3">
        <v>45918.0</v>
      </c>
      <c r="X529" s="3">
        <v>45918.0</v>
      </c>
    </row>
    <row r="530">
      <c r="A530" s="1" t="s">
        <v>12449</v>
      </c>
      <c r="B530" s="1" t="s">
        <v>7393</v>
      </c>
      <c r="C530" s="1" t="s">
        <v>7393</v>
      </c>
      <c r="D530" s="1" t="s">
        <v>4293</v>
      </c>
      <c r="E530" s="1" t="s">
        <v>7396</v>
      </c>
      <c r="F530" s="1" t="s">
        <v>12452</v>
      </c>
      <c r="G530" s="3">
        <v>45728.0</v>
      </c>
      <c r="H530" s="3">
        <v>45918.0</v>
      </c>
      <c r="I530" s="3">
        <v>45918.0</v>
      </c>
      <c r="J530" s="1" t="s">
        <v>215</v>
      </c>
      <c r="K530" s="1" t="s">
        <v>160</v>
      </c>
      <c r="L530" s="1" t="s">
        <v>216</v>
      </c>
      <c r="M530" s="1" t="s">
        <v>131</v>
      </c>
      <c r="O530" s="4"/>
      <c r="Q530" s="1" t="s">
        <v>137</v>
      </c>
      <c r="R530" s="1" t="s">
        <v>137</v>
      </c>
      <c r="S530" s="1" t="s">
        <v>47</v>
      </c>
      <c r="T530" s="1" t="s">
        <v>4301</v>
      </c>
      <c r="U530" s="1" t="s">
        <v>1577</v>
      </c>
      <c r="V530" s="1" t="s">
        <v>5104</v>
      </c>
      <c r="W530" s="3">
        <v>45918.0</v>
      </c>
      <c r="X530" s="3">
        <v>45918.0</v>
      </c>
    </row>
    <row r="531">
      <c r="A531" s="1" t="s">
        <v>12458</v>
      </c>
      <c r="B531" s="1" t="s">
        <v>7393</v>
      </c>
      <c r="C531" s="1" t="s">
        <v>7393</v>
      </c>
      <c r="D531" s="1" t="s">
        <v>4293</v>
      </c>
      <c r="E531" s="1" t="s">
        <v>7396</v>
      </c>
      <c r="F531" s="1" t="s">
        <v>12460</v>
      </c>
      <c r="G531" s="3">
        <v>45728.0</v>
      </c>
      <c r="H531" s="3">
        <v>45918.0</v>
      </c>
      <c r="I531" s="3">
        <v>45918.0</v>
      </c>
      <c r="J531" s="1" t="s">
        <v>215</v>
      </c>
      <c r="K531" s="1" t="s">
        <v>160</v>
      </c>
      <c r="L531" s="1" t="s">
        <v>216</v>
      </c>
      <c r="M531" s="1" t="s">
        <v>131</v>
      </c>
      <c r="O531" s="4"/>
      <c r="Q531" s="1" t="s">
        <v>137</v>
      </c>
      <c r="R531" s="1" t="s">
        <v>137</v>
      </c>
      <c r="S531" s="1" t="s">
        <v>47</v>
      </c>
      <c r="T531" s="1" t="s">
        <v>4301</v>
      </c>
      <c r="U531" s="1" t="s">
        <v>1577</v>
      </c>
      <c r="V531" s="1" t="s">
        <v>5120</v>
      </c>
      <c r="W531" s="3">
        <v>45918.0</v>
      </c>
      <c r="X531" s="3">
        <v>45918.0</v>
      </c>
    </row>
    <row r="532">
      <c r="A532" s="1" t="s">
        <v>12468</v>
      </c>
      <c r="B532" s="1" t="s">
        <v>7403</v>
      </c>
      <c r="C532" s="1" t="s">
        <v>7403</v>
      </c>
      <c r="D532" s="1" t="s">
        <v>4293</v>
      </c>
      <c r="E532" s="1" t="s">
        <v>7404</v>
      </c>
      <c r="F532" s="1" t="s">
        <v>12470</v>
      </c>
      <c r="G532" s="3">
        <v>45351.0</v>
      </c>
      <c r="H532" s="3">
        <v>45352.0</v>
      </c>
      <c r="I532" s="3">
        <v>45352.0</v>
      </c>
      <c r="J532" s="1" t="s">
        <v>215</v>
      </c>
      <c r="K532" s="1" t="s">
        <v>160</v>
      </c>
      <c r="L532" s="1" t="s">
        <v>216</v>
      </c>
      <c r="M532" s="1" t="s">
        <v>131</v>
      </c>
      <c r="O532" s="4"/>
      <c r="Q532" s="1" t="s">
        <v>137</v>
      </c>
      <c r="R532" s="1" t="s">
        <v>137</v>
      </c>
      <c r="S532" s="1" t="s">
        <v>47</v>
      </c>
      <c r="T532" s="1" t="s">
        <v>4301</v>
      </c>
      <c r="U532" s="1" t="s">
        <v>1577</v>
      </c>
      <c r="V532" s="1" t="s">
        <v>3858</v>
      </c>
      <c r="W532" s="3">
        <v>45352.0</v>
      </c>
      <c r="X532" s="3">
        <v>45352.0</v>
      </c>
    </row>
    <row r="533">
      <c r="A533" s="1" t="s">
        <v>12475</v>
      </c>
      <c r="B533" s="1" t="s">
        <v>7403</v>
      </c>
      <c r="C533" s="1" t="s">
        <v>7403</v>
      </c>
      <c r="D533" s="1" t="s">
        <v>4293</v>
      </c>
      <c r="E533" s="1" t="s">
        <v>7404</v>
      </c>
      <c r="F533" s="1" t="s">
        <v>12479</v>
      </c>
      <c r="G533" s="3">
        <v>45351.0</v>
      </c>
      <c r="H533" s="3">
        <v>45352.0</v>
      </c>
      <c r="I533" s="3">
        <v>45352.0</v>
      </c>
      <c r="J533" s="1" t="s">
        <v>215</v>
      </c>
      <c r="K533" s="1" t="s">
        <v>160</v>
      </c>
      <c r="L533" s="1" t="s">
        <v>216</v>
      </c>
      <c r="M533" s="1" t="s">
        <v>131</v>
      </c>
      <c r="Q533" s="1" t="s">
        <v>137</v>
      </c>
      <c r="R533" s="1" t="s">
        <v>137</v>
      </c>
      <c r="S533" s="1" t="s">
        <v>47</v>
      </c>
      <c r="T533" s="1" t="s">
        <v>4301</v>
      </c>
      <c r="U533" s="1" t="s">
        <v>1577</v>
      </c>
      <c r="V533" s="1" t="s">
        <v>4950</v>
      </c>
      <c r="W533" s="3">
        <v>45352.0</v>
      </c>
      <c r="X533" s="3">
        <v>45352.0</v>
      </c>
    </row>
    <row r="534">
      <c r="A534" s="1" t="s">
        <v>12484</v>
      </c>
      <c r="B534" s="1" t="s">
        <v>12486</v>
      </c>
      <c r="C534" s="1" t="s">
        <v>12486</v>
      </c>
      <c r="D534" s="1" t="s">
        <v>4293</v>
      </c>
      <c r="E534" s="1" t="s">
        <v>12488</v>
      </c>
      <c r="F534" s="1" t="s">
        <v>12490</v>
      </c>
      <c r="G534" s="3">
        <v>45883.0</v>
      </c>
      <c r="H534" s="3"/>
      <c r="I534" s="3"/>
      <c r="J534" s="1" t="s">
        <v>124</v>
      </c>
      <c r="K534" s="1" t="s">
        <v>160</v>
      </c>
      <c r="L534" s="1" t="s">
        <v>253</v>
      </c>
      <c r="M534" s="1" t="s">
        <v>131</v>
      </c>
      <c r="Q534" s="1" t="s">
        <v>137</v>
      </c>
      <c r="R534" s="1" t="s">
        <v>137</v>
      </c>
      <c r="S534" s="1" t="s">
        <v>47</v>
      </c>
      <c r="T534" s="1" t="s">
        <v>4301</v>
      </c>
      <c r="U534" s="1" t="s">
        <v>1577</v>
      </c>
      <c r="V534" s="1" t="s">
        <v>4679</v>
      </c>
      <c r="W534" s="3"/>
      <c r="X534" s="3"/>
    </row>
    <row r="535">
      <c r="A535" s="1" t="s">
        <v>12495</v>
      </c>
      <c r="B535" s="1" t="s">
        <v>12486</v>
      </c>
      <c r="C535" s="1" t="s">
        <v>12486</v>
      </c>
      <c r="D535" s="1" t="s">
        <v>4293</v>
      </c>
      <c r="E535" s="1" t="s">
        <v>12488</v>
      </c>
      <c r="F535" s="1" t="s">
        <v>12497</v>
      </c>
      <c r="G535" s="3">
        <v>45883.0</v>
      </c>
      <c r="H535" s="3"/>
      <c r="I535" s="3"/>
      <c r="J535" s="1" t="s">
        <v>124</v>
      </c>
      <c r="K535" s="1" t="s">
        <v>160</v>
      </c>
      <c r="L535" s="1" t="s">
        <v>253</v>
      </c>
      <c r="M535" s="1" t="s">
        <v>131</v>
      </c>
      <c r="Q535" s="1" t="s">
        <v>137</v>
      </c>
      <c r="R535" s="1" t="s">
        <v>137</v>
      </c>
      <c r="S535" s="1" t="s">
        <v>47</v>
      </c>
      <c r="T535" s="1" t="s">
        <v>4301</v>
      </c>
      <c r="U535" s="1" t="s">
        <v>1577</v>
      </c>
      <c r="V535" s="1" t="s">
        <v>4950</v>
      </c>
      <c r="W535" s="3"/>
      <c r="X535" s="13"/>
    </row>
    <row r="536">
      <c r="A536" s="1" t="s">
        <v>12505</v>
      </c>
      <c r="B536" s="1" t="s">
        <v>12486</v>
      </c>
      <c r="C536" s="1" t="s">
        <v>12486</v>
      </c>
      <c r="D536" s="1" t="s">
        <v>4293</v>
      </c>
      <c r="E536" s="1" t="s">
        <v>12488</v>
      </c>
      <c r="F536" s="1" t="s">
        <v>12509</v>
      </c>
      <c r="G536" s="3">
        <v>45883.0</v>
      </c>
      <c r="H536" s="3"/>
      <c r="I536" s="3"/>
      <c r="J536" s="1" t="s">
        <v>124</v>
      </c>
      <c r="K536" s="1" t="s">
        <v>160</v>
      </c>
      <c r="L536" s="1" t="s">
        <v>253</v>
      </c>
      <c r="M536" s="1" t="s">
        <v>131</v>
      </c>
      <c r="Q536" s="1" t="s">
        <v>137</v>
      </c>
      <c r="R536" s="1" t="s">
        <v>137</v>
      </c>
      <c r="S536" s="1" t="s">
        <v>47</v>
      </c>
      <c r="T536" s="1" t="s">
        <v>4301</v>
      </c>
      <c r="U536" s="1" t="s">
        <v>1577</v>
      </c>
      <c r="V536" s="1" t="s">
        <v>5104</v>
      </c>
      <c r="W536" s="3"/>
    </row>
    <row r="537">
      <c r="A537" s="1" t="s">
        <v>12515</v>
      </c>
      <c r="B537" s="1" t="s">
        <v>12486</v>
      </c>
      <c r="C537" s="1" t="s">
        <v>12486</v>
      </c>
      <c r="D537" s="1" t="s">
        <v>4293</v>
      </c>
      <c r="E537" s="1" t="s">
        <v>12488</v>
      </c>
      <c r="F537" s="1" t="s">
        <v>12518</v>
      </c>
      <c r="G537" s="3">
        <v>45883.0</v>
      </c>
      <c r="H537" s="3"/>
      <c r="I537" s="3"/>
      <c r="J537" s="1" t="s">
        <v>124</v>
      </c>
      <c r="K537" s="1" t="s">
        <v>160</v>
      </c>
      <c r="L537" s="1" t="s">
        <v>253</v>
      </c>
      <c r="M537" s="1" t="s">
        <v>131</v>
      </c>
      <c r="Q537" s="1" t="s">
        <v>137</v>
      </c>
      <c r="R537" s="1" t="s">
        <v>137</v>
      </c>
      <c r="S537" s="1" t="s">
        <v>47</v>
      </c>
      <c r="T537" s="1" t="s">
        <v>4301</v>
      </c>
      <c r="U537" s="1" t="s">
        <v>1577</v>
      </c>
      <c r="V537" s="1" t="s">
        <v>5120</v>
      </c>
      <c r="W537" s="3"/>
      <c r="X537" s="3"/>
    </row>
    <row r="538">
      <c r="A538" s="1" t="s">
        <v>12526</v>
      </c>
      <c r="B538" s="1" t="s">
        <v>7410</v>
      </c>
      <c r="C538" s="1" t="s">
        <v>7410</v>
      </c>
      <c r="D538" s="1" t="s">
        <v>4293</v>
      </c>
      <c r="E538" s="1" t="s">
        <v>7412</v>
      </c>
      <c r="F538" s="1" t="s">
        <v>12528</v>
      </c>
      <c r="G538" s="3">
        <v>44553.0</v>
      </c>
      <c r="H538" s="3">
        <v>44326.0</v>
      </c>
      <c r="I538" s="3">
        <v>44326.0</v>
      </c>
      <c r="J538" s="1" t="s">
        <v>215</v>
      </c>
      <c r="K538" s="1" t="s">
        <v>160</v>
      </c>
      <c r="L538" s="1" t="s">
        <v>216</v>
      </c>
      <c r="M538" s="1" t="s">
        <v>131</v>
      </c>
      <c r="Q538" s="1" t="s">
        <v>137</v>
      </c>
      <c r="R538" s="1" t="s">
        <v>137</v>
      </c>
      <c r="S538" s="1" t="s">
        <v>47</v>
      </c>
      <c r="T538" s="1" t="s">
        <v>4301</v>
      </c>
      <c r="U538" s="1" t="s">
        <v>1577</v>
      </c>
      <c r="V538" s="1" t="s">
        <v>3858</v>
      </c>
      <c r="W538" s="3">
        <v>44326.0</v>
      </c>
      <c r="X538" s="3">
        <v>44326.0</v>
      </c>
    </row>
    <row r="539">
      <c r="A539" s="1" t="s">
        <v>12537</v>
      </c>
      <c r="B539" s="1" t="s">
        <v>6682</v>
      </c>
      <c r="C539" s="1" t="s">
        <v>6682</v>
      </c>
      <c r="D539" s="1" t="s">
        <v>4293</v>
      </c>
      <c r="E539" s="1" t="s">
        <v>7424</v>
      </c>
      <c r="F539" s="1" t="s">
        <v>12539</v>
      </c>
      <c r="G539" s="3">
        <v>45636.0</v>
      </c>
      <c r="H539" s="3">
        <v>45883.0</v>
      </c>
      <c r="I539" s="3">
        <v>45883.0</v>
      </c>
      <c r="J539" s="1" t="s">
        <v>215</v>
      </c>
      <c r="K539" s="1" t="s">
        <v>160</v>
      </c>
      <c r="L539" s="1" t="s">
        <v>216</v>
      </c>
      <c r="M539" s="1" t="s">
        <v>131</v>
      </c>
      <c r="Q539" s="1" t="s">
        <v>137</v>
      </c>
      <c r="R539" s="1" t="s">
        <v>137</v>
      </c>
      <c r="S539" s="1" t="s">
        <v>47</v>
      </c>
      <c r="T539" s="1" t="s">
        <v>4301</v>
      </c>
      <c r="U539" s="1" t="s">
        <v>1577</v>
      </c>
      <c r="V539" s="1" t="s">
        <v>3858</v>
      </c>
      <c r="W539" s="3">
        <v>45883.0</v>
      </c>
      <c r="X539" s="3">
        <v>45883.0</v>
      </c>
    </row>
    <row r="540">
      <c r="A540" s="1" t="s">
        <v>12550</v>
      </c>
      <c r="B540" s="1" t="s">
        <v>6682</v>
      </c>
      <c r="C540" s="1" t="s">
        <v>6682</v>
      </c>
      <c r="D540" s="1" t="s">
        <v>4293</v>
      </c>
      <c r="E540" s="1" t="s">
        <v>7424</v>
      </c>
      <c r="F540" s="1" t="s">
        <v>12555</v>
      </c>
      <c r="G540" s="3">
        <v>45636.0</v>
      </c>
      <c r="H540" s="3">
        <v>45883.0</v>
      </c>
      <c r="I540" s="3">
        <v>45883.0</v>
      </c>
      <c r="J540" s="1" t="s">
        <v>215</v>
      </c>
      <c r="K540" s="1" t="s">
        <v>160</v>
      </c>
      <c r="L540" s="1" t="s">
        <v>216</v>
      </c>
      <c r="M540" s="1" t="s">
        <v>131</v>
      </c>
      <c r="Q540" s="1" t="s">
        <v>137</v>
      </c>
      <c r="R540" s="1" t="s">
        <v>137</v>
      </c>
      <c r="S540" s="1" t="s">
        <v>47</v>
      </c>
      <c r="T540" s="1" t="s">
        <v>4301</v>
      </c>
      <c r="U540" s="1" t="s">
        <v>1577</v>
      </c>
      <c r="V540" s="1" t="s">
        <v>4950</v>
      </c>
      <c r="W540" s="3">
        <v>45883.0</v>
      </c>
      <c r="X540" s="3">
        <v>45883.0</v>
      </c>
    </row>
    <row r="541">
      <c r="A541" s="1" t="s">
        <v>12568</v>
      </c>
      <c r="B541" s="1" t="s">
        <v>7429</v>
      </c>
      <c r="C541" s="1" t="s">
        <v>7429</v>
      </c>
      <c r="D541" s="1" t="s">
        <v>4293</v>
      </c>
      <c r="E541" s="1" t="s">
        <v>7432</v>
      </c>
      <c r="F541" s="1" t="s">
        <v>12578</v>
      </c>
      <c r="G541" s="3">
        <v>44560.0</v>
      </c>
      <c r="H541" s="3">
        <v>43928.0</v>
      </c>
      <c r="I541" s="3">
        <v>43928.0</v>
      </c>
      <c r="J541" s="1" t="s">
        <v>215</v>
      </c>
      <c r="K541" s="1" t="s">
        <v>160</v>
      </c>
      <c r="L541" s="1" t="s">
        <v>216</v>
      </c>
      <c r="M541" s="1" t="s">
        <v>131</v>
      </c>
      <c r="Q541" s="1" t="s">
        <v>137</v>
      </c>
      <c r="R541" s="1" t="s">
        <v>137</v>
      </c>
      <c r="S541" s="1" t="s">
        <v>47</v>
      </c>
      <c r="T541" s="1" t="s">
        <v>4301</v>
      </c>
      <c r="U541" s="1" t="s">
        <v>1577</v>
      </c>
      <c r="V541" s="1" t="s">
        <v>3858</v>
      </c>
      <c r="W541" s="3">
        <v>43928.0</v>
      </c>
      <c r="X541" s="3">
        <v>43928.0</v>
      </c>
    </row>
    <row r="542">
      <c r="A542" s="1" t="s">
        <v>12593</v>
      </c>
      <c r="B542" s="1" t="s">
        <v>7437</v>
      </c>
      <c r="C542" s="1" t="s">
        <v>7437</v>
      </c>
      <c r="D542" s="1" t="s">
        <v>4293</v>
      </c>
      <c r="E542" s="1" t="s">
        <v>7440</v>
      </c>
      <c r="F542" s="1" t="s">
        <v>12598</v>
      </c>
      <c r="G542" s="3">
        <v>44408.0</v>
      </c>
      <c r="H542" s="3">
        <v>44501.0</v>
      </c>
      <c r="I542" s="3">
        <v>44501.0</v>
      </c>
      <c r="J542" s="1" t="s">
        <v>215</v>
      </c>
      <c r="K542" s="1" t="s">
        <v>160</v>
      </c>
      <c r="L542" s="1" t="s">
        <v>216</v>
      </c>
      <c r="M542" s="1" t="s">
        <v>131</v>
      </c>
      <c r="Q542" s="1" t="s">
        <v>137</v>
      </c>
      <c r="R542" s="1" t="s">
        <v>137</v>
      </c>
      <c r="S542" s="1" t="s">
        <v>47</v>
      </c>
      <c r="T542" s="1" t="s">
        <v>4301</v>
      </c>
      <c r="U542" s="1" t="s">
        <v>1577</v>
      </c>
      <c r="V542" s="1" t="s">
        <v>3858</v>
      </c>
      <c r="W542" s="3">
        <v>44501.0</v>
      </c>
      <c r="X542" s="3">
        <v>44501.0</v>
      </c>
    </row>
    <row r="543">
      <c r="A543" s="1" t="s">
        <v>12608</v>
      </c>
      <c r="B543" s="1" t="s">
        <v>7447</v>
      </c>
      <c r="C543" s="1" t="s">
        <v>7447</v>
      </c>
      <c r="D543" s="1" t="s">
        <v>4293</v>
      </c>
      <c r="E543" s="1" t="s">
        <v>7450</v>
      </c>
      <c r="F543" s="1" t="s">
        <v>12615</v>
      </c>
      <c r="G543" s="3">
        <v>45922.0</v>
      </c>
      <c r="H543" s="3">
        <v>45931.0</v>
      </c>
      <c r="I543" s="3">
        <v>45931.0</v>
      </c>
      <c r="J543" s="1" t="s">
        <v>215</v>
      </c>
      <c r="K543" s="1" t="s">
        <v>160</v>
      </c>
      <c r="L543" s="1" t="s">
        <v>216</v>
      </c>
      <c r="M543" s="1" t="s">
        <v>131</v>
      </c>
      <c r="Q543" s="1" t="s">
        <v>137</v>
      </c>
      <c r="R543" s="1" t="s">
        <v>137</v>
      </c>
      <c r="S543" s="1" t="s">
        <v>47</v>
      </c>
      <c r="T543" s="1" t="s">
        <v>4301</v>
      </c>
      <c r="U543" s="1" t="s">
        <v>1577</v>
      </c>
      <c r="V543" s="1" t="s">
        <v>4679</v>
      </c>
      <c r="W543" s="3">
        <v>45931.0</v>
      </c>
      <c r="X543" s="3">
        <v>45931.0</v>
      </c>
    </row>
    <row r="544">
      <c r="A544" s="1" t="s">
        <v>12627</v>
      </c>
      <c r="B544" s="1" t="s">
        <v>7447</v>
      </c>
      <c r="C544" s="1" t="s">
        <v>7447</v>
      </c>
      <c r="D544" s="1" t="s">
        <v>4293</v>
      </c>
      <c r="E544" s="1" t="s">
        <v>7450</v>
      </c>
      <c r="F544" s="1" t="s">
        <v>12631</v>
      </c>
      <c r="G544" s="3">
        <v>45922.0</v>
      </c>
      <c r="H544" s="3">
        <v>45931.0</v>
      </c>
      <c r="I544" s="3">
        <v>45931.0</v>
      </c>
      <c r="J544" s="1" t="s">
        <v>215</v>
      </c>
      <c r="K544" s="1" t="s">
        <v>160</v>
      </c>
      <c r="L544" s="1" t="s">
        <v>216</v>
      </c>
      <c r="M544" s="1" t="s">
        <v>131</v>
      </c>
      <c r="Q544" s="1" t="s">
        <v>137</v>
      </c>
      <c r="R544" s="1" t="s">
        <v>137</v>
      </c>
      <c r="S544" s="1" t="s">
        <v>47</v>
      </c>
      <c r="T544" s="1" t="s">
        <v>4301</v>
      </c>
      <c r="U544" s="1" t="s">
        <v>1577</v>
      </c>
      <c r="V544" s="1" t="s">
        <v>4950</v>
      </c>
      <c r="W544" s="3">
        <v>45931.0</v>
      </c>
      <c r="X544" s="3">
        <v>45931.0</v>
      </c>
    </row>
    <row r="545">
      <c r="A545" s="1" t="s">
        <v>12643</v>
      </c>
      <c r="B545" s="1" t="s">
        <v>7447</v>
      </c>
      <c r="C545" s="1" t="s">
        <v>7447</v>
      </c>
      <c r="D545" s="1" t="s">
        <v>4293</v>
      </c>
      <c r="E545" s="1" t="s">
        <v>7450</v>
      </c>
      <c r="F545" s="1" t="s">
        <v>12650</v>
      </c>
      <c r="G545" s="3">
        <v>45922.0</v>
      </c>
      <c r="H545" s="3">
        <v>45931.0</v>
      </c>
      <c r="I545" s="3">
        <v>45931.0</v>
      </c>
      <c r="J545" s="1" t="s">
        <v>215</v>
      </c>
      <c r="K545" s="1" t="s">
        <v>160</v>
      </c>
      <c r="L545" s="1" t="s">
        <v>216</v>
      </c>
      <c r="M545" s="1" t="s">
        <v>131</v>
      </c>
      <c r="Q545" s="1" t="s">
        <v>137</v>
      </c>
      <c r="R545" s="1" t="s">
        <v>137</v>
      </c>
      <c r="S545" s="1" t="s">
        <v>47</v>
      </c>
      <c r="T545" s="1" t="s">
        <v>4301</v>
      </c>
      <c r="U545" s="1" t="s">
        <v>1577</v>
      </c>
      <c r="V545" s="1" t="s">
        <v>5104</v>
      </c>
      <c r="W545" s="3">
        <v>45931.0</v>
      </c>
      <c r="X545" s="3">
        <v>45931.0</v>
      </c>
    </row>
    <row r="546">
      <c r="A546" s="1" t="s">
        <v>12669</v>
      </c>
      <c r="B546" s="1" t="s">
        <v>7447</v>
      </c>
      <c r="C546" s="1" t="s">
        <v>7447</v>
      </c>
      <c r="D546" s="1" t="s">
        <v>4293</v>
      </c>
      <c r="E546" s="1" t="s">
        <v>7450</v>
      </c>
      <c r="F546" s="1" t="s">
        <v>12676</v>
      </c>
      <c r="G546" s="3">
        <v>45922.0</v>
      </c>
      <c r="H546" s="3">
        <v>45931.0</v>
      </c>
      <c r="I546" s="3">
        <v>45931.0</v>
      </c>
      <c r="J546" s="1" t="s">
        <v>215</v>
      </c>
      <c r="K546" s="1" t="s">
        <v>160</v>
      </c>
      <c r="L546" s="1" t="s">
        <v>216</v>
      </c>
      <c r="M546" s="1" t="s">
        <v>131</v>
      </c>
      <c r="Q546" s="1" t="s">
        <v>137</v>
      </c>
      <c r="R546" s="1" t="s">
        <v>137</v>
      </c>
      <c r="S546" s="1" t="s">
        <v>47</v>
      </c>
      <c r="T546" s="1" t="s">
        <v>4301</v>
      </c>
      <c r="U546" s="1" t="s">
        <v>1577</v>
      </c>
      <c r="V546" s="1" t="s">
        <v>5120</v>
      </c>
      <c r="W546" s="3">
        <v>45931.0</v>
      </c>
      <c r="X546" s="3">
        <v>45931.0</v>
      </c>
    </row>
    <row r="547">
      <c r="A547" s="1" t="s">
        <v>12687</v>
      </c>
      <c r="B547" s="1" t="s">
        <v>7459</v>
      </c>
      <c r="C547" s="1" t="s">
        <v>7459</v>
      </c>
      <c r="D547" s="1" t="s">
        <v>4293</v>
      </c>
      <c r="E547" s="1" t="s">
        <v>7461</v>
      </c>
      <c r="F547" s="1" t="s">
        <v>12695</v>
      </c>
      <c r="G547" s="3">
        <v>45139.0</v>
      </c>
      <c r="H547" s="3">
        <v>45671.0</v>
      </c>
      <c r="I547" s="3">
        <v>45671.0</v>
      </c>
      <c r="J547" s="1" t="s">
        <v>215</v>
      </c>
      <c r="K547" s="1" t="s">
        <v>160</v>
      </c>
      <c r="L547" s="1" t="s">
        <v>216</v>
      </c>
      <c r="M547" s="1" t="s">
        <v>131</v>
      </c>
      <c r="Q547" s="1" t="s">
        <v>137</v>
      </c>
      <c r="R547" s="1" t="s">
        <v>137</v>
      </c>
      <c r="S547" s="1" t="s">
        <v>47</v>
      </c>
      <c r="T547" s="1" t="s">
        <v>4301</v>
      </c>
      <c r="U547" s="1" t="s">
        <v>1577</v>
      </c>
      <c r="V547" s="1" t="s">
        <v>3858</v>
      </c>
      <c r="W547" s="3">
        <v>45671.0</v>
      </c>
      <c r="X547" s="3">
        <v>45671.0</v>
      </c>
    </row>
    <row r="548">
      <c r="A548" s="1" t="s">
        <v>12711</v>
      </c>
      <c r="B548" s="1" t="s">
        <v>7459</v>
      </c>
      <c r="C548" s="1" t="s">
        <v>7459</v>
      </c>
      <c r="D548" s="1" t="s">
        <v>4293</v>
      </c>
      <c r="E548" s="1" t="s">
        <v>7461</v>
      </c>
      <c r="F548" s="1" t="s">
        <v>12717</v>
      </c>
      <c r="G548" s="3">
        <v>45139.0</v>
      </c>
      <c r="H548" s="3">
        <v>45671.0</v>
      </c>
      <c r="I548" s="3">
        <v>45671.0</v>
      </c>
      <c r="J548" s="1" t="s">
        <v>215</v>
      </c>
      <c r="K548" s="1" t="s">
        <v>160</v>
      </c>
      <c r="L548" s="1" t="s">
        <v>216</v>
      </c>
      <c r="M548" s="1" t="s">
        <v>131</v>
      </c>
      <c r="Q548" s="1" t="s">
        <v>137</v>
      </c>
      <c r="R548" s="1" t="s">
        <v>137</v>
      </c>
      <c r="S548" s="1" t="s">
        <v>47</v>
      </c>
      <c r="T548" s="1" t="s">
        <v>4301</v>
      </c>
      <c r="U548" s="1" t="s">
        <v>1577</v>
      </c>
      <c r="V548" s="1" t="s">
        <v>4950</v>
      </c>
      <c r="W548" s="3">
        <v>45671.0</v>
      </c>
      <c r="X548" s="3">
        <v>45671.0</v>
      </c>
    </row>
    <row r="549">
      <c r="A549" s="1" t="s">
        <v>12734</v>
      </c>
      <c r="B549" s="1" t="s">
        <v>7465</v>
      </c>
      <c r="C549" s="1" t="s">
        <v>7465</v>
      </c>
      <c r="D549" s="1" t="s">
        <v>4293</v>
      </c>
      <c r="E549" s="1" t="s">
        <v>7467</v>
      </c>
      <c r="F549" s="1" t="s">
        <v>12740</v>
      </c>
      <c r="G549" s="3">
        <v>44799.0</v>
      </c>
      <c r="H549" s="3">
        <v>45007.0</v>
      </c>
      <c r="I549" s="3">
        <v>45007.0</v>
      </c>
      <c r="J549" s="1" t="s">
        <v>215</v>
      </c>
      <c r="K549" s="1" t="s">
        <v>160</v>
      </c>
      <c r="L549" s="1" t="s">
        <v>216</v>
      </c>
      <c r="M549" s="1" t="s">
        <v>131</v>
      </c>
      <c r="Q549" s="1" t="s">
        <v>137</v>
      </c>
      <c r="R549" s="1" t="s">
        <v>137</v>
      </c>
      <c r="S549" s="1" t="s">
        <v>47</v>
      </c>
      <c r="T549" s="1" t="s">
        <v>4301</v>
      </c>
      <c r="U549" s="1" t="s">
        <v>1577</v>
      </c>
      <c r="V549" s="1" t="s">
        <v>3858</v>
      </c>
      <c r="W549" s="3">
        <v>45007.0</v>
      </c>
      <c r="X549" s="3">
        <v>45007.0</v>
      </c>
    </row>
    <row r="550">
      <c r="A550" s="1" t="s">
        <v>12756</v>
      </c>
      <c r="B550" s="1" t="s">
        <v>7465</v>
      </c>
      <c r="C550" s="1" t="s">
        <v>7465</v>
      </c>
      <c r="D550" s="1" t="s">
        <v>4293</v>
      </c>
      <c r="E550" s="1" t="s">
        <v>7467</v>
      </c>
      <c r="F550" s="1" t="s">
        <v>12760</v>
      </c>
      <c r="G550" s="3">
        <v>44799.0</v>
      </c>
      <c r="H550" s="3">
        <v>45007.0</v>
      </c>
      <c r="I550" s="3">
        <v>45007.0</v>
      </c>
      <c r="J550" s="1" t="s">
        <v>215</v>
      </c>
      <c r="K550" s="1" t="s">
        <v>160</v>
      </c>
      <c r="L550" s="1" t="s">
        <v>216</v>
      </c>
      <c r="M550" s="1" t="s">
        <v>131</v>
      </c>
      <c r="Q550" s="1" t="s">
        <v>137</v>
      </c>
      <c r="R550" s="1" t="s">
        <v>137</v>
      </c>
      <c r="S550" s="1" t="s">
        <v>47</v>
      </c>
      <c r="T550" s="1" t="s">
        <v>4301</v>
      </c>
      <c r="U550" s="1" t="s">
        <v>1577</v>
      </c>
      <c r="V550" s="1" t="s">
        <v>4679</v>
      </c>
      <c r="W550" s="3">
        <v>45007.0</v>
      </c>
      <c r="X550" s="3">
        <v>45007.0</v>
      </c>
    </row>
    <row r="551">
      <c r="A551" s="1" t="s">
        <v>12773</v>
      </c>
      <c r="B551" s="1" t="s">
        <v>7465</v>
      </c>
      <c r="C551" s="1" t="s">
        <v>7465</v>
      </c>
      <c r="D551" s="1" t="s">
        <v>4293</v>
      </c>
      <c r="E551" s="1" t="s">
        <v>7467</v>
      </c>
      <c r="F551" s="1" t="s">
        <v>12778</v>
      </c>
      <c r="G551" s="3">
        <v>44799.0</v>
      </c>
      <c r="H551" s="3">
        <v>45007.0</v>
      </c>
      <c r="I551" s="3">
        <v>45007.0</v>
      </c>
      <c r="J551" s="1" t="s">
        <v>215</v>
      </c>
      <c r="K551" s="1" t="s">
        <v>160</v>
      </c>
      <c r="L551" s="1" t="s">
        <v>216</v>
      </c>
      <c r="M551" s="1" t="s">
        <v>131</v>
      </c>
      <c r="Q551" s="1" t="s">
        <v>137</v>
      </c>
      <c r="R551" s="1" t="s">
        <v>137</v>
      </c>
      <c r="S551" s="1" t="s">
        <v>47</v>
      </c>
      <c r="T551" s="1" t="s">
        <v>4301</v>
      </c>
      <c r="U551" s="1" t="s">
        <v>1577</v>
      </c>
      <c r="V551" s="1" t="s">
        <v>4950</v>
      </c>
      <c r="W551" s="3">
        <v>45007.0</v>
      </c>
      <c r="X551" s="3">
        <v>45007.0</v>
      </c>
    </row>
    <row r="552">
      <c r="A552" s="1" t="s">
        <v>12787</v>
      </c>
      <c r="B552" s="1" t="s">
        <v>7465</v>
      </c>
      <c r="C552" s="1" t="s">
        <v>7465</v>
      </c>
      <c r="D552" s="1" t="s">
        <v>4293</v>
      </c>
      <c r="E552" s="1" t="s">
        <v>7467</v>
      </c>
      <c r="F552" s="1" t="s">
        <v>12793</v>
      </c>
      <c r="G552" s="3">
        <v>44799.0</v>
      </c>
      <c r="H552" s="3">
        <v>45007.0</v>
      </c>
      <c r="I552" s="3">
        <v>45007.0</v>
      </c>
      <c r="J552" s="1" t="s">
        <v>215</v>
      </c>
      <c r="K552" s="1" t="s">
        <v>160</v>
      </c>
      <c r="L552" s="1" t="s">
        <v>216</v>
      </c>
      <c r="M552" s="1" t="s">
        <v>131</v>
      </c>
      <c r="Q552" s="1" t="s">
        <v>137</v>
      </c>
      <c r="R552" s="1" t="s">
        <v>137</v>
      </c>
      <c r="S552" s="1" t="s">
        <v>47</v>
      </c>
      <c r="T552" s="1" t="s">
        <v>4301</v>
      </c>
      <c r="U552" s="1" t="s">
        <v>1577</v>
      </c>
      <c r="V552" s="1" t="s">
        <v>5104</v>
      </c>
      <c r="W552" s="3">
        <v>45007.0</v>
      </c>
      <c r="X552" s="3">
        <v>45007.0</v>
      </c>
    </row>
    <row r="553">
      <c r="A553" s="1" t="s">
        <v>12803</v>
      </c>
      <c r="B553" s="1" t="s">
        <v>7465</v>
      </c>
      <c r="C553" s="1" t="s">
        <v>7465</v>
      </c>
      <c r="D553" s="1" t="s">
        <v>4293</v>
      </c>
      <c r="E553" s="1" t="s">
        <v>7467</v>
      </c>
      <c r="F553" s="1" t="s">
        <v>12808</v>
      </c>
      <c r="G553" s="3">
        <v>44799.0</v>
      </c>
      <c r="H553" s="3">
        <v>45007.0</v>
      </c>
      <c r="I553" s="3">
        <v>45007.0</v>
      </c>
      <c r="J553" s="1" t="s">
        <v>215</v>
      </c>
      <c r="K553" s="1" t="s">
        <v>160</v>
      </c>
      <c r="L553" s="1" t="s">
        <v>216</v>
      </c>
      <c r="M553" s="1" t="s">
        <v>131</v>
      </c>
      <c r="Q553" s="1" t="s">
        <v>137</v>
      </c>
      <c r="R553" s="1" t="s">
        <v>137</v>
      </c>
      <c r="S553" s="1" t="s">
        <v>47</v>
      </c>
      <c r="T553" s="1" t="s">
        <v>4301</v>
      </c>
      <c r="U553" s="1" t="s">
        <v>1577</v>
      </c>
      <c r="V553" s="1" t="s">
        <v>5120</v>
      </c>
      <c r="W553" s="3">
        <v>45007.0</v>
      </c>
      <c r="X553" s="3">
        <v>45007.0</v>
      </c>
    </row>
    <row r="554">
      <c r="A554" s="1" t="s">
        <v>12818</v>
      </c>
      <c r="B554" s="1" t="s">
        <v>6044</v>
      </c>
      <c r="C554" s="1" t="s">
        <v>6044</v>
      </c>
      <c r="D554" s="1" t="s">
        <v>4293</v>
      </c>
      <c r="E554" s="1" t="s">
        <v>12821</v>
      </c>
      <c r="F554" s="1" t="s">
        <v>12823</v>
      </c>
      <c r="G554" s="3">
        <v>44770.0</v>
      </c>
      <c r="H554" s="3"/>
      <c r="I554" s="3"/>
      <c r="J554" s="1" t="s">
        <v>124</v>
      </c>
      <c r="K554" s="1" t="s">
        <v>160</v>
      </c>
      <c r="L554" s="1" t="s">
        <v>253</v>
      </c>
      <c r="M554" s="1" t="s">
        <v>131</v>
      </c>
      <c r="Q554" s="1" t="s">
        <v>137</v>
      </c>
      <c r="R554" s="1" t="s">
        <v>137</v>
      </c>
      <c r="S554" s="1" t="s">
        <v>47</v>
      </c>
      <c r="T554" s="1" t="s">
        <v>4301</v>
      </c>
      <c r="U554" s="1" t="s">
        <v>1577</v>
      </c>
      <c r="V554" s="1" t="s">
        <v>4679</v>
      </c>
      <c r="W554" s="3"/>
      <c r="X554" s="3"/>
    </row>
    <row r="555">
      <c r="A555" s="1" t="s">
        <v>12832</v>
      </c>
      <c r="B555" s="1" t="s">
        <v>6044</v>
      </c>
      <c r="C555" s="1" t="s">
        <v>6044</v>
      </c>
      <c r="D555" s="1" t="s">
        <v>4293</v>
      </c>
      <c r="E555" s="1" t="s">
        <v>12821</v>
      </c>
      <c r="F555" s="1" t="s">
        <v>12837</v>
      </c>
      <c r="G555" s="3">
        <v>44770.0</v>
      </c>
      <c r="H555" s="3"/>
      <c r="I555" s="3"/>
      <c r="J555" s="1" t="s">
        <v>124</v>
      </c>
      <c r="K555" s="1" t="s">
        <v>160</v>
      </c>
      <c r="L555" s="1" t="s">
        <v>253</v>
      </c>
      <c r="M555" s="1" t="s">
        <v>131</v>
      </c>
      <c r="Q555" s="1" t="s">
        <v>137</v>
      </c>
      <c r="R555" s="1" t="s">
        <v>137</v>
      </c>
      <c r="S555" s="1" t="s">
        <v>47</v>
      </c>
      <c r="T555" s="1" t="s">
        <v>4301</v>
      </c>
      <c r="U555" s="1" t="s">
        <v>1577</v>
      </c>
      <c r="V555" s="1" t="s">
        <v>4950</v>
      </c>
      <c r="W555" s="3"/>
      <c r="X555" s="3"/>
    </row>
    <row r="556">
      <c r="A556" s="1" t="s">
        <v>12844</v>
      </c>
      <c r="B556" s="1" t="s">
        <v>6044</v>
      </c>
      <c r="C556" s="1" t="s">
        <v>6044</v>
      </c>
      <c r="D556" s="1" t="s">
        <v>4293</v>
      </c>
      <c r="E556" s="1" t="s">
        <v>12821</v>
      </c>
      <c r="F556" s="1" t="s">
        <v>12846</v>
      </c>
      <c r="G556" s="3">
        <v>44770.0</v>
      </c>
      <c r="H556" s="3"/>
      <c r="I556" s="3"/>
      <c r="J556" s="1" t="s">
        <v>124</v>
      </c>
      <c r="K556" s="1" t="s">
        <v>160</v>
      </c>
      <c r="L556" s="1" t="s">
        <v>253</v>
      </c>
      <c r="M556" s="1" t="s">
        <v>131</v>
      </c>
      <c r="Q556" s="1" t="s">
        <v>137</v>
      </c>
      <c r="R556" s="1" t="s">
        <v>137</v>
      </c>
      <c r="S556" s="1" t="s">
        <v>47</v>
      </c>
      <c r="T556" s="1" t="s">
        <v>4301</v>
      </c>
      <c r="U556" s="1" t="s">
        <v>1577</v>
      </c>
      <c r="V556" s="1" t="s">
        <v>5104</v>
      </c>
      <c r="W556" s="3"/>
      <c r="X556" s="3"/>
    </row>
    <row r="557">
      <c r="A557" s="1" t="s">
        <v>12856</v>
      </c>
      <c r="B557" s="1" t="s">
        <v>6044</v>
      </c>
      <c r="C557" s="1" t="s">
        <v>6044</v>
      </c>
      <c r="D557" s="1" t="s">
        <v>4293</v>
      </c>
      <c r="E557" s="1" t="s">
        <v>12821</v>
      </c>
      <c r="F557" s="1" t="s">
        <v>12858</v>
      </c>
      <c r="G557" s="3">
        <v>44770.0</v>
      </c>
      <c r="H557" s="3"/>
      <c r="I557" s="3"/>
      <c r="J557" s="1" t="s">
        <v>124</v>
      </c>
      <c r="K557" s="1" t="s">
        <v>160</v>
      </c>
      <c r="L557" s="1" t="s">
        <v>253</v>
      </c>
      <c r="M557" s="1" t="s">
        <v>131</v>
      </c>
      <c r="Q557" s="1" t="s">
        <v>137</v>
      </c>
      <c r="R557" s="1" t="s">
        <v>137</v>
      </c>
      <c r="S557" s="1" t="s">
        <v>47</v>
      </c>
      <c r="T557" s="1" t="s">
        <v>4301</v>
      </c>
      <c r="U557" s="1" t="s">
        <v>1577</v>
      </c>
      <c r="V557" s="1" t="s">
        <v>5120</v>
      </c>
      <c r="W557" s="3"/>
      <c r="X557" s="3"/>
    </row>
    <row r="558">
      <c r="A558" s="1" t="s">
        <v>12865</v>
      </c>
      <c r="B558" s="1" t="s">
        <v>7473</v>
      </c>
      <c r="C558" s="1" t="s">
        <v>7473</v>
      </c>
      <c r="D558" s="1" t="s">
        <v>4293</v>
      </c>
      <c r="E558" s="1" t="s">
        <v>7475</v>
      </c>
      <c r="F558" s="1" t="s">
        <v>12869</v>
      </c>
      <c r="G558" s="3">
        <v>43343.0</v>
      </c>
      <c r="H558" s="3">
        <v>43343.0</v>
      </c>
      <c r="I558" s="3">
        <v>43343.0</v>
      </c>
      <c r="J558" s="1" t="s">
        <v>215</v>
      </c>
      <c r="K558" s="1" t="s">
        <v>160</v>
      </c>
      <c r="L558" s="1" t="s">
        <v>216</v>
      </c>
      <c r="M558" s="1" t="s">
        <v>131</v>
      </c>
      <c r="Q558" s="1" t="s">
        <v>137</v>
      </c>
      <c r="R558" s="1" t="s">
        <v>137</v>
      </c>
      <c r="S558" s="1" t="s">
        <v>47</v>
      </c>
      <c r="T558" s="1" t="s">
        <v>4301</v>
      </c>
      <c r="U558" s="1" t="s">
        <v>1577</v>
      </c>
      <c r="V558" s="1" t="s">
        <v>3858</v>
      </c>
      <c r="W558" s="3">
        <v>43343.0</v>
      </c>
      <c r="X558" s="3">
        <v>43343.0</v>
      </c>
    </row>
    <row r="559">
      <c r="A559" s="1" t="s">
        <v>12877</v>
      </c>
      <c r="B559" s="1" t="s">
        <v>7473</v>
      </c>
      <c r="C559" s="1" t="s">
        <v>7473</v>
      </c>
      <c r="D559" s="1" t="s">
        <v>4293</v>
      </c>
      <c r="E559" s="1" t="s">
        <v>7475</v>
      </c>
      <c r="F559" s="1" t="s">
        <v>12881</v>
      </c>
      <c r="G559" s="3">
        <v>43343.0</v>
      </c>
      <c r="H559" s="3">
        <v>43343.0</v>
      </c>
      <c r="I559" s="3">
        <v>43343.0</v>
      </c>
      <c r="J559" s="1" t="s">
        <v>215</v>
      </c>
      <c r="K559" s="1" t="s">
        <v>160</v>
      </c>
      <c r="L559" s="1" t="s">
        <v>216</v>
      </c>
      <c r="M559" s="1" t="s">
        <v>131</v>
      </c>
      <c r="Q559" s="1" t="s">
        <v>137</v>
      </c>
      <c r="R559" s="1" t="s">
        <v>137</v>
      </c>
      <c r="S559" s="1" t="s">
        <v>47</v>
      </c>
      <c r="T559" s="1" t="s">
        <v>4301</v>
      </c>
      <c r="U559" s="1" t="s">
        <v>1577</v>
      </c>
      <c r="V559" s="1" t="s">
        <v>4950</v>
      </c>
      <c r="W559" s="3">
        <v>43343.0</v>
      </c>
      <c r="X559" s="3">
        <v>43343.0</v>
      </c>
    </row>
    <row r="560">
      <c r="A560" s="1" t="s">
        <v>12892</v>
      </c>
      <c r="B560" s="1" t="s">
        <v>7481</v>
      </c>
      <c r="C560" s="1" t="s">
        <v>7481</v>
      </c>
      <c r="D560" s="1" t="s">
        <v>4293</v>
      </c>
      <c r="E560" s="1" t="s">
        <v>7482</v>
      </c>
      <c r="F560" s="1" t="s">
        <v>12896</v>
      </c>
      <c r="G560" s="3">
        <v>44372.0</v>
      </c>
      <c r="H560" s="3">
        <v>44372.0</v>
      </c>
      <c r="I560" s="3">
        <v>44372.0</v>
      </c>
      <c r="J560" s="1" t="s">
        <v>215</v>
      </c>
      <c r="K560" s="1" t="s">
        <v>160</v>
      </c>
      <c r="L560" s="1" t="s">
        <v>216</v>
      </c>
      <c r="M560" s="1" t="s">
        <v>131</v>
      </c>
      <c r="Q560" s="1" t="s">
        <v>137</v>
      </c>
      <c r="R560" s="1" t="s">
        <v>137</v>
      </c>
      <c r="S560" s="1" t="s">
        <v>47</v>
      </c>
      <c r="T560" s="1" t="s">
        <v>4301</v>
      </c>
      <c r="U560" s="1" t="s">
        <v>1577</v>
      </c>
      <c r="V560" s="1" t="s">
        <v>4950</v>
      </c>
      <c r="W560" s="3">
        <v>44372.0</v>
      </c>
      <c r="X560" s="3">
        <v>44372.0</v>
      </c>
    </row>
    <row r="561">
      <c r="A561" s="1" t="s">
        <v>12903</v>
      </c>
      <c r="B561" s="1" t="s">
        <v>6054</v>
      </c>
      <c r="C561" s="1" t="s">
        <v>6054</v>
      </c>
      <c r="D561" s="1" t="s">
        <v>4293</v>
      </c>
      <c r="E561" s="1" t="s">
        <v>7493</v>
      </c>
      <c r="F561" s="1" t="s">
        <v>12908</v>
      </c>
      <c r="G561" s="3">
        <v>45140.0</v>
      </c>
      <c r="H561" s="3">
        <v>45148.0</v>
      </c>
      <c r="I561" s="3">
        <v>45148.0</v>
      </c>
      <c r="J561" s="1" t="s">
        <v>215</v>
      </c>
      <c r="K561" s="1" t="s">
        <v>160</v>
      </c>
      <c r="L561" s="1" t="s">
        <v>216</v>
      </c>
      <c r="M561" s="1" t="s">
        <v>131</v>
      </c>
      <c r="Q561" s="1" t="s">
        <v>137</v>
      </c>
      <c r="R561" s="1" t="s">
        <v>137</v>
      </c>
      <c r="S561" s="1" t="s">
        <v>47</v>
      </c>
      <c r="T561" s="1" t="s">
        <v>4301</v>
      </c>
      <c r="U561" s="1" t="s">
        <v>1577</v>
      </c>
      <c r="V561" s="1" t="s">
        <v>4679</v>
      </c>
      <c r="W561" s="3">
        <v>45148.0</v>
      </c>
      <c r="X561" s="3">
        <v>45148.0</v>
      </c>
    </row>
    <row r="562">
      <c r="A562" s="1" t="s">
        <v>12918</v>
      </c>
      <c r="B562" s="1" t="s">
        <v>6054</v>
      </c>
      <c r="C562" s="1" t="s">
        <v>6054</v>
      </c>
      <c r="D562" s="1" t="s">
        <v>4293</v>
      </c>
      <c r="E562" s="1" t="s">
        <v>7493</v>
      </c>
      <c r="F562" s="1" t="s">
        <v>12923</v>
      </c>
      <c r="G562" s="3">
        <v>45140.0</v>
      </c>
      <c r="H562" s="3">
        <v>45148.0</v>
      </c>
      <c r="I562" s="3">
        <v>45148.0</v>
      </c>
      <c r="J562" s="1" t="s">
        <v>215</v>
      </c>
      <c r="K562" s="1" t="s">
        <v>160</v>
      </c>
      <c r="L562" s="1" t="s">
        <v>216</v>
      </c>
      <c r="M562" s="1" t="s">
        <v>131</v>
      </c>
      <c r="Q562" s="1" t="s">
        <v>137</v>
      </c>
      <c r="R562" s="1" t="s">
        <v>137</v>
      </c>
      <c r="S562" s="1" t="s">
        <v>47</v>
      </c>
      <c r="T562" s="1" t="s">
        <v>4301</v>
      </c>
      <c r="U562" s="1" t="s">
        <v>1577</v>
      </c>
      <c r="V562" s="1" t="s">
        <v>4950</v>
      </c>
      <c r="W562" s="3">
        <v>45148.0</v>
      </c>
      <c r="X562" s="3">
        <v>45148.0</v>
      </c>
    </row>
    <row r="563">
      <c r="A563" s="1" t="s">
        <v>12934</v>
      </c>
      <c r="B563" s="1" t="s">
        <v>6054</v>
      </c>
      <c r="C563" s="1" t="s">
        <v>6054</v>
      </c>
      <c r="D563" s="1" t="s">
        <v>4293</v>
      </c>
      <c r="E563" s="1" t="s">
        <v>7493</v>
      </c>
      <c r="F563" s="1" t="s">
        <v>12936</v>
      </c>
      <c r="G563" s="3">
        <v>45140.0</v>
      </c>
      <c r="H563" s="3">
        <v>45148.0</v>
      </c>
      <c r="I563" s="3">
        <v>45148.0</v>
      </c>
      <c r="J563" s="1" t="s">
        <v>215</v>
      </c>
      <c r="K563" s="1" t="s">
        <v>160</v>
      </c>
      <c r="L563" s="1" t="s">
        <v>216</v>
      </c>
      <c r="M563" s="1" t="s">
        <v>131</v>
      </c>
      <c r="Q563" s="1" t="s">
        <v>137</v>
      </c>
      <c r="R563" s="1" t="s">
        <v>137</v>
      </c>
      <c r="S563" s="1" t="s">
        <v>47</v>
      </c>
      <c r="T563" s="1" t="s">
        <v>4301</v>
      </c>
      <c r="U563" s="1" t="s">
        <v>1577</v>
      </c>
      <c r="V563" s="1" t="s">
        <v>5104</v>
      </c>
      <c r="W563" s="3">
        <v>45148.0</v>
      </c>
      <c r="X563" s="3">
        <v>45148.0</v>
      </c>
    </row>
    <row r="564">
      <c r="A564" s="1" t="s">
        <v>12944</v>
      </c>
      <c r="B564" s="1" t="s">
        <v>6054</v>
      </c>
      <c r="C564" s="1" t="s">
        <v>6054</v>
      </c>
      <c r="D564" s="1" t="s">
        <v>4293</v>
      </c>
      <c r="E564" s="1" t="s">
        <v>7493</v>
      </c>
      <c r="F564" s="1" t="s">
        <v>12956</v>
      </c>
      <c r="G564" s="3">
        <v>45140.0</v>
      </c>
      <c r="H564" s="3">
        <v>45148.0</v>
      </c>
      <c r="I564" s="3">
        <v>45148.0</v>
      </c>
      <c r="J564" s="1" t="s">
        <v>215</v>
      </c>
      <c r="K564" s="1" t="s">
        <v>160</v>
      </c>
      <c r="L564" s="1" t="s">
        <v>216</v>
      </c>
      <c r="M564" s="1" t="s">
        <v>131</v>
      </c>
      <c r="Q564" s="1" t="s">
        <v>137</v>
      </c>
      <c r="R564" s="1" t="s">
        <v>137</v>
      </c>
      <c r="S564" s="1" t="s">
        <v>47</v>
      </c>
      <c r="T564" s="1" t="s">
        <v>4301</v>
      </c>
      <c r="U564" s="1" t="s">
        <v>1577</v>
      </c>
      <c r="V564" s="1" t="s">
        <v>5120</v>
      </c>
      <c r="W564" s="3">
        <v>45148.0</v>
      </c>
      <c r="X564" s="3">
        <v>45148.0</v>
      </c>
    </row>
    <row r="565">
      <c r="A565" s="1" t="s">
        <v>12967</v>
      </c>
      <c r="B565" s="1" t="s">
        <v>7500</v>
      </c>
      <c r="C565" s="1" t="s">
        <v>7500</v>
      </c>
      <c r="D565" s="1" t="s">
        <v>4293</v>
      </c>
      <c r="E565" s="1" t="s">
        <v>7502</v>
      </c>
      <c r="F565" s="1" t="s">
        <v>12972</v>
      </c>
      <c r="G565" s="3">
        <v>44284.0</v>
      </c>
      <c r="H565" s="3">
        <v>44383.0</v>
      </c>
      <c r="I565" s="3">
        <v>44383.0</v>
      </c>
      <c r="J565" s="1" t="s">
        <v>215</v>
      </c>
      <c r="K565" s="1" t="s">
        <v>160</v>
      </c>
      <c r="L565" s="1" t="s">
        <v>216</v>
      </c>
      <c r="M565" s="1" t="s">
        <v>131</v>
      </c>
      <c r="Q565" s="1" t="s">
        <v>137</v>
      </c>
      <c r="R565" s="1" t="s">
        <v>137</v>
      </c>
      <c r="S565" s="1" t="s">
        <v>47</v>
      </c>
      <c r="T565" s="1" t="s">
        <v>4301</v>
      </c>
      <c r="U565" s="1" t="s">
        <v>1577</v>
      </c>
      <c r="V565" s="1" t="s">
        <v>3858</v>
      </c>
      <c r="W565" s="3">
        <v>44383.0</v>
      </c>
      <c r="X565" s="3">
        <v>44383.0</v>
      </c>
    </row>
    <row r="566">
      <c r="A566" s="1" t="s">
        <v>12983</v>
      </c>
      <c r="B566" s="1" t="s">
        <v>7500</v>
      </c>
      <c r="C566" s="1" t="s">
        <v>7500</v>
      </c>
      <c r="D566" s="1" t="s">
        <v>4293</v>
      </c>
      <c r="E566" s="1" t="s">
        <v>7502</v>
      </c>
      <c r="F566" s="1" t="s">
        <v>12988</v>
      </c>
      <c r="G566" s="3">
        <v>44284.0</v>
      </c>
      <c r="H566" s="3">
        <v>44383.0</v>
      </c>
      <c r="I566" s="3">
        <v>44383.0</v>
      </c>
      <c r="J566" s="1" t="s">
        <v>215</v>
      </c>
      <c r="K566" s="1" t="s">
        <v>160</v>
      </c>
      <c r="L566" s="1" t="s">
        <v>216</v>
      </c>
      <c r="M566" s="1" t="s">
        <v>131</v>
      </c>
      <c r="Q566" s="1" t="s">
        <v>137</v>
      </c>
      <c r="R566" s="1" t="s">
        <v>137</v>
      </c>
      <c r="S566" s="1" t="s">
        <v>47</v>
      </c>
      <c r="T566" s="1" t="s">
        <v>4301</v>
      </c>
      <c r="U566" s="1" t="s">
        <v>1577</v>
      </c>
      <c r="V566" s="1" t="s">
        <v>4950</v>
      </c>
      <c r="W566" s="3">
        <v>44383.0</v>
      </c>
      <c r="X566" s="3">
        <v>44383.0</v>
      </c>
    </row>
    <row r="567">
      <c r="A567" s="1" t="s">
        <v>12998</v>
      </c>
      <c r="B567" s="1" t="s">
        <v>7509</v>
      </c>
      <c r="C567" s="1" t="s">
        <v>7509</v>
      </c>
      <c r="D567" s="1" t="s">
        <v>4293</v>
      </c>
      <c r="E567" s="1" t="s">
        <v>7510</v>
      </c>
      <c r="F567" s="1" t="s">
        <v>13002</v>
      </c>
      <c r="G567" s="3">
        <v>44440.0</v>
      </c>
      <c r="H567" s="3">
        <v>44440.0</v>
      </c>
      <c r="I567" s="3">
        <v>44440.0</v>
      </c>
      <c r="J567" s="1" t="s">
        <v>215</v>
      </c>
      <c r="K567" s="1" t="s">
        <v>160</v>
      </c>
      <c r="L567" s="1" t="s">
        <v>216</v>
      </c>
      <c r="M567" s="1" t="s">
        <v>131</v>
      </c>
      <c r="Q567" s="1" t="s">
        <v>137</v>
      </c>
      <c r="R567" s="1" t="s">
        <v>137</v>
      </c>
      <c r="S567" s="1" t="s">
        <v>47</v>
      </c>
      <c r="T567" s="1" t="s">
        <v>4301</v>
      </c>
      <c r="U567" s="1" t="s">
        <v>1577</v>
      </c>
      <c r="V567" s="1" t="s">
        <v>4950</v>
      </c>
      <c r="W567" s="3">
        <v>44440.0</v>
      </c>
      <c r="X567" s="3">
        <v>44440.0</v>
      </c>
    </row>
    <row r="568">
      <c r="A568" s="1" t="s">
        <v>13016</v>
      </c>
      <c r="B568" s="1" t="s">
        <v>13018</v>
      </c>
      <c r="C568" s="1" t="s">
        <v>13018</v>
      </c>
      <c r="D568" s="1" t="s">
        <v>4293</v>
      </c>
      <c r="E568" s="1" t="s">
        <v>13020</v>
      </c>
      <c r="F568" s="1" t="s">
        <v>13021</v>
      </c>
      <c r="G568" s="3">
        <v>45847.0</v>
      </c>
      <c r="H568" s="3"/>
      <c r="I568" s="3"/>
      <c r="J568" s="1" t="s">
        <v>124</v>
      </c>
      <c r="K568" s="1" t="s">
        <v>160</v>
      </c>
      <c r="L568" s="1" t="s">
        <v>253</v>
      </c>
      <c r="M568" s="1" t="s">
        <v>131</v>
      </c>
      <c r="Q568" s="1" t="s">
        <v>137</v>
      </c>
      <c r="R568" s="1" t="s">
        <v>137</v>
      </c>
      <c r="S568" s="1" t="s">
        <v>47</v>
      </c>
      <c r="T568" s="1" t="s">
        <v>4301</v>
      </c>
      <c r="U568" s="1" t="s">
        <v>1577</v>
      </c>
      <c r="V568" s="1" t="s">
        <v>3858</v>
      </c>
      <c r="W568" s="3"/>
      <c r="X568" s="3"/>
    </row>
    <row r="569">
      <c r="A569" s="1" t="s">
        <v>13030</v>
      </c>
      <c r="B569" s="1" t="s">
        <v>13018</v>
      </c>
      <c r="C569" s="1" t="s">
        <v>13018</v>
      </c>
      <c r="D569" s="1" t="s">
        <v>4293</v>
      </c>
      <c r="E569" s="1" t="s">
        <v>13020</v>
      </c>
      <c r="F569" s="1" t="s">
        <v>13032</v>
      </c>
      <c r="G569" s="3">
        <v>45847.0</v>
      </c>
      <c r="H569" s="3"/>
      <c r="I569" s="3"/>
      <c r="J569" s="1" t="s">
        <v>124</v>
      </c>
      <c r="K569" s="1" t="s">
        <v>160</v>
      </c>
      <c r="L569" s="1" t="s">
        <v>253</v>
      </c>
      <c r="M569" s="1" t="s">
        <v>131</v>
      </c>
      <c r="Q569" s="1" t="s">
        <v>137</v>
      </c>
      <c r="R569" s="1" t="s">
        <v>137</v>
      </c>
      <c r="S569" s="1" t="s">
        <v>47</v>
      </c>
      <c r="T569" s="1" t="s">
        <v>4301</v>
      </c>
      <c r="U569" s="1" t="s">
        <v>1577</v>
      </c>
      <c r="V569" s="1" t="s">
        <v>4950</v>
      </c>
      <c r="W569" s="3"/>
      <c r="X569" s="3"/>
    </row>
    <row r="570">
      <c r="A570" s="1" t="s">
        <v>13038</v>
      </c>
      <c r="B570" s="1" t="s">
        <v>7521</v>
      </c>
      <c r="C570" s="1" t="s">
        <v>7521</v>
      </c>
      <c r="D570" s="1" t="s">
        <v>4293</v>
      </c>
      <c r="E570" s="1" t="s">
        <v>7522</v>
      </c>
      <c r="F570" s="1" t="s">
        <v>13041</v>
      </c>
      <c r="G570" s="3">
        <v>45587.0</v>
      </c>
      <c r="H570" s="3">
        <v>45791.0</v>
      </c>
      <c r="I570" s="3">
        <v>45791.0</v>
      </c>
      <c r="J570" s="1" t="s">
        <v>215</v>
      </c>
      <c r="K570" s="1" t="s">
        <v>160</v>
      </c>
      <c r="L570" s="1" t="s">
        <v>216</v>
      </c>
      <c r="M570" s="1" t="s">
        <v>131</v>
      </c>
      <c r="Q570" s="1" t="s">
        <v>137</v>
      </c>
      <c r="R570" s="1" t="s">
        <v>137</v>
      </c>
      <c r="S570" s="1" t="s">
        <v>47</v>
      </c>
      <c r="T570" s="1" t="s">
        <v>4301</v>
      </c>
      <c r="U570" s="1" t="s">
        <v>1577</v>
      </c>
      <c r="V570" s="1" t="s">
        <v>4679</v>
      </c>
      <c r="W570" s="3">
        <v>45791.0</v>
      </c>
      <c r="X570" s="3">
        <v>45791.0</v>
      </c>
    </row>
    <row r="571">
      <c r="A571" s="1" t="s">
        <v>13047</v>
      </c>
      <c r="B571" s="1" t="s">
        <v>7521</v>
      </c>
      <c r="C571" s="1" t="s">
        <v>7521</v>
      </c>
      <c r="D571" s="1" t="s">
        <v>4293</v>
      </c>
      <c r="E571" s="1" t="s">
        <v>7522</v>
      </c>
      <c r="F571" s="1" t="s">
        <v>13049</v>
      </c>
      <c r="G571" s="3">
        <v>45587.0</v>
      </c>
      <c r="H571" s="3">
        <v>45791.0</v>
      </c>
      <c r="I571" s="3">
        <v>45791.0</v>
      </c>
      <c r="J571" s="1" t="s">
        <v>215</v>
      </c>
      <c r="K571" s="1" t="s">
        <v>160</v>
      </c>
      <c r="L571" s="1" t="s">
        <v>216</v>
      </c>
      <c r="M571" s="1" t="s">
        <v>131</v>
      </c>
      <c r="Q571" s="1" t="s">
        <v>137</v>
      </c>
      <c r="R571" s="1" t="s">
        <v>137</v>
      </c>
      <c r="S571" s="1" t="s">
        <v>47</v>
      </c>
      <c r="T571" s="1" t="s">
        <v>4301</v>
      </c>
      <c r="U571" s="1" t="s">
        <v>1577</v>
      </c>
      <c r="V571" s="1" t="s">
        <v>4950</v>
      </c>
      <c r="W571" s="3">
        <v>45791.0</v>
      </c>
      <c r="X571" s="3">
        <v>45791.0</v>
      </c>
    </row>
    <row r="572">
      <c r="A572" s="1" t="s">
        <v>13056</v>
      </c>
      <c r="B572" s="1" t="s">
        <v>7521</v>
      </c>
      <c r="C572" s="1" t="s">
        <v>7521</v>
      </c>
      <c r="D572" s="1" t="s">
        <v>4293</v>
      </c>
      <c r="E572" s="1" t="s">
        <v>7522</v>
      </c>
      <c r="F572" s="1" t="s">
        <v>13057</v>
      </c>
      <c r="G572" s="3">
        <v>45587.0</v>
      </c>
      <c r="H572" s="3">
        <v>45791.0</v>
      </c>
      <c r="I572" s="3">
        <v>45791.0</v>
      </c>
      <c r="J572" s="1" t="s">
        <v>215</v>
      </c>
      <c r="K572" s="1" t="s">
        <v>160</v>
      </c>
      <c r="L572" s="1" t="s">
        <v>216</v>
      </c>
      <c r="M572" s="1" t="s">
        <v>131</v>
      </c>
      <c r="Q572" s="1" t="s">
        <v>137</v>
      </c>
      <c r="R572" s="1" t="s">
        <v>137</v>
      </c>
      <c r="S572" s="1" t="s">
        <v>47</v>
      </c>
      <c r="T572" s="1" t="s">
        <v>4301</v>
      </c>
      <c r="U572" s="1" t="s">
        <v>1577</v>
      </c>
      <c r="V572" s="1" t="s">
        <v>5104</v>
      </c>
      <c r="W572" s="3">
        <v>45791.0</v>
      </c>
      <c r="X572" s="3">
        <v>45791.0</v>
      </c>
    </row>
    <row r="573">
      <c r="A573" s="1" t="s">
        <v>13063</v>
      </c>
      <c r="B573" s="1" t="s">
        <v>7521</v>
      </c>
      <c r="C573" s="1" t="s">
        <v>7521</v>
      </c>
      <c r="D573" s="1" t="s">
        <v>4293</v>
      </c>
      <c r="E573" s="1" t="s">
        <v>7522</v>
      </c>
      <c r="F573" s="1" t="s">
        <v>13067</v>
      </c>
      <c r="G573" s="3">
        <v>45587.0</v>
      </c>
      <c r="H573" s="3">
        <v>45791.0</v>
      </c>
      <c r="I573" s="3">
        <v>45791.0</v>
      </c>
      <c r="J573" s="1" t="s">
        <v>215</v>
      </c>
      <c r="K573" s="1" t="s">
        <v>160</v>
      </c>
      <c r="L573" s="1" t="s">
        <v>216</v>
      </c>
      <c r="M573" s="1" t="s">
        <v>131</v>
      </c>
      <c r="Q573" s="1" t="s">
        <v>137</v>
      </c>
      <c r="R573" s="1" t="s">
        <v>137</v>
      </c>
      <c r="S573" s="1" t="s">
        <v>47</v>
      </c>
      <c r="T573" s="1" t="s">
        <v>4301</v>
      </c>
      <c r="U573" s="1" t="s">
        <v>1577</v>
      </c>
      <c r="V573" s="1" t="s">
        <v>5120</v>
      </c>
      <c r="W573" s="3">
        <v>45791.0</v>
      </c>
      <c r="X573" s="3">
        <v>45791.0</v>
      </c>
    </row>
    <row r="574">
      <c r="A574" s="1" t="s">
        <v>13076</v>
      </c>
      <c r="B574" s="1" t="s">
        <v>7179</v>
      </c>
      <c r="C574" s="1" t="s">
        <v>7179</v>
      </c>
      <c r="D574" s="1" t="s">
        <v>4293</v>
      </c>
      <c r="E574" s="1" t="s">
        <v>7527</v>
      </c>
      <c r="F574" s="1" t="s">
        <v>13081</v>
      </c>
      <c r="G574" s="3">
        <v>45044.0</v>
      </c>
      <c r="H574" s="3">
        <v>45453.0</v>
      </c>
      <c r="I574" s="3">
        <v>45453.0</v>
      </c>
      <c r="J574" s="1" t="s">
        <v>215</v>
      </c>
      <c r="K574" s="1" t="s">
        <v>160</v>
      </c>
      <c r="L574" s="1" t="s">
        <v>216</v>
      </c>
      <c r="M574" s="1" t="s">
        <v>131</v>
      </c>
      <c r="Q574" s="1" t="s">
        <v>137</v>
      </c>
      <c r="R574" s="1" t="s">
        <v>137</v>
      </c>
      <c r="S574" s="1" t="s">
        <v>47</v>
      </c>
      <c r="T574" s="1" t="s">
        <v>4301</v>
      </c>
      <c r="U574" s="1" t="s">
        <v>1577</v>
      </c>
      <c r="V574" s="1" t="s">
        <v>3858</v>
      </c>
      <c r="W574" s="3">
        <v>45453.0</v>
      </c>
      <c r="X574" s="3">
        <v>45453.0</v>
      </c>
    </row>
    <row r="575">
      <c r="A575" s="1" t="s">
        <v>13088</v>
      </c>
      <c r="B575" s="1" t="s">
        <v>7179</v>
      </c>
      <c r="C575" s="1" t="s">
        <v>7179</v>
      </c>
      <c r="D575" s="1" t="s">
        <v>4293</v>
      </c>
      <c r="E575" s="1" t="s">
        <v>7527</v>
      </c>
      <c r="F575" s="1" t="s">
        <v>13091</v>
      </c>
      <c r="G575" s="3">
        <v>45044.0</v>
      </c>
      <c r="H575" s="3">
        <v>45453.0</v>
      </c>
      <c r="I575" s="3">
        <v>45453.0</v>
      </c>
      <c r="J575" s="1" t="s">
        <v>215</v>
      </c>
      <c r="K575" s="1" t="s">
        <v>160</v>
      </c>
      <c r="L575" s="1" t="s">
        <v>216</v>
      </c>
      <c r="M575" s="1" t="s">
        <v>131</v>
      </c>
      <c r="Q575" s="1" t="s">
        <v>137</v>
      </c>
      <c r="R575" s="1" t="s">
        <v>137</v>
      </c>
      <c r="S575" s="1" t="s">
        <v>47</v>
      </c>
      <c r="T575" s="1" t="s">
        <v>4301</v>
      </c>
      <c r="U575" s="1" t="s">
        <v>1577</v>
      </c>
      <c r="V575" s="1" t="s">
        <v>3865</v>
      </c>
      <c r="W575" s="3">
        <v>45453.0</v>
      </c>
      <c r="X575" s="3">
        <v>45453.0</v>
      </c>
    </row>
    <row r="576">
      <c r="A576" s="1" t="s">
        <v>13096</v>
      </c>
      <c r="B576" s="1" t="s">
        <v>7538</v>
      </c>
      <c r="C576" s="1" t="s">
        <v>7538</v>
      </c>
      <c r="D576" s="1" t="s">
        <v>4293</v>
      </c>
      <c r="E576" s="1" t="s">
        <v>7540</v>
      </c>
      <c r="F576" s="1" t="s">
        <v>13097</v>
      </c>
      <c r="G576" s="3">
        <v>44449.0</v>
      </c>
      <c r="H576" s="3">
        <v>44763.0</v>
      </c>
      <c r="I576" s="3">
        <v>44763.0</v>
      </c>
      <c r="J576" s="1" t="s">
        <v>215</v>
      </c>
      <c r="K576" s="1" t="s">
        <v>160</v>
      </c>
      <c r="L576" s="1" t="s">
        <v>216</v>
      </c>
      <c r="M576" s="1" t="s">
        <v>131</v>
      </c>
      <c r="Q576" s="1" t="s">
        <v>137</v>
      </c>
      <c r="R576" s="1" t="s">
        <v>137</v>
      </c>
      <c r="S576" s="1" t="s">
        <v>47</v>
      </c>
      <c r="T576" s="1" t="s">
        <v>4301</v>
      </c>
      <c r="U576" s="1" t="s">
        <v>1577</v>
      </c>
      <c r="V576" s="1" t="s">
        <v>3858</v>
      </c>
      <c r="W576" s="3">
        <v>44763.0</v>
      </c>
      <c r="X576" s="3">
        <v>44763.0</v>
      </c>
    </row>
    <row r="577">
      <c r="A577" s="1" t="s">
        <v>13102</v>
      </c>
      <c r="B577" s="1" t="s">
        <v>7547</v>
      </c>
      <c r="C577" s="1" t="s">
        <v>7547</v>
      </c>
      <c r="D577" s="1" t="s">
        <v>4293</v>
      </c>
      <c r="E577" s="1" t="s">
        <v>7550</v>
      </c>
      <c r="F577" s="1" t="s">
        <v>13107</v>
      </c>
      <c r="G577" s="3">
        <v>42803.0</v>
      </c>
      <c r="H577" s="3">
        <v>42851.0</v>
      </c>
      <c r="I577" s="3">
        <v>42851.0</v>
      </c>
      <c r="J577" s="1" t="s">
        <v>215</v>
      </c>
      <c r="K577" s="1" t="s">
        <v>160</v>
      </c>
      <c r="L577" s="1" t="s">
        <v>216</v>
      </c>
      <c r="M577" s="1" t="s">
        <v>131</v>
      </c>
      <c r="Q577" s="1" t="s">
        <v>137</v>
      </c>
      <c r="R577" s="1" t="s">
        <v>137</v>
      </c>
      <c r="S577" s="1" t="s">
        <v>47</v>
      </c>
      <c r="T577" s="1" t="s">
        <v>4301</v>
      </c>
      <c r="U577" s="1" t="s">
        <v>1577</v>
      </c>
      <c r="V577" s="1" t="s">
        <v>3858</v>
      </c>
      <c r="W577" s="3">
        <v>42851.0</v>
      </c>
      <c r="X577" s="3">
        <v>42851.0</v>
      </c>
    </row>
    <row r="578">
      <c r="A578" s="1" t="s">
        <v>13119</v>
      </c>
      <c r="B578" s="1" t="s">
        <v>7559</v>
      </c>
      <c r="C578" s="1" t="s">
        <v>7559</v>
      </c>
      <c r="D578" s="1" t="s">
        <v>4293</v>
      </c>
      <c r="E578" s="1" t="s">
        <v>7561</v>
      </c>
      <c r="F578" s="1" t="s">
        <v>13124</v>
      </c>
      <c r="G578" s="3">
        <v>44539.0</v>
      </c>
      <c r="H578" s="3">
        <v>44886.0</v>
      </c>
      <c r="I578" s="3">
        <v>44886.0</v>
      </c>
      <c r="J578" s="1" t="s">
        <v>215</v>
      </c>
      <c r="K578" s="1" t="s">
        <v>160</v>
      </c>
      <c r="L578" s="1" t="s">
        <v>216</v>
      </c>
      <c r="M578" s="1" t="s">
        <v>131</v>
      </c>
      <c r="Q578" s="1" t="s">
        <v>137</v>
      </c>
      <c r="R578" s="1" t="s">
        <v>137</v>
      </c>
      <c r="S578" s="1" t="s">
        <v>47</v>
      </c>
      <c r="T578" s="1" t="s">
        <v>4301</v>
      </c>
      <c r="U578" s="1" t="s">
        <v>1577</v>
      </c>
      <c r="V578" s="1" t="s">
        <v>3858</v>
      </c>
      <c r="W578" s="3">
        <v>44886.0</v>
      </c>
      <c r="X578" s="3">
        <v>44886.0</v>
      </c>
    </row>
    <row r="579">
      <c r="A579" s="1" t="s">
        <v>13129</v>
      </c>
      <c r="B579" s="1" t="s">
        <v>7568</v>
      </c>
      <c r="C579" s="1" t="s">
        <v>7568</v>
      </c>
      <c r="D579" s="1" t="s">
        <v>4293</v>
      </c>
      <c r="E579" s="1" t="s">
        <v>7569</v>
      </c>
      <c r="F579" s="1" t="s">
        <v>13133</v>
      </c>
      <c r="G579" s="3">
        <v>45650.0</v>
      </c>
      <c r="H579" s="3">
        <v>45945.0</v>
      </c>
      <c r="I579" s="3">
        <v>45945.0</v>
      </c>
      <c r="J579" s="1" t="s">
        <v>215</v>
      </c>
      <c r="K579" s="1" t="s">
        <v>160</v>
      </c>
      <c r="L579" s="1" t="s">
        <v>216</v>
      </c>
      <c r="M579" s="1" t="s">
        <v>131</v>
      </c>
      <c r="Q579" s="1" t="s">
        <v>137</v>
      </c>
      <c r="R579" s="1" t="s">
        <v>137</v>
      </c>
      <c r="S579" s="1" t="s">
        <v>47</v>
      </c>
      <c r="T579" s="1" t="s">
        <v>4301</v>
      </c>
      <c r="U579" s="1" t="s">
        <v>1577</v>
      </c>
      <c r="V579" s="1" t="s">
        <v>4679</v>
      </c>
      <c r="W579" s="3">
        <v>45945.0</v>
      </c>
      <c r="X579" s="3">
        <v>45945.0</v>
      </c>
    </row>
    <row r="580">
      <c r="A580" s="1" t="s">
        <v>13143</v>
      </c>
      <c r="B580" s="1" t="s">
        <v>7568</v>
      </c>
      <c r="C580" s="1" t="s">
        <v>7568</v>
      </c>
      <c r="D580" s="1" t="s">
        <v>4293</v>
      </c>
      <c r="E580" s="1" t="s">
        <v>7569</v>
      </c>
      <c r="F580" s="1" t="s">
        <v>13145</v>
      </c>
      <c r="G580" s="3">
        <v>45650.0</v>
      </c>
      <c r="H580" s="3">
        <v>45945.0</v>
      </c>
      <c r="I580" s="3">
        <v>45945.0</v>
      </c>
      <c r="J580" s="1" t="s">
        <v>215</v>
      </c>
      <c r="K580" s="1" t="s">
        <v>160</v>
      </c>
      <c r="L580" s="1" t="s">
        <v>216</v>
      </c>
      <c r="M580" s="1" t="s">
        <v>131</v>
      </c>
      <c r="Q580" s="1" t="s">
        <v>137</v>
      </c>
      <c r="R580" s="1" t="s">
        <v>137</v>
      </c>
      <c r="S580" s="1" t="s">
        <v>47</v>
      </c>
      <c r="T580" s="1" t="s">
        <v>4301</v>
      </c>
      <c r="U580" s="1" t="s">
        <v>1577</v>
      </c>
      <c r="V580" s="1" t="s">
        <v>4950</v>
      </c>
      <c r="W580" s="3">
        <v>45945.0</v>
      </c>
      <c r="X580" s="3">
        <v>45945.0</v>
      </c>
    </row>
    <row r="581">
      <c r="A581" s="1" t="s">
        <v>13154</v>
      </c>
      <c r="B581" s="1" t="s">
        <v>7568</v>
      </c>
      <c r="C581" s="1" t="s">
        <v>7568</v>
      </c>
      <c r="D581" s="1" t="s">
        <v>4293</v>
      </c>
      <c r="E581" s="1" t="s">
        <v>7569</v>
      </c>
      <c r="F581" s="1" t="s">
        <v>13160</v>
      </c>
      <c r="G581" s="3">
        <v>45650.0</v>
      </c>
      <c r="H581" s="3">
        <v>45945.0</v>
      </c>
      <c r="I581" s="3">
        <v>45945.0</v>
      </c>
      <c r="J581" s="1" t="s">
        <v>215</v>
      </c>
      <c r="K581" s="1" t="s">
        <v>160</v>
      </c>
      <c r="L581" s="1" t="s">
        <v>216</v>
      </c>
      <c r="M581" s="1" t="s">
        <v>131</v>
      </c>
      <c r="Q581" s="1" t="s">
        <v>137</v>
      </c>
      <c r="R581" s="1" t="s">
        <v>137</v>
      </c>
      <c r="S581" s="1" t="s">
        <v>47</v>
      </c>
      <c r="T581" s="1" t="s">
        <v>4301</v>
      </c>
      <c r="U581" s="1" t="s">
        <v>1577</v>
      </c>
      <c r="V581" s="1" t="s">
        <v>5104</v>
      </c>
      <c r="W581" s="3">
        <v>45945.0</v>
      </c>
      <c r="X581" s="3">
        <v>45945.0</v>
      </c>
    </row>
    <row r="582">
      <c r="A582" s="1" t="s">
        <v>13169</v>
      </c>
      <c r="B582" s="1" t="s">
        <v>7568</v>
      </c>
      <c r="C582" s="1" t="s">
        <v>7568</v>
      </c>
      <c r="D582" s="1" t="s">
        <v>4293</v>
      </c>
      <c r="E582" s="1" t="s">
        <v>7569</v>
      </c>
      <c r="F582" s="1" t="s">
        <v>13170</v>
      </c>
      <c r="G582" s="3">
        <v>45650.0</v>
      </c>
      <c r="H582" s="3">
        <v>45945.0</v>
      </c>
      <c r="I582" s="3">
        <v>45945.0</v>
      </c>
      <c r="J582" s="1" t="s">
        <v>215</v>
      </c>
      <c r="K582" s="1" t="s">
        <v>160</v>
      </c>
      <c r="L582" s="1" t="s">
        <v>216</v>
      </c>
      <c r="M582" s="1" t="s">
        <v>131</v>
      </c>
      <c r="Q582" s="1" t="s">
        <v>137</v>
      </c>
      <c r="R582" s="1" t="s">
        <v>137</v>
      </c>
      <c r="S582" s="1" t="s">
        <v>47</v>
      </c>
      <c r="T582" s="1" t="s">
        <v>4301</v>
      </c>
      <c r="U582" s="1" t="s">
        <v>1577</v>
      </c>
      <c r="V582" s="1" t="s">
        <v>5120</v>
      </c>
      <c r="W582" s="3">
        <v>45945.0</v>
      </c>
      <c r="X582" s="3">
        <v>45945.0</v>
      </c>
    </row>
    <row r="583">
      <c r="A583" s="1" t="s">
        <v>13180</v>
      </c>
      <c r="B583" s="1" t="s">
        <v>7575</v>
      </c>
      <c r="C583" s="1" t="s">
        <v>7575</v>
      </c>
      <c r="D583" s="1" t="s">
        <v>4293</v>
      </c>
      <c r="E583" s="1" t="s">
        <v>7576</v>
      </c>
      <c r="F583" s="1" t="s">
        <v>13182</v>
      </c>
      <c r="G583" s="3">
        <v>45105.0</v>
      </c>
      <c r="H583" s="3">
        <v>45415.0</v>
      </c>
      <c r="I583" s="3">
        <v>45415.0</v>
      </c>
      <c r="J583" s="1" t="s">
        <v>215</v>
      </c>
      <c r="K583" s="1" t="s">
        <v>160</v>
      </c>
      <c r="L583" s="1" t="s">
        <v>216</v>
      </c>
      <c r="M583" s="1" t="s">
        <v>131</v>
      </c>
      <c r="Q583" s="1" t="s">
        <v>137</v>
      </c>
      <c r="R583" s="1" t="s">
        <v>137</v>
      </c>
      <c r="S583" s="1" t="s">
        <v>47</v>
      </c>
      <c r="T583" s="1" t="s">
        <v>4301</v>
      </c>
      <c r="U583" s="1" t="s">
        <v>1577</v>
      </c>
      <c r="V583" s="1" t="s">
        <v>3858</v>
      </c>
      <c r="W583" s="3">
        <v>45415.0</v>
      </c>
      <c r="X583" s="3">
        <v>45415.0</v>
      </c>
    </row>
    <row r="584">
      <c r="A584" s="1" t="s">
        <v>13190</v>
      </c>
      <c r="B584" s="1" t="s">
        <v>7579</v>
      </c>
      <c r="C584" s="1" t="s">
        <v>7579</v>
      </c>
      <c r="D584" s="1" t="s">
        <v>4293</v>
      </c>
      <c r="E584" s="1" t="s">
        <v>7580</v>
      </c>
      <c r="F584" s="1" t="s">
        <v>13191</v>
      </c>
      <c r="G584" s="3">
        <v>45219.0</v>
      </c>
      <c r="H584" s="3">
        <v>45414.0</v>
      </c>
      <c r="I584" s="3">
        <v>45414.0</v>
      </c>
      <c r="J584" s="1" t="s">
        <v>215</v>
      </c>
      <c r="K584" s="1" t="s">
        <v>160</v>
      </c>
      <c r="L584" s="1" t="s">
        <v>216</v>
      </c>
      <c r="M584" s="1" t="s">
        <v>131</v>
      </c>
      <c r="Q584" s="1" t="s">
        <v>137</v>
      </c>
      <c r="R584" s="1" t="s">
        <v>137</v>
      </c>
      <c r="S584" s="1" t="s">
        <v>47</v>
      </c>
      <c r="T584" s="1" t="s">
        <v>4301</v>
      </c>
      <c r="U584" s="1" t="s">
        <v>1577</v>
      </c>
      <c r="V584" s="1" t="s">
        <v>3858</v>
      </c>
      <c r="W584" s="3">
        <v>45414.0</v>
      </c>
      <c r="X584" s="3">
        <v>45414.0</v>
      </c>
    </row>
    <row r="585">
      <c r="A585" s="1" t="s">
        <v>13194</v>
      </c>
      <c r="B585" s="1" t="s">
        <v>7579</v>
      </c>
      <c r="C585" s="1" t="s">
        <v>7579</v>
      </c>
      <c r="D585" s="1" t="s">
        <v>4293</v>
      </c>
      <c r="E585" s="1" t="s">
        <v>7580</v>
      </c>
      <c r="F585" s="1" t="s">
        <v>13196</v>
      </c>
      <c r="G585" s="3">
        <v>45219.0</v>
      </c>
      <c r="H585" s="3">
        <v>45414.0</v>
      </c>
      <c r="I585" s="3">
        <v>45414.0</v>
      </c>
      <c r="J585" s="1" t="s">
        <v>215</v>
      </c>
      <c r="K585" s="1" t="s">
        <v>160</v>
      </c>
      <c r="L585" s="1" t="s">
        <v>216</v>
      </c>
      <c r="M585" s="1" t="s">
        <v>131</v>
      </c>
      <c r="Q585" s="1" t="s">
        <v>137</v>
      </c>
      <c r="R585" s="1" t="s">
        <v>137</v>
      </c>
      <c r="S585" s="1" t="s">
        <v>47</v>
      </c>
      <c r="T585" s="1" t="s">
        <v>4301</v>
      </c>
      <c r="U585" s="1" t="s">
        <v>1577</v>
      </c>
      <c r="V585" s="1" t="s">
        <v>3963</v>
      </c>
      <c r="W585" s="3">
        <v>45414.0</v>
      </c>
      <c r="X585" s="3">
        <v>45414.0</v>
      </c>
    </row>
    <row r="586">
      <c r="A586" s="1" t="s">
        <v>13203</v>
      </c>
      <c r="B586" s="1" t="s">
        <v>7579</v>
      </c>
      <c r="C586" s="1" t="s">
        <v>7579</v>
      </c>
      <c r="D586" s="1" t="s">
        <v>4293</v>
      </c>
      <c r="E586" s="1" t="s">
        <v>7580</v>
      </c>
      <c r="F586" s="1" t="s">
        <v>13207</v>
      </c>
      <c r="G586" s="3">
        <v>45219.0</v>
      </c>
      <c r="H586" s="3">
        <v>45414.0</v>
      </c>
      <c r="I586" s="3">
        <v>45414.0</v>
      </c>
      <c r="J586" s="1" t="s">
        <v>215</v>
      </c>
      <c r="K586" s="1" t="s">
        <v>160</v>
      </c>
      <c r="L586" s="1" t="s">
        <v>216</v>
      </c>
      <c r="M586" s="1" t="s">
        <v>131</v>
      </c>
      <c r="Q586" s="1" t="s">
        <v>137</v>
      </c>
      <c r="R586" s="1" t="s">
        <v>137</v>
      </c>
      <c r="S586" s="1" t="s">
        <v>47</v>
      </c>
      <c r="T586" s="1" t="s">
        <v>4301</v>
      </c>
      <c r="U586" s="1" t="s">
        <v>1577</v>
      </c>
      <c r="V586" s="1" t="s">
        <v>3865</v>
      </c>
      <c r="W586" s="3">
        <v>45414.0</v>
      </c>
      <c r="X586" s="3">
        <v>45414.0</v>
      </c>
    </row>
    <row r="587">
      <c r="A587" s="1" t="s">
        <v>13215</v>
      </c>
      <c r="B587" s="1" t="s">
        <v>7579</v>
      </c>
      <c r="C587" s="1" t="s">
        <v>7579</v>
      </c>
      <c r="D587" s="1" t="s">
        <v>4293</v>
      </c>
      <c r="E587" s="1" t="s">
        <v>7580</v>
      </c>
      <c r="F587" s="1" t="s">
        <v>13219</v>
      </c>
      <c r="G587" s="3">
        <v>45219.0</v>
      </c>
      <c r="H587" s="3">
        <v>45414.0</v>
      </c>
      <c r="I587" s="3">
        <v>45414.0</v>
      </c>
      <c r="J587" s="1" t="s">
        <v>215</v>
      </c>
      <c r="K587" s="1" t="s">
        <v>160</v>
      </c>
      <c r="L587" s="1" t="s">
        <v>216</v>
      </c>
      <c r="M587" s="1" t="s">
        <v>131</v>
      </c>
      <c r="Q587" s="1" t="s">
        <v>137</v>
      </c>
      <c r="R587" s="1" t="s">
        <v>137</v>
      </c>
      <c r="S587" s="1" t="s">
        <v>47</v>
      </c>
      <c r="T587" s="1" t="s">
        <v>4301</v>
      </c>
      <c r="U587" s="1" t="s">
        <v>1577</v>
      </c>
      <c r="V587" s="1" t="s">
        <v>4950</v>
      </c>
      <c r="W587" s="3">
        <v>45414.0</v>
      </c>
      <c r="X587" s="3">
        <v>45414.0</v>
      </c>
    </row>
    <row r="588">
      <c r="A588" s="1" t="s">
        <v>13225</v>
      </c>
      <c r="B588" s="1" t="s">
        <v>7587</v>
      </c>
      <c r="C588" s="1" t="s">
        <v>7587</v>
      </c>
      <c r="D588" s="1" t="s">
        <v>4293</v>
      </c>
      <c r="E588" s="1" t="s">
        <v>7589</v>
      </c>
      <c r="F588" s="1" t="s">
        <v>13227</v>
      </c>
      <c r="G588" s="3">
        <v>44182.0</v>
      </c>
      <c r="H588" s="3">
        <v>44341.0</v>
      </c>
      <c r="I588" s="3">
        <v>44341.0</v>
      </c>
      <c r="J588" s="1" t="s">
        <v>215</v>
      </c>
      <c r="K588" s="1" t="s">
        <v>160</v>
      </c>
      <c r="L588" s="1" t="s">
        <v>216</v>
      </c>
      <c r="M588" s="1" t="s">
        <v>131</v>
      </c>
      <c r="Q588" s="1" t="s">
        <v>137</v>
      </c>
      <c r="R588" s="1" t="s">
        <v>137</v>
      </c>
      <c r="S588" s="1" t="s">
        <v>47</v>
      </c>
      <c r="T588" s="1" t="s">
        <v>4301</v>
      </c>
      <c r="U588" s="1" t="s">
        <v>1577</v>
      </c>
      <c r="V588" s="1" t="s">
        <v>3858</v>
      </c>
      <c r="W588" s="3">
        <v>44341.0</v>
      </c>
      <c r="X588" s="3">
        <v>44341.0</v>
      </c>
    </row>
    <row r="589">
      <c r="A589" s="1" t="s">
        <v>13235</v>
      </c>
      <c r="B589" s="1" t="s">
        <v>7597</v>
      </c>
      <c r="C589" s="1" t="s">
        <v>7597</v>
      </c>
      <c r="D589" s="1" t="s">
        <v>4293</v>
      </c>
      <c r="E589" s="1" t="s">
        <v>7598</v>
      </c>
      <c r="F589" s="1" t="s">
        <v>13238</v>
      </c>
      <c r="G589" s="3">
        <v>44362.0</v>
      </c>
      <c r="H589" s="3">
        <v>44365.0</v>
      </c>
      <c r="I589" s="3">
        <v>44365.0</v>
      </c>
      <c r="J589" s="1" t="s">
        <v>215</v>
      </c>
      <c r="K589" s="1" t="s">
        <v>160</v>
      </c>
      <c r="L589" s="1" t="s">
        <v>216</v>
      </c>
      <c r="M589" s="1" t="s">
        <v>131</v>
      </c>
      <c r="Q589" s="1" t="s">
        <v>137</v>
      </c>
      <c r="R589" s="1" t="s">
        <v>137</v>
      </c>
      <c r="S589" s="1" t="s">
        <v>47</v>
      </c>
      <c r="T589" s="1" t="s">
        <v>4301</v>
      </c>
      <c r="U589" s="1" t="s">
        <v>1577</v>
      </c>
      <c r="V589" s="1" t="s">
        <v>3858</v>
      </c>
      <c r="W589" s="3">
        <v>44365.0</v>
      </c>
      <c r="X589" s="3">
        <v>44365.0</v>
      </c>
    </row>
    <row r="590">
      <c r="A590" s="1" t="s">
        <v>13245</v>
      </c>
      <c r="B590" s="1" t="s">
        <v>7608</v>
      </c>
      <c r="C590" s="1" t="s">
        <v>7608</v>
      </c>
      <c r="D590" s="1" t="s">
        <v>4293</v>
      </c>
      <c r="E590" s="1" t="s">
        <v>7610</v>
      </c>
      <c r="F590" s="1" t="s">
        <v>13253</v>
      </c>
      <c r="G590" s="3">
        <v>44824.0</v>
      </c>
      <c r="H590" s="3">
        <v>44963.0</v>
      </c>
      <c r="I590" s="3">
        <v>44963.0</v>
      </c>
      <c r="J590" s="1" t="s">
        <v>215</v>
      </c>
      <c r="K590" s="1" t="s">
        <v>160</v>
      </c>
      <c r="L590" s="1" t="s">
        <v>216</v>
      </c>
      <c r="M590" s="1" t="s">
        <v>131</v>
      </c>
      <c r="Q590" s="1" t="s">
        <v>137</v>
      </c>
      <c r="R590" s="1" t="s">
        <v>137</v>
      </c>
      <c r="S590" s="1" t="s">
        <v>47</v>
      </c>
      <c r="T590" s="1" t="s">
        <v>4301</v>
      </c>
      <c r="U590" s="1" t="s">
        <v>1577</v>
      </c>
      <c r="V590" s="1" t="s">
        <v>3963</v>
      </c>
      <c r="W590" s="3">
        <v>44963.0</v>
      </c>
      <c r="X590" s="3">
        <v>44963.0</v>
      </c>
    </row>
    <row r="591">
      <c r="A591" s="1" t="s">
        <v>13262</v>
      </c>
      <c r="B591" s="1" t="s">
        <v>7608</v>
      </c>
      <c r="C591" s="1" t="s">
        <v>7608</v>
      </c>
      <c r="D591" s="1" t="s">
        <v>4293</v>
      </c>
      <c r="E591" s="1" t="s">
        <v>7610</v>
      </c>
      <c r="F591" s="1" t="s">
        <v>13266</v>
      </c>
      <c r="G591" s="3">
        <v>44824.0</v>
      </c>
      <c r="H591" s="3">
        <v>44963.0</v>
      </c>
      <c r="I591" s="3">
        <v>44963.0</v>
      </c>
      <c r="J591" s="1" t="s">
        <v>215</v>
      </c>
      <c r="K591" s="1" t="s">
        <v>160</v>
      </c>
      <c r="L591" s="1" t="s">
        <v>216</v>
      </c>
      <c r="M591" s="1" t="s">
        <v>131</v>
      </c>
      <c r="Q591" s="1" t="s">
        <v>137</v>
      </c>
      <c r="R591" s="1" t="s">
        <v>137</v>
      </c>
      <c r="S591" s="1" t="s">
        <v>47</v>
      </c>
      <c r="T591" s="1" t="s">
        <v>4301</v>
      </c>
      <c r="U591" s="1" t="s">
        <v>1577</v>
      </c>
      <c r="V591" s="1" t="s">
        <v>4679</v>
      </c>
      <c r="W591" s="3">
        <v>44963.0</v>
      </c>
      <c r="X591" s="3">
        <v>44963.0</v>
      </c>
    </row>
    <row r="592">
      <c r="A592" s="1" t="s">
        <v>13272</v>
      </c>
      <c r="B592" s="1" t="s">
        <v>7608</v>
      </c>
      <c r="C592" s="1" t="s">
        <v>7608</v>
      </c>
      <c r="D592" s="1" t="s">
        <v>4293</v>
      </c>
      <c r="E592" s="1" t="s">
        <v>7610</v>
      </c>
      <c r="F592" s="1" t="s">
        <v>13277</v>
      </c>
      <c r="G592" s="3">
        <v>44824.0</v>
      </c>
      <c r="H592" s="3">
        <v>44963.0</v>
      </c>
      <c r="I592" s="3">
        <v>44963.0</v>
      </c>
      <c r="J592" s="1" t="s">
        <v>215</v>
      </c>
      <c r="K592" s="1" t="s">
        <v>160</v>
      </c>
      <c r="L592" s="1" t="s">
        <v>216</v>
      </c>
      <c r="M592" s="1" t="s">
        <v>131</v>
      </c>
      <c r="Q592" s="1" t="s">
        <v>137</v>
      </c>
      <c r="R592" s="1" t="s">
        <v>137</v>
      </c>
      <c r="S592" s="1" t="s">
        <v>47</v>
      </c>
      <c r="T592" s="1" t="s">
        <v>4301</v>
      </c>
      <c r="U592" s="1" t="s">
        <v>1577</v>
      </c>
      <c r="V592" s="1" t="s">
        <v>4950</v>
      </c>
      <c r="W592" s="3">
        <v>44963.0</v>
      </c>
      <c r="X592" s="3">
        <v>44963.0</v>
      </c>
    </row>
    <row r="593">
      <c r="A593" s="1" t="s">
        <v>13284</v>
      </c>
      <c r="B593" s="1" t="s">
        <v>7608</v>
      </c>
      <c r="C593" s="1" t="s">
        <v>7608</v>
      </c>
      <c r="D593" s="1" t="s">
        <v>4293</v>
      </c>
      <c r="E593" s="1" t="s">
        <v>7610</v>
      </c>
      <c r="F593" s="1" t="s">
        <v>13287</v>
      </c>
      <c r="G593" s="3">
        <v>44824.0</v>
      </c>
      <c r="H593" s="3">
        <v>44963.0</v>
      </c>
      <c r="I593" s="3">
        <v>44963.0</v>
      </c>
      <c r="J593" s="1" t="s">
        <v>215</v>
      </c>
      <c r="K593" s="1" t="s">
        <v>160</v>
      </c>
      <c r="L593" s="1" t="s">
        <v>216</v>
      </c>
      <c r="M593" s="1" t="s">
        <v>131</v>
      </c>
      <c r="Q593" s="1" t="s">
        <v>137</v>
      </c>
      <c r="R593" s="1" t="s">
        <v>137</v>
      </c>
      <c r="S593" s="1" t="s">
        <v>47</v>
      </c>
      <c r="T593" s="1" t="s">
        <v>4301</v>
      </c>
      <c r="U593" s="1" t="s">
        <v>1577</v>
      </c>
      <c r="V593" s="1" t="s">
        <v>5104</v>
      </c>
      <c r="W593" s="3">
        <v>44963.0</v>
      </c>
      <c r="X593" s="3">
        <v>44963.0</v>
      </c>
    </row>
    <row r="594">
      <c r="A594" s="1" t="s">
        <v>13293</v>
      </c>
      <c r="B594" s="1" t="s">
        <v>7608</v>
      </c>
      <c r="C594" s="1" t="s">
        <v>7608</v>
      </c>
      <c r="D594" s="1" t="s">
        <v>4293</v>
      </c>
      <c r="E594" s="1" t="s">
        <v>7610</v>
      </c>
      <c r="F594" s="1" t="s">
        <v>13298</v>
      </c>
      <c r="G594" s="3">
        <v>44824.0</v>
      </c>
      <c r="H594" s="3">
        <v>44963.0</v>
      </c>
      <c r="I594" s="3">
        <v>44963.0</v>
      </c>
      <c r="J594" s="1" t="s">
        <v>215</v>
      </c>
      <c r="K594" s="1" t="s">
        <v>160</v>
      </c>
      <c r="L594" s="1" t="s">
        <v>216</v>
      </c>
      <c r="M594" s="1" t="s">
        <v>131</v>
      </c>
      <c r="Q594" s="1" t="s">
        <v>137</v>
      </c>
      <c r="R594" s="1" t="s">
        <v>137</v>
      </c>
      <c r="S594" s="1" t="s">
        <v>47</v>
      </c>
      <c r="T594" s="1" t="s">
        <v>4301</v>
      </c>
      <c r="U594" s="1" t="s">
        <v>1577</v>
      </c>
      <c r="V594" s="1" t="s">
        <v>5120</v>
      </c>
      <c r="W594" s="3">
        <v>44963.0</v>
      </c>
      <c r="X594" s="3">
        <v>44963.0</v>
      </c>
    </row>
    <row r="595">
      <c r="A595" s="1" t="s">
        <v>13306</v>
      </c>
      <c r="B595" s="1" t="s">
        <v>7615</v>
      </c>
      <c r="C595" s="1" t="s">
        <v>7615</v>
      </c>
      <c r="D595" s="1" t="s">
        <v>4293</v>
      </c>
      <c r="E595" s="1" t="s">
        <v>7616</v>
      </c>
      <c r="F595" s="1" t="s">
        <v>13311</v>
      </c>
      <c r="G595" s="3">
        <v>45014.0</v>
      </c>
      <c r="H595" s="3">
        <v>45016.0</v>
      </c>
      <c r="I595" s="3">
        <v>45016.0</v>
      </c>
      <c r="J595" s="1" t="s">
        <v>215</v>
      </c>
      <c r="K595" s="1" t="s">
        <v>160</v>
      </c>
      <c r="L595" s="1" t="s">
        <v>216</v>
      </c>
      <c r="M595" s="1" t="s">
        <v>131</v>
      </c>
      <c r="Q595" s="1" t="s">
        <v>137</v>
      </c>
      <c r="R595" s="1" t="s">
        <v>137</v>
      </c>
      <c r="S595" s="1" t="s">
        <v>47</v>
      </c>
      <c r="T595" s="1" t="s">
        <v>4301</v>
      </c>
      <c r="U595" s="1" t="s">
        <v>1577</v>
      </c>
      <c r="V595" s="1" t="s">
        <v>3858</v>
      </c>
      <c r="W595" s="3">
        <v>45016.0</v>
      </c>
      <c r="X595" s="3">
        <v>45016.0</v>
      </c>
    </row>
    <row r="596">
      <c r="A596" s="1" t="s">
        <v>13315</v>
      </c>
      <c r="B596" s="1" t="s">
        <v>7615</v>
      </c>
      <c r="C596" s="1" t="s">
        <v>7615</v>
      </c>
      <c r="D596" s="1" t="s">
        <v>4293</v>
      </c>
      <c r="E596" s="1" t="s">
        <v>7616</v>
      </c>
      <c r="F596" s="1" t="s">
        <v>13318</v>
      </c>
      <c r="G596" s="3">
        <v>45014.0</v>
      </c>
      <c r="H596" s="3">
        <v>45016.0</v>
      </c>
      <c r="I596" s="3">
        <v>45016.0</v>
      </c>
      <c r="J596" s="1" t="s">
        <v>215</v>
      </c>
      <c r="K596" s="1" t="s">
        <v>160</v>
      </c>
      <c r="L596" s="1" t="s">
        <v>216</v>
      </c>
      <c r="M596" s="1" t="s">
        <v>131</v>
      </c>
      <c r="Q596" s="1" t="s">
        <v>137</v>
      </c>
      <c r="R596" s="1" t="s">
        <v>137</v>
      </c>
      <c r="S596" s="1" t="s">
        <v>47</v>
      </c>
      <c r="T596" s="1" t="s">
        <v>4301</v>
      </c>
      <c r="U596" s="1" t="s">
        <v>1577</v>
      </c>
      <c r="V596" s="1" t="s">
        <v>4950</v>
      </c>
      <c r="W596" s="3">
        <v>45016.0</v>
      </c>
      <c r="X596" s="3">
        <v>45016.0</v>
      </c>
    </row>
    <row r="597">
      <c r="A597" s="1" t="s">
        <v>13325</v>
      </c>
      <c r="B597" s="1" t="s">
        <v>7625</v>
      </c>
      <c r="C597" s="1" t="s">
        <v>7625</v>
      </c>
      <c r="D597" s="1" t="s">
        <v>4293</v>
      </c>
      <c r="E597" s="1" t="s">
        <v>7627</v>
      </c>
      <c r="F597" s="1" t="s">
        <v>13326</v>
      </c>
      <c r="G597" s="3">
        <v>43504.0</v>
      </c>
      <c r="H597" s="3">
        <v>43504.0</v>
      </c>
      <c r="I597" s="3">
        <v>43504.0</v>
      </c>
      <c r="J597" s="1" t="s">
        <v>215</v>
      </c>
      <c r="K597" s="1" t="s">
        <v>160</v>
      </c>
      <c r="L597" s="1" t="s">
        <v>216</v>
      </c>
      <c r="M597" s="1" t="s">
        <v>131</v>
      </c>
      <c r="Q597" s="1" t="s">
        <v>137</v>
      </c>
      <c r="R597" s="1" t="s">
        <v>137</v>
      </c>
      <c r="S597" s="1" t="s">
        <v>47</v>
      </c>
      <c r="T597" s="1" t="s">
        <v>4301</v>
      </c>
      <c r="U597" s="1" t="s">
        <v>1577</v>
      </c>
      <c r="V597" s="1" t="s">
        <v>3858</v>
      </c>
      <c r="W597" s="3">
        <v>43504.0</v>
      </c>
      <c r="X597" s="3">
        <v>43504.0</v>
      </c>
    </row>
    <row r="598">
      <c r="A598" s="1" t="s">
        <v>13334</v>
      </c>
      <c r="B598" s="1" t="s">
        <v>7635</v>
      </c>
      <c r="C598" s="1" t="s">
        <v>7635</v>
      </c>
      <c r="D598" s="1" t="s">
        <v>4293</v>
      </c>
      <c r="E598" s="1" t="s">
        <v>7637</v>
      </c>
      <c r="F598" s="1" t="s">
        <v>13335</v>
      </c>
      <c r="G598" s="3">
        <v>44704.0</v>
      </c>
      <c r="H598" s="3">
        <v>44812.0</v>
      </c>
      <c r="I598" s="3">
        <v>44812.0</v>
      </c>
      <c r="J598" s="1" t="s">
        <v>215</v>
      </c>
      <c r="K598" s="1" t="s">
        <v>160</v>
      </c>
      <c r="L598" s="1" t="s">
        <v>216</v>
      </c>
      <c r="M598" s="1" t="s">
        <v>131</v>
      </c>
      <c r="Q598" s="1" t="s">
        <v>137</v>
      </c>
      <c r="R598" s="1" t="s">
        <v>137</v>
      </c>
      <c r="S598" s="1" t="s">
        <v>47</v>
      </c>
      <c r="T598" s="1" t="s">
        <v>4301</v>
      </c>
      <c r="U598" s="1" t="s">
        <v>1577</v>
      </c>
      <c r="V598" s="1" t="s">
        <v>3858</v>
      </c>
      <c r="W598" s="3">
        <v>44812.0</v>
      </c>
      <c r="X598" s="3">
        <v>44812.0</v>
      </c>
    </row>
    <row r="599">
      <c r="A599" s="1" t="s">
        <v>13342</v>
      </c>
      <c r="B599" s="1" t="s">
        <v>7635</v>
      </c>
      <c r="C599" s="1" t="s">
        <v>7635</v>
      </c>
      <c r="D599" s="1" t="s">
        <v>4293</v>
      </c>
      <c r="E599" s="1" t="s">
        <v>7637</v>
      </c>
      <c r="F599" s="1" t="s">
        <v>13346</v>
      </c>
      <c r="G599" s="3">
        <v>44704.0</v>
      </c>
      <c r="H599" s="3">
        <v>44812.0</v>
      </c>
      <c r="I599" s="3">
        <v>44812.0</v>
      </c>
      <c r="J599" s="1" t="s">
        <v>215</v>
      </c>
      <c r="K599" s="1" t="s">
        <v>160</v>
      </c>
      <c r="L599" s="1" t="s">
        <v>216</v>
      </c>
      <c r="M599" s="1" t="s">
        <v>131</v>
      </c>
      <c r="Q599" s="1" t="s">
        <v>137</v>
      </c>
      <c r="R599" s="1" t="s">
        <v>137</v>
      </c>
      <c r="S599" s="1" t="s">
        <v>47</v>
      </c>
      <c r="T599" s="1" t="s">
        <v>4301</v>
      </c>
      <c r="U599" s="1" t="s">
        <v>1577</v>
      </c>
      <c r="V599" s="1" t="s">
        <v>4679</v>
      </c>
      <c r="W599" s="3">
        <v>44812.0</v>
      </c>
      <c r="X599" s="3">
        <v>44812.0</v>
      </c>
    </row>
    <row r="600">
      <c r="A600" s="1" t="s">
        <v>13356</v>
      </c>
      <c r="B600" s="1" t="s">
        <v>7635</v>
      </c>
      <c r="C600" s="1" t="s">
        <v>7635</v>
      </c>
      <c r="D600" s="1" t="s">
        <v>4293</v>
      </c>
      <c r="E600" s="1" t="s">
        <v>7637</v>
      </c>
      <c r="F600" s="1" t="s">
        <v>13358</v>
      </c>
      <c r="G600" s="3">
        <v>44704.0</v>
      </c>
      <c r="H600" s="3">
        <v>44812.0</v>
      </c>
      <c r="I600" s="3">
        <v>44812.0</v>
      </c>
      <c r="J600" s="1" t="s">
        <v>215</v>
      </c>
      <c r="K600" s="1" t="s">
        <v>160</v>
      </c>
      <c r="L600" s="1" t="s">
        <v>216</v>
      </c>
      <c r="M600" s="1" t="s">
        <v>131</v>
      </c>
      <c r="Q600" s="1" t="s">
        <v>137</v>
      </c>
      <c r="R600" s="1" t="s">
        <v>137</v>
      </c>
      <c r="S600" s="1" t="s">
        <v>47</v>
      </c>
      <c r="T600" s="1" t="s">
        <v>4301</v>
      </c>
      <c r="U600" s="1" t="s">
        <v>1577</v>
      </c>
      <c r="V600" s="1" t="s">
        <v>4950</v>
      </c>
      <c r="W600" s="3">
        <v>44812.0</v>
      </c>
      <c r="X600" s="3">
        <v>44812.0</v>
      </c>
    </row>
    <row r="601">
      <c r="A601" s="1" t="s">
        <v>13362</v>
      </c>
      <c r="B601" s="1" t="s">
        <v>7635</v>
      </c>
      <c r="C601" s="1" t="s">
        <v>7635</v>
      </c>
      <c r="D601" s="1" t="s">
        <v>4293</v>
      </c>
      <c r="E601" s="1" t="s">
        <v>7637</v>
      </c>
      <c r="F601" s="1" t="s">
        <v>13366</v>
      </c>
      <c r="G601" s="3">
        <v>44704.0</v>
      </c>
      <c r="H601" s="3">
        <v>44812.0</v>
      </c>
      <c r="I601" s="3">
        <v>44812.0</v>
      </c>
      <c r="J601" s="1" t="s">
        <v>215</v>
      </c>
      <c r="K601" s="1" t="s">
        <v>160</v>
      </c>
      <c r="L601" s="1" t="s">
        <v>216</v>
      </c>
      <c r="M601" s="1" t="s">
        <v>131</v>
      </c>
      <c r="Q601" s="1" t="s">
        <v>137</v>
      </c>
      <c r="R601" s="1" t="s">
        <v>137</v>
      </c>
      <c r="S601" s="1" t="s">
        <v>47</v>
      </c>
      <c r="T601" s="1" t="s">
        <v>4301</v>
      </c>
      <c r="U601" s="1" t="s">
        <v>1577</v>
      </c>
      <c r="V601" s="1" t="s">
        <v>5104</v>
      </c>
      <c r="W601" s="3">
        <v>44812.0</v>
      </c>
      <c r="X601" s="3">
        <v>44812.0</v>
      </c>
    </row>
    <row r="602">
      <c r="A602" s="1" t="s">
        <v>13375</v>
      </c>
      <c r="B602" s="1" t="s">
        <v>7635</v>
      </c>
      <c r="C602" s="1" t="s">
        <v>7635</v>
      </c>
      <c r="D602" s="1" t="s">
        <v>4293</v>
      </c>
      <c r="E602" s="1" t="s">
        <v>7637</v>
      </c>
      <c r="F602" s="1" t="s">
        <v>13377</v>
      </c>
      <c r="G602" s="3">
        <v>44704.0</v>
      </c>
      <c r="H602" s="3">
        <v>44812.0</v>
      </c>
      <c r="I602" s="3">
        <v>44812.0</v>
      </c>
      <c r="J602" s="1" t="s">
        <v>215</v>
      </c>
      <c r="K602" s="1" t="s">
        <v>160</v>
      </c>
      <c r="L602" s="1" t="s">
        <v>216</v>
      </c>
      <c r="M602" s="1" t="s">
        <v>131</v>
      </c>
      <c r="Q602" s="1" t="s">
        <v>137</v>
      </c>
      <c r="R602" s="1" t="s">
        <v>137</v>
      </c>
      <c r="S602" s="1" t="s">
        <v>47</v>
      </c>
      <c r="T602" s="1" t="s">
        <v>4301</v>
      </c>
      <c r="U602" s="1" t="s">
        <v>1577</v>
      </c>
      <c r="V602" s="1" t="s">
        <v>5120</v>
      </c>
      <c r="W602" s="3">
        <v>44812.0</v>
      </c>
      <c r="X602" s="3">
        <v>44812.0</v>
      </c>
    </row>
    <row r="603">
      <c r="A603" s="1" t="s">
        <v>13384</v>
      </c>
      <c r="B603" s="1" t="s">
        <v>7645</v>
      </c>
      <c r="C603" s="1" t="s">
        <v>7645</v>
      </c>
      <c r="D603" s="1" t="s">
        <v>4293</v>
      </c>
      <c r="E603" s="1" t="s">
        <v>7647</v>
      </c>
      <c r="F603" s="1" t="s">
        <v>13388</v>
      </c>
      <c r="G603" s="3">
        <v>43748.0</v>
      </c>
      <c r="H603" s="3">
        <v>43748.0</v>
      </c>
      <c r="I603" s="3">
        <v>43748.0</v>
      </c>
      <c r="J603" s="1" t="s">
        <v>215</v>
      </c>
      <c r="K603" s="1" t="s">
        <v>160</v>
      </c>
      <c r="L603" s="1" t="s">
        <v>216</v>
      </c>
      <c r="M603" s="1" t="s">
        <v>131</v>
      </c>
      <c r="Q603" s="1" t="s">
        <v>137</v>
      </c>
      <c r="R603" s="1" t="s">
        <v>137</v>
      </c>
      <c r="S603" s="1" t="s">
        <v>47</v>
      </c>
      <c r="T603" s="1" t="s">
        <v>4301</v>
      </c>
      <c r="U603" s="1" t="s">
        <v>1577</v>
      </c>
      <c r="V603" s="1" t="s">
        <v>3858</v>
      </c>
      <c r="W603" s="3">
        <v>43748.0</v>
      </c>
      <c r="X603" s="3">
        <v>43748.0</v>
      </c>
    </row>
    <row r="604">
      <c r="A604" s="1" t="s">
        <v>13396</v>
      </c>
      <c r="B604" s="1" t="s">
        <v>7645</v>
      </c>
      <c r="C604" s="1" t="s">
        <v>7645</v>
      </c>
      <c r="D604" s="1" t="s">
        <v>4293</v>
      </c>
      <c r="E604" s="1" t="s">
        <v>7647</v>
      </c>
      <c r="F604" s="1" t="s">
        <v>13399</v>
      </c>
      <c r="G604" s="3">
        <v>43748.0</v>
      </c>
      <c r="H604" s="3">
        <v>43748.0</v>
      </c>
      <c r="I604" s="3">
        <v>43748.0</v>
      </c>
      <c r="J604" s="1" t="s">
        <v>215</v>
      </c>
      <c r="K604" s="1" t="s">
        <v>160</v>
      </c>
      <c r="L604" s="1" t="s">
        <v>216</v>
      </c>
      <c r="M604" s="1" t="s">
        <v>131</v>
      </c>
      <c r="Q604" s="1" t="s">
        <v>137</v>
      </c>
      <c r="R604" s="1" t="s">
        <v>137</v>
      </c>
      <c r="S604" s="1" t="s">
        <v>47</v>
      </c>
      <c r="T604" s="1" t="s">
        <v>4301</v>
      </c>
      <c r="U604" s="1" t="s">
        <v>1577</v>
      </c>
      <c r="V604" s="1" t="s">
        <v>4679</v>
      </c>
      <c r="W604" s="3">
        <v>43748.0</v>
      </c>
      <c r="X604" s="3">
        <v>43748.0</v>
      </c>
    </row>
    <row r="605">
      <c r="A605" s="1" t="s">
        <v>13406</v>
      </c>
      <c r="B605" s="1" t="s">
        <v>7645</v>
      </c>
      <c r="C605" s="1" t="s">
        <v>7645</v>
      </c>
      <c r="D605" s="1" t="s">
        <v>4293</v>
      </c>
      <c r="E605" s="1" t="s">
        <v>7647</v>
      </c>
      <c r="F605" s="1" t="s">
        <v>13408</v>
      </c>
      <c r="G605" s="3">
        <v>43748.0</v>
      </c>
      <c r="H605" s="3">
        <v>43748.0</v>
      </c>
      <c r="I605" s="3">
        <v>43748.0</v>
      </c>
      <c r="J605" s="1" t="s">
        <v>215</v>
      </c>
      <c r="K605" s="1" t="s">
        <v>160</v>
      </c>
      <c r="L605" s="1" t="s">
        <v>216</v>
      </c>
      <c r="M605" s="1" t="s">
        <v>131</v>
      </c>
      <c r="Q605" s="1" t="s">
        <v>137</v>
      </c>
      <c r="R605" s="1" t="s">
        <v>137</v>
      </c>
      <c r="S605" s="1" t="s">
        <v>47</v>
      </c>
      <c r="T605" s="1" t="s">
        <v>4301</v>
      </c>
      <c r="U605" s="1" t="s">
        <v>1577</v>
      </c>
      <c r="V605" s="1" t="s">
        <v>3865</v>
      </c>
      <c r="W605" s="3">
        <v>43748.0</v>
      </c>
      <c r="X605" s="3">
        <v>43748.0</v>
      </c>
    </row>
    <row r="606">
      <c r="A606" s="1" t="s">
        <v>13419</v>
      </c>
      <c r="B606" s="1" t="s">
        <v>7645</v>
      </c>
      <c r="C606" s="1" t="s">
        <v>7645</v>
      </c>
      <c r="D606" s="1" t="s">
        <v>4293</v>
      </c>
      <c r="E606" s="1" t="s">
        <v>7647</v>
      </c>
      <c r="F606" s="1" t="s">
        <v>13423</v>
      </c>
      <c r="G606" s="3">
        <v>43748.0</v>
      </c>
      <c r="H606" s="3">
        <v>43748.0</v>
      </c>
      <c r="I606" s="3">
        <v>43748.0</v>
      </c>
      <c r="J606" s="1" t="s">
        <v>215</v>
      </c>
      <c r="K606" s="1" t="s">
        <v>160</v>
      </c>
      <c r="L606" s="1" t="s">
        <v>216</v>
      </c>
      <c r="M606" s="1" t="s">
        <v>131</v>
      </c>
      <c r="Q606" s="1" t="s">
        <v>137</v>
      </c>
      <c r="R606" s="1" t="s">
        <v>137</v>
      </c>
      <c r="S606" s="1" t="s">
        <v>47</v>
      </c>
      <c r="T606" s="1" t="s">
        <v>4301</v>
      </c>
      <c r="U606" s="1" t="s">
        <v>1577</v>
      </c>
      <c r="V606" s="1" t="s">
        <v>7314</v>
      </c>
      <c r="W606" s="3">
        <v>43748.0</v>
      </c>
      <c r="X606" s="3">
        <v>43748.0</v>
      </c>
    </row>
    <row r="607">
      <c r="A607" s="1" t="s">
        <v>13433</v>
      </c>
      <c r="B607" s="1" t="s">
        <v>7645</v>
      </c>
      <c r="C607" s="1" t="s">
        <v>7645</v>
      </c>
      <c r="D607" s="1" t="s">
        <v>4293</v>
      </c>
      <c r="E607" s="1" t="s">
        <v>7647</v>
      </c>
      <c r="F607" s="1" t="s">
        <v>13436</v>
      </c>
      <c r="G607" s="3">
        <v>43748.0</v>
      </c>
      <c r="H607" s="3">
        <v>43748.0</v>
      </c>
      <c r="I607" s="3">
        <v>43748.0</v>
      </c>
      <c r="J607" s="1" t="s">
        <v>215</v>
      </c>
      <c r="K607" s="1" t="s">
        <v>160</v>
      </c>
      <c r="L607" s="1" t="s">
        <v>216</v>
      </c>
      <c r="M607" s="1" t="s">
        <v>131</v>
      </c>
      <c r="Q607" s="1" t="s">
        <v>137</v>
      </c>
      <c r="R607" s="1" t="s">
        <v>137</v>
      </c>
      <c r="S607" s="1" t="s">
        <v>47</v>
      </c>
      <c r="T607" s="1" t="s">
        <v>4301</v>
      </c>
      <c r="U607" s="1" t="s">
        <v>1577</v>
      </c>
      <c r="V607" s="1" t="s">
        <v>4950</v>
      </c>
      <c r="W607" s="3">
        <v>43748.0</v>
      </c>
      <c r="X607" s="3">
        <v>43748.0</v>
      </c>
    </row>
    <row r="608">
      <c r="A608" s="1" t="s">
        <v>13446</v>
      </c>
      <c r="B608" s="1" t="s">
        <v>7645</v>
      </c>
      <c r="C608" s="1" t="s">
        <v>7645</v>
      </c>
      <c r="D608" s="1" t="s">
        <v>4293</v>
      </c>
      <c r="E608" s="1" t="s">
        <v>7647</v>
      </c>
      <c r="F608" s="1" t="s">
        <v>13448</v>
      </c>
      <c r="G608" s="3">
        <v>43748.0</v>
      </c>
      <c r="H608" s="3">
        <v>43748.0</v>
      </c>
      <c r="I608" s="3">
        <v>43748.0</v>
      </c>
      <c r="J608" s="1" t="s">
        <v>215</v>
      </c>
      <c r="K608" s="1" t="s">
        <v>160</v>
      </c>
      <c r="L608" s="1" t="s">
        <v>216</v>
      </c>
      <c r="M608" s="1" t="s">
        <v>131</v>
      </c>
      <c r="Q608" s="1" t="s">
        <v>137</v>
      </c>
      <c r="R608" s="1" t="s">
        <v>137</v>
      </c>
      <c r="S608" s="1" t="s">
        <v>47</v>
      </c>
      <c r="T608" s="1" t="s">
        <v>4301</v>
      </c>
      <c r="U608" s="1" t="s">
        <v>1577</v>
      </c>
      <c r="V608" s="1" t="s">
        <v>5104</v>
      </c>
      <c r="W608" s="3">
        <v>43748.0</v>
      </c>
      <c r="X608" s="3">
        <v>43748.0</v>
      </c>
    </row>
    <row r="609">
      <c r="A609" s="1" t="s">
        <v>13457</v>
      </c>
      <c r="B609" s="1" t="s">
        <v>7653</v>
      </c>
      <c r="C609" s="1" t="s">
        <v>7653</v>
      </c>
      <c r="D609" s="1" t="s">
        <v>4293</v>
      </c>
      <c r="E609" s="1" t="s">
        <v>7655</v>
      </c>
      <c r="F609" s="1" t="s">
        <v>13461</v>
      </c>
      <c r="G609" s="3">
        <v>45279.0</v>
      </c>
      <c r="H609" s="3">
        <v>45383.0</v>
      </c>
      <c r="I609" s="3">
        <v>45383.0</v>
      </c>
      <c r="J609" s="1" t="s">
        <v>215</v>
      </c>
      <c r="K609" s="1" t="s">
        <v>160</v>
      </c>
      <c r="L609" s="1" t="s">
        <v>216</v>
      </c>
      <c r="M609" s="1" t="s">
        <v>131</v>
      </c>
      <c r="Q609" s="1" t="s">
        <v>137</v>
      </c>
      <c r="R609" s="1" t="s">
        <v>137</v>
      </c>
      <c r="S609" s="1" t="s">
        <v>47</v>
      </c>
      <c r="T609" s="1" t="s">
        <v>4301</v>
      </c>
      <c r="U609" s="1" t="s">
        <v>1577</v>
      </c>
      <c r="V609" s="1" t="s">
        <v>4679</v>
      </c>
      <c r="W609" s="3">
        <v>45383.0</v>
      </c>
      <c r="X609" s="3">
        <v>45383.0</v>
      </c>
    </row>
    <row r="610">
      <c r="A610" s="1" t="s">
        <v>13471</v>
      </c>
      <c r="B610" s="1" t="s">
        <v>7653</v>
      </c>
      <c r="C610" s="1" t="s">
        <v>7653</v>
      </c>
      <c r="D610" s="1" t="s">
        <v>4293</v>
      </c>
      <c r="E610" s="1" t="s">
        <v>7655</v>
      </c>
      <c r="F610" s="1" t="s">
        <v>13475</v>
      </c>
      <c r="G610" s="3">
        <v>45279.0</v>
      </c>
      <c r="H610" s="3">
        <v>45383.0</v>
      </c>
      <c r="I610" s="3">
        <v>45383.0</v>
      </c>
      <c r="J610" s="1" t="s">
        <v>215</v>
      </c>
      <c r="K610" s="1" t="s">
        <v>160</v>
      </c>
      <c r="L610" s="1" t="s">
        <v>216</v>
      </c>
      <c r="M610" s="1" t="s">
        <v>131</v>
      </c>
      <c r="Q610" s="1" t="s">
        <v>137</v>
      </c>
      <c r="R610" s="1" t="s">
        <v>137</v>
      </c>
      <c r="S610" s="1" t="s">
        <v>47</v>
      </c>
      <c r="T610" s="1" t="s">
        <v>4301</v>
      </c>
      <c r="U610" s="1" t="s">
        <v>1577</v>
      </c>
      <c r="V610" s="1" t="s">
        <v>4950</v>
      </c>
      <c r="W610" s="3">
        <v>45383.0</v>
      </c>
      <c r="X610" s="3">
        <v>45383.0</v>
      </c>
    </row>
    <row r="611">
      <c r="A611" s="1" t="s">
        <v>13482</v>
      </c>
      <c r="B611" s="1" t="s">
        <v>7653</v>
      </c>
      <c r="C611" s="1" t="s">
        <v>7653</v>
      </c>
      <c r="D611" s="1" t="s">
        <v>4293</v>
      </c>
      <c r="E611" s="1" t="s">
        <v>7655</v>
      </c>
      <c r="F611" s="1" t="s">
        <v>13485</v>
      </c>
      <c r="G611" s="3">
        <v>45279.0</v>
      </c>
      <c r="H611" s="3">
        <v>45383.0</v>
      </c>
      <c r="I611" s="3">
        <v>45383.0</v>
      </c>
      <c r="J611" s="1" t="s">
        <v>215</v>
      </c>
      <c r="K611" s="1" t="s">
        <v>160</v>
      </c>
      <c r="L611" s="1" t="s">
        <v>216</v>
      </c>
      <c r="M611" s="1" t="s">
        <v>131</v>
      </c>
      <c r="Q611" s="1" t="s">
        <v>137</v>
      </c>
      <c r="R611" s="1" t="s">
        <v>137</v>
      </c>
      <c r="S611" s="1" t="s">
        <v>47</v>
      </c>
      <c r="T611" s="1" t="s">
        <v>4301</v>
      </c>
      <c r="U611" s="1" t="s">
        <v>1577</v>
      </c>
      <c r="V611" s="1" t="s">
        <v>5104</v>
      </c>
      <c r="W611" s="3">
        <v>45383.0</v>
      </c>
      <c r="X611" s="3">
        <v>45383.0</v>
      </c>
    </row>
    <row r="612">
      <c r="A612" s="1" t="s">
        <v>13497</v>
      </c>
      <c r="B612" s="1" t="s">
        <v>7653</v>
      </c>
      <c r="C612" s="1" t="s">
        <v>7653</v>
      </c>
      <c r="D612" s="1" t="s">
        <v>4293</v>
      </c>
      <c r="E612" s="1" t="s">
        <v>7655</v>
      </c>
      <c r="F612" s="1" t="s">
        <v>13500</v>
      </c>
      <c r="G612" s="3">
        <v>45279.0</v>
      </c>
      <c r="H612" s="3">
        <v>45383.0</v>
      </c>
      <c r="I612" s="3">
        <v>45383.0</v>
      </c>
      <c r="J612" s="1" t="s">
        <v>215</v>
      </c>
      <c r="K612" s="1" t="s">
        <v>160</v>
      </c>
      <c r="L612" s="1" t="s">
        <v>216</v>
      </c>
      <c r="M612" s="1" t="s">
        <v>131</v>
      </c>
      <c r="Q612" s="1" t="s">
        <v>137</v>
      </c>
      <c r="R612" s="1" t="s">
        <v>137</v>
      </c>
      <c r="S612" s="1" t="s">
        <v>47</v>
      </c>
      <c r="T612" s="1" t="s">
        <v>4301</v>
      </c>
      <c r="U612" s="1" t="s">
        <v>1577</v>
      </c>
      <c r="V612" s="1" t="s">
        <v>5120</v>
      </c>
      <c r="W612" s="3">
        <v>45383.0</v>
      </c>
      <c r="X612" s="3">
        <v>45383.0</v>
      </c>
    </row>
    <row r="613">
      <c r="A613" s="1" t="s">
        <v>13508</v>
      </c>
      <c r="B613" s="1" t="s">
        <v>4447</v>
      </c>
      <c r="C613" s="1" t="s">
        <v>4447</v>
      </c>
      <c r="D613" s="1" t="s">
        <v>4293</v>
      </c>
      <c r="E613" s="1" t="s">
        <v>7666</v>
      </c>
      <c r="F613" s="1" t="s">
        <v>13512</v>
      </c>
      <c r="G613" s="3">
        <v>44253.0</v>
      </c>
      <c r="H613" s="3">
        <v>44253.0</v>
      </c>
      <c r="I613" s="3">
        <v>44253.0</v>
      </c>
      <c r="J613" s="1" t="s">
        <v>215</v>
      </c>
      <c r="K613" s="1" t="s">
        <v>160</v>
      </c>
      <c r="L613" s="1" t="s">
        <v>216</v>
      </c>
      <c r="M613" s="1" t="s">
        <v>131</v>
      </c>
      <c r="Q613" s="1" t="s">
        <v>137</v>
      </c>
      <c r="R613" s="1" t="s">
        <v>137</v>
      </c>
      <c r="S613" s="1" t="s">
        <v>47</v>
      </c>
      <c r="T613" s="1" t="s">
        <v>4301</v>
      </c>
      <c r="U613" s="1" t="s">
        <v>1577</v>
      </c>
      <c r="V613" s="1" t="s">
        <v>3858</v>
      </c>
      <c r="W613" s="3">
        <v>44253.0</v>
      </c>
      <c r="X613" s="3">
        <v>44253.0</v>
      </c>
    </row>
    <row r="614">
      <c r="A614" s="1" t="s">
        <v>13522</v>
      </c>
      <c r="B614" s="1" t="s">
        <v>7672</v>
      </c>
      <c r="C614" s="1" t="s">
        <v>7672</v>
      </c>
      <c r="D614" s="1" t="s">
        <v>4293</v>
      </c>
      <c r="E614" s="1" t="s">
        <v>7673</v>
      </c>
      <c r="F614" s="1" t="s">
        <v>13524</v>
      </c>
      <c r="G614" s="3">
        <v>45267.0</v>
      </c>
      <c r="H614" s="3">
        <v>45503.0</v>
      </c>
      <c r="I614" s="3">
        <v>45503.0</v>
      </c>
      <c r="J614" s="1" t="s">
        <v>215</v>
      </c>
      <c r="K614" s="1" t="s">
        <v>160</v>
      </c>
      <c r="L614" s="1" t="s">
        <v>216</v>
      </c>
      <c r="M614" s="1" t="s">
        <v>131</v>
      </c>
      <c r="Q614" s="1" t="s">
        <v>137</v>
      </c>
      <c r="R614" s="1" t="s">
        <v>137</v>
      </c>
      <c r="S614" s="1" t="s">
        <v>47</v>
      </c>
      <c r="T614" s="1" t="s">
        <v>4301</v>
      </c>
      <c r="U614" s="1" t="s">
        <v>1577</v>
      </c>
      <c r="V614" s="1" t="s">
        <v>3858</v>
      </c>
      <c r="W614" s="3">
        <v>45503.0</v>
      </c>
      <c r="X614" s="3">
        <v>45503.0</v>
      </c>
    </row>
    <row r="615">
      <c r="A615" s="1" t="s">
        <v>13532</v>
      </c>
      <c r="B615" s="1" t="s">
        <v>7687</v>
      </c>
      <c r="C615" s="1" t="s">
        <v>7687</v>
      </c>
      <c r="D615" s="1" t="s">
        <v>4293</v>
      </c>
      <c r="E615" s="1" t="s">
        <v>7690</v>
      </c>
      <c r="F615" s="1" t="s">
        <v>13536</v>
      </c>
      <c r="G615" s="3">
        <v>43741.0</v>
      </c>
      <c r="H615" s="3">
        <v>44378.0</v>
      </c>
      <c r="I615" s="3">
        <v>44378.0</v>
      </c>
      <c r="J615" s="1" t="s">
        <v>215</v>
      </c>
      <c r="K615" s="1" t="s">
        <v>160</v>
      </c>
      <c r="L615" s="1" t="s">
        <v>216</v>
      </c>
      <c r="M615" s="1" t="s">
        <v>131</v>
      </c>
      <c r="Q615" s="1" t="s">
        <v>137</v>
      </c>
      <c r="R615" s="1" t="s">
        <v>137</v>
      </c>
      <c r="S615" s="1" t="s">
        <v>47</v>
      </c>
      <c r="T615" s="1" t="s">
        <v>4301</v>
      </c>
      <c r="U615" s="1" t="s">
        <v>1577</v>
      </c>
      <c r="V615" s="1" t="s">
        <v>3858</v>
      </c>
      <c r="W615" s="3">
        <v>44378.0</v>
      </c>
      <c r="X615" s="3">
        <v>44378.0</v>
      </c>
    </row>
    <row r="616">
      <c r="A616" s="1" t="s">
        <v>13544</v>
      </c>
      <c r="B616" s="1" t="s">
        <v>7698</v>
      </c>
      <c r="C616" s="1" t="s">
        <v>7698</v>
      </c>
      <c r="D616" s="1" t="s">
        <v>4293</v>
      </c>
      <c r="E616" s="1" t="s">
        <v>7700</v>
      </c>
      <c r="F616" s="1" t="s">
        <v>13550</v>
      </c>
      <c r="G616" s="3">
        <v>44553.0</v>
      </c>
      <c r="H616" s="3">
        <v>44630.0</v>
      </c>
      <c r="I616" s="3">
        <v>44630.0</v>
      </c>
      <c r="J616" s="1" t="s">
        <v>215</v>
      </c>
      <c r="K616" s="1" t="s">
        <v>160</v>
      </c>
      <c r="L616" s="1" t="s">
        <v>216</v>
      </c>
      <c r="M616" s="1" t="s">
        <v>131</v>
      </c>
      <c r="Q616" s="1" t="s">
        <v>137</v>
      </c>
      <c r="R616" s="1" t="s">
        <v>137</v>
      </c>
      <c r="S616" s="1" t="s">
        <v>47</v>
      </c>
      <c r="T616" s="1" t="s">
        <v>4301</v>
      </c>
      <c r="U616" s="1" t="s">
        <v>1577</v>
      </c>
      <c r="V616" s="1" t="s">
        <v>3858</v>
      </c>
      <c r="W616" s="3">
        <v>44630.0</v>
      </c>
      <c r="X616" s="3">
        <v>44630.0</v>
      </c>
    </row>
    <row r="617">
      <c r="A617" s="1" t="s">
        <v>13558</v>
      </c>
      <c r="B617" s="1" t="s">
        <v>7710</v>
      </c>
      <c r="C617" s="1" t="s">
        <v>7710</v>
      </c>
      <c r="D617" s="1" t="s">
        <v>4293</v>
      </c>
      <c r="E617" s="1" t="s">
        <v>7712</v>
      </c>
      <c r="F617" s="1" t="s">
        <v>13564</v>
      </c>
      <c r="G617" s="3">
        <v>45504.0</v>
      </c>
      <c r="H617" s="3">
        <v>45743.0</v>
      </c>
      <c r="I617" s="3">
        <v>45743.0</v>
      </c>
      <c r="J617" s="1" t="s">
        <v>215</v>
      </c>
      <c r="K617" s="1" t="s">
        <v>160</v>
      </c>
      <c r="L617" s="1" t="s">
        <v>216</v>
      </c>
      <c r="M617" s="1" t="s">
        <v>131</v>
      </c>
      <c r="Q617" s="1" t="s">
        <v>137</v>
      </c>
      <c r="R617" s="1" t="s">
        <v>137</v>
      </c>
      <c r="S617" s="1" t="s">
        <v>47</v>
      </c>
      <c r="T617" s="1" t="s">
        <v>4301</v>
      </c>
      <c r="U617" s="1" t="s">
        <v>1577</v>
      </c>
      <c r="V617" s="1" t="s">
        <v>3858</v>
      </c>
      <c r="W617" s="3">
        <v>45743.0</v>
      </c>
      <c r="X617" s="3">
        <v>45743.0</v>
      </c>
    </row>
    <row r="618">
      <c r="A618" s="1" t="s">
        <v>13571</v>
      </c>
      <c r="B618" s="1" t="s">
        <v>7710</v>
      </c>
      <c r="C618" s="1" t="s">
        <v>7710</v>
      </c>
      <c r="D618" s="1" t="s">
        <v>4293</v>
      </c>
      <c r="E618" s="1" t="s">
        <v>7712</v>
      </c>
      <c r="F618" s="1" t="s">
        <v>13579</v>
      </c>
      <c r="G618" s="3">
        <v>45504.0</v>
      </c>
      <c r="H618" s="3">
        <v>45743.0</v>
      </c>
      <c r="I618" s="3">
        <v>45743.0</v>
      </c>
      <c r="J618" s="1" t="s">
        <v>215</v>
      </c>
      <c r="K618" s="1" t="s">
        <v>160</v>
      </c>
      <c r="L618" s="1" t="s">
        <v>216</v>
      </c>
      <c r="M618" s="1" t="s">
        <v>131</v>
      </c>
      <c r="Q618" s="1" t="s">
        <v>137</v>
      </c>
      <c r="R618" s="1" t="s">
        <v>137</v>
      </c>
      <c r="S618" s="1" t="s">
        <v>47</v>
      </c>
      <c r="T618" s="1" t="s">
        <v>4301</v>
      </c>
      <c r="U618" s="1" t="s">
        <v>1577</v>
      </c>
      <c r="V618" s="1" t="s">
        <v>4950</v>
      </c>
      <c r="W618" s="3">
        <v>45743.0</v>
      </c>
      <c r="X618" s="3">
        <v>45743.0</v>
      </c>
    </row>
    <row r="619">
      <c r="A619" s="1" t="s">
        <v>13587</v>
      </c>
      <c r="B619" s="1" t="s">
        <v>5631</v>
      </c>
      <c r="C619" s="1" t="s">
        <v>5631</v>
      </c>
      <c r="D619" s="1" t="s">
        <v>4293</v>
      </c>
      <c r="E619" s="1" t="s">
        <v>7717</v>
      </c>
      <c r="F619" s="1" t="s">
        <v>13591</v>
      </c>
      <c r="G619" s="3">
        <v>45464.0</v>
      </c>
      <c r="H619" s="3">
        <v>45568.0</v>
      </c>
      <c r="I619" s="3">
        <v>45568.0</v>
      </c>
      <c r="J619" s="1" t="s">
        <v>215</v>
      </c>
      <c r="K619" s="1" t="s">
        <v>160</v>
      </c>
      <c r="L619" s="1" t="s">
        <v>216</v>
      </c>
      <c r="M619" s="1" t="s">
        <v>131</v>
      </c>
      <c r="Q619" s="1" t="s">
        <v>137</v>
      </c>
      <c r="R619" s="1" t="s">
        <v>137</v>
      </c>
      <c r="S619" s="1" t="s">
        <v>47</v>
      </c>
      <c r="T619" s="1" t="s">
        <v>4301</v>
      </c>
      <c r="U619" s="1" t="s">
        <v>1577</v>
      </c>
      <c r="V619" s="1" t="s">
        <v>4679</v>
      </c>
      <c r="W619" s="3">
        <v>45568.0</v>
      </c>
      <c r="X619" s="3">
        <v>45568.0</v>
      </c>
    </row>
    <row r="620">
      <c r="A620" s="1" t="s">
        <v>13599</v>
      </c>
      <c r="B620" s="1" t="s">
        <v>5631</v>
      </c>
      <c r="C620" s="1" t="s">
        <v>5631</v>
      </c>
      <c r="D620" s="1" t="s">
        <v>4293</v>
      </c>
      <c r="E620" s="1" t="s">
        <v>7717</v>
      </c>
      <c r="F620" s="1" t="s">
        <v>13603</v>
      </c>
      <c r="G620" s="3">
        <v>45464.0</v>
      </c>
      <c r="H620" s="3">
        <v>45568.0</v>
      </c>
      <c r="I620" s="3">
        <v>45568.0</v>
      </c>
      <c r="J620" s="1" t="s">
        <v>215</v>
      </c>
      <c r="K620" s="1" t="s">
        <v>160</v>
      </c>
      <c r="L620" s="1" t="s">
        <v>216</v>
      </c>
      <c r="M620" s="1" t="s">
        <v>131</v>
      </c>
      <c r="Q620" s="1" t="s">
        <v>137</v>
      </c>
      <c r="R620" s="1" t="s">
        <v>137</v>
      </c>
      <c r="S620" s="1" t="s">
        <v>47</v>
      </c>
      <c r="T620" s="1" t="s">
        <v>4301</v>
      </c>
      <c r="U620" s="1" t="s">
        <v>1577</v>
      </c>
      <c r="V620" s="1" t="s">
        <v>3865</v>
      </c>
      <c r="W620" s="3">
        <v>45568.0</v>
      </c>
      <c r="X620" s="3">
        <v>45568.0</v>
      </c>
    </row>
    <row r="621">
      <c r="A621" s="1" t="s">
        <v>13611</v>
      </c>
      <c r="B621" s="1" t="s">
        <v>5631</v>
      </c>
      <c r="C621" s="1" t="s">
        <v>5631</v>
      </c>
      <c r="D621" s="1" t="s">
        <v>4293</v>
      </c>
      <c r="E621" s="1" t="s">
        <v>7717</v>
      </c>
      <c r="F621" s="1" t="s">
        <v>13614</v>
      </c>
      <c r="G621" s="3">
        <v>45464.0</v>
      </c>
      <c r="H621" s="3">
        <v>45568.0</v>
      </c>
      <c r="I621" s="3">
        <v>45568.0</v>
      </c>
      <c r="J621" s="1" t="s">
        <v>215</v>
      </c>
      <c r="K621" s="1" t="s">
        <v>160</v>
      </c>
      <c r="L621" s="1" t="s">
        <v>216</v>
      </c>
      <c r="M621" s="1" t="s">
        <v>131</v>
      </c>
      <c r="Q621" s="1" t="s">
        <v>137</v>
      </c>
      <c r="R621" s="1" t="s">
        <v>137</v>
      </c>
      <c r="S621" s="1" t="s">
        <v>47</v>
      </c>
      <c r="T621" s="1" t="s">
        <v>4301</v>
      </c>
      <c r="U621" s="1" t="s">
        <v>1577</v>
      </c>
      <c r="V621" s="1" t="s">
        <v>4950</v>
      </c>
      <c r="W621" s="3">
        <v>45568.0</v>
      </c>
      <c r="X621" s="3">
        <v>45568.0</v>
      </c>
    </row>
    <row r="622">
      <c r="A622" s="1" t="s">
        <v>13624</v>
      </c>
      <c r="B622" s="1" t="s">
        <v>5631</v>
      </c>
      <c r="C622" s="1" t="s">
        <v>5631</v>
      </c>
      <c r="D622" s="1" t="s">
        <v>4293</v>
      </c>
      <c r="E622" s="1" t="s">
        <v>7717</v>
      </c>
      <c r="F622" s="1" t="s">
        <v>13629</v>
      </c>
      <c r="G622" s="3">
        <v>45464.0</v>
      </c>
      <c r="H622" s="3">
        <v>45568.0</v>
      </c>
      <c r="I622" s="3">
        <v>45568.0</v>
      </c>
      <c r="J622" s="1" t="s">
        <v>215</v>
      </c>
      <c r="K622" s="1" t="s">
        <v>160</v>
      </c>
      <c r="L622" s="1" t="s">
        <v>216</v>
      </c>
      <c r="M622" s="1" t="s">
        <v>131</v>
      </c>
      <c r="Q622" s="1" t="s">
        <v>137</v>
      </c>
      <c r="R622" s="1" t="s">
        <v>137</v>
      </c>
      <c r="S622" s="1" t="s">
        <v>47</v>
      </c>
      <c r="T622" s="1" t="s">
        <v>4301</v>
      </c>
      <c r="U622" s="1" t="s">
        <v>1577</v>
      </c>
      <c r="V622" s="1" t="s">
        <v>5104</v>
      </c>
      <c r="W622" s="3">
        <v>45568.0</v>
      </c>
      <c r="X622" s="3">
        <v>45568.0</v>
      </c>
    </row>
    <row r="623">
      <c r="A623" s="1" t="s">
        <v>13637</v>
      </c>
      <c r="B623" s="1" t="s">
        <v>5631</v>
      </c>
      <c r="C623" s="1" t="s">
        <v>5631</v>
      </c>
      <c r="D623" s="1" t="s">
        <v>4293</v>
      </c>
      <c r="E623" s="1" t="s">
        <v>7717</v>
      </c>
      <c r="F623" s="1" t="s">
        <v>13641</v>
      </c>
      <c r="G623" s="3">
        <v>45464.0</v>
      </c>
      <c r="H623" s="3">
        <v>45568.0</v>
      </c>
      <c r="I623" s="3">
        <v>45568.0</v>
      </c>
      <c r="J623" s="1" t="s">
        <v>215</v>
      </c>
      <c r="K623" s="1" t="s">
        <v>160</v>
      </c>
      <c r="L623" s="1" t="s">
        <v>216</v>
      </c>
      <c r="M623" s="1" t="s">
        <v>131</v>
      </c>
      <c r="Q623" s="1" t="s">
        <v>137</v>
      </c>
      <c r="R623" s="1" t="s">
        <v>137</v>
      </c>
      <c r="S623" s="1" t="s">
        <v>47</v>
      </c>
      <c r="T623" s="1" t="s">
        <v>4301</v>
      </c>
      <c r="U623" s="1" t="s">
        <v>1577</v>
      </c>
      <c r="V623" s="1" t="s">
        <v>5120</v>
      </c>
      <c r="W623" s="3">
        <v>45568.0</v>
      </c>
      <c r="X623" s="3">
        <v>45568.0</v>
      </c>
    </row>
    <row r="624">
      <c r="A624" s="1" t="s">
        <v>13651</v>
      </c>
      <c r="B624" s="1" t="s">
        <v>7725</v>
      </c>
      <c r="C624" s="1" t="s">
        <v>7725</v>
      </c>
      <c r="D624" s="1" t="s">
        <v>4293</v>
      </c>
      <c r="E624" s="1" t="s">
        <v>7728</v>
      </c>
      <c r="F624" s="1" t="s">
        <v>13654</v>
      </c>
      <c r="G624" s="3">
        <v>45156.0</v>
      </c>
      <c r="H624" s="3">
        <v>45202.0</v>
      </c>
      <c r="I624" s="3">
        <v>45202.0</v>
      </c>
      <c r="J624" s="1" t="s">
        <v>215</v>
      </c>
      <c r="K624" s="1" t="s">
        <v>160</v>
      </c>
      <c r="L624" s="1" t="s">
        <v>216</v>
      </c>
      <c r="M624" s="1" t="s">
        <v>131</v>
      </c>
      <c r="Q624" s="1" t="s">
        <v>137</v>
      </c>
      <c r="R624" s="1" t="s">
        <v>137</v>
      </c>
      <c r="S624" s="1" t="s">
        <v>47</v>
      </c>
      <c r="T624" s="1" t="s">
        <v>4301</v>
      </c>
      <c r="U624" s="1" t="s">
        <v>1577</v>
      </c>
      <c r="V624" s="1" t="s">
        <v>3858</v>
      </c>
      <c r="W624" s="3">
        <v>45202.0</v>
      </c>
      <c r="X624" s="3">
        <v>45202.0</v>
      </c>
    </row>
    <row r="625">
      <c r="A625" s="1" t="s">
        <v>13664</v>
      </c>
      <c r="B625" s="1" t="s">
        <v>7725</v>
      </c>
      <c r="C625" s="1" t="s">
        <v>7725</v>
      </c>
      <c r="D625" s="1" t="s">
        <v>4293</v>
      </c>
      <c r="E625" s="1" t="s">
        <v>7728</v>
      </c>
      <c r="F625" s="1" t="s">
        <v>13668</v>
      </c>
      <c r="G625" s="3">
        <v>45156.0</v>
      </c>
      <c r="H625" s="3">
        <v>45202.0</v>
      </c>
      <c r="I625" s="3">
        <v>45202.0</v>
      </c>
      <c r="J625" s="1" t="s">
        <v>215</v>
      </c>
      <c r="K625" s="1" t="s">
        <v>160</v>
      </c>
      <c r="L625" s="1" t="s">
        <v>216</v>
      </c>
      <c r="M625" s="1" t="s">
        <v>131</v>
      </c>
      <c r="Q625" s="1" t="s">
        <v>137</v>
      </c>
      <c r="R625" s="1" t="s">
        <v>137</v>
      </c>
      <c r="S625" s="1" t="s">
        <v>47</v>
      </c>
      <c r="T625" s="1" t="s">
        <v>4301</v>
      </c>
      <c r="U625" s="1" t="s">
        <v>1577</v>
      </c>
      <c r="V625" s="1" t="s">
        <v>4950</v>
      </c>
      <c r="W625" s="3">
        <v>45202.0</v>
      </c>
      <c r="X625" s="3">
        <v>45202.0</v>
      </c>
    </row>
    <row r="626">
      <c r="A626" s="1" t="s">
        <v>13678</v>
      </c>
      <c r="B626" s="1" t="s">
        <v>4378</v>
      </c>
      <c r="C626" s="1" t="s">
        <v>4378</v>
      </c>
      <c r="D626" s="1" t="s">
        <v>4293</v>
      </c>
      <c r="E626" s="1" t="s">
        <v>7734</v>
      </c>
      <c r="F626" s="1" t="s">
        <v>13682</v>
      </c>
      <c r="G626" s="3">
        <v>44859.0</v>
      </c>
      <c r="H626" s="3">
        <v>45005.0</v>
      </c>
      <c r="I626" s="3">
        <v>45005.0</v>
      </c>
      <c r="J626" s="1" t="s">
        <v>215</v>
      </c>
      <c r="K626" s="1" t="s">
        <v>160</v>
      </c>
      <c r="L626" s="1" t="s">
        <v>216</v>
      </c>
      <c r="M626" s="1" t="s">
        <v>131</v>
      </c>
      <c r="Q626" s="1" t="s">
        <v>137</v>
      </c>
      <c r="R626" s="1" t="s">
        <v>137</v>
      </c>
      <c r="S626" s="1" t="s">
        <v>47</v>
      </c>
      <c r="T626" s="1" t="s">
        <v>4301</v>
      </c>
      <c r="U626" s="1" t="s">
        <v>1577</v>
      </c>
      <c r="V626" s="1" t="s">
        <v>4679</v>
      </c>
      <c r="W626" s="3">
        <v>45005.0</v>
      </c>
      <c r="X626" s="3">
        <v>45005.0</v>
      </c>
    </row>
    <row r="627">
      <c r="A627" s="1" t="s">
        <v>13685</v>
      </c>
      <c r="B627" s="1" t="s">
        <v>4378</v>
      </c>
      <c r="C627" s="1" t="s">
        <v>4378</v>
      </c>
      <c r="D627" s="1" t="s">
        <v>4293</v>
      </c>
      <c r="E627" s="1" t="s">
        <v>7734</v>
      </c>
      <c r="F627" s="1" t="s">
        <v>13687</v>
      </c>
      <c r="G627" s="3">
        <v>44859.0</v>
      </c>
      <c r="H627" s="3">
        <v>45005.0</v>
      </c>
      <c r="I627" s="3">
        <v>45005.0</v>
      </c>
      <c r="J627" s="1" t="s">
        <v>215</v>
      </c>
      <c r="K627" s="1" t="s">
        <v>160</v>
      </c>
      <c r="L627" s="1" t="s">
        <v>216</v>
      </c>
      <c r="M627" s="1" t="s">
        <v>131</v>
      </c>
      <c r="Q627" s="1" t="s">
        <v>137</v>
      </c>
      <c r="R627" s="1" t="s">
        <v>137</v>
      </c>
      <c r="S627" s="1" t="s">
        <v>47</v>
      </c>
      <c r="T627" s="1" t="s">
        <v>4301</v>
      </c>
      <c r="U627" s="1" t="s">
        <v>1577</v>
      </c>
      <c r="V627" s="1" t="s">
        <v>3865</v>
      </c>
      <c r="W627" s="3">
        <v>45005.0</v>
      </c>
      <c r="X627" s="3">
        <v>45005.0</v>
      </c>
    </row>
    <row r="628">
      <c r="A628" s="1" t="s">
        <v>13690</v>
      </c>
      <c r="B628" s="1" t="s">
        <v>4378</v>
      </c>
      <c r="C628" s="1" t="s">
        <v>4378</v>
      </c>
      <c r="D628" s="1" t="s">
        <v>4293</v>
      </c>
      <c r="E628" s="1" t="s">
        <v>7734</v>
      </c>
      <c r="F628" s="1" t="s">
        <v>13693</v>
      </c>
      <c r="G628" s="3">
        <v>44859.0</v>
      </c>
      <c r="H628" s="3">
        <v>45005.0</v>
      </c>
      <c r="I628" s="3">
        <v>45005.0</v>
      </c>
      <c r="J628" s="1" t="s">
        <v>215</v>
      </c>
      <c r="K628" s="1" t="s">
        <v>160</v>
      </c>
      <c r="L628" s="1" t="s">
        <v>216</v>
      </c>
      <c r="M628" s="1" t="s">
        <v>131</v>
      </c>
      <c r="Q628" s="1" t="s">
        <v>137</v>
      </c>
      <c r="R628" s="1" t="s">
        <v>137</v>
      </c>
      <c r="S628" s="1" t="s">
        <v>47</v>
      </c>
      <c r="T628" s="1" t="s">
        <v>4301</v>
      </c>
      <c r="U628" s="1" t="s">
        <v>1577</v>
      </c>
      <c r="V628" s="1" t="s">
        <v>4950</v>
      </c>
      <c r="W628" s="3">
        <v>45005.0</v>
      </c>
      <c r="X628" s="3">
        <v>45005.0</v>
      </c>
    </row>
    <row r="629">
      <c r="A629" s="1" t="s">
        <v>13698</v>
      </c>
      <c r="B629" s="1" t="s">
        <v>4378</v>
      </c>
      <c r="C629" s="1" t="s">
        <v>4378</v>
      </c>
      <c r="D629" s="1" t="s">
        <v>4293</v>
      </c>
      <c r="E629" s="1" t="s">
        <v>7734</v>
      </c>
      <c r="F629" s="1" t="s">
        <v>13701</v>
      </c>
      <c r="G629" s="3">
        <v>44859.0</v>
      </c>
      <c r="H629" s="3">
        <v>45005.0</v>
      </c>
      <c r="I629" s="3">
        <v>45005.0</v>
      </c>
      <c r="J629" s="1" t="s">
        <v>215</v>
      </c>
      <c r="K629" s="1" t="s">
        <v>160</v>
      </c>
      <c r="L629" s="1" t="s">
        <v>216</v>
      </c>
      <c r="M629" s="1" t="s">
        <v>131</v>
      </c>
      <c r="Q629" s="1" t="s">
        <v>137</v>
      </c>
      <c r="R629" s="1" t="s">
        <v>137</v>
      </c>
      <c r="S629" s="1" t="s">
        <v>47</v>
      </c>
      <c r="T629" s="1" t="s">
        <v>4301</v>
      </c>
      <c r="U629" s="1" t="s">
        <v>1577</v>
      </c>
      <c r="V629" s="1" t="s">
        <v>5104</v>
      </c>
      <c r="W629" s="3">
        <v>45005.0</v>
      </c>
      <c r="X629" s="3">
        <v>45005.0</v>
      </c>
    </row>
    <row r="630">
      <c r="A630" s="1" t="s">
        <v>13706</v>
      </c>
      <c r="B630" s="1" t="s">
        <v>4378</v>
      </c>
      <c r="C630" s="1" t="s">
        <v>4378</v>
      </c>
      <c r="D630" s="1" t="s">
        <v>4293</v>
      </c>
      <c r="E630" s="1" t="s">
        <v>7734</v>
      </c>
      <c r="F630" s="1" t="s">
        <v>13709</v>
      </c>
      <c r="G630" s="3">
        <v>44859.0</v>
      </c>
      <c r="H630" s="3">
        <v>45005.0</v>
      </c>
      <c r="I630" s="3">
        <v>45005.0</v>
      </c>
      <c r="J630" s="1" t="s">
        <v>215</v>
      </c>
      <c r="K630" s="1" t="s">
        <v>160</v>
      </c>
      <c r="L630" s="1" t="s">
        <v>216</v>
      </c>
      <c r="M630" s="1" t="s">
        <v>131</v>
      </c>
      <c r="Q630" s="1" t="s">
        <v>137</v>
      </c>
      <c r="R630" s="1" t="s">
        <v>137</v>
      </c>
      <c r="S630" s="1" t="s">
        <v>47</v>
      </c>
      <c r="T630" s="1" t="s">
        <v>4301</v>
      </c>
      <c r="U630" s="1" t="s">
        <v>1577</v>
      </c>
      <c r="V630" s="1" t="s">
        <v>5120</v>
      </c>
      <c r="W630" s="3">
        <v>45005.0</v>
      </c>
      <c r="X630" s="3">
        <v>45005.0</v>
      </c>
    </row>
    <row r="631">
      <c r="A631" s="1" t="s">
        <v>13713</v>
      </c>
      <c r="B631" s="1" t="s">
        <v>7742</v>
      </c>
      <c r="C631" s="1" t="s">
        <v>7742</v>
      </c>
      <c r="D631" s="1" t="s">
        <v>4293</v>
      </c>
      <c r="E631" s="1" t="s">
        <v>7744</v>
      </c>
      <c r="F631" s="1" t="s">
        <v>13717</v>
      </c>
      <c r="G631" s="3">
        <v>45560.0</v>
      </c>
      <c r="H631" s="3">
        <v>45826.0</v>
      </c>
      <c r="I631" s="3">
        <v>45826.0</v>
      </c>
      <c r="J631" s="1" t="s">
        <v>215</v>
      </c>
      <c r="K631" s="1" t="s">
        <v>160</v>
      </c>
      <c r="L631" s="1" t="s">
        <v>216</v>
      </c>
      <c r="M631" s="1" t="s">
        <v>131</v>
      </c>
      <c r="Q631" s="1" t="s">
        <v>137</v>
      </c>
      <c r="R631" s="1" t="s">
        <v>137</v>
      </c>
      <c r="S631" s="1" t="s">
        <v>47</v>
      </c>
      <c r="T631" s="1" t="s">
        <v>4301</v>
      </c>
      <c r="U631" s="1" t="s">
        <v>1577</v>
      </c>
      <c r="V631" s="1" t="s">
        <v>4679</v>
      </c>
      <c r="W631" s="3">
        <v>45826.0</v>
      </c>
      <c r="X631" s="3">
        <v>45826.0</v>
      </c>
    </row>
    <row r="632">
      <c r="A632" s="1" t="s">
        <v>13722</v>
      </c>
      <c r="B632" s="1" t="s">
        <v>7742</v>
      </c>
      <c r="C632" s="1" t="s">
        <v>7742</v>
      </c>
      <c r="D632" s="1" t="s">
        <v>4293</v>
      </c>
      <c r="E632" s="1" t="s">
        <v>7744</v>
      </c>
      <c r="F632" s="1" t="s">
        <v>13723</v>
      </c>
      <c r="G632" s="3">
        <v>45560.0</v>
      </c>
      <c r="H632" s="3">
        <v>45826.0</v>
      </c>
      <c r="I632" s="3">
        <v>45826.0</v>
      </c>
      <c r="J632" s="1" t="s">
        <v>215</v>
      </c>
      <c r="K632" s="1" t="s">
        <v>160</v>
      </c>
      <c r="L632" s="1" t="s">
        <v>216</v>
      </c>
      <c r="M632" s="1" t="s">
        <v>131</v>
      </c>
      <c r="Q632" s="1" t="s">
        <v>137</v>
      </c>
      <c r="R632" s="1" t="s">
        <v>137</v>
      </c>
      <c r="S632" s="1" t="s">
        <v>47</v>
      </c>
      <c r="T632" s="1" t="s">
        <v>4301</v>
      </c>
      <c r="U632" s="1" t="s">
        <v>1577</v>
      </c>
      <c r="V632" s="1" t="s">
        <v>4950</v>
      </c>
      <c r="W632" s="3">
        <v>45826.0</v>
      </c>
      <c r="X632" s="3">
        <v>45826.0</v>
      </c>
    </row>
    <row r="633">
      <c r="A633" s="1" t="s">
        <v>13728</v>
      </c>
      <c r="B633" s="1" t="s">
        <v>7742</v>
      </c>
      <c r="C633" s="1" t="s">
        <v>7742</v>
      </c>
      <c r="D633" s="1" t="s">
        <v>4293</v>
      </c>
      <c r="E633" s="1" t="s">
        <v>7744</v>
      </c>
      <c r="F633" s="1" t="s">
        <v>13731</v>
      </c>
      <c r="G633" s="3">
        <v>45560.0</v>
      </c>
      <c r="H633" s="3">
        <v>45826.0</v>
      </c>
      <c r="I633" s="3">
        <v>45826.0</v>
      </c>
      <c r="J633" s="1" t="s">
        <v>215</v>
      </c>
      <c r="K633" s="1" t="s">
        <v>160</v>
      </c>
      <c r="L633" s="1" t="s">
        <v>216</v>
      </c>
      <c r="M633" s="1" t="s">
        <v>131</v>
      </c>
      <c r="Q633" s="1" t="s">
        <v>137</v>
      </c>
      <c r="R633" s="1" t="s">
        <v>137</v>
      </c>
      <c r="S633" s="1" t="s">
        <v>47</v>
      </c>
      <c r="T633" s="1" t="s">
        <v>4301</v>
      </c>
      <c r="U633" s="1" t="s">
        <v>1577</v>
      </c>
      <c r="V633" s="1" t="s">
        <v>5104</v>
      </c>
      <c r="W633" s="3">
        <v>45826.0</v>
      </c>
      <c r="X633" s="3">
        <v>45826.0</v>
      </c>
    </row>
    <row r="634">
      <c r="A634" s="1" t="s">
        <v>13734</v>
      </c>
      <c r="B634" s="1" t="s">
        <v>7742</v>
      </c>
      <c r="C634" s="1" t="s">
        <v>7742</v>
      </c>
      <c r="D634" s="1" t="s">
        <v>4293</v>
      </c>
      <c r="E634" s="1" t="s">
        <v>7744</v>
      </c>
      <c r="F634" s="1" t="s">
        <v>13736</v>
      </c>
      <c r="G634" s="3">
        <v>45560.0</v>
      </c>
      <c r="H634" s="3">
        <v>45826.0</v>
      </c>
      <c r="I634" s="3">
        <v>45826.0</v>
      </c>
      <c r="J634" s="1" t="s">
        <v>215</v>
      </c>
      <c r="K634" s="1" t="s">
        <v>160</v>
      </c>
      <c r="L634" s="1" t="s">
        <v>216</v>
      </c>
      <c r="M634" s="1" t="s">
        <v>131</v>
      </c>
      <c r="Q634" s="1" t="s">
        <v>137</v>
      </c>
      <c r="R634" s="1" t="s">
        <v>137</v>
      </c>
      <c r="S634" s="1" t="s">
        <v>47</v>
      </c>
      <c r="T634" s="1" t="s">
        <v>4301</v>
      </c>
      <c r="U634" s="1" t="s">
        <v>1577</v>
      </c>
      <c r="V634" s="1" t="s">
        <v>5120</v>
      </c>
      <c r="W634" s="3">
        <v>45826.0</v>
      </c>
      <c r="X634" s="3">
        <v>45826.0</v>
      </c>
    </row>
    <row r="635">
      <c r="A635" s="1" t="s">
        <v>13739</v>
      </c>
      <c r="B635" s="1" t="s">
        <v>7751</v>
      </c>
      <c r="C635" s="1" t="s">
        <v>7751</v>
      </c>
      <c r="D635" s="1" t="s">
        <v>4293</v>
      </c>
      <c r="E635" s="1" t="s">
        <v>7753</v>
      </c>
      <c r="F635" s="1" t="s">
        <v>13743</v>
      </c>
      <c r="G635" s="3">
        <v>45419.0</v>
      </c>
      <c r="H635" s="3">
        <v>45567.0</v>
      </c>
      <c r="I635" s="3">
        <v>45567.0</v>
      </c>
      <c r="J635" s="1" t="s">
        <v>215</v>
      </c>
      <c r="K635" s="1" t="s">
        <v>160</v>
      </c>
      <c r="L635" s="1" t="s">
        <v>216</v>
      </c>
      <c r="M635" s="1" t="s">
        <v>131</v>
      </c>
      <c r="Q635" s="1" t="s">
        <v>137</v>
      </c>
      <c r="R635" s="1" t="s">
        <v>137</v>
      </c>
      <c r="S635" s="1" t="s">
        <v>47</v>
      </c>
      <c r="T635" s="1" t="s">
        <v>4301</v>
      </c>
      <c r="U635" s="1" t="s">
        <v>1577</v>
      </c>
      <c r="V635" s="1" t="s">
        <v>3963</v>
      </c>
      <c r="W635" s="3">
        <v>45567.0</v>
      </c>
      <c r="X635" s="3">
        <v>45567.0</v>
      </c>
    </row>
    <row r="636">
      <c r="A636" s="1" t="s">
        <v>13748</v>
      </c>
      <c r="B636" s="1" t="s">
        <v>7751</v>
      </c>
      <c r="C636" s="1" t="s">
        <v>7751</v>
      </c>
      <c r="D636" s="1" t="s">
        <v>4293</v>
      </c>
      <c r="E636" s="1" t="s">
        <v>7753</v>
      </c>
      <c r="F636" s="1" t="s">
        <v>13751</v>
      </c>
      <c r="G636" s="3">
        <v>45419.0</v>
      </c>
      <c r="H636" s="3">
        <v>45567.0</v>
      </c>
      <c r="I636" s="3">
        <v>45567.0</v>
      </c>
      <c r="J636" s="1" t="s">
        <v>215</v>
      </c>
      <c r="K636" s="1" t="s">
        <v>160</v>
      </c>
      <c r="L636" s="1" t="s">
        <v>216</v>
      </c>
      <c r="M636" s="1" t="s">
        <v>131</v>
      </c>
      <c r="Q636" s="1" t="s">
        <v>137</v>
      </c>
      <c r="R636" s="1" t="s">
        <v>137</v>
      </c>
      <c r="S636" s="1" t="s">
        <v>47</v>
      </c>
      <c r="T636" s="1" t="s">
        <v>4301</v>
      </c>
      <c r="U636" s="1" t="s">
        <v>1577</v>
      </c>
      <c r="V636" s="1" t="s">
        <v>4679</v>
      </c>
      <c r="W636" s="3">
        <v>45567.0</v>
      </c>
      <c r="X636" s="3">
        <v>45567.0</v>
      </c>
    </row>
    <row r="637">
      <c r="A637" s="1" t="s">
        <v>13754</v>
      </c>
      <c r="B637" s="1" t="s">
        <v>7751</v>
      </c>
      <c r="C637" s="1" t="s">
        <v>7751</v>
      </c>
      <c r="D637" s="1" t="s">
        <v>4293</v>
      </c>
      <c r="E637" s="1" t="s">
        <v>7753</v>
      </c>
      <c r="F637" s="1" t="s">
        <v>13757</v>
      </c>
      <c r="G637" s="3">
        <v>45419.0</v>
      </c>
      <c r="H637" s="3">
        <v>45567.0</v>
      </c>
      <c r="I637" s="3">
        <v>45567.0</v>
      </c>
      <c r="J637" s="1" t="s">
        <v>215</v>
      </c>
      <c r="K637" s="1" t="s">
        <v>160</v>
      </c>
      <c r="L637" s="1" t="s">
        <v>216</v>
      </c>
      <c r="M637" s="1" t="s">
        <v>131</v>
      </c>
      <c r="Q637" s="1" t="s">
        <v>137</v>
      </c>
      <c r="R637" s="1" t="s">
        <v>137</v>
      </c>
      <c r="S637" s="1" t="s">
        <v>47</v>
      </c>
      <c r="T637" s="1" t="s">
        <v>4301</v>
      </c>
      <c r="U637" s="1" t="s">
        <v>1577</v>
      </c>
      <c r="V637" s="1" t="s">
        <v>4950</v>
      </c>
      <c r="W637" s="3">
        <v>45567.0</v>
      </c>
      <c r="X637" s="3">
        <v>45567.0</v>
      </c>
    </row>
    <row r="638">
      <c r="A638" s="1" t="s">
        <v>13771</v>
      </c>
      <c r="B638" s="1" t="s">
        <v>7751</v>
      </c>
      <c r="C638" s="1" t="s">
        <v>7751</v>
      </c>
      <c r="D638" s="1" t="s">
        <v>4293</v>
      </c>
      <c r="E638" s="1" t="s">
        <v>7753</v>
      </c>
      <c r="F638" s="1" t="s">
        <v>13773</v>
      </c>
      <c r="G638" s="3">
        <v>45419.0</v>
      </c>
      <c r="H638" s="3">
        <v>45567.0</v>
      </c>
      <c r="I638" s="3">
        <v>45567.0</v>
      </c>
      <c r="J638" s="1" t="s">
        <v>215</v>
      </c>
      <c r="K638" s="1" t="s">
        <v>160</v>
      </c>
      <c r="L638" s="1" t="s">
        <v>216</v>
      </c>
      <c r="M638" s="1" t="s">
        <v>131</v>
      </c>
      <c r="Q638" s="1" t="s">
        <v>137</v>
      </c>
      <c r="R638" s="1" t="s">
        <v>137</v>
      </c>
      <c r="S638" s="1" t="s">
        <v>47</v>
      </c>
      <c r="T638" s="1" t="s">
        <v>4301</v>
      </c>
      <c r="U638" s="1" t="s">
        <v>1577</v>
      </c>
      <c r="V638" s="1" t="s">
        <v>5104</v>
      </c>
      <c r="W638" s="3">
        <v>45567.0</v>
      </c>
      <c r="X638" s="3">
        <v>45567.0</v>
      </c>
    </row>
    <row r="639">
      <c r="A639" s="1" t="s">
        <v>13778</v>
      </c>
      <c r="B639" s="1" t="s">
        <v>7751</v>
      </c>
      <c r="C639" s="1" t="s">
        <v>7751</v>
      </c>
      <c r="D639" s="1" t="s">
        <v>4293</v>
      </c>
      <c r="E639" s="1" t="s">
        <v>7753</v>
      </c>
      <c r="F639" s="1" t="s">
        <v>13779</v>
      </c>
      <c r="G639" s="3">
        <v>45419.0</v>
      </c>
      <c r="H639" s="3">
        <v>45567.0</v>
      </c>
      <c r="I639" s="3">
        <v>45567.0</v>
      </c>
      <c r="J639" s="1" t="s">
        <v>215</v>
      </c>
      <c r="K639" s="1" t="s">
        <v>160</v>
      </c>
      <c r="L639" s="1" t="s">
        <v>216</v>
      </c>
      <c r="M639" s="1" t="s">
        <v>131</v>
      </c>
      <c r="Q639" s="1" t="s">
        <v>137</v>
      </c>
      <c r="R639" s="1" t="s">
        <v>137</v>
      </c>
      <c r="S639" s="1" t="s">
        <v>47</v>
      </c>
      <c r="T639" s="1" t="s">
        <v>4301</v>
      </c>
      <c r="U639" s="1" t="s">
        <v>1577</v>
      </c>
      <c r="V639" s="1" t="s">
        <v>5120</v>
      </c>
      <c r="W639" s="3">
        <v>45567.0</v>
      </c>
      <c r="X639" s="3">
        <v>45567.0</v>
      </c>
    </row>
    <row r="640">
      <c r="A640" s="1" t="s">
        <v>13783</v>
      </c>
      <c r="B640" s="1" t="s">
        <v>7760</v>
      </c>
      <c r="C640" s="1" t="s">
        <v>7760</v>
      </c>
      <c r="D640" s="1" t="s">
        <v>4293</v>
      </c>
      <c r="E640" s="1" t="s">
        <v>7763</v>
      </c>
      <c r="F640" s="1" t="s">
        <v>13787</v>
      </c>
      <c r="G640" s="3">
        <v>45117.0</v>
      </c>
      <c r="H640" s="3">
        <v>45385.0</v>
      </c>
      <c r="I640" s="3">
        <v>45385.0</v>
      </c>
      <c r="J640" s="1" t="s">
        <v>215</v>
      </c>
      <c r="K640" s="1" t="s">
        <v>160</v>
      </c>
      <c r="L640" s="1" t="s">
        <v>216</v>
      </c>
      <c r="M640" s="1" t="s">
        <v>131</v>
      </c>
      <c r="Q640" s="1" t="s">
        <v>137</v>
      </c>
      <c r="R640" s="1" t="s">
        <v>137</v>
      </c>
      <c r="S640" s="1" t="s">
        <v>47</v>
      </c>
      <c r="T640" s="1" t="s">
        <v>4301</v>
      </c>
      <c r="U640" s="1" t="s">
        <v>1577</v>
      </c>
      <c r="V640" s="1" t="s">
        <v>3858</v>
      </c>
      <c r="W640" s="3">
        <v>45385.0</v>
      </c>
      <c r="X640" s="3">
        <v>45385.0</v>
      </c>
    </row>
    <row r="641">
      <c r="A641" s="1" t="s">
        <v>13796</v>
      </c>
      <c r="B641" s="1" t="s">
        <v>7760</v>
      </c>
      <c r="C641" s="1" t="s">
        <v>7760</v>
      </c>
      <c r="D641" s="1" t="s">
        <v>4293</v>
      </c>
      <c r="E641" s="1" t="s">
        <v>7763</v>
      </c>
      <c r="F641" s="1" t="s">
        <v>13798</v>
      </c>
      <c r="G641" s="3">
        <v>45117.0</v>
      </c>
      <c r="H641" s="3">
        <v>45385.0</v>
      </c>
      <c r="I641" s="3">
        <v>45385.0</v>
      </c>
      <c r="J641" s="1" t="s">
        <v>215</v>
      </c>
      <c r="K641" s="1" t="s">
        <v>160</v>
      </c>
      <c r="L641" s="1" t="s">
        <v>216</v>
      </c>
      <c r="M641" s="1" t="s">
        <v>131</v>
      </c>
      <c r="Q641" s="1" t="s">
        <v>137</v>
      </c>
      <c r="R641" s="1" t="s">
        <v>137</v>
      </c>
      <c r="S641" s="1" t="s">
        <v>47</v>
      </c>
      <c r="T641" s="1" t="s">
        <v>4301</v>
      </c>
      <c r="U641" s="1" t="s">
        <v>1577</v>
      </c>
      <c r="V641" s="1" t="s">
        <v>3865</v>
      </c>
      <c r="W641" s="3">
        <v>45385.0</v>
      </c>
      <c r="X641" s="3">
        <v>45385.0</v>
      </c>
    </row>
    <row r="642">
      <c r="A642" s="1" t="s">
        <v>13800</v>
      </c>
      <c r="B642" s="1" t="s">
        <v>7773</v>
      </c>
      <c r="C642" s="1" t="s">
        <v>7773</v>
      </c>
      <c r="D642" s="1" t="s">
        <v>4293</v>
      </c>
      <c r="E642" s="1" t="s">
        <v>7776</v>
      </c>
      <c r="F642" s="1" t="s">
        <v>13802</v>
      </c>
      <c r="G642" s="3">
        <v>43644.0</v>
      </c>
      <c r="H642" s="3">
        <v>43706.0</v>
      </c>
      <c r="I642" s="3">
        <v>43706.0</v>
      </c>
      <c r="J642" s="1" t="s">
        <v>215</v>
      </c>
      <c r="K642" s="1" t="s">
        <v>160</v>
      </c>
      <c r="L642" s="1" t="s">
        <v>216</v>
      </c>
      <c r="M642" s="1" t="s">
        <v>131</v>
      </c>
      <c r="Q642" s="1" t="s">
        <v>137</v>
      </c>
      <c r="R642" s="1" t="s">
        <v>137</v>
      </c>
      <c r="S642" s="1" t="s">
        <v>47</v>
      </c>
      <c r="T642" s="1" t="s">
        <v>4301</v>
      </c>
      <c r="U642" s="1" t="s">
        <v>1577</v>
      </c>
      <c r="V642" s="1" t="s">
        <v>3858</v>
      </c>
      <c r="W642" s="3">
        <v>43706.0</v>
      </c>
      <c r="X642" s="3">
        <v>43706.0</v>
      </c>
    </row>
    <row r="643">
      <c r="A643" s="1" t="s">
        <v>13806</v>
      </c>
      <c r="B643" s="1" t="s">
        <v>4475</v>
      </c>
      <c r="C643" s="1" t="s">
        <v>4475</v>
      </c>
      <c r="D643" s="1" t="s">
        <v>4293</v>
      </c>
      <c r="E643" s="1" t="s">
        <v>7781</v>
      </c>
      <c r="F643" s="1" t="s">
        <v>13809</v>
      </c>
      <c r="G643" s="3">
        <v>43738.0</v>
      </c>
      <c r="H643" s="3">
        <v>43978.0</v>
      </c>
      <c r="I643" s="3">
        <v>43978.0</v>
      </c>
      <c r="J643" s="1" t="s">
        <v>215</v>
      </c>
      <c r="K643" s="1" t="s">
        <v>160</v>
      </c>
      <c r="L643" s="1" t="s">
        <v>216</v>
      </c>
      <c r="M643" s="1" t="s">
        <v>131</v>
      </c>
      <c r="Q643" s="1" t="s">
        <v>137</v>
      </c>
      <c r="R643" s="1" t="s">
        <v>137</v>
      </c>
      <c r="S643" s="1" t="s">
        <v>47</v>
      </c>
      <c r="T643" s="1" t="s">
        <v>4301</v>
      </c>
      <c r="U643" s="1" t="s">
        <v>1577</v>
      </c>
      <c r="V643" s="1" t="s">
        <v>3858</v>
      </c>
      <c r="W643" s="3">
        <v>43978.0</v>
      </c>
      <c r="X643" s="3">
        <v>43978.0</v>
      </c>
    </row>
    <row r="644">
      <c r="A644" s="1" t="s">
        <v>13812</v>
      </c>
      <c r="B644" s="1" t="s">
        <v>7791</v>
      </c>
      <c r="C644" s="1" t="s">
        <v>7791</v>
      </c>
      <c r="D644" s="1" t="s">
        <v>4293</v>
      </c>
      <c r="E644" s="1" t="s">
        <v>7793</v>
      </c>
      <c r="F644" s="1" t="s">
        <v>13815</v>
      </c>
      <c r="G644" s="3">
        <v>45706.0</v>
      </c>
      <c r="H644" s="3">
        <v>45965.0</v>
      </c>
      <c r="I644" s="3">
        <v>45965.0</v>
      </c>
      <c r="J644" s="1" t="s">
        <v>215</v>
      </c>
      <c r="K644" s="1" t="s">
        <v>160</v>
      </c>
      <c r="L644" s="1" t="s">
        <v>216</v>
      </c>
      <c r="M644" s="1" t="s">
        <v>131</v>
      </c>
      <c r="Q644" s="1" t="s">
        <v>137</v>
      </c>
      <c r="R644" s="1" t="s">
        <v>137</v>
      </c>
      <c r="S644" s="1" t="s">
        <v>47</v>
      </c>
      <c r="T644" s="1" t="s">
        <v>4301</v>
      </c>
      <c r="U644" s="1" t="s">
        <v>1577</v>
      </c>
      <c r="V644" s="1" t="s">
        <v>3858</v>
      </c>
      <c r="W644" s="3">
        <v>45965.0</v>
      </c>
      <c r="X644" s="3">
        <v>45965.0</v>
      </c>
    </row>
    <row r="645">
      <c r="A645" s="1" t="s">
        <v>13817</v>
      </c>
      <c r="B645" s="1" t="s">
        <v>7791</v>
      </c>
      <c r="C645" s="1" t="s">
        <v>7791</v>
      </c>
      <c r="D645" s="1" t="s">
        <v>4293</v>
      </c>
      <c r="E645" s="1" t="s">
        <v>7793</v>
      </c>
      <c r="F645" s="1" t="s">
        <v>13820</v>
      </c>
      <c r="G645" s="3">
        <v>45706.0</v>
      </c>
      <c r="H645" s="3">
        <v>45965.0</v>
      </c>
      <c r="I645" s="3">
        <v>45965.0</v>
      </c>
      <c r="J645" s="1" t="s">
        <v>215</v>
      </c>
      <c r="K645" s="1" t="s">
        <v>160</v>
      </c>
      <c r="L645" s="1" t="s">
        <v>216</v>
      </c>
      <c r="M645" s="1" t="s">
        <v>131</v>
      </c>
      <c r="Q645" s="1" t="s">
        <v>137</v>
      </c>
      <c r="R645" s="1" t="s">
        <v>137</v>
      </c>
      <c r="S645" s="1" t="s">
        <v>47</v>
      </c>
      <c r="T645" s="1" t="s">
        <v>4301</v>
      </c>
      <c r="U645" s="1" t="s">
        <v>1577</v>
      </c>
      <c r="V645" s="1" t="s">
        <v>4950</v>
      </c>
      <c r="W645" s="3">
        <v>45965.0</v>
      </c>
      <c r="X645" s="3">
        <v>45965.0</v>
      </c>
    </row>
    <row r="646">
      <c r="A646" s="1" t="s">
        <v>13822</v>
      </c>
      <c r="B646" s="1" t="s">
        <v>7801</v>
      </c>
      <c r="C646" s="1" t="s">
        <v>7801</v>
      </c>
      <c r="D646" s="1" t="s">
        <v>4293</v>
      </c>
      <c r="E646" s="1" t="s">
        <v>7804</v>
      </c>
      <c r="F646" s="1" t="s">
        <v>13824</v>
      </c>
      <c r="G646" s="3">
        <v>45316.0</v>
      </c>
      <c r="H646" s="3">
        <v>45629.0</v>
      </c>
      <c r="I646" s="3">
        <v>45629.0</v>
      </c>
      <c r="J646" s="1" t="s">
        <v>215</v>
      </c>
      <c r="K646" s="1" t="s">
        <v>160</v>
      </c>
      <c r="L646" s="1" t="s">
        <v>216</v>
      </c>
      <c r="M646" s="1" t="s">
        <v>131</v>
      </c>
      <c r="Q646" s="1" t="s">
        <v>137</v>
      </c>
      <c r="R646" s="1" t="s">
        <v>137</v>
      </c>
      <c r="S646" s="1" t="s">
        <v>47</v>
      </c>
      <c r="T646" s="1" t="s">
        <v>4301</v>
      </c>
      <c r="U646" s="1" t="s">
        <v>1577</v>
      </c>
      <c r="V646" s="1" t="s">
        <v>3858</v>
      </c>
      <c r="W646" s="3">
        <v>45629.0</v>
      </c>
      <c r="X646" s="3">
        <v>45629.0</v>
      </c>
    </row>
    <row r="647">
      <c r="A647" s="1" t="s">
        <v>13827</v>
      </c>
      <c r="B647" s="1" t="s">
        <v>7801</v>
      </c>
      <c r="C647" s="1" t="s">
        <v>7801</v>
      </c>
      <c r="D647" s="1" t="s">
        <v>4293</v>
      </c>
      <c r="E647" s="1" t="s">
        <v>7804</v>
      </c>
      <c r="F647" s="1" t="s">
        <v>13829</v>
      </c>
      <c r="G647" s="3">
        <v>45316.0</v>
      </c>
      <c r="H647" s="3">
        <v>45629.0</v>
      </c>
      <c r="I647" s="3">
        <v>45629.0</v>
      </c>
      <c r="J647" s="1" t="s">
        <v>215</v>
      </c>
      <c r="K647" s="1" t="s">
        <v>160</v>
      </c>
      <c r="L647" s="1" t="s">
        <v>216</v>
      </c>
      <c r="M647" s="1" t="s">
        <v>131</v>
      </c>
      <c r="Q647" s="1" t="s">
        <v>137</v>
      </c>
      <c r="R647" s="1" t="s">
        <v>137</v>
      </c>
      <c r="S647" s="1" t="s">
        <v>47</v>
      </c>
      <c r="T647" s="1" t="s">
        <v>4301</v>
      </c>
      <c r="U647" s="1" t="s">
        <v>1577</v>
      </c>
      <c r="V647" s="1" t="s">
        <v>3865</v>
      </c>
      <c r="W647" s="3">
        <v>45629.0</v>
      </c>
      <c r="X647" s="3">
        <v>45629.0</v>
      </c>
    </row>
    <row r="648">
      <c r="A648" s="1" t="s">
        <v>13832</v>
      </c>
      <c r="B648" s="1" t="s">
        <v>7801</v>
      </c>
      <c r="C648" s="1" t="s">
        <v>7801</v>
      </c>
      <c r="D648" s="1" t="s">
        <v>4293</v>
      </c>
      <c r="E648" s="1" t="s">
        <v>7804</v>
      </c>
      <c r="F648" s="1" t="s">
        <v>13834</v>
      </c>
      <c r="G648" s="3">
        <v>45316.0</v>
      </c>
      <c r="H648" s="3">
        <v>45629.0</v>
      </c>
      <c r="I648" s="3">
        <v>45629.0</v>
      </c>
      <c r="J648" s="1" t="s">
        <v>215</v>
      </c>
      <c r="K648" s="1" t="s">
        <v>160</v>
      </c>
      <c r="L648" s="1" t="s">
        <v>216</v>
      </c>
      <c r="M648" s="1" t="s">
        <v>131</v>
      </c>
      <c r="Q648" s="1" t="s">
        <v>137</v>
      </c>
      <c r="R648" s="1" t="s">
        <v>137</v>
      </c>
      <c r="S648" s="1" t="s">
        <v>47</v>
      </c>
      <c r="T648" s="1" t="s">
        <v>4301</v>
      </c>
      <c r="U648" s="1" t="s">
        <v>1577</v>
      </c>
      <c r="V648" s="1" t="s">
        <v>4950</v>
      </c>
      <c r="W648" s="3">
        <v>45629.0</v>
      </c>
      <c r="X648" s="3">
        <v>45629.0</v>
      </c>
    </row>
    <row r="649">
      <c r="A649" s="1" t="s">
        <v>13837</v>
      </c>
      <c r="B649" s="1" t="s">
        <v>7811</v>
      </c>
      <c r="C649" s="1" t="s">
        <v>7811</v>
      </c>
      <c r="D649" s="1" t="s">
        <v>4293</v>
      </c>
      <c r="E649" s="1" t="s">
        <v>7813</v>
      </c>
      <c r="F649" s="1" t="s">
        <v>13839</v>
      </c>
      <c r="G649" s="3">
        <v>44182.0</v>
      </c>
      <c r="H649" s="3">
        <v>44538.0</v>
      </c>
      <c r="I649" s="3">
        <v>44538.0</v>
      </c>
      <c r="J649" s="1" t="s">
        <v>215</v>
      </c>
      <c r="K649" s="1" t="s">
        <v>160</v>
      </c>
      <c r="L649" s="1" t="s">
        <v>216</v>
      </c>
      <c r="M649" s="1" t="s">
        <v>131</v>
      </c>
      <c r="Q649" s="1" t="s">
        <v>137</v>
      </c>
      <c r="R649" s="1" t="s">
        <v>137</v>
      </c>
      <c r="S649" s="1" t="s">
        <v>47</v>
      </c>
      <c r="T649" s="1" t="s">
        <v>4301</v>
      </c>
      <c r="U649" s="1" t="s">
        <v>1577</v>
      </c>
      <c r="V649" s="1" t="s">
        <v>3858</v>
      </c>
      <c r="W649" s="3">
        <v>44538.0</v>
      </c>
      <c r="X649" s="3">
        <v>44538.0</v>
      </c>
    </row>
    <row r="650">
      <c r="A650" s="1" t="s">
        <v>13842</v>
      </c>
      <c r="B650" s="1" t="s">
        <v>7823</v>
      </c>
      <c r="C650" s="1" t="s">
        <v>7823</v>
      </c>
      <c r="D650" s="1" t="s">
        <v>4293</v>
      </c>
      <c r="E650" s="1" t="s">
        <v>7825</v>
      </c>
      <c r="F650" s="1" t="s">
        <v>13843</v>
      </c>
      <c r="G650" s="3">
        <v>45260.0</v>
      </c>
      <c r="H650" s="3">
        <v>45572.0</v>
      </c>
      <c r="I650" s="3">
        <v>45572.0</v>
      </c>
      <c r="J650" s="1" t="s">
        <v>215</v>
      </c>
      <c r="K650" s="1" t="s">
        <v>160</v>
      </c>
      <c r="L650" s="1" t="s">
        <v>216</v>
      </c>
      <c r="M650" s="1" t="s">
        <v>131</v>
      </c>
      <c r="Q650" s="1" t="s">
        <v>137</v>
      </c>
      <c r="R650" s="1" t="s">
        <v>137</v>
      </c>
      <c r="S650" s="1" t="s">
        <v>47</v>
      </c>
      <c r="T650" s="1" t="s">
        <v>4301</v>
      </c>
      <c r="U650" s="1" t="s">
        <v>1577</v>
      </c>
      <c r="V650" s="1" t="s">
        <v>3858</v>
      </c>
      <c r="W650" s="3">
        <v>45572.0</v>
      </c>
      <c r="X650" s="3">
        <v>45572.0</v>
      </c>
    </row>
    <row r="651">
      <c r="A651" s="1" t="s">
        <v>13844</v>
      </c>
      <c r="B651" s="1" t="s">
        <v>7823</v>
      </c>
      <c r="C651" s="1" t="s">
        <v>7823</v>
      </c>
      <c r="D651" s="1" t="s">
        <v>4293</v>
      </c>
      <c r="E651" s="1" t="s">
        <v>7825</v>
      </c>
      <c r="F651" s="1" t="s">
        <v>13846</v>
      </c>
      <c r="G651" s="3">
        <v>45260.0</v>
      </c>
      <c r="H651" s="3">
        <v>45572.0</v>
      </c>
      <c r="I651" s="3">
        <v>45572.0</v>
      </c>
      <c r="J651" s="1" t="s">
        <v>215</v>
      </c>
      <c r="K651" s="1" t="s">
        <v>160</v>
      </c>
      <c r="L651" s="1" t="s">
        <v>216</v>
      </c>
      <c r="M651" s="1" t="s">
        <v>131</v>
      </c>
      <c r="Q651" s="1" t="s">
        <v>137</v>
      </c>
      <c r="R651" s="1" t="s">
        <v>137</v>
      </c>
      <c r="S651" s="1" t="s">
        <v>47</v>
      </c>
      <c r="T651" s="1" t="s">
        <v>4301</v>
      </c>
      <c r="U651" s="1" t="s">
        <v>1577</v>
      </c>
      <c r="V651" s="1" t="s">
        <v>4950</v>
      </c>
      <c r="W651" s="3">
        <v>45572.0</v>
      </c>
      <c r="X651" s="3">
        <v>45572.0</v>
      </c>
    </row>
    <row r="652">
      <c r="A652" s="1" t="s">
        <v>13847</v>
      </c>
      <c r="B652" s="1" t="s">
        <v>7832</v>
      </c>
      <c r="C652" s="1" t="s">
        <v>7832</v>
      </c>
      <c r="D652" s="1" t="s">
        <v>4293</v>
      </c>
      <c r="E652" s="1" t="s">
        <v>7837</v>
      </c>
      <c r="F652" s="1" t="s">
        <v>13848</v>
      </c>
      <c r="G652" s="3">
        <v>43796.0</v>
      </c>
      <c r="H652" s="3">
        <v>43970.0</v>
      </c>
      <c r="I652" s="3">
        <v>43970.0</v>
      </c>
      <c r="J652" s="1" t="s">
        <v>215</v>
      </c>
      <c r="K652" s="1" t="s">
        <v>160</v>
      </c>
      <c r="L652" s="1" t="s">
        <v>216</v>
      </c>
      <c r="M652" s="1" t="s">
        <v>131</v>
      </c>
      <c r="Q652" s="1" t="s">
        <v>137</v>
      </c>
      <c r="R652" s="1" t="s">
        <v>137</v>
      </c>
      <c r="S652" s="1" t="s">
        <v>47</v>
      </c>
      <c r="T652" s="1" t="s">
        <v>4301</v>
      </c>
      <c r="U652" s="1" t="s">
        <v>1577</v>
      </c>
      <c r="V652" s="1" t="s">
        <v>3858</v>
      </c>
      <c r="W652" s="3">
        <v>43970.0</v>
      </c>
      <c r="X652" s="3">
        <v>43970.0</v>
      </c>
    </row>
    <row r="653">
      <c r="A653" s="1" t="s">
        <v>13850</v>
      </c>
      <c r="B653" s="1" t="s">
        <v>7845</v>
      </c>
      <c r="C653" s="1" t="s">
        <v>7845</v>
      </c>
      <c r="D653" s="1" t="s">
        <v>4293</v>
      </c>
      <c r="E653" s="1" t="s">
        <v>7847</v>
      </c>
      <c r="F653" s="1" t="s">
        <v>13853</v>
      </c>
      <c r="G653" s="3">
        <v>44475.0</v>
      </c>
      <c r="H653" s="3">
        <v>44606.0</v>
      </c>
      <c r="I653" s="3">
        <v>44606.0</v>
      </c>
      <c r="J653" s="1" t="s">
        <v>215</v>
      </c>
      <c r="K653" s="1" t="s">
        <v>160</v>
      </c>
      <c r="L653" s="1" t="s">
        <v>216</v>
      </c>
      <c r="M653" s="1" t="s">
        <v>131</v>
      </c>
      <c r="Q653" s="1" t="s">
        <v>137</v>
      </c>
      <c r="R653" s="1" t="s">
        <v>137</v>
      </c>
      <c r="S653" s="1" t="s">
        <v>47</v>
      </c>
      <c r="T653" s="1" t="s">
        <v>4301</v>
      </c>
      <c r="U653" s="1" t="s">
        <v>1577</v>
      </c>
      <c r="V653" s="1" t="s">
        <v>3858</v>
      </c>
      <c r="W653" s="3">
        <v>44606.0</v>
      </c>
      <c r="X653" s="3">
        <v>44606.0</v>
      </c>
    </row>
    <row r="654">
      <c r="A654" s="1" t="s">
        <v>13860</v>
      </c>
      <c r="B654" s="1" t="s">
        <v>7854</v>
      </c>
      <c r="C654" s="1" t="s">
        <v>7854</v>
      </c>
      <c r="D654" s="1" t="s">
        <v>4293</v>
      </c>
      <c r="E654" s="1" t="s">
        <v>7855</v>
      </c>
      <c r="F654" s="1" t="s">
        <v>13864</v>
      </c>
      <c r="G654" s="3">
        <v>44075.0</v>
      </c>
      <c r="H654" s="3">
        <v>44075.0</v>
      </c>
      <c r="I654" s="3">
        <v>44075.0</v>
      </c>
      <c r="J654" s="1" t="s">
        <v>215</v>
      </c>
      <c r="K654" s="1" t="s">
        <v>160</v>
      </c>
      <c r="L654" s="1" t="s">
        <v>216</v>
      </c>
      <c r="M654" s="1" t="s">
        <v>131</v>
      </c>
      <c r="Q654" s="1" t="s">
        <v>137</v>
      </c>
      <c r="R654" s="1" t="s">
        <v>137</v>
      </c>
      <c r="S654" s="1" t="s">
        <v>47</v>
      </c>
      <c r="T654" s="1" t="s">
        <v>4301</v>
      </c>
      <c r="U654" s="1" t="s">
        <v>1577</v>
      </c>
      <c r="V654" s="1" t="s">
        <v>4950</v>
      </c>
      <c r="W654" s="3">
        <v>44075.0</v>
      </c>
      <c r="X654" s="3">
        <v>44075.0</v>
      </c>
    </row>
    <row r="655">
      <c r="A655" s="1" t="s">
        <v>13875</v>
      </c>
      <c r="B655" s="1" t="s">
        <v>7858</v>
      </c>
      <c r="C655" s="1" t="s">
        <v>7858</v>
      </c>
      <c r="D655" s="1" t="s">
        <v>4293</v>
      </c>
      <c r="E655" s="1" t="s">
        <v>7859</v>
      </c>
      <c r="F655" s="1" t="s">
        <v>13880</v>
      </c>
      <c r="G655" s="3">
        <v>43404.0</v>
      </c>
      <c r="H655" s="3">
        <v>43425.0</v>
      </c>
      <c r="I655" s="3">
        <v>43425.0</v>
      </c>
      <c r="J655" s="1" t="s">
        <v>215</v>
      </c>
      <c r="K655" s="1" t="s">
        <v>160</v>
      </c>
      <c r="L655" s="1" t="s">
        <v>216</v>
      </c>
      <c r="M655" s="1" t="s">
        <v>131</v>
      </c>
      <c r="Q655" s="1" t="s">
        <v>137</v>
      </c>
      <c r="R655" s="1" t="s">
        <v>137</v>
      </c>
      <c r="S655" s="1" t="s">
        <v>47</v>
      </c>
      <c r="T655" s="1" t="s">
        <v>4301</v>
      </c>
      <c r="U655" s="1" t="s">
        <v>1577</v>
      </c>
      <c r="V655" s="1" t="s">
        <v>3858</v>
      </c>
      <c r="W655" s="3">
        <v>43425.0</v>
      </c>
      <c r="X655" s="3">
        <v>43425.0</v>
      </c>
    </row>
    <row r="656">
      <c r="A656" s="1" t="s">
        <v>13883</v>
      </c>
      <c r="B656" s="1" t="s">
        <v>7858</v>
      </c>
      <c r="C656" s="1" t="s">
        <v>7858</v>
      </c>
      <c r="D656" s="1" t="s">
        <v>4293</v>
      </c>
      <c r="E656" s="1" t="s">
        <v>7859</v>
      </c>
      <c r="F656" s="1" t="s">
        <v>13884</v>
      </c>
      <c r="G656" s="3">
        <v>43404.0</v>
      </c>
      <c r="H656" s="3">
        <v>43425.0</v>
      </c>
      <c r="I656" s="3">
        <v>43425.0</v>
      </c>
      <c r="J656" s="1" t="s">
        <v>215</v>
      </c>
      <c r="K656" s="1" t="s">
        <v>160</v>
      </c>
      <c r="L656" s="1" t="s">
        <v>216</v>
      </c>
      <c r="M656" s="1" t="s">
        <v>131</v>
      </c>
      <c r="Q656" s="1" t="s">
        <v>137</v>
      </c>
      <c r="R656" s="1" t="s">
        <v>137</v>
      </c>
      <c r="S656" s="1" t="s">
        <v>47</v>
      </c>
      <c r="T656" s="1" t="s">
        <v>4301</v>
      </c>
      <c r="U656" s="1" t="s">
        <v>1577</v>
      </c>
      <c r="V656" s="1" t="s">
        <v>3963</v>
      </c>
      <c r="W656" s="3">
        <v>43425.0</v>
      </c>
      <c r="X656" s="3">
        <v>43425.0</v>
      </c>
    </row>
    <row r="657">
      <c r="A657" s="1" t="s">
        <v>13889</v>
      </c>
      <c r="B657" s="1" t="s">
        <v>7858</v>
      </c>
      <c r="C657" s="1" t="s">
        <v>7858</v>
      </c>
      <c r="D657" s="1" t="s">
        <v>4293</v>
      </c>
      <c r="E657" s="1" t="s">
        <v>7859</v>
      </c>
      <c r="F657" s="1" t="s">
        <v>13891</v>
      </c>
      <c r="G657" s="3">
        <v>43404.0</v>
      </c>
      <c r="H657" s="3">
        <v>43425.0</v>
      </c>
      <c r="I657" s="3">
        <v>43425.0</v>
      </c>
      <c r="J657" s="1" t="s">
        <v>215</v>
      </c>
      <c r="K657" s="1" t="s">
        <v>160</v>
      </c>
      <c r="L657" s="1" t="s">
        <v>216</v>
      </c>
      <c r="M657" s="1" t="s">
        <v>131</v>
      </c>
      <c r="Q657" s="1" t="s">
        <v>137</v>
      </c>
      <c r="R657" s="1" t="s">
        <v>137</v>
      </c>
      <c r="S657" s="1" t="s">
        <v>47</v>
      </c>
      <c r="T657" s="1" t="s">
        <v>4301</v>
      </c>
      <c r="U657" s="1" t="s">
        <v>1577</v>
      </c>
      <c r="V657" s="1" t="s">
        <v>4950</v>
      </c>
      <c r="W657" s="3">
        <v>43425.0</v>
      </c>
      <c r="X657" s="3">
        <v>43425.0</v>
      </c>
    </row>
    <row r="658">
      <c r="A658" s="1" t="s">
        <v>13895</v>
      </c>
      <c r="B658" s="1" t="s">
        <v>7868</v>
      </c>
      <c r="C658" s="1" t="s">
        <v>7868</v>
      </c>
      <c r="D658" s="1" t="s">
        <v>4293</v>
      </c>
      <c r="E658" s="1" t="s">
        <v>7869</v>
      </c>
      <c r="F658" s="1" t="s">
        <v>13897</v>
      </c>
      <c r="G658" s="3">
        <v>45653.0</v>
      </c>
      <c r="H658" s="3">
        <v>45903.0</v>
      </c>
      <c r="I658" s="3">
        <v>45903.0</v>
      </c>
      <c r="J658" s="1" t="s">
        <v>215</v>
      </c>
      <c r="K658" s="1" t="s">
        <v>160</v>
      </c>
      <c r="L658" s="1" t="s">
        <v>216</v>
      </c>
      <c r="M658" s="1" t="s">
        <v>131</v>
      </c>
      <c r="Q658" s="1" t="s">
        <v>137</v>
      </c>
      <c r="R658" s="1" t="s">
        <v>137</v>
      </c>
      <c r="S658" s="1" t="s">
        <v>47</v>
      </c>
      <c r="T658" s="1" t="s">
        <v>4301</v>
      </c>
      <c r="U658" s="1" t="s">
        <v>1577</v>
      </c>
      <c r="V658" s="1" t="s">
        <v>3858</v>
      </c>
      <c r="W658" s="3">
        <v>45903.0</v>
      </c>
      <c r="X658" s="3">
        <v>45903.0</v>
      </c>
    </row>
    <row r="659">
      <c r="A659" s="1" t="s">
        <v>13901</v>
      </c>
      <c r="B659" s="1" t="s">
        <v>7868</v>
      </c>
      <c r="C659" s="1" t="s">
        <v>7868</v>
      </c>
      <c r="D659" s="1" t="s">
        <v>4293</v>
      </c>
      <c r="E659" s="1" t="s">
        <v>7869</v>
      </c>
      <c r="F659" s="1" t="s">
        <v>13903</v>
      </c>
      <c r="G659" s="3">
        <v>45653.0</v>
      </c>
      <c r="H659" s="3">
        <v>45903.0</v>
      </c>
      <c r="I659" s="3">
        <v>45903.0</v>
      </c>
      <c r="J659" s="1" t="s">
        <v>215</v>
      </c>
      <c r="K659" s="1" t="s">
        <v>160</v>
      </c>
      <c r="L659" s="1" t="s">
        <v>216</v>
      </c>
      <c r="M659" s="1" t="s">
        <v>131</v>
      </c>
      <c r="Q659" s="1" t="s">
        <v>137</v>
      </c>
      <c r="R659" s="1" t="s">
        <v>137</v>
      </c>
      <c r="S659" s="1" t="s">
        <v>47</v>
      </c>
      <c r="T659" s="1" t="s">
        <v>4301</v>
      </c>
      <c r="U659" s="1" t="s">
        <v>1577</v>
      </c>
      <c r="V659" s="1" t="s">
        <v>4950</v>
      </c>
      <c r="W659" s="3">
        <v>45903.0</v>
      </c>
      <c r="X659" s="3">
        <v>45903.0</v>
      </c>
    </row>
    <row r="660">
      <c r="A660" s="1" t="s">
        <v>13906</v>
      </c>
      <c r="B660" s="1" t="s">
        <v>5467</v>
      </c>
      <c r="C660" s="1" t="s">
        <v>5467</v>
      </c>
      <c r="D660" s="1" t="s">
        <v>4293</v>
      </c>
      <c r="E660" s="1" t="s">
        <v>7876</v>
      </c>
      <c r="F660" s="1" t="s">
        <v>13910</v>
      </c>
      <c r="G660" s="3">
        <v>44393.0</v>
      </c>
      <c r="H660" s="3">
        <v>44797.0</v>
      </c>
      <c r="I660" s="3">
        <v>44797.0</v>
      </c>
      <c r="J660" s="1" t="s">
        <v>215</v>
      </c>
      <c r="K660" s="1" t="s">
        <v>160</v>
      </c>
      <c r="L660" s="1" t="s">
        <v>216</v>
      </c>
      <c r="M660" s="1" t="s">
        <v>131</v>
      </c>
      <c r="Q660" s="1" t="s">
        <v>137</v>
      </c>
      <c r="R660" s="1" t="s">
        <v>137</v>
      </c>
      <c r="S660" s="1" t="s">
        <v>47</v>
      </c>
      <c r="T660" s="1" t="s">
        <v>4301</v>
      </c>
      <c r="U660" s="1" t="s">
        <v>1577</v>
      </c>
      <c r="V660" s="1" t="s">
        <v>3858</v>
      </c>
      <c r="W660" s="3">
        <v>44797.0</v>
      </c>
      <c r="X660" s="3">
        <v>44797.0</v>
      </c>
    </row>
    <row r="661">
      <c r="A661" s="1" t="s">
        <v>13913</v>
      </c>
      <c r="B661" s="1" t="s">
        <v>7886</v>
      </c>
      <c r="C661" s="1" t="s">
        <v>7886</v>
      </c>
      <c r="D661" s="1" t="s">
        <v>4293</v>
      </c>
      <c r="E661" s="1" t="s">
        <v>7888</v>
      </c>
      <c r="F661" s="1" t="s">
        <v>13915</v>
      </c>
      <c r="G661" s="3">
        <v>45167.0</v>
      </c>
      <c r="H661" s="3">
        <v>45362.0</v>
      </c>
      <c r="I661" s="3">
        <v>45362.0</v>
      </c>
      <c r="J661" s="1" t="s">
        <v>215</v>
      </c>
      <c r="K661" s="1" t="s">
        <v>160</v>
      </c>
      <c r="L661" s="1" t="s">
        <v>216</v>
      </c>
      <c r="M661" s="1" t="s">
        <v>131</v>
      </c>
      <c r="Q661" s="1" t="s">
        <v>137</v>
      </c>
      <c r="R661" s="1" t="s">
        <v>137</v>
      </c>
      <c r="S661" s="1" t="s">
        <v>47</v>
      </c>
      <c r="T661" s="1" t="s">
        <v>4301</v>
      </c>
      <c r="U661" s="1" t="s">
        <v>1577</v>
      </c>
      <c r="V661" s="1" t="s">
        <v>3858</v>
      </c>
      <c r="W661" s="3">
        <v>45362.0</v>
      </c>
      <c r="X661" s="3">
        <v>45362.0</v>
      </c>
    </row>
    <row r="662">
      <c r="A662" s="1" t="s">
        <v>13920</v>
      </c>
      <c r="B662" s="1" t="s">
        <v>7894</v>
      </c>
      <c r="C662" s="1" t="s">
        <v>7894</v>
      </c>
      <c r="D662" s="1" t="s">
        <v>4293</v>
      </c>
      <c r="E662" s="1" t="s">
        <v>7895</v>
      </c>
      <c r="F662" s="1" t="s">
        <v>13922</v>
      </c>
      <c r="G662" s="3">
        <v>44280.0</v>
      </c>
      <c r="H662" s="3">
        <v>44280.0</v>
      </c>
      <c r="I662" s="3">
        <v>44280.0</v>
      </c>
      <c r="J662" s="1" t="s">
        <v>215</v>
      </c>
      <c r="K662" s="1" t="s">
        <v>160</v>
      </c>
      <c r="L662" s="1" t="s">
        <v>216</v>
      </c>
      <c r="M662" s="1" t="s">
        <v>131</v>
      </c>
      <c r="Q662" s="1" t="s">
        <v>137</v>
      </c>
      <c r="R662" s="1" t="s">
        <v>137</v>
      </c>
      <c r="S662" s="1" t="s">
        <v>47</v>
      </c>
      <c r="T662" s="1" t="s">
        <v>4301</v>
      </c>
      <c r="U662" s="1" t="s">
        <v>1577</v>
      </c>
      <c r="V662" s="1" t="s">
        <v>3858</v>
      </c>
      <c r="W662" s="3">
        <v>44280.0</v>
      </c>
      <c r="X662" s="3">
        <v>44280.0</v>
      </c>
    </row>
    <row r="663">
      <c r="A663" s="1" t="s">
        <v>13930</v>
      </c>
      <c r="B663" s="1" t="s">
        <v>7903</v>
      </c>
      <c r="C663" s="1" t="s">
        <v>7903</v>
      </c>
      <c r="D663" s="1" t="s">
        <v>4293</v>
      </c>
      <c r="E663" s="1" t="s">
        <v>7905</v>
      </c>
      <c r="F663" s="1" t="s">
        <v>13934</v>
      </c>
      <c r="G663" s="3">
        <v>45077.0</v>
      </c>
      <c r="H663" s="3">
        <v>45169.0</v>
      </c>
      <c r="I663" s="3">
        <v>45169.0</v>
      </c>
      <c r="J663" s="1" t="s">
        <v>215</v>
      </c>
      <c r="K663" s="1" t="s">
        <v>160</v>
      </c>
      <c r="L663" s="1" t="s">
        <v>216</v>
      </c>
      <c r="M663" s="1" t="s">
        <v>131</v>
      </c>
      <c r="Q663" s="1" t="s">
        <v>137</v>
      </c>
      <c r="R663" s="1" t="s">
        <v>137</v>
      </c>
      <c r="S663" s="1" t="s">
        <v>47</v>
      </c>
      <c r="T663" s="1" t="s">
        <v>4301</v>
      </c>
      <c r="U663" s="1" t="s">
        <v>1577</v>
      </c>
      <c r="V663" s="1" t="s">
        <v>3858</v>
      </c>
      <c r="W663" s="3">
        <v>45169.0</v>
      </c>
      <c r="X663" s="3">
        <v>45169.0</v>
      </c>
    </row>
    <row r="664">
      <c r="A664" s="1" t="s">
        <v>13939</v>
      </c>
      <c r="B664" s="1" t="s">
        <v>5795</v>
      </c>
      <c r="C664" s="1" t="s">
        <v>5795</v>
      </c>
      <c r="D664" s="1" t="s">
        <v>4293</v>
      </c>
      <c r="E664" s="1" t="s">
        <v>7913</v>
      </c>
      <c r="F664" s="1" t="s">
        <v>13941</v>
      </c>
      <c r="G664" s="3">
        <v>44022.0</v>
      </c>
      <c r="H664" s="3">
        <v>44166.0</v>
      </c>
      <c r="I664" s="3">
        <v>44166.0</v>
      </c>
      <c r="J664" s="1" t="s">
        <v>215</v>
      </c>
      <c r="K664" s="1" t="s">
        <v>160</v>
      </c>
      <c r="L664" s="1" t="s">
        <v>216</v>
      </c>
      <c r="M664" s="1" t="s">
        <v>131</v>
      </c>
      <c r="Q664" s="1" t="s">
        <v>137</v>
      </c>
      <c r="R664" s="1" t="s">
        <v>137</v>
      </c>
      <c r="S664" s="1" t="s">
        <v>47</v>
      </c>
      <c r="T664" s="1" t="s">
        <v>4301</v>
      </c>
      <c r="U664" s="1" t="s">
        <v>1577</v>
      </c>
      <c r="V664" s="1" t="s">
        <v>3858</v>
      </c>
      <c r="W664" s="3">
        <v>44166.0</v>
      </c>
      <c r="X664" s="3">
        <v>44166.0</v>
      </c>
    </row>
    <row r="665">
      <c r="A665" s="1" t="s">
        <v>13944</v>
      </c>
      <c r="B665" s="1" t="s">
        <v>5795</v>
      </c>
      <c r="C665" s="1" t="s">
        <v>5795</v>
      </c>
      <c r="D665" s="1" t="s">
        <v>4293</v>
      </c>
      <c r="E665" s="1" t="s">
        <v>7913</v>
      </c>
      <c r="F665" s="1" t="s">
        <v>13946</v>
      </c>
      <c r="G665" s="3">
        <v>44022.0</v>
      </c>
      <c r="H665" s="3">
        <v>44166.0</v>
      </c>
      <c r="I665" s="3">
        <v>44166.0</v>
      </c>
      <c r="J665" s="1" t="s">
        <v>215</v>
      </c>
      <c r="K665" s="1" t="s">
        <v>160</v>
      </c>
      <c r="L665" s="1" t="s">
        <v>216</v>
      </c>
      <c r="M665" s="1" t="s">
        <v>131</v>
      </c>
      <c r="Q665" s="1" t="s">
        <v>137</v>
      </c>
      <c r="R665" s="1" t="s">
        <v>137</v>
      </c>
      <c r="S665" s="1" t="s">
        <v>47</v>
      </c>
      <c r="T665" s="1" t="s">
        <v>4301</v>
      </c>
      <c r="U665" s="1" t="s">
        <v>1577</v>
      </c>
      <c r="V665" s="1" t="s">
        <v>4950</v>
      </c>
      <c r="W665" s="3">
        <v>44166.0</v>
      </c>
      <c r="X665" s="3">
        <v>44166.0</v>
      </c>
    </row>
    <row r="666">
      <c r="A666" s="1" t="s">
        <v>13952</v>
      </c>
      <c r="B666" s="1" t="s">
        <v>7922</v>
      </c>
      <c r="C666" s="1" t="s">
        <v>7922</v>
      </c>
      <c r="D666" s="1" t="s">
        <v>4293</v>
      </c>
      <c r="E666" s="1" t="s">
        <v>7924</v>
      </c>
      <c r="F666" s="1" t="s">
        <v>13955</v>
      </c>
      <c r="G666" s="3">
        <v>43039.0</v>
      </c>
      <c r="H666" s="3">
        <v>43143.0</v>
      </c>
      <c r="I666" s="3">
        <v>43143.0</v>
      </c>
      <c r="J666" s="1" t="s">
        <v>215</v>
      </c>
      <c r="K666" s="1" t="s">
        <v>160</v>
      </c>
      <c r="L666" s="1" t="s">
        <v>216</v>
      </c>
      <c r="M666" s="1" t="s">
        <v>131</v>
      </c>
      <c r="Q666" s="1" t="s">
        <v>137</v>
      </c>
      <c r="R666" s="1" t="s">
        <v>137</v>
      </c>
      <c r="S666" s="1" t="s">
        <v>47</v>
      </c>
      <c r="T666" s="1" t="s">
        <v>4301</v>
      </c>
      <c r="U666" s="1" t="s">
        <v>1577</v>
      </c>
      <c r="V666" s="1" t="s">
        <v>3858</v>
      </c>
      <c r="W666" s="3">
        <v>43143.0</v>
      </c>
      <c r="X666" s="3">
        <v>43143.0</v>
      </c>
    </row>
    <row r="667">
      <c r="A667" s="1" t="s">
        <v>13959</v>
      </c>
      <c r="B667" s="1" t="s">
        <v>5655</v>
      </c>
      <c r="C667" s="1" t="s">
        <v>5655</v>
      </c>
      <c r="D667" s="1" t="s">
        <v>4293</v>
      </c>
      <c r="E667" s="1" t="s">
        <v>7931</v>
      </c>
      <c r="F667" s="1" t="s">
        <v>13962</v>
      </c>
      <c r="G667" s="3">
        <v>44266.0</v>
      </c>
      <c r="H667" s="3">
        <v>44312.0</v>
      </c>
      <c r="I667" s="3">
        <v>44312.0</v>
      </c>
      <c r="J667" s="1" t="s">
        <v>215</v>
      </c>
      <c r="K667" s="1" t="s">
        <v>160</v>
      </c>
      <c r="L667" s="1" t="s">
        <v>216</v>
      </c>
      <c r="M667" s="1" t="s">
        <v>131</v>
      </c>
      <c r="Q667" s="1" t="s">
        <v>137</v>
      </c>
      <c r="R667" s="1" t="s">
        <v>137</v>
      </c>
      <c r="S667" s="1" t="s">
        <v>47</v>
      </c>
      <c r="T667" s="1" t="s">
        <v>4301</v>
      </c>
      <c r="U667" s="1" t="s">
        <v>1577</v>
      </c>
      <c r="V667" s="1" t="s">
        <v>3858</v>
      </c>
      <c r="W667" s="3">
        <v>44312.0</v>
      </c>
      <c r="X667" s="3">
        <v>44312.0</v>
      </c>
    </row>
    <row r="668">
      <c r="A668" s="1" t="s">
        <v>13967</v>
      </c>
      <c r="B668" s="1" t="s">
        <v>5655</v>
      </c>
      <c r="C668" s="1" t="s">
        <v>5655</v>
      </c>
      <c r="D668" s="1" t="s">
        <v>4293</v>
      </c>
      <c r="E668" s="1" t="s">
        <v>7931</v>
      </c>
      <c r="F668" s="1" t="s">
        <v>13969</v>
      </c>
      <c r="G668" s="3">
        <v>44266.0</v>
      </c>
      <c r="H668" s="3">
        <v>44312.0</v>
      </c>
      <c r="I668" s="3">
        <v>44312.0</v>
      </c>
      <c r="J668" s="1" t="s">
        <v>215</v>
      </c>
      <c r="K668" s="1" t="s">
        <v>160</v>
      </c>
      <c r="L668" s="1" t="s">
        <v>216</v>
      </c>
      <c r="M668" s="1" t="s">
        <v>131</v>
      </c>
      <c r="Q668" s="1" t="s">
        <v>137</v>
      </c>
      <c r="R668" s="1" t="s">
        <v>137</v>
      </c>
      <c r="S668" s="1" t="s">
        <v>47</v>
      </c>
      <c r="T668" s="1" t="s">
        <v>4301</v>
      </c>
      <c r="U668" s="1" t="s">
        <v>1577</v>
      </c>
      <c r="V668" s="1" t="s">
        <v>4054</v>
      </c>
      <c r="W668" s="3">
        <v>44312.0</v>
      </c>
      <c r="X668" s="3">
        <v>44312.0</v>
      </c>
    </row>
    <row r="669">
      <c r="A669" s="1" t="s">
        <v>13978</v>
      </c>
      <c r="B669" s="1" t="s">
        <v>5655</v>
      </c>
      <c r="C669" s="1" t="s">
        <v>5655</v>
      </c>
      <c r="D669" s="1" t="s">
        <v>4293</v>
      </c>
      <c r="E669" s="1" t="s">
        <v>7931</v>
      </c>
      <c r="F669" s="1" t="s">
        <v>13979</v>
      </c>
      <c r="G669" s="3">
        <v>44266.0</v>
      </c>
      <c r="H669" s="3">
        <v>44312.0</v>
      </c>
      <c r="I669" s="3">
        <v>44312.0</v>
      </c>
      <c r="J669" s="1" t="s">
        <v>215</v>
      </c>
      <c r="K669" s="1" t="s">
        <v>160</v>
      </c>
      <c r="L669" s="1" t="s">
        <v>216</v>
      </c>
      <c r="M669" s="1" t="s">
        <v>131</v>
      </c>
      <c r="Q669" s="1" t="s">
        <v>137</v>
      </c>
      <c r="R669" s="1" t="s">
        <v>137</v>
      </c>
      <c r="S669" s="1" t="s">
        <v>47</v>
      </c>
      <c r="T669" s="1" t="s">
        <v>4301</v>
      </c>
      <c r="U669" s="1" t="s">
        <v>1577</v>
      </c>
      <c r="V669" s="1" t="s">
        <v>3865</v>
      </c>
      <c r="W669" s="3">
        <v>44312.0</v>
      </c>
      <c r="X669" s="3">
        <v>44312.0</v>
      </c>
    </row>
    <row r="670">
      <c r="A670" s="1" t="s">
        <v>13984</v>
      </c>
      <c r="B670" s="1" t="s">
        <v>5655</v>
      </c>
      <c r="C670" s="1" t="s">
        <v>5655</v>
      </c>
      <c r="D670" s="1" t="s">
        <v>4293</v>
      </c>
      <c r="E670" s="1" t="s">
        <v>7931</v>
      </c>
      <c r="F670" s="1" t="s">
        <v>13986</v>
      </c>
      <c r="G670" s="3">
        <v>44266.0</v>
      </c>
      <c r="H670" s="3">
        <v>44312.0</v>
      </c>
      <c r="I670" s="3">
        <v>44312.0</v>
      </c>
      <c r="J670" s="1" t="s">
        <v>215</v>
      </c>
      <c r="K670" s="1" t="s">
        <v>160</v>
      </c>
      <c r="L670" s="1" t="s">
        <v>216</v>
      </c>
      <c r="M670" s="1" t="s">
        <v>131</v>
      </c>
      <c r="Q670" s="1" t="s">
        <v>137</v>
      </c>
      <c r="R670" s="1" t="s">
        <v>137</v>
      </c>
      <c r="S670" s="1" t="s">
        <v>47</v>
      </c>
      <c r="T670" s="1" t="s">
        <v>4301</v>
      </c>
      <c r="U670" s="1" t="s">
        <v>1577</v>
      </c>
      <c r="V670" s="1" t="s">
        <v>4950</v>
      </c>
      <c r="W670" s="3">
        <v>44312.0</v>
      </c>
      <c r="X670" s="3">
        <v>44312.0</v>
      </c>
    </row>
    <row r="671">
      <c r="A671" s="1" t="s">
        <v>13991</v>
      </c>
      <c r="B671" s="1" t="s">
        <v>7879</v>
      </c>
      <c r="C671" s="1" t="s">
        <v>7879</v>
      </c>
      <c r="D671" s="1" t="s">
        <v>4293</v>
      </c>
      <c r="E671" s="1" t="s">
        <v>7943</v>
      </c>
      <c r="F671" s="1" t="s">
        <v>13993</v>
      </c>
      <c r="G671" s="3">
        <v>44266.0</v>
      </c>
      <c r="H671" s="3">
        <v>44266.0</v>
      </c>
      <c r="I671" s="3">
        <v>44266.0</v>
      </c>
      <c r="J671" s="1" t="s">
        <v>215</v>
      </c>
      <c r="K671" s="1" t="s">
        <v>160</v>
      </c>
      <c r="L671" s="1" t="s">
        <v>216</v>
      </c>
      <c r="M671" s="1" t="s">
        <v>131</v>
      </c>
      <c r="Q671" s="1" t="s">
        <v>137</v>
      </c>
      <c r="R671" s="1" t="s">
        <v>137</v>
      </c>
      <c r="S671" s="1" t="s">
        <v>47</v>
      </c>
      <c r="T671" s="1" t="s">
        <v>4301</v>
      </c>
      <c r="U671" s="1" t="s">
        <v>1577</v>
      </c>
      <c r="V671" s="1" t="s">
        <v>3858</v>
      </c>
      <c r="W671" s="3">
        <v>44266.0</v>
      </c>
      <c r="X671" s="3">
        <v>44266.0</v>
      </c>
    </row>
    <row r="672">
      <c r="A672" s="1" t="s">
        <v>14001</v>
      </c>
      <c r="B672" s="1" t="s">
        <v>7951</v>
      </c>
      <c r="C672" s="1" t="s">
        <v>7951</v>
      </c>
      <c r="D672" s="1" t="s">
        <v>4293</v>
      </c>
      <c r="E672" s="1" t="s">
        <v>7955</v>
      </c>
      <c r="F672" s="1" t="s">
        <v>14003</v>
      </c>
      <c r="G672" s="3">
        <v>45525.0</v>
      </c>
      <c r="H672" s="3">
        <v>45748.0</v>
      </c>
      <c r="I672" s="3">
        <v>45748.0</v>
      </c>
      <c r="J672" s="1" t="s">
        <v>215</v>
      </c>
      <c r="K672" s="1" t="s">
        <v>160</v>
      </c>
      <c r="L672" s="1" t="s">
        <v>216</v>
      </c>
      <c r="M672" s="1" t="s">
        <v>131</v>
      </c>
      <c r="Q672" s="1" t="s">
        <v>137</v>
      </c>
      <c r="R672" s="1" t="s">
        <v>137</v>
      </c>
      <c r="S672" s="1" t="s">
        <v>47</v>
      </c>
      <c r="T672" s="1" t="s">
        <v>4301</v>
      </c>
      <c r="U672" s="1" t="s">
        <v>1577</v>
      </c>
      <c r="V672" s="1" t="s">
        <v>3858</v>
      </c>
      <c r="W672" s="3">
        <v>45748.0</v>
      </c>
      <c r="X672" s="3">
        <v>45748.0</v>
      </c>
    </row>
    <row r="673">
      <c r="A673" s="1" t="s">
        <v>14011</v>
      </c>
      <c r="B673" s="1" t="s">
        <v>7951</v>
      </c>
      <c r="C673" s="1" t="s">
        <v>7951</v>
      </c>
      <c r="D673" s="1" t="s">
        <v>4293</v>
      </c>
      <c r="E673" s="1" t="s">
        <v>7955</v>
      </c>
      <c r="F673" s="1" t="s">
        <v>14013</v>
      </c>
      <c r="G673" s="3">
        <v>45525.0</v>
      </c>
      <c r="H673" s="3">
        <v>45748.0</v>
      </c>
      <c r="I673" s="3">
        <v>45748.0</v>
      </c>
      <c r="J673" s="1" t="s">
        <v>215</v>
      </c>
      <c r="K673" s="1" t="s">
        <v>160</v>
      </c>
      <c r="L673" s="1" t="s">
        <v>216</v>
      </c>
      <c r="M673" s="1" t="s">
        <v>131</v>
      </c>
      <c r="Q673" s="1" t="s">
        <v>137</v>
      </c>
      <c r="R673" s="1" t="s">
        <v>137</v>
      </c>
      <c r="S673" s="1" t="s">
        <v>47</v>
      </c>
      <c r="T673" s="1" t="s">
        <v>4301</v>
      </c>
      <c r="U673" s="1" t="s">
        <v>1577</v>
      </c>
      <c r="V673" s="1" t="s">
        <v>4950</v>
      </c>
      <c r="W673" s="3">
        <v>45748.0</v>
      </c>
      <c r="X673" s="3">
        <v>45748.0</v>
      </c>
    </row>
    <row r="674">
      <c r="A674" s="1" t="s">
        <v>14018</v>
      </c>
      <c r="B674" s="1" t="s">
        <v>7961</v>
      </c>
      <c r="C674" s="1" t="s">
        <v>7961</v>
      </c>
      <c r="D674" s="1" t="s">
        <v>4293</v>
      </c>
      <c r="E674" s="1" t="s">
        <v>7963</v>
      </c>
      <c r="F674" s="1" t="s">
        <v>14022</v>
      </c>
      <c r="G674" s="3">
        <v>45792.0</v>
      </c>
      <c r="H674" s="3">
        <v>46078.0</v>
      </c>
      <c r="I674" s="3">
        <v>46078.0</v>
      </c>
      <c r="J674" s="1" t="s">
        <v>215</v>
      </c>
      <c r="K674" s="1" t="s">
        <v>160</v>
      </c>
      <c r="L674" s="1" t="s">
        <v>216</v>
      </c>
      <c r="M674" s="1" t="s">
        <v>131</v>
      </c>
      <c r="Q674" s="1" t="s">
        <v>137</v>
      </c>
      <c r="R674" s="1" t="s">
        <v>137</v>
      </c>
      <c r="S674" s="1" t="s">
        <v>47</v>
      </c>
      <c r="T674" s="1" t="s">
        <v>4301</v>
      </c>
      <c r="U674" s="1" t="s">
        <v>1577</v>
      </c>
      <c r="V674" s="1" t="s">
        <v>3858</v>
      </c>
      <c r="W674" s="3">
        <v>46078.0</v>
      </c>
      <c r="X674" s="3">
        <v>46078.0</v>
      </c>
    </row>
    <row r="675">
      <c r="A675" s="1" t="s">
        <v>14027</v>
      </c>
      <c r="B675" s="1" t="s">
        <v>7961</v>
      </c>
      <c r="C675" s="1" t="s">
        <v>7961</v>
      </c>
      <c r="D675" s="1" t="s">
        <v>4293</v>
      </c>
      <c r="E675" s="1" t="s">
        <v>7963</v>
      </c>
      <c r="F675" s="1" t="s">
        <v>14029</v>
      </c>
      <c r="G675" s="3">
        <v>45792.0</v>
      </c>
      <c r="H675" s="3">
        <v>46078.0</v>
      </c>
      <c r="I675" s="3">
        <v>46078.0</v>
      </c>
      <c r="J675" s="1" t="s">
        <v>215</v>
      </c>
      <c r="K675" s="1" t="s">
        <v>160</v>
      </c>
      <c r="L675" s="1" t="s">
        <v>216</v>
      </c>
      <c r="M675" s="1" t="s">
        <v>131</v>
      </c>
      <c r="Q675" s="1" t="s">
        <v>137</v>
      </c>
      <c r="R675" s="1" t="s">
        <v>137</v>
      </c>
      <c r="S675" s="1" t="s">
        <v>47</v>
      </c>
      <c r="T675" s="1" t="s">
        <v>4301</v>
      </c>
      <c r="U675" s="1" t="s">
        <v>1577</v>
      </c>
      <c r="V675" s="1" t="s">
        <v>3963</v>
      </c>
      <c r="W675" s="3">
        <v>46078.0</v>
      </c>
      <c r="X675" s="3">
        <v>46078.0</v>
      </c>
    </row>
    <row r="676">
      <c r="A676" s="1" t="s">
        <v>14032</v>
      </c>
      <c r="B676" s="1" t="s">
        <v>9387</v>
      </c>
      <c r="C676" s="1" t="s">
        <v>9387</v>
      </c>
      <c r="D676" s="1" t="s">
        <v>4293</v>
      </c>
      <c r="E676" s="1" t="s">
        <v>14034</v>
      </c>
      <c r="F676" s="1" t="s">
        <v>14035</v>
      </c>
      <c r="G676" s="3">
        <v>45834.0</v>
      </c>
      <c r="J676" s="1" t="s">
        <v>124</v>
      </c>
      <c r="K676" s="1" t="s">
        <v>160</v>
      </c>
      <c r="L676" s="1" t="s">
        <v>253</v>
      </c>
      <c r="M676" s="1" t="s">
        <v>131</v>
      </c>
      <c r="Q676" s="1" t="s">
        <v>137</v>
      </c>
      <c r="R676" s="1" t="s">
        <v>137</v>
      </c>
      <c r="S676" s="1" t="s">
        <v>47</v>
      </c>
      <c r="T676" s="1" t="s">
        <v>4301</v>
      </c>
      <c r="U676" s="1" t="s">
        <v>1577</v>
      </c>
      <c r="V676" s="1" t="s">
        <v>3858</v>
      </c>
      <c r="W676" s="3"/>
    </row>
    <row r="677">
      <c r="A677" s="1" t="s">
        <v>14040</v>
      </c>
      <c r="B677" s="1" t="s">
        <v>7970</v>
      </c>
      <c r="C677" s="1" t="s">
        <v>7970</v>
      </c>
      <c r="D677" s="1" t="s">
        <v>4293</v>
      </c>
      <c r="E677" s="1" t="s">
        <v>7972</v>
      </c>
      <c r="F677" s="1" t="s">
        <v>14042</v>
      </c>
      <c r="G677" s="3">
        <v>45543.0</v>
      </c>
      <c r="H677" s="3">
        <v>45889.0</v>
      </c>
      <c r="I677" s="3">
        <v>45889.0</v>
      </c>
      <c r="J677" s="1" t="s">
        <v>215</v>
      </c>
      <c r="K677" s="1" t="s">
        <v>160</v>
      </c>
      <c r="L677" s="1" t="s">
        <v>216</v>
      </c>
      <c r="M677" s="1" t="s">
        <v>131</v>
      </c>
      <c r="Q677" s="1" t="s">
        <v>137</v>
      </c>
      <c r="R677" s="1" t="s">
        <v>137</v>
      </c>
      <c r="S677" s="1" t="s">
        <v>47</v>
      </c>
      <c r="T677" s="1" t="s">
        <v>4301</v>
      </c>
      <c r="U677" s="1" t="s">
        <v>1577</v>
      </c>
      <c r="V677" s="1" t="s">
        <v>3858</v>
      </c>
      <c r="W677" s="3">
        <v>45889.0</v>
      </c>
      <c r="X677" s="3">
        <v>45889.0</v>
      </c>
    </row>
    <row r="678">
      <c r="A678" s="1" t="s">
        <v>14050</v>
      </c>
      <c r="B678" s="1" t="s">
        <v>7970</v>
      </c>
      <c r="C678" s="1" t="s">
        <v>7970</v>
      </c>
      <c r="D678" s="1" t="s">
        <v>4293</v>
      </c>
      <c r="E678" s="1" t="s">
        <v>7972</v>
      </c>
      <c r="F678" s="1" t="s">
        <v>14052</v>
      </c>
      <c r="G678" s="3">
        <v>45543.0</v>
      </c>
      <c r="H678" s="3">
        <v>45889.0</v>
      </c>
      <c r="I678" s="3">
        <v>45889.0</v>
      </c>
      <c r="J678" s="1" t="s">
        <v>215</v>
      </c>
      <c r="K678" s="1" t="s">
        <v>160</v>
      </c>
      <c r="L678" s="1" t="s">
        <v>216</v>
      </c>
      <c r="M678" s="1" t="s">
        <v>131</v>
      </c>
      <c r="Q678" s="1" t="s">
        <v>137</v>
      </c>
      <c r="R678" s="1" t="s">
        <v>137</v>
      </c>
      <c r="S678" s="1" t="s">
        <v>47</v>
      </c>
      <c r="T678" s="1" t="s">
        <v>4301</v>
      </c>
      <c r="U678" s="1" t="s">
        <v>1577</v>
      </c>
      <c r="V678" s="1" t="s">
        <v>3865</v>
      </c>
      <c r="W678" s="3">
        <v>45889.0</v>
      </c>
      <c r="X678" s="3">
        <v>45889.0</v>
      </c>
    </row>
    <row r="679">
      <c r="A679" s="1" t="s">
        <v>14057</v>
      </c>
      <c r="B679" s="1" t="s">
        <v>7980</v>
      </c>
      <c r="C679" s="1" t="s">
        <v>7980</v>
      </c>
      <c r="D679" s="1" t="s">
        <v>4293</v>
      </c>
      <c r="E679" s="1" t="s">
        <v>7982</v>
      </c>
      <c r="F679" s="1" t="s">
        <v>14058</v>
      </c>
      <c r="G679" s="3">
        <v>46045.0</v>
      </c>
      <c r="H679" s="3">
        <v>46045.0</v>
      </c>
      <c r="I679" s="3">
        <v>46045.0</v>
      </c>
      <c r="J679" s="1" t="s">
        <v>215</v>
      </c>
      <c r="K679" s="1" t="s">
        <v>160</v>
      </c>
      <c r="L679" s="1" t="s">
        <v>216</v>
      </c>
      <c r="M679" s="1" t="s">
        <v>131</v>
      </c>
      <c r="Q679" s="1" t="s">
        <v>137</v>
      </c>
      <c r="R679" s="1" t="s">
        <v>137</v>
      </c>
      <c r="S679" s="1" t="s">
        <v>47</v>
      </c>
      <c r="T679" s="1" t="s">
        <v>4301</v>
      </c>
      <c r="U679" s="1" t="s">
        <v>1577</v>
      </c>
      <c r="V679" s="1" t="s">
        <v>4679</v>
      </c>
      <c r="W679" s="3">
        <v>46045.0</v>
      </c>
      <c r="X679" s="3">
        <v>46045.0</v>
      </c>
    </row>
    <row r="680">
      <c r="A680" s="1" t="s">
        <v>14063</v>
      </c>
      <c r="B680" s="1" t="s">
        <v>7980</v>
      </c>
      <c r="C680" s="1" t="s">
        <v>7980</v>
      </c>
      <c r="D680" s="1" t="s">
        <v>4293</v>
      </c>
      <c r="E680" s="1" t="s">
        <v>7982</v>
      </c>
      <c r="F680" s="1" t="s">
        <v>14065</v>
      </c>
      <c r="G680" s="3">
        <v>46045.0</v>
      </c>
      <c r="H680" s="3">
        <v>46045.0</v>
      </c>
      <c r="I680" s="3">
        <v>46045.0</v>
      </c>
      <c r="J680" s="1" t="s">
        <v>215</v>
      </c>
      <c r="K680" s="1" t="s">
        <v>160</v>
      </c>
      <c r="L680" s="1" t="s">
        <v>216</v>
      </c>
      <c r="M680" s="1" t="s">
        <v>131</v>
      </c>
      <c r="Q680" s="1" t="s">
        <v>137</v>
      </c>
      <c r="R680" s="1" t="s">
        <v>137</v>
      </c>
      <c r="S680" s="1" t="s">
        <v>47</v>
      </c>
      <c r="T680" s="1" t="s">
        <v>4301</v>
      </c>
      <c r="U680" s="1" t="s">
        <v>1577</v>
      </c>
      <c r="V680" s="1" t="s">
        <v>4950</v>
      </c>
      <c r="W680" s="3">
        <v>46045.0</v>
      </c>
      <c r="X680" s="3">
        <v>46045.0</v>
      </c>
    </row>
    <row r="681">
      <c r="A681" s="1" t="s">
        <v>14070</v>
      </c>
      <c r="B681" s="1" t="s">
        <v>7980</v>
      </c>
      <c r="C681" s="1" t="s">
        <v>7980</v>
      </c>
      <c r="D681" s="1" t="s">
        <v>4293</v>
      </c>
      <c r="E681" s="1" t="s">
        <v>7982</v>
      </c>
      <c r="F681" s="1" t="s">
        <v>14072</v>
      </c>
      <c r="G681" s="3">
        <v>46045.0</v>
      </c>
      <c r="H681" s="3">
        <v>46045.0</v>
      </c>
      <c r="I681" s="3">
        <v>46045.0</v>
      </c>
      <c r="J681" s="1" t="s">
        <v>215</v>
      </c>
      <c r="K681" s="1" t="s">
        <v>160</v>
      </c>
      <c r="L681" s="1" t="s">
        <v>216</v>
      </c>
      <c r="M681" s="1" t="s">
        <v>131</v>
      </c>
      <c r="Q681" s="1" t="s">
        <v>137</v>
      </c>
      <c r="R681" s="1" t="s">
        <v>137</v>
      </c>
      <c r="S681" s="1" t="s">
        <v>47</v>
      </c>
      <c r="T681" s="1" t="s">
        <v>4301</v>
      </c>
      <c r="U681" s="1" t="s">
        <v>1577</v>
      </c>
      <c r="V681" s="1" t="s">
        <v>5104</v>
      </c>
      <c r="W681" s="3">
        <v>46045.0</v>
      </c>
      <c r="X681" s="3">
        <v>46045.0</v>
      </c>
    </row>
    <row r="682">
      <c r="A682" s="1" t="s">
        <v>14078</v>
      </c>
      <c r="B682" s="1" t="s">
        <v>7980</v>
      </c>
      <c r="C682" s="1" t="s">
        <v>7980</v>
      </c>
      <c r="D682" s="1" t="s">
        <v>4293</v>
      </c>
      <c r="E682" s="1" t="s">
        <v>7982</v>
      </c>
      <c r="F682" s="1" t="s">
        <v>14080</v>
      </c>
      <c r="G682" s="3">
        <v>46045.0</v>
      </c>
      <c r="H682" s="3">
        <v>46045.0</v>
      </c>
      <c r="I682" s="3">
        <v>46045.0</v>
      </c>
      <c r="J682" s="1" t="s">
        <v>215</v>
      </c>
      <c r="K682" s="1" t="s">
        <v>160</v>
      </c>
      <c r="L682" s="1" t="s">
        <v>216</v>
      </c>
      <c r="M682" s="1" t="s">
        <v>131</v>
      </c>
      <c r="Q682" s="1" t="s">
        <v>137</v>
      </c>
      <c r="R682" s="1" t="s">
        <v>137</v>
      </c>
      <c r="S682" s="1" t="s">
        <v>47</v>
      </c>
      <c r="T682" s="1" t="s">
        <v>4301</v>
      </c>
      <c r="U682" s="1" t="s">
        <v>1577</v>
      </c>
      <c r="V682" s="1" t="s">
        <v>5120</v>
      </c>
      <c r="W682" s="3">
        <v>46045.0</v>
      </c>
      <c r="X682" s="3">
        <v>46045.0</v>
      </c>
    </row>
    <row r="683">
      <c r="A683" s="1" t="s">
        <v>14086</v>
      </c>
      <c r="B683" s="1" t="s">
        <v>7992</v>
      </c>
      <c r="C683" s="1" t="s">
        <v>7992</v>
      </c>
      <c r="D683" s="1" t="s">
        <v>4293</v>
      </c>
      <c r="E683" s="1" t="s">
        <v>7994</v>
      </c>
      <c r="F683" s="1" t="s">
        <v>14088</v>
      </c>
      <c r="G683" s="3">
        <v>45338.0</v>
      </c>
      <c r="H683" s="3">
        <v>45502.0</v>
      </c>
      <c r="I683" s="3">
        <v>45502.0</v>
      </c>
      <c r="J683" s="1" t="s">
        <v>215</v>
      </c>
      <c r="K683" s="1" t="s">
        <v>160</v>
      </c>
      <c r="L683" s="1" t="s">
        <v>216</v>
      </c>
      <c r="M683" s="1" t="s">
        <v>131</v>
      </c>
      <c r="Q683" s="1" t="s">
        <v>137</v>
      </c>
      <c r="R683" s="1" t="s">
        <v>137</v>
      </c>
      <c r="S683" s="1" t="s">
        <v>47</v>
      </c>
      <c r="T683" s="1" t="s">
        <v>4301</v>
      </c>
      <c r="U683" s="1" t="s">
        <v>1577</v>
      </c>
      <c r="V683" s="1" t="s">
        <v>3858</v>
      </c>
      <c r="W683" s="3">
        <v>45502.0</v>
      </c>
      <c r="X683" s="3">
        <v>45502.0</v>
      </c>
    </row>
    <row r="684">
      <c r="A684" s="1" t="s">
        <v>14094</v>
      </c>
      <c r="B684" s="1" t="s">
        <v>7992</v>
      </c>
      <c r="C684" s="1" t="s">
        <v>7992</v>
      </c>
      <c r="D684" s="1" t="s">
        <v>4293</v>
      </c>
      <c r="E684" s="1" t="s">
        <v>7994</v>
      </c>
      <c r="F684" s="1" t="s">
        <v>14096</v>
      </c>
      <c r="G684" s="3">
        <v>45338.0</v>
      </c>
      <c r="H684" s="3">
        <v>45502.0</v>
      </c>
      <c r="I684" s="3">
        <v>45502.0</v>
      </c>
      <c r="J684" s="1" t="s">
        <v>215</v>
      </c>
      <c r="K684" s="1" t="s">
        <v>160</v>
      </c>
      <c r="L684" s="1" t="s">
        <v>216</v>
      </c>
      <c r="M684" s="1" t="s">
        <v>131</v>
      </c>
      <c r="Q684" s="1" t="s">
        <v>137</v>
      </c>
      <c r="R684" s="1" t="s">
        <v>137</v>
      </c>
      <c r="S684" s="1" t="s">
        <v>47</v>
      </c>
      <c r="T684" s="1" t="s">
        <v>4301</v>
      </c>
      <c r="U684" s="1" t="s">
        <v>1577</v>
      </c>
      <c r="V684" s="1" t="s">
        <v>4950</v>
      </c>
      <c r="W684" s="3">
        <v>45502.0</v>
      </c>
      <c r="X684" s="3">
        <v>45502.0</v>
      </c>
    </row>
    <row r="685">
      <c r="A685" s="1" t="s">
        <v>14101</v>
      </c>
      <c r="B685" s="1" t="s">
        <v>8000</v>
      </c>
      <c r="C685" s="1" t="s">
        <v>8000</v>
      </c>
      <c r="D685" s="1" t="s">
        <v>4293</v>
      </c>
      <c r="E685" s="1" t="s">
        <v>8003</v>
      </c>
      <c r="F685" s="1" t="s">
        <v>14103</v>
      </c>
      <c r="G685" s="3">
        <v>45288.0</v>
      </c>
      <c r="H685" s="3">
        <v>45502.0</v>
      </c>
      <c r="I685" s="3">
        <v>45502.0</v>
      </c>
      <c r="J685" s="1" t="s">
        <v>215</v>
      </c>
      <c r="K685" s="1" t="s">
        <v>160</v>
      </c>
      <c r="L685" s="1" t="s">
        <v>216</v>
      </c>
      <c r="M685" s="1" t="s">
        <v>131</v>
      </c>
      <c r="Q685" s="1" t="s">
        <v>137</v>
      </c>
      <c r="R685" s="1" t="s">
        <v>137</v>
      </c>
      <c r="S685" s="1" t="s">
        <v>47</v>
      </c>
      <c r="T685" s="1" t="s">
        <v>4301</v>
      </c>
      <c r="U685" s="1" t="s">
        <v>1577</v>
      </c>
      <c r="V685" s="1" t="s">
        <v>3858</v>
      </c>
      <c r="W685" s="3">
        <v>45502.0</v>
      </c>
      <c r="X685" s="3">
        <v>45502.0</v>
      </c>
    </row>
    <row r="686">
      <c r="A686" s="1" t="s">
        <v>14107</v>
      </c>
      <c r="B686" s="1" t="s">
        <v>8000</v>
      </c>
      <c r="C686" s="1" t="s">
        <v>8000</v>
      </c>
      <c r="D686" s="1" t="s">
        <v>4293</v>
      </c>
      <c r="E686" s="1" t="s">
        <v>8003</v>
      </c>
      <c r="F686" s="1" t="s">
        <v>14110</v>
      </c>
      <c r="G686" s="3">
        <v>45288.0</v>
      </c>
      <c r="H686" s="3">
        <v>45502.0</v>
      </c>
      <c r="I686" s="3">
        <v>45502.0</v>
      </c>
      <c r="J686" s="1" t="s">
        <v>215</v>
      </c>
      <c r="K686" s="1" t="s">
        <v>160</v>
      </c>
      <c r="L686" s="1" t="s">
        <v>216</v>
      </c>
      <c r="M686" s="1" t="s">
        <v>131</v>
      </c>
      <c r="Q686" s="1" t="s">
        <v>137</v>
      </c>
      <c r="R686" s="1" t="s">
        <v>137</v>
      </c>
      <c r="S686" s="1" t="s">
        <v>47</v>
      </c>
      <c r="T686" s="1" t="s">
        <v>4301</v>
      </c>
      <c r="U686" s="1" t="s">
        <v>1577</v>
      </c>
      <c r="V686" s="1" t="s">
        <v>4950</v>
      </c>
      <c r="W686" s="3">
        <v>45502.0</v>
      </c>
      <c r="X686" s="3">
        <v>45502.0</v>
      </c>
    </row>
    <row r="687">
      <c r="A687" s="1" t="s">
        <v>14113</v>
      </c>
      <c r="B687" s="1" t="s">
        <v>8011</v>
      </c>
      <c r="C687" s="1" t="s">
        <v>8011</v>
      </c>
      <c r="D687" s="1" t="s">
        <v>4293</v>
      </c>
      <c r="E687" s="1" t="s">
        <v>8014</v>
      </c>
      <c r="F687" s="1" t="s">
        <v>14116</v>
      </c>
      <c r="G687" s="3">
        <v>43857.0</v>
      </c>
      <c r="H687" s="3">
        <v>43951.0</v>
      </c>
      <c r="I687" s="3">
        <v>43951.0</v>
      </c>
      <c r="J687" s="1" t="s">
        <v>215</v>
      </c>
      <c r="K687" s="1" t="s">
        <v>160</v>
      </c>
      <c r="L687" s="1" t="s">
        <v>216</v>
      </c>
      <c r="M687" s="1" t="s">
        <v>131</v>
      </c>
      <c r="Q687" s="1" t="s">
        <v>137</v>
      </c>
      <c r="R687" s="1" t="s">
        <v>137</v>
      </c>
      <c r="S687" s="1" t="s">
        <v>47</v>
      </c>
      <c r="T687" s="1" t="s">
        <v>4301</v>
      </c>
      <c r="U687" s="1" t="s">
        <v>1577</v>
      </c>
      <c r="V687" s="1" t="s">
        <v>3858</v>
      </c>
      <c r="W687" s="3">
        <v>43951.0</v>
      </c>
      <c r="X687" s="3">
        <v>43951.0</v>
      </c>
    </row>
    <row r="688">
      <c r="A688" s="1" t="s">
        <v>14126</v>
      </c>
      <c r="B688" s="1" t="s">
        <v>8020</v>
      </c>
      <c r="C688" s="1" t="s">
        <v>8020</v>
      </c>
      <c r="D688" s="1" t="s">
        <v>4293</v>
      </c>
      <c r="E688" s="1" t="s">
        <v>8021</v>
      </c>
      <c r="F688" s="1" t="s">
        <v>14129</v>
      </c>
      <c r="G688" s="3">
        <v>43446.0</v>
      </c>
      <c r="H688" s="3">
        <v>43451.0</v>
      </c>
      <c r="I688" s="3">
        <v>43451.0</v>
      </c>
      <c r="J688" s="1" t="s">
        <v>215</v>
      </c>
      <c r="K688" s="1" t="s">
        <v>160</v>
      </c>
      <c r="L688" s="1" t="s">
        <v>216</v>
      </c>
      <c r="M688" s="1" t="s">
        <v>131</v>
      </c>
      <c r="Q688" s="1" t="s">
        <v>137</v>
      </c>
      <c r="R688" s="1" t="s">
        <v>137</v>
      </c>
      <c r="S688" s="1" t="s">
        <v>47</v>
      </c>
      <c r="T688" s="1" t="s">
        <v>4301</v>
      </c>
      <c r="U688" s="1" t="s">
        <v>1577</v>
      </c>
      <c r="V688" s="1" t="s">
        <v>3858</v>
      </c>
      <c r="W688" s="3">
        <v>43451.0</v>
      </c>
      <c r="X688" s="3">
        <v>43451.0</v>
      </c>
    </row>
    <row r="689">
      <c r="A689" s="1" t="s">
        <v>14132</v>
      </c>
      <c r="B689" s="1" t="s">
        <v>5676</v>
      </c>
      <c r="C689" s="1" t="s">
        <v>5676</v>
      </c>
      <c r="D689" s="1" t="s">
        <v>4293</v>
      </c>
      <c r="E689" s="1" t="s">
        <v>8029</v>
      </c>
      <c r="F689" s="1" t="s">
        <v>14134</v>
      </c>
      <c r="G689" s="3">
        <v>44504.0</v>
      </c>
      <c r="H689" s="3">
        <v>44818.0</v>
      </c>
      <c r="I689" s="3">
        <v>44818.0</v>
      </c>
      <c r="J689" s="1" t="s">
        <v>215</v>
      </c>
      <c r="K689" s="1" t="s">
        <v>160</v>
      </c>
      <c r="L689" s="1" t="s">
        <v>216</v>
      </c>
      <c r="M689" s="1" t="s">
        <v>131</v>
      </c>
      <c r="Q689" s="1" t="s">
        <v>137</v>
      </c>
      <c r="R689" s="1" t="s">
        <v>137</v>
      </c>
      <c r="S689" s="1" t="s">
        <v>47</v>
      </c>
      <c r="T689" s="1" t="s">
        <v>4301</v>
      </c>
      <c r="U689" s="1" t="s">
        <v>1577</v>
      </c>
      <c r="V689" s="1" t="s">
        <v>3858</v>
      </c>
      <c r="W689" s="3">
        <v>44818.0</v>
      </c>
      <c r="X689" s="3">
        <v>44818.0</v>
      </c>
    </row>
    <row r="690">
      <c r="A690" s="1" t="s">
        <v>14140</v>
      </c>
      <c r="B690" s="1" t="s">
        <v>5676</v>
      </c>
      <c r="C690" s="1" t="s">
        <v>5676</v>
      </c>
      <c r="D690" s="1" t="s">
        <v>4293</v>
      </c>
      <c r="E690" s="1" t="s">
        <v>8029</v>
      </c>
      <c r="F690" s="1" t="s">
        <v>14141</v>
      </c>
      <c r="G690" s="3">
        <v>44504.0</v>
      </c>
      <c r="H690" s="3">
        <v>44818.0</v>
      </c>
      <c r="I690" s="3">
        <v>44818.0</v>
      </c>
      <c r="J690" s="1" t="s">
        <v>215</v>
      </c>
      <c r="K690" s="1" t="s">
        <v>160</v>
      </c>
      <c r="L690" s="1" t="s">
        <v>216</v>
      </c>
      <c r="M690" s="1" t="s">
        <v>131</v>
      </c>
      <c r="Q690" s="1" t="s">
        <v>137</v>
      </c>
      <c r="R690" s="1" t="s">
        <v>137</v>
      </c>
      <c r="S690" s="1" t="s">
        <v>47</v>
      </c>
      <c r="T690" s="1" t="s">
        <v>4301</v>
      </c>
      <c r="U690" s="1" t="s">
        <v>1577</v>
      </c>
      <c r="V690" s="1" t="s">
        <v>4950</v>
      </c>
      <c r="W690" s="3">
        <v>44818.0</v>
      </c>
      <c r="X690" s="3">
        <v>44818.0</v>
      </c>
    </row>
    <row r="691">
      <c r="A691" s="1" t="s">
        <v>14146</v>
      </c>
      <c r="B691" s="1" t="s">
        <v>8033</v>
      </c>
      <c r="C691" s="1" t="s">
        <v>8033</v>
      </c>
      <c r="D691" s="1" t="s">
        <v>4293</v>
      </c>
      <c r="E691" s="1" t="s">
        <v>8035</v>
      </c>
      <c r="F691" s="1" t="s">
        <v>14151</v>
      </c>
      <c r="G691" s="3">
        <v>44447.0</v>
      </c>
      <c r="H691" s="3">
        <v>44406.0</v>
      </c>
      <c r="I691" s="3">
        <v>44406.0</v>
      </c>
      <c r="J691" s="1" t="s">
        <v>215</v>
      </c>
      <c r="K691" s="1" t="s">
        <v>160</v>
      </c>
      <c r="L691" s="1" t="s">
        <v>216</v>
      </c>
      <c r="M691" s="1" t="s">
        <v>131</v>
      </c>
      <c r="Q691" s="1" t="s">
        <v>137</v>
      </c>
      <c r="R691" s="1" t="s">
        <v>137</v>
      </c>
      <c r="S691" s="1" t="s">
        <v>47</v>
      </c>
      <c r="T691" s="1" t="s">
        <v>4301</v>
      </c>
      <c r="U691" s="1" t="s">
        <v>1577</v>
      </c>
      <c r="V691" s="1" t="s">
        <v>3858</v>
      </c>
      <c r="W691" s="3">
        <v>44406.0</v>
      </c>
      <c r="X691" s="3">
        <v>44406.0</v>
      </c>
    </row>
    <row r="692">
      <c r="A692" s="1" t="s">
        <v>14161</v>
      </c>
      <c r="B692" s="1" t="s">
        <v>8043</v>
      </c>
      <c r="C692" s="1" t="s">
        <v>8043</v>
      </c>
      <c r="D692" s="1" t="s">
        <v>4293</v>
      </c>
      <c r="E692" s="1" t="s">
        <v>8045</v>
      </c>
      <c r="F692" s="1" t="s">
        <v>14164</v>
      </c>
      <c r="G692" s="3">
        <v>44547.0</v>
      </c>
      <c r="H692" s="3">
        <v>44817.0</v>
      </c>
      <c r="I692" s="3">
        <v>44817.0</v>
      </c>
      <c r="J692" s="1" t="s">
        <v>215</v>
      </c>
      <c r="K692" s="1" t="s">
        <v>160</v>
      </c>
      <c r="L692" s="1" t="s">
        <v>216</v>
      </c>
      <c r="M692" s="1" t="s">
        <v>131</v>
      </c>
      <c r="Q692" s="1" t="s">
        <v>137</v>
      </c>
      <c r="R692" s="1" t="s">
        <v>137</v>
      </c>
      <c r="S692" s="1" t="s">
        <v>47</v>
      </c>
      <c r="T692" s="1" t="s">
        <v>4301</v>
      </c>
      <c r="U692" s="1" t="s">
        <v>1577</v>
      </c>
      <c r="V692" s="1" t="s">
        <v>3858</v>
      </c>
      <c r="W692" s="3">
        <v>44817.0</v>
      </c>
      <c r="X692" s="3">
        <v>44817.0</v>
      </c>
    </row>
    <row r="693">
      <c r="A693" s="1" t="s">
        <v>14165</v>
      </c>
      <c r="B693" s="1" t="s">
        <v>8052</v>
      </c>
      <c r="C693" s="1" t="s">
        <v>8052</v>
      </c>
      <c r="D693" s="1" t="s">
        <v>4293</v>
      </c>
      <c r="E693" s="1" t="s">
        <v>8054</v>
      </c>
      <c r="F693" s="1" t="s">
        <v>14166</v>
      </c>
      <c r="G693" s="3">
        <v>44589.0</v>
      </c>
      <c r="H693" s="3">
        <v>44865.0</v>
      </c>
      <c r="I693" s="3">
        <v>44865.0</v>
      </c>
      <c r="J693" s="1" t="s">
        <v>215</v>
      </c>
      <c r="K693" s="1" t="s">
        <v>160</v>
      </c>
      <c r="L693" s="1" t="s">
        <v>216</v>
      </c>
      <c r="M693" s="1" t="s">
        <v>131</v>
      </c>
      <c r="Q693" s="1" t="s">
        <v>137</v>
      </c>
      <c r="R693" s="1" t="s">
        <v>137</v>
      </c>
      <c r="S693" s="1" t="s">
        <v>47</v>
      </c>
      <c r="T693" s="1" t="s">
        <v>4301</v>
      </c>
      <c r="U693" s="1" t="s">
        <v>1577</v>
      </c>
      <c r="V693" s="1" t="s">
        <v>3858</v>
      </c>
      <c r="W693" s="3">
        <v>44865.0</v>
      </c>
      <c r="X693" s="3">
        <v>44865.0</v>
      </c>
    </row>
    <row r="694">
      <c r="A694" s="1" t="s">
        <v>14176</v>
      </c>
      <c r="B694" s="1" t="s">
        <v>8062</v>
      </c>
      <c r="C694" s="1" t="s">
        <v>8062</v>
      </c>
      <c r="D694" s="1" t="s">
        <v>4293</v>
      </c>
      <c r="E694" s="1" t="s">
        <v>8064</v>
      </c>
      <c r="F694" s="1" t="s">
        <v>14179</v>
      </c>
      <c r="G694" s="3">
        <v>44349.0</v>
      </c>
      <c r="H694" s="3">
        <v>44435.0</v>
      </c>
      <c r="I694" s="3">
        <v>44435.0</v>
      </c>
      <c r="J694" s="1" t="s">
        <v>215</v>
      </c>
      <c r="K694" s="1" t="s">
        <v>160</v>
      </c>
      <c r="L694" s="1" t="s">
        <v>216</v>
      </c>
      <c r="M694" s="1" t="s">
        <v>131</v>
      </c>
      <c r="Q694" s="1" t="s">
        <v>137</v>
      </c>
      <c r="R694" s="1" t="s">
        <v>137</v>
      </c>
      <c r="S694" s="1" t="s">
        <v>47</v>
      </c>
      <c r="T694" s="1" t="s">
        <v>4301</v>
      </c>
      <c r="U694" s="1" t="s">
        <v>1577</v>
      </c>
      <c r="V694" s="1" t="s">
        <v>3858</v>
      </c>
      <c r="W694" s="3">
        <v>44435.0</v>
      </c>
      <c r="X694" s="3">
        <v>44435.0</v>
      </c>
    </row>
    <row r="695">
      <c r="A695" s="1" t="s">
        <v>14186</v>
      </c>
      <c r="B695" s="1" t="s">
        <v>8062</v>
      </c>
      <c r="C695" s="1" t="s">
        <v>8062</v>
      </c>
      <c r="D695" s="1" t="s">
        <v>4293</v>
      </c>
      <c r="E695" s="1" t="s">
        <v>8064</v>
      </c>
      <c r="F695" s="1" t="s">
        <v>14190</v>
      </c>
      <c r="G695" s="3">
        <v>44349.0</v>
      </c>
      <c r="H695" s="3">
        <v>44435.0</v>
      </c>
      <c r="I695" s="3">
        <v>44435.0</v>
      </c>
      <c r="J695" s="1" t="s">
        <v>215</v>
      </c>
      <c r="K695" s="1" t="s">
        <v>160</v>
      </c>
      <c r="L695" s="1" t="s">
        <v>216</v>
      </c>
      <c r="M695" s="1" t="s">
        <v>131</v>
      </c>
      <c r="Q695" s="1" t="s">
        <v>137</v>
      </c>
      <c r="R695" s="1" t="s">
        <v>137</v>
      </c>
      <c r="S695" s="1" t="s">
        <v>47</v>
      </c>
      <c r="T695" s="1" t="s">
        <v>4301</v>
      </c>
      <c r="U695" s="1" t="s">
        <v>1577</v>
      </c>
      <c r="V695" s="1" t="s">
        <v>4950</v>
      </c>
      <c r="W695" s="3">
        <v>44435.0</v>
      </c>
      <c r="X695" s="3">
        <v>44435.0</v>
      </c>
    </row>
    <row r="696">
      <c r="A696" s="1" t="s">
        <v>14196</v>
      </c>
      <c r="B696" s="1" t="s">
        <v>8071</v>
      </c>
      <c r="C696" s="1" t="s">
        <v>8071</v>
      </c>
      <c r="D696" s="1" t="s">
        <v>4293</v>
      </c>
      <c r="E696" s="1" t="s">
        <v>8072</v>
      </c>
      <c r="F696" s="1" t="s">
        <v>14201</v>
      </c>
      <c r="G696" s="3">
        <v>44985.0</v>
      </c>
      <c r="H696" s="3">
        <v>45743.0</v>
      </c>
      <c r="I696" s="3">
        <v>45743.0</v>
      </c>
      <c r="J696" s="1" t="s">
        <v>215</v>
      </c>
      <c r="K696" s="1" t="s">
        <v>160</v>
      </c>
      <c r="L696" s="1" t="s">
        <v>216</v>
      </c>
      <c r="M696" s="1" t="s">
        <v>131</v>
      </c>
      <c r="Q696" s="1" t="s">
        <v>137</v>
      </c>
      <c r="R696" s="1" t="s">
        <v>137</v>
      </c>
      <c r="S696" s="1" t="s">
        <v>47</v>
      </c>
      <c r="T696" s="1" t="s">
        <v>4301</v>
      </c>
      <c r="U696" s="1" t="s">
        <v>1577</v>
      </c>
      <c r="V696" s="1" t="s">
        <v>3858</v>
      </c>
      <c r="W696" s="3">
        <v>45743.0</v>
      </c>
      <c r="X696" s="3">
        <v>45743.0</v>
      </c>
    </row>
    <row r="697">
      <c r="A697" s="1" t="s">
        <v>14206</v>
      </c>
      <c r="B697" s="1" t="s">
        <v>8071</v>
      </c>
      <c r="C697" s="1" t="s">
        <v>8071</v>
      </c>
      <c r="D697" s="1" t="s">
        <v>4293</v>
      </c>
      <c r="E697" s="1" t="s">
        <v>8072</v>
      </c>
      <c r="F697" s="1" t="s">
        <v>14207</v>
      </c>
      <c r="G697" s="3">
        <v>44985.0</v>
      </c>
      <c r="H697" s="3">
        <v>45743.0</v>
      </c>
      <c r="I697" s="3">
        <v>45743.0</v>
      </c>
      <c r="J697" s="1" t="s">
        <v>215</v>
      </c>
      <c r="K697" s="1" t="s">
        <v>160</v>
      </c>
      <c r="L697" s="1" t="s">
        <v>216</v>
      </c>
      <c r="M697" s="1" t="s">
        <v>131</v>
      </c>
      <c r="Q697" s="1" t="s">
        <v>137</v>
      </c>
      <c r="R697" s="1" t="s">
        <v>137</v>
      </c>
      <c r="S697" s="1" t="s">
        <v>47</v>
      </c>
      <c r="T697" s="1" t="s">
        <v>4301</v>
      </c>
      <c r="U697" s="1" t="s">
        <v>1577</v>
      </c>
      <c r="V697" s="1" t="s">
        <v>4950</v>
      </c>
      <c r="W697" s="3">
        <v>45743.0</v>
      </c>
      <c r="X697" s="3">
        <v>45743.0</v>
      </c>
    </row>
    <row r="698">
      <c r="A698" s="1" t="s">
        <v>14208</v>
      </c>
      <c r="B698" s="1" t="s">
        <v>6998</v>
      </c>
      <c r="C698" s="1" t="s">
        <v>6998</v>
      </c>
      <c r="D698" s="1" t="s">
        <v>4293</v>
      </c>
      <c r="E698" s="1" t="s">
        <v>8080</v>
      </c>
      <c r="F698" s="1" t="s">
        <v>14209</v>
      </c>
      <c r="G698" s="3">
        <v>44228.0</v>
      </c>
      <c r="H698" s="3">
        <v>44228.0</v>
      </c>
      <c r="I698" s="3">
        <v>44228.0</v>
      </c>
      <c r="J698" s="1" t="s">
        <v>215</v>
      </c>
      <c r="K698" s="1" t="s">
        <v>160</v>
      </c>
      <c r="L698" s="1" t="s">
        <v>216</v>
      </c>
      <c r="M698" s="1" t="s">
        <v>131</v>
      </c>
      <c r="Q698" s="1" t="s">
        <v>137</v>
      </c>
      <c r="R698" s="1" t="s">
        <v>137</v>
      </c>
      <c r="S698" s="1" t="s">
        <v>47</v>
      </c>
      <c r="T698" s="1" t="s">
        <v>4301</v>
      </c>
      <c r="U698" s="1" t="s">
        <v>1577</v>
      </c>
      <c r="V698" s="1" t="s">
        <v>4950</v>
      </c>
      <c r="W698" s="3">
        <v>44228.0</v>
      </c>
      <c r="X698" s="3">
        <v>44228.0</v>
      </c>
    </row>
    <row r="699">
      <c r="A699" s="1" t="s">
        <v>14210</v>
      </c>
      <c r="B699" s="1" t="s">
        <v>8085</v>
      </c>
      <c r="C699" s="1" t="s">
        <v>8085</v>
      </c>
      <c r="D699" s="1" t="s">
        <v>4293</v>
      </c>
      <c r="E699" s="1" t="s">
        <v>4466</v>
      </c>
      <c r="F699" s="1" t="s">
        <v>14211</v>
      </c>
      <c r="G699" s="3">
        <v>43952.0</v>
      </c>
      <c r="H699" s="3">
        <v>44335.0</v>
      </c>
      <c r="I699" s="3">
        <v>44335.0</v>
      </c>
      <c r="J699" s="1" t="s">
        <v>215</v>
      </c>
      <c r="K699" s="1" t="s">
        <v>160</v>
      </c>
      <c r="L699" s="1" t="s">
        <v>216</v>
      </c>
      <c r="M699" s="1" t="s">
        <v>131</v>
      </c>
      <c r="Q699" s="1" t="s">
        <v>137</v>
      </c>
      <c r="R699" s="1" t="s">
        <v>137</v>
      </c>
      <c r="S699" s="1" t="s">
        <v>47</v>
      </c>
      <c r="T699" s="1" t="s">
        <v>4301</v>
      </c>
      <c r="U699" s="1" t="s">
        <v>1577</v>
      </c>
      <c r="V699" s="1" t="s">
        <v>3858</v>
      </c>
      <c r="W699" s="3">
        <v>44335.0</v>
      </c>
      <c r="X699" s="3">
        <v>44335.0</v>
      </c>
    </row>
    <row r="700">
      <c r="A700" s="1" t="s">
        <v>14213</v>
      </c>
      <c r="B700" s="1" t="s">
        <v>8085</v>
      </c>
      <c r="C700" s="1" t="s">
        <v>8085</v>
      </c>
      <c r="D700" s="1" t="s">
        <v>4293</v>
      </c>
      <c r="E700" s="1" t="s">
        <v>4466</v>
      </c>
      <c r="F700" s="1" t="s">
        <v>14214</v>
      </c>
      <c r="G700" s="3">
        <v>43952.0</v>
      </c>
      <c r="H700" s="3">
        <v>44335.0</v>
      </c>
      <c r="I700" s="3">
        <v>44335.0</v>
      </c>
      <c r="J700" s="1" t="s">
        <v>215</v>
      </c>
      <c r="K700" s="1" t="s">
        <v>160</v>
      </c>
      <c r="L700" s="1" t="s">
        <v>216</v>
      </c>
      <c r="M700" s="1" t="s">
        <v>131</v>
      </c>
      <c r="Q700" s="1" t="s">
        <v>137</v>
      </c>
      <c r="R700" s="1" t="s">
        <v>137</v>
      </c>
      <c r="S700" s="1" t="s">
        <v>47</v>
      </c>
      <c r="T700" s="1" t="s">
        <v>4301</v>
      </c>
      <c r="U700" s="1" t="s">
        <v>1577</v>
      </c>
      <c r="V700" s="1" t="s">
        <v>3865</v>
      </c>
      <c r="W700" s="3">
        <v>44335.0</v>
      </c>
      <c r="X700" s="3">
        <v>44335.0</v>
      </c>
    </row>
    <row r="701">
      <c r="A701" s="1" t="s">
        <v>14215</v>
      </c>
      <c r="B701" s="1" t="s">
        <v>8095</v>
      </c>
      <c r="C701" s="1" t="s">
        <v>8095</v>
      </c>
      <c r="D701" s="1" t="s">
        <v>4293</v>
      </c>
      <c r="E701" s="1" t="s">
        <v>8097</v>
      </c>
      <c r="F701" s="1" t="s">
        <v>14216</v>
      </c>
      <c r="G701" s="3">
        <v>45303.0</v>
      </c>
      <c r="H701" s="3">
        <v>45417.0</v>
      </c>
      <c r="I701" s="3">
        <v>45417.0</v>
      </c>
      <c r="J701" s="1" t="s">
        <v>215</v>
      </c>
      <c r="K701" s="1" t="s">
        <v>160</v>
      </c>
      <c r="L701" s="1" t="s">
        <v>216</v>
      </c>
      <c r="M701" s="1" t="s">
        <v>131</v>
      </c>
      <c r="Q701" s="1" t="s">
        <v>137</v>
      </c>
      <c r="R701" s="1" t="s">
        <v>137</v>
      </c>
      <c r="S701" s="1" t="s">
        <v>47</v>
      </c>
      <c r="T701" s="1" t="s">
        <v>4301</v>
      </c>
      <c r="U701" s="1" t="s">
        <v>1577</v>
      </c>
      <c r="V701" s="1" t="s">
        <v>3858</v>
      </c>
      <c r="W701" s="3">
        <v>45417.0</v>
      </c>
      <c r="X701" s="3">
        <v>45417.0</v>
      </c>
    </row>
    <row r="702">
      <c r="A702" s="1" t="s">
        <v>14218</v>
      </c>
      <c r="B702" s="1" t="s">
        <v>8095</v>
      </c>
      <c r="C702" s="1" t="s">
        <v>8095</v>
      </c>
      <c r="D702" s="1" t="s">
        <v>4293</v>
      </c>
      <c r="E702" s="1" t="s">
        <v>8097</v>
      </c>
      <c r="F702" s="1" t="s">
        <v>14219</v>
      </c>
      <c r="G702" s="3">
        <v>45303.0</v>
      </c>
      <c r="H702" s="3">
        <v>45417.0</v>
      </c>
      <c r="I702" s="3">
        <v>45417.0</v>
      </c>
      <c r="J702" s="1" t="s">
        <v>215</v>
      </c>
      <c r="K702" s="1" t="s">
        <v>160</v>
      </c>
      <c r="L702" s="1" t="s">
        <v>216</v>
      </c>
      <c r="M702" s="1" t="s">
        <v>131</v>
      </c>
      <c r="Q702" s="1" t="s">
        <v>137</v>
      </c>
      <c r="R702" s="1" t="s">
        <v>137</v>
      </c>
      <c r="S702" s="1" t="s">
        <v>47</v>
      </c>
      <c r="T702" s="1" t="s">
        <v>4301</v>
      </c>
      <c r="U702" s="1" t="s">
        <v>1577</v>
      </c>
      <c r="V702" s="1" t="s">
        <v>4679</v>
      </c>
      <c r="W702" s="3">
        <v>45417.0</v>
      </c>
      <c r="X702" s="3">
        <v>45417.0</v>
      </c>
    </row>
    <row r="703">
      <c r="A703" s="1" t="s">
        <v>14220</v>
      </c>
      <c r="B703" s="1" t="s">
        <v>8095</v>
      </c>
      <c r="C703" s="1" t="s">
        <v>8095</v>
      </c>
      <c r="D703" s="1" t="s">
        <v>4293</v>
      </c>
      <c r="E703" s="1" t="s">
        <v>8097</v>
      </c>
      <c r="F703" s="1" t="s">
        <v>14221</v>
      </c>
      <c r="G703" s="3">
        <v>45303.0</v>
      </c>
      <c r="H703" s="3">
        <v>45417.0</v>
      </c>
      <c r="I703" s="3">
        <v>45417.0</v>
      </c>
      <c r="J703" s="1" t="s">
        <v>215</v>
      </c>
      <c r="K703" s="1" t="s">
        <v>160</v>
      </c>
      <c r="L703" s="1" t="s">
        <v>216</v>
      </c>
      <c r="M703" s="1" t="s">
        <v>131</v>
      </c>
      <c r="Q703" s="1" t="s">
        <v>137</v>
      </c>
      <c r="R703" s="1" t="s">
        <v>137</v>
      </c>
      <c r="S703" s="1" t="s">
        <v>47</v>
      </c>
      <c r="T703" s="1" t="s">
        <v>4301</v>
      </c>
      <c r="U703" s="1" t="s">
        <v>1577</v>
      </c>
      <c r="V703" s="1" t="s">
        <v>3865</v>
      </c>
      <c r="W703" s="3">
        <v>45417.0</v>
      </c>
      <c r="X703" s="3">
        <v>45417.0</v>
      </c>
    </row>
    <row r="704">
      <c r="A704" s="1" t="s">
        <v>14224</v>
      </c>
      <c r="B704" s="1" t="s">
        <v>8095</v>
      </c>
      <c r="C704" s="1" t="s">
        <v>8095</v>
      </c>
      <c r="D704" s="1" t="s">
        <v>4293</v>
      </c>
      <c r="E704" s="1" t="s">
        <v>8097</v>
      </c>
      <c r="F704" s="1" t="s">
        <v>14225</v>
      </c>
      <c r="G704" s="3">
        <v>45303.0</v>
      </c>
      <c r="H704" s="3">
        <v>45417.0</v>
      </c>
      <c r="I704" s="3">
        <v>45417.0</v>
      </c>
      <c r="J704" s="1" t="s">
        <v>215</v>
      </c>
      <c r="K704" s="1" t="s">
        <v>160</v>
      </c>
      <c r="L704" s="1" t="s">
        <v>216</v>
      </c>
      <c r="M704" s="1" t="s">
        <v>131</v>
      </c>
      <c r="Q704" s="1" t="s">
        <v>137</v>
      </c>
      <c r="R704" s="1" t="s">
        <v>137</v>
      </c>
      <c r="S704" s="1" t="s">
        <v>47</v>
      </c>
      <c r="T704" s="1" t="s">
        <v>4301</v>
      </c>
      <c r="U704" s="1" t="s">
        <v>1577</v>
      </c>
      <c r="V704" s="1" t="s">
        <v>4950</v>
      </c>
      <c r="W704" s="3">
        <v>45417.0</v>
      </c>
      <c r="X704" s="3">
        <v>45417.0</v>
      </c>
    </row>
    <row r="705">
      <c r="A705" s="1" t="s">
        <v>14227</v>
      </c>
      <c r="B705" s="1" t="s">
        <v>8095</v>
      </c>
      <c r="C705" s="1" t="s">
        <v>8095</v>
      </c>
      <c r="D705" s="1" t="s">
        <v>4293</v>
      </c>
      <c r="E705" s="1" t="s">
        <v>8097</v>
      </c>
      <c r="F705" s="1" t="s">
        <v>14228</v>
      </c>
      <c r="G705" s="3">
        <v>45303.0</v>
      </c>
      <c r="H705" s="3">
        <v>45417.0</v>
      </c>
      <c r="I705" s="3">
        <v>45417.0</v>
      </c>
      <c r="J705" s="1" t="s">
        <v>215</v>
      </c>
      <c r="K705" s="1" t="s">
        <v>160</v>
      </c>
      <c r="L705" s="1" t="s">
        <v>216</v>
      </c>
      <c r="M705" s="1" t="s">
        <v>131</v>
      </c>
      <c r="Q705" s="1" t="s">
        <v>137</v>
      </c>
      <c r="R705" s="1" t="s">
        <v>137</v>
      </c>
      <c r="S705" s="1" t="s">
        <v>47</v>
      </c>
      <c r="T705" s="1" t="s">
        <v>4301</v>
      </c>
      <c r="U705" s="1" t="s">
        <v>1577</v>
      </c>
      <c r="V705" s="1" t="s">
        <v>5104</v>
      </c>
      <c r="W705" s="3">
        <v>45417.0</v>
      </c>
      <c r="X705" s="3">
        <v>45417.0</v>
      </c>
    </row>
    <row r="706">
      <c r="A706" s="1" t="s">
        <v>14230</v>
      </c>
      <c r="B706" s="1" t="s">
        <v>8095</v>
      </c>
      <c r="C706" s="1" t="s">
        <v>8095</v>
      </c>
      <c r="D706" s="1" t="s">
        <v>4293</v>
      </c>
      <c r="E706" s="1" t="s">
        <v>8097</v>
      </c>
      <c r="F706" s="1" t="s">
        <v>14231</v>
      </c>
      <c r="G706" s="3">
        <v>45303.0</v>
      </c>
      <c r="H706" s="3">
        <v>45417.0</v>
      </c>
      <c r="I706" s="3">
        <v>45417.0</v>
      </c>
      <c r="J706" s="1" t="s">
        <v>215</v>
      </c>
      <c r="K706" s="1" t="s">
        <v>160</v>
      </c>
      <c r="L706" s="1" t="s">
        <v>216</v>
      </c>
      <c r="M706" s="1" t="s">
        <v>131</v>
      </c>
      <c r="Q706" s="1" t="s">
        <v>137</v>
      </c>
      <c r="R706" s="1" t="s">
        <v>137</v>
      </c>
      <c r="S706" s="1" t="s">
        <v>47</v>
      </c>
      <c r="T706" s="1" t="s">
        <v>4301</v>
      </c>
      <c r="U706" s="1" t="s">
        <v>1577</v>
      </c>
      <c r="V706" s="1" t="s">
        <v>5120</v>
      </c>
      <c r="W706" s="3">
        <v>45417.0</v>
      </c>
      <c r="X706" s="3">
        <v>45417.0</v>
      </c>
    </row>
    <row r="707">
      <c r="A707" s="1" t="s">
        <v>14233</v>
      </c>
      <c r="B707" s="1" t="s">
        <v>7293</v>
      </c>
      <c r="C707" s="1" t="s">
        <v>7293</v>
      </c>
      <c r="D707" s="1" t="s">
        <v>4293</v>
      </c>
      <c r="E707" s="1" t="s">
        <v>14234</v>
      </c>
      <c r="F707" s="1" t="s">
        <v>14235</v>
      </c>
      <c r="G707" s="3">
        <v>45887.0</v>
      </c>
      <c r="H707" s="3"/>
      <c r="I707" s="3"/>
      <c r="J707" s="1" t="s">
        <v>124</v>
      </c>
      <c r="K707" s="1" t="s">
        <v>160</v>
      </c>
      <c r="L707" s="1" t="s">
        <v>253</v>
      </c>
      <c r="M707" s="1" t="s">
        <v>131</v>
      </c>
      <c r="Q707" s="1" t="s">
        <v>137</v>
      </c>
      <c r="R707" s="1" t="s">
        <v>137</v>
      </c>
      <c r="S707" s="1" t="s">
        <v>47</v>
      </c>
      <c r="T707" s="1" t="s">
        <v>4301</v>
      </c>
      <c r="U707" s="1" t="s">
        <v>1577</v>
      </c>
      <c r="V707" s="1" t="s">
        <v>3858</v>
      </c>
      <c r="W707" s="3"/>
      <c r="X707" s="3"/>
    </row>
    <row r="708">
      <c r="A708" s="1" t="s">
        <v>14237</v>
      </c>
      <c r="B708" s="1" t="s">
        <v>8101</v>
      </c>
      <c r="C708" s="1" t="s">
        <v>8101</v>
      </c>
      <c r="D708" s="1" t="s">
        <v>4293</v>
      </c>
      <c r="E708" s="1" t="s">
        <v>8103</v>
      </c>
      <c r="F708" s="1" t="s">
        <v>14238</v>
      </c>
      <c r="G708" s="3">
        <v>44278.0</v>
      </c>
      <c r="H708" s="3">
        <v>44244.0</v>
      </c>
      <c r="I708" s="3">
        <v>44244.0</v>
      </c>
      <c r="J708" s="1" t="s">
        <v>215</v>
      </c>
      <c r="K708" s="1" t="s">
        <v>160</v>
      </c>
      <c r="L708" s="1" t="s">
        <v>216</v>
      </c>
      <c r="M708" s="1" t="s">
        <v>131</v>
      </c>
      <c r="Q708" s="1" t="s">
        <v>137</v>
      </c>
      <c r="R708" s="1" t="s">
        <v>137</v>
      </c>
      <c r="S708" s="1" t="s">
        <v>47</v>
      </c>
      <c r="T708" s="1" t="s">
        <v>4301</v>
      </c>
      <c r="U708" s="1" t="s">
        <v>1577</v>
      </c>
      <c r="V708" s="1" t="s">
        <v>3858</v>
      </c>
      <c r="W708" s="3">
        <v>44244.0</v>
      </c>
      <c r="X708" s="3">
        <v>44244.0</v>
      </c>
    </row>
    <row r="709">
      <c r="A709" s="1" t="s">
        <v>14239</v>
      </c>
      <c r="B709" s="1" t="s">
        <v>8108</v>
      </c>
      <c r="C709" s="1" t="s">
        <v>8108</v>
      </c>
      <c r="D709" s="1" t="s">
        <v>4293</v>
      </c>
      <c r="E709" s="1" t="s">
        <v>8109</v>
      </c>
      <c r="F709" s="1" t="s">
        <v>14240</v>
      </c>
      <c r="G709" s="3">
        <v>44344.0</v>
      </c>
      <c r="H709" s="3">
        <v>44643.0</v>
      </c>
      <c r="I709" s="3">
        <v>44643.0</v>
      </c>
      <c r="J709" s="1" t="s">
        <v>215</v>
      </c>
      <c r="K709" s="1" t="s">
        <v>160</v>
      </c>
      <c r="L709" s="1" t="s">
        <v>216</v>
      </c>
      <c r="M709" s="1" t="s">
        <v>131</v>
      </c>
      <c r="Q709" s="1" t="s">
        <v>137</v>
      </c>
      <c r="R709" s="1" t="s">
        <v>137</v>
      </c>
      <c r="S709" s="1" t="s">
        <v>47</v>
      </c>
      <c r="T709" s="1" t="s">
        <v>4301</v>
      </c>
      <c r="U709" s="1" t="s">
        <v>1577</v>
      </c>
      <c r="V709" s="1" t="s">
        <v>3858</v>
      </c>
      <c r="W709" s="3">
        <v>44643.0</v>
      </c>
      <c r="X709" s="3">
        <v>44643.0</v>
      </c>
    </row>
    <row r="710">
      <c r="A710" s="1" t="s">
        <v>14241</v>
      </c>
      <c r="B710" s="1" t="s">
        <v>8114</v>
      </c>
      <c r="C710" s="1" t="s">
        <v>8114</v>
      </c>
      <c r="D710" s="1" t="s">
        <v>4293</v>
      </c>
      <c r="E710" s="1" t="s">
        <v>8115</v>
      </c>
      <c r="F710" s="1" t="s">
        <v>14243</v>
      </c>
      <c r="G710" s="3">
        <v>45415.0</v>
      </c>
      <c r="H710" s="3">
        <v>45596.0</v>
      </c>
      <c r="I710" s="3">
        <v>45596.0</v>
      </c>
      <c r="J710" s="1" t="s">
        <v>215</v>
      </c>
      <c r="K710" s="1" t="s">
        <v>160</v>
      </c>
      <c r="L710" s="1" t="s">
        <v>216</v>
      </c>
      <c r="M710" s="1" t="s">
        <v>131</v>
      </c>
      <c r="Q710" s="1" t="s">
        <v>137</v>
      </c>
      <c r="R710" s="1" t="s">
        <v>137</v>
      </c>
      <c r="S710" s="1" t="s">
        <v>47</v>
      </c>
      <c r="T710" s="1" t="s">
        <v>4301</v>
      </c>
      <c r="U710" s="1" t="s">
        <v>1577</v>
      </c>
      <c r="V710" s="1" t="s">
        <v>3858</v>
      </c>
      <c r="W710" s="3">
        <v>45596.0</v>
      </c>
      <c r="X710" s="3">
        <v>45596.0</v>
      </c>
    </row>
    <row r="711">
      <c r="A711" s="1" t="s">
        <v>14244</v>
      </c>
      <c r="B711" s="1" t="s">
        <v>8121</v>
      </c>
      <c r="C711" s="1" t="s">
        <v>8121</v>
      </c>
      <c r="D711" s="1" t="s">
        <v>4293</v>
      </c>
      <c r="E711" s="1" t="s">
        <v>8122</v>
      </c>
      <c r="F711" s="1" t="s">
        <v>14245</v>
      </c>
      <c r="G711" s="3">
        <v>44280.0</v>
      </c>
      <c r="H711" s="3">
        <v>44524.0</v>
      </c>
      <c r="I711" s="3">
        <v>44524.0</v>
      </c>
      <c r="J711" s="1" t="s">
        <v>215</v>
      </c>
      <c r="K711" s="1" t="s">
        <v>160</v>
      </c>
      <c r="L711" s="1" t="s">
        <v>216</v>
      </c>
      <c r="M711" s="1" t="s">
        <v>131</v>
      </c>
      <c r="Q711" s="1" t="s">
        <v>137</v>
      </c>
      <c r="R711" s="1" t="s">
        <v>137</v>
      </c>
      <c r="S711" s="1" t="s">
        <v>47</v>
      </c>
      <c r="T711" s="1" t="s">
        <v>4301</v>
      </c>
      <c r="U711" s="1" t="s">
        <v>1577</v>
      </c>
      <c r="V711" s="1" t="s">
        <v>3858</v>
      </c>
      <c r="W711" s="3">
        <v>44524.0</v>
      </c>
      <c r="X711" s="3">
        <v>44524.0</v>
      </c>
    </row>
    <row r="712">
      <c r="A712" s="1" t="s">
        <v>14247</v>
      </c>
      <c r="B712" s="1" t="s">
        <v>8127</v>
      </c>
      <c r="C712" s="1" t="s">
        <v>8127</v>
      </c>
      <c r="D712" s="1" t="s">
        <v>4293</v>
      </c>
      <c r="E712" s="1" t="s">
        <v>8129</v>
      </c>
      <c r="F712" s="1" t="s">
        <v>14248</v>
      </c>
      <c r="G712" s="3">
        <v>43836.0</v>
      </c>
      <c r="H712" s="3">
        <v>43902.0</v>
      </c>
      <c r="I712" s="3">
        <v>43902.0</v>
      </c>
      <c r="J712" s="1" t="s">
        <v>215</v>
      </c>
      <c r="K712" s="1" t="s">
        <v>160</v>
      </c>
      <c r="L712" s="1" t="s">
        <v>216</v>
      </c>
      <c r="M712" s="1" t="s">
        <v>131</v>
      </c>
      <c r="Q712" s="1" t="s">
        <v>137</v>
      </c>
      <c r="R712" s="1" t="s">
        <v>137</v>
      </c>
      <c r="S712" s="1" t="s">
        <v>47</v>
      </c>
      <c r="T712" s="1" t="s">
        <v>4301</v>
      </c>
      <c r="U712" s="1" t="s">
        <v>1577</v>
      </c>
      <c r="V712" s="1" t="s">
        <v>3858</v>
      </c>
      <c r="W712" s="3">
        <v>43902.0</v>
      </c>
      <c r="X712" s="3">
        <v>43902.0</v>
      </c>
    </row>
    <row r="713">
      <c r="A713" s="1" t="s">
        <v>14250</v>
      </c>
      <c r="B713" s="1" t="s">
        <v>4979</v>
      </c>
      <c r="C713" s="1" t="s">
        <v>4979</v>
      </c>
      <c r="D713" s="1" t="s">
        <v>4293</v>
      </c>
      <c r="E713" s="1" t="s">
        <v>8136</v>
      </c>
      <c r="F713" s="1" t="s">
        <v>14251</v>
      </c>
      <c r="G713" s="3">
        <v>44263.0</v>
      </c>
      <c r="H713" s="3">
        <v>44263.0</v>
      </c>
      <c r="I713" s="3">
        <v>44263.0</v>
      </c>
      <c r="J713" s="1" t="s">
        <v>215</v>
      </c>
      <c r="K713" s="1" t="s">
        <v>160</v>
      </c>
      <c r="L713" s="1" t="s">
        <v>216</v>
      </c>
      <c r="M713" s="1" t="s">
        <v>131</v>
      </c>
      <c r="Q713" s="1" t="s">
        <v>137</v>
      </c>
      <c r="R713" s="1" t="s">
        <v>137</v>
      </c>
      <c r="S713" s="1" t="s">
        <v>47</v>
      </c>
      <c r="T713" s="1" t="s">
        <v>4301</v>
      </c>
      <c r="U713" s="1" t="s">
        <v>1577</v>
      </c>
      <c r="V713" s="1" t="s">
        <v>3858</v>
      </c>
      <c r="W713" s="3">
        <v>44263.0</v>
      </c>
      <c r="X713" s="3">
        <v>44263.0</v>
      </c>
    </row>
    <row r="714">
      <c r="A714" s="1" t="s">
        <v>14252</v>
      </c>
      <c r="B714" s="1" t="s">
        <v>8143</v>
      </c>
      <c r="C714" s="1" t="s">
        <v>8143</v>
      </c>
      <c r="D714" s="1" t="s">
        <v>4293</v>
      </c>
      <c r="E714" s="1" t="s">
        <v>8145</v>
      </c>
      <c r="F714" s="1" t="s">
        <v>14253</v>
      </c>
      <c r="G714" s="3">
        <v>44071.0</v>
      </c>
      <c r="H714" s="3">
        <v>44097.0</v>
      </c>
      <c r="I714" s="3">
        <v>44097.0</v>
      </c>
      <c r="J714" s="1" t="s">
        <v>215</v>
      </c>
      <c r="K714" s="1" t="s">
        <v>160</v>
      </c>
      <c r="L714" s="1" t="s">
        <v>216</v>
      </c>
      <c r="M714" s="1" t="s">
        <v>131</v>
      </c>
      <c r="Q714" s="1" t="s">
        <v>137</v>
      </c>
      <c r="R714" s="1" t="s">
        <v>137</v>
      </c>
      <c r="S714" s="1" t="s">
        <v>47</v>
      </c>
      <c r="T714" s="1" t="s">
        <v>4301</v>
      </c>
      <c r="U714" s="1" t="s">
        <v>1577</v>
      </c>
      <c r="V714" s="1" t="s">
        <v>3865</v>
      </c>
      <c r="W714" s="3">
        <v>44097.0</v>
      </c>
      <c r="X714" s="3">
        <v>44097.0</v>
      </c>
    </row>
    <row r="715">
      <c r="A715" s="1" t="s">
        <v>14254</v>
      </c>
      <c r="B715" s="1" t="s">
        <v>8151</v>
      </c>
      <c r="C715" s="1" t="s">
        <v>8151</v>
      </c>
      <c r="D715" s="1" t="s">
        <v>4293</v>
      </c>
      <c r="E715" s="1" t="s">
        <v>8153</v>
      </c>
      <c r="F715" s="1" t="s">
        <v>14256</v>
      </c>
      <c r="G715" s="3">
        <v>44531.0</v>
      </c>
      <c r="H715" s="3">
        <v>44631.0</v>
      </c>
      <c r="I715" s="3">
        <v>44631.0</v>
      </c>
      <c r="J715" s="1" t="s">
        <v>215</v>
      </c>
      <c r="K715" s="1" t="s">
        <v>160</v>
      </c>
      <c r="L715" s="1" t="s">
        <v>216</v>
      </c>
      <c r="M715" s="1" t="s">
        <v>131</v>
      </c>
      <c r="Q715" s="1" t="s">
        <v>137</v>
      </c>
      <c r="R715" s="1" t="s">
        <v>137</v>
      </c>
      <c r="S715" s="1" t="s">
        <v>47</v>
      </c>
      <c r="T715" s="1" t="s">
        <v>4301</v>
      </c>
      <c r="U715" s="1" t="s">
        <v>1577</v>
      </c>
      <c r="V715" s="1" t="s">
        <v>3858</v>
      </c>
      <c r="W715" s="3">
        <v>44631.0</v>
      </c>
      <c r="X715" s="3">
        <v>44631.0</v>
      </c>
    </row>
    <row r="716">
      <c r="A716" s="1" t="s">
        <v>14257</v>
      </c>
      <c r="B716" s="1" t="s">
        <v>8162</v>
      </c>
      <c r="C716" s="1" t="s">
        <v>8162</v>
      </c>
      <c r="D716" s="1" t="s">
        <v>4293</v>
      </c>
      <c r="E716" s="1" t="s">
        <v>8164</v>
      </c>
      <c r="F716" s="1" t="s">
        <v>14258</v>
      </c>
      <c r="G716" s="3">
        <v>45377.0</v>
      </c>
      <c r="H716" s="3">
        <v>45784.0</v>
      </c>
      <c r="I716" s="3">
        <v>45784.0</v>
      </c>
      <c r="J716" s="1" t="s">
        <v>215</v>
      </c>
      <c r="K716" s="1" t="s">
        <v>160</v>
      </c>
      <c r="L716" s="1" t="s">
        <v>216</v>
      </c>
      <c r="M716" s="1" t="s">
        <v>131</v>
      </c>
      <c r="Q716" s="1" t="s">
        <v>137</v>
      </c>
      <c r="R716" s="1" t="s">
        <v>137</v>
      </c>
      <c r="S716" s="1" t="s">
        <v>47</v>
      </c>
      <c r="T716" s="1" t="s">
        <v>4301</v>
      </c>
      <c r="U716" s="1" t="s">
        <v>1577</v>
      </c>
      <c r="V716" s="1" t="s">
        <v>3858</v>
      </c>
      <c r="W716" s="3">
        <v>45784.0</v>
      </c>
      <c r="X716" s="3">
        <v>45784.0</v>
      </c>
    </row>
    <row r="717">
      <c r="A717" s="1" t="s">
        <v>14260</v>
      </c>
      <c r="B717" s="1" t="s">
        <v>8162</v>
      </c>
      <c r="C717" s="1" t="s">
        <v>8162</v>
      </c>
      <c r="D717" s="1" t="s">
        <v>4293</v>
      </c>
      <c r="E717" s="1" t="s">
        <v>8164</v>
      </c>
      <c r="F717" s="1" t="s">
        <v>14261</v>
      </c>
      <c r="G717" s="3">
        <v>45377.0</v>
      </c>
      <c r="H717" s="3">
        <v>45784.0</v>
      </c>
      <c r="I717" s="3">
        <v>45784.0</v>
      </c>
      <c r="J717" s="1" t="s">
        <v>215</v>
      </c>
      <c r="K717" s="1" t="s">
        <v>160</v>
      </c>
      <c r="L717" s="1" t="s">
        <v>216</v>
      </c>
      <c r="M717" s="1" t="s">
        <v>131</v>
      </c>
      <c r="Q717" s="1" t="s">
        <v>137</v>
      </c>
      <c r="R717" s="1" t="s">
        <v>137</v>
      </c>
      <c r="S717" s="1" t="s">
        <v>47</v>
      </c>
      <c r="T717" s="1" t="s">
        <v>4301</v>
      </c>
      <c r="U717" s="1" t="s">
        <v>1577</v>
      </c>
      <c r="V717" s="1" t="s">
        <v>4950</v>
      </c>
      <c r="W717" s="3">
        <v>45784.0</v>
      </c>
      <c r="X717" s="3">
        <v>45784.0</v>
      </c>
    </row>
    <row r="718">
      <c r="A718" s="1" t="s">
        <v>14262</v>
      </c>
      <c r="B718" s="1" t="s">
        <v>6832</v>
      </c>
      <c r="C718" s="1" t="s">
        <v>6832</v>
      </c>
      <c r="D718" s="1" t="s">
        <v>4293</v>
      </c>
      <c r="E718" s="1" t="s">
        <v>8169</v>
      </c>
      <c r="F718" s="1" t="s">
        <v>14264</v>
      </c>
      <c r="G718" s="3">
        <v>44742.0</v>
      </c>
      <c r="H718" s="3">
        <v>44991.0</v>
      </c>
      <c r="I718" s="3">
        <v>44991.0</v>
      </c>
      <c r="J718" s="1" t="s">
        <v>215</v>
      </c>
      <c r="K718" s="1" t="s">
        <v>160</v>
      </c>
      <c r="L718" s="1" t="s">
        <v>216</v>
      </c>
      <c r="M718" s="1" t="s">
        <v>131</v>
      </c>
      <c r="Q718" s="1" t="s">
        <v>137</v>
      </c>
      <c r="R718" s="1" t="s">
        <v>137</v>
      </c>
      <c r="S718" s="1" t="s">
        <v>47</v>
      </c>
      <c r="T718" s="1" t="s">
        <v>4301</v>
      </c>
      <c r="U718" s="1" t="s">
        <v>1577</v>
      </c>
      <c r="V718" s="1" t="s">
        <v>3858</v>
      </c>
      <c r="W718" s="3">
        <v>44991.0</v>
      </c>
      <c r="X718" s="3">
        <v>44991.0</v>
      </c>
    </row>
    <row r="719">
      <c r="A719" s="1" t="s">
        <v>14265</v>
      </c>
      <c r="B719" s="1" t="s">
        <v>9658</v>
      </c>
      <c r="C719" s="1" t="s">
        <v>9658</v>
      </c>
      <c r="D719" s="1" t="s">
        <v>4293</v>
      </c>
      <c r="E719" s="1" t="s">
        <v>14266</v>
      </c>
      <c r="F719" s="1" t="s">
        <v>14267</v>
      </c>
      <c r="G719" s="3">
        <v>45903.0</v>
      </c>
      <c r="H719" s="3"/>
      <c r="I719" s="3"/>
      <c r="J719" s="1" t="s">
        <v>124</v>
      </c>
      <c r="K719" s="1" t="s">
        <v>160</v>
      </c>
      <c r="L719" s="1" t="s">
        <v>253</v>
      </c>
      <c r="M719" s="1" t="s">
        <v>131</v>
      </c>
      <c r="Q719" s="1" t="s">
        <v>137</v>
      </c>
      <c r="R719" s="1" t="s">
        <v>137</v>
      </c>
      <c r="S719" s="1" t="s">
        <v>47</v>
      </c>
      <c r="T719" s="1" t="s">
        <v>4301</v>
      </c>
      <c r="U719" s="1" t="s">
        <v>1577</v>
      </c>
      <c r="V719" s="1" t="s">
        <v>3858</v>
      </c>
      <c r="W719" s="3"/>
      <c r="X719" s="3"/>
    </row>
    <row r="720">
      <c r="A720" s="1" t="s">
        <v>14269</v>
      </c>
      <c r="B720" s="1" t="s">
        <v>9658</v>
      </c>
      <c r="C720" s="1" t="s">
        <v>9658</v>
      </c>
      <c r="D720" s="1" t="s">
        <v>4293</v>
      </c>
      <c r="E720" s="1" t="s">
        <v>14266</v>
      </c>
      <c r="F720" s="1" t="s">
        <v>14271</v>
      </c>
      <c r="G720" s="3">
        <v>45903.0</v>
      </c>
      <c r="H720" s="3"/>
      <c r="I720" s="3"/>
      <c r="J720" s="1" t="s">
        <v>124</v>
      </c>
      <c r="K720" s="1" t="s">
        <v>160</v>
      </c>
      <c r="L720" s="1" t="s">
        <v>253</v>
      </c>
      <c r="M720" s="1" t="s">
        <v>131</v>
      </c>
      <c r="Q720" s="1" t="s">
        <v>137</v>
      </c>
      <c r="R720" s="1" t="s">
        <v>137</v>
      </c>
      <c r="S720" s="1" t="s">
        <v>47</v>
      </c>
      <c r="T720" s="1" t="s">
        <v>4301</v>
      </c>
      <c r="U720" s="1" t="s">
        <v>1577</v>
      </c>
      <c r="V720" s="1" t="s">
        <v>4950</v>
      </c>
      <c r="W720" s="3"/>
      <c r="X720" s="3"/>
    </row>
    <row r="721">
      <c r="A721" s="1" t="s">
        <v>14274</v>
      </c>
      <c r="B721" s="1" t="s">
        <v>8177</v>
      </c>
      <c r="C721" s="1" t="s">
        <v>8177</v>
      </c>
      <c r="D721" s="1" t="s">
        <v>4293</v>
      </c>
      <c r="E721" s="1" t="s">
        <v>8178</v>
      </c>
      <c r="F721" s="1" t="s">
        <v>14276</v>
      </c>
      <c r="G721" s="3">
        <v>45468.0</v>
      </c>
      <c r="H721" s="3">
        <v>45536.0</v>
      </c>
      <c r="I721" s="3">
        <v>45536.0</v>
      </c>
      <c r="J721" s="1" t="s">
        <v>215</v>
      </c>
      <c r="K721" s="1" t="s">
        <v>160</v>
      </c>
      <c r="L721" s="1" t="s">
        <v>216</v>
      </c>
      <c r="M721" s="1" t="s">
        <v>131</v>
      </c>
      <c r="Q721" s="1" t="s">
        <v>137</v>
      </c>
      <c r="R721" s="1" t="s">
        <v>137</v>
      </c>
      <c r="S721" s="1" t="s">
        <v>47</v>
      </c>
      <c r="T721" s="1" t="s">
        <v>4301</v>
      </c>
      <c r="U721" s="1" t="s">
        <v>1577</v>
      </c>
      <c r="V721" s="1" t="s">
        <v>3858</v>
      </c>
      <c r="W721" s="3">
        <v>45536.0</v>
      </c>
      <c r="X721" s="3">
        <v>45536.0</v>
      </c>
    </row>
    <row r="722">
      <c r="A722" s="1" t="s">
        <v>14278</v>
      </c>
      <c r="B722" s="1" t="s">
        <v>8177</v>
      </c>
      <c r="C722" s="1" t="s">
        <v>8177</v>
      </c>
      <c r="D722" s="1" t="s">
        <v>4293</v>
      </c>
      <c r="E722" s="1" t="s">
        <v>8178</v>
      </c>
      <c r="F722" s="1" t="s">
        <v>14279</v>
      </c>
      <c r="G722" s="3">
        <v>45468.0</v>
      </c>
      <c r="H722" s="3">
        <v>45536.0</v>
      </c>
      <c r="I722" s="3">
        <v>45536.0</v>
      </c>
      <c r="J722" s="1" t="s">
        <v>215</v>
      </c>
      <c r="K722" s="1" t="s">
        <v>160</v>
      </c>
      <c r="L722" s="1" t="s">
        <v>216</v>
      </c>
      <c r="M722" s="1" t="s">
        <v>131</v>
      </c>
      <c r="Q722" s="1" t="s">
        <v>137</v>
      </c>
      <c r="R722" s="1" t="s">
        <v>137</v>
      </c>
      <c r="S722" s="1" t="s">
        <v>47</v>
      </c>
      <c r="T722" s="1" t="s">
        <v>4301</v>
      </c>
      <c r="U722" s="1" t="s">
        <v>1577</v>
      </c>
      <c r="V722" s="1" t="s">
        <v>3963</v>
      </c>
      <c r="W722" s="3">
        <v>45536.0</v>
      </c>
      <c r="X722" s="3">
        <v>45536.0</v>
      </c>
    </row>
    <row r="723">
      <c r="A723" s="1" t="s">
        <v>14281</v>
      </c>
      <c r="B723" s="1" t="s">
        <v>8177</v>
      </c>
      <c r="C723" s="1" t="s">
        <v>8177</v>
      </c>
      <c r="D723" s="1" t="s">
        <v>4293</v>
      </c>
      <c r="E723" s="1" t="s">
        <v>8178</v>
      </c>
      <c r="F723" s="1" t="s">
        <v>14282</v>
      </c>
      <c r="G723" s="3">
        <v>45468.0</v>
      </c>
      <c r="H723" s="3">
        <v>45536.0</v>
      </c>
      <c r="I723" s="3">
        <v>45536.0</v>
      </c>
      <c r="J723" s="1" t="s">
        <v>215</v>
      </c>
      <c r="K723" s="1" t="s">
        <v>160</v>
      </c>
      <c r="L723" s="1" t="s">
        <v>216</v>
      </c>
      <c r="M723" s="1" t="s">
        <v>131</v>
      </c>
      <c r="Q723" s="1" t="s">
        <v>137</v>
      </c>
      <c r="R723" s="1" t="s">
        <v>137</v>
      </c>
      <c r="S723" s="1" t="s">
        <v>47</v>
      </c>
      <c r="T723" s="1" t="s">
        <v>4301</v>
      </c>
      <c r="U723" s="1" t="s">
        <v>1577</v>
      </c>
      <c r="V723" s="1" t="s">
        <v>3865</v>
      </c>
      <c r="W723" s="3">
        <v>45536.0</v>
      </c>
      <c r="X723" s="3">
        <v>45536.0</v>
      </c>
    </row>
    <row r="724">
      <c r="A724" s="1" t="s">
        <v>14284</v>
      </c>
      <c r="B724" s="1" t="s">
        <v>8177</v>
      </c>
      <c r="C724" s="1" t="s">
        <v>8177</v>
      </c>
      <c r="D724" s="1" t="s">
        <v>4293</v>
      </c>
      <c r="E724" s="1" t="s">
        <v>8178</v>
      </c>
      <c r="F724" s="1" t="s">
        <v>14285</v>
      </c>
      <c r="G724" s="3">
        <v>45468.0</v>
      </c>
      <c r="H724" s="3">
        <v>45536.0</v>
      </c>
      <c r="I724" s="3">
        <v>45536.0</v>
      </c>
      <c r="J724" s="1" t="s">
        <v>215</v>
      </c>
      <c r="K724" s="1" t="s">
        <v>160</v>
      </c>
      <c r="L724" s="1" t="s">
        <v>216</v>
      </c>
      <c r="M724" s="1" t="s">
        <v>131</v>
      </c>
      <c r="Q724" s="1" t="s">
        <v>137</v>
      </c>
      <c r="R724" s="1" t="s">
        <v>137</v>
      </c>
      <c r="S724" s="1" t="s">
        <v>47</v>
      </c>
      <c r="T724" s="1" t="s">
        <v>4301</v>
      </c>
      <c r="U724" s="1" t="s">
        <v>1577</v>
      </c>
      <c r="V724" s="1" t="s">
        <v>4950</v>
      </c>
      <c r="W724" s="3">
        <v>45536.0</v>
      </c>
      <c r="X724" s="3">
        <v>45536.0</v>
      </c>
    </row>
    <row r="725">
      <c r="A725" s="1" t="s">
        <v>14287</v>
      </c>
      <c r="B725" s="1" t="s">
        <v>8182</v>
      </c>
      <c r="C725" s="1" t="s">
        <v>8182</v>
      </c>
      <c r="D725" s="1" t="s">
        <v>4293</v>
      </c>
      <c r="E725" s="1" t="s">
        <v>8183</v>
      </c>
      <c r="F725" s="1" t="s">
        <v>14288</v>
      </c>
      <c r="G725" s="3">
        <v>44851.0</v>
      </c>
      <c r="H725" s="3">
        <v>44852.0</v>
      </c>
      <c r="I725" s="3">
        <v>44852.0</v>
      </c>
      <c r="J725" s="1" t="s">
        <v>215</v>
      </c>
      <c r="K725" s="1" t="s">
        <v>160</v>
      </c>
      <c r="L725" s="1" t="s">
        <v>216</v>
      </c>
      <c r="M725" s="1" t="s">
        <v>131</v>
      </c>
      <c r="Q725" s="1" t="s">
        <v>137</v>
      </c>
      <c r="R725" s="1" t="s">
        <v>137</v>
      </c>
      <c r="S725" s="1" t="s">
        <v>47</v>
      </c>
      <c r="T725" s="1" t="s">
        <v>4301</v>
      </c>
      <c r="U725" s="1" t="s">
        <v>1577</v>
      </c>
      <c r="V725" s="1" t="s">
        <v>3858</v>
      </c>
      <c r="W725" s="3">
        <v>44852.0</v>
      </c>
      <c r="X725" s="3">
        <v>44852.0</v>
      </c>
    </row>
    <row r="726">
      <c r="A726" s="1" t="s">
        <v>14290</v>
      </c>
      <c r="B726" s="1" t="s">
        <v>8182</v>
      </c>
      <c r="C726" s="1" t="s">
        <v>8182</v>
      </c>
      <c r="D726" s="1" t="s">
        <v>4293</v>
      </c>
      <c r="E726" s="1" t="s">
        <v>8183</v>
      </c>
      <c r="F726" s="1" t="s">
        <v>14293</v>
      </c>
      <c r="G726" s="3">
        <v>44851.0</v>
      </c>
      <c r="H726" s="3">
        <v>44852.0</v>
      </c>
      <c r="I726" s="3">
        <v>44852.0</v>
      </c>
      <c r="J726" s="1" t="s">
        <v>215</v>
      </c>
      <c r="K726" s="1" t="s">
        <v>160</v>
      </c>
      <c r="L726" s="1" t="s">
        <v>216</v>
      </c>
      <c r="M726" s="1" t="s">
        <v>131</v>
      </c>
      <c r="Q726" s="1" t="s">
        <v>137</v>
      </c>
      <c r="R726" s="1" t="s">
        <v>137</v>
      </c>
      <c r="S726" s="1" t="s">
        <v>47</v>
      </c>
      <c r="T726" s="1" t="s">
        <v>4301</v>
      </c>
      <c r="U726" s="1" t="s">
        <v>1577</v>
      </c>
      <c r="V726" s="1" t="s">
        <v>4679</v>
      </c>
      <c r="W726" s="3">
        <v>44852.0</v>
      </c>
      <c r="X726" s="3">
        <v>44852.0</v>
      </c>
    </row>
    <row r="727">
      <c r="A727" s="1" t="s">
        <v>14294</v>
      </c>
      <c r="B727" s="1" t="s">
        <v>8182</v>
      </c>
      <c r="C727" s="1" t="s">
        <v>8182</v>
      </c>
      <c r="D727" s="1" t="s">
        <v>4293</v>
      </c>
      <c r="E727" s="1" t="s">
        <v>8183</v>
      </c>
      <c r="F727" s="1" t="s">
        <v>14295</v>
      </c>
      <c r="G727" s="3">
        <v>44851.0</v>
      </c>
      <c r="H727" s="3">
        <v>44852.0</v>
      </c>
      <c r="I727" s="3">
        <v>44852.0</v>
      </c>
      <c r="J727" s="1" t="s">
        <v>215</v>
      </c>
      <c r="K727" s="1" t="s">
        <v>160</v>
      </c>
      <c r="L727" s="1" t="s">
        <v>216</v>
      </c>
      <c r="M727" s="1" t="s">
        <v>131</v>
      </c>
      <c r="Q727" s="1" t="s">
        <v>137</v>
      </c>
      <c r="R727" s="1" t="s">
        <v>137</v>
      </c>
      <c r="S727" s="1" t="s">
        <v>47</v>
      </c>
      <c r="T727" s="1" t="s">
        <v>4301</v>
      </c>
      <c r="U727" s="1" t="s">
        <v>1577</v>
      </c>
      <c r="V727" s="1" t="s">
        <v>4950</v>
      </c>
      <c r="W727" s="3">
        <v>44852.0</v>
      </c>
      <c r="X727" s="3">
        <v>44852.0</v>
      </c>
    </row>
    <row r="728">
      <c r="A728" s="1" t="s">
        <v>14297</v>
      </c>
      <c r="B728" s="1" t="s">
        <v>8182</v>
      </c>
      <c r="C728" s="1" t="s">
        <v>8182</v>
      </c>
      <c r="D728" s="1" t="s">
        <v>4293</v>
      </c>
      <c r="E728" s="1" t="s">
        <v>8183</v>
      </c>
      <c r="F728" s="1" t="s">
        <v>14298</v>
      </c>
      <c r="G728" s="3">
        <v>44851.0</v>
      </c>
      <c r="H728" s="3">
        <v>44852.0</v>
      </c>
      <c r="I728" s="3">
        <v>44852.0</v>
      </c>
      <c r="J728" s="1" t="s">
        <v>215</v>
      </c>
      <c r="K728" s="1" t="s">
        <v>160</v>
      </c>
      <c r="L728" s="1" t="s">
        <v>216</v>
      </c>
      <c r="M728" s="1" t="s">
        <v>131</v>
      </c>
      <c r="Q728" s="1" t="s">
        <v>137</v>
      </c>
      <c r="R728" s="1" t="s">
        <v>137</v>
      </c>
      <c r="S728" s="1" t="s">
        <v>47</v>
      </c>
      <c r="T728" s="1" t="s">
        <v>4301</v>
      </c>
      <c r="U728" s="1" t="s">
        <v>1577</v>
      </c>
      <c r="V728" s="1" t="s">
        <v>5104</v>
      </c>
      <c r="W728" s="3">
        <v>44852.0</v>
      </c>
      <c r="X728" s="3">
        <v>44852.0</v>
      </c>
    </row>
    <row r="729">
      <c r="A729" s="1" t="s">
        <v>14301</v>
      </c>
      <c r="B729" s="1" t="s">
        <v>8182</v>
      </c>
      <c r="C729" s="1" t="s">
        <v>8182</v>
      </c>
      <c r="D729" s="1" t="s">
        <v>4293</v>
      </c>
      <c r="E729" s="1" t="s">
        <v>8183</v>
      </c>
      <c r="F729" s="1" t="s">
        <v>14303</v>
      </c>
      <c r="G729" s="3">
        <v>44851.0</v>
      </c>
      <c r="H729" s="3">
        <v>44852.0</v>
      </c>
      <c r="I729" s="3">
        <v>44852.0</v>
      </c>
      <c r="J729" s="1" t="s">
        <v>215</v>
      </c>
      <c r="K729" s="1" t="s">
        <v>160</v>
      </c>
      <c r="L729" s="1" t="s">
        <v>216</v>
      </c>
      <c r="M729" s="1" t="s">
        <v>131</v>
      </c>
      <c r="Q729" s="1" t="s">
        <v>137</v>
      </c>
      <c r="R729" s="1" t="s">
        <v>137</v>
      </c>
      <c r="S729" s="1" t="s">
        <v>47</v>
      </c>
      <c r="T729" s="1" t="s">
        <v>4301</v>
      </c>
      <c r="U729" s="1" t="s">
        <v>1577</v>
      </c>
      <c r="V729" s="1" t="s">
        <v>5120</v>
      </c>
      <c r="W729" s="3">
        <v>44852.0</v>
      </c>
      <c r="X729" s="3">
        <v>44852.0</v>
      </c>
    </row>
    <row r="730">
      <c r="A730" s="1" t="s">
        <v>14305</v>
      </c>
      <c r="B730" s="1" t="s">
        <v>7680</v>
      </c>
      <c r="C730" s="1" t="s">
        <v>7680</v>
      </c>
      <c r="D730" s="1" t="s">
        <v>4293</v>
      </c>
      <c r="E730" s="1" t="s">
        <v>8191</v>
      </c>
      <c r="F730" s="1" t="s">
        <v>14306</v>
      </c>
      <c r="G730" s="3">
        <v>45086.0</v>
      </c>
      <c r="H730" s="3">
        <v>45086.0</v>
      </c>
      <c r="I730" s="3">
        <v>45086.0</v>
      </c>
      <c r="J730" s="1" t="s">
        <v>215</v>
      </c>
      <c r="K730" s="1" t="s">
        <v>160</v>
      </c>
      <c r="L730" s="1" t="s">
        <v>216</v>
      </c>
      <c r="M730" s="1" t="s">
        <v>131</v>
      </c>
      <c r="Q730" s="1" t="s">
        <v>137</v>
      </c>
      <c r="R730" s="1" t="s">
        <v>137</v>
      </c>
      <c r="S730" s="1" t="s">
        <v>47</v>
      </c>
      <c r="T730" s="1" t="s">
        <v>4301</v>
      </c>
      <c r="U730" s="1" t="s">
        <v>1577</v>
      </c>
      <c r="V730" s="1" t="s">
        <v>7334</v>
      </c>
      <c r="W730" s="3">
        <v>45086.0</v>
      </c>
      <c r="X730" s="3">
        <v>45086.0</v>
      </c>
    </row>
    <row r="731">
      <c r="A731" s="1" t="s">
        <v>14307</v>
      </c>
      <c r="B731" s="1" t="s">
        <v>8199</v>
      </c>
      <c r="C731" s="1" t="s">
        <v>8199</v>
      </c>
      <c r="D731" s="1" t="s">
        <v>4293</v>
      </c>
      <c r="E731" s="1" t="s">
        <v>8201</v>
      </c>
      <c r="F731" s="1" t="s">
        <v>14309</v>
      </c>
      <c r="G731" s="3">
        <v>44409.0</v>
      </c>
      <c r="H731" s="3">
        <v>44409.0</v>
      </c>
      <c r="I731" s="3">
        <v>44409.0</v>
      </c>
      <c r="J731" s="1" t="s">
        <v>215</v>
      </c>
      <c r="K731" s="1" t="s">
        <v>160</v>
      </c>
      <c r="L731" s="1" t="s">
        <v>216</v>
      </c>
      <c r="M731" s="1" t="s">
        <v>131</v>
      </c>
      <c r="Q731" s="1" t="s">
        <v>137</v>
      </c>
      <c r="R731" s="1" t="s">
        <v>137</v>
      </c>
      <c r="S731" s="1" t="s">
        <v>47</v>
      </c>
      <c r="T731" s="1" t="s">
        <v>4301</v>
      </c>
      <c r="U731" s="1" t="s">
        <v>1577</v>
      </c>
      <c r="V731" s="1" t="s">
        <v>4950</v>
      </c>
      <c r="W731" s="3">
        <v>44409.0</v>
      </c>
      <c r="X731" s="3">
        <v>44409.0</v>
      </c>
    </row>
    <row r="732">
      <c r="A732" s="1" t="s">
        <v>14310</v>
      </c>
      <c r="B732" s="1" t="s">
        <v>5225</v>
      </c>
      <c r="C732" s="1" t="s">
        <v>5225</v>
      </c>
      <c r="D732" s="1" t="s">
        <v>4293</v>
      </c>
      <c r="E732" s="1" t="s">
        <v>8212</v>
      </c>
      <c r="F732" s="1" t="s">
        <v>14312</v>
      </c>
      <c r="G732" s="3">
        <v>44062.0</v>
      </c>
      <c r="H732" s="3">
        <v>44106.0</v>
      </c>
      <c r="I732" s="3">
        <v>44106.0</v>
      </c>
      <c r="J732" s="1" t="s">
        <v>215</v>
      </c>
      <c r="K732" s="1" t="s">
        <v>160</v>
      </c>
      <c r="L732" s="1" t="s">
        <v>216</v>
      </c>
      <c r="M732" s="1" t="s">
        <v>131</v>
      </c>
      <c r="Q732" s="1" t="s">
        <v>137</v>
      </c>
      <c r="R732" s="1" t="s">
        <v>137</v>
      </c>
      <c r="S732" s="1" t="s">
        <v>47</v>
      </c>
      <c r="T732" s="1" t="s">
        <v>4301</v>
      </c>
      <c r="U732" s="1" t="s">
        <v>1577</v>
      </c>
      <c r="V732" s="1" t="s">
        <v>3858</v>
      </c>
      <c r="W732" s="3">
        <v>44106.0</v>
      </c>
      <c r="X732" s="3">
        <v>44106.0</v>
      </c>
    </row>
    <row r="733">
      <c r="A733" s="1" t="s">
        <v>14314</v>
      </c>
      <c r="B733" s="1" t="s">
        <v>8219</v>
      </c>
      <c r="C733" s="1" t="s">
        <v>8219</v>
      </c>
      <c r="D733" s="1" t="s">
        <v>4293</v>
      </c>
      <c r="E733" s="1" t="s">
        <v>8221</v>
      </c>
      <c r="F733" s="1" t="s">
        <v>14315</v>
      </c>
      <c r="G733" s="3">
        <v>45088.0</v>
      </c>
      <c r="H733" s="3">
        <v>45016.0</v>
      </c>
      <c r="I733" s="3">
        <v>45016.0</v>
      </c>
      <c r="J733" s="1" t="s">
        <v>215</v>
      </c>
      <c r="K733" s="1" t="s">
        <v>160</v>
      </c>
      <c r="L733" s="1" t="s">
        <v>216</v>
      </c>
      <c r="M733" s="1" t="s">
        <v>131</v>
      </c>
      <c r="Q733" s="1" t="s">
        <v>137</v>
      </c>
      <c r="R733" s="1" t="s">
        <v>137</v>
      </c>
      <c r="S733" s="1" t="s">
        <v>47</v>
      </c>
      <c r="T733" s="1" t="s">
        <v>4301</v>
      </c>
      <c r="U733" s="1" t="s">
        <v>1577</v>
      </c>
      <c r="V733" s="1" t="s">
        <v>3858</v>
      </c>
      <c r="W733" s="3">
        <v>45016.0</v>
      </c>
      <c r="X733" s="3">
        <v>45016.0</v>
      </c>
    </row>
    <row r="734">
      <c r="A734" s="1" t="s">
        <v>14317</v>
      </c>
      <c r="B734" s="1" t="s">
        <v>6884</v>
      </c>
      <c r="C734" s="1" t="s">
        <v>6884</v>
      </c>
      <c r="D734" s="1" t="s">
        <v>4293</v>
      </c>
      <c r="E734" s="1" t="s">
        <v>8232</v>
      </c>
      <c r="F734" s="1" t="s">
        <v>14318</v>
      </c>
      <c r="G734" s="3">
        <v>45820.0</v>
      </c>
      <c r="H734" s="3">
        <v>45968.0</v>
      </c>
      <c r="I734" s="3">
        <v>45968.0</v>
      </c>
      <c r="J734" s="1" t="s">
        <v>215</v>
      </c>
      <c r="K734" s="1" t="s">
        <v>160</v>
      </c>
      <c r="L734" s="1" t="s">
        <v>216</v>
      </c>
      <c r="M734" s="1" t="s">
        <v>131</v>
      </c>
      <c r="Q734" s="1" t="s">
        <v>137</v>
      </c>
      <c r="R734" s="1" t="s">
        <v>137</v>
      </c>
      <c r="S734" s="1" t="s">
        <v>47</v>
      </c>
      <c r="T734" s="1" t="s">
        <v>4301</v>
      </c>
      <c r="U734" s="1" t="s">
        <v>1577</v>
      </c>
      <c r="V734" s="1" t="s">
        <v>4679</v>
      </c>
      <c r="W734" s="3">
        <v>45968.0</v>
      </c>
      <c r="X734" s="3">
        <v>45968.0</v>
      </c>
    </row>
    <row r="735">
      <c r="A735" s="1" t="s">
        <v>14319</v>
      </c>
      <c r="B735" s="1" t="s">
        <v>6884</v>
      </c>
      <c r="C735" s="1" t="s">
        <v>6884</v>
      </c>
      <c r="D735" s="1" t="s">
        <v>4293</v>
      </c>
      <c r="E735" s="1" t="s">
        <v>8232</v>
      </c>
      <c r="F735" s="1" t="s">
        <v>14320</v>
      </c>
      <c r="G735" s="3">
        <v>45820.0</v>
      </c>
      <c r="H735" s="3">
        <v>45968.0</v>
      </c>
      <c r="I735" s="3">
        <v>45968.0</v>
      </c>
      <c r="J735" s="1" t="s">
        <v>215</v>
      </c>
      <c r="K735" s="1" t="s">
        <v>160</v>
      </c>
      <c r="L735" s="1" t="s">
        <v>216</v>
      </c>
      <c r="M735" s="1" t="s">
        <v>131</v>
      </c>
      <c r="Q735" s="1" t="s">
        <v>137</v>
      </c>
      <c r="R735" s="1" t="s">
        <v>137</v>
      </c>
      <c r="S735" s="1" t="s">
        <v>47</v>
      </c>
      <c r="T735" s="1" t="s">
        <v>4301</v>
      </c>
      <c r="U735" s="1" t="s">
        <v>1577</v>
      </c>
      <c r="V735" s="1" t="s">
        <v>4950</v>
      </c>
      <c r="W735" s="3">
        <v>45968.0</v>
      </c>
      <c r="X735" s="3">
        <v>45968.0</v>
      </c>
    </row>
    <row r="736">
      <c r="A736" s="1" t="s">
        <v>14322</v>
      </c>
      <c r="B736" s="1" t="s">
        <v>6884</v>
      </c>
      <c r="C736" s="1" t="s">
        <v>6884</v>
      </c>
      <c r="D736" s="1" t="s">
        <v>4293</v>
      </c>
      <c r="E736" s="1" t="s">
        <v>8232</v>
      </c>
      <c r="F736" s="1" t="s">
        <v>14323</v>
      </c>
      <c r="G736" s="3">
        <v>45820.0</v>
      </c>
      <c r="H736" s="3">
        <v>45968.0</v>
      </c>
      <c r="I736" s="3">
        <v>45968.0</v>
      </c>
      <c r="J736" s="1" t="s">
        <v>215</v>
      </c>
      <c r="K736" s="1" t="s">
        <v>160</v>
      </c>
      <c r="L736" s="1" t="s">
        <v>216</v>
      </c>
      <c r="M736" s="1" t="s">
        <v>131</v>
      </c>
      <c r="Q736" s="1" t="s">
        <v>137</v>
      </c>
      <c r="R736" s="1" t="s">
        <v>137</v>
      </c>
      <c r="S736" s="1" t="s">
        <v>47</v>
      </c>
      <c r="T736" s="1" t="s">
        <v>4301</v>
      </c>
      <c r="U736" s="1" t="s">
        <v>1577</v>
      </c>
      <c r="V736" s="1" t="s">
        <v>5104</v>
      </c>
      <c r="W736" s="3">
        <v>45968.0</v>
      </c>
      <c r="X736" s="3">
        <v>45968.0</v>
      </c>
    </row>
    <row r="737">
      <c r="A737" s="1" t="s">
        <v>14326</v>
      </c>
      <c r="B737" s="1" t="s">
        <v>6884</v>
      </c>
      <c r="C737" s="1" t="s">
        <v>6884</v>
      </c>
      <c r="D737" s="1" t="s">
        <v>4293</v>
      </c>
      <c r="E737" s="1" t="s">
        <v>8232</v>
      </c>
      <c r="F737" s="1" t="s">
        <v>14328</v>
      </c>
      <c r="G737" s="3">
        <v>45820.0</v>
      </c>
      <c r="H737" s="3">
        <v>45968.0</v>
      </c>
      <c r="I737" s="3">
        <v>45968.0</v>
      </c>
      <c r="J737" s="1" t="s">
        <v>215</v>
      </c>
      <c r="K737" s="1" t="s">
        <v>160</v>
      </c>
      <c r="L737" s="1" t="s">
        <v>216</v>
      </c>
      <c r="M737" s="1" t="s">
        <v>131</v>
      </c>
      <c r="Q737" s="1" t="s">
        <v>137</v>
      </c>
      <c r="R737" s="1" t="s">
        <v>137</v>
      </c>
      <c r="S737" s="1" t="s">
        <v>47</v>
      </c>
      <c r="T737" s="1" t="s">
        <v>4301</v>
      </c>
      <c r="U737" s="1" t="s">
        <v>1577</v>
      </c>
      <c r="V737" s="1" t="s">
        <v>5120</v>
      </c>
      <c r="W737" s="3">
        <v>45968.0</v>
      </c>
      <c r="X737" s="3">
        <v>45968.0</v>
      </c>
    </row>
    <row r="738">
      <c r="A738" s="1" t="s">
        <v>14331</v>
      </c>
      <c r="B738" s="1" t="s">
        <v>8240</v>
      </c>
      <c r="C738" s="1" t="s">
        <v>8240</v>
      </c>
      <c r="D738" s="1" t="s">
        <v>4293</v>
      </c>
      <c r="E738" s="1" t="s">
        <v>8242</v>
      </c>
      <c r="F738" s="1" t="s">
        <v>14332</v>
      </c>
      <c r="G738" s="3">
        <v>43766.0</v>
      </c>
      <c r="H738" s="3">
        <v>43556.0</v>
      </c>
      <c r="I738" s="3">
        <v>43556.0</v>
      </c>
      <c r="J738" s="1" t="s">
        <v>215</v>
      </c>
      <c r="K738" s="1" t="s">
        <v>160</v>
      </c>
      <c r="L738" s="1" t="s">
        <v>216</v>
      </c>
      <c r="M738" s="1" t="s">
        <v>131</v>
      </c>
      <c r="Q738" s="1" t="s">
        <v>137</v>
      </c>
      <c r="R738" s="1" t="s">
        <v>137</v>
      </c>
      <c r="S738" s="1" t="s">
        <v>47</v>
      </c>
      <c r="T738" s="1" t="s">
        <v>4301</v>
      </c>
      <c r="U738" s="1" t="s">
        <v>1577</v>
      </c>
      <c r="V738" s="1" t="s">
        <v>3858</v>
      </c>
      <c r="W738" s="3">
        <v>43556.0</v>
      </c>
      <c r="X738" s="3">
        <v>43556.0</v>
      </c>
    </row>
    <row r="739">
      <c r="A739" s="1" t="s">
        <v>14335</v>
      </c>
      <c r="B739" s="1" t="s">
        <v>5421</v>
      </c>
      <c r="C739" s="1" t="s">
        <v>5421</v>
      </c>
      <c r="D739" s="1" t="s">
        <v>4293</v>
      </c>
      <c r="E739" s="1" t="s">
        <v>8250</v>
      </c>
      <c r="F739" s="1" t="s">
        <v>14336</v>
      </c>
      <c r="G739" s="3">
        <v>45009.0</v>
      </c>
      <c r="H739" s="3">
        <v>45397.0</v>
      </c>
      <c r="I739" s="3">
        <v>45397.0</v>
      </c>
      <c r="J739" s="1" t="s">
        <v>215</v>
      </c>
      <c r="K739" s="1" t="s">
        <v>160</v>
      </c>
      <c r="L739" s="1" t="s">
        <v>216</v>
      </c>
      <c r="M739" s="1" t="s">
        <v>131</v>
      </c>
      <c r="Q739" s="1" t="s">
        <v>137</v>
      </c>
      <c r="R739" s="1" t="s">
        <v>137</v>
      </c>
      <c r="S739" s="1" t="s">
        <v>47</v>
      </c>
      <c r="T739" s="1" t="s">
        <v>4301</v>
      </c>
      <c r="U739" s="1" t="s">
        <v>1577</v>
      </c>
      <c r="V739" s="1" t="s">
        <v>3858</v>
      </c>
      <c r="W739" s="3">
        <v>45397.0</v>
      </c>
      <c r="X739" s="3">
        <v>45397.0</v>
      </c>
    </row>
    <row r="740">
      <c r="A740" s="1" t="s">
        <v>14338</v>
      </c>
      <c r="B740" s="1" t="s">
        <v>8256</v>
      </c>
      <c r="C740" s="1" t="s">
        <v>8256</v>
      </c>
      <c r="D740" s="1" t="s">
        <v>4293</v>
      </c>
      <c r="E740" s="1" t="s">
        <v>8258</v>
      </c>
      <c r="F740" s="1" t="s">
        <v>14340</v>
      </c>
      <c r="G740" s="3">
        <v>44204.0</v>
      </c>
      <c r="H740" s="3">
        <v>44286.0</v>
      </c>
      <c r="I740" s="3">
        <v>44286.0</v>
      </c>
      <c r="J740" s="1" t="s">
        <v>215</v>
      </c>
      <c r="K740" s="1" t="s">
        <v>160</v>
      </c>
      <c r="L740" s="1" t="s">
        <v>216</v>
      </c>
      <c r="M740" s="1" t="s">
        <v>131</v>
      </c>
      <c r="Q740" s="1" t="s">
        <v>137</v>
      </c>
      <c r="R740" s="1" t="s">
        <v>137</v>
      </c>
      <c r="S740" s="1" t="s">
        <v>47</v>
      </c>
      <c r="T740" s="1" t="s">
        <v>4301</v>
      </c>
      <c r="U740" s="1" t="s">
        <v>1577</v>
      </c>
      <c r="V740" s="1" t="s">
        <v>3858</v>
      </c>
      <c r="W740" s="3">
        <v>44286.0</v>
      </c>
      <c r="X740" s="3">
        <v>44286.0</v>
      </c>
    </row>
    <row r="741">
      <c r="A741" s="1" t="s">
        <v>14341</v>
      </c>
      <c r="B741" s="1" t="s">
        <v>8256</v>
      </c>
      <c r="C741" s="1" t="s">
        <v>8256</v>
      </c>
      <c r="D741" s="1" t="s">
        <v>4293</v>
      </c>
      <c r="E741" s="1" t="s">
        <v>8258</v>
      </c>
      <c r="F741" s="1" t="s">
        <v>14342</v>
      </c>
      <c r="G741" s="3">
        <v>44204.0</v>
      </c>
      <c r="H741" s="3">
        <v>44286.0</v>
      </c>
      <c r="I741" s="3">
        <v>44286.0</v>
      </c>
      <c r="J741" s="1" t="s">
        <v>215</v>
      </c>
      <c r="K741" s="1" t="s">
        <v>160</v>
      </c>
      <c r="L741" s="1" t="s">
        <v>216</v>
      </c>
      <c r="M741" s="1" t="s">
        <v>131</v>
      </c>
      <c r="Q741" s="1" t="s">
        <v>137</v>
      </c>
      <c r="R741" s="1" t="s">
        <v>137</v>
      </c>
      <c r="S741" s="1" t="s">
        <v>47</v>
      </c>
      <c r="T741" s="1" t="s">
        <v>4301</v>
      </c>
      <c r="U741" s="1" t="s">
        <v>1577</v>
      </c>
      <c r="V741" s="1" t="s">
        <v>4950</v>
      </c>
      <c r="W741" s="3">
        <v>44286.0</v>
      </c>
      <c r="X741" s="3">
        <v>44286.0</v>
      </c>
    </row>
    <row r="742">
      <c r="A742" s="1" t="s">
        <v>14344</v>
      </c>
      <c r="B742" s="1" t="s">
        <v>6984</v>
      </c>
      <c r="C742" s="1" t="s">
        <v>6984</v>
      </c>
      <c r="D742" s="1" t="s">
        <v>4293</v>
      </c>
      <c r="E742" s="1" t="s">
        <v>8264</v>
      </c>
      <c r="F742" s="1" t="s">
        <v>14345</v>
      </c>
      <c r="G742" s="3">
        <v>44558.0</v>
      </c>
      <c r="H742" s="3">
        <v>44662.0</v>
      </c>
      <c r="I742" s="3">
        <v>44662.0</v>
      </c>
      <c r="J742" s="1" t="s">
        <v>215</v>
      </c>
      <c r="K742" s="1" t="s">
        <v>160</v>
      </c>
      <c r="L742" s="1" t="s">
        <v>216</v>
      </c>
      <c r="M742" s="1" t="s">
        <v>131</v>
      </c>
      <c r="Q742" s="1" t="s">
        <v>137</v>
      </c>
      <c r="R742" s="1" t="s">
        <v>137</v>
      </c>
      <c r="S742" s="1" t="s">
        <v>47</v>
      </c>
      <c r="T742" s="1" t="s">
        <v>4301</v>
      </c>
      <c r="U742" s="1" t="s">
        <v>1577</v>
      </c>
      <c r="V742" s="1" t="s">
        <v>3858</v>
      </c>
      <c r="W742" s="3">
        <v>44662.0</v>
      </c>
      <c r="X742" s="3">
        <v>44662.0</v>
      </c>
    </row>
    <row r="743">
      <c r="A743" s="1" t="s">
        <v>14347</v>
      </c>
      <c r="B743" s="1" t="s">
        <v>8270</v>
      </c>
      <c r="C743" s="1" t="s">
        <v>8270</v>
      </c>
      <c r="D743" s="1" t="s">
        <v>4293</v>
      </c>
      <c r="E743" s="1" t="s">
        <v>8271</v>
      </c>
      <c r="F743" s="1" t="s">
        <v>14348</v>
      </c>
      <c r="G743" s="3">
        <v>43796.0</v>
      </c>
      <c r="H743" s="3">
        <v>43920.0</v>
      </c>
      <c r="I743" s="3">
        <v>43920.0</v>
      </c>
      <c r="J743" s="1" t="s">
        <v>215</v>
      </c>
      <c r="K743" s="1" t="s">
        <v>160</v>
      </c>
      <c r="L743" s="1" t="s">
        <v>216</v>
      </c>
      <c r="M743" s="1" t="s">
        <v>131</v>
      </c>
      <c r="Q743" s="1" t="s">
        <v>137</v>
      </c>
      <c r="R743" s="1" t="s">
        <v>137</v>
      </c>
      <c r="S743" s="1" t="s">
        <v>47</v>
      </c>
      <c r="T743" s="1" t="s">
        <v>4301</v>
      </c>
      <c r="U743" s="1" t="s">
        <v>1577</v>
      </c>
      <c r="V743" s="1" t="s">
        <v>3858</v>
      </c>
      <c r="W743" s="3">
        <v>43920.0</v>
      </c>
      <c r="X743" s="3">
        <v>43920.0</v>
      </c>
    </row>
    <row r="744">
      <c r="A744" s="1" t="s">
        <v>14349</v>
      </c>
      <c r="B744" s="1" t="s">
        <v>8270</v>
      </c>
      <c r="C744" s="1" t="s">
        <v>8270</v>
      </c>
      <c r="D744" s="1" t="s">
        <v>4293</v>
      </c>
      <c r="E744" s="1" t="s">
        <v>8271</v>
      </c>
      <c r="F744" s="1" t="s">
        <v>14350</v>
      </c>
      <c r="G744" s="3">
        <v>43796.0</v>
      </c>
      <c r="H744" s="3">
        <v>43920.0</v>
      </c>
      <c r="I744" s="3">
        <v>43920.0</v>
      </c>
      <c r="J744" s="1" t="s">
        <v>215</v>
      </c>
      <c r="K744" s="1" t="s">
        <v>160</v>
      </c>
      <c r="L744" s="1" t="s">
        <v>216</v>
      </c>
      <c r="M744" s="1" t="s">
        <v>131</v>
      </c>
      <c r="Q744" s="1" t="s">
        <v>137</v>
      </c>
      <c r="R744" s="1" t="s">
        <v>137</v>
      </c>
      <c r="S744" s="1" t="s">
        <v>47</v>
      </c>
      <c r="T744" s="1" t="s">
        <v>4301</v>
      </c>
      <c r="U744" s="1" t="s">
        <v>1577</v>
      </c>
      <c r="V744" s="1" t="s">
        <v>4950</v>
      </c>
      <c r="W744" s="3">
        <v>43920.0</v>
      </c>
      <c r="X744" s="3">
        <v>43920.0</v>
      </c>
    </row>
    <row r="745">
      <c r="A745" s="1" t="s">
        <v>14351</v>
      </c>
      <c r="B745" s="1" t="s">
        <v>8278</v>
      </c>
      <c r="C745" s="1" t="s">
        <v>8278</v>
      </c>
      <c r="D745" s="1" t="s">
        <v>4293</v>
      </c>
      <c r="E745" s="1" t="s">
        <v>8279</v>
      </c>
      <c r="F745" s="1" t="s">
        <v>14352</v>
      </c>
      <c r="G745" s="3">
        <v>44609.0</v>
      </c>
      <c r="H745" s="3">
        <v>44721.0</v>
      </c>
      <c r="I745" s="3">
        <v>44721.0</v>
      </c>
      <c r="J745" s="1" t="s">
        <v>215</v>
      </c>
      <c r="K745" s="1" t="s">
        <v>160</v>
      </c>
      <c r="L745" s="1" t="s">
        <v>216</v>
      </c>
      <c r="M745" s="1" t="s">
        <v>131</v>
      </c>
      <c r="Q745" s="1" t="s">
        <v>137</v>
      </c>
      <c r="R745" s="1" t="s">
        <v>137</v>
      </c>
      <c r="S745" s="1" t="s">
        <v>47</v>
      </c>
      <c r="T745" s="1" t="s">
        <v>4301</v>
      </c>
      <c r="U745" s="1" t="s">
        <v>1577</v>
      </c>
      <c r="V745" s="1" t="s">
        <v>3858</v>
      </c>
      <c r="W745" s="3">
        <v>44721.0</v>
      </c>
      <c r="X745" s="3">
        <v>44721.0</v>
      </c>
    </row>
    <row r="746">
      <c r="A746" s="1" t="s">
        <v>14354</v>
      </c>
      <c r="B746" s="1" t="s">
        <v>8285</v>
      </c>
      <c r="C746" s="1" t="s">
        <v>8285</v>
      </c>
      <c r="D746" s="1" t="s">
        <v>4293</v>
      </c>
      <c r="E746" s="1" t="s">
        <v>8287</v>
      </c>
      <c r="F746" s="1" t="s">
        <v>14356</v>
      </c>
      <c r="G746" s="3">
        <v>43551.0</v>
      </c>
      <c r="H746" s="3">
        <v>43731.0</v>
      </c>
      <c r="I746" s="3">
        <v>43731.0</v>
      </c>
      <c r="J746" s="1" t="s">
        <v>215</v>
      </c>
      <c r="K746" s="1" t="s">
        <v>160</v>
      </c>
      <c r="L746" s="1" t="s">
        <v>216</v>
      </c>
      <c r="M746" s="1" t="s">
        <v>131</v>
      </c>
      <c r="Q746" s="1" t="s">
        <v>137</v>
      </c>
      <c r="R746" s="1" t="s">
        <v>137</v>
      </c>
      <c r="S746" s="1" t="s">
        <v>47</v>
      </c>
      <c r="T746" s="1" t="s">
        <v>4301</v>
      </c>
      <c r="U746" s="1" t="s">
        <v>1577</v>
      </c>
      <c r="V746" s="1" t="s">
        <v>3858</v>
      </c>
      <c r="W746" s="3">
        <v>43731.0</v>
      </c>
      <c r="X746" s="3">
        <v>43731.0</v>
      </c>
    </row>
    <row r="747">
      <c r="A747" s="1" t="s">
        <v>14358</v>
      </c>
      <c r="B747" s="1" t="s">
        <v>7011</v>
      </c>
      <c r="C747" s="1" t="s">
        <v>7011</v>
      </c>
      <c r="D747" s="1" t="s">
        <v>4293</v>
      </c>
      <c r="E747" s="1" t="s">
        <v>8295</v>
      </c>
      <c r="F747" s="1" t="s">
        <v>14359</v>
      </c>
      <c r="G747" s="3">
        <v>44417.0</v>
      </c>
      <c r="H747" s="3">
        <v>44535.0</v>
      </c>
      <c r="I747" s="3">
        <v>44535.0</v>
      </c>
      <c r="J747" s="1" t="s">
        <v>215</v>
      </c>
      <c r="K747" s="1" t="s">
        <v>160</v>
      </c>
      <c r="L747" s="1" t="s">
        <v>216</v>
      </c>
      <c r="M747" s="1" t="s">
        <v>131</v>
      </c>
      <c r="Q747" s="1" t="s">
        <v>137</v>
      </c>
      <c r="R747" s="1" t="s">
        <v>137</v>
      </c>
      <c r="S747" s="1" t="s">
        <v>47</v>
      </c>
      <c r="T747" s="1" t="s">
        <v>4301</v>
      </c>
      <c r="U747" s="1" t="s">
        <v>1577</v>
      </c>
      <c r="V747" s="1" t="s">
        <v>3858</v>
      </c>
      <c r="W747" s="3">
        <v>44535.0</v>
      </c>
      <c r="X747" s="3">
        <v>44535.0</v>
      </c>
    </row>
    <row r="748">
      <c r="A748" s="1" t="s">
        <v>14362</v>
      </c>
      <c r="B748" s="1" t="s">
        <v>8301</v>
      </c>
      <c r="C748" s="1" t="s">
        <v>8301</v>
      </c>
      <c r="D748" s="1" t="s">
        <v>4293</v>
      </c>
      <c r="E748" s="1" t="s">
        <v>8302</v>
      </c>
      <c r="F748" s="1" t="s">
        <v>14363</v>
      </c>
      <c r="G748" s="3">
        <v>42873.0</v>
      </c>
      <c r="H748" s="3">
        <v>42886.0</v>
      </c>
      <c r="I748" s="3">
        <v>42886.0</v>
      </c>
      <c r="J748" s="1" t="s">
        <v>215</v>
      </c>
      <c r="K748" s="1" t="s">
        <v>160</v>
      </c>
      <c r="L748" s="1" t="s">
        <v>216</v>
      </c>
      <c r="M748" s="1" t="s">
        <v>131</v>
      </c>
      <c r="Q748" s="1" t="s">
        <v>137</v>
      </c>
      <c r="R748" s="1" t="s">
        <v>137</v>
      </c>
      <c r="S748" s="1" t="s">
        <v>47</v>
      </c>
      <c r="T748" s="1" t="s">
        <v>4301</v>
      </c>
      <c r="U748" s="1" t="s">
        <v>1577</v>
      </c>
      <c r="V748" s="1" t="s">
        <v>3858</v>
      </c>
      <c r="W748" s="3">
        <v>42886.0</v>
      </c>
      <c r="X748" s="3">
        <v>42886.0</v>
      </c>
    </row>
    <row r="749">
      <c r="A749" s="1" t="s">
        <v>14365</v>
      </c>
      <c r="B749" s="1" t="s">
        <v>8307</v>
      </c>
      <c r="C749" s="1" t="s">
        <v>8307</v>
      </c>
      <c r="D749" s="1" t="s">
        <v>4293</v>
      </c>
      <c r="E749" s="1" t="s">
        <v>8309</v>
      </c>
      <c r="F749" s="1" t="s">
        <v>14366</v>
      </c>
      <c r="G749" s="3">
        <v>43700.0</v>
      </c>
      <c r="H749" s="3">
        <v>43777.0</v>
      </c>
      <c r="I749" s="3">
        <v>43777.0</v>
      </c>
      <c r="J749" s="1" t="s">
        <v>215</v>
      </c>
      <c r="K749" s="1" t="s">
        <v>160</v>
      </c>
      <c r="L749" s="1" t="s">
        <v>216</v>
      </c>
      <c r="M749" s="1" t="s">
        <v>131</v>
      </c>
      <c r="Q749" s="1" t="s">
        <v>137</v>
      </c>
      <c r="R749" s="1" t="s">
        <v>137</v>
      </c>
      <c r="S749" s="1" t="s">
        <v>47</v>
      </c>
      <c r="T749" s="1" t="s">
        <v>4301</v>
      </c>
      <c r="U749" s="1" t="s">
        <v>1577</v>
      </c>
      <c r="V749" s="1" t="s">
        <v>3858</v>
      </c>
      <c r="W749" s="3">
        <v>43777.0</v>
      </c>
      <c r="X749" s="3">
        <v>43777.0</v>
      </c>
    </row>
    <row r="750">
      <c r="A750" s="1" t="s">
        <v>14368</v>
      </c>
      <c r="B750" s="1" t="s">
        <v>8307</v>
      </c>
      <c r="C750" s="1" t="s">
        <v>8307</v>
      </c>
      <c r="D750" s="1" t="s">
        <v>4293</v>
      </c>
      <c r="E750" s="1" t="s">
        <v>8309</v>
      </c>
      <c r="F750" s="1" t="s">
        <v>14370</v>
      </c>
      <c r="G750" s="3">
        <v>43700.0</v>
      </c>
      <c r="H750" s="3">
        <v>43777.0</v>
      </c>
      <c r="I750" s="3">
        <v>43777.0</v>
      </c>
      <c r="J750" s="1" t="s">
        <v>215</v>
      </c>
      <c r="K750" s="1" t="s">
        <v>160</v>
      </c>
      <c r="L750" s="1" t="s">
        <v>216</v>
      </c>
      <c r="M750" s="1" t="s">
        <v>131</v>
      </c>
      <c r="Q750" s="1" t="s">
        <v>137</v>
      </c>
      <c r="R750" s="1" t="s">
        <v>137</v>
      </c>
      <c r="S750" s="1" t="s">
        <v>47</v>
      </c>
      <c r="T750" s="1" t="s">
        <v>4301</v>
      </c>
      <c r="U750" s="1" t="s">
        <v>1577</v>
      </c>
      <c r="V750" s="1" t="s">
        <v>4950</v>
      </c>
      <c r="W750" s="3">
        <v>43777.0</v>
      </c>
      <c r="X750" s="3">
        <v>43777.0</v>
      </c>
    </row>
    <row r="751">
      <c r="A751" s="1" t="s">
        <v>14371</v>
      </c>
      <c r="B751" s="1" t="s">
        <v>8315</v>
      </c>
      <c r="C751" s="1" t="s">
        <v>8315</v>
      </c>
      <c r="D751" s="1" t="s">
        <v>4293</v>
      </c>
      <c r="E751" s="1" t="s">
        <v>8316</v>
      </c>
      <c r="F751" s="1" t="s">
        <v>14372</v>
      </c>
      <c r="G751" s="3">
        <v>44958.0</v>
      </c>
      <c r="H751" s="3">
        <v>45307.0</v>
      </c>
      <c r="I751" s="3">
        <v>45307.0</v>
      </c>
      <c r="J751" s="1" t="s">
        <v>215</v>
      </c>
      <c r="K751" s="1" t="s">
        <v>160</v>
      </c>
      <c r="L751" s="1" t="s">
        <v>216</v>
      </c>
      <c r="M751" s="1" t="s">
        <v>131</v>
      </c>
      <c r="Q751" s="1" t="s">
        <v>137</v>
      </c>
      <c r="R751" s="1" t="s">
        <v>137</v>
      </c>
      <c r="S751" s="1" t="s">
        <v>47</v>
      </c>
      <c r="T751" s="1" t="s">
        <v>4301</v>
      </c>
      <c r="U751" s="1" t="s">
        <v>1577</v>
      </c>
      <c r="V751" s="1" t="s">
        <v>3858</v>
      </c>
      <c r="W751" s="3">
        <v>45307.0</v>
      </c>
      <c r="X751" s="3">
        <v>45307.0</v>
      </c>
    </row>
    <row r="752">
      <c r="A752" s="1" t="s">
        <v>14373</v>
      </c>
      <c r="B752" s="1" t="s">
        <v>8315</v>
      </c>
      <c r="C752" s="1" t="s">
        <v>8315</v>
      </c>
      <c r="D752" s="1" t="s">
        <v>4293</v>
      </c>
      <c r="E752" s="1" t="s">
        <v>8316</v>
      </c>
      <c r="F752" s="1" t="s">
        <v>14375</v>
      </c>
      <c r="G752" s="3">
        <v>44958.0</v>
      </c>
      <c r="H752" s="3">
        <v>45307.0</v>
      </c>
      <c r="I752" s="3">
        <v>45307.0</v>
      </c>
      <c r="J752" s="1" t="s">
        <v>215</v>
      </c>
      <c r="K752" s="1" t="s">
        <v>160</v>
      </c>
      <c r="L752" s="1" t="s">
        <v>216</v>
      </c>
      <c r="M752" s="1" t="s">
        <v>131</v>
      </c>
      <c r="Q752" s="1" t="s">
        <v>137</v>
      </c>
      <c r="R752" s="1" t="s">
        <v>137</v>
      </c>
      <c r="S752" s="1" t="s">
        <v>47</v>
      </c>
      <c r="T752" s="1" t="s">
        <v>4301</v>
      </c>
      <c r="U752" s="1" t="s">
        <v>1577</v>
      </c>
      <c r="V752" s="1" t="s">
        <v>4950</v>
      </c>
      <c r="W752" s="3">
        <v>45307.0</v>
      </c>
      <c r="X752" s="3">
        <v>45307.0</v>
      </c>
    </row>
    <row r="753">
      <c r="A753" s="1" t="s">
        <v>14377</v>
      </c>
      <c r="B753" s="1" t="s">
        <v>8322</v>
      </c>
      <c r="C753" s="1" t="s">
        <v>8322</v>
      </c>
      <c r="D753" s="1" t="s">
        <v>4293</v>
      </c>
      <c r="E753" s="1" t="s">
        <v>8323</v>
      </c>
      <c r="F753" s="1" t="s">
        <v>14379</v>
      </c>
      <c r="G753" s="3">
        <v>44466.0</v>
      </c>
      <c r="H753" s="3">
        <v>44531.0</v>
      </c>
      <c r="I753" s="3">
        <v>44531.0</v>
      </c>
      <c r="J753" s="1" t="s">
        <v>215</v>
      </c>
      <c r="K753" s="1" t="s">
        <v>160</v>
      </c>
      <c r="L753" s="1" t="s">
        <v>216</v>
      </c>
      <c r="M753" s="1" t="s">
        <v>131</v>
      </c>
      <c r="Q753" s="1" t="s">
        <v>137</v>
      </c>
      <c r="R753" s="1" t="s">
        <v>137</v>
      </c>
      <c r="S753" s="1" t="s">
        <v>47</v>
      </c>
      <c r="T753" s="1" t="s">
        <v>4301</v>
      </c>
      <c r="U753" s="1" t="s">
        <v>1577</v>
      </c>
      <c r="V753" s="1" t="s">
        <v>3858</v>
      </c>
      <c r="W753" s="3">
        <v>44531.0</v>
      </c>
      <c r="X753" s="3">
        <v>44531.0</v>
      </c>
    </row>
    <row r="754">
      <c r="A754" s="1" t="s">
        <v>14381</v>
      </c>
      <c r="B754" s="1" t="s">
        <v>8322</v>
      </c>
      <c r="C754" s="1" t="s">
        <v>8322</v>
      </c>
      <c r="D754" s="1" t="s">
        <v>4293</v>
      </c>
      <c r="E754" s="1" t="s">
        <v>8323</v>
      </c>
      <c r="F754" s="1" t="s">
        <v>14382</v>
      </c>
      <c r="G754" s="3">
        <v>44466.0</v>
      </c>
      <c r="H754" s="3">
        <v>44531.0</v>
      </c>
      <c r="I754" s="3">
        <v>44531.0</v>
      </c>
      <c r="J754" s="1" t="s">
        <v>215</v>
      </c>
      <c r="K754" s="1" t="s">
        <v>160</v>
      </c>
      <c r="L754" s="1" t="s">
        <v>216</v>
      </c>
      <c r="M754" s="1" t="s">
        <v>131</v>
      </c>
      <c r="Q754" s="1" t="s">
        <v>137</v>
      </c>
      <c r="R754" s="1" t="s">
        <v>137</v>
      </c>
      <c r="S754" s="1" t="s">
        <v>47</v>
      </c>
      <c r="T754" s="1" t="s">
        <v>4301</v>
      </c>
      <c r="U754" s="1" t="s">
        <v>1577</v>
      </c>
      <c r="V754" s="1" t="s">
        <v>4679</v>
      </c>
      <c r="W754" s="3">
        <v>44531.0</v>
      </c>
      <c r="X754" s="3">
        <v>44531.0</v>
      </c>
    </row>
    <row r="755">
      <c r="A755" s="1" t="s">
        <v>14385</v>
      </c>
      <c r="B755" s="1" t="s">
        <v>8322</v>
      </c>
      <c r="C755" s="1" t="s">
        <v>8322</v>
      </c>
      <c r="D755" s="1" t="s">
        <v>4293</v>
      </c>
      <c r="E755" s="1" t="s">
        <v>8323</v>
      </c>
      <c r="F755" s="1" t="s">
        <v>14388</v>
      </c>
      <c r="G755" s="3">
        <v>44466.0</v>
      </c>
      <c r="H755" s="3">
        <v>44531.0</v>
      </c>
      <c r="I755" s="3">
        <v>44531.0</v>
      </c>
      <c r="J755" s="1" t="s">
        <v>215</v>
      </c>
      <c r="K755" s="1" t="s">
        <v>160</v>
      </c>
      <c r="L755" s="1" t="s">
        <v>216</v>
      </c>
      <c r="M755" s="1" t="s">
        <v>131</v>
      </c>
      <c r="Q755" s="1" t="s">
        <v>137</v>
      </c>
      <c r="R755" s="1" t="s">
        <v>137</v>
      </c>
      <c r="S755" s="1" t="s">
        <v>47</v>
      </c>
      <c r="T755" s="1" t="s">
        <v>4301</v>
      </c>
      <c r="U755" s="1" t="s">
        <v>1577</v>
      </c>
      <c r="V755" s="1" t="s">
        <v>4950</v>
      </c>
      <c r="W755" s="3">
        <v>44531.0</v>
      </c>
      <c r="X755" s="3">
        <v>44531.0</v>
      </c>
    </row>
    <row r="756">
      <c r="A756" s="1" t="s">
        <v>14390</v>
      </c>
      <c r="B756" s="1" t="s">
        <v>8322</v>
      </c>
      <c r="C756" s="1" t="s">
        <v>8322</v>
      </c>
      <c r="D756" s="1" t="s">
        <v>4293</v>
      </c>
      <c r="E756" s="1" t="s">
        <v>8323</v>
      </c>
      <c r="F756" s="1" t="s">
        <v>14391</v>
      </c>
      <c r="G756" s="3">
        <v>44466.0</v>
      </c>
      <c r="H756" s="3">
        <v>44531.0</v>
      </c>
      <c r="I756" s="3">
        <v>44531.0</v>
      </c>
      <c r="J756" s="1" t="s">
        <v>215</v>
      </c>
      <c r="K756" s="1" t="s">
        <v>160</v>
      </c>
      <c r="L756" s="1" t="s">
        <v>216</v>
      </c>
      <c r="M756" s="1" t="s">
        <v>131</v>
      </c>
      <c r="Q756" s="1" t="s">
        <v>137</v>
      </c>
      <c r="R756" s="1" t="s">
        <v>137</v>
      </c>
      <c r="S756" s="1" t="s">
        <v>47</v>
      </c>
      <c r="T756" s="1" t="s">
        <v>4301</v>
      </c>
      <c r="U756" s="1" t="s">
        <v>1577</v>
      </c>
      <c r="V756" s="1" t="s">
        <v>5104</v>
      </c>
      <c r="W756" s="3">
        <v>44531.0</v>
      </c>
      <c r="X756" s="3">
        <v>44531.0</v>
      </c>
    </row>
    <row r="757">
      <c r="A757" s="1" t="s">
        <v>14393</v>
      </c>
      <c r="B757" s="1" t="s">
        <v>8322</v>
      </c>
      <c r="C757" s="1" t="s">
        <v>8322</v>
      </c>
      <c r="D757" s="1" t="s">
        <v>4293</v>
      </c>
      <c r="E757" s="1" t="s">
        <v>8323</v>
      </c>
      <c r="F757" s="1" t="s">
        <v>14395</v>
      </c>
      <c r="G757" s="3">
        <v>44466.0</v>
      </c>
      <c r="H757" s="3">
        <v>44531.0</v>
      </c>
      <c r="I757" s="3">
        <v>44531.0</v>
      </c>
      <c r="J757" s="1" t="s">
        <v>215</v>
      </c>
      <c r="K757" s="1" t="s">
        <v>160</v>
      </c>
      <c r="L757" s="1" t="s">
        <v>216</v>
      </c>
      <c r="M757" s="1" t="s">
        <v>131</v>
      </c>
      <c r="Q757" s="1" t="s">
        <v>137</v>
      </c>
      <c r="R757" s="1" t="s">
        <v>137</v>
      </c>
      <c r="S757" s="1" t="s">
        <v>47</v>
      </c>
      <c r="T757" s="1" t="s">
        <v>4301</v>
      </c>
      <c r="U757" s="1" t="s">
        <v>1577</v>
      </c>
      <c r="V757" s="1" t="s">
        <v>5120</v>
      </c>
      <c r="W757" s="3">
        <v>44531.0</v>
      </c>
      <c r="X757" s="3">
        <v>44531.0</v>
      </c>
    </row>
    <row r="758">
      <c r="A758" s="1" t="s">
        <v>14397</v>
      </c>
      <c r="B758" s="1" t="s">
        <v>8329</v>
      </c>
      <c r="C758" s="1" t="s">
        <v>8329</v>
      </c>
      <c r="D758" s="1" t="s">
        <v>4293</v>
      </c>
      <c r="E758" s="1" t="s">
        <v>8331</v>
      </c>
      <c r="F758" s="1" t="s">
        <v>14398</v>
      </c>
      <c r="G758" s="3">
        <v>45442.0</v>
      </c>
      <c r="H758" s="3">
        <v>45708.0</v>
      </c>
      <c r="I758" s="3">
        <v>45708.0</v>
      </c>
      <c r="J758" s="1" t="s">
        <v>215</v>
      </c>
      <c r="K758" s="1" t="s">
        <v>160</v>
      </c>
      <c r="L758" s="1" t="s">
        <v>216</v>
      </c>
      <c r="M758" s="1" t="s">
        <v>131</v>
      </c>
      <c r="Q758" s="1" t="s">
        <v>137</v>
      </c>
      <c r="R758" s="1" t="s">
        <v>137</v>
      </c>
      <c r="S758" s="1" t="s">
        <v>47</v>
      </c>
      <c r="T758" s="1" t="s">
        <v>4301</v>
      </c>
      <c r="U758" s="1" t="s">
        <v>1577</v>
      </c>
      <c r="V758" s="1" t="s">
        <v>3858</v>
      </c>
      <c r="W758" s="3">
        <v>45708.0</v>
      </c>
      <c r="X758" s="3">
        <v>45708.0</v>
      </c>
    </row>
    <row r="759">
      <c r="A759" s="1" t="s">
        <v>14399</v>
      </c>
      <c r="B759" s="1" t="s">
        <v>8339</v>
      </c>
      <c r="C759" s="1" t="s">
        <v>8339</v>
      </c>
      <c r="D759" s="1" t="s">
        <v>4293</v>
      </c>
      <c r="E759" s="1" t="s">
        <v>8341</v>
      </c>
      <c r="F759" s="1" t="s">
        <v>14401</v>
      </c>
      <c r="G759" s="3">
        <v>44680.0</v>
      </c>
      <c r="H759" s="3">
        <v>44796.0</v>
      </c>
      <c r="I759" s="3">
        <v>44796.0</v>
      </c>
      <c r="J759" s="1" t="s">
        <v>215</v>
      </c>
      <c r="K759" s="1" t="s">
        <v>160</v>
      </c>
      <c r="L759" s="1" t="s">
        <v>216</v>
      </c>
      <c r="M759" s="1" t="s">
        <v>131</v>
      </c>
      <c r="Q759" s="1" t="s">
        <v>137</v>
      </c>
      <c r="R759" s="1" t="s">
        <v>137</v>
      </c>
      <c r="S759" s="1" t="s">
        <v>47</v>
      </c>
      <c r="T759" s="1" t="s">
        <v>4301</v>
      </c>
      <c r="U759" s="1" t="s">
        <v>1577</v>
      </c>
      <c r="V759" s="1" t="s">
        <v>3858</v>
      </c>
      <c r="W759" s="3">
        <v>44796.0</v>
      </c>
      <c r="X759" s="3">
        <v>44796.0</v>
      </c>
    </row>
    <row r="760">
      <c r="A760" s="1" t="s">
        <v>14404</v>
      </c>
      <c r="B760" s="1" t="s">
        <v>8347</v>
      </c>
      <c r="C760" s="1" t="s">
        <v>8347</v>
      </c>
      <c r="D760" s="1" t="s">
        <v>4293</v>
      </c>
      <c r="E760" s="1" t="s">
        <v>8350</v>
      </c>
      <c r="F760" s="1" t="s">
        <v>14405</v>
      </c>
      <c r="G760" s="3">
        <v>45075.0</v>
      </c>
      <c r="H760" s="3">
        <v>45413.0</v>
      </c>
      <c r="I760" s="3">
        <v>45413.0</v>
      </c>
      <c r="J760" s="1" t="s">
        <v>215</v>
      </c>
      <c r="K760" s="1" t="s">
        <v>160</v>
      </c>
      <c r="L760" s="1" t="s">
        <v>216</v>
      </c>
      <c r="M760" s="1" t="s">
        <v>131</v>
      </c>
      <c r="Q760" s="1" t="s">
        <v>137</v>
      </c>
      <c r="R760" s="1" t="s">
        <v>137</v>
      </c>
      <c r="S760" s="1" t="s">
        <v>47</v>
      </c>
      <c r="T760" s="1" t="s">
        <v>4301</v>
      </c>
      <c r="U760" s="1" t="s">
        <v>1577</v>
      </c>
      <c r="V760" s="1" t="s">
        <v>3858</v>
      </c>
      <c r="W760" s="3">
        <v>45413.0</v>
      </c>
      <c r="X760" s="3">
        <v>45413.0</v>
      </c>
    </row>
    <row r="761">
      <c r="A761" s="1" t="s">
        <v>14409</v>
      </c>
      <c r="B761" s="1" t="s">
        <v>8347</v>
      </c>
      <c r="C761" s="1" t="s">
        <v>8347</v>
      </c>
      <c r="D761" s="1" t="s">
        <v>4293</v>
      </c>
      <c r="E761" s="1" t="s">
        <v>8350</v>
      </c>
      <c r="F761" s="1" t="s">
        <v>14411</v>
      </c>
      <c r="G761" s="3">
        <v>45075.0</v>
      </c>
      <c r="H761" s="3">
        <v>45413.0</v>
      </c>
      <c r="I761" s="3">
        <v>45413.0</v>
      </c>
      <c r="J761" s="1" t="s">
        <v>215</v>
      </c>
      <c r="K761" s="1" t="s">
        <v>160</v>
      </c>
      <c r="L761" s="1" t="s">
        <v>216</v>
      </c>
      <c r="M761" s="1" t="s">
        <v>131</v>
      </c>
      <c r="Q761" s="1" t="s">
        <v>137</v>
      </c>
      <c r="R761" s="1" t="s">
        <v>137</v>
      </c>
      <c r="S761" s="1" t="s">
        <v>47</v>
      </c>
      <c r="T761" s="1" t="s">
        <v>4301</v>
      </c>
      <c r="U761" s="1" t="s">
        <v>1577</v>
      </c>
      <c r="V761" s="1" t="s">
        <v>4950</v>
      </c>
      <c r="W761" s="3">
        <v>45413.0</v>
      </c>
      <c r="X761" s="3">
        <v>45413.0</v>
      </c>
    </row>
    <row r="762">
      <c r="A762" s="1" t="s">
        <v>14414</v>
      </c>
      <c r="B762" s="1" t="s">
        <v>8353</v>
      </c>
      <c r="C762" s="1" t="s">
        <v>8353</v>
      </c>
      <c r="D762" s="1" t="s">
        <v>4293</v>
      </c>
      <c r="E762" s="1" t="s">
        <v>8354</v>
      </c>
      <c r="F762" s="1" t="s">
        <v>14415</v>
      </c>
      <c r="G762" s="3">
        <v>45090.0</v>
      </c>
      <c r="H762" s="3">
        <v>45268.0</v>
      </c>
      <c r="I762" s="3">
        <v>45268.0</v>
      </c>
      <c r="J762" s="1" t="s">
        <v>215</v>
      </c>
      <c r="K762" s="1" t="s">
        <v>160</v>
      </c>
      <c r="L762" s="1" t="s">
        <v>216</v>
      </c>
      <c r="M762" s="1" t="s">
        <v>131</v>
      </c>
      <c r="Q762" s="1" t="s">
        <v>137</v>
      </c>
      <c r="R762" s="1" t="s">
        <v>137</v>
      </c>
      <c r="S762" s="1" t="s">
        <v>47</v>
      </c>
      <c r="T762" s="1" t="s">
        <v>4301</v>
      </c>
      <c r="U762" s="1" t="s">
        <v>1577</v>
      </c>
      <c r="V762" s="1" t="s">
        <v>3858</v>
      </c>
      <c r="W762" s="3">
        <v>45268.0</v>
      </c>
      <c r="X762" s="3">
        <v>45268.0</v>
      </c>
    </row>
    <row r="763">
      <c r="A763" s="1" t="s">
        <v>14419</v>
      </c>
      <c r="B763" s="1" t="s">
        <v>8353</v>
      </c>
      <c r="C763" s="1" t="s">
        <v>8353</v>
      </c>
      <c r="D763" s="1" t="s">
        <v>4293</v>
      </c>
      <c r="E763" s="1" t="s">
        <v>8354</v>
      </c>
      <c r="F763" s="1" t="s">
        <v>14421</v>
      </c>
      <c r="G763" s="3">
        <v>45090.0</v>
      </c>
      <c r="H763" s="3">
        <v>45268.0</v>
      </c>
      <c r="I763" s="3">
        <v>45268.0</v>
      </c>
      <c r="J763" s="1" t="s">
        <v>215</v>
      </c>
      <c r="K763" s="1" t="s">
        <v>160</v>
      </c>
      <c r="L763" s="1" t="s">
        <v>216</v>
      </c>
      <c r="M763" s="1" t="s">
        <v>131</v>
      </c>
      <c r="Q763" s="1" t="s">
        <v>137</v>
      </c>
      <c r="R763" s="1" t="s">
        <v>137</v>
      </c>
      <c r="S763" s="1" t="s">
        <v>47</v>
      </c>
      <c r="T763" s="1" t="s">
        <v>4301</v>
      </c>
      <c r="U763" s="1" t="s">
        <v>1577</v>
      </c>
      <c r="V763" s="1" t="s">
        <v>4950</v>
      </c>
      <c r="W763" s="3">
        <v>45268.0</v>
      </c>
      <c r="X763" s="3">
        <v>45268.0</v>
      </c>
    </row>
    <row r="764">
      <c r="A764" s="1" t="s">
        <v>14423</v>
      </c>
      <c r="B764" s="1" t="s">
        <v>8360</v>
      </c>
      <c r="C764" s="1" t="s">
        <v>8360</v>
      </c>
      <c r="D764" s="1" t="s">
        <v>4293</v>
      </c>
      <c r="E764" s="1" t="s">
        <v>8362</v>
      </c>
      <c r="F764" s="1" t="s">
        <v>14424</v>
      </c>
      <c r="G764" s="3">
        <v>44498.0</v>
      </c>
      <c r="H764" s="3">
        <v>44602.0</v>
      </c>
      <c r="I764" s="3">
        <v>44602.0</v>
      </c>
      <c r="J764" s="1" t="s">
        <v>215</v>
      </c>
      <c r="K764" s="1" t="s">
        <v>160</v>
      </c>
      <c r="L764" s="1" t="s">
        <v>216</v>
      </c>
      <c r="M764" s="1" t="s">
        <v>131</v>
      </c>
      <c r="Q764" s="1" t="s">
        <v>137</v>
      </c>
      <c r="R764" s="1" t="s">
        <v>137</v>
      </c>
      <c r="S764" s="1" t="s">
        <v>47</v>
      </c>
      <c r="T764" s="1" t="s">
        <v>4301</v>
      </c>
      <c r="U764" s="1" t="s">
        <v>1577</v>
      </c>
      <c r="V764" s="1" t="s">
        <v>3858</v>
      </c>
      <c r="W764" s="3">
        <v>44602.0</v>
      </c>
      <c r="X764" s="3">
        <v>44602.0</v>
      </c>
    </row>
    <row r="765">
      <c r="A765" s="1" t="s">
        <v>14426</v>
      </c>
      <c r="B765" s="1" t="s">
        <v>8366</v>
      </c>
      <c r="C765" s="1" t="s">
        <v>8366</v>
      </c>
      <c r="D765" s="1" t="s">
        <v>4293</v>
      </c>
      <c r="E765" s="1" t="s">
        <v>8367</v>
      </c>
      <c r="F765" s="1" t="s">
        <v>14427</v>
      </c>
      <c r="G765" s="3">
        <v>44060.0</v>
      </c>
      <c r="H765" s="3">
        <v>44111.0</v>
      </c>
      <c r="I765" s="3">
        <v>44111.0</v>
      </c>
      <c r="J765" s="1" t="s">
        <v>215</v>
      </c>
      <c r="K765" s="1" t="s">
        <v>160</v>
      </c>
      <c r="L765" s="1" t="s">
        <v>216</v>
      </c>
      <c r="M765" s="1" t="s">
        <v>131</v>
      </c>
      <c r="Q765" s="1" t="s">
        <v>137</v>
      </c>
      <c r="R765" s="1" t="s">
        <v>137</v>
      </c>
      <c r="S765" s="1" t="s">
        <v>47</v>
      </c>
      <c r="T765" s="1" t="s">
        <v>4301</v>
      </c>
      <c r="U765" s="1" t="s">
        <v>1577</v>
      </c>
      <c r="V765" s="1" t="s">
        <v>3858</v>
      </c>
      <c r="W765" s="3">
        <v>44111.0</v>
      </c>
      <c r="X765" s="3">
        <v>44111.0</v>
      </c>
    </row>
    <row r="766">
      <c r="A766" s="1" t="s">
        <v>14429</v>
      </c>
      <c r="B766" s="1" t="s">
        <v>8366</v>
      </c>
      <c r="C766" s="1" t="s">
        <v>8366</v>
      </c>
      <c r="D766" s="1" t="s">
        <v>4293</v>
      </c>
      <c r="E766" s="1" t="s">
        <v>8367</v>
      </c>
      <c r="F766" s="1" t="s">
        <v>14430</v>
      </c>
      <c r="G766" s="3">
        <v>44060.0</v>
      </c>
      <c r="H766" s="3">
        <v>44111.0</v>
      </c>
      <c r="I766" s="3">
        <v>44111.0</v>
      </c>
      <c r="J766" s="1" t="s">
        <v>215</v>
      </c>
      <c r="K766" s="1" t="s">
        <v>160</v>
      </c>
      <c r="L766" s="1" t="s">
        <v>216</v>
      </c>
      <c r="M766" s="1" t="s">
        <v>131</v>
      </c>
      <c r="Q766" s="1" t="s">
        <v>137</v>
      </c>
      <c r="R766" s="1" t="s">
        <v>137</v>
      </c>
      <c r="S766" s="1" t="s">
        <v>47</v>
      </c>
      <c r="T766" s="1" t="s">
        <v>4301</v>
      </c>
      <c r="U766" s="1" t="s">
        <v>1577</v>
      </c>
      <c r="V766" s="1" t="s">
        <v>3865</v>
      </c>
      <c r="W766" s="3">
        <v>44111.0</v>
      </c>
      <c r="X766" s="3">
        <v>44111.0</v>
      </c>
    </row>
    <row r="767">
      <c r="A767" s="1" t="s">
        <v>14433</v>
      </c>
      <c r="B767" s="1" t="s">
        <v>12812</v>
      </c>
      <c r="C767" s="1" t="s">
        <v>12812</v>
      </c>
      <c r="D767" s="1" t="s">
        <v>4293</v>
      </c>
      <c r="E767" s="1" t="s">
        <v>14434</v>
      </c>
      <c r="F767" s="1" t="s">
        <v>14435</v>
      </c>
      <c r="G767" s="3">
        <v>45947.0</v>
      </c>
      <c r="H767" s="3"/>
      <c r="I767" s="3"/>
      <c r="J767" s="1" t="s">
        <v>124</v>
      </c>
      <c r="K767" s="1" t="s">
        <v>160</v>
      </c>
      <c r="L767" s="1" t="s">
        <v>253</v>
      </c>
      <c r="M767" s="1" t="s">
        <v>131</v>
      </c>
      <c r="Q767" s="1" t="s">
        <v>137</v>
      </c>
      <c r="R767" s="1" t="s">
        <v>137</v>
      </c>
      <c r="S767" s="1" t="s">
        <v>47</v>
      </c>
      <c r="T767" s="1" t="s">
        <v>4301</v>
      </c>
      <c r="U767" s="1" t="s">
        <v>1577</v>
      </c>
      <c r="V767" s="1" t="s">
        <v>3858</v>
      </c>
      <c r="W767" s="3"/>
      <c r="X767" s="3"/>
    </row>
    <row r="768">
      <c r="A768" s="1" t="s">
        <v>14436</v>
      </c>
      <c r="B768" s="1" t="s">
        <v>12812</v>
      </c>
      <c r="C768" s="1" t="s">
        <v>12812</v>
      </c>
      <c r="D768" s="1" t="s">
        <v>4293</v>
      </c>
      <c r="E768" s="1" t="s">
        <v>14434</v>
      </c>
      <c r="F768" s="1" t="s">
        <v>14438</v>
      </c>
      <c r="G768" s="3">
        <v>45947.0</v>
      </c>
      <c r="H768" s="3"/>
      <c r="I768" s="3"/>
      <c r="J768" s="1" t="s">
        <v>124</v>
      </c>
      <c r="K768" s="1" t="s">
        <v>160</v>
      </c>
      <c r="L768" s="1" t="s">
        <v>253</v>
      </c>
      <c r="M768" s="1" t="s">
        <v>131</v>
      </c>
      <c r="Q768" s="1" t="s">
        <v>137</v>
      </c>
      <c r="R768" s="1" t="s">
        <v>137</v>
      </c>
      <c r="S768" s="1" t="s">
        <v>47</v>
      </c>
      <c r="T768" s="1" t="s">
        <v>4301</v>
      </c>
      <c r="U768" s="1" t="s">
        <v>1577</v>
      </c>
      <c r="V768" s="1" t="s">
        <v>3865</v>
      </c>
      <c r="W768" s="3"/>
      <c r="X768" s="3"/>
    </row>
    <row r="769">
      <c r="A769" s="1" t="s">
        <v>14440</v>
      </c>
      <c r="B769" s="1" t="s">
        <v>12812</v>
      </c>
      <c r="C769" s="1" t="s">
        <v>12812</v>
      </c>
      <c r="D769" s="1" t="s">
        <v>4293</v>
      </c>
      <c r="E769" s="1" t="s">
        <v>14434</v>
      </c>
      <c r="F769" s="1" t="s">
        <v>14441</v>
      </c>
      <c r="G769" s="3">
        <v>45947.0</v>
      </c>
      <c r="H769" s="3"/>
      <c r="I769" s="3"/>
      <c r="J769" s="1" t="s">
        <v>124</v>
      </c>
      <c r="K769" s="1" t="s">
        <v>160</v>
      </c>
      <c r="L769" s="1" t="s">
        <v>253</v>
      </c>
      <c r="M769" s="1" t="s">
        <v>131</v>
      </c>
      <c r="Q769" s="1" t="s">
        <v>137</v>
      </c>
      <c r="R769" s="1" t="s">
        <v>137</v>
      </c>
      <c r="S769" s="1" t="s">
        <v>47</v>
      </c>
      <c r="T769" s="1" t="s">
        <v>4301</v>
      </c>
      <c r="U769" s="1" t="s">
        <v>1577</v>
      </c>
      <c r="V769" s="1" t="s">
        <v>4950</v>
      </c>
      <c r="W769" s="3"/>
      <c r="X769" s="3"/>
    </row>
    <row r="770">
      <c r="A770" s="1" t="s">
        <v>14443</v>
      </c>
      <c r="B770" s="1" t="s">
        <v>8373</v>
      </c>
      <c r="C770" s="1" t="s">
        <v>8373</v>
      </c>
      <c r="D770" s="1" t="s">
        <v>4293</v>
      </c>
      <c r="E770" s="1" t="s">
        <v>8375</v>
      </c>
      <c r="F770" s="1" t="s">
        <v>14444</v>
      </c>
      <c r="G770" s="3">
        <v>45400.0</v>
      </c>
      <c r="H770" s="3">
        <v>45610.0</v>
      </c>
      <c r="I770" s="3">
        <v>45610.0</v>
      </c>
      <c r="J770" s="1" t="s">
        <v>215</v>
      </c>
      <c r="K770" s="1" t="s">
        <v>160</v>
      </c>
      <c r="L770" s="1" t="s">
        <v>216</v>
      </c>
      <c r="M770" s="1" t="s">
        <v>131</v>
      </c>
      <c r="Q770" s="1" t="s">
        <v>137</v>
      </c>
      <c r="R770" s="1" t="s">
        <v>137</v>
      </c>
      <c r="S770" s="1" t="s">
        <v>47</v>
      </c>
      <c r="T770" s="1" t="s">
        <v>4301</v>
      </c>
      <c r="U770" s="1" t="s">
        <v>1577</v>
      </c>
      <c r="V770" s="1" t="s">
        <v>3858</v>
      </c>
      <c r="W770" s="3">
        <v>45610.0</v>
      </c>
      <c r="X770" s="3">
        <v>45610.0</v>
      </c>
    </row>
    <row r="771">
      <c r="A771" s="1" t="s">
        <v>14447</v>
      </c>
      <c r="B771" s="1" t="s">
        <v>5931</v>
      </c>
      <c r="C771" s="1" t="s">
        <v>5931</v>
      </c>
      <c r="D771" s="1" t="s">
        <v>4293</v>
      </c>
      <c r="E771" s="1" t="s">
        <v>8385</v>
      </c>
      <c r="F771" s="1" t="s">
        <v>14448</v>
      </c>
      <c r="G771" s="3">
        <v>45460.0</v>
      </c>
      <c r="H771" s="3">
        <v>45973.0</v>
      </c>
      <c r="I771" s="3">
        <v>45973.0</v>
      </c>
      <c r="J771" s="1" t="s">
        <v>215</v>
      </c>
      <c r="K771" s="1" t="s">
        <v>160</v>
      </c>
      <c r="L771" s="1" t="s">
        <v>216</v>
      </c>
      <c r="M771" s="1" t="s">
        <v>131</v>
      </c>
      <c r="Q771" s="1" t="s">
        <v>137</v>
      </c>
      <c r="R771" s="1" t="s">
        <v>137</v>
      </c>
      <c r="S771" s="1" t="s">
        <v>47</v>
      </c>
      <c r="T771" s="1" t="s">
        <v>4301</v>
      </c>
      <c r="U771" s="1" t="s">
        <v>1577</v>
      </c>
      <c r="V771" s="1" t="s">
        <v>3858</v>
      </c>
      <c r="W771" s="3">
        <v>45973.0</v>
      </c>
      <c r="X771" s="3">
        <v>45973.0</v>
      </c>
    </row>
    <row r="772">
      <c r="A772" s="1" t="s">
        <v>14451</v>
      </c>
      <c r="B772" s="1" t="s">
        <v>5931</v>
      </c>
      <c r="C772" s="1" t="s">
        <v>5931</v>
      </c>
      <c r="D772" s="1" t="s">
        <v>4293</v>
      </c>
      <c r="E772" s="1" t="s">
        <v>8385</v>
      </c>
      <c r="F772" s="1" t="s">
        <v>14452</v>
      </c>
      <c r="G772" s="3">
        <v>45460.0</v>
      </c>
      <c r="H772" s="3">
        <v>45973.0</v>
      </c>
      <c r="I772" s="3">
        <v>45973.0</v>
      </c>
      <c r="J772" s="1" t="s">
        <v>215</v>
      </c>
      <c r="K772" s="1" t="s">
        <v>160</v>
      </c>
      <c r="L772" s="1" t="s">
        <v>216</v>
      </c>
      <c r="M772" s="1" t="s">
        <v>131</v>
      </c>
      <c r="Q772" s="1" t="s">
        <v>137</v>
      </c>
      <c r="R772" s="1" t="s">
        <v>137</v>
      </c>
      <c r="S772" s="1" t="s">
        <v>47</v>
      </c>
      <c r="T772" s="1" t="s">
        <v>4301</v>
      </c>
      <c r="U772" s="1" t="s">
        <v>1577</v>
      </c>
      <c r="V772" s="1" t="s">
        <v>3865</v>
      </c>
      <c r="W772" s="3">
        <v>45973.0</v>
      </c>
      <c r="X772" s="3">
        <v>45973.0</v>
      </c>
    </row>
    <row r="773">
      <c r="A773" s="1" t="s">
        <v>14454</v>
      </c>
      <c r="B773" s="1" t="s">
        <v>5931</v>
      </c>
      <c r="C773" s="1" t="s">
        <v>5931</v>
      </c>
      <c r="D773" s="1" t="s">
        <v>4293</v>
      </c>
      <c r="E773" s="1" t="s">
        <v>8385</v>
      </c>
      <c r="F773" s="1" t="s">
        <v>14456</v>
      </c>
      <c r="G773" s="3">
        <v>45460.0</v>
      </c>
      <c r="H773" s="3">
        <v>45973.0</v>
      </c>
      <c r="I773" s="3">
        <v>45973.0</v>
      </c>
      <c r="J773" s="1" t="s">
        <v>215</v>
      </c>
      <c r="K773" s="1" t="s">
        <v>160</v>
      </c>
      <c r="L773" s="1" t="s">
        <v>216</v>
      </c>
      <c r="M773" s="1" t="s">
        <v>131</v>
      </c>
      <c r="Q773" s="1" t="s">
        <v>137</v>
      </c>
      <c r="R773" s="1" t="s">
        <v>137</v>
      </c>
      <c r="S773" s="1" t="s">
        <v>47</v>
      </c>
      <c r="T773" s="1" t="s">
        <v>4301</v>
      </c>
      <c r="U773" s="1" t="s">
        <v>1577</v>
      </c>
      <c r="V773" s="1" t="s">
        <v>4950</v>
      </c>
      <c r="W773" s="3">
        <v>45973.0</v>
      </c>
      <c r="X773" s="3">
        <v>45973.0</v>
      </c>
    </row>
    <row r="774">
      <c r="A774" s="1" t="s">
        <v>14458</v>
      </c>
      <c r="B774" s="1" t="s">
        <v>8391</v>
      </c>
      <c r="C774" s="1" t="s">
        <v>8391</v>
      </c>
      <c r="D774" s="1" t="s">
        <v>4293</v>
      </c>
      <c r="E774" s="1" t="s">
        <v>8393</v>
      </c>
      <c r="F774" s="1" t="s">
        <v>14459</v>
      </c>
      <c r="G774" s="3">
        <v>45607.0</v>
      </c>
      <c r="H774" s="3">
        <v>45614.0</v>
      </c>
      <c r="I774" s="3">
        <v>45614.0</v>
      </c>
      <c r="J774" s="1" t="s">
        <v>215</v>
      </c>
      <c r="K774" s="1" t="s">
        <v>160</v>
      </c>
      <c r="L774" s="1" t="s">
        <v>216</v>
      </c>
      <c r="M774" s="1" t="s">
        <v>131</v>
      </c>
      <c r="Q774" s="1" t="s">
        <v>137</v>
      </c>
      <c r="R774" s="1" t="s">
        <v>137</v>
      </c>
      <c r="S774" s="1" t="s">
        <v>47</v>
      </c>
      <c r="T774" s="1" t="s">
        <v>4301</v>
      </c>
      <c r="U774" s="1" t="s">
        <v>1577</v>
      </c>
      <c r="V774" s="1" t="s">
        <v>3858</v>
      </c>
      <c r="W774" s="3">
        <v>45614.0</v>
      </c>
      <c r="X774" s="3">
        <v>45614.0</v>
      </c>
    </row>
    <row r="775">
      <c r="A775" s="1" t="s">
        <v>14461</v>
      </c>
      <c r="B775" s="1" t="s">
        <v>8401</v>
      </c>
      <c r="C775" s="1" t="s">
        <v>8401</v>
      </c>
      <c r="D775" s="1" t="s">
        <v>4293</v>
      </c>
      <c r="E775" s="1" t="s">
        <v>8403</v>
      </c>
      <c r="F775" s="1" t="s">
        <v>14463</v>
      </c>
      <c r="G775" s="3">
        <v>44153.0</v>
      </c>
      <c r="H775" s="3">
        <v>44257.0</v>
      </c>
      <c r="I775" s="3">
        <v>44257.0</v>
      </c>
      <c r="J775" s="1" t="s">
        <v>215</v>
      </c>
      <c r="K775" s="1" t="s">
        <v>160</v>
      </c>
      <c r="L775" s="1" t="s">
        <v>216</v>
      </c>
      <c r="M775" s="1" t="s">
        <v>131</v>
      </c>
      <c r="Q775" s="1" t="s">
        <v>137</v>
      </c>
      <c r="R775" s="1" t="s">
        <v>137</v>
      </c>
      <c r="S775" s="1" t="s">
        <v>47</v>
      </c>
      <c r="T775" s="1" t="s">
        <v>4301</v>
      </c>
      <c r="U775" s="1" t="s">
        <v>1577</v>
      </c>
      <c r="V775" s="1" t="s">
        <v>4679</v>
      </c>
      <c r="W775" s="3">
        <v>44257.0</v>
      </c>
      <c r="X775" s="3">
        <v>44257.0</v>
      </c>
    </row>
    <row r="776">
      <c r="A776" s="1" t="s">
        <v>14464</v>
      </c>
      <c r="B776" s="1" t="s">
        <v>8401</v>
      </c>
      <c r="C776" s="1" t="s">
        <v>8401</v>
      </c>
      <c r="D776" s="1" t="s">
        <v>4293</v>
      </c>
      <c r="E776" s="1" t="s">
        <v>8403</v>
      </c>
      <c r="F776" s="1" t="s">
        <v>14467</v>
      </c>
      <c r="G776" s="3">
        <v>44153.0</v>
      </c>
      <c r="H776" s="3">
        <v>44257.0</v>
      </c>
      <c r="I776" s="3">
        <v>44257.0</v>
      </c>
      <c r="J776" s="1" t="s">
        <v>215</v>
      </c>
      <c r="K776" s="1" t="s">
        <v>160</v>
      </c>
      <c r="L776" s="1" t="s">
        <v>216</v>
      </c>
      <c r="M776" s="1" t="s">
        <v>131</v>
      </c>
      <c r="Q776" s="1" t="s">
        <v>137</v>
      </c>
      <c r="R776" s="1" t="s">
        <v>137</v>
      </c>
      <c r="S776" s="1" t="s">
        <v>47</v>
      </c>
      <c r="T776" s="1" t="s">
        <v>4301</v>
      </c>
      <c r="U776" s="1" t="s">
        <v>1577</v>
      </c>
      <c r="V776" s="1" t="s">
        <v>4950</v>
      </c>
      <c r="W776" s="3">
        <v>44257.0</v>
      </c>
      <c r="X776" s="3">
        <v>44257.0</v>
      </c>
    </row>
    <row r="777">
      <c r="A777" s="1" t="s">
        <v>14470</v>
      </c>
      <c r="B777" s="1" t="s">
        <v>8401</v>
      </c>
      <c r="C777" s="1" t="s">
        <v>8401</v>
      </c>
      <c r="D777" s="1" t="s">
        <v>4293</v>
      </c>
      <c r="E777" s="1" t="s">
        <v>8403</v>
      </c>
      <c r="F777" s="1" t="s">
        <v>14471</v>
      </c>
      <c r="G777" s="3">
        <v>44153.0</v>
      </c>
      <c r="H777" s="3">
        <v>44257.0</v>
      </c>
      <c r="I777" s="3">
        <v>44257.0</v>
      </c>
      <c r="J777" s="1" t="s">
        <v>215</v>
      </c>
      <c r="K777" s="1" t="s">
        <v>160</v>
      </c>
      <c r="L777" s="1" t="s">
        <v>216</v>
      </c>
      <c r="M777" s="1" t="s">
        <v>131</v>
      </c>
      <c r="Q777" s="1" t="s">
        <v>137</v>
      </c>
      <c r="R777" s="1" t="s">
        <v>137</v>
      </c>
      <c r="S777" s="1" t="s">
        <v>47</v>
      </c>
      <c r="T777" s="1" t="s">
        <v>4301</v>
      </c>
      <c r="U777" s="1" t="s">
        <v>1577</v>
      </c>
      <c r="V777" s="1" t="s">
        <v>5104</v>
      </c>
      <c r="W777" s="3">
        <v>44257.0</v>
      </c>
      <c r="X777" s="3">
        <v>44257.0</v>
      </c>
    </row>
    <row r="778">
      <c r="A778" s="1" t="s">
        <v>14474</v>
      </c>
      <c r="B778" s="1" t="s">
        <v>8401</v>
      </c>
      <c r="C778" s="1" t="s">
        <v>8401</v>
      </c>
      <c r="D778" s="1" t="s">
        <v>4293</v>
      </c>
      <c r="E778" s="1" t="s">
        <v>8403</v>
      </c>
      <c r="F778" s="1" t="s">
        <v>14475</v>
      </c>
      <c r="G778" s="3">
        <v>44153.0</v>
      </c>
      <c r="H778" s="3">
        <v>44257.0</v>
      </c>
      <c r="I778" s="3">
        <v>44257.0</v>
      </c>
      <c r="J778" s="1" t="s">
        <v>215</v>
      </c>
      <c r="K778" s="1" t="s">
        <v>160</v>
      </c>
      <c r="L778" s="1" t="s">
        <v>216</v>
      </c>
      <c r="M778" s="1" t="s">
        <v>131</v>
      </c>
      <c r="Q778" s="1" t="s">
        <v>137</v>
      </c>
      <c r="R778" s="1" t="s">
        <v>137</v>
      </c>
      <c r="S778" s="1" t="s">
        <v>47</v>
      </c>
      <c r="T778" s="1" t="s">
        <v>4301</v>
      </c>
      <c r="U778" s="1" t="s">
        <v>1577</v>
      </c>
      <c r="V778" s="1" t="s">
        <v>5120</v>
      </c>
      <c r="W778" s="3">
        <v>44257.0</v>
      </c>
      <c r="X778" s="3">
        <v>44257.0</v>
      </c>
    </row>
    <row r="779">
      <c r="A779" s="1" t="s">
        <v>14478</v>
      </c>
      <c r="B779" s="1" t="s">
        <v>8410</v>
      </c>
      <c r="C779" s="1" t="s">
        <v>8410</v>
      </c>
      <c r="D779" s="1" t="s">
        <v>4293</v>
      </c>
      <c r="E779" s="1" t="s">
        <v>8413</v>
      </c>
      <c r="F779" s="1" t="s">
        <v>14479</v>
      </c>
      <c r="G779" s="3">
        <v>44858.0</v>
      </c>
      <c r="H779" s="3">
        <v>45049.0</v>
      </c>
      <c r="I779" s="3">
        <v>45049.0</v>
      </c>
      <c r="J779" s="1" t="s">
        <v>215</v>
      </c>
      <c r="K779" s="1" t="s">
        <v>160</v>
      </c>
      <c r="L779" s="1" t="s">
        <v>216</v>
      </c>
      <c r="M779" s="1" t="s">
        <v>131</v>
      </c>
      <c r="Q779" s="1" t="s">
        <v>137</v>
      </c>
      <c r="R779" s="1" t="s">
        <v>137</v>
      </c>
      <c r="S779" s="1" t="s">
        <v>47</v>
      </c>
      <c r="T779" s="1" t="s">
        <v>4301</v>
      </c>
      <c r="U779" s="1" t="s">
        <v>1577</v>
      </c>
      <c r="V779" s="1" t="s">
        <v>3858</v>
      </c>
      <c r="W779" s="3">
        <v>45049.0</v>
      </c>
      <c r="X779" s="3">
        <v>45049.0</v>
      </c>
    </row>
    <row r="780">
      <c r="A780" s="1" t="s">
        <v>14480</v>
      </c>
      <c r="B780" s="1" t="s">
        <v>8410</v>
      </c>
      <c r="C780" s="1" t="s">
        <v>8410</v>
      </c>
      <c r="D780" s="1" t="s">
        <v>4293</v>
      </c>
      <c r="E780" s="1" t="s">
        <v>8413</v>
      </c>
      <c r="F780" s="1" t="s">
        <v>14482</v>
      </c>
      <c r="G780" s="3">
        <v>44858.0</v>
      </c>
      <c r="H780" s="3">
        <v>45049.0</v>
      </c>
      <c r="I780" s="3">
        <v>45049.0</v>
      </c>
      <c r="J780" s="1" t="s">
        <v>215</v>
      </c>
      <c r="K780" s="1" t="s">
        <v>160</v>
      </c>
      <c r="L780" s="1" t="s">
        <v>216</v>
      </c>
      <c r="M780" s="1" t="s">
        <v>131</v>
      </c>
      <c r="Q780" s="1" t="s">
        <v>137</v>
      </c>
      <c r="R780" s="1" t="s">
        <v>137</v>
      </c>
      <c r="S780" s="1" t="s">
        <v>47</v>
      </c>
      <c r="T780" s="1" t="s">
        <v>4301</v>
      </c>
      <c r="U780" s="1" t="s">
        <v>1577</v>
      </c>
      <c r="V780" s="1" t="s">
        <v>4679</v>
      </c>
      <c r="W780" s="3">
        <v>45049.0</v>
      </c>
      <c r="X780" s="3">
        <v>45049.0</v>
      </c>
    </row>
    <row r="781">
      <c r="A781" s="1" t="s">
        <v>14484</v>
      </c>
      <c r="B781" s="1" t="s">
        <v>8410</v>
      </c>
      <c r="C781" s="1" t="s">
        <v>8410</v>
      </c>
      <c r="D781" s="1" t="s">
        <v>4293</v>
      </c>
      <c r="E781" s="1" t="s">
        <v>8413</v>
      </c>
      <c r="F781" s="1" t="s">
        <v>14486</v>
      </c>
      <c r="G781" s="3">
        <v>44858.0</v>
      </c>
      <c r="H781" s="3">
        <v>45049.0</v>
      </c>
      <c r="I781" s="3">
        <v>45049.0</v>
      </c>
      <c r="J781" s="1" t="s">
        <v>215</v>
      </c>
      <c r="K781" s="1" t="s">
        <v>160</v>
      </c>
      <c r="L781" s="1" t="s">
        <v>216</v>
      </c>
      <c r="M781" s="1" t="s">
        <v>131</v>
      </c>
      <c r="Q781" s="1" t="s">
        <v>137</v>
      </c>
      <c r="R781" s="1" t="s">
        <v>137</v>
      </c>
      <c r="S781" s="1" t="s">
        <v>47</v>
      </c>
      <c r="T781" s="1" t="s">
        <v>4301</v>
      </c>
      <c r="U781" s="1" t="s">
        <v>1577</v>
      </c>
      <c r="V781" s="1" t="s">
        <v>4950</v>
      </c>
      <c r="W781" s="3">
        <v>45049.0</v>
      </c>
      <c r="X781" s="3">
        <v>45049.0</v>
      </c>
    </row>
    <row r="782">
      <c r="A782" s="1" t="s">
        <v>14488</v>
      </c>
      <c r="B782" s="1" t="s">
        <v>8410</v>
      </c>
      <c r="C782" s="1" t="s">
        <v>8410</v>
      </c>
      <c r="D782" s="1" t="s">
        <v>4293</v>
      </c>
      <c r="E782" s="1" t="s">
        <v>8413</v>
      </c>
      <c r="F782" s="1" t="s">
        <v>14490</v>
      </c>
      <c r="G782" s="3">
        <v>44858.0</v>
      </c>
      <c r="H782" s="3">
        <v>45049.0</v>
      </c>
      <c r="I782" s="3">
        <v>45049.0</v>
      </c>
      <c r="J782" s="1" t="s">
        <v>215</v>
      </c>
      <c r="K782" s="1" t="s">
        <v>160</v>
      </c>
      <c r="L782" s="1" t="s">
        <v>216</v>
      </c>
      <c r="M782" s="1" t="s">
        <v>131</v>
      </c>
      <c r="Q782" s="1" t="s">
        <v>137</v>
      </c>
      <c r="R782" s="1" t="s">
        <v>137</v>
      </c>
      <c r="S782" s="1" t="s">
        <v>47</v>
      </c>
      <c r="T782" s="1" t="s">
        <v>4301</v>
      </c>
      <c r="U782" s="1" t="s">
        <v>1577</v>
      </c>
      <c r="V782" s="1" t="s">
        <v>5104</v>
      </c>
      <c r="W782" s="3">
        <v>45049.0</v>
      </c>
      <c r="X782" s="3">
        <v>45049.0</v>
      </c>
    </row>
    <row r="783">
      <c r="A783" s="1" t="s">
        <v>14492</v>
      </c>
      <c r="B783" s="1" t="s">
        <v>8410</v>
      </c>
      <c r="C783" s="1" t="s">
        <v>8410</v>
      </c>
      <c r="D783" s="1" t="s">
        <v>4293</v>
      </c>
      <c r="E783" s="1" t="s">
        <v>8413</v>
      </c>
      <c r="F783" s="1" t="s">
        <v>14493</v>
      </c>
      <c r="G783" s="3">
        <v>44858.0</v>
      </c>
      <c r="H783" s="3">
        <v>45049.0</v>
      </c>
      <c r="I783" s="3">
        <v>45049.0</v>
      </c>
      <c r="J783" s="1" t="s">
        <v>215</v>
      </c>
      <c r="K783" s="1" t="s">
        <v>160</v>
      </c>
      <c r="L783" s="1" t="s">
        <v>216</v>
      </c>
      <c r="M783" s="1" t="s">
        <v>131</v>
      </c>
      <c r="Q783" s="1" t="s">
        <v>137</v>
      </c>
      <c r="R783" s="1" t="s">
        <v>137</v>
      </c>
      <c r="S783" s="1" t="s">
        <v>47</v>
      </c>
      <c r="T783" s="1" t="s">
        <v>4301</v>
      </c>
      <c r="U783" s="1" t="s">
        <v>1577</v>
      </c>
      <c r="V783" s="1" t="s">
        <v>5120</v>
      </c>
      <c r="W783" s="3">
        <v>45049.0</v>
      </c>
      <c r="X783" s="3">
        <v>45049.0</v>
      </c>
    </row>
    <row r="784">
      <c r="A784" s="1" t="s">
        <v>14495</v>
      </c>
      <c r="B784" s="1" t="s">
        <v>8420</v>
      </c>
      <c r="C784" s="1" t="s">
        <v>8420</v>
      </c>
      <c r="D784" s="1" t="s">
        <v>4293</v>
      </c>
      <c r="E784" s="1" t="s">
        <v>8422</v>
      </c>
      <c r="F784" s="1" t="s">
        <v>14496</v>
      </c>
      <c r="G784" s="3">
        <v>44497.0</v>
      </c>
      <c r="H784" s="3">
        <v>44497.0</v>
      </c>
      <c r="I784" s="3">
        <v>44497.0</v>
      </c>
      <c r="J784" s="1" t="s">
        <v>215</v>
      </c>
      <c r="K784" s="1" t="s">
        <v>160</v>
      </c>
      <c r="L784" s="1" t="s">
        <v>216</v>
      </c>
      <c r="M784" s="1" t="s">
        <v>131</v>
      </c>
      <c r="Q784" s="1" t="s">
        <v>137</v>
      </c>
      <c r="R784" s="1" t="s">
        <v>137</v>
      </c>
      <c r="S784" s="1" t="s">
        <v>47</v>
      </c>
      <c r="T784" s="1" t="s">
        <v>4301</v>
      </c>
      <c r="U784" s="1" t="s">
        <v>1577</v>
      </c>
      <c r="V784" s="1" t="s">
        <v>3858</v>
      </c>
      <c r="W784" s="3">
        <v>44497.0</v>
      </c>
      <c r="X784" s="3">
        <v>44497.0</v>
      </c>
    </row>
    <row r="785">
      <c r="A785" s="1" t="s">
        <v>14497</v>
      </c>
      <c r="B785" s="1" t="s">
        <v>8420</v>
      </c>
      <c r="C785" s="1" t="s">
        <v>8420</v>
      </c>
      <c r="D785" s="1" t="s">
        <v>4293</v>
      </c>
      <c r="E785" s="1" t="s">
        <v>8422</v>
      </c>
      <c r="F785" s="1" t="s">
        <v>14498</v>
      </c>
      <c r="G785" s="3">
        <v>44497.0</v>
      </c>
      <c r="H785" s="3">
        <v>44497.0</v>
      </c>
      <c r="I785" s="3">
        <v>44497.0</v>
      </c>
      <c r="J785" s="1" t="s">
        <v>215</v>
      </c>
      <c r="K785" s="1" t="s">
        <v>160</v>
      </c>
      <c r="L785" s="1" t="s">
        <v>216</v>
      </c>
      <c r="M785" s="1" t="s">
        <v>131</v>
      </c>
      <c r="Q785" s="1" t="s">
        <v>137</v>
      </c>
      <c r="R785" s="1" t="s">
        <v>137</v>
      </c>
      <c r="S785" s="1" t="s">
        <v>47</v>
      </c>
      <c r="T785" s="1" t="s">
        <v>4301</v>
      </c>
      <c r="U785" s="1" t="s">
        <v>1577</v>
      </c>
      <c r="V785" s="1" t="s">
        <v>4950</v>
      </c>
      <c r="W785" s="3">
        <v>44497.0</v>
      </c>
      <c r="X785" s="3">
        <v>44497.0</v>
      </c>
    </row>
    <row r="786">
      <c r="A786" s="1" t="s">
        <v>14500</v>
      </c>
      <c r="B786" s="1" t="s">
        <v>8432</v>
      </c>
      <c r="C786" s="1" t="s">
        <v>8432</v>
      </c>
      <c r="D786" s="1" t="s">
        <v>4293</v>
      </c>
      <c r="E786" s="1" t="s">
        <v>8434</v>
      </c>
      <c r="F786" s="1" t="s">
        <v>14501</v>
      </c>
      <c r="G786" s="3">
        <v>45229.0</v>
      </c>
      <c r="H786" s="3">
        <v>45399.0</v>
      </c>
      <c r="I786" s="3">
        <v>45399.0</v>
      </c>
      <c r="J786" s="1" t="s">
        <v>215</v>
      </c>
      <c r="K786" s="1" t="s">
        <v>160</v>
      </c>
      <c r="L786" s="1" t="s">
        <v>216</v>
      </c>
      <c r="M786" s="1" t="s">
        <v>131</v>
      </c>
      <c r="Q786" s="1" t="s">
        <v>137</v>
      </c>
      <c r="R786" s="1" t="s">
        <v>137</v>
      </c>
      <c r="S786" s="1" t="s">
        <v>47</v>
      </c>
      <c r="T786" s="1" t="s">
        <v>4301</v>
      </c>
      <c r="U786" s="1" t="s">
        <v>1577</v>
      </c>
      <c r="V786" s="1" t="s">
        <v>3858</v>
      </c>
      <c r="W786" s="3">
        <v>45399.0</v>
      </c>
      <c r="X786" s="3">
        <v>45399.0</v>
      </c>
    </row>
    <row r="787">
      <c r="A787" s="1" t="s">
        <v>14503</v>
      </c>
      <c r="B787" s="1" t="s">
        <v>8432</v>
      </c>
      <c r="C787" s="1" t="s">
        <v>8432</v>
      </c>
      <c r="D787" s="1" t="s">
        <v>4293</v>
      </c>
      <c r="E787" s="1" t="s">
        <v>8434</v>
      </c>
      <c r="F787" s="1" t="s">
        <v>14504</v>
      </c>
      <c r="G787" s="3">
        <v>45229.0</v>
      </c>
      <c r="H787" s="3">
        <v>45399.0</v>
      </c>
      <c r="I787" s="3">
        <v>45399.0</v>
      </c>
      <c r="J787" s="1" t="s">
        <v>215</v>
      </c>
      <c r="K787" s="1" t="s">
        <v>160</v>
      </c>
      <c r="L787" s="1" t="s">
        <v>216</v>
      </c>
      <c r="M787" s="1" t="s">
        <v>131</v>
      </c>
      <c r="Q787" s="1" t="s">
        <v>137</v>
      </c>
      <c r="R787" s="1" t="s">
        <v>137</v>
      </c>
      <c r="S787" s="1" t="s">
        <v>47</v>
      </c>
      <c r="T787" s="1" t="s">
        <v>4301</v>
      </c>
      <c r="U787" s="1" t="s">
        <v>1577</v>
      </c>
      <c r="V787" s="1" t="s">
        <v>4950</v>
      </c>
      <c r="W787" s="3">
        <v>45399.0</v>
      </c>
      <c r="X787" s="3">
        <v>45399.0</v>
      </c>
    </row>
    <row r="788">
      <c r="A788" s="1" t="s">
        <v>14506</v>
      </c>
      <c r="B788" s="1" t="s">
        <v>8441</v>
      </c>
      <c r="C788" s="1" t="s">
        <v>8441</v>
      </c>
      <c r="D788" s="1" t="s">
        <v>4293</v>
      </c>
      <c r="E788" s="1" t="s">
        <v>8444</v>
      </c>
      <c r="F788" s="1" t="s">
        <v>14508</v>
      </c>
      <c r="G788" s="3">
        <v>45490.0</v>
      </c>
      <c r="H788" s="3">
        <v>45686.0</v>
      </c>
      <c r="I788" s="3">
        <v>45686.0</v>
      </c>
      <c r="J788" s="1" t="s">
        <v>215</v>
      </c>
      <c r="K788" s="1" t="s">
        <v>160</v>
      </c>
      <c r="L788" s="1" t="s">
        <v>216</v>
      </c>
      <c r="M788" s="1" t="s">
        <v>131</v>
      </c>
      <c r="Q788" s="1" t="s">
        <v>137</v>
      </c>
      <c r="R788" s="1" t="s">
        <v>137</v>
      </c>
      <c r="S788" s="1" t="s">
        <v>47</v>
      </c>
      <c r="T788" s="1" t="s">
        <v>4301</v>
      </c>
      <c r="U788" s="1" t="s">
        <v>1577</v>
      </c>
      <c r="V788" s="1" t="s">
        <v>3963</v>
      </c>
      <c r="W788" s="3">
        <v>45686.0</v>
      </c>
      <c r="X788" s="3">
        <v>45686.0</v>
      </c>
    </row>
    <row r="789">
      <c r="A789" s="1" t="s">
        <v>14510</v>
      </c>
      <c r="B789" s="1" t="s">
        <v>8453</v>
      </c>
      <c r="C789" s="1" t="s">
        <v>8453</v>
      </c>
      <c r="D789" s="1" t="s">
        <v>4293</v>
      </c>
      <c r="E789" s="1" t="s">
        <v>8455</v>
      </c>
      <c r="F789" s="1" t="s">
        <v>14511</v>
      </c>
      <c r="G789" s="3">
        <v>45208.0</v>
      </c>
      <c r="H789" s="3">
        <v>45261.0</v>
      </c>
      <c r="I789" s="3">
        <v>45261.0</v>
      </c>
      <c r="J789" s="1" t="s">
        <v>215</v>
      </c>
      <c r="K789" s="1" t="s">
        <v>160</v>
      </c>
      <c r="L789" s="1" t="s">
        <v>216</v>
      </c>
      <c r="M789" s="1" t="s">
        <v>131</v>
      </c>
      <c r="Q789" s="1" t="s">
        <v>137</v>
      </c>
      <c r="R789" s="1" t="s">
        <v>137</v>
      </c>
      <c r="S789" s="1" t="s">
        <v>47</v>
      </c>
      <c r="T789" s="1" t="s">
        <v>4301</v>
      </c>
      <c r="U789" s="1" t="s">
        <v>1577</v>
      </c>
      <c r="V789" s="1" t="s">
        <v>3858</v>
      </c>
      <c r="W789" s="3">
        <v>45261.0</v>
      </c>
      <c r="X789" s="3">
        <v>45261.0</v>
      </c>
    </row>
    <row r="790">
      <c r="A790" s="1" t="s">
        <v>14513</v>
      </c>
      <c r="B790" s="1" t="s">
        <v>8453</v>
      </c>
      <c r="C790" s="1" t="s">
        <v>8453</v>
      </c>
      <c r="D790" s="1" t="s">
        <v>4293</v>
      </c>
      <c r="E790" s="1" t="s">
        <v>8455</v>
      </c>
      <c r="F790" s="1" t="s">
        <v>14514</v>
      </c>
      <c r="G790" s="3">
        <v>45208.0</v>
      </c>
      <c r="H790" s="3">
        <v>45261.0</v>
      </c>
      <c r="I790" s="3">
        <v>45261.0</v>
      </c>
      <c r="J790" s="1" t="s">
        <v>215</v>
      </c>
      <c r="K790" s="1" t="s">
        <v>160</v>
      </c>
      <c r="L790" s="1" t="s">
        <v>216</v>
      </c>
      <c r="M790" s="1" t="s">
        <v>131</v>
      </c>
      <c r="Q790" s="1" t="s">
        <v>137</v>
      </c>
      <c r="R790" s="1" t="s">
        <v>137</v>
      </c>
      <c r="S790" s="1" t="s">
        <v>47</v>
      </c>
      <c r="T790" s="1" t="s">
        <v>4301</v>
      </c>
      <c r="U790" s="1" t="s">
        <v>1577</v>
      </c>
      <c r="V790" s="1" t="s">
        <v>4950</v>
      </c>
      <c r="W790" s="3">
        <v>45261.0</v>
      </c>
      <c r="X790" s="3">
        <v>45261.0</v>
      </c>
    </row>
    <row r="791">
      <c r="A791" s="1" t="s">
        <v>14516</v>
      </c>
      <c r="B791" s="1" t="s">
        <v>8459</v>
      </c>
      <c r="C791" s="1" t="s">
        <v>8459</v>
      </c>
      <c r="D791" s="1" t="s">
        <v>4293</v>
      </c>
      <c r="E791" s="1" t="s">
        <v>8460</v>
      </c>
      <c r="F791" s="1" t="s">
        <v>14517</v>
      </c>
      <c r="G791" s="3">
        <v>43131.0</v>
      </c>
      <c r="H791" s="3">
        <v>43200.0</v>
      </c>
      <c r="I791" s="3">
        <v>43200.0</v>
      </c>
      <c r="J791" s="1" t="s">
        <v>215</v>
      </c>
      <c r="K791" s="1" t="s">
        <v>160</v>
      </c>
      <c r="L791" s="1" t="s">
        <v>216</v>
      </c>
      <c r="M791" s="1" t="s">
        <v>131</v>
      </c>
      <c r="Q791" s="1" t="s">
        <v>137</v>
      </c>
      <c r="R791" s="1" t="s">
        <v>137</v>
      </c>
      <c r="S791" s="1" t="s">
        <v>47</v>
      </c>
      <c r="T791" s="1" t="s">
        <v>4301</v>
      </c>
      <c r="U791" s="1" t="s">
        <v>1577</v>
      </c>
      <c r="V791" s="1" t="s">
        <v>3858</v>
      </c>
      <c r="W791" s="3">
        <v>43200.0</v>
      </c>
      <c r="X791" s="3">
        <v>43200.0</v>
      </c>
    </row>
    <row r="792">
      <c r="A792" s="1" t="s">
        <v>14519</v>
      </c>
      <c r="B792" s="1" t="s">
        <v>8459</v>
      </c>
      <c r="C792" s="1" t="s">
        <v>8459</v>
      </c>
      <c r="D792" s="1" t="s">
        <v>4293</v>
      </c>
      <c r="E792" s="1" t="s">
        <v>8460</v>
      </c>
      <c r="F792" s="1" t="s">
        <v>14520</v>
      </c>
      <c r="G792" s="3">
        <v>43131.0</v>
      </c>
      <c r="H792" s="3">
        <v>43200.0</v>
      </c>
      <c r="I792" s="3">
        <v>43200.0</v>
      </c>
      <c r="J792" s="1" t="s">
        <v>215</v>
      </c>
      <c r="K792" s="1" t="s">
        <v>160</v>
      </c>
      <c r="L792" s="1" t="s">
        <v>216</v>
      </c>
      <c r="M792" s="1" t="s">
        <v>131</v>
      </c>
      <c r="Q792" s="1" t="s">
        <v>137</v>
      </c>
      <c r="R792" s="1" t="s">
        <v>137</v>
      </c>
      <c r="S792" s="1" t="s">
        <v>47</v>
      </c>
      <c r="T792" s="1" t="s">
        <v>4301</v>
      </c>
      <c r="U792" s="1" t="s">
        <v>1577</v>
      </c>
      <c r="V792" s="1" t="s">
        <v>4950</v>
      </c>
      <c r="W792" s="3">
        <v>43200.0</v>
      </c>
      <c r="X792" s="3">
        <v>43200.0</v>
      </c>
    </row>
    <row r="793">
      <c r="A793" s="1" t="s">
        <v>14523</v>
      </c>
      <c r="B793" s="1" t="s">
        <v>8466</v>
      </c>
      <c r="C793" s="1" t="s">
        <v>8466</v>
      </c>
      <c r="D793" s="1" t="s">
        <v>4293</v>
      </c>
      <c r="E793" s="1" t="s">
        <v>8468</v>
      </c>
      <c r="F793" s="1" t="s">
        <v>14524</v>
      </c>
      <c r="G793" s="3">
        <v>45196.0</v>
      </c>
      <c r="H793" s="3">
        <v>45320.0</v>
      </c>
      <c r="I793" s="3">
        <v>45320.0</v>
      </c>
      <c r="J793" s="1" t="s">
        <v>215</v>
      </c>
      <c r="K793" s="1" t="s">
        <v>160</v>
      </c>
      <c r="L793" s="1" t="s">
        <v>216</v>
      </c>
      <c r="M793" s="1" t="s">
        <v>131</v>
      </c>
      <c r="Q793" s="1" t="s">
        <v>137</v>
      </c>
      <c r="R793" s="1" t="s">
        <v>137</v>
      </c>
      <c r="S793" s="1" t="s">
        <v>47</v>
      </c>
      <c r="T793" s="1" t="s">
        <v>4301</v>
      </c>
      <c r="U793" s="1" t="s">
        <v>1577</v>
      </c>
      <c r="V793" s="1" t="s">
        <v>3858</v>
      </c>
      <c r="W793" s="3">
        <v>45320.0</v>
      </c>
      <c r="X793" s="3">
        <v>45320.0</v>
      </c>
    </row>
    <row r="794">
      <c r="A794" s="1" t="s">
        <v>14526</v>
      </c>
      <c r="B794" s="1" t="s">
        <v>4940</v>
      </c>
      <c r="C794" s="1" t="s">
        <v>4940</v>
      </c>
      <c r="D794" s="1" t="s">
        <v>4293</v>
      </c>
      <c r="E794" s="1" t="s">
        <v>8478</v>
      </c>
      <c r="F794" s="1" t="s">
        <v>14528</v>
      </c>
      <c r="G794" s="3">
        <v>45588.0</v>
      </c>
      <c r="H794" s="3">
        <v>45959.0</v>
      </c>
      <c r="I794" s="3">
        <v>45959.0</v>
      </c>
      <c r="J794" s="1" t="s">
        <v>215</v>
      </c>
      <c r="K794" s="1" t="s">
        <v>160</v>
      </c>
      <c r="L794" s="1" t="s">
        <v>216</v>
      </c>
      <c r="M794" s="1" t="s">
        <v>131</v>
      </c>
      <c r="Q794" s="1" t="s">
        <v>137</v>
      </c>
      <c r="R794" s="1" t="s">
        <v>137</v>
      </c>
      <c r="S794" s="1" t="s">
        <v>47</v>
      </c>
      <c r="T794" s="1" t="s">
        <v>4301</v>
      </c>
      <c r="U794" s="1" t="s">
        <v>1577</v>
      </c>
      <c r="V794" s="1" t="s">
        <v>3858</v>
      </c>
      <c r="W794" s="3">
        <v>45959.0</v>
      </c>
      <c r="X794" s="3">
        <v>45959.0</v>
      </c>
    </row>
    <row r="795">
      <c r="A795" s="1" t="s">
        <v>14530</v>
      </c>
      <c r="B795" s="1" t="s">
        <v>8485</v>
      </c>
      <c r="C795" s="1" t="s">
        <v>8485</v>
      </c>
      <c r="D795" s="1" t="s">
        <v>4293</v>
      </c>
      <c r="E795" s="1" t="s">
        <v>8486</v>
      </c>
      <c r="F795" s="1" t="s">
        <v>14531</v>
      </c>
      <c r="G795" s="3">
        <v>44777.0</v>
      </c>
      <c r="H795" s="3">
        <v>44893.0</v>
      </c>
      <c r="I795" s="3">
        <v>44893.0</v>
      </c>
      <c r="J795" s="1" t="s">
        <v>215</v>
      </c>
      <c r="K795" s="1" t="s">
        <v>160</v>
      </c>
      <c r="L795" s="1" t="s">
        <v>216</v>
      </c>
      <c r="M795" s="1" t="s">
        <v>131</v>
      </c>
      <c r="Q795" s="1" t="s">
        <v>137</v>
      </c>
      <c r="R795" s="1" t="s">
        <v>137</v>
      </c>
      <c r="S795" s="1" t="s">
        <v>47</v>
      </c>
      <c r="T795" s="1" t="s">
        <v>4301</v>
      </c>
      <c r="U795" s="1" t="s">
        <v>1577</v>
      </c>
      <c r="V795" s="1" t="s">
        <v>3858</v>
      </c>
      <c r="W795" s="3">
        <v>44893.0</v>
      </c>
      <c r="X795" s="3">
        <v>44893.0</v>
      </c>
    </row>
    <row r="796">
      <c r="A796" s="1" t="s">
        <v>14535</v>
      </c>
      <c r="B796" s="1" t="s">
        <v>8493</v>
      </c>
      <c r="C796" s="1" t="s">
        <v>8493</v>
      </c>
      <c r="D796" s="1" t="s">
        <v>4293</v>
      </c>
      <c r="E796" s="1" t="s">
        <v>8495</v>
      </c>
      <c r="F796" s="1" t="s">
        <v>14539</v>
      </c>
      <c r="G796" s="3">
        <v>44558.0</v>
      </c>
      <c r="H796" s="3">
        <v>44561.0</v>
      </c>
      <c r="I796" s="3">
        <v>44561.0</v>
      </c>
      <c r="J796" s="1" t="s">
        <v>215</v>
      </c>
      <c r="K796" s="1" t="s">
        <v>160</v>
      </c>
      <c r="L796" s="1" t="s">
        <v>216</v>
      </c>
      <c r="M796" s="1" t="s">
        <v>131</v>
      </c>
      <c r="Q796" s="1" t="s">
        <v>137</v>
      </c>
      <c r="R796" s="1" t="s">
        <v>137</v>
      </c>
      <c r="S796" s="1" t="s">
        <v>47</v>
      </c>
      <c r="T796" s="1" t="s">
        <v>4301</v>
      </c>
      <c r="U796" s="1" t="s">
        <v>1577</v>
      </c>
      <c r="V796" s="1" t="s">
        <v>3858</v>
      </c>
      <c r="W796" s="3">
        <v>44561.0</v>
      </c>
      <c r="X796" s="3">
        <v>44561.0</v>
      </c>
    </row>
    <row r="797">
      <c r="A797" s="1" t="s">
        <v>14548</v>
      </c>
      <c r="B797" s="1" t="s">
        <v>8503</v>
      </c>
      <c r="C797" s="1" t="s">
        <v>8503</v>
      </c>
      <c r="D797" s="1" t="s">
        <v>4293</v>
      </c>
      <c r="E797" s="1" t="s">
        <v>8505</v>
      </c>
      <c r="F797" s="1" t="s">
        <v>14554</v>
      </c>
      <c r="G797" s="3">
        <v>45790.0</v>
      </c>
      <c r="H797" s="3">
        <v>46042.0</v>
      </c>
      <c r="I797" s="3">
        <v>46042.0</v>
      </c>
      <c r="J797" s="1" t="s">
        <v>215</v>
      </c>
      <c r="K797" s="1" t="s">
        <v>160</v>
      </c>
      <c r="L797" s="1" t="s">
        <v>216</v>
      </c>
      <c r="M797" s="1" t="s">
        <v>131</v>
      </c>
      <c r="Q797" s="1" t="s">
        <v>137</v>
      </c>
      <c r="R797" s="1" t="s">
        <v>137</v>
      </c>
      <c r="S797" s="1" t="s">
        <v>47</v>
      </c>
      <c r="T797" s="1" t="s">
        <v>4301</v>
      </c>
      <c r="U797" s="1" t="s">
        <v>1577</v>
      </c>
      <c r="V797" s="1" t="s">
        <v>3858</v>
      </c>
      <c r="W797" s="3">
        <v>46042.0</v>
      </c>
      <c r="X797" s="3">
        <v>46042.0</v>
      </c>
    </row>
    <row r="798">
      <c r="A798" s="1" t="s">
        <v>14560</v>
      </c>
      <c r="B798" s="1" t="s">
        <v>8503</v>
      </c>
      <c r="C798" s="1" t="s">
        <v>8503</v>
      </c>
      <c r="D798" s="1" t="s">
        <v>4293</v>
      </c>
      <c r="E798" s="1" t="s">
        <v>8505</v>
      </c>
      <c r="F798" s="1" t="s">
        <v>14564</v>
      </c>
      <c r="G798" s="3">
        <v>45790.0</v>
      </c>
      <c r="H798" s="3">
        <v>46042.0</v>
      </c>
      <c r="I798" s="3">
        <v>46042.0</v>
      </c>
      <c r="J798" s="1" t="s">
        <v>215</v>
      </c>
      <c r="K798" s="1" t="s">
        <v>160</v>
      </c>
      <c r="L798" s="1" t="s">
        <v>216</v>
      </c>
      <c r="M798" s="1" t="s">
        <v>131</v>
      </c>
      <c r="Q798" s="1" t="s">
        <v>137</v>
      </c>
      <c r="R798" s="1" t="s">
        <v>137</v>
      </c>
      <c r="S798" s="1" t="s">
        <v>47</v>
      </c>
      <c r="T798" s="1" t="s">
        <v>4301</v>
      </c>
      <c r="U798" s="1" t="s">
        <v>1577</v>
      </c>
      <c r="V798" s="1" t="s">
        <v>4950</v>
      </c>
      <c r="W798" s="3">
        <v>46042.0</v>
      </c>
      <c r="X798" s="3">
        <v>46042.0</v>
      </c>
    </row>
    <row r="799">
      <c r="A799" s="1" t="s">
        <v>14573</v>
      </c>
      <c r="B799" s="1" t="s">
        <v>8513</v>
      </c>
      <c r="C799" s="1" t="s">
        <v>8513</v>
      </c>
      <c r="D799" s="1" t="s">
        <v>4293</v>
      </c>
      <c r="E799" s="1" t="s">
        <v>8257</v>
      </c>
      <c r="F799" s="1" t="s">
        <v>14577</v>
      </c>
      <c r="G799" s="3">
        <v>44543.0</v>
      </c>
      <c r="H799" s="3">
        <v>44719.0</v>
      </c>
      <c r="I799" s="3">
        <v>44719.0</v>
      </c>
      <c r="J799" s="1" t="s">
        <v>215</v>
      </c>
      <c r="K799" s="1" t="s">
        <v>160</v>
      </c>
      <c r="L799" s="1" t="s">
        <v>216</v>
      </c>
      <c r="M799" s="1" t="s">
        <v>131</v>
      </c>
      <c r="Q799" s="1" t="s">
        <v>137</v>
      </c>
      <c r="R799" s="1" t="s">
        <v>137</v>
      </c>
      <c r="S799" s="1" t="s">
        <v>47</v>
      </c>
      <c r="T799" s="1" t="s">
        <v>4301</v>
      </c>
      <c r="U799" s="1" t="s">
        <v>1577</v>
      </c>
      <c r="V799" s="1" t="s">
        <v>3858</v>
      </c>
      <c r="W799" s="3">
        <v>44719.0</v>
      </c>
      <c r="X799" s="3">
        <v>44719.0</v>
      </c>
    </row>
    <row r="800">
      <c r="A800" s="1" t="s">
        <v>14581</v>
      </c>
      <c r="B800" s="1" t="s">
        <v>8513</v>
      </c>
      <c r="C800" s="1" t="s">
        <v>8513</v>
      </c>
      <c r="D800" s="1" t="s">
        <v>4293</v>
      </c>
      <c r="E800" s="1" t="s">
        <v>8257</v>
      </c>
      <c r="F800" s="1" t="s">
        <v>14583</v>
      </c>
      <c r="G800" s="3">
        <v>44543.0</v>
      </c>
      <c r="H800" s="3">
        <v>44719.0</v>
      </c>
      <c r="I800" s="3">
        <v>44719.0</v>
      </c>
      <c r="J800" s="1" t="s">
        <v>215</v>
      </c>
      <c r="K800" s="1" t="s">
        <v>160</v>
      </c>
      <c r="L800" s="1" t="s">
        <v>216</v>
      </c>
      <c r="M800" s="1" t="s">
        <v>131</v>
      </c>
      <c r="Q800" s="1" t="s">
        <v>137</v>
      </c>
      <c r="R800" s="1" t="s">
        <v>137</v>
      </c>
      <c r="S800" s="1" t="s">
        <v>47</v>
      </c>
      <c r="T800" s="1" t="s">
        <v>4301</v>
      </c>
      <c r="U800" s="1" t="s">
        <v>1577</v>
      </c>
      <c r="V800" s="1" t="s">
        <v>4679</v>
      </c>
      <c r="W800" s="3">
        <v>44719.0</v>
      </c>
      <c r="X800" s="3">
        <v>44719.0</v>
      </c>
    </row>
    <row r="801">
      <c r="A801" s="1" t="s">
        <v>14585</v>
      </c>
      <c r="B801" s="1" t="s">
        <v>8513</v>
      </c>
      <c r="C801" s="1" t="s">
        <v>8513</v>
      </c>
      <c r="D801" s="1" t="s">
        <v>4293</v>
      </c>
      <c r="E801" s="1" t="s">
        <v>8257</v>
      </c>
      <c r="F801" s="1" t="s">
        <v>14586</v>
      </c>
      <c r="G801" s="3">
        <v>44543.0</v>
      </c>
      <c r="H801" s="3">
        <v>44719.0</v>
      </c>
      <c r="I801" s="3">
        <v>44719.0</v>
      </c>
      <c r="J801" s="1" t="s">
        <v>215</v>
      </c>
      <c r="K801" s="1" t="s">
        <v>160</v>
      </c>
      <c r="L801" s="1" t="s">
        <v>216</v>
      </c>
      <c r="M801" s="1" t="s">
        <v>131</v>
      </c>
      <c r="Q801" s="1" t="s">
        <v>137</v>
      </c>
      <c r="R801" s="1" t="s">
        <v>137</v>
      </c>
      <c r="S801" s="1" t="s">
        <v>47</v>
      </c>
      <c r="T801" s="1" t="s">
        <v>4301</v>
      </c>
      <c r="U801" s="1" t="s">
        <v>1577</v>
      </c>
      <c r="V801" s="1" t="s">
        <v>4950</v>
      </c>
      <c r="W801" s="3">
        <v>44719.0</v>
      </c>
      <c r="X801" s="3">
        <v>44719.0</v>
      </c>
    </row>
    <row r="802">
      <c r="A802" s="1" t="s">
        <v>14588</v>
      </c>
      <c r="B802" s="1" t="s">
        <v>8513</v>
      </c>
      <c r="C802" s="1" t="s">
        <v>8513</v>
      </c>
      <c r="D802" s="1" t="s">
        <v>4293</v>
      </c>
      <c r="E802" s="1" t="s">
        <v>8257</v>
      </c>
      <c r="F802" s="1" t="s">
        <v>14589</v>
      </c>
      <c r="G802" s="3">
        <v>44543.0</v>
      </c>
      <c r="H802" s="3">
        <v>44719.0</v>
      </c>
      <c r="I802" s="3">
        <v>44719.0</v>
      </c>
      <c r="J802" s="1" t="s">
        <v>215</v>
      </c>
      <c r="K802" s="1" t="s">
        <v>160</v>
      </c>
      <c r="L802" s="1" t="s">
        <v>216</v>
      </c>
      <c r="M802" s="1" t="s">
        <v>131</v>
      </c>
      <c r="Q802" s="1" t="s">
        <v>137</v>
      </c>
      <c r="R802" s="1" t="s">
        <v>137</v>
      </c>
      <c r="S802" s="1" t="s">
        <v>47</v>
      </c>
      <c r="T802" s="1" t="s">
        <v>4301</v>
      </c>
      <c r="U802" s="1" t="s">
        <v>1577</v>
      </c>
      <c r="V802" s="1" t="s">
        <v>5104</v>
      </c>
      <c r="W802" s="3">
        <v>44719.0</v>
      </c>
      <c r="X802" s="3">
        <v>44719.0</v>
      </c>
    </row>
    <row r="803">
      <c r="A803" s="1" t="s">
        <v>14590</v>
      </c>
      <c r="B803" s="1" t="s">
        <v>8513</v>
      </c>
      <c r="C803" s="1" t="s">
        <v>8513</v>
      </c>
      <c r="D803" s="1" t="s">
        <v>4293</v>
      </c>
      <c r="E803" s="1" t="s">
        <v>8257</v>
      </c>
      <c r="F803" s="1" t="s">
        <v>14591</v>
      </c>
      <c r="G803" s="3">
        <v>44543.0</v>
      </c>
      <c r="H803" s="3">
        <v>44719.0</v>
      </c>
      <c r="I803" s="3">
        <v>44719.0</v>
      </c>
      <c r="J803" s="1" t="s">
        <v>215</v>
      </c>
      <c r="K803" s="1" t="s">
        <v>160</v>
      </c>
      <c r="L803" s="1" t="s">
        <v>216</v>
      </c>
      <c r="M803" s="1" t="s">
        <v>131</v>
      </c>
      <c r="Q803" s="1" t="s">
        <v>137</v>
      </c>
      <c r="R803" s="1" t="s">
        <v>137</v>
      </c>
      <c r="S803" s="1" t="s">
        <v>47</v>
      </c>
      <c r="T803" s="1" t="s">
        <v>4301</v>
      </c>
      <c r="U803" s="1" t="s">
        <v>1577</v>
      </c>
      <c r="V803" s="1" t="s">
        <v>5120</v>
      </c>
      <c r="W803" s="3">
        <v>44719.0</v>
      </c>
      <c r="X803" s="3">
        <v>44719.0</v>
      </c>
    </row>
    <row r="804">
      <c r="A804" s="1" t="s">
        <v>14594</v>
      </c>
      <c r="B804" s="1" t="s">
        <v>7418</v>
      </c>
      <c r="C804" s="1" t="s">
        <v>7418</v>
      </c>
      <c r="D804" s="1" t="s">
        <v>4293</v>
      </c>
      <c r="E804" s="1" t="s">
        <v>8520</v>
      </c>
      <c r="F804" s="1" t="s">
        <v>14595</v>
      </c>
      <c r="G804" s="3">
        <v>45729.0</v>
      </c>
      <c r="H804" s="3">
        <v>45916.0</v>
      </c>
      <c r="I804" s="3">
        <v>45916.0</v>
      </c>
      <c r="J804" s="1" t="s">
        <v>215</v>
      </c>
      <c r="K804" s="1" t="s">
        <v>160</v>
      </c>
      <c r="L804" s="1" t="s">
        <v>216</v>
      </c>
      <c r="M804" s="1" t="s">
        <v>131</v>
      </c>
      <c r="Q804" s="1" t="s">
        <v>137</v>
      </c>
      <c r="R804" s="1" t="s">
        <v>137</v>
      </c>
      <c r="S804" s="1" t="s">
        <v>47</v>
      </c>
      <c r="T804" s="1" t="s">
        <v>4301</v>
      </c>
      <c r="U804" s="1" t="s">
        <v>1577</v>
      </c>
      <c r="V804" s="1" t="s">
        <v>3858</v>
      </c>
      <c r="W804" s="3">
        <v>45916.0</v>
      </c>
      <c r="X804" s="3">
        <v>45916.0</v>
      </c>
    </row>
    <row r="805">
      <c r="A805" s="1" t="s">
        <v>14598</v>
      </c>
      <c r="B805" s="1" t="s">
        <v>7418</v>
      </c>
      <c r="C805" s="1" t="s">
        <v>7418</v>
      </c>
      <c r="D805" s="1" t="s">
        <v>4293</v>
      </c>
      <c r="E805" s="1" t="s">
        <v>8520</v>
      </c>
      <c r="F805" s="1" t="s">
        <v>14600</v>
      </c>
      <c r="G805" s="3">
        <v>45729.0</v>
      </c>
      <c r="H805" s="3">
        <v>45916.0</v>
      </c>
      <c r="I805" s="3">
        <v>45916.0</v>
      </c>
      <c r="J805" s="1" t="s">
        <v>215</v>
      </c>
      <c r="K805" s="1" t="s">
        <v>160</v>
      </c>
      <c r="L805" s="1" t="s">
        <v>216</v>
      </c>
      <c r="M805" s="1" t="s">
        <v>131</v>
      </c>
      <c r="Q805" s="1" t="s">
        <v>137</v>
      </c>
      <c r="R805" s="1" t="s">
        <v>137</v>
      </c>
      <c r="S805" s="1" t="s">
        <v>47</v>
      </c>
      <c r="T805" s="1" t="s">
        <v>4301</v>
      </c>
      <c r="U805" s="1" t="s">
        <v>1577</v>
      </c>
      <c r="V805" s="1" t="s">
        <v>4950</v>
      </c>
      <c r="W805" s="3">
        <v>45916.0</v>
      </c>
      <c r="X805" s="3">
        <v>45916.0</v>
      </c>
    </row>
    <row r="806">
      <c r="A806" s="1" t="s">
        <v>14602</v>
      </c>
      <c r="B806" s="1" t="s">
        <v>8527</v>
      </c>
      <c r="C806" s="1" t="s">
        <v>8527</v>
      </c>
      <c r="D806" s="1" t="s">
        <v>4293</v>
      </c>
      <c r="E806" s="1" t="s">
        <v>8528</v>
      </c>
      <c r="F806" s="1" t="s">
        <v>14603</v>
      </c>
      <c r="G806" s="3">
        <v>44104.0</v>
      </c>
      <c r="H806" s="3">
        <v>44833.0</v>
      </c>
      <c r="I806" s="3">
        <v>44833.0</v>
      </c>
      <c r="J806" s="1" t="s">
        <v>215</v>
      </c>
      <c r="K806" s="1" t="s">
        <v>160</v>
      </c>
      <c r="L806" s="1" t="s">
        <v>216</v>
      </c>
      <c r="M806" s="1" t="s">
        <v>131</v>
      </c>
      <c r="Q806" s="1" t="s">
        <v>137</v>
      </c>
      <c r="R806" s="1" t="s">
        <v>137</v>
      </c>
      <c r="S806" s="1" t="s">
        <v>47</v>
      </c>
      <c r="T806" s="1" t="s">
        <v>4301</v>
      </c>
      <c r="U806" s="1" t="s">
        <v>1577</v>
      </c>
      <c r="V806" s="1" t="s">
        <v>3858</v>
      </c>
      <c r="W806" s="3">
        <v>44833.0</v>
      </c>
      <c r="X806" s="3">
        <v>44833.0</v>
      </c>
    </row>
    <row r="807">
      <c r="A807" s="1" t="s">
        <v>14604</v>
      </c>
      <c r="B807" s="1" t="s">
        <v>8534</v>
      </c>
      <c r="C807" s="1" t="s">
        <v>8534</v>
      </c>
      <c r="D807" s="1" t="s">
        <v>4293</v>
      </c>
      <c r="E807" s="1" t="s">
        <v>8536</v>
      </c>
      <c r="F807" s="1" t="s">
        <v>14606</v>
      </c>
      <c r="G807" s="3">
        <v>44862.0</v>
      </c>
      <c r="H807" s="3">
        <v>44978.0</v>
      </c>
      <c r="I807" s="3">
        <v>44978.0</v>
      </c>
      <c r="J807" s="1" t="s">
        <v>215</v>
      </c>
      <c r="K807" s="1" t="s">
        <v>160</v>
      </c>
      <c r="L807" s="1" t="s">
        <v>216</v>
      </c>
      <c r="M807" s="1" t="s">
        <v>131</v>
      </c>
      <c r="Q807" s="1" t="s">
        <v>137</v>
      </c>
      <c r="R807" s="1" t="s">
        <v>137</v>
      </c>
      <c r="S807" s="1" t="s">
        <v>47</v>
      </c>
      <c r="T807" s="1" t="s">
        <v>4301</v>
      </c>
      <c r="U807" s="1" t="s">
        <v>1577</v>
      </c>
      <c r="V807" s="1" t="s">
        <v>3858</v>
      </c>
      <c r="W807" s="3">
        <v>44978.0</v>
      </c>
      <c r="X807" s="3">
        <v>44978.0</v>
      </c>
    </row>
    <row r="808">
      <c r="A808" s="1" t="s">
        <v>14615</v>
      </c>
      <c r="B808" s="1" t="s">
        <v>8534</v>
      </c>
      <c r="C808" s="1" t="s">
        <v>8534</v>
      </c>
      <c r="D808" s="1" t="s">
        <v>4293</v>
      </c>
      <c r="E808" s="1" t="s">
        <v>8536</v>
      </c>
      <c r="F808" s="1" t="s">
        <v>14616</v>
      </c>
      <c r="G808" s="3">
        <v>44862.0</v>
      </c>
      <c r="H808" s="3">
        <v>44978.0</v>
      </c>
      <c r="I808" s="3">
        <v>44978.0</v>
      </c>
      <c r="J808" s="1" t="s">
        <v>215</v>
      </c>
      <c r="K808" s="1" t="s">
        <v>160</v>
      </c>
      <c r="L808" s="1" t="s">
        <v>216</v>
      </c>
      <c r="M808" s="1" t="s">
        <v>131</v>
      </c>
      <c r="Q808" s="1" t="s">
        <v>137</v>
      </c>
      <c r="R808" s="1" t="s">
        <v>137</v>
      </c>
      <c r="S808" s="1" t="s">
        <v>47</v>
      </c>
      <c r="T808" s="1" t="s">
        <v>4301</v>
      </c>
      <c r="U808" s="1" t="s">
        <v>1577</v>
      </c>
      <c r="V808" s="1" t="s">
        <v>3865</v>
      </c>
      <c r="W808" s="3">
        <v>44978.0</v>
      </c>
      <c r="X808" s="3">
        <v>44978.0</v>
      </c>
    </row>
    <row r="809">
      <c r="A809" s="1" t="s">
        <v>14617</v>
      </c>
      <c r="B809" s="1" t="s">
        <v>8534</v>
      </c>
      <c r="C809" s="1" t="s">
        <v>8534</v>
      </c>
      <c r="D809" s="1" t="s">
        <v>4293</v>
      </c>
      <c r="E809" s="1" t="s">
        <v>8536</v>
      </c>
      <c r="F809" s="1" t="s">
        <v>14619</v>
      </c>
      <c r="G809" s="3">
        <v>44862.0</v>
      </c>
      <c r="H809" s="3">
        <v>44978.0</v>
      </c>
      <c r="I809" s="3">
        <v>44978.0</v>
      </c>
      <c r="J809" s="1" t="s">
        <v>215</v>
      </c>
      <c r="K809" s="1" t="s">
        <v>160</v>
      </c>
      <c r="L809" s="1" t="s">
        <v>216</v>
      </c>
      <c r="M809" s="1" t="s">
        <v>131</v>
      </c>
      <c r="Q809" s="1" t="s">
        <v>137</v>
      </c>
      <c r="R809" s="1" t="s">
        <v>137</v>
      </c>
      <c r="S809" s="1" t="s">
        <v>47</v>
      </c>
      <c r="T809" s="1" t="s">
        <v>4301</v>
      </c>
      <c r="U809" s="1" t="s">
        <v>1577</v>
      </c>
      <c r="V809" s="1" t="s">
        <v>4950</v>
      </c>
      <c r="W809" s="3">
        <v>44978.0</v>
      </c>
      <c r="X809" s="3">
        <v>44978.0</v>
      </c>
    </row>
    <row r="810">
      <c r="A810" s="1" t="s">
        <v>14621</v>
      </c>
      <c r="B810" s="1" t="s">
        <v>8541</v>
      </c>
      <c r="C810" s="1" t="s">
        <v>8541</v>
      </c>
      <c r="D810" s="1" t="s">
        <v>4293</v>
      </c>
      <c r="E810" s="1" t="s">
        <v>8543</v>
      </c>
      <c r="F810" s="1" t="s">
        <v>14623</v>
      </c>
      <c r="G810" s="3">
        <v>44650.0</v>
      </c>
      <c r="H810" s="3">
        <v>44858.0</v>
      </c>
      <c r="I810" s="3">
        <v>44858.0</v>
      </c>
      <c r="J810" s="1" t="s">
        <v>215</v>
      </c>
      <c r="K810" s="1" t="s">
        <v>160</v>
      </c>
      <c r="L810" s="1" t="s">
        <v>216</v>
      </c>
      <c r="M810" s="1" t="s">
        <v>131</v>
      </c>
      <c r="Q810" s="1" t="s">
        <v>137</v>
      </c>
      <c r="R810" s="1" t="s">
        <v>137</v>
      </c>
      <c r="S810" s="1" t="s">
        <v>47</v>
      </c>
      <c r="T810" s="1" t="s">
        <v>4301</v>
      </c>
      <c r="U810" s="1" t="s">
        <v>1577</v>
      </c>
      <c r="V810" s="1" t="s">
        <v>3858</v>
      </c>
      <c r="W810" s="3">
        <v>44858.0</v>
      </c>
      <c r="X810" s="3">
        <v>44858.0</v>
      </c>
    </row>
    <row r="811">
      <c r="A811" s="1" t="s">
        <v>14625</v>
      </c>
      <c r="B811" s="1" t="s">
        <v>8552</v>
      </c>
      <c r="C811" s="1" t="s">
        <v>8552</v>
      </c>
      <c r="D811" s="1" t="s">
        <v>4293</v>
      </c>
      <c r="E811" s="1" t="s">
        <v>8553</v>
      </c>
      <c r="F811" s="1" t="s">
        <v>14627</v>
      </c>
      <c r="G811" s="3">
        <v>44294.0</v>
      </c>
      <c r="H811" s="3">
        <v>44294.0</v>
      </c>
      <c r="I811" s="3">
        <v>44294.0</v>
      </c>
      <c r="J811" s="1" t="s">
        <v>215</v>
      </c>
      <c r="K811" s="1" t="s">
        <v>160</v>
      </c>
      <c r="L811" s="1" t="s">
        <v>216</v>
      </c>
      <c r="M811" s="1" t="s">
        <v>131</v>
      </c>
      <c r="Q811" s="1" t="s">
        <v>137</v>
      </c>
      <c r="R811" s="1" t="s">
        <v>137</v>
      </c>
      <c r="S811" s="1" t="s">
        <v>47</v>
      </c>
      <c r="T811" s="1" t="s">
        <v>4301</v>
      </c>
      <c r="U811" s="1" t="s">
        <v>1577</v>
      </c>
      <c r="V811" s="1" t="s">
        <v>3858</v>
      </c>
      <c r="W811" s="3">
        <v>44294.0</v>
      </c>
      <c r="X811" s="3">
        <v>44294.0</v>
      </c>
    </row>
    <row r="812">
      <c r="A812" s="1" t="s">
        <v>14629</v>
      </c>
      <c r="B812" s="1" t="s">
        <v>7089</v>
      </c>
      <c r="C812" s="1" t="s">
        <v>7089</v>
      </c>
      <c r="D812" s="1" t="s">
        <v>4293</v>
      </c>
      <c r="E812" s="1" t="s">
        <v>8560</v>
      </c>
      <c r="F812" s="1" t="s">
        <v>14630</v>
      </c>
      <c r="G812" s="3">
        <v>45474.0</v>
      </c>
      <c r="H812" s="3">
        <v>45627.0</v>
      </c>
      <c r="I812" s="3">
        <v>45627.0</v>
      </c>
      <c r="J812" s="1" t="s">
        <v>215</v>
      </c>
      <c r="K812" s="1" t="s">
        <v>160</v>
      </c>
      <c r="L812" s="1" t="s">
        <v>216</v>
      </c>
      <c r="M812" s="1" t="s">
        <v>131</v>
      </c>
      <c r="Q812" s="1" t="s">
        <v>137</v>
      </c>
      <c r="R812" s="1" t="s">
        <v>137</v>
      </c>
      <c r="S812" s="1" t="s">
        <v>47</v>
      </c>
      <c r="T812" s="1" t="s">
        <v>4301</v>
      </c>
      <c r="U812" s="1" t="s">
        <v>1577</v>
      </c>
      <c r="V812" s="1" t="s">
        <v>4679</v>
      </c>
      <c r="W812" s="3">
        <v>45627.0</v>
      </c>
      <c r="X812" s="3">
        <v>45627.0</v>
      </c>
    </row>
    <row r="813">
      <c r="A813" s="1" t="s">
        <v>14632</v>
      </c>
      <c r="B813" s="1" t="s">
        <v>7089</v>
      </c>
      <c r="C813" s="1" t="s">
        <v>7089</v>
      </c>
      <c r="D813" s="1" t="s">
        <v>4293</v>
      </c>
      <c r="E813" s="1" t="s">
        <v>8560</v>
      </c>
      <c r="F813" s="1" t="s">
        <v>14633</v>
      </c>
      <c r="G813" s="3">
        <v>45474.0</v>
      </c>
      <c r="H813" s="3">
        <v>45627.0</v>
      </c>
      <c r="I813" s="3">
        <v>45627.0</v>
      </c>
      <c r="J813" s="1" t="s">
        <v>215</v>
      </c>
      <c r="K813" s="1" t="s">
        <v>160</v>
      </c>
      <c r="L813" s="1" t="s">
        <v>216</v>
      </c>
      <c r="M813" s="1" t="s">
        <v>131</v>
      </c>
      <c r="Q813" s="1" t="s">
        <v>137</v>
      </c>
      <c r="R813" s="1" t="s">
        <v>137</v>
      </c>
      <c r="S813" s="1" t="s">
        <v>47</v>
      </c>
      <c r="T813" s="1" t="s">
        <v>4301</v>
      </c>
      <c r="U813" s="1" t="s">
        <v>1577</v>
      </c>
      <c r="V813" s="1" t="s">
        <v>4950</v>
      </c>
      <c r="W813" s="3">
        <v>45627.0</v>
      </c>
      <c r="X813" s="3">
        <v>45627.0</v>
      </c>
    </row>
    <row r="814">
      <c r="A814" s="1" t="s">
        <v>14635</v>
      </c>
      <c r="B814" s="1" t="s">
        <v>7089</v>
      </c>
      <c r="C814" s="1" t="s">
        <v>7089</v>
      </c>
      <c r="D814" s="1" t="s">
        <v>4293</v>
      </c>
      <c r="E814" s="1" t="s">
        <v>8560</v>
      </c>
      <c r="F814" s="1" t="s">
        <v>14637</v>
      </c>
      <c r="G814" s="3">
        <v>45474.0</v>
      </c>
      <c r="H814" s="3">
        <v>45627.0</v>
      </c>
      <c r="I814" s="3">
        <v>45627.0</v>
      </c>
      <c r="J814" s="1" t="s">
        <v>215</v>
      </c>
      <c r="K814" s="1" t="s">
        <v>160</v>
      </c>
      <c r="L814" s="1" t="s">
        <v>216</v>
      </c>
      <c r="M814" s="1" t="s">
        <v>131</v>
      </c>
      <c r="Q814" s="1" t="s">
        <v>137</v>
      </c>
      <c r="R814" s="1" t="s">
        <v>137</v>
      </c>
      <c r="S814" s="1" t="s">
        <v>47</v>
      </c>
      <c r="T814" s="1" t="s">
        <v>4301</v>
      </c>
      <c r="U814" s="1" t="s">
        <v>1577</v>
      </c>
      <c r="V814" s="1" t="s">
        <v>5104</v>
      </c>
      <c r="W814" s="3">
        <v>45627.0</v>
      </c>
      <c r="X814" s="3">
        <v>45627.0</v>
      </c>
    </row>
    <row r="815">
      <c r="A815" s="1" t="s">
        <v>14639</v>
      </c>
      <c r="B815" s="1" t="s">
        <v>7089</v>
      </c>
      <c r="C815" s="1" t="s">
        <v>7089</v>
      </c>
      <c r="D815" s="1" t="s">
        <v>4293</v>
      </c>
      <c r="E815" s="1" t="s">
        <v>8560</v>
      </c>
      <c r="F815" s="1" t="s">
        <v>14640</v>
      </c>
      <c r="G815" s="3">
        <v>45474.0</v>
      </c>
      <c r="H815" s="3">
        <v>45627.0</v>
      </c>
      <c r="I815" s="3">
        <v>45627.0</v>
      </c>
      <c r="J815" s="1" t="s">
        <v>215</v>
      </c>
      <c r="K815" s="1" t="s">
        <v>160</v>
      </c>
      <c r="L815" s="1" t="s">
        <v>216</v>
      </c>
      <c r="M815" s="1" t="s">
        <v>131</v>
      </c>
      <c r="Q815" s="1" t="s">
        <v>137</v>
      </c>
      <c r="R815" s="1" t="s">
        <v>137</v>
      </c>
      <c r="S815" s="1" t="s">
        <v>47</v>
      </c>
      <c r="T815" s="1" t="s">
        <v>4301</v>
      </c>
      <c r="U815" s="1" t="s">
        <v>1577</v>
      </c>
      <c r="V815" s="1" t="s">
        <v>5120</v>
      </c>
      <c r="W815" s="3">
        <v>45627.0</v>
      </c>
      <c r="X815" s="3">
        <v>45627.0</v>
      </c>
    </row>
    <row r="816">
      <c r="A816" s="1" t="s">
        <v>14643</v>
      </c>
      <c r="B816" s="1" t="s">
        <v>8564</v>
      </c>
      <c r="C816" s="1" t="s">
        <v>8564</v>
      </c>
      <c r="D816" s="1" t="s">
        <v>4293</v>
      </c>
      <c r="E816" s="1" t="s">
        <v>8566</v>
      </c>
      <c r="F816" s="1" t="s">
        <v>14644</v>
      </c>
      <c r="G816" s="3">
        <v>44915.0</v>
      </c>
      <c r="H816" s="3">
        <v>45148.0</v>
      </c>
      <c r="I816" s="3">
        <v>45148.0</v>
      </c>
      <c r="J816" s="1" t="s">
        <v>215</v>
      </c>
      <c r="K816" s="1" t="s">
        <v>160</v>
      </c>
      <c r="L816" s="1" t="s">
        <v>216</v>
      </c>
      <c r="M816" s="1" t="s">
        <v>131</v>
      </c>
      <c r="Q816" s="1" t="s">
        <v>137</v>
      </c>
      <c r="R816" s="1" t="s">
        <v>137</v>
      </c>
      <c r="S816" s="1" t="s">
        <v>47</v>
      </c>
      <c r="T816" s="1" t="s">
        <v>4301</v>
      </c>
      <c r="U816" s="1" t="s">
        <v>1577</v>
      </c>
      <c r="V816" s="1" t="s">
        <v>3858</v>
      </c>
      <c r="W816" s="3">
        <v>45148.0</v>
      </c>
      <c r="X816" s="3">
        <v>45148.0</v>
      </c>
    </row>
    <row r="817">
      <c r="A817" s="1" t="s">
        <v>14646</v>
      </c>
      <c r="B817" s="1" t="s">
        <v>8564</v>
      </c>
      <c r="C817" s="1" t="s">
        <v>8564</v>
      </c>
      <c r="D817" s="1" t="s">
        <v>4293</v>
      </c>
      <c r="E817" s="1" t="s">
        <v>8566</v>
      </c>
      <c r="F817" s="1" t="s">
        <v>14648</v>
      </c>
      <c r="G817" s="3">
        <v>44915.0</v>
      </c>
      <c r="H817" s="3">
        <v>45148.0</v>
      </c>
      <c r="I817" s="3">
        <v>45148.0</v>
      </c>
      <c r="J817" s="1" t="s">
        <v>215</v>
      </c>
      <c r="K817" s="1" t="s">
        <v>160</v>
      </c>
      <c r="L817" s="1" t="s">
        <v>216</v>
      </c>
      <c r="M817" s="1" t="s">
        <v>131</v>
      </c>
      <c r="Q817" s="1" t="s">
        <v>137</v>
      </c>
      <c r="R817" s="1" t="s">
        <v>137</v>
      </c>
      <c r="S817" s="1" t="s">
        <v>47</v>
      </c>
      <c r="T817" s="1" t="s">
        <v>4301</v>
      </c>
      <c r="U817" s="1" t="s">
        <v>1577</v>
      </c>
      <c r="V817" s="1" t="s">
        <v>4950</v>
      </c>
      <c r="W817" s="3">
        <v>45148.0</v>
      </c>
      <c r="X817" s="3">
        <v>45148.0</v>
      </c>
    </row>
    <row r="818">
      <c r="A818" s="1" t="s">
        <v>14650</v>
      </c>
      <c r="B818" s="1" t="s">
        <v>8572</v>
      </c>
      <c r="C818" s="1" t="s">
        <v>8572</v>
      </c>
      <c r="D818" s="1" t="s">
        <v>4293</v>
      </c>
      <c r="E818" s="1" t="s">
        <v>8575</v>
      </c>
      <c r="F818" s="1" t="s">
        <v>14652</v>
      </c>
      <c r="G818" s="3">
        <v>43158.0</v>
      </c>
      <c r="H818" s="3">
        <v>43210.0</v>
      </c>
      <c r="I818" s="3">
        <v>43210.0</v>
      </c>
      <c r="J818" s="1" t="s">
        <v>215</v>
      </c>
      <c r="K818" s="1" t="s">
        <v>160</v>
      </c>
      <c r="L818" s="1" t="s">
        <v>216</v>
      </c>
      <c r="M818" s="1" t="s">
        <v>131</v>
      </c>
      <c r="Q818" s="1" t="s">
        <v>137</v>
      </c>
      <c r="R818" s="1" t="s">
        <v>137</v>
      </c>
      <c r="S818" s="1" t="s">
        <v>47</v>
      </c>
      <c r="T818" s="1" t="s">
        <v>4301</v>
      </c>
      <c r="U818" s="1" t="s">
        <v>1577</v>
      </c>
      <c r="V818" s="1" t="s">
        <v>3858</v>
      </c>
      <c r="W818" s="3">
        <v>43210.0</v>
      </c>
      <c r="X818" s="3">
        <v>43210.0</v>
      </c>
    </row>
    <row r="819">
      <c r="A819" s="1" t="s">
        <v>14653</v>
      </c>
      <c r="B819" s="1" t="s">
        <v>8581</v>
      </c>
      <c r="C819" s="1" t="s">
        <v>8581</v>
      </c>
      <c r="D819" s="1" t="s">
        <v>4293</v>
      </c>
      <c r="E819" s="1" t="s">
        <v>8583</v>
      </c>
      <c r="F819" s="1" t="s">
        <v>14654</v>
      </c>
      <c r="G819" s="3">
        <v>43545.0</v>
      </c>
      <c r="H819" s="3">
        <v>43525.0</v>
      </c>
      <c r="I819" s="3">
        <v>43525.0</v>
      </c>
      <c r="J819" s="1" t="s">
        <v>215</v>
      </c>
      <c r="K819" s="1" t="s">
        <v>160</v>
      </c>
      <c r="L819" s="1" t="s">
        <v>216</v>
      </c>
      <c r="M819" s="1" t="s">
        <v>131</v>
      </c>
      <c r="Q819" s="1" t="s">
        <v>137</v>
      </c>
      <c r="R819" s="1" t="s">
        <v>137</v>
      </c>
      <c r="S819" s="1" t="s">
        <v>47</v>
      </c>
      <c r="T819" s="1" t="s">
        <v>4301</v>
      </c>
      <c r="U819" s="1" t="s">
        <v>1577</v>
      </c>
      <c r="V819" s="1" t="s">
        <v>3858</v>
      </c>
      <c r="W819" s="3">
        <v>43525.0</v>
      </c>
      <c r="X819" s="3">
        <v>43525.0</v>
      </c>
    </row>
    <row r="820">
      <c r="A820" s="1" t="s">
        <v>14657</v>
      </c>
      <c r="B820" s="1" t="s">
        <v>4712</v>
      </c>
      <c r="C820" s="1" t="s">
        <v>4712</v>
      </c>
      <c r="D820" s="1" t="s">
        <v>4293</v>
      </c>
      <c r="E820" s="1" t="s">
        <v>8588</v>
      </c>
      <c r="F820" s="1" t="s">
        <v>14658</v>
      </c>
      <c r="G820" s="3">
        <v>45616.0</v>
      </c>
      <c r="H820" s="3">
        <v>45853.0</v>
      </c>
      <c r="I820" s="3">
        <v>45853.0</v>
      </c>
      <c r="J820" s="1" t="s">
        <v>215</v>
      </c>
      <c r="K820" s="1" t="s">
        <v>160</v>
      </c>
      <c r="L820" s="1" t="s">
        <v>216</v>
      </c>
      <c r="M820" s="1" t="s">
        <v>131</v>
      </c>
      <c r="Q820" s="1" t="s">
        <v>137</v>
      </c>
      <c r="R820" s="1" t="s">
        <v>137</v>
      </c>
      <c r="S820" s="1" t="s">
        <v>47</v>
      </c>
      <c r="T820" s="1" t="s">
        <v>4301</v>
      </c>
      <c r="U820" s="1" t="s">
        <v>1577</v>
      </c>
      <c r="V820" s="1" t="s">
        <v>3858</v>
      </c>
      <c r="W820" s="3">
        <v>45853.0</v>
      </c>
      <c r="X820" s="3">
        <v>45853.0</v>
      </c>
    </row>
    <row r="821">
      <c r="A821" s="1" t="s">
        <v>14662</v>
      </c>
      <c r="B821" s="1" t="s">
        <v>4712</v>
      </c>
      <c r="C821" s="1" t="s">
        <v>4712</v>
      </c>
      <c r="D821" s="1" t="s">
        <v>4293</v>
      </c>
      <c r="E821" s="1" t="s">
        <v>8588</v>
      </c>
      <c r="F821" s="1" t="s">
        <v>14663</v>
      </c>
      <c r="G821" s="3">
        <v>45616.0</v>
      </c>
      <c r="H821" s="3">
        <v>45853.0</v>
      </c>
      <c r="I821" s="3">
        <v>45853.0</v>
      </c>
      <c r="J821" s="1" t="s">
        <v>215</v>
      </c>
      <c r="K821" s="1" t="s">
        <v>160</v>
      </c>
      <c r="L821" s="1" t="s">
        <v>216</v>
      </c>
      <c r="M821" s="1" t="s">
        <v>131</v>
      </c>
      <c r="Q821" s="1" t="s">
        <v>137</v>
      </c>
      <c r="R821" s="1" t="s">
        <v>137</v>
      </c>
      <c r="S821" s="1" t="s">
        <v>47</v>
      </c>
      <c r="T821" s="1" t="s">
        <v>4301</v>
      </c>
      <c r="U821" s="1" t="s">
        <v>1577</v>
      </c>
      <c r="V821" s="1" t="s">
        <v>4950</v>
      </c>
      <c r="W821" s="3">
        <v>45853.0</v>
      </c>
      <c r="X821" s="3">
        <v>45853.0</v>
      </c>
    </row>
    <row r="822">
      <c r="A822" s="1" t="s">
        <v>14665</v>
      </c>
      <c r="B822" s="1" t="s">
        <v>8596</v>
      </c>
      <c r="C822" s="1" t="s">
        <v>8596</v>
      </c>
      <c r="D822" s="1" t="s">
        <v>4293</v>
      </c>
      <c r="E822" s="1" t="s">
        <v>8598</v>
      </c>
      <c r="F822" s="1" t="s">
        <v>14666</v>
      </c>
      <c r="G822" s="3">
        <v>44712.0</v>
      </c>
      <c r="H822" s="3">
        <v>44756.0</v>
      </c>
      <c r="I822" s="3">
        <v>44756.0</v>
      </c>
      <c r="J822" s="1" t="s">
        <v>215</v>
      </c>
      <c r="K822" s="1" t="s">
        <v>160</v>
      </c>
      <c r="L822" s="1" t="s">
        <v>216</v>
      </c>
      <c r="M822" s="1" t="s">
        <v>131</v>
      </c>
      <c r="Q822" s="1" t="s">
        <v>137</v>
      </c>
      <c r="R822" s="1" t="s">
        <v>137</v>
      </c>
      <c r="S822" s="1" t="s">
        <v>47</v>
      </c>
      <c r="T822" s="1" t="s">
        <v>4301</v>
      </c>
      <c r="U822" s="1" t="s">
        <v>1577</v>
      </c>
      <c r="V822" s="1" t="s">
        <v>4950</v>
      </c>
      <c r="W822" s="3">
        <v>44756.0</v>
      </c>
      <c r="X822" s="3">
        <v>44756.0</v>
      </c>
    </row>
    <row r="823">
      <c r="A823" s="1" t="s">
        <v>14668</v>
      </c>
      <c r="B823" s="1" t="s">
        <v>8606</v>
      </c>
      <c r="C823" s="1" t="s">
        <v>8606</v>
      </c>
      <c r="D823" s="1" t="s">
        <v>4293</v>
      </c>
      <c r="E823" s="1" t="s">
        <v>8608</v>
      </c>
      <c r="F823" s="1" t="s">
        <v>14669</v>
      </c>
      <c r="G823" s="3">
        <v>43363.0</v>
      </c>
      <c r="H823" s="3">
        <v>43440.0</v>
      </c>
      <c r="I823" s="3">
        <v>43440.0</v>
      </c>
      <c r="J823" s="1" t="s">
        <v>215</v>
      </c>
      <c r="K823" s="1" t="s">
        <v>160</v>
      </c>
      <c r="L823" s="1" t="s">
        <v>216</v>
      </c>
      <c r="M823" s="1" t="s">
        <v>131</v>
      </c>
      <c r="Q823" s="1" t="s">
        <v>137</v>
      </c>
      <c r="R823" s="1" t="s">
        <v>137</v>
      </c>
      <c r="S823" s="1" t="s">
        <v>47</v>
      </c>
      <c r="T823" s="1" t="s">
        <v>4301</v>
      </c>
      <c r="U823" s="1" t="s">
        <v>1577</v>
      </c>
      <c r="V823" s="1" t="s">
        <v>3858</v>
      </c>
      <c r="W823" s="3">
        <v>43440.0</v>
      </c>
      <c r="X823" s="3">
        <v>43440.0</v>
      </c>
    </row>
    <row r="824">
      <c r="A824" s="1" t="s">
        <v>14672</v>
      </c>
      <c r="B824" s="1" t="s">
        <v>8606</v>
      </c>
      <c r="C824" s="1" t="s">
        <v>8606</v>
      </c>
      <c r="D824" s="1" t="s">
        <v>4293</v>
      </c>
      <c r="E824" s="1" t="s">
        <v>8608</v>
      </c>
      <c r="F824" s="1" t="s">
        <v>14673</v>
      </c>
      <c r="G824" s="3">
        <v>43363.0</v>
      </c>
      <c r="H824" s="3">
        <v>43440.0</v>
      </c>
      <c r="I824" s="3">
        <v>43440.0</v>
      </c>
      <c r="J824" s="1" t="s">
        <v>215</v>
      </c>
      <c r="K824" s="1" t="s">
        <v>160</v>
      </c>
      <c r="L824" s="1" t="s">
        <v>216</v>
      </c>
      <c r="M824" s="1" t="s">
        <v>131</v>
      </c>
      <c r="Q824" s="1" t="s">
        <v>137</v>
      </c>
      <c r="R824" s="1" t="s">
        <v>137</v>
      </c>
      <c r="S824" s="1" t="s">
        <v>47</v>
      </c>
      <c r="T824" s="1" t="s">
        <v>4301</v>
      </c>
      <c r="U824" s="1" t="s">
        <v>1577</v>
      </c>
      <c r="V824" s="1" t="s">
        <v>3963</v>
      </c>
      <c r="W824" s="3">
        <v>43440.0</v>
      </c>
      <c r="X824" s="3">
        <v>43440.0</v>
      </c>
    </row>
    <row r="825">
      <c r="A825" s="1" t="s">
        <v>14675</v>
      </c>
      <c r="B825" s="1" t="s">
        <v>8606</v>
      </c>
      <c r="C825" s="1" t="s">
        <v>8606</v>
      </c>
      <c r="D825" s="1" t="s">
        <v>4293</v>
      </c>
      <c r="E825" s="1" t="s">
        <v>8608</v>
      </c>
      <c r="F825" s="1" t="s">
        <v>14677</v>
      </c>
      <c r="G825" s="3">
        <v>43363.0</v>
      </c>
      <c r="H825" s="3">
        <v>43440.0</v>
      </c>
      <c r="I825" s="3">
        <v>43440.0</v>
      </c>
      <c r="J825" s="1" t="s">
        <v>215</v>
      </c>
      <c r="K825" s="1" t="s">
        <v>160</v>
      </c>
      <c r="L825" s="1" t="s">
        <v>216</v>
      </c>
      <c r="M825" s="1" t="s">
        <v>131</v>
      </c>
      <c r="Q825" s="1" t="s">
        <v>137</v>
      </c>
      <c r="R825" s="1" t="s">
        <v>137</v>
      </c>
      <c r="S825" s="1" t="s">
        <v>47</v>
      </c>
      <c r="T825" s="1" t="s">
        <v>4301</v>
      </c>
      <c r="U825" s="1" t="s">
        <v>1577</v>
      </c>
      <c r="V825" s="1" t="s">
        <v>3865</v>
      </c>
      <c r="W825" s="3">
        <v>43440.0</v>
      </c>
      <c r="X825" s="3">
        <v>43440.0</v>
      </c>
    </row>
    <row r="826">
      <c r="A826" s="1" t="s">
        <v>14679</v>
      </c>
      <c r="B826" s="1" t="s">
        <v>8606</v>
      </c>
      <c r="C826" s="1" t="s">
        <v>8606</v>
      </c>
      <c r="D826" s="1" t="s">
        <v>4293</v>
      </c>
      <c r="E826" s="1" t="s">
        <v>8608</v>
      </c>
      <c r="F826" s="1" t="s">
        <v>14680</v>
      </c>
      <c r="G826" s="3">
        <v>43363.0</v>
      </c>
      <c r="H826" s="3">
        <v>43440.0</v>
      </c>
      <c r="I826" s="3">
        <v>43440.0</v>
      </c>
      <c r="J826" s="1" t="s">
        <v>215</v>
      </c>
      <c r="K826" s="1" t="s">
        <v>160</v>
      </c>
      <c r="L826" s="1" t="s">
        <v>216</v>
      </c>
      <c r="M826" s="1" t="s">
        <v>131</v>
      </c>
      <c r="Q826" s="1" t="s">
        <v>137</v>
      </c>
      <c r="R826" s="1" t="s">
        <v>137</v>
      </c>
      <c r="S826" s="1" t="s">
        <v>47</v>
      </c>
      <c r="T826" s="1" t="s">
        <v>4301</v>
      </c>
      <c r="U826" s="1" t="s">
        <v>1577</v>
      </c>
      <c r="V826" s="1" t="s">
        <v>4950</v>
      </c>
      <c r="W826" s="3">
        <v>43440.0</v>
      </c>
      <c r="X826" s="3">
        <v>43440.0</v>
      </c>
    </row>
    <row r="827">
      <c r="A827" s="1" t="s">
        <v>14682</v>
      </c>
      <c r="B827" s="1" t="s">
        <v>8615</v>
      </c>
      <c r="C827" s="1" t="s">
        <v>8615</v>
      </c>
      <c r="D827" s="1" t="s">
        <v>4293</v>
      </c>
      <c r="E827" s="1" t="s">
        <v>8174</v>
      </c>
      <c r="F827" s="1" t="s">
        <v>14683</v>
      </c>
      <c r="G827" s="3">
        <v>44273.0</v>
      </c>
      <c r="H827" s="3">
        <v>44083.0</v>
      </c>
      <c r="I827" s="3">
        <v>44083.0</v>
      </c>
      <c r="J827" s="1" t="s">
        <v>215</v>
      </c>
      <c r="K827" s="1" t="s">
        <v>160</v>
      </c>
      <c r="L827" s="1" t="s">
        <v>216</v>
      </c>
      <c r="M827" s="1" t="s">
        <v>131</v>
      </c>
      <c r="Q827" s="1" t="s">
        <v>137</v>
      </c>
      <c r="R827" s="1" t="s">
        <v>137</v>
      </c>
      <c r="S827" s="1" t="s">
        <v>47</v>
      </c>
      <c r="T827" s="1" t="s">
        <v>4301</v>
      </c>
      <c r="U827" s="1" t="s">
        <v>1577</v>
      </c>
      <c r="V827" s="1" t="s">
        <v>3858</v>
      </c>
      <c r="W827" s="3">
        <v>44083.0</v>
      </c>
      <c r="X827" s="3">
        <v>44083.0</v>
      </c>
    </row>
    <row r="828">
      <c r="A828" s="1" t="s">
        <v>14685</v>
      </c>
      <c r="B828" s="1" t="s">
        <v>8622</v>
      </c>
      <c r="C828" s="1" t="s">
        <v>8622</v>
      </c>
      <c r="D828" s="1" t="s">
        <v>4293</v>
      </c>
      <c r="E828" s="1" t="s">
        <v>8624</v>
      </c>
      <c r="F828" s="1" t="s">
        <v>14687</v>
      </c>
      <c r="G828" s="3">
        <v>44988.0</v>
      </c>
      <c r="H828" s="3">
        <v>45392.0</v>
      </c>
      <c r="I828" s="3">
        <v>45392.0</v>
      </c>
      <c r="J828" s="1" t="s">
        <v>215</v>
      </c>
      <c r="K828" s="1" t="s">
        <v>160</v>
      </c>
      <c r="L828" s="1" t="s">
        <v>216</v>
      </c>
      <c r="M828" s="1" t="s">
        <v>131</v>
      </c>
      <c r="Q828" s="1" t="s">
        <v>137</v>
      </c>
      <c r="R828" s="1" t="s">
        <v>137</v>
      </c>
      <c r="S828" s="1" t="s">
        <v>47</v>
      </c>
      <c r="T828" s="1" t="s">
        <v>4301</v>
      </c>
      <c r="U828" s="1" t="s">
        <v>1577</v>
      </c>
      <c r="V828" s="1" t="s">
        <v>3858</v>
      </c>
      <c r="W828" s="3">
        <v>45392.0</v>
      </c>
      <c r="X828" s="3">
        <v>45392.0</v>
      </c>
    </row>
    <row r="829">
      <c r="A829" s="1" t="s">
        <v>14689</v>
      </c>
      <c r="B829" s="1" t="s">
        <v>8629</v>
      </c>
      <c r="C829" s="1" t="s">
        <v>8629</v>
      </c>
      <c r="D829" s="1" t="s">
        <v>4293</v>
      </c>
      <c r="E829" s="1" t="s">
        <v>8631</v>
      </c>
      <c r="F829" s="1" t="s">
        <v>14691</v>
      </c>
      <c r="G829" s="3">
        <v>45426.0</v>
      </c>
      <c r="H829" s="3">
        <v>45643.0</v>
      </c>
      <c r="I829" s="3">
        <v>45643.0</v>
      </c>
      <c r="J829" s="1" t="s">
        <v>215</v>
      </c>
      <c r="K829" s="1" t="s">
        <v>160</v>
      </c>
      <c r="L829" s="1" t="s">
        <v>216</v>
      </c>
      <c r="M829" s="1" t="s">
        <v>131</v>
      </c>
      <c r="Q829" s="1" t="s">
        <v>137</v>
      </c>
      <c r="R829" s="1" t="s">
        <v>137</v>
      </c>
      <c r="S829" s="1" t="s">
        <v>47</v>
      </c>
      <c r="T829" s="1" t="s">
        <v>4301</v>
      </c>
      <c r="U829" s="1" t="s">
        <v>1577</v>
      </c>
      <c r="V829" s="1" t="s">
        <v>4679</v>
      </c>
      <c r="W829" s="3">
        <v>45643.0</v>
      </c>
      <c r="X829" s="3">
        <v>45643.0</v>
      </c>
    </row>
    <row r="830">
      <c r="A830" s="1" t="s">
        <v>14693</v>
      </c>
      <c r="B830" s="1" t="s">
        <v>8629</v>
      </c>
      <c r="C830" s="1" t="s">
        <v>8629</v>
      </c>
      <c r="D830" s="1" t="s">
        <v>4293</v>
      </c>
      <c r="E830" s="1" t="s">
        <v>8631</v>
      </c>
      <c r="F830" s="1" t="s">
        <v>14694</v>
      </c>
      <c r="G830" s="3">
        <v>45426.0</v>
      </c>
      <c r="H830" s="3">
        <v>45643.0</v>
      </c>
      <c r="I830" s="3">
        <v>45643.0</v>
      </c>
      <c r="J830" s="1" t="s">
        <v>215</v>
      </c>
      <c r="K830" s="1" t="s">
        <v>160</v>
      </c>
      <c r="L830" s="1" t="s">
        <v>216</v>
      </c>
      <c r="M830" s="1" t="s">
        <v>131</v>
      </c>
      <c r="Q830" s="1" t="s">
        <v>137</v>
      </c>
      <c r="R830" s="1" t="s">
        <v>137</v>
      </c>
      <c r="S830" s="1" t="s">
        <v>47</v>
      </c>
      <c r="T830" s="1" t="s">
        <v>4301</v>
      </c>
      <c r="U830" s="1" t="s">
        <v>1577</v>
      </c>
      <c r="V830" s="1" t="s">
        <v>4950</v>
      </c>
      <c r="W830" s="3">
        <v>45643.0</v>
      </c>
      <c r="X830" s="3">
        <v>45643.0</v>
      </c>
    </row>
    <row r="831">
      <c r="A831" s="1" t="s">
        <v>14696</v>
      </c>
      <c r="B831" s="1" t="s">
        <v>8629</v>
      </c>
      <c r="C831" s="1" t="s">
        <v>8629</v>
      </c>
      <c r="D831" s="1" t="s">
        <v>4293</v>
      </c>
      <c r="E831" s="1" t="s">
        <v>8631</v>
      </c>
      <c r="F831" s="1" t="s">
        <v>14697</v>
      </c>
      <c r="G831" s="3">
        <v>45426.0</v>
      </c>
      <c r="H831" s="3">
        <v>45643.0</v>
      </c>
      <c r="I831" s="3">
        <v>45643.0</v>
      </c>
      <c r="J831" s="1" t="s">
        <v>215</v>
      </c>
      <c r="K831" s="1" t="s">
        <v>160</v>
      </c>
      <c r="L831" s="1" t="s">
        <v>216</v>
      </c>
      <c r="M831" s="1" t="s">
        <v>131</v>
      </c>
      <c r="Q831" s="1" t="s">
        <v>137</v>
      </c>
      <c r="R831" s="1" t="s">
        <v>137</v>
      </c>
      <c r="S831" s="1" t="s">
        <v>47</v>
      </c>
      <c r="T831" s="1" t="s">
        <v>4301</v>
      </c>
      <c r="U831" s="1" t="s">
        <v>1577</v>
      </c>
      <c r="V831" s="1" t="s">
        <v>5104</v>
      </c>
      <c r="W831" s="3">
        <v>45643.0</v>
      </c>
      <c r="X831" s="3">
        <v>45643.0</v>
      </c>
    </row>
    <row r="832">
      <c r="A832" s="1" t="s">
        <v>14699</v>
      </c>
      <c r="B832" s="1" t="s">
        <v>8629</v>
      </c>
      <c r="C832" s="1" t="s">
        <v>8629</v>
      </c>
      <c r="D832" s="1" t="s">
        <v>4293</v>
      </c>
      <c r="E832" s="1" t="s">
        <v>8631</v>
      </c>
      <c r="F832" s="1" t="s">
        <v>14701</v>
      </c>
      <c r="G832" s="3">
        <v>45426.0</v>
      </c>
      <c r="H832" s="3">
        <v>45643.0</v>
      </c>
      <c r="I832" s="3">
        <v>45643.0</v>
      </c>
      <c r="J832" s="1" t="s">
        <v>215</v>
      </c>
      <c r="K832" s="1" t="s">
        <v>160</v>
      </c>
      <c r="L832" s="1" t="s">
        <v>216</v>
      </c>
      <c r="M832" s="1" t="s">
        <v>131</v>
      </c>
      <c r="Q832" s="1" t="s">
        <v>137</v>
      </c>
      <c r="R832" s="1" t="s">
        <v>137</v>
      </c>
      <c r="S832" s="1" t="s">
        <v>47</v>
      </c>
      <c r="T832" s="1" t="s">
        <v>4301</v>
      </c>
      <c r="U832" s="1" t="s">
        <v>1577</v>
      </c>
      <c r="V832" s="1" t="s">
        <v>5120</v>
      </c>
      <c r="W832" s="3">
        <v>45643.0</v>
      </c>
      <c r="X832" s="3">
        <v>45643.0</v>
      </c>
    </row>
    <row r="833">
      <c r="A833" s="1" t="s">
        <v>14703</v>
      </c>
      <c r="B833" s="1" t="s">
        <v>8637</v>
      </c>
      <c r="C833" s="1" t="s">
        <v>8637</v>
      </c>
      <c r="D833" s="1" t="s">
        <v>4293</v>
      </c>
      <c r="E833" s="1" t="s">
        <v>8639</v>
      </c>
      <c r="F833" s="1" t="s">
        <v>14704</v>
      </c>
      <c r="G833" s="3">
        <v>45348.0</v>
      </c>
      <c r="H833" s="3">
        <v>45702.0</v>
      </c>
      <c r="I833" s="3">
        <v>45702.0</v>
      </c>
      <c r="J833" s="1" t="s">
        <v>215</v>
      </c>
      <c r="K833" s="1" t="s">
        <v>160</v>
      </c>
      <c r="L833" s="1" t="s">
        <v>216</v>
      </c>
      <c r="M833" s="1" t="s">
        <v>131</v>
      </c>
      <c r="Q833" s="1" t="s">
        <v>137</v>
      </c>
      <c r="R833" s="1" t="s">
        <v>137</v>
      </c>
      <c r="S833" s="1" t="s">
        <v>47</v>
      </c>
      <c r="T833" s="1" t="s">
        <v>4301</v>
      </c>
      <c r="U833" s="1" t="s">
        <v>1577</v>
      </c>
      <c r="V833" s="1" t="s">
        <v>3858</v>
      </c>
      <c r="W833" s="3">
        <v>45702.0</v>
      </c>
      <c r="X833" s="3">
        <v>45702.0</v>
      </c>
    </row>
    <row r="834">
      <c r="A834" s="1" t="s">
        <v>14706</v>
      </c>
      <c r="B834" s="1" t="s">
        <v>8637</v>
      </c>
      <c r="C834" s="1" t="s">
        <v>8637</v>
      </c>
      <c r="D834" s="1" t="s">
        <v>4293</v>
      </c>
      <c r="E834" s="1" t="s">
        <v>8639</v>
      </c>
      <c r="F834" s="1" t="s">
        <v>14707</v>
      </c>
      <c r="G834" s="3">
        <v>45348.0</v>
      </c>
      <c r="H834" s="3">
        <v>45702.0</v>
      </c>
      <c r="I834" s="3">
        <v>45702.0</v>
      </c>
      <c r="J834" s="1" t="s">
        <v>215</v>
      </c>
      <c r="K834" s="1" t="s">
        <v>160</v>
      </c>
      <c r="L834" s="1" t="s">
        <v>216</v>
      </c>
      <c r="M834" s="1" t="s">
        <v>131</v>
      </c>
      <c r="Q834" s="1" t="s">
        <v>137</v>
      </c>
      <c r="R834" s="1" t="s">
        <v>137</v>
      </c>
      <c r="S834" s="1" t="s">
        <v>47</v>
      </c>
      <c r="T834" s="1" t="s">
        <v>4301</v>
      </c>
      <c r="U834" s="1" t="s">
        <v>1577</v>
      </c>
      <c r="V834" s="1" t="s">
        <v>4950</v>
      </c>
      <c r="W834" s="3">
        <v>45702.0</v>
      </c>
      <c r="X834" s="3">
        <v>45702.0</v>
      </c>
    </row>
    <row r="835">
      <c r="A835" s="1" t="s">
        <v>14709</v>
      </c>
      <c r="B835" s="1" t="s">
        <v>8645</v>
      </c>
      <c r="C835" s="1" t="s">
        <v>8645</v>
      </c>
      <c r="D835" s="1" t="s">
        <v>4293</v>
      </c>
      <c r="E835" s="1" t="s">
        <v>8647</v>
      </c>
      <c r="F835" s="1" t="s">
        <v>14710</v>
      </c>
      <c r="G835" s="3">
        <v>44419.0</v>
      </c>
      <c r="H835" s="3">
        <v>44435.0</v>
      </c>
      <c r="I835" s="3">
        <v>44435.0</v>
      </c>
      <c r="J835" s="1" t="s">
        <v>215</v>
      </c>
      <c r="K835" s="1" t="s">
        <v>160</v>
      </c>
      <c r="L835" s="1" t="s">
        <v>216</v>
      </c>
      <c r="M835" s="1" t="s">
        <v>131</v>
      </c>
      <c r="Q835" s="1" t="s">
        <v>137</v>
      </c>
      <c r="R835" s="1" t="s">
        <v>137</v>
      </c>
      <c r="S835" s="1" t="s">
        <v>47</v>
      </c>
      <c r="T835" s="1" t="s">
        <v>4301</v>
      </c>
      <c r="U835" s="1" t="s">
        <v>1577</v>
      </c>
      <c r="V835" s="1" t="s">
        <v>3858</v>
      </c>
      <c r="W835" s="3">
        <v>44435.0</v>
      </c>
      <c r="X835" s="3">
        <v>44435.0</v>
      </c>
    </row>
    <row r="836">
      <c r="A836" s="1" t="s">
        <v>14713</v>
      </c>
      <c r="B836" s="1" t="s">
        <v>8653</v>
      </c>
      <c r="C836" s="1" t="s">
        <v>8653</v>
      </c>
      <c r="D836" s="1" t="s">
        <v>4293</v>
      </c>
      <c r="E836" s="1" t="s">
        <v>8654</v>
      </c>
      <c r="F836" s="1" t="s">
        <v>14715</v>
      </c>
      <c r="G836" s="3">
        <v>44692.0</v>
      </c>
      <c r="H836" s="3">
        <v>44839.0</v>
      </c>
      <c r="I836" s="3">
        <v>44839.0</v>
      </c>
      <c r="J836" s="1" t="s">
        <v>215</v>
      </c>
      <c r="K836" s="1" t="s">
        <v>160</v>
      </c>
      <c r="L836" s="1" t="s">
        <v>216</v>
      </c>
      <c r="M836" s="1" t="s">
        <v>131</v>
      </c>
      <c r="Q836" s="1" t="s">
        <v>137</v>
      </c>
      <c r="R836" s="1" t="s">
        <v>137</v>
      </c>
      <c r="S836" s="1" t="s">
        <v>47</v>
      </c>
      <c r="T836" s="1" t="s">
        <v>4301</v>
      </c>
      <c r="U836" s="1" t="s">
        <v>1577</v>
      </c>
      <c r="V836" s="1" t="s">
        <v>3858</v>
      </c>
      <c r="W836" s="3">
        <v>44839.0</v>
      </c>
      <c r="X836" s="3">
        <v>44839.0</v>
      </c>
    </row>
    <row r="837">
      <c r="A837" s="1" t="s">
        <v>14717</v>
      </c>
      <c r="B837" s="1" t="s">
        <v>8653</v>
      </c>
      <c r="C837" s="1" t="s">
        <v>8653</v>
      </c>
      <c r="D837" s="1" t="s">
        <v>4293</v>
      </c>
      <c r="E837" s="1" t="s">
        <v>8654</v>
      </c>
      <c r="F837" s="1" t="s">
        <v>14718</v>
      </c>
      <c r="G837" s="3">
        <v>44692.0</v>
      </c>
      <c r="H837" s="3">
        <v>44839.0</v>
      </c>
      <c r="I837" s="3">
        <v>44839.0</v>
      </c>
      <c r="J837" s="1" t="s">
        <v>215</v>
      </c>
      <c r="K837" s="1" t="s">
        <v>160</v>
      </c>
      <c r="L837" s="1" t="s">
        <v>216</v>
      </c>
      <c r="M837" s="1" t="s">
        <v>131</v>
      </c>
      <c r="Q837" s="1" t="s">
        <v>137</v>
      </c>
      <c r="R837" s="1" t="s">
        <v>137</v>
      </c>
      <c r="S837" s="1" t="s">
        <v>47</v>
      </c>
      <c r="T837" s="1" t="s">
        <v>4301</v>
      </c>
      <c r="U837" s="1" t="s">
        <v>1577</v>
      </c>
      <c r="V837" s="1" t="s">
        <v>3865</v>
      </c>
      <c r="W837" s="3">
        <v>44839.0</v>
      </c>
      <c r="X837" s="3">
        <v>44839.0</v>
      </c>
    </row>
    <row r="838">
      <c r="A838" s="1" t="s">
        <v>14720</v>
      </c>
      <c r="B838" s="1" t="s">
        <v>8661</v>
      </c>
      <c r="C838" s="1" t="s">
        <v>8661</v>
      </c>
      <c r="D838" s="1" t="s">
        <v>4293</v>
      </c>
      <c r="E838" s="1" t="s">
        <v>8663</v>
      </c>
      <c r="F838" s="1" t="s">
        <v>14721</v>
      </c>
      <c r="G838" s="3">
        <v>45281.0</v>
      </c>
      <c r="H838" s="3">
        <v>45596.0</v>
      </c>
      <c r="I838" s="3">
        <v>45596.0</v>
      </c>
      <c r="J838" s="1" t="s">
        <v>215</v>
      </c>
      <c r="K838" s="1" t="s">
        <v>160</v>
      </c>
      <c r="L838" s="1" t="s">
        <v>216</v>
      </c>
      <c r="M838" s="1" t="s">
        <v>131</v>
      </c>
      <c r="Q838" s="1" t="s">
        <v>137</v>
      </c>
      <c r="R838" s="1" t="s">
        <v>137</v>
      </c>
      <c r="S838" s="1" t="s">
        <v>47</v>
      </c>
      <c r="T838" s="1" t="s">
        <v>4301</v>
      </c>
      <c r="U838" s="1" t="s">
        <v>1577</v>
      </c>
      <c r="V838" s="1" t="s">
        <v>3858</v>
      </c>
      <c r="W838" s="3">
        <v>45596.0</v>
      </c>
      <c r="X838" s="3">
        <v>45596.0</v>
      </c>
    </row>
    <row r="839">
      <c r="A839" s="1" t="s">
        <v>14722</v>
      </c>
      <c r="B839" s="1" t="s">
        <v>8661</v>
      </c>
      <c r="C839" s="1" t="s">
        <v>8661</v>
      </c>
      <c r="D839" s="1" t="s">
        <v>4293</v>
      </c>
      <c r="E839" s="1" t="s">
        <v>8663</v>
      </c>
      <c r="F839" s="1" t="s">
        <v>14724</v>
      </c>
      <c r="G839" s="3">
        <v>45281.0</v>
      </c>
      <c r="H839" s="3">
        <v>45596.0</v>
      </c>
      <c r="I839" s="3">
        <v>45596.0</v>
      </c>
      <c r="J839" s="1" t="s">
        <v>215</v>
      </c>
      <c r="K839" s="1" t="s">
        <v>160</v>
      </c>
      <c r="L839" s="1" t="s">
        <v>216</v>
      </c>
      <c r="M839" s="1" t="s">
        <v>131</v>
      </c>
      <c r="Q839" s="1" t="s">
        <v>137</v>
      </c>
      <c r="R839" s="1" t="s">
        <v>137</v>
      </c>
      <c r="S839" s="1" t="s">
        <v>47</v>
      </c>
      <c r="T839" s="1" t="s">
        <v>4301</v>
      </c>
      <c r="U839" s="1" t="s">
        <v>1577</v>
      </c>
      <c r="V839" s="1" t="s">
        <v>4679</v>
      </c>
      <c r="W839" s="3">
        <v>45596.0</v>
      </c>
      <c r="X839" s="3">
        <v>45596.0</v>
      </c>
    </row>
    <row r="840">
      <c r="A840" s="1" t="s">
        <v>14726</v>
      </c>
      <c r="B840" s="1" t="s">
        <v>8661</v>
      </c>
      <c r="C840" s="1" t="s">
        <v>8661</v>
      </c>
      <c r="D840" s="1" t="s">
        <v>4293</v>
      </c>
      <c r="E840" s="1" t="s">
        <v>8663</v>
      </c>
      <c r="F840" s="1" t="s">
        <v>14728</v>
      </c>
      <c r="G840" s="3">
        <v>45281.0</v>
      </c>
      <c r="H840" s="3">
        <v>45596.0</v>
      </c>
      <c r="I840" s="3">
        <v>45596.0</v>
      </c>
      <c r="J840" s="1" t="s">
        <v>215</v>
      </c>
      <c r="K840" s="1" t="s">
        <v>160</v>
      </c>
      <c r="L840" s="1" t="s">
        <v>216</v>
      </c>
      <c r="M840" s="1" t="s">
        <v>131</v>
      </c>
      <c r="Q840" s="1" t="s">
        <v>137</v>
      </c>
      <c r="R840" s="1" t="s">
        <v>137</v>
      </c>
      <c r="S840" s="1" t="s">
        <v>47</v>
      </c>
      <c r="T840" s="1" t="s">
        <v>4301</v>
      </c>
      <c r="U840" s="1" t="s">
        <v>1577</v>
      </c>
      <c r="V840" s="1" t="s">
        <v>4054</v>
      </c>
      <c r="W840" s="3">
        <v>45596.0</v>
      </c>
      <c r="X840" s="3">
        <v>45596.0</v>
      </c>
    </row>
    <row r="841">
      <c r="A841" s="1" t="s">
        <v>14730</v>
      </c>
      <c r="B841" s="1" t="s">
        <v>8661</v>
      </c>
      <c r="C841" s="1" t="s">
        <v>8661</v>
      </c>
      <c r="D841" s="1" t="s">
        <v>4293</v>
      </c>
      <c r="E841" s="1" t="s">
        <v>8663</v>
      </c>
      <c r="F841" s="1" t="s">
        <v>14731</v>
      </c>
      <c r="G841" s="3">
        <v>45281.0</v>
      </c>
      <c r="H841" s="3">
        <v>45596.0</v>
      </c>
      <c r="I841" s="3">
        <v>45596.0</v>
      </c>
      <c r="J841" s="1" t="s">
        <v>215</v>
      </c>
      <c r="K841" s="1" t="s">
        <v>160</v>
      </c>
      <c r="L841" s="1" t="s">
        <v>216</v>
      </c>
      <c r="M841" s="1" t="s">
        <v>131</v>
      </c>
      <c r="Q841" s="1" t="s">
        <v>137</v>
      </c>
      <c r="R841" s="1" t="s">
        <v>137</v>
      </c>
      <c r="S841" s="1" t="s">
        <v>47</v>
      </c>
      <c r="T841" s="1" t="s">
        <v>4301</v>
      </c>
      <c r="U841" s="1" t="s">
        <v>1577</v>
      </c>
      <c r="V841" s="1" t="s">
        <v>4950</v>
      </c>
      <c r="W841" s="3">
        <v>45596.0</v>
      </c>
      <c r="X841" s="3">
        <v>45596.0</v>
      </c>
    </row>
    <row r="842">
      <c r="A842" s="1" t="s">
        <v>14733</v>
      </c>
      <c r="B842" s="1" t="s">
        <v>8661</v>
      </c>
      <c r="C842" s="1" t="s">
        <v>8661</v>
      </c>
      <c r="D842" s="1" t="s">
        <v>4293</v>
      </c>
      <c r="E842" s="1" t="s">
        <v>8663</v>
      </c>
      <c r="F842" s="1" t="s">
        <v>14735</v>
      </c>
      <c r="G842" s="3">
        <v>45281.0</v>
      </c>
      <c r="H842" s="3">
        <v>45596.0</v>
      </c>
      <c r="I842" s="3">
        <v>45596.0</v>
      </c>
      <c r="J842" s="1" t="s">
        <v>215</v>
      </c>
      <c r="K842" s="1" t="s">
        <v>160</v>
      </c>
      <c r="L842" s="1" t="s">
        <v>216</v>
      </c>
      <c r="M842" s="1" t="s">
        <v>131</v>
      </c>
      <c r="Q842" s="1" t="s">
        <v>137</v>
      </c>
      <c r="R842" s="1" t="s">
        <v>137</v>
      </c>
      <c r="S842" s="1" t="s">
        <v>47</v>
      </c>
      <c r="T842" s="1" t="s">
        <v>4301</v>
      </c>
      <c r="U842" s="1" t="s">
        <v>1577</v>
      </c>
      <c r="V842" s="1" t="s">
        <v>5104</v>
      </c>
      <c r="W842" s="3">
        <v>45596.0</v>
      </c>
      <c r="X842" s="3">
        <v>45596.0</v>
      </c>
    </row>
    <row r="843">
      <c r="A843" s="1" t="s">
        <v>14736</v>
      </c>
      <c r="B843" s="1" t="s">
        <v>8661</v>
      </c>
      <c r="C843" s="1" t="s">
        <v>8661</v>
      </c>
      <c r="D843" s="1" t="s">
        <v>4293</v>
      </c>
      <c r="E843" s="1" t="s">
        <v>8663</v>
      </c>
      <c r="F843" s="1" t="s">
        <v>14738</v>
      </c>
      <c r="G843" s="3">
        <v>45281.0</v>
      </c>
      <c r="H843" s="3">
        <v>45596.0</v>
      </c>
      <c r="I843" s="3">
        <v>45596.0</v>
      </c>
      <c r="J843" s="1" t="s">
        <v>215</v>
      </c>
      <c r="K843" s="1" t="s">
        <v>160</v>
      </c>
      <c r="L843" s="1" t="s">
        <v>216</v>
      </c>
      <c r="M843" s="1" t="s">
        <v>131</v>
      </c>
      <c r="Q843" s="1" t="s">
        <v>137</v>
      </c>
      <c r="R843" s="1" t="s">
        <v>137</v>
      </c>
      <c r="S843" s="1" t="s">
        <v>47</v>
      </c>
      <c r="T843" s="1" t="s">
        <v>4301</v>
      </c>
      <c r="U843" s="1" t="s">
        <v>1577</v>
      </c>
      <c r="V843" s="1" t="s">
        <v>5120</v>
      </c>
      <c r="W843" s="3">
        <v>45596.0</v>
      </c>
      <c r="X843" s="3">
        <v>45596.0</v>
      </c>
    </row>
    <row r="844">
      <c r="A844" s="1" t="s">
        <v>14739</v>
      </c>
      <c r="B844" s="1" t="s">
        <v>8671</v>
      </c>
      <c r="C844" s="1" t="s">
        <v>8671</v>
      </c>
      <c r="D844" s="1" t="s">
        <v>4293</v>
      </c>
      <c r="E844" s="1" t="s">
        <v>7757</v>
      </c>
      <c r="F844" s="1" t="s">
        <v>14740</v>
      </c>
      <c r="G844" s="3">
        <v>44949.0</v>
      </c>
      <c r="H844" s="3">
        <v>45069.0</v>
      </c>
      <c r="I844" s="3">
        <v>45069.0</v>
      </c>
      <c r="J844" s="1" t="s">
        <v>215</v>
      </c>
      <c r="K844" s="1" t="s">
        <v>160</v>
      </c>
      <c r="L844" s="1" t="s">
        <v>216</v>
      </c>
      <c r="M844" s="1" t="s">
        <v>131</v>
      </c>
      <c r="Q844" s="1" t="s">
        <v>137</v>
      </c>
      <c r="R844" s="1" t="s">
        <v>137</v>
      </c>
      <c r="S844" s="1" t="s">
        <v>47</v>
      </c>
      <c r="T844" s="1" t="s">
        <v>4301</v>
      </c>
      <c r="U844" s="1" t="s">
        <v>1577</v>
      </c>
      <c r="V844" s="1" t="s">
        <v>3858</v>
      </c>
      <c r="W844" s="3">
        <v>45069.0</v>
      </c>
      <c r="X844" s="3">
        <v>45069.0</v>
      </c>
    </row>
    <row r="845">
      <c r="A845" s="1" t="s">
        <v>14741</v>
      </c>
      <c r="B845" s="1" t="s">
        <v>8671</v>
      </c>
      <c r="C845" s="1" t="s">
        <v>8671</v>
      </c>
      <c r="D845" s="1" t="s">
        <v>4293</v>
      </c>
      <c r="E845" s="1" t="s">
        <v>7757</v>
      </c>
      <c r="F845" s="1" t="s">
        <v>14742</v>
      </c>
      <c r="G845" s="3">
        <v>44949.0</v>
      </c>
      <c r="H845" s="3">
        <v>45069.0</v>
      </c>
      <c r="I845" s="3">
        <v>45069.0</v>
      </c>
      <c r="J845" s="1" t="s">
        <v>215</v>
      </c>
      <c r="K845" s="1" t="s">
        <v>160</v>
      </c>
      <c r="L845" s="1" t="s">
        <v>216</v>
      </c>
      <c r="M845" s="1" t="s">
        <v>131</v>
      </c>
      <c r="Q845" s="1" t="s">
        <v>137</v>
      </c>
      <c r="R845" s="1" t="s">
        <v>137</v>
      </c>
      <c r="S845" s="1" t="s">
        <v>47</v>
      </c>
      <c r="T845" s="1" t="s">
        <v>4301</v>
      </c>
      <c r="U845" s="1" t="s">
        <v>1577</v>
      </c>
      <c r="V845" s="1" t="s">
        <v>3963</v>
      </c>
      <c r="W845" s="3">
        <v>45069.0</v>
      </c>
      <c r="X845" s="3">
        <v>45069.0</v>
      </c>
    </row>
    <row r="846">
      <c r="A846" s="1" t="s">
        <v>14744</v>
      </c>
      <c r="B846" s="1" t="s">
        <v>8671</v>
      </c>
      <c r="C846" s="1" t="s">
        <v>8671</v>
      </c>
      <c r="D846" s="1" t="s">
        <v>4293</v>
      </c>
      <c r="E846" s="1" t="s">
        <v>7757</v>
      </c>
      <c r="F846" s="1" t="s">
        <v>14745</v>
      </c>
      <c r="G846" s="3">
        <v>44949.0</v>
      </c>
      <c r="H846" s="3">
        <v>45069.0</v>
      </c>
      <c r="I846" s="3">
        <v>45069.0</v>
      </c>
      <c r="J846" s="1" t="s">
        <v>215</v>
      </c>
      <c r="K846" s="1" t="s">
        <v>160</v>
      </c>
      <c r="L846" s="1" t="s">
        <v>216</v>
      </c>
      <c r="M846" s="1" t="s">
        <v>131</v>
      </c>
      <c r="Q846" s="1" t="s">
        <v>137</v>
      </c>
      <c r="R846" s="1" t="s">
        <v>137</v>
      </c>
      <c r="S846" s="1" t="s">
        <v>47</v>
      </c>
      <c r="T846" s="1" t="s">
        <v>4301</v>
      </c>
      <c r="U846" s="1" t="s">
        <v>1577</v>
      </c>
      <c r="V846" s="1" t="s">
        <v>4950</v>
      </c>
      <c r="W846" s="3">
        <v>45069.0</v>
      </c>
      <c r="X846" s="3">
        <v>45069.0</v>
      </c>
    </row>
    <row r="847">
      <c r="A847" s="1" t="s">
        <v>14747</v>
      </c>
      <c r="B847" s="1" t="s">
        <v>8679</v>
      </c>
      <c r="C847" s="1" t="s">
        <v>8679</v>
      </c>
      <c r="D847" s="1" t="s">
        <v>4293</v>
      </c>
      <c r="E847" s="1" t="s">
        <v>8681</v>
      </c>
      <c r="F847" s="1" t="s">
        <v>14749</v>
      </c>
      <c r="G847" s="3">
        <v>43847.0</v>
      </c>
      <c r="H847" s="3">
        <v>43899.0</v>
      </c>
      <c r="I847" s="3">
        <v>43899.0</v>
      </c>
      <c r="J847" s="1" t="s">
        <v>215</v>
      </c>
      <c r="K847" s="1" t="s">
        <v>160</v>
      </c>
      <c r="L847" s="1" t="s">
        <v>216</v>
      </c>
      <c r="M847" s="1" t="s">
        <v>131</v>
      </c>
      <c r="Q847" s="1" t="s">
        <v>137</v>
      </c>
      <c r="R847" s="1" t="s">
        <v>137</v>
      </c>
      <c r="S847" s="1" t="s">
        <v>47</v>
      </c>
      <c r="T847" s="1" t="s">
        <v>4301</v>
      </c>
      <c r="U847" s="1" t="s">
        <v>1577</v>
      </c>
      <c r="V847" s="1" t="s">
        <v>3858</v>
      </c>
      <c r="W847" s="3">
        <v>43899.0</v>
      </c>
      <c r="X847" s="3">
        <v>43899.0</v>
      </c>
    </row>
    <row r="848">
      <c r="A848" s="1" t="s">
        <v>14752</v>
      </c>
      <c r="B848" s="1" t="s">
        <v>8679</v>
      </c>
      <c r="C848" s="1" t="s">
        <v>8679</v>
      </c>
      <c r="D848" s="1" t="s">
        <v>4293</v>
      </c>
      <c r="E848" s="1" t="s">
        <v>8681</v>
      </c>
      <c r="F848" s="1" t="s">
        <v>14753</v>
      </c>
      <c r="G848" s="3">
        <v>43847.0</v>
      </c>
      <c r="H848" s="3">
        <v>43899.0</v>
      </c>
      <c r="I848" s="3">
        <v>43899.0</v>
      </c>
      <c r="J848" s="1" t="s">
        <v>215</v>
      </c>
      <c r="K848" s="1" t="s">
        <v>160</v>
      </c>
      <c r="L848" s="1" t="s">
        <v>216</v>
      </c>
      <c r="M848" s="1" t="s">
        <v>131</v>
      </c>
      <c r="Q848" s="1" t="s">
        <v>137</v>
      </c>
      <c r="R848" s="1" t="s">
        <v>137</v>
      </c>
      <c r="S848" s="1" t="s">
        <v>47</v>
      </c>
      <c r="T848" s="1" t="s">
        <v>4301</v>
      </c>
      <c r="U848" s="1" t="s">
        <v>1577</v>
      </c>
      <c r="V848" s="1" t="s">
        <v>4950</v>
      </c>
      <c r="W848" s="3">
        <v>43899.0</v>
      </c>
      <c r="X848" s="3">
        <v>43899.0</v>
      </c>
    </row>
    <row r="849">
      <c r="A849" s="1" t="s">
        <v>14754</v>
      </c>
      <c r="B849" s="1" t="s">
        <v>8689</v>
      </c>
      <c r="C849" s="1" t="s">
        <v>8689</v>
      </c>
      <c r="D849" s="1" t="s">
        <v>4293</v>
      </c>
      <c r="E849" s="1" t="s">
        <v>8690</v>
      </c>
      <c r="F849" s="1" t="s">
        <v>14755</v>
      </c>
      <c r="G849" s="3">
        <v>44848.0</v>
      </c>
      <c r="H849" s="3">
        <v>45062.0</v>
      </c>
      <c r="I849" s="3">
        <v>45062.0</v>
      </c>
      <c r="J849" s="1" t="s">
        <v>215</v>
      </c>
      <c r="K849" s="1" t="s">
        <v>160</v>
      </c>
      <c r="L849" s="1" t="s">
        <v>216</v>
      </c>
      <c r="M849" s="1" t="s">
        <v>131</v>
      </c>
      <c r="Q849" s="1" t="s">
        <v>137</v>
      </c>
      <c r="R849" s="1" t="s">
        <v>137</v>
      </c>
      <c r="S849" s="1" t="s">
        <v>47</v>
      </c>
      <c r="T849" s="1" t="s">
        <v>4301</v>
      </c>
      <c r="U849" s="1" t="s">
        <v>1577</v>
      </c>
      <c r="V849" s="1" t="s">
        <v>3858</v>
      </c>
      <c r="W849" s="3">
        <v>45062.0</v>
      </c>
      <c r="X849" s="3">
        <v>45062.0</v>
      </c>
    </row>
    <row r="850">
      <c r="A850" s="1" t="s">
        <v>14758</v>
      </c>
      <c r="B850" s="1" t="s">
        <v>8689</v>
      </c>
      <c r="C850" s="1" t="s">
        <v>8689</v>
      </c>
      <c r="D850" s="1" t="s">
        <v>4293</v>
      </c>
      <c r="E850" s="1" t="s">
        <v>8690</v>
      </c>
      <c r="F850" s="1" t="s">
        <v>14759</v>
      </c>
      <c r="G850" s="3">
        <v>44848.0</v>
      </c>
      <c r="H850" s="3">
        <v>45062.0</v>
      </c>
      <c r="I850" s="3">
        <v>45062.0</v>
      </c>
      <c r="J850" s="1" t="s">
        <v>215</v>
      </c>
      <c r="K850" s="1" t="s">
        <v>160</v>
      </c>
      <c r="L850" s="1" t="s">
        <v>216</v>
      </c>
      <c r="M850" s="1" t="s">
        <v>131</v>
      </c>
      <c r="Q850" s="1" t="s">
        <v>137</v>
      </c>
      <c r="R850" s="1" t="s">
        <v>137</v>
      </c>
      <c r="S850" s="1" t="s">
        <v>47</v>
      </c>
      <c r="T850" s="1" t="s">
        <v>4301</v>
      </c>
      <c r="U850" s="1" t="s">
        <v>1577</v>
      </c>
      <c r="V850" s="1" t="s">
        <v>4950</v>
      </c>
      <c r="W850" s="3">
        <v>45062.0</v>
      </c>
      <c r="X850" s="3">
        <v>45062.0</v>
      </c>
    </row>
    <row r="851">
      <c r="A851" s="1" t="s">
        <v>14761</v>
      </c>
      <c r="B851" s="1" t="s">
        <v>13950</v>
      </c>
      <c r="C851" s="1" t="s">
        <v>13950</v>
      </c>
      <c r="D851" s="1" t="s">
        <v>4293</v>
      </c>
      <c r="E851" s="1" t="s">
        <v>14763</v>
      </c>
      <c r="F851" s="1" t="s">
        <v>14764</v>
      </c>
      <c r="G851" s="3">
        <v>46052.0</v>
      </c>
      <c r="H851" s="3"/>
      <c r="I851" s="3"/>
      <c r="J851" s="1" t="s">
        <v>124</v>
      </c>
      <c r="K851" s="1" t="s">
        <v>160</v>
      </c>
      <c r="L851" s="1" t="s">
        <v>253</v>
      </c>
      <c r="M851" s="1" t="s">
        <v>131</v>
      </c>
      <c r="Q851" s="1" t="s">
        <v>137</v>
      </c>
      <c r="R851" s="1" t="s">
        <v>137</v>
      </c>
      <c r="S851" s="1" t="s">
        <v>47</v>
      </c>
      <c r="T851" s="1" t="s">
        <v>4301</v>
      </c>
      <c r="U851" s="1" t="s">
        <v>1577</v>
      </c>
      <c r="V851" s="1" t="s">
        <v>3963</v>
      </c>
      <c r="W851" s="3"/>
      <c r="X851" s="3"/>
    </row>
    <row r="852">
      <c r="A852" s="1" t="s">
        <v>14766</v>
      </c>
      <c r="B852" s="1" t="s">
        <v>13950</v>
      </c>
      <c r="C852" s="1" t="s">
        <v>13950</v>
      </c>
      <c r="D852" s="1" t="s">
        <v>4293</v>
      </c>
      <c r="E852" s="1" t="s">
        <v>14763</v>
      </c>
      <c r="F852" s="1" t="s">
        <v>14767</v>
      </c>
      <c r="G852" s="3">
        <v>46052.0</v>
      </c>
      <c r="H852" s="3"/>
      <c r="I852" s="3"/>
      <c r="J852" s="1" t="s">
        <v>124</v>
      </c>
      <c r="K852" s="1" t="s">
        <v>160</v>
      </c>
      <c r="L852" s="1" t="s">
        <v>253</v>
      </c>
      <c r="M852" s="1" t="s">
        <v>131</v>
      </c>
      <c r="Q852" s="1" t="s">
        <v>137</v>
      </c>
      <c r="R852" s="1" t="s">
        <v>137</v>
      </c>
      <c r="S852" s="1" t="s">
        <v>47</v>
      </c>
      <c r="T852" s="1" t="s">
        <v>4301</v>
      </c>
      <c r="U852" s="1" t="s">
        <v>1577</v>
      </c>
      <c r="V852" s="1" t="s">
        <v>4679</v>
      </c>
      <c r="W852" s="3"/>
      <c r="X852" s="3"/>
    </row>
    <row r="853">
      <c r="A853" s="1" t="s">
        <v>14769</v>
      </c>
      <c r="B853" s="1" t="s">
        <v>13950</v>
      </c>
      <c r="C853" s="1" t="s">
        <v>13950</v>
      </c>
      <c r="D853" s="1" t="s">
        <v>4293</v>
      </c>
      <c r="E853" s="1" t="s">
        <v>14763</v>
      </c>
      <c r="F853" s="1" t="s">
        <v>14770</v>
      </c>
      <c r="G853" s="3">
        <v>46052.0</v>
      </c>
      <c r="H853" s="3"/>
      <c r="I853" s="3"/>
      <c r="J853" s="1" t="s">
        <v>124</v>
      </c>
      <c r="K853" s="1" t="s">
        <v>160</v>
      </c>
      <c r="L853" s="1" t="s">
        <v>253</v>
      </c>
      <c r="M853" s="1" t="s">
        <v>131</v>
      </c>
      <c r="Q853" s="1" t="s">
        <v>137</v>
      </c>
      <c r="R853" s="1" t="s">
        <v>137</v>
      </c>
      <c r="S853" s="1" t="s">
        <v>47</v>
      </c>
      <c r="T853" s="1" t="s">
        <v>4301</v>
      </c>
      <c r="U853" s="1" t="s">
        <v>1577</v>
      </c>
      <c r="V853" s="1" t="s">
        <v>4054</v>
      </c>
      <c r="W853" s="3"/>
      <c r="X853" s="3"/>
    </row>
    <row r="854">
      <c r="A854" s="1" t="s">
        <v>14772</v>
      </c>
      <c r="B854" s="1" t="s">
        <v>13950</v>
      </c>
      <c r="C854" s="1" t="s">
        <v>13950</v>
      </c>
      <c r="D854" s="1" t="s">
        <v>4293</v>
      </c>
      <c r="E854" s="1" t="s">
        <v>14763</v>
      </c>
      <c r="F854" s="1" t="s">
        <v>14773</v>
      </c>
      <c r="G854" s="3">
        <v>46052.0</v>
      </c>
      <c r="H854" s="3"/>
      <c r="I854" s="3"/>
      <c r="J854" s="1" t="s">
        <v>124</v>
      </c>
      <c r="K854" s="1" t="s">
        <v>160</v>
      </c>
      <c r="L854" s="1" t="s">
        <v>253</v>
      </c>
      <c r="M854" s="1" t="s">
        <v>131</v>
      </c>
      <c r="Q854" s="1" t="s">
        <v>137</v>
      </c>
      <c r="R854" s="1" t="s">
        <v>137</v>
      </c>
      <c r="S854" s="1" t="s">
        <v>47</v>
      </c>
      <c r="T854" s="1" t="s">
        <v>4301</v>
      </c>
      <c r="U854" s="1" t="s">
        <v>1577</v>
      </c>
      <c r="V854" s="1" t="s">
        <v>4950</v>
      </c>
      <c r="W854" s="3"/>
      <c r="X854" s="13"/>
    </row>
    <row r="855">
      <c r="A855" s="1" t="s">
        <v>14775</v>
      </c>
      <c r="B855" s="1" t="s">
        <v>13950</v>
      </c>
      <c r="C855" s="1" t="s">
        <v>13950</v>
      </c>
      <c r="D855" s="1" t="s">
        <v>4293</v>
      </c>
      <c r="E855" s="1" t="s">
        <v>14763</v>
      </c>
      <c r="F855" s="1" t="s">
        <v>14776</v>
      </c>
      <c r="G855" s="3">
        <v>46052.0</v>
      </c>
      <c r="H855" s="3"/>
      <c r="I855" s="3"/>
      <c r="J855" s="1" t="s">
        <v>124</v>
      </c>
      <c r="K855" s="1" t="s">
        <v>160</v>
      </c>
      <c r="L855" s="1" t="s">
        <v>253</v>
      </c>
      <c r="M855" s="1" t="s">
        <v>131</v>
      </c>
      <c r="Q855" s="1" t="s">
        <v>137</v>
      </c>
      <c r="R855" s="1" t="s">
        <v>137</v>
      </c>
      <c r="S855" s="1" t="s">
        <v>47</v>
      </c>
      <c r="T855" s="1" t="s">
        <v>4301</v>
      </c>
      <c r="U855" s="1" t="s">
        <v>1577</v>
      </c>
      <c r="V855" s="1" t="s">
        <v>5104</v>
      </c>
      <c r="W855" s="3"/>
      <c r="X855" s="3"/>
    </row>
    <row r="856">
      <c r="A856" s="1" t="s">
        <v>14777</v>
      </c>
      <c r="B856" s="1" t="s">
        <v>13950</v>
      </c>
      <c r="C856" s="1" t="s">
        <v>13950</v>
      </c>
      <c r="D856" s="1" t="s">
        <v>4293</v>
      </c>
      <c r="E856" s="1" t="s">
        <v>14763</v>
      </c>
      <c r="F856" s="1" t="s">
        <v>14778</v>
      </c>
      <c r="G856" s="3">
        <v>46052.0</v>
      </c>
      <c r="H856" s="3"/>
      <c r="I856" s="3"/>
      <c r="J856" s="1" t="s">
        <v>124</v>
      </c>
      <c r="K856" s="1" t="s">
        <v>160</v>
      </c>
      <c r="L856" s="1" t="s">
        <v>253</v>
      </c>
      <c r="M856" s="1" t="s">
        <v>131</v>
      </c>
      <c r="Q856" s="1" t="s">
        <v>137</v>
      </c>
      <c r="R856" s="1" t="s">
        <v>137</v>
      </c>
      <c r="S856" s="1" t="s">
        <v>47</v>
      </c>
      <c r="T856" s="1" t="s">
        <v>4301</v>
      </c>
      <c r="U856" s="1" t="s">
        <v>1577</v>
      </c>
      <c r="V856" s="1" t="s">
        <v>5120</v>
      </c>
      <c r="W856" s="3"/>
      <c r="X856" s="3"/>
    </row>
    <row r="857">
      <c r="A857" s="1" t="s">
        <v>14780</v>
      </c>
      <c r="B857" s="1" t="s">
        <v>8696</v>
      </c>
      <c r="C857" s="1" t="s">
        <v>8696</v>
      </c>
      <c r="D857" s="1" t="s">
        <v>4293</v>
      </c>
      <c r="E857" s="1" t="s">
        <v>8698</v>
      </c>
      <c r="F857" s="1" t="s">
        <v>14782</v>
      </c>
      <c r="G857" s="3">
        <v>45405.0</v>
      </c>
      <c r="H857" s="3">
        <v>45777.0</v>
      </c>
      <c r="I857" s="3">
        <v>45777.0</v>
      </c>
      <c r="J857" s="1" t="s">
        <v>215</v>
      </c>
      <c r="K857" s="1" t="s">
        <v>160</v>
      </c>
      <c r="L857" s="1" t="s">
        <v>216</v>
      </c>
      <c r="M857" s="1" t="s">
        <v>131</v>
      </c>
      <c r="Q857" s="1" t="s">
        <v>137</v>
      </c>
      <c r="R857" s="1" t="s">
        <v>137</v>
      </c>
      <c r="S857" s="1" t="s">
        <v>47</v>
      </c>
      <c r="T857" s="1" t="s">
        <v>4301</v>
      </c>
      <c r="U857" s="1" t="s">
        <v>1577</v>
      </c>
      <c r="V857" s="1" t="s">
        <v>4679</v>
      </c>
      <c r="W857" s="3">
        <v>45777.0</v>
      </c>
      <c r="X857" s="3">
        <v>45777.0</v>
      </c>
    </row>
    <row r="858">
      <c r="A858" s="1" t="s">
        <v>14783</v>
      </c>
      <c r="B858" s="1" t="s">
        <v>8696</v>
      </c>
      <c r="C858" s="1" t="s">
        <v>8696</v>
      </c>
      <c r="D858" s="1" t="s">
        <v>4293</v>
      </c>
      <c r="E858" s="1" t="s">
        <v>8698</v>
      </c>
      <c r="F858" s="1" t="s">
        <v>14784</v>
      </c>
      <c r="G858" s="3">
        <v>45405.0</v>
      </c>
      <c r="H858" s="3">
        <v>45777.0</v>
      </c>
      <c r="I858" s="3">
        <v>45777.0</v>
      </c>
      <c r="J858" s="1" t="s">
        <v>215</v>
      </c>
      <c r="K858" s="1" t="s">
        <v>160</v>
      </c>
      <c r="L858" s="1" t="s">
        <v>216</v>
      </c>
      <c r="M858" s="1" t="s">
        <v>131</v>
      </c>
      <c r="Q858" s="1" t="s">
        <v>137</v>
      </c>
      <c r="R858" s="1" t="s">
        <v>137</v>
      </c>
      <c r="S858" s="1" t="s">
        <v>47</v>
      </c>
      <c r="T858" s="1" t="s">
        <v>4301</v>
      </c>
      <c r="U858" s="1" t="s">
        <v>1577</v>
      </c>
      <c r="V858" s="1" t="s">
        <v>4950</v>
      </c>
      <c r="W858" s="3">
        <v>45777.0</v>
      </c>
      <c r="X858" s="3">
        <v>45777.0</v>
      </c>
    </row>
    <row r="859">
      <c r="A859" s="1" t="s">
        <v>14786</v>
      </c>
      <c r="B859" s="1" t="s">
        <v>8696</v>
      </c>
      <c r="C859" s="1" t="s">
        <v>8696</v>
      </c>
      <c r="D859" s="1" t="s">
        <v>4293</v>
      </c>
      <c r="E859" s="1" t="s">
        <v>8698</v>
      </c>
      <c r="F859" s="1" t="s">
        <v>14787</v>
      </c>
      <c r="G859" s="3">
        <v>45405.0</v>
      </c>
      <c r="H859" s="3">
        <v>45777.0</v>
      </c>
      <c r="I859" s="3">
        <v>45777.0</v>
      </c>
      <c r="J859" s="1" t="s">
        <v>215</v>
      </c>
      <c r="K859" s="1" t="s">
        <v>160</v>
      </c>
      <c r="L859" s="1" t="s">
        <v>216</v>
      </c>
      <c r="M859" s="1" t="s">
        <v>131</v>
      </c>
      <c r="Q859" s="1" t="s">
        <v>137</v>
      </c>
      <c r="R859" s="1" t="s">
        <v>137</v>
      </c>
      <c r="S859" s="1" t="s">
        <v>47</v>
      </c>
      <c r="T859" s="1" t="s">
        <v>4301</v>
      </c>
      <c r="U859" s="1" t="s">
        <v>1577</v>
      </c>
      <c r="V859" s="1" t="s">
        <v>5104</v>
      </c>
      <c r="W859" s="3">
        <v>45777.0</v>
      </c>
      <c r="X859" s="3">
        <v>45777.0</v>
      </c>
    </row>
    <row r="860">
      <c r="A860" s="1" t="s">
        <v>14790</v>
      </c>
      <c r="B860" s="1" t="s">
        <v>8696</v>
      </c>
      <c r="C860" s="1" t="s">
        <v>8696</v>
      </c>
      <c r="D860" s="1" t="s">
        <v>4293</v>
      </c>
      <c r="E860" s="1" t="s">
        <v>8698</v>
      </c>
      <c r="F860" s="1" t="s">
        <v>14791</v>
      </c>
      <c r="G860" s="3">
        <v>45405.0</v>
      </c>
      <c r="H860" s="3">
        <v>45777.0</v>
      </c>
      <c r="I860" s="3">
        <v>45777.0</v>
      </c>
      <c r="J860" s="1" t="s">
        <v>215</v>
      </c>
      <c r="K860" s="1" t="s">
        <v>160</v>
      </c>
      <c r="L860" s="1" t="s">
        <v>216</v>
      </c>
      <c r="M860" s="1" t="s">
        <v>131</v>
      </c>
      <c r="Q860" s="1" t="s">
        <v>137</v>
      </c>
      <c r="R860" s="1" t="s">
        <v>137</v>
      </c>
      <c r="S860" s="1" t="s">
        <v>47</v>
      </c>
      <c r="T860" s="1" t="s">
        <v>4301</v>
      </c>
      <c r="U860" s="1" t="s">
        <v>1577</v>
      </c>
      <c r="V860" s="1" t="s">
        <v>5120</v>
      </c>
      <c r="W860" s="3">
        <v>45777.0</v>
      </c>
      <c r="X860" s="3">
        <v>45777.0</v>
      </c>
    </row>
    <row r="861">
      <c r="A861" s="1" t="s">
        <v>14794</v>
      </c>
      <c r="B861" s="1" t="s">
        <v>8705</v>
      </c>
      <c r="C861" s="1" t="s">
        <v>8705</v>
      </c>
      <c r="D861" s="1" t="s">
        <v>4293</v>
      </c>
      <c r="E861" s="1" t="s">
        <v>8706</v>
      </c>
      <c r="F861" s="1" t="s">
        <v>14795</v>
      </c>
      <c r="G861" s="3">
        <v>45260.0</v>
      </c>
      <c r="H861" s="3">
        <v>45429.0</v>
      </c>
      <c r="I861" s="3">
        <v>45429.0</v>
      </c>
      <c r="J861" s="1" t="s">
        <v>215</v>
      </c>
      <c r="K861" s="1" t="s">
        <v>160</v>
      </c>
      <c r="L861" s="1" t="s">
        <v>216</v>
      </c>
      <c r="M861" s="1" t="s">
        <v>131</v>
      </c>
      <c r="Q861" s="1" t="s">
        <v>137</v>
      </c>
      <c r="R861" s="1" t="s">
        <v>137</v>
      </c>
      <c r="S861" s="1" t="s">
        <v>47</v>
      </c>
      <c r="T861" s="1" t="s">
        <v>4301</v>
      </c>
      <c r="U861" s="1" t="s">
        <v>1577</v>
      </c>
      <c r="V861" s="1" t="s">
        <v>3858</v>
      </c>
      <c r="W861" s="3">
        <v>45429.0</v>
      </c>
      <c r="X861" s="3">
        <v>45429.0</v>
      </c>
    </row>
    <row r="862">
      <c r="A862" s="1" t="s">
        <v>14797</v>
      </c>
      <c r="B862" s="1" t="s">
        <v>8705</v>
      </c>
      <c r="C862" s="1" t="s">
        <v>8705</v>
      </c>
      <c r="D862" s="1" t="s">
        <v>4293</v>
      </c>
      <c r="E862" s="1" t="s">
        <v>8706</v>
      </c>
      <c r="F862" s="1" t="s">
        <v>14798</v>
      </c>
      <c r="G862" s="3">
        <v>45260.0</v>
      </c>
      <c r="H862" s="3">
        <v>45429.0</v>
      </c>
      <c r="I862" s="3">
        <v>45429.0</v>
      </c>
      <c r="J862" s="1" t="s">
        <v>215</v>
      </c>
      <c r="K862" s="1" t="s">
        <v>160</v>
      </c>
      <c r="L862" s="1" t="s">
        <v>216</v>
      </c>
      <c r="M862" s="1" t="s">
        <v>131</v>
      </c>
      <c r="Q862" s="1" t="s">
        <v>137</v>
      </c>
      <c r="R862" s="1" t="s">
        <v>137</v>
      </c>
      <c r="S862" s="1" t="s">
        <v>47</v>
      </c>
      <c r="T862" s="1" t="s">
        <v>4301</v>
      </c>
      <c r="U862" s="1" t="s">
        <v>1577</v>
      </c>
      <c r="V862" s="1" t="s">
        <v>4950</v>
      </c>
      <c r="W862" s="3">
        <v>45429.0</v>
      </c>
      <c r="X862" s="3">
        <v>45429.0</v>
      </c>
    </row>
    <row r="863">
      <c r="A863" s="1" t="s">
        <v>14800</v>
      </c>
      <c r="B863" s="1" t="s">
        <v>8713</v>
      </c>
      <c r="C863" s="1" t="s">
        <v>8713</v>
      </c>
      <c r="D863" s="1" t="s">
        <v>4293</v>
      </c>
      <c r="E863" s="1" t="s">
        <v>8715</v>
      </c>
      <c r="F863" s="1" t="s">
        <v>14802</v>
      </c>
      <c r="G863" s="3">
        <v>44349.0</v>
      </c>
      <c r="H863" s="3">
        <v>44455.0</v>
      </c>
      <c r="I863" s="3">
        <v>44455.0</v>
      </c>
      <c r="J863" s="1" t="s">
        <v>215</v>
      </c>
      <c r="K863" s="1" t="s">
        <v>160</v>
      </c>
      <c r="L863" s="1" t="s">
        <v>216</v>
      </c>
      <c r="M863" s="1" t="s">
        <v>131</v>
      </c>
      <c r="Q863" s="1" t="s">
        <v>137</v>
      </c>
      <c r="R863" s="1" t="s">
        <v>137</v>
      </c>
      <c r="S863" s="1" t="s">
        <v>47</v>
      </c>
      <c r="T863" s="1" t="s">
        <v>4301</v>
      </c>
      <c r="U863" s="1" t="s">
        <v>1577</v>
      </c>
      <c r="V863" s="1" t="s">
        <v>3858</v>
      </c>
      <c r="W863" s="3">
        <v>44455.0</v>
      </c>
      <c r="X863" s="3">
        <v>44455.0</v>
      </c>
    </row>
    <row r="864">
      <c r="A864" s="1" t="s">
        <v>14803</v>
      </c>
      <c r="B864" s="1" t="s">
        <v>4431</v>
      </c>
      <c r="C864" s="1" t="s">
        <v>4431</v>
      </c>
      <c r="D864" s="1" t="s">
        <v>4293</v>
      </c>
      <c r="E864" s="1" t="s">
        <v>14804</v>
      </c>
      <c r="F864" s="1" t="s">
        <v>14805</v>
      </c>
      <c r="G864" s="3">
        <v>44872.0</v>
      </c>
      <c r="H864" s="3"/>
      <c r="I864" s="3"/>
      <c r="J864" s="1" t="s">
        <v>124</v>
      </c>
      <c r="K864" s="1" t="s">
        <v>160</v>
      </c>
      <c r="L864" s="1" t="s">
        <v>253</v>
      </c>
      <c r="M864" s="1" t="s">
        <v>131</v>
      </c>
      <c r="Q864" s="1" t="s">
        <v>137</v>
      </c>
      <c r="R864" s="1" t="s">
        <v>137</v>
      </c>
      <c r="S864" s="1" t="s">
        <v>47</v>
      </c>
      <c r="T864" s="1" t="s">
        <v>4301</v>
      </c>
      <c r="U864" s="1" t="s">
        <v>1577</v>
      </c>
      <c r="V864" s="1" t="s">
        <v>3858</v>
      </c>
      <c r="W864" s="3"/>
      <c r="X864" s="3"/>
    </row>
    <row r="865">
      <c r="A865" s="1" t="s">
        <v>14807</v>
      </c>
      <c r="B865" s="1" t="s">
        <v>8721</v>
      </c>
      <c r="C865" s="1" t="s">
        <v>8721</v>
      </c>
      <c r="D865" s="1" t="s">
        <v>4293</v>
      </c>
      <c r="E865" s="1" t="s">
        <v>8723</v>
      </c>
      <c r="F865" s="1" t="s">
        <v>14808</v>
      </c>
      <c r="G865" s="3">
        <v>45188.0</v>
      </c>
      <c r="H865" s="3">
        <v>45558.0</v>
      </c>
      <c r="I865" s="3">
        <v>45558.0</v>
      </c>
      <c r="J865" s="1" t="s">
        <v>215</v>
      </c>
      <c r="K865" s="1" t="s">
        <v>160</v>
      </c>
      <c r="L865" s="1" t="s">
        <v>216</v>
      </c>
      <c r="M865" s="1" t="s">
        <v>131</v>
      </c>
      <c r="Q865" s="1" t="s">
        <v>137</v>
      </c>
      <c r="R865" s="1" t="s">
        <v>137</v>
      </c>
      <c r="S865" s="1" t="s">
        <v>47</v>
      </c>
      <c r="T865" s="1" t="s">
        <v>4301</v>
      </c>
      <c r="U865" s="1" t="s">
        <v>1577</v>
      </c>
      <c r="V865" s="1" t="s">
        <v>4679</v>
      </c>
      <c r="W865" s="3">
        <v>45558.0</v>
      </c>
      <c r="X865" s="3">
        <v>45558.0</v>
      </c>
    </row>
    <row r="866">
      <c r="A866" s="1" t="s">
        <v>14810</v>
      </c>
      <c r="B866" s="1" t="s">
        <v>8721</v>
      </c>
      <c r="C866" s="1" t="s">
        <v>8721</v>
      </c>
      <c r="D866" s="1" t="s">
        <v>4293</v>
      </c>
      <c r="E866" s="1" t="s">
        <v>8723</v>
      </c>
      <c r="F866" s="1" t="s">
        <v>14811</v>
      </c>
      <c r="G866" s="3">
        <v>45188.0</v>
      </c>
      <c r="H866" s="3">
        <v>45558.0</v>
      </c>
      <c r="I866" s="3">
        <v>45558.0</v>
      </c>
      <c r="J866" s="1" t="s">
        <v>215</v>
      </c>
      <c r="K866" s="1" t="s">
        <v>160</v>
      </c>
      <c r="L866" s="1" t="s">
        <v>216</v>
      </c>
      <c r="M866" s="1" t="s">
        <v>131</v>
      </c>
      <c r="Q866" s="1" t="s">
        <v>137</v>
      </c>
      <c r="R866" s="1" t="s">
        <v>137</v>
      </c>
      <c r="S866" s="1" t="s">
        <v>47</v>
      </c>
      <c r="T866" s="1" t="s">
        <v>4301</v>
      </c>
      <c r="U866" s="1" t="s">
        <v>1577</v>
      </c>
      <c r="V866" s="1" t="s">
        <v>4950</v>
      </c>
      <c r="W866" s="3">
        <v>45558.0</v>
      </c>
      <c r="X866" s="3">
        <v>45558.0</v>
      </c>
    </row>
    <row r="867">
      <c r="A867" s="1" t="s">
        <v>14814</v>
      </c>
      <c r="B867" s="1" t="s">
        <v>8721</v>
      </c>
      <c r="C867" s="1" t="s">
        <v>8721</v>
      </c>
      <c r="D867" s="1" t="s">
        <v>4293</v>
      </c>
      <c r="E867" s="1" t="s">
        <v>8723</v>
      </c>
      <c r="F867" s="1" t="s">
        <v>14816</v>
      </c>
      <c r="G867" s="3">
        <v>45188.0</v>
      </c>
      <c r="H867" s="3">
        <v>45558.0</v>
      </c>
      <c r="I867" s="3">
        <v>45558.0</v>
      </c>
      <c r="J867" s="1" t="s">
        <v>215</v>
      </c>
      <c r="K867" s="1" t="s">
        <v>160</v>
      </c>
      <c r="L867" s="1" t="s">
        <v>216</v>
      </c>
      <c r="M867" s="1" t="s">
        <v>131</v>
      </c>
      <c r="Q867" s="1" t="s">
        <v>137</v>
      </c>
      <c r="R867" s="1" t="s">
        <v>137</v>
      </c>
      <c r="S867" s="1" t="s">
        <v>47</v>
      </c>
      <c r="T867" s="1" t="s">
        <v>4301</v>
      </c>
      <c r="U867" s="1" t="s">
        <v>1577</v>
      </c>
      <c r="V867" s="1" t="s">
        <v>5104</v>
      </c>
      <c r="W867" s="3">
        <v>45558.0</v>
      </c>
      <c r="X867" s="3">
        <v>45558.0</v>
      </c>
    </row>
    <row r="868">
      <c r="A868" s="1" t="s">
        <v>14818</v>
      </c>
      <c r="B868" s="1" t="s">
        <v>8721</v>
      </c>
      <c r="C868" s="1" t="s">
        <v>8721</v>
      </c>
      <c r="D868" s="1" t="s">
        <v>4293</v>
      </c>
      <c r="E868" s="1" t="s">
        <v>8723</v>
      </c>
      <c r="F868" s="1" t="s">
        <v>14819</v>
      </c>
      <c r="G868" s="3">
        <v>45188.0</v>
      </c>
      <c r="H868" s="3">
        <v>45558.0</v>
      </c>
      <c r="I868" s="3">
        <v>45558.0</v>
      </c>
      <c r="J868" s="1" t="s">
        <v>215</v>
      </c>
      <c r="K868" s="1" t="s">
        <v>160</v>
      </c>
      <c r="L868" s="1" t="s">
        <v>216</v>
      </c>
      <c r="M868" s="1" t="s">
        <v>131</v>
      </c>
      <c r="Q868" s="1" t="s">
        <v>137</v>
      </c>
      <c r="R868" s="1" t="s">
        <v>137</v>
      </c>
      <c r="S868" s="1" t="s">
        <v>47</v>
      </c>
      <c r="T868" s="1" t="s">
        <v>4301</v>
      </c>
      <c r="U868" s="1" t="s">
        <v>1577</v>
      </c>
      <c r="V868" s="1" t="s">
        <v>5120</v>
      </c>
      <c r="W868" s="3">
        <v>45558.0</v>
      </c>
      <c r="X868" s="3">
        <v>45558.0</v>
      </c>
    </row>
    <row r="869">
      <c r="A869" s="1" t="s">
        <v>14820</v>
      </c>
      <c r="B869" s="1" t="s">
        <v>13954</v>
      </c>
      <c r="C869" s="1" t="s">
        <v>13954</v>
      </c>
      <c r="D869" s="1" t="s">
        <v>4293</v>
      </c>
      <c r="E869" s="1" t="s">
        <v>14821</v>
      </c>
      <c r="F869" s="1" t="s">
        <v>14822</v>
      </c>
      <c r="G869" s="3">
        <v>45814.0</v>
      </c>
      <c r="H869" s="3"/>
      <c r="I869" s="3"/>
      <c r="J869" s="1" t="s">
        <v>124</v>
      </c>
      <c r="K869" s="1" t="s">
        <v>160</v>
      </c>
      <c r="L869" s="1" t="s">
        <v>253</v>
      </c>
      <c r="M869" s="1" t="s">
        <v>131</v>
      </c>
      <c r="Q869" s="1" t="s">
        <v>137</v>
      </c>
      <c r="R869" s="1" t="s">
        <v>137</v>
      </c>
      <c r="S869" s="1" t="s">
        <v>47</v>
      </c>
      <c r="T869" s="1" t="s">
        <v>4301</v>
      </c>
      <c r="U869" s="1" t="s">
        <v>1577</v>
      </c>
      <c r="V869" s="1" t="s">
        <v>3858</v>
      </c>
      <c r="W869" s="3"/>
      <c r="X869" s="3"/>
    </row>
    <row r="870">
      <c r="A870" s="1" t="s">
        <v>14824</v>
      </c>
      <c r="B870" s="1" t="s">
        <v>13954</v>
      </c>
      <c r="C870" s="1" t="s">
        <v>13954</v>
      </c>
      <c r="D870" s="1" t="s">
        <v>4293</v>
      </c>
      <c r="E870" s="1" t="s">
        <v>14821</v>
      </c>
      <c r="F870" s="1" t="s">
        <v>14826</v>
      </c>
      <c r="G870" s="3">
        <v>45814.0</v>
      </c>
      <c r="H870" s="3"/>
      <c r="I870" s="3"/>
      <c r="J870" s="1" t="s">
        <v>124</v>
      </c>
      <c r="K870" s="1" t="s">
        <v>160</v>
      </c>
      <c r="L870" s="1" t="s">
        <v>253</v>
      </c>
      <c r="M870" s="1" t="s">
        <v>131</v>
      </c>
      <c r="Q870" s="1" t="s">
        <v>137</v>
      </c>
      <c r="R870" s="1" t="s">
        <v>137</v>
      </c>
      <c r="S870" s="1" t="s">
        <v>47</v>
      </c>
      <c r="T870" s="1" t="s">
        <v>4301</v>
      </c>
      <c r="U870" s="1" t="s">
        <v>1577</v>
      </c>
      <c r="V870" s="1" t="s">
        <v>4950</v>
      </c>
      <c r="W870" s="3"/>
      <c r="X870" s="3"/>
    </row>
    <row r="871">
      <c r="A871" s="1" t="s">
        <v>14828</v>
      </c>
      <c r="B871" s="1" t="s">
        <v>8729</v>
      </c>
      <c r="C871" s="1" t="s">
        <v>8729</v>
      </c>
      <c r="D871" s="1" t="s">
        <v>4293</v>
      </c>
      <c r="E871" s="1" t="s">
        <v>8730</v>
      </c>
      <c r="F871" s="1" t="s">
        <v>14830</v>
      </c>
      <c r="G871" s="3">
        <v>44692.0</v>
      </c>
      <c r="H871" s="3">
        <v>44929.0</v>
      </c>
      <c r="I871" s="3">
        <v>44929.0</v>
      </c>
      <c r="J871" s="1" t="s">
        <v>215</v>
      </c>
      <c r="K871" s="1" t="s">
        <v>160</v>
      </c>
      <c r="L871" s="1" t="s">
        <v>216</v>
      </c>
      <c r="M871" s="1" t="s">
        <v>131</v>
      </c>
      <c r="Q871" s="1" t="s">
        <v>137</v>
      </c>
      <c r="R871" s="1" t="s">
        <v>137</v>
      </c>
      <c r="S871" s="1" t="s">
        <v>47</v>
      </c>
      <c r="T871" s="1" t="s">
        <v>4301</v>
      </c>
      <c r="U871" s="1" t="s">
        <v>1577</v>
      </c>
      <c r="V871" s="1" t="s">
        <v>4679</v>
      </c>
      <c r="W871" s="3">
        <v>44929.0</v>
      </c>
      <c r="X871" s="3">
        <v>44929.0</v>
      </c>
    </row>
    <row r="872">
      <c r="A872" s="1" t="s">
        <v>14833</v>
      </c>
      <c r="B872" s="1" t="s">
        <v>8729</v>
      </c>
      <c r="C872" s="1" t="s">
        <v>8729</v>
      </c>
      <c r="D872" s="1" t="s">
        <v>4293</v>
      </c>
      <c r="E872" s="1" t="s">
        <v>8730</v>
      </c>
      <c r="F872" s="1" t="s">
        <v>14834</v>
      </c>
      <c r="G872" s="3">
        <v>44692.0</v>
      </c>
      <c r="H872" s="3">
        <v>44929.0</v>
      </c>
      <c r="I872" s="3">
        <v>44929.0</v>
      </c>
      <c r="J872" s="1" t="s">
        <v>215</v>
      </c>
      <c r="K872" s="1" t="s">
        <v>160</v>
      </c>
      <c r="L872" s="1" t="s">
        <v>216</v>
      </c>
      <c r="M872" s="1" t="s">
        <v>131</v>
      </c>
      <c r="Q872" s="1" t="s">
        <v>137</v>
      </c>
      <c r="R872" s="1" t="s">
        <v>137</v>
      </c>
      <c r="S872" s="1" t="s">
        <v>47</v>
      </c>
      <c r="T872" s="1" t="s">
        <v>4301</v>
      </c>
      <c r="U872" s="1" t="s">
        <v>1577</v>
      </c>
      <c r="V872" s="1" t="s">
        <v>4950</v>
      </c>
      <c r="W872" s="3">
        <v>44929.0</v>
      </c>
      <c r="X872" s="3">
        <v>44929.0</v>
      </c>
    </row>
    <row r="873">
      <c r="A873" s="1" t="s">
        <v>14836</v>
      </c>
      <c r="B873" s="1" t="s">
        <v>8729</v>
      </c>
      <c r="C873" s="1" t="s">
        <v>8729</v>
      </c>
      <c r="D873" s="1" t="s">
        <v>4293</v>
      </c>
      <c r="E873" s="1" t="s">
        <v>8730</v>
      </c>
      <c r="F873" s="1" t="s">
        <v>14837</v>
      </c>
      <c r="G873" s="3">
        <v>44692.0</v>
      </c>
      <c r="H873" s="3">
        <v>44929.0</v>
      </c>
      <c r="I873" s="3">
        <v>44929.0</v>
      </c>
      <c r="J873" s="1" t="s">
        <v>215</v>
      </c>
      <c r="K873" s="1" t="s">
        <v>160</v>
      </c>
      <c r="L873" s="1" t="s">
        <v>216</v>
      </c>
      <c r="M873" s="1" t="s">
        <v>131</v>
      </c>
      <c r="Q873" s="1" t="s">
        <v>137</v>
      </c>
      <c r="R873" s="1" t="s">
        <v>137</v>
      </c>
      <c r="S873" s="1" t="s">
        <v>47</v>
      </c>
      <c r="T873" s="1" t="s">
        <v>4301</v>
      </c>
      <c r="U873" s="1" t="s">
        <v>1577</v>
      </c>
      <c r="V873" s="1" t="s">
        <v>5104</v>
      </c>
      <c r="W873" s="3">
        <v>44929.0</v>
      </c>
      <c r="X873" s="3">
        <v>44929.0</v>
      </c>
    </row>
    <row r="874">
      <c r="A874" s="1" t="s">
        <v>14839</v>
      </c>
      <c r="B874" s="1" t="s">
        <v>8729</v>
      </c>
      <c r="C874" s="1" t="s">
        <v>8729</v>
      </c>
      <c r="D874" s="1" t="s">
        <v>4293</v>
      </c>
      <c r="E874" s="1" t="s">
        <v>8730</v>
      </c>
      <c r="F874" s="1" t="s">
        <v>14840</v>
      </c>
      <c r="G874" s="3">
        <v>44692.0</v>
      </c>
      <c r="H874" s="3">
        <v>44929.0</v>
      </c>
      <c r="I874" s="3">
        <v>44929.0</v>
      </c>
      <c r="J874" s="1" t="s">
        <v>215</v>
      </c>
      <c r="K874" s="1" t="s">
        <v>160</v>
      </c>
      <c r="L874" s="1" t="s">
        <v>216</v>
      </c>
      <c r="M874" s="1" t="s">
        <v>131</v>
      </c>
      <c r="Q874" s="1" t="s">
        <v>137</v>
      </c>
      <c r="R874" s="1" t="s">
        <v>137</v>
      </c>
      <c r="S874" s="1" t="s">
        <v>47</v>
      </c>
      <c r="T874" s="1" t="s">
        <v>4301</v>
      </c>
      <c r="U874" s="1" t="s">
        <v>1577</v>
      </c>
      <c r="V874" s="1" t="s">
        <v>5120</v>
      </c>
      <c r="W874" s="3">
        <v>44929.0</v>
      </c>
      <c r="X874" s="3">
        <v>44929.0</v>
      </c>
    </row>
    <row r="875">
      <c r="A875" s="1" t="s">
        <v>14847</v>
      </c>
      <c r="B875" s="1" t="s">
        <v>4905</v>
      </c>
      <c r="C875" s="1" t="s">
        <v>4905</v>
      </c>
      <c r="D875" s="1" t="s">
        <v>4293</v>
      </c>
      <c r="E875" s="1" t="s">
        <v>8739</v>
      </c>
      <c r="F875" s="1" t="s">
        <v>14850</v>
      </c>
      <c r="G875" s="3">
        <v>45688.0</v>
      </c>
      <c r="H875" s="3">
        <v>45862.0</v>
      </c>
      <c r="I875" s="3">
        <v>45862.0</v>
      </c>
      <c r="J875" s="1" t="s">
        <v>215</v>
      </c>
      <c r="K875" s="1" t="s">
        <v>160</v>
      </c>
      <c r="L875" s="1" t="s">
        <v>216</v>
      </c>
      <c r="M875" s="1" t="s">
        <v>131</v>
      </c>
      <c r="Q875" s="1" t="s">
        <v>137</v>
      </c>
      <c r="R875" s="1" t="s">
        <v>137</v>
      </c>
      <c r="S875" s="1" t="s">
        <v>47</v>
      </c>
      <c r="T875" s="1" t="s">
        <v>4301</v>
      </c>
      <c r="U875" s="1" t="s">
        <v>1577</v>
      </c>
      <c r="V875" s="1" t="s">
        <v>3858</v>
      </c>
      <c r="W875" s="3">
        <v>45862.0</v>
      </c>
      <c r="X875" s="3">
        <v>45862.0</v>
      </c>
    </row>
    <row r="876">
      <c r="A876" s="1" t="s">
        <v>14856</v>
      </c>
      <c r="B876" s="1" t="s">
        <v>4905</v>
      </c>
      <c r="C876" s="1" t="s">
        <v>4905</v>
      </c>
      <c r="D876" s="1" t="s">
        <v>4293</v>
      </c>
      <c r="E876" s="1" t="s">
        <v>8739</v>
      </c>
      <c r="F876" s="1" t="s">
        <v>14857</v>
      </c>
      <c r="G876" s="3">
        <v>45688.0</v>
      </c>
      <c r="H876" s="3">
        <v>45862.0</v>
      </c>
      <c r="I876" s="3">
        <v>45862.0</v>
      </c>
      <c r="J876" s="1" t="s">
        <v>215</v>
      </c>
      <c r="K876" s="1" t="s">
        <v>160</v>
      </c>
      <c r="L876" s="1" t="s">
        <v>216</v>
      </c>
      <c r="M876" s="1" t="s">
        <v>131</v>
      </c>
      <c r="Q876" s="1" t="s">
        <v>137</v>
      </c>
      <c r="R876" s="1" t="s">
        <v>137</v>
      </c>
      <c r="S876" s="1" t="s">
        <v>47</v>
      </c>
      <c r="T876" s="1" t="s">
        <v>4301</v>
      </c>
      <c r="U876" s="1" t="s">
        <v>1577</v>
      </c>
      <c r="V876" s="1" t="s">
        <v>3963</v>
      </c>
      <c r="W876" s="3">
        <v>45862.0</v>
      </c>
      <c r="X876" s="3">
        <v>45862.0</v>
      </c>
    </row>
    <row r="877">
      <c r="A877" s="1" t="s">
        <v>14859</v>
      </c>
      <c r="B877" s="1" t="s">
        <v>4905</v>
      </c>
      <c r="C877" s="1" t="s">
        <v>4905</v>
      </c>
      <c r="D877" s="1" t="s">
        <v>4293</v>
      </c>
      <c r="E877" s="1" t="s">
        <v>8739</v>
      </c>
      <c r="F877" s="1" t="s">
        <v>14860</v>
      </c>
      <c r="G877" s="3">
        <v>45688.0</v>
      </c>
      <c r="H877" s="3">
        <v>45862.0</v>
      </c>
      <c r="I877" s="3">
        <v>45862.0</v>
      </c>
      <c r="J877" s="1" t="s">
        <v>215</v>
      </c>
      <c r="K877" s="1" t="s">
        <v>160</v>
      </c>
      <c r="L877" s="1" t="s">
        <v>216</v>
      </c>
      <c r="M877" s="1" t="s">
        <v>131</v>
      </c>
      <c r="Q877" s="1" t="s">
        <v>137</v>
      </c>
      <c r="R877" s="1" t="s">
        <v>137</v>
      </c>
      <c r="S877" s="1" t="s">
        <v>47</v>
      </c>
      <c r="T877" s="1" t="s">
        <v>4301</v>
      </c>
      <c r="U877" s="1" t="s">
        <v>1577</v>
      </c>
      <c r="V877" s="1" t="s">
        <v>4950</v>
      </c>
      <c r="W877" s="3">
        <v>45862.0</v>
      </c>
      <c r="X877" s="3">
        <v>45862.0</v>
      </c>
    </row>
    <row r="878">
      <c r="A878" s="1" t="s">
        <v>14862</v>
      </c>
      <c r="B878" s="1" t="s">
        <v>8746</v>
      </c>
      <c r="C878" s="1" t="s">
        <v>8746</v>
      </c>
      <c r="D878" s="1" t="s">
        <v>4293</v>
      </c>
      <c r="E878" s="1" t="s">
        <v>8748</v>
      </c>
      <c r="F878" s="1" t="s">
        <v>14864</v>
      </c>
      <c r="G878" s="3">
        <v>44301.0</v>
      </c>
      <c r="H878" s="3">
        <v>44390.0</v>
      </c>
      <c r="I878" s="3">
        <v>44390.0</v>
      </c>
      <c r="J878" s="1" t="s">
        <v>215</v>
      </c>
      <c r="K878" s="1" t="s">
        <v>160</v>
      </c>
      <c r="L878" s="1" t="s">
        <v>216</v>
      </c>
      <c r="M878" s="1" t="s">
        <v>131</v>
      </c>
      <c r="Q878" s="1" t="s">
        <v>137</v>
      </c>
      <c r="R878" s="1" t="s">
        <v>137</v>
      </c>
      <c r="S878" s="1" t="s">
        <v>47</v>
      </c>
      <c r="T878" s="1" t="s">
        <v>4301</v>
      </c>
      <c r="U878" s="1" t="s">
        <v>1577</v>
      </c>
      <c r="V878" s="1" t="s">
        <v>3858</v>
      </c>
      <c r="W878" s="3">
        <v>44390.0</v>
      </c>
      <c r="X878" s="3">
        <v>44390.0</v>
      </c>
    </row>
    <row r="879">
      <c r="A879" s="1" t="s">
        <v>14871</v>
      </c>
      <c r="B879" s="1" t="s">
        <v>8757</v>
      </c>
      <c r="C879" s="1" t="s">
        <v>8757</v>
      </c>
      <c r="D879" s="1" t="s">
        <v>4293</v>
      </c>
      <c r="E879" s="1" t="s">
        <v>8759</v>
      </c>
      <c r="F879" s="1" t="s">
        <v>14872</v>
      </c>
      <c r="G879" s="3">
        <v>44344.0</v>
      </c>
      <c r="H879" s="3">
        <v>44421.0</v>
      </c>
      <c r="I879" s="3">
        <v>44421.0</v>
      </c>
      <c r="J879" s="1" t="s">
        <v>215</v>
      </c>
      <c r="K879" s="1" t="s">
        <v>160</v>
      </c>
      <c r="L879" s="1" t="s">
        <v>216</v>
      </c>
      <c r="M879" s="1" t="s">
        <v>131</v>
      </c>
      <c r="Q879" s="1" t="s">
        <v>137</v>
      </c>
      <c r="R879" s="1" t="s">
        <v>137</v>
      </c>
      <c r="S879" s="1" t="s">
        <v>47</v>
      </c>
      <c r="T879" s="1" t="s">
        <v>4301</v>
      </c>
      <c r="U879" s="1" t="s">
        <v>1577</v>
      </c>
      <c r="V879" s="1" t="s">
        <v>3858</v>
      </c>
      <c r="W879" s="3">
        <v>44421.0</v>
      </c>
      <c r="X879" s="3">
        <v>44421.0</v>
      </c>
    </row>
    <row r="880">
      <c r="A880" s="1" t="s">
        <v>14878</v>
      </c>
      <c r="B880" s="1" t="s">
        <v>8757</v>
      </c>
      <c r="C880" s="1" t="s">
        <v>8757</v>
      </c>
      <c r="D880" s="1" t="s">
        <v>4293</v>
      </c>
      <c r="E880" s="1" t="s">
        <v>8759</v>
      </c>
      <c r="F880" s="1" t="s">
        <v>14879</v>
      </c>
      <c r="G880" s="3">
        <v>44344.0</v>
      </c>
      <c r="H880" s="3">
        <v>44421.0</v>
      </c>
      <c r="I880" s="3">
        <v>44421.0</v>
      </c>
      <c r="J880" s="1" t="s">
        <v>215</v>
      </c>
      <c r="K880" s="1" t="s">
        <v>160</v>
      </c>
      <c r="L880" s="1" t="s">
        <v>216</v>
      </c>
      <c r="M880" s="1" t="s">
        <v>131</v>
      </c>
      <c r="Q880" s="1" t="s">
        <v>137</v>
      </c>
      <c r="R880" s="1" t="s">
        <v>137</v>
      </c>
      <c r="S880" s="1" t="s">
        <v>47</v>
      </c>
      <c r="T880" s="1" t="s">
        <v>4301</v>
      </c>
      <c r="U880" s="1" t="s">
        <v>1577</v>
      </c>
      <c r="V880" s="1" t="s">
        <v>3963</v>
      </c>
      <c r="W880" s="3">
        <v>44421.0</v>
      </c>
      <c r="X880" s="3">
        <v>44421.0</v>
      </c>
    </row>
    <row r="881">
      <c r="A881" s="1" t="s">
        <v>14880</v>
      </c>
      <c r="B881" s="1" t="s">
        <v>8757</v>
      </c>
      <c r="C881" s="1" t="s">
        <v>8757</v>
      </c>
      <c r="D881" s="1" t="s">
        <v>4293</v>
      </c>
      <c r="E881" s="1" t="s">
        <v>8759</v>
      </c>
      <c r="F881" s="1" t="s">
        <v>14881</v>
      </c>
      <c r="G881" s="3">
        <v>44344.0</v>
      </c>
      <c r="H881" s="3">
        <v>44421.0</v>
      </c>
      <c r="I881" s="3">
        <v>44421.0</v>
      </c>
      <c r="J881" s="1" t="s">
        <v>215</v>
      </c>
      <c r="K881" s="1" t="s">
        <v>160</v>
      </c>
      <c r="L881" s="1" t="s">
        <v>216</v>
      </c>
      <c r="M881" s="1" t="s">
        <v>131</v>
      </c>
      <c r="Q881" s="1" t="s">
        <v>137</v>
      </c>
      <c r="R881" s="1" t="s">
        <v>137</v>
      </c>
      <c r="S881" s="1" t="s">
        <v>47</v>
      </c>
      <c r="T881" s="1" t="s">
        <v>4301</v>
      </c>
      <c r="U881" s="1" t="s">
        <v>1577</v>
      </c>
      <c r="V881" s="1" t="s">
        <v>3865</v>
      </c>
      <c r="W881" s="3">
        <v>44421.0</v>
      </c>
      <c r="X881" s="3">
        <v>44421.0</v>
      </c>
    </row>
    <row r="882">
      <c r="A882" s="1" t="s">
        <v>14884</v>
      </c>
      <c r="B882" s="1" t="s">
        <v>8764</v>
      </c>
      <c r="C882" s="1" t="s">
        <v>8764</v>
      </c>
      <c r="D882" s="1" t="s">
        <v>4293</v>
      </c>
      <c r="E882" s="1" t="s">
        <v>8766</v>
      </c>
      <c r="F882" s="1" t="s">
        <v>14885</v>
      </c>
      <c r="G882" s="3">
        <v>45730.0</v>
      </c>
      <c r="H882" s="3">
        <v>45882.0</v>
      </c>
      <c r="I882" s="3">
        <v>45882.0</v>
      </c>
      <c r="J882" s="1" t="s">
        <v>215</v>
      </c>
      <c r="K882" s="1" t="s">
        <v>160</v>
      </c>
      <c r="L882" s="1" t="s">
        <v>216</v>
      </c>
      <c r="M882" s="1" t="s">
        <v>131</v>
      </c>
      <c r="Q882" s="1" t="s">
        <v>137</v>
      </c>
      <c r="R882" s="1" t="s">
        <v>137</v>
      </c>
      <c r="S882" s="1" t="s">
        <v>47</v>
      </c>
      <c r="T882" s="1" t="s">
        <v>4301</v>
      </c>
      <c r="U882" s="1" t="s">
        <v>1577</v>
      </c>
      <c r="V882" s="1" t="s">
        <v>3858</v>
      </c>
      <c r="W882" s="3">
        <v>45882.0</v>
      </c>
      <c r="X882" s="3">
        <v>45882.0</v>
      </c>
    </row>
    <row r="883">
      <c r="A883" s="1" t="s">
        <v>14886</v>
      </c>
      <c r="B883" s="1" t="s">
        <v>8764</v>
      </c>
      <c r="C883" s="1" t="s">
        <v>8764</v>
      </c>
      <c r="D883" s="1" t="s">
        <v>4293</v>
      </c>
      <c r="E883" s="1" t="s">
        <v>8766</v>
      </c>
      <c r="F883" s="1" t="s">
        <v>14888</v>
      </c>
      <c r="G883" s="3">
        <v>45730.0</v>
      </c>
      <c r="H883" s="3">
        <v>45882.0</v>
      </c>
      <c r="I883" s="3">
        <v>45882.0</v>
      </c>
      <c r="J883" s="1" t="s">
        <v>215</v>
      </c>
      <c r="K883" s="1" t="s">
        <v>160</v>
      </c>
      <c r="L883" s="1" t="s">
        <v>216</v>
      </c>
      <c r="M883" s="1" t="s">
        <v>131</v>
      </c>
      <c r="Q883" s="1" t="s">
        <v>137</v>
      </c>
      <c r="R883" s="1" t="s">
        <v>137</v>
      </c>
      <c r="S883" s="1" t="s">
        <v>47</v>
      </c>
      <c r="T883" s="1" t="s">
        <v>4301</v>
      </c>
      <c r="U883" s="1" t="s">
        <v>1577</v>
      </c>
      <c r="V883" s="1" t="s">
        <v>3963</v>
      </c>
      <c r="W883" s="3">
        <v>45882.0</v>
      </c>
      <c r="X883" s="3">
        <v>45882.0</v>
      </c>
    </row>
    <row r="884">
      <c r="A884" s="1" t="s">
        <v>14889</v>
      </c>
      <c r="B884" s="1" t="s">
        <v>8764</v>
      </c>
      <c r="C884" s="1" t="s">
        <v>8764</v>
      </c>
      <c r="D884" s="1" t="s">
        <v>4293</v>
      </c>
      <c r="E884" s="1" t="s">
        <v>8766</v>
      </c>
      <c r="F884" s="1" t="s">
        <v>14890</v>
      </c>
      <c r="G884" s="3">
        <v>45730.0</v>
      </c>
      <c r="H884" s="3">
        <v>45882.0</v>
      </c>
      <c r="I884" s="3">
        <v>45882.0</v>
      </c>
      <c r="J884" s="1" t="s">
        <v>215</v>
      </c>
      <c r="K884" s="1" t="s">
        <v>160</v>
      </c>
      <c r="L884" s="1" t="s">
        <v>216</v>
      </c>
      <c r="M884" s="1" t="s">
        <v>131</v>
      </c>
      <c r="Q884" s="1" t="s">
        <v>137</v>
      </c>
      <c r="R884" s="1" t="s">
        <v>137</v>
      </c>
      <c r="S884" s="1" t="s">
        <v>47</v>
      </c>
      <c r="T884" s="1" t="s">
        <v>4301</v>
      </c>
      <c r="U884" s="1" t="s">
        <v>1577</v>
      </c>
      <c r="V884" s="1" t="s">
        <v>3865</v>
      </c>
      <c r="W884" s="3">
        <v>45882.0</v>
      </c>
      <c r="X884" s="3">
        <v>45882.0</v>
      </c>
    </row>
    <row r="885">
      <c r="A885" s="1" t="s">
        <v>14892</v>
      </c>
      <c r="B885" s="1" t="s">
        <v>8764</v>
      </c>
      <c r="C885" s="1" t="s">
        <v>8764</v>
      </c>
      <c r="D885" s="1" t="s">
        <v>4293</v>
      </c>
      <c r="E885" s="1" t="s">
        <v>8766</v>
      </c>
      <c r="F885" s="1" t="s">
        <v>14893</v>
      </c>
      <c r="G885" s="3">
        <v>45730.0</v>
      </c>
      <c r="H885" s="3">
        <v>45882.0</v>
      </c>
      <c r="I885" s="3">
        <v>45882.0</v>
      </c>
      <c r="J885" s="1" t="s">
        <v>215</v>
      </c>
      <c r="K885" s="1" t="s">
        <v>160</v>
      </c>
      <c r="L885" s="1" t="s">
        <v>216</v>
      </c>
      <c r="M885" s="1" t="s">
        <v>131</v>
      </c>
      <c r="Q885" s="1" t="s">
        <v>137</v>
      </c>
      <c r="R885" s="1" t="s">
        <v>137</v>
      </c>
      <c r="S885" s="1" t="s">
        <v>47</v>
      </c>
      <c r="T885" s="1" t="s">
        <v>4301</v>
      </c>
      <c r="U885" s="1" t="s">
        <v>1577</v>
      </c>
      <c r="V885" s="1" t="s">
        <v>4950</v>
      </c>
      <c r="W885" s="3">
        <v>45882.0</v>
      </c>
      <c r="X885" s="3">
        <v>45882.0</v>
      </c>
    </row>
    <row r="886">
      <c r="A886" s="1" t="s">
        <v>14896</v>
      </c>
      <c r="B886" s="1" t="s">
        <v>7269</v>
      </c>
      <c r="C886" s="1" t="s">
        <v>7269</v>
      </c>
      <c r="D886" s="1" t="s">
        <v>4293</v>
      </c>
      <c r="E886" s="1" t="s">
        <v>14898</v>
      </c>
      <c r="F886" s="1" t="s">
        <v>14899</v>
      </c>
      <c r="G886" s="3">
        <v>45792.0</v>
      </c>
      <c r="H886" s="3"/>
      <c r="I886" s="3"/>
      <c r="J886" s="1" t="s">
        <v>124</v>
      </c>
      <c r="K886" s="1" t="s">
        <v>160</v>
      </c>
      <c r="L886" s="1" t="s">
        <v>253</v>
      </c>
      <c r="M886" s="1" t="s">
        <v>131</v>
      </c>
      <c r="Q886" s="1" t="s">
        <v>137</v>
      </c>
      <c r="R886" s="1" t="s">
        <v>137</v>
      </c>
      <c r="S886" s="1" t="s">
        <v>47</v>
      </c>
      <c r="T886" s="1" t="s">
        <v>4301</v>
      </c>
      <c r="U886" s="1" t="s">
        <v>1577</v>
      </c>
      <c r="V886" s="1" t="s">
        <v>3858</v>
      </c>
      <c r="W886" s="3"/>
      <c r="X886" s="3"/>
    </row>
    <row r="887">
      <c r="A887" s="1" t="s">
        <v>14900</v>
      </c>
      <c r="B887" s="1" t="s">
        <v>4774</v>
      </c>
      <c r="C887" s="1" t="s">
        <v>4774</v>
      </c>
      <c r="D887" s="1" t="s">
        <v>4293</v>
      </c>
      <c r="E887" s="1" t="s">
        <v>8773</v>
      </c>
      <c r="F887" s="1" t="s">
        <v>14901</v>
      </c>
      <c r="G887" s="3">
        <v>44378.0</v>
      </c>
      <c r="H887" s="3">
        <v>44446.0</v>
      </c>
      <c r="I887" s="3">
        <v>44446.0</v>
      </c>
      <c r="J887" s="1" t="s">
        <v>215</v>
      </c>
      <c r="K887" s="1" t="s">
        <v>160</v>
      </c>
      <c r="L887" s="1" t="s">
        <v>216</v>
      </c>
      <c r="M887" s="1" t="s">
        <v>131</v>
      </c>
      <c r="Q887" s="1" t="s">
        <v>137</v>
      </c>
      <c r="R887" s="1" t="s">
        <v>137</v>
      </c>
      <c r="S887" s="1" t="s">
        <v>47</v>
      </c>
      <c r="T887" s="1" t="s">
        <v>4301</v>
      </c>
      <c r="U887" s="1" t="s">
        <v>1577</v>
      </c>
      <c r="V887" s="1" t="s">
        <v>3858</v>
      </c>
      <c r="W887" s="3">
        <v>44446.0</v>
      </c>
      <c r="X887" s="3">
        <v>44446.0</v>
      </c>
    </row>
    <row r="888">
      <c r="A888" s="1" t="s">
        <v>14905</v>
      </c>
      <c r="B888" s="1" t="s">
        <v>6234</v>
      </c>
      <c r="C888" s="1" t="s">
        <v>6234</v>
      </c>
      <c r="D888" s="1" t="s">
        <v>4293</v>
      </c>
      <c r="E888" s="1" t="s">
        <v>8780</v>
      </c>
      <c r="F888" s="1" t="s">
        <v>14906</v>
      </c>
      <c r="G888" s="3">
        <v>45239.0</v>
      </c>
      <c r="H888" s="3">
        <v>45518.0</v>
      </c>
      <c r="I888" s="3">
        <v>45518.0</v>
      </c>
      <c r="J888" s="1" t="s">
        <v>215</v>
      </c>
      <c r="K888" s="1" t="s">
        <v>160</v>
      </c>
      <c r="L888" s="1" t="s">
        <v>216</v>
      </c>
      <c r="M888" s="1" t="s">
        <v>131</v>
      </c>
      <c r="Q888" s="1" t="s">
        <v>137</v>
      </c>
      <c r="R888" s="1" t="s">
        <v>137</v>
      </c>
      <c r="S888" s="1" t="s">
        <v>47</v>
      </c>
      <c r="T888" s="1" t="s">
        <v>4301</v>
      </c>
      <c r="U888" s="1" t="s">
        <v>1577</v>
      </c>
      <c r="V888" s="1" t="s">
        <v>3858</v>
      </c>
      <c r="W888" s="3">
        <v>45518.0</v>
      </c>
      <c r="X888" s="3">
        <v>45518.0</v>
      </c>
    </row>
    <row r="889">
      <c r="A889" s="1" t="s">
        <v>14908</v>
      </c>
      <c r="B889" s="1" t="s">
        <v>6234</v>
      </c>
      <c r="C889" s="1" t="s">
        <v>6234</v>
      </c>
      <c r="D889" s="1" t="s">
        <v>4293</v>
      </c>
      <c r="E889" s="1" t="s">
        <v>8780</v>
      </c>
      <c r="F889" s="1" t="s">
        <v>14910</v>
      </c>
      <c r="G889" s="3">
        <v>45239.0</v>
      </c>
      <c r="H889" s="3">
        <v>45518.0</v>
      </c>
      <c r="I889" s="3">
        <v>45518.0</v>
      </c>
      <c r="J889" s="1" t="s">
        <v>215</v>
      </c>
      <c r="K889" s="1" t="s">
        <v>160</v>
      </c>
      <c r="L889" s="1" t="s">
        <v>216</v>
      </c>
      <c r="M889" s="1" t="s">
        <v>131</v>
      </c>
      <c r="Q889" s="1" t="s">
        <v>137</v>
      </c>
      <c r="R889" s="1" t="s">
        <v>137</v>
      </c>
      <c r="S889" s="1" t="s">
        <v>47</v>
      </c>
      <c r="T889" s="1" t="s">
        <v>4301</v>
      </c>
      <c r="U889" s="1" t="s">
        <v>1577</v>
      </c>
      <c r="V889" s="1" t="s">
        <v>4950</v>
      </c>
      <c r="W889" s="3">
        <v>45518.0</v>
      </c>
      <c r="X889" s="3">
        <v>45518.0</v>
      </c>
    </row>
    <row r="890">
      <c r="A890" s="1" t="s">
        <v>14912</v>
      </c>
      <c r="B890" s="1" t="s">
        <v>8784</v>
      </c>
      <c r="C890" s="1" t="s">
        <v>8784</v>
      </c>
      <c r="D890" s="1" t="s">
        <v>4293</v>
      </c>
      <c r="E890" s="1" t="s">
        <v>8787</v>
      </c>
      <c r="F890" s="1" t="s">
        <v>14913</v>
      </c>
      <c r="G890" s="3">
        <v>44560.0</v>
      </c>
      <c r="H890" s="3">
        <v>44515.0</v>
      </c>
      <c r="I890" s="3">
        <v>44515.0</v>
      </c>
      <c r="J890" s="1" t="s">
        <v>215</v>
      </c>
      <c r="K890" s="1" t="s">
        <v>160</v>
      </c>
      <c r="L890" s="1" t="s">
        <v>216</v>
      </c>
      <c r="M890" s="1" t="s">
        <v>131</v>
      </c>
      <c r="Q890" s="1" t="s">
        <v>137</v>
      </c>
      <c r="R890" s="1" t="s">
        <v>137</v>
      </c>
      <c r="S890" s="1" t="s">
        <v>47</v>
      </c>
      <c r="T890" s="1" t="s">
        <v>4301</v>
      </c>
      <c r="U890" s="1" t="s">
        <v>1577</v>
      </c>
      <c r="V890" s="1" t="s">
        <v>3858</v>
      </c>
      <c r="W890" s="3">
        <v>44515.0</v>
      </c>
      <c r="X890" s="3">
        <v>44515.0</v>
      </c>
    </row>
    <row r="891">
      <c r="A891" s="1" t="s">
        <v>14917</v>
      </c>
      <c r="B891" s="1" t="s">
        <v>8794</v>
      </c>
      <c r="C891" s="1" t="s">
        <v>8794</v>
      </c>
      <c r="D891" s="1" t="s">
        <v>4293</v>
      </c>
      <c r="E891" s="1" t="s">
        <v>8797</v>
      </c>
      <c r="F891" s="1" t="s">
        <v>14918</v>
      </c>
      <c r="G891" s="3">
        <v>44000.0</v>
      </c>
      <c r="H891" s="3">
        <v>44169.0</v>
      </c>
      <c r="I891" s="3">
        <v>44169.0</v>
      </c>
      <c r="J891" s="1" t="s">
        <v>215</v>
      </c>
      <c r="K891" s="1" t="s">
        <v>160</v>
      </c>
      <c r="L891" s="1" t="s">
        <v>216</v>
      </c>
      <c r="M891" s="1" t="s">
        <v>131</v>
      </c>
      <c r="Q891" s="1" t="s">
        <v>137</v>
      </c>
      <c r="R891" s="1" t="s">
        <v>137</v>
      </c>
      <c r="S891" s="1" t="s">
        <v>47</v>
      </c>
      <c r="T891" s="1" t="s">
        <v>4301</v>
      </c>
      <c r="U891" s="1" t="s">
        <v>1577</v>
      </c>
      <c r="V891" s="1" t="s">
        <v>3858</v>
      </c>
      <c r="W891" s="3">
        <v>44169.0</v>
      </c>
      <c r="X891" s="3">
        <v>44169.0</v>
      </c>
    </row>
    <row r="892">
      <c r="A892" s="1" t="s">
        <v>14920</v>
      </c>
      <c r="B892" s="1" t="s">
        <v>8794</v>
      </c>
      <c r="C892" s="1" t="s">
        <v>8794</v>
      </c>
      <c r="D892" s="1" t="s">
        <v>4293</v>
      </c>
      <c r="E892" s="1" t="s">
        <v>8797</v>
      </c>
      <c r="F892" s="1" t="s">
        <v>14922</v>
      </c>
      <c r="G892" s="3">
        <v>44000.0</v>
      </c>
      <c r="H892" s="3">
        <v>44169.0</v>
      </c>
      <c r="I892" s="3">
        <v>44169.0</v>
      </c>
      <c r="J892" s="1" t="s">
        <v>215</v>
      </c>
      <c r="K892" s="1" t="s">
        <v>160</v>
      </c>
      <c r="L892" s="1" t="s">
        <v>216</v>
      </c>
      <c r="M892" s="1" t="s">
        <v>131</v>
      </c>
      <c r="Q892" s="1" t="s">
        <v>137</v>
      </c>
      <c r="R892" s="1" t="s">
        <v>137</v>
      </c>
      <c r="S892" s="1" t="s">
        <v>47</v>
      </c>
      <c r="T892" s="1" t="s">
        <v>4301</v>
      </c>
      <c r="U892" s="1" t="s">
        <v>1577</v>
      </c>
      <c r="V892" s="1" t="s">
        <v>3963</v>
      </c>
      <c r="W892" s="3">
        <v>44169.0</v>
      </c>
      <c r="X892" s="3">
        <v>44169.0</v>
      </c>
    </row>
    <row r="893">
      <c r="A893" s="1" t="s">
        <v>14924</v>
      </c>
      <c r="B893" s="1" t="s">
        <v>8794</v>
      </c>
      <c r="C893" s="1" t="s">
        <v>8794</v>
      </c>
      <c r="D893" s="1" t="s">
        <v>4293</v>
      </c>
      <c r="E893" s="1" t="s">
        <v>8797</v>
      </c>
      <c r="F893" s="1" t="s">
        <v>14925</v>
      </c>
      <c r="G893" s="3">
        <v>44000.0</v>
      </c>
      <c r="H893" s="3">
        <v>44169.0</v>
      </c>
      <c r="I893" s="3">
        <v>44169.0</v>
      </c>
      <c r="J893" s="1" t="s">
        <v>215</v>
      </c>
      <c r="K893" s="1" t="s">
        <v>160</v>
      </c>
      <c r="L893" s="1" t="s">
        <v>216</v>
      </c>
      <c r="M893" s="1" t="s">
        <v>131</v>
      </c>
      <c r="Q893" s="1" t="s">
        <v>137</v>
      </c>
      <c r="R893" s="1" t="s">
        <v>137</v>
      </c>
      <c r="S893" s="1" t="s">
        <v>47</v>
      </c>
      <c r="T893" s="1" t="s">
        <v>4301</v>
      </c>
      <c r="U893" s="1" t="s">
        <v>1577</v>
      </c>
      <c r="V893" s="1" t="s">
        <v>4054</v>
      </c>
      <c r="W893" s="3">
        <v>44169.0</v>
      </c>
      <c r="X893" s="3">
        <v>44169.0</v>
      </c>
    </row>
    <row r="894">
      <c r="A894" s="1" t="s">
        <v>14928</v>
      </c>
      <c r="B894" s="1" t="s">
        <v>8794</v>
      </c>
      <c r="C894" s="1" t="s">
        <v>8794</v>
      </c>
      <c r="D894" s="1" t="s">
        <v>4293</v>
      </c>
      <c r="E894" s="1" t="s">
        <v>8797</v>
      </c>
      <c r="F894" s="1" t="s">
        <v>14930</v>
      </c>
      <c r="G894" s="3">
        <v>44000.0</v>
      </c>
      <c r="H894" s="3">
        <v>44169.0</v>
      </c>
      <c r="I894" s="3">
        <v>44169.0</v>
      </c>
      <c r="J894" s="1" t="s">
        <v>215</v>
      </c>
      <c r="K894" s="1" t="s">
        <v>160</v>
      </c>
      <c r="L894" s="1" t="s">
        <v>216</v>
      </c>
      <c r="M894" s="1" t="s">
        <v>131</v>
      </c>
      <c r="Q894" s="1" t="s">
        <v>137</v>
      </c>
      <c r="R894" s="1" t="s">
        <v>137</v>
      </c>
      <c r="S894" s="1" t="s">
        <v>47</v>
      </c>
      <c r="T894" s="1" t="s">
        <v>4301</v>
      </c>
      <c r="U894" s="1" t="s">
        <v>1577</v>
      </c>
      <c r="V894" s="1" t="s">
        <v>3865</v>
      </c>
      <c r="W894" s="3">
        <v>44169.0</v>
      </c>
      <c r="X894" s="3">
        <v>44169.0</v>
      </c>
    </row>
    <row r="895">
      <c r="A895" s="1" t="s">
        <v>14932</v>
      </c>
      <c r="B895" s="1" t="s">
        <v>8794</v>
      </c>
      <c r="C895" s="1" t="s">
        <v>8794</v>
      </c>
      <c r="D895" s="1" t="s">
        <v>4293</v>
      </c>
      <c r="E895" s="1" t="s">
        <v>8797</v>
      </c>
      <c r="F895" s="1" t="s">
        <v>14933</v>
      </c>
      <c r="G895" s="3">
        <v>44000.0</v>
      </c>
      <c r="H895" s="3">
        <v>44169.0</v>
      </c>
      <c r="I895" s="3">
        <v>44169.0</v>
      </c>
      <c r="J895" s="1" t="s">
        <v>215</v>
      </c>
      <c r="K895" s="1" t="s">
        <v>160</v>
      </c>
      <c r="L895" s="1" t="s">
        <v>216</v>
      </c>
      <c r="M895" s="1" t="s">
        <v>131</v>
      </c>
      <c r="Q895" s="1" t="s">
        <v>137</v>
      </c>
      <c r="R895" s="1" t="s">
        <v>137</v>
      </c>
      <c r="S895" s="1" t="s">
        <v>47</v>
      </c>
      <c r="T895" s="1" t="s">
        <v>4301</v>
      </c>
      <c r="U895" s="1" t="s">
        <v>1577</v>
      </c>
      <c r="V895" s="1" t="s">
        <v>4950</v>
      </c>
      <c r="W895" s="3">
        <v>44169.0</v>
      </c>
      <c r="X895" s="3">
        <v>44169.0</v>
      </c>
    </row>
    <row r="896">
      <c r="A896" s="1" t="s">
        <v>14935</v>
      </c>
      <c r="B896" s="1" t="s">
        <v>8805</v>
      </c>
      <c r="C896" s="1" t="s">
        <v>8805</v>
      </c>
      <c r="D896" s="1" t="s">
        <v>4293</v>
      </c>
      <c r="E896" s="1" t="s">
        <v>8389</v>
      </c>
      <c r="F896" s="1" t="s">
        <v>14936</v>
      </c>
      <c r="G896" s="3">
        <v>45637.0</v>
      </c>
      <c r="H896" s="3">
        <v>45819.0</v>
      </c>
      <c r="I896" s="3">
        <v>45819.0</v>
      </c>
      <c r="J896" s="1" t="s">
        <v>215</v>
      </c>
      <c r="K896" s="1" t="s">
        <v>160</v>
      </c>
      <c r="L896" s="1" t="s">
        <v>216</v>
      </c>
      <c r="M896" s="1" t="s">
        <v>131</v>
      </c>
      <c r="Q896" s="1" t="s">
        <v>137</v>
      </c>
      <c r="R896" s="1" t="s">
        <v>137</v>
      </c>
      <c r="S896" s="1" t="s">
        <v>47</v>
      </c>
      <c r="T896" s="1" t="s">
        <v>4301</v>
      </c>
      <c r="U896" s="1" t="s">
        <v>1577</v>
      </c>
      <c r="V896" s="1" t="s">
        <v>3858</v>
      </c>
      <c r="W896" s="3">
        <v>45819.0</v>
      </c>
      <c r="X896" s="3">
        <v>45819.0</v>
      </c>
    </row>
    <row r="897">
      <c r="A897" s="1" t="s">
        <v>14939</v>
      </c>
      <c r="B897" s="1" t="s">
        <v>8805</v>
      </c>
      <c r="C897" s="1" t="s">
        <v>8805</v>
      </c>
      <c r="D897" s="1" t="s">
        <v>4293</v>
      </c>
      <c r="E897" s="1" t="s">
        <v>8389</v>
      </c>
      <c r="F897" s="1" t="s">
        <v>14940</v>
      </c>
      <c r="G897" s="3">
        <v>45637.0</v>
      </c>
      <c r="H897" s="3">
        <v>45819.0</v>
      </c>
      <c r="I897" s="3">
        <v>45819.0</v>
      </c>
      <c r="J897" s="1" t="s">
        <v>215</v>
      </c>
      <c r="K897" s="1" t="s">
        <v>160</v>
      </c>
      <c r="L897" s="1" t="s">
        <v>216</v>
      </c>
      <c r="M897" s="1" t="s">
        <v>131</v>
      </c>
      <c r="Q897" s="1" t="s">
        <v>137</v>
      </c>
      <c r="R897" s="1" t="s">
        <v>137</v>
      </c>
      <c r="S897" s="1" t="s">
        <v>47</v>
      </c>
      <c r="T897" s="1" t="s">
        <v>4301</v>
      </c>
      <c r="U897" s="1" t="s">
        <v>1577</v>
      </c>
      <c r="V897" s="1" t="s">
        <v>4950</v>
      </c>
      <c r="W897" s="3">
        <v>45819.0</v>
      </c>
      <c r="X897" s="3">
        <v>45819.0</v>
      </c>
    </row>
    <row r="898">
      <c r="A898" s="1" t="s">
        <v>14943</v>
      </c>
      <c r="B898" s="1" t="s">
        <v>8813</v>
      </c>
      <c r="C898" s="1" t="s">
        <v>8813</v>
      </c>
      <c r="D898" s="1" t="s">
        <v>4293</v>
      </c>
      <c r="E898" s="1" t="s">
        <v>8817</v>
      </c>
      <c r="F898" s="1" t="s">
        <v>14944</v>
      </c>
      <c r="G898" s="3">
        <v>45069.0</v>
      </c>
      <c r="H898" s="3">
        <v>45100.0</v>
      </c>
      <c r="I898" s="3">
        <v>45100.0</v>
      </c>
      <c r="J898" s="1" t="s">
        <v>215</v>
      </c>
      <c r="K898" s="1" t="s">
        <v>160</v>
      </c>
      <c r="L898" s="1" t="s">
        <v>216</v>
      </c>
      <c r="M898" s="1" t="s">
        <v>131</v>
      </c>
      <c r="Q898" s="1" t="s">
        <v>137</v>
      </c>
      <c r="R898" s="1" t="s">
        <v>137</v>
      </c>
      <c r="S898" s="1" t="s">
        <v>47</v>
      </c>
      <c r="T898" s="1" t="s">
        <v>4301</v>
      </c>
      <c r="U898" s="1" t="s">
        <v>1577</v>
      </c>
      <c r="V898" s="1" t="s">
        <v>4679</v>
      </c>
      <c r="W898" s="3">
        <v>45100.0</v>
      </c>
      <c r="X898" s="3">
        <v>45100.0</v>
      </c>
    </row>
    <row r="899">
      <c r="A899" s="1" t="s">
        <v>14946</v>
      </c>
      <c r="B899" s="1" t="s">
        <v>8813</v>
      </c>
      <c r="C899" s="1" t="s">
        <v>8813</v>
      </c>
      <c r="D899" s="1" t="s">
        <v>4293</v>
      </c>
      <c r="E899" s="1" t="s">
        <v>8817</v>
      </c>
      <c r="F899" s="1" t="s">
        <v>14948</v>
      </c>
      <c r="G899" s="3">
        <v>45069.0</v>
      </c>
      <c r="H899" s="3">
        <v>45100.0</v>
      </c>
      <c r="I899" s="3">
        <v>45100.0</v>
      </c>
      <c r="J899" s="1" t="s">
        <v>215</v>
      </c>
      <c r="K899" s="1" t="s">
        <v>160</v>
      </c>
      <c r="L899" s="1" t="s">
        <v>216</v>
      </c>
      <c r="M899" s="1" t="s">
        <v>131</v>
      </c>
      <c r="Q899" s="1" t="s">
        <v>137</v>
      </c>
      <c r="R899" s="1" t="s">
        <v>137</v>
      </c>
      <c r="S899" s="1" t="s">
        <v>47</v>
      </c>
      <c r="T899" s="1" t="s">
        <v>4301</v>
      </c>
      <c r="U899" s="1" t="s">
        <v>1577</v>
      </c>
      <c r="V899" s="1" t="s">
        <v>4950</v>
      </c>
      <c r="W899" s="3">
        <v>45100.0</v>
      </c>
      <c r="X899" s="3">
        <v>45100.0</v>
      </c>
    </row>
    <row r="900">
      <c r="A900" s="1" t="s">
        <v>14950</v>
      </c>
      <c r="B900" s="1" t="s">
        <v>8813</v>
      </c>
      <c r="C900" s="1" t="s">
        <v>8813</v>
      </c>
      <c r="D900" s="1" t="s">
        <v>4293</v>
      </c>
      <c r="E900" s="1" t="s">
        <v>8817</v>
      </c>
      <c r="F900" s="1" t="s">
        <v>14951</v>
      </c>
      <c r="G900" s="3">
        <v>45069.0</v>
      </c>
      <c r="H900" s="3">
        <v>45100.0</v>
      </c>
      <c r="I900" s="3">
        <v>45100.0</v>
      </c>
      <c r="J900" s="1" t="s">
        <v>215</v>
      </c>
      <c r="K900" s="1" t="s">
        <v>160</v>
      </c>
      <c r="L900" s="1" t="s">
        <v>216</v>
      </c>
      <c r="M900" s="1" t="s">
        <v>131</v>
      </c>
      <c r="Q900" s="1" t="s">
        <v>137</v>
      </c>
      <c r="R900" s="1" t="s">
        <v>137</v>
      </c>
      <c r="S900" s="1" t="s">
        <v>47</v>
      </c>
      <c r="T900" s="1" t="s">
        <v>4301</v>
      </c>
      <c r="U900" s="1" t="s">
        <v>1577</v>
      </c>
      <c r="V900" s="1" t="s">
        <v>5104</v>
      </c>
      <c r="W900" s="3">
        <v>45100.0</v>
      </c>
      <c r="X900" s="3">
        <v>45100.0</v>
      </c>
    </row>
    <row r="901">
      <c r="A901" s="1" t="s">
        <v>14952</v>
      </c>
      <c r="B901" s="1" t="s">
        <v>8813</v>
      </c>
      <c r="C901" s="1" t="s">
        <v>8813</v>
      </c>
      <c r="D901" s="1" t="s">
        <v>4293</v>
      </c>
      <c r="E901" s="1" t="s">
        <v>8817</v>
      </c>
      <c r="F901" s="1" t="s">
        <v>14953</v>
      </c>
      <c r="G901" s="3">
        <v>45069.0</v>
      </c>
      <c r="H901" s="3">
        <v>45100.0</v>
      </c>
      <c r="I901" s="3">
        <v>45100.0</v>
      </c>
      <c r="J901" s="1" t="s">
        <v>215</v>
      </c>
      <c r="K901" s="1" t="s">
        <v>160</v>
      </c>
      <c r="L901" s="1" t="s">
        <v>216</v>
      </c>
      <c r="M901" s="1" t="s">
        <v>131</v>
      </c>
      <c r="Q901" s="1" t="s">
        <v>137</v>
      </c>
      <c r="R901" s="1" t="s">
        <v>137</v>
      </c>
      <c r="S901" s="1" t="s">
        <v>47</v>
      </c>
      <c r="T901" s="1" t="s">
        <v>4301</v>
      </c>
      <c r="U901" s="1" t="s">
        <v>1577</v>
      </c>
      <c r="V901" s="1" t="s">
        <v>5120</v>
      </c>
      <c r="W901" s="3">
        <v>45100.0</v>
      </c>
      <c r="X901" s="3">
        <v>45100.0</v>
      </c>
    </row>
    <row r="902">
      <c r="A902" s="1" t="s">
        <v>14955</v>
      </c>
      <c r="B902" s="1" t="s">
        <v>8825</v>
      </c>
      <c r="C902" s="1" t="s">
        <v>8825</v>
      </c>
      <c r="D902" s="1" t="s">
        <v>4293</v>
      </c>
      <c r="E902" s="1" t="s">
        <v>8828</v>
      </c>
      <c r="F902" s="1" t="s">
        <v>14956</v>
      </c>
      <c r="G902" s="3">
        <v>44470.0</v>
      </c>
      <c r="H902" s="3">
        <v>44469.0</v>
      </c>
      <c r="I902" s="3">
        <v>44469.0</v>
      </c>
      <c r="J902" s="1" t="s">
        <v>215</v>
      </c>
      <c r="K902" s="1" t="s">
        <v>160</v>
      </c>
      <c r="L902" s="1" t="s">
        <v>216</v>
      </c>
      <c r="M902" s="1" t="s">
        <v>131</v>
      </c>
      <c r="Q902" s="1" t="s">
        <v>137</v>
      </c>
      <c r="R902" s="1" t="s">
        <v>137</v>
      </c>
      <c r="S902" s="1" t="s">
        <v>47</v>
      </c>
      <c r="T902" s="1" t="s">
        <v>4301</v>
      </c>
      <c r="U902" s="1" t="s">
        <v>1577</v>
      </c>
      <c r="V902" s="1" t="s">
        <v>3858</v>
      </c>
      <c r="W902" s="3">
        <v>44469.0</v>
      </c>
      <c r="X902" s="3">
        <v>44469.0</v>
      </c>
    </row>
    <row r="903">
      <c r="A903" s="1" t="s">
        <v>14958</v>
      </c>
      <c r="B903" s="1" t="s">
        <v>8832</v>
      </c>
      <c r="C903" s="1" t="s">
        <v>8832</v>
      </c>
      <c r="D903" s="1" t="s">
        <v>4293</v>
      </c>
      <c r="E903" s="1" t="s">
        <v>8833</v>
      </c>
      <c r="F903" s="1" t="s">
        <v>14959</v>
      </c>
      <c r="G903" s="3">
        <v>44279.0</v>
      </c>
      <c r="H903" s="3">
        <v>44279.0</v>
      </c>
      <c r="I903" s="3">
        <v>44279.0</v>
      </c>
      <c r="J903" s="1" t="s">
        <v>215</v>
      </c>
      <c r="K903" s="1" t="s">
        <v>160</v>
      </c>
      <c r="L903" s="1" t="s">
        <v>216</v>
      </c>
      <c r="M903" s="1" t="s">
        <v>131</v>
      </c>
      <c r="Q903" s="1" t="s">
        <v>137</v>
      </c>
      <c r="R903" s="1" t="s">
        <v>137</v>
      </c>
      <c r="S903" s="1" t="s">
        <v>47</v>
      </c>
      <c r="T903" s="1" t="s">
        <v>4301</v>
      </c>
      <c r="U903" s="1" t="s">
        <v>1577</v>
      </c>
      <c r="V903" s="1" t="s">
        <v>3858</v>
      </c>
      <c r="W903" s="3">
        <v>44279.0</v>
      </c>
      <c r="X903" s="3">
        <v>44279.0</v>
      </c>
    </row>
    <row r="904">
      <c r="A904" s="1" t="s">
        <v>14960</v>
      </c>
      <c r="B904" s="1" t="s">
        <v>8832</v>
      </c>
      <c r="C904" s="1" t="s">
        <v>8832</v>
      </c>
      <c r="D904" s="1" t="s">
        <v>4293</v>
      </c>
      <c r="E904" s="1" t="s">
        <v>8833</v>
      </c>
      <c r="F904" s="1" t="s">
        <v>14962</v>
      </c>
      <c r="G904" s="3">
        <v>44279.0</v>
      </c>
      <c r="H904" s="3">
        <v>44279.0</v>
      </c>
      <c r="I904" s="3">
        <v>44279.0</v>
      </c>
      <c r="J904" s="1" t="s">
        <v>215</v>
      </c>
      <c r="K904" s="1" t="s">
        <v>160</v>
      </c>
      <c r="L904" s="1" t="s">
        <v>216</v>
      </c>
      <c r="M904" s="1" t="s">
        <v>131</v>
      </c>
      <c r="Q904" s="1" t="s">
        <v>137</v>
      </c>
      <c r="R904" s="1" t="s">
        <v>137</v>
      </c>
      <c r="S904" s="1" t="s">
        <v>47</v>
      </c>
      <c r="T904" s="1" t="s">
        <v>4301</v>
      </c>
      <c r="U904" s="1" t="s">
        <v>1577</v>
      </c>
      <c r="V904" s="1" t="s">
        <v>4950</v>
      </c>
      <c r="W904" s="3">
        <v>44279.0</v>
      </c>
      <c r="X904" s="3">
        <v>44279.0</v>
      </c>
    </row>
    <row r="905">
      <c r="A905" s="1" t="s">
        <v>14963</v>
      </c>
      <c r="B905" s="1" t="s">
        <v>6576</v>
      </c>
      <c r="C905" s="1" t="s">
        <v>6576</v>
      </c>
      <c r="D905" s="1" t="s">
        <v>4293</v>
      </c>
      <c r="E905" s="1" t="s">
        <v>8844</v>
      </c>
      <c r="F905" s="1" t="s">
        <v>14965</v>
      </c>
      <c r="G905" s="3">
        <v>43768.0</v>
      </c>
      <c r="H905" s="3">
        <v>43854.0</v>
      </c>
      <c r="I905" s="3">
        <v>43854.0</v>
      </c>
      <c r="J905" s="1" t="s">
        <v>215</v>
      </c>
      <c r="K905" s="1" t="s">
        <v>160</v>
      </c>
      <c r="L905" s="1" t="s">
        <v>216</v>
      </c>
      <c r="M905" s="1" t="s">
        <v>131</v>
      </c>
      <c r="Q905" s="1" t="s">
        <v>137</v>
      </c>
      <c r="R905" s="1" t="s">
        <v>137</v>
      </c>
      <c r="S905" s="1" t="s">
        <v>47</v>
      </c>
      <c r="T905" s="1" t="s">
        <v>4301</v>
      </c>
      <c r="U905" s="1" t="s">
        <v>1577</v>
      </c>
      <c r="V905" s="1" t="s">
        <v>3858</v>
      </c>
      <c r="W905" s="3">
        <v>43854.0</v>
      </c>
      <c r="X905" s="3">
        <v>43854.0</v>
      </c>
    </row>
    <row r="906">
      <c r="A906" s="1" t="s">
        <v>14967</v>
      </c>
      <c r="B906" s="1" t="s">
        <v>8851</v>
      </c>
      <c r="C906" s="1" t="s">
        <v>8851</v>
      </c>
      <c r="D906" s="1" t="s">
        <v>4293</v>
      </c>
      <c r="E906" s="1" t="s">
        <v>8852</v>
      </c>
      <c r="F906" s="1" t="s">
        <v>14968</v>
      </c>
      <c r="G906" s="3">
        <v>44440.0</v>
      </c>
      <c r="H906" s="3">
        <v>44651.0</v>
      </c>
      <c r="I906" s="3">
        <v>44651.0</v>
      </c>
      <c r="J906" s="1" t="s">
        <v>215</v>
      </c>
      <c r="K906" s="1" t="s">
        <v>160</v>
      </c>
      <c r="L906" s="1" t="s">
        <v>216</v>
      </c>
      <c r="M906" s="1" t="s">
        <v>131</v>
      </c>
      <c r="Q906" s="1" t="s">
        <v>137</v>
      </c>
      <c r="R906" s="1" t="s">
        <v>137</v>
      </c>
      <c r="S906" s="1" t="s">
        <v>47</v>
      </c>
      <c r="T906" s="1" t="s">
        <v>4301</v>
      </c>
      <c r="U906" s="1" t="s">
        <v>1577</v>
      </c>
      <c r="V906" s="1" t="s">
        <v>3858</v>
      </c>
      <c r="W906" s="3">
        <v>44651.0</v>
      </c>
      <c r="X906" s="3">
        <v>44651.0</v>
      </c>
    </row>
    <row r="907">
      <c r="A907" s="1" t="s">
        <v>14970</v>
      </c>
      <c r="B907" s="1" t="s">
        <v>8851</v>
      </c>
      <c r="C907" s="1" t="s">
        <v>8851</v>
      </c>
      <c r="D907" s="1" t="s">
        <v>4293</v>
      </c>
      <c r="E907" s="1" t="s">
        <v>8852</v>
      </c>
      <c r="F907" s="1" t="s">
        <v>14972</v>
      </c>
      <c r="G907" s="3">
        <v>44440.0</v>
      </c>
      <c r="H907" s="3">
        <v>44651.0</v>
      </c>
      <c r="I907" s="3">
        <v>44651.0</v>
      </c>
      <c r="J907" s="1" t="s">
        <v>215</v>
      </c>
      <c r="K907" s="1" t="s">
        <v>160</v>
      </c>
      <c r="L907" s="1" t="s">
        <v>216</v>
      </c>
      <c r="M907" s="1" t="s">
        <v>131</v>
      </c>
      <c r="Q907" s="1" t="s">
        <v>137</v>
      </c>
      <c r="R907" s="1" t="s">
        <v>137</v>
      </c>
      <c r="S907" s="1" t="s">
        <v>47</v>
      </c>
      <c r="T907" s="1" t="s">
        <v>4301</v>
      </c>
      <c r="U907" s="1" t="s">
        <v>1577</v>
      </c>
      <c r="V907" s="1" t="s">
        <v>4950</v>
      </c>
      <c r="W907" s="3">
        <v>44651.0</v>
      </c>
      <c r="X907" s="3">
        <v>44651.0</v>
      </c>
    </row>
    <row r="908">
      <c r="A908" s="1" t="s">
        <v>14974</v>
      </c>
      <c r="B908" s="1" t="s">
        <v>8857</v>
      </c>
      <c r="C908" s="1" t="s">
        <v>8857</v>
      </c>
      <c r="D908" s="1" t="s">
        <v>4293</v>
      </c>
      <c r="E908" s="1" t="s">
        <v>8858</v>
      </c>
      <c r="F908" s="1" t="s">
        <v>14975</v>
      </c>
      <c r="G908" s="3">
        <v>45385.0</v>
      </c>
      <c r="H908" s="3">
        <v>45600.0</v>
      </c>
      <c r="I908" s="3">
        <v>45600.0</v>
      </c>
      <c r="J908" s="1" t="s">
        <v>215</v>
      </c>
      <c r="K908" s="1" t="s">
        <v>160</v>
      </c>
      <c r="L908" s="1" t="s">
        <v>216</v>
      </c>
      <c r="M908" s="1" t="s">
        <v>131</v>
      </c>
      <c r="Q908" s="1" t="s">
        <v>137</v>
      </c>
      <c r="R908" s="1" t="s">
        <v>137</v>
      </c>
      <c r="S908" s="1" t="s">
        <v>47</v>
      </c>
      <c r="T908" s="1" t="s">
        <v>4301</v>
      </c>
      <c r="U908" s="1" t="s">
        <v>1577</v>
      </c>
      <c r="V908" s="1" t="s">
        <v>3858</v>
      </c>
      <c r="W908" s="3">
        <v>45600.0</v>
      </c>
      <c r="X908" s="3">
        <v>45600.0</v>
      </c>
    </row>
    <row r="909">
      <c r="A909" s="1" t="s">
        <v>14976</v>
      </c>
      <c r="B909" s="1" t="s">
        <v>6062</v>
      </c>
      <c r="C909" s="1" t="s">
        <v>6062</v>
      </c>
      <c r="D909" s="1" t="s">
        <v>4293</v>
      </c>
      <c r="E909" s="1" t="s">
        <v>8863</v>
      </c>
      <c r="F909" s="1" t="s">
        <v>14977</v>
      </c>
      <c r="G909" s="3">
        <v>44808.0</v>
      </c>
      <c r="H909" s="3">
        <v>44840.0</v>
      </c>
      <c r="I909" s="3">
        <v>44840.0</v>
      </c>
      <c r="J909" s="1" t="s">
        <v>215</v>
      </c>
      <c r="K909" s="1" t="s">
        <v>160</v>
      </c>
      <c r="L909" s="1" t="s">
        <v>216</v>
      </c>
      <c r="M909" s="1" t="s">
        <v>131</v>
      </c>
      <c r="Q909" s="1" t="s">
        <v>137</v>
      </c>
      <c r="R909" s="1" t="s">
        <v>137</v>
      </c>
      <c r="S909" s="1" t="s">
        <v>47</v>
      </c>
      <c r="T909" s="1" t="s">
        <v>4301</v>
      </c>
      <c r="U909" s="1" t="s">
        <v>1577</v>
      </c>
      <c r="V909" s="1" t="s">
        <v>4950</v>
      </c>
      <c r="W909" s="3">
        <v>44840.0</v>
      </c>
      <c r="X909" s="3">
        <v>44840.0</v>
      </c>
    </row>
    <row r="910">
      <c r="A910" s="1" t="s">
        <v>14979</v>
      </c>
      <c r="B910" s="1" t="s">
        <v>8801</v>
      </c>
      <c r="C910" s="1" t="s">
        <v>8801</v>
      </c>
      <c r="D910" s="1" t="s">
        <v>4293</v>
      </c>
      <c r="E910" s="1" t="s">
        <v>8867</v>
      </c>
      <c r="F910" s="1" t="s">
        <v>14980</v>
      </c>
      <c r="G910" s="3">
        <v>44951.0</v>
      </c>
      <c r="H910" s="3">
        <v>45349.0</v>
      </c>
      <c r="I910" s="3">
        <v>45349.0</v>
      </c>
      <c r="J910" s="1" t="s">
        <v>215</v>
      </c>
      <c r="K910" s="1" t="s">
        <v>160</v>
      </c>
      <c r="L910" s="1" t="s">
        <v>216</v>
      </c>
      <c r="M910" s="1" t="s">
        <v>131</v>
      </c>
      <c r="Q910" s="1" t="s">
        <v>137</v>
      </c>
      <c r="R910" s="1" t="s">
        <v>137</v>
      </c>
      <c r="S910" s="1" t="s">
        <v>47</v>
      </c>
      <c r="T910" s="1" t="s">
        <v>4301</v>
      </c>
      <c r="U910" s="1" t="s">
        <v>1577</v>
      </c>
      <c r="V910" s="1" t="s">
        <v>3858</v>
      </c>
      <c r="W910" s="3">
        <v>45349.0</v>
      </c>
      <c r="X910" s="3">
        <v>45349.0</v>
      </c>
    </row>
    <row r="911">
      <c r="A911" s="1" t="s">
        <v>14981</v>
      </c>
      <c r="B911" s="1" t="s">
        <v>4399</v>
      </c>
      <c r="C911" s="1" t="s">
        <v>4399</v>
      </c>
      <c r="D911" s="1" t="s">
        <v>4293</v>
      </c>
      <c r="E911" s="1" t="s">
        <v>14982</v>
      </c>
      <c r="F911" s="1" t="s">
        <v>14983</v>
      </c>
      <c r="G911" s="3">
        <v>45077.0</v>
      </c>
      <c r="H911" s="3"/>
      <c r="I911" s="3"/>
      <c r="J911" s="1" t="s">
        <v>124</v>
      </c>
      <c r="K911" s="1" t="s">
        <v>160</v>
      </c>
      <c r="L911" s="1" t="s">
        <v>253</v>
      </c>
      <c r="M911" s="1" t="s">
        <v>131</v>
      </c>
      <c r="Q911" s="1" t="s">
        <v>137</v>
      </c>
      <c r="R911" s="1" t="s">
        <v>137</v>
      </c>
      <c r="S911" s="1" t="s">
        <v>47</v>
      </c>
      <c r="T911" s="1" t="s">
        <v>4301</v>
      </c>
      <c r="U911" s="1" t="s">
        <v>1577</v>
      </c>
      <c r="V911" s="1" t="s">
        <v>3858</v>
      </c>
      <c r="W911" s="3"/>
      <c r="X911" s="3"/>
    </row>
    <row r="912">
      <c r="A912" s="1" t="s">
        <v>14985</v>
      </c>
      <c r="B912" s="1" t="s">
        <v>8871</v>
      </c>
      <c r="C912" s="1" t="s">
        <v>8871</v>
      </c>
      <c r="D912" s="1" t="s">
        <v>4293</v>
      </c>
      <c r="E912" s="1" t="s">
        <v>8872</v>
      </c>
      <c r="F912" s="1" t="s">
        <v>14986</v>
      </c>
      <c r="G912" s="3">
        <v>44673.0</v>
      </c>
      <c r="H912" s="3">
        <v>44781.0</v>
      </c>
      <c r="I912" s="3">
        <v>44781.0</v>
      </c>
      <c r="J912" s="1" t="s">
        <v>215</v>
      </c>
      <c r="K912" s="1" t="s">
        <v>160</v>
      </c>
      <c r="L912" s="1" t="s">
        <v>216</v>
      </c>
      <c r="M912" s="1" t="s">
        <v>131</v>
      </c>
      <c r="Q912" s="1" t="s">
        <v>137</v>
      </c>
      <c r="R912" s="1" t="s">
        <v>137</v>
      </c>
      <c r="S912" s="1" t="s">
        <v>47</v>
      </c>
      <c r="T912" s="1" t="s">
        <v>4301</v>
      </c>
      <c r="U912" s="1" t="s">
        <v>1577</v>
      </c>
      <c r="V912" s="1" t="s">
        <v>3858</v>
      </c>
      <c r="W912" s="3">
        <v>44781.0</v>
      </c>
      <c r="X912" s="3">
        <v>44781.0</v>
      </c>
    </row>
    <row r="913">
      <c r="A913" s="1" t="s">
        <v>14987</v>
      </c>
      <c r="B913" s="1" t="s">
        <v>6629</v>
      </c>
      <c r="C913" s="1" t="s">
        <v>6629</v>
      </c>
      <c r="D913" s="1" t="s">
        <v>4293</v>
      </c>
      <c r="E913" s="1" t="s">
        <v>8877</v>
      </c>
      <c r="F913" s="1" t="s">
        <v>14988</v>
      </c>
      <c r="G913" s="3">
        <v>44824.0</v>
      </c>
      <c r="H913" s="3">
        <v>44986.0</v>
      </c>
      <c r="I913" s="3">
        <v>44986.0</v>
      </c>
      <c r="J913" s="1" t="s">
        <v>215</v>
      </c>
      <c r="K913" s="1" t="s">
        <v>160</v>
      </c>
      <c r="L913" s="1" t="s">
        <v>216</v>
      </c>
      <c r="M913" s="1" t="s">
        <v>131</v>
      </c>
      <c r="Q913" s="1" t="s">
        <v>137</v>
      </c>
      <c r="R913" s="1" t="s">
        <v>137</v>
      </c>
      <c r="S913" s="1" t="s">
        <v>47</v>
      </c>
      <c r="T913" s="1" t="s">
        <v>4301</v>
      </c>
      <c r="U913" s="1" t="s">
        <v>1577</v>
      </c>
      <c r="V913" s="1" t="s">
        <v>3858</v>
      </c>
      <c r="W913" s="3">
        <v>44986.0</v>
      </c>
      <c r="X913" s="3">
        <v>44986.0</v>
      </c>
    </row>
    <row r="914">
      <c r="A914" s="1" t="s">
        <v>14991</v>
      </c>
      <c r="B914" s="1" t="s">
        <v>7163</v>
      </c>
      <c r="C914" s="1" t="s">
        <v>7163</v>
      </c>
      <c r="D914" s="1" t="s">
        <v>4293</v>
      </c>
      <c r="E914" s="1" t="s">
        <v>8884</v>
      </c>
      <c r="F914" s="1" t="s">
        <v>14992</v>
      </c>
      <c r="G914" s="3">
        <v>45149.0</v>
      </c>
      <c r="H914" s="3">
        <v>45320.0</v>
      </c>
      <c r="I914" s="3">
        <v>45320.0</v>
      </c>
      <c r="J914" s="1" t="s">
        <v>215</v>
      </c>
      <c r="K914" s="1" t="s">
        <v>160</v>
      </c>
      <c r="L914" s="1" t="s">
        <v>216</v>
      </c>
      <c r="M914" s="1" t="s">
        <v>131</v>
      </c>
      <c r="Q914" s="1" t="s">
        <v>137</v>
      </c>
      <c r="R914" s="1" t="s">
        <v>137</v>
      </c>
      <c r="S914" s="1" t="s">
        <v>47</v>
      </c>
      <c r="T914" s="1" t="s">
        <v>4301</v>
      </c>
      <c r="U914" s="1" t="s">
        <v>1577</v>
      </c>
      <c r="V914" s="1" t="s">
        <v>3858</v>
      </c>
      <c r="W914" s="3">
        <v>45320.0</v>
      </c>
      <c r="X914" s="3">
        <v>45320.0</v>
      </c>
    </row>
    <row r="915">
      <c r="A915" s="1" t="s">
        <v>14994</v>
      </c>
      <c r="B915" s="1" t="s">
        <v>8104</v>
      </c>
      <c r="C915" s="1" t="s">
        <v>8104</v>
      </c>
      <c r="D915" s="1" t="s">
        <v>4293</v>
      </c>
      <c r="E915" s="1" t="s">
        <v>3704</v>
      </c>
      <c r="F915" s="1" t="s">
        <v>14996</v>
      </c>
      <c r="G915" s="3">
        <v>43461.0</v>
      </c>
      <c r="H915" s="3">
        <v>44518.0</v>
      </c>
      <c r="I915" s="3">
        <v>44518.0</v>
      </c>
      <c r="J915" s="1" t="s">
        <v>215</v>
      </c>
      <c r="K915" s="1" t="s">
        <v>160</v>
      </c>
      <c r="L915" s="1" t="s">
        <v>216</v>
      </c>
      <c r="M915" s="1" t="s">
        <v>131</v>
      </c>
      <c r="Q915" s="1" t="s">
        <v>137</v>
      </c>
      <c r="R915" s="1" t="s">
        <v>137</v>
      </c>
      <c r="S915" s="1" t="s">
        <v>47</v>
      </c>
      <c r="T915" s="1" t="s">
        <v>4301</v>
      </c>
      <c r="U915" s="1" t="s">
        <v>1577</v>
      </c>
      <c r="V915" s="1" t="s">
        <v>3858</v>
      </c>
      <c r="W915" s="3">
        <v>44518.0</v>
      </c>
      <c r="X915" s="3">
        <v>44518.0</v>
      </c>
    </row>
    <row r="916">
      <c r="A916" s="1" t="s">
        <v>14997</v>
      </c>
      <c r="B916" s="1" t="s">
        <v>8892</v>
      </c>
      <c r="C916" s="1" t="s">
        <v>8892</v>
      </c>
      <c r="D916" s="1" t="s">
        <v>4293</v>
      </c>
      <c r="E916" s="1" t="s">
        <v>8893</v>
      </c>
      <c r="F916" s="1" t="s">
        <v>14999</v>
      </c>
      <c r="G916" s="3">
        <v>45642.0</v>
      </c>
      <c r="H916" s="3">
        <v>46175.0</v>
      </c>
      <c r="I916" s="3">
        <v>46175.0</v>
      </c>
      <c r="J916" s="1" t="s">
        <v>215</v>
      </c>
      <c r="K916" s="1" t="s">
        <v>160</v>
      </c>
      <c r="L916" s="1" t="s">
        <v>216</v>
      </c>
      <c r="M916" s="1" t="s">
        <v>131</v>
      </c>
      <c r="Q916" s="1" t="s">
        <v>137</v>
      </c>
      <c r="R916" s="1" t="s">
        <v>137</v>
      </c>
      <c r="S916" s="1" t="s">
        <v>47</v>
      </c>
      <c r="T916" s="1" t="s">
        <v>4301</v>
      </c>
      <c r="U916" s="1" t="s">
        <v>1577</v>
      </c>
      <c r="V916" s="1" t="s">
        <v>3858</v>
      </c>
      <c r="W916" s="3">
        <v>46175.0</v>
      </c>
      <c r="X916" s="3">
        <v>46175.0</v>
      </c>
    </row>
    <row r="917">
      <c r="A917" s="1" t="s">
        <v>15001</v>
      </c>
      <c r="B917" s="1" t="s">
        <v>6518</v>
      </c>
      <c r="C917" s="1" t="s">
        <v>6518</v>
      </c>
      <c r="D917" s="1" t="s">
        <v>4293</v>
      </c>
      <c r="E917" s="1" t="s">
        <v>8899</v>
      </c>
      <c r="F917" s="1" t="s">
        <v>15002</v>
      </c>
      <c r="G917" s="3">
        <v>44560.0</v>
      </c>
      <c r="H917" s="3">
        <v>44240.0</v>
      </c>
      <c r="I917" s="3">
        <v>44240.0</v>
      </c>
      <c r="J917" s="1" t="s">
        <v>215</v>
      </c>
      <c r="K917" s="1" t="s">
        <v>160</v>
      </c>
      <c r="L917" s="1" t="s">
        <v>216</v>
      </c>
      <c r="M917" s="1" t="s">
        <v>131</v>
      </c>
      <c r="Q917" s="1" t="s">
        <v>137</v>
      </c>
      <c r="R917" s="1" t="s">
        <v>137</v>
      </c>
      <c r="S917" s="1" t="s">
        <v>47</v>
      </c>
      <c r="T917" s="1" t="s">
        <v>4301</v>
      </c>
      <c r="U917" s="1" t="s">
        <v>1577</v>
      </c>
      <c r="V917" s="1" t="s">
        <v>3858</v>
      </c>
      <c r="W917" s="3">
        <v>44240.0</v>
      </c>
      <c r="X917" s="3">
        <v>44240.0</v>
      </c>
    </row>
    <row r="918">
      <c r="A918" s="1" t="s">
        <v>15003</v>
      </c>
      <c r="B918" s="1" t="s">
        <v>8903</v>
      </c>
      <c r="C918" s="1" t="s">
        <v>8903</v>
      </c>
      <c r="D918" s="1" t="s">
        <v>4293</v>
      </c>
      <c r="E918" s="1" t="s">
        <v>8904</v>
      </c>
      <c r="F918" s="1" t="s">
        <v>15004</v>
      </c>
      <c r="G918" s="3">
        <v>45282.0</v>
      </c>
      <c r="H918" s="3">
        <v>45499.0</v>
      </c>
      <c r="I918" s="3">
        <v>45499.0</v>
      </c>
      <c r="J918" s="1" t="s">
        <v>215</v>
      </c>
      <c r="K918" s="1" t="s">
        <v>160</v>
      </c>
      <c r="L918" s="1" t="s">
        <v>216</v>
      </c>
      <c r="M918" s="1" t="s">
        <v>131</v>
      </c>
      <c r="Q918" s="1" t="s">
        <v>137</v>
      </c>
      <c r="R918" s="1" t="s">
        <v>137</v>
      </c>
      <c r="S918" s="1" t="s">
        <v>47</v>
      </c>
      <c r="T918" s="1" t="s">
        <v>4301</v>
      </c>
      <c r="U918" s="1" t="s">
        <v>1577</v>
      </c>
      <c r="V918" s="1" t="s">
        <v>3858</v>
      </c>
      <c r="W918" s="3">
        <v>45499.0</v>
      </c>
      <c r="X918" s="3">
        <v>45499.0</v>
      </c>
    </row>
    <row r="919">
      <c r="A919" s="1" t="s">
        <v>15006</v>
      </c>
      <c r="B919" s="1" t="s">
        <v>6774</v>
      </c>
      <c r="C919" s="1" t="s">
        <v>6774</v>
      </c>
      <c r="D919" s="1" t="s">
        <v>4293</v>
      </c>
      <c r="E919" s="1" t="s">
        <v>8908</v>
      </c>
      <c r="F919" s="1" t="s">
        <v>15007</v>
      </c>
      <c r="G919" s="3">
        <v>44939.0</v>
      </c>
      <c r="H919" s="3">
        <v>44939.0</v>
      </c>
      <c r="I919" s="3">
        <v>44939.0</v>
      </c>
      <c r="J919" s="1" t="s">
        <v>215</v>
      </c>
      <c r="K919" s="1" t="s">
        <v>160</v>
      </c>
      <c r="L919" s="1" t="s">
        <v>216</v>
      </c>
      <c r="M919" s="1" t="s">
        <v>131</v>
      </c>
      <c r="Q919" s="1" t="s">
        <v>137</v>
      </c>
      <c r="R919" s="1" t="s">
        <v>137</v>
      </c>
      <c r="S919" s="1" t="s">
        <v>47</v>
      </c>
      <c r="T919" s="1" t="s">
        <v>4301</v>
      </c>
      <c r="U919" s="1" t="s">
        <v>1577</v>
      </c>
      <c r="V919" s="1" t="s">
        <v>7334</v>
      </c>
      <c r="W919" s="3">
        <v>44939.0</v>
      </c>
      <c r="X919" s="3">
        <v>44939.0</v>
      </c>
    </row>
    <row r="920">
      <c r="A920" s="1" t="s">
        <v>15009</v>
      </c>
      <c r="B920" s="1" t="s">
        <v>8913</v>
      </c>
      <c r="C920" s="1" t="s">
        <v>8913</v>
      </c>
      <c r="D920" s="1" t="s">
        <v>4293</v>
      </c>
      <c r="E920" s="1" t="s">
        <v>8915</v>
      </c>
      <c r="F920" s="1" t="s">
        <v>15011</v>
      </c>
      <c r="G920" s="3">
        <v>43553.0</v>
      </c>
      <c r="H920" s="3">
        <v>43784.0</v>
      </c>
      <c r="I920" s="3">
        <v>43784.0</v>
      </c>
      <c r="J920" s="1" t="s">
        <v>215</v>
      </c>
      <c r="K920" s="1" t="s">
        <v>160</v>
      </c>
      <c r="L920" s="1" t="s">
        <v>216</v>
      </c>
      <c r="M920" s="1" t="s">
        <v>131</v>
      </c>
      <c r="Q920" s="1" t="s">
        <v>137</v>
      </c>
      <c r="R920" s="1" t="s">
        <v>137</v>
      </c>
      <c r="S920" s="1" t="s">
        <v>47</v>
      </c>
      <c r="T920" s="1" t="s">
        <v>4301</v>
      </c>
      <c r="U920" s="1" t="s">
        <v>1577</v>
      </c>
      <c r="V920" s="1" t="s">
        <v>3858</v>
      </c>
      <c r="W920" s="3">
        <v>43784.0</v>
      </c>
      <c r="X920" s="3">
        <v>43784.0</v>
      </c>
    </row>
    <row r="921">
      <c r="A921" s="1" t="s">
        <v>15012</v>
      </c>
      <c r="B921" s="1" t="s">
        <v>8919</v>
      </c>
      <c r="C921" s="1" t="s">
        <v>8919</v>
      </c>
      <c r="D921" s="1" t="s">
        <v>4293</v>
      </c>
      <c r="E921" s="1" t="s">
        <v>8920</v>
      </c>
      <c r="F921" s="1" t="s">
        <v>15013</v>
      </c>
      <c r="G921" s="3">
        <v>43555.0</v>
      </c>
      <c r="H921" s="3">
        <v>43808.0</v>
      </c>
      <c r="I921" s="3">
        <v>43808.0</v>
      </c>
      <c r="J921" s="1" t="s">
        <v>215</v>
      </c>
      <c r="K921" s="1" t="s">
        <v>160</v>
      </c>
      <c r="L921" s="1" t="s">
        <v>216</v>
      </c>
      <c r="M921" s="1" t="s">
        <v>131</v>
      </c>
      <c r="Q921" s="1" t="s">
        <v>137</v>
      </c>
      <c r="R921" s="1" t="s">
        <v>137</v>
      </c>
      <c r="S921" s="1" t="s">
        <v>47</v>
      </c>
      <c r="T921" s="1" t="s">
        <v>4301</v>
      </c>
      <c r="U921" s="1" t="s">
        <v>1577</v>
      </c>
      <c r="V921" s="1" t="s">
        <v>3858</v>
      </c>
      <c r="W921" s="3">
        <v>43808.0</v>
      </c>
      <c r="X921" s="3">
        <v>43808.0</v>
      </c>
    </row>
    <row r="922">
      <c r="A922" s="1" t="s">
        <v>15015</v>
      </c>
      <c r="B922" s="1" t="s">
        <v>8924</v>
      </c>
      <c r="C922" s="1" t="s">
        <v>8924</v>
      </c>
      <c r="D922" s="1" t="s">
        <v>4293</v>
      </c>
      <c r="E922" s="1" t="s">
        <v>8926</v>
      </c>
      <c r="F922" s="1" t="s">
        <v>15016</v>
      </c>
      <c r="G922" s="3">
        <v>44721.0</v>
      </c>
      <c r="H922" s="3">
        <v>44858.0</v>
      </c>
      <c r="I922" s="3">
        <v>44858.0</v>
      </c>
      <c r="J922" s="1" t="s">
        <v>215</v>
      </c>
      <c r="K922" s="1" t="s">
        <v>160</v>
      </c>
      <c r="L922" s="1" t="s">
        <v>216</v>
      </c>
      <c r="M922" s="1" t="s">
        <v>131</v>
      </c>
      <c r="Q922" s="1" t="s">
        <v>137</v>
      </c>
      <c r="R922" s="1" t="s">
        <v>137</v>
      </c>
      <c r="S922" s="1" t="s">
        <v>47</v>
      </c>
      <c r="T922" s="1" t="s">
        <v>4301</v>
      </c>
      <c r="U922" s="1" t="s">
        <v>1577</v>
      </c>
      <c r="V922" s="1" t="s">
        <v>3858</v>
      </c>
      <c r="W922" s="3">
        <v>44858.0</v>
      </c>
      <c r="X922" s="3">
        <v>44858.0</v>
      </c>
    </row>
    <row r="923">
      <c r="A923" s="1" t="s">
        <v>15018</v>
      </c>
      <c r="B923" s="1" t="s">
        <v>8924</v>
      </c>
      <c r="C923" s="1" t="s">
        <v>8924</v>
      </c>
      <c r="D923" s="1" t="s">
        <v>4293</v>
      </c>
      <c r="E923" s="1" t="s">
        <v>8926</v>
      </c>
      <c r="F923" s="1" t="s">
        <v>15019</v>
      </c>
      <c r="G923" s="3">
        <v>44721.0</v>
      </c>
      <c r="H923" s="3">
        <v>44858.0</v>
      </c>
      <c r="I923" s="3">
        <v>44858.0</v>
      </c>
      <c r="J923" s="1" t="s">
        <v>215</v>
      </c>
      <c r="K923" s="1" t="s">
        <v>160</v>
      </c>
      <c r="L923" s="1" t="s">
        <v>216</v>
      </c>
      <c r="M923" s="1" t="s">
        <v>131</v>
      </c>
      <c r="Q923" s="1" t="s">
        <v>137</v>
      </c>
      <c r="R923" s="1" t="s">
        <v>137</v>
      </c>
      <c r="S923" s="1" t="s">
        <v>47</v>
      </c>
      <c r="T923" s="1" t="s">
        <v>4301</v>
      </c>
      <c r="U923" s="1" t="s">
        <v>1577</v>
      </c>
      <c r="V923" s="1" t="s">
        <v>4950</v>
      </c>
      <c r="W923" s="3">
        <v>44858.0</v>
      </c>
      <c r="X923" s="3">
        <v>44858.0</v>
      </c>
    </row>
    <row r="924">
      <c r="A924" s="1" t="s">
        <v>15020</v>
      </c>
      <c r="B924" s="1" t="s">
        <v>8726</v>
      </c>
      <c r="C924" s="1" t="s">
        <v>8726</v>
      </c>
      <c r="D924" s="1" t="s">
        <v>4293</v>
      </c>
      <c r="E924" s="1" t="s">
        <v>8931</v>
      </c>
      <c r="F924" s="1" t="s">
        <v>15023</v>
      </c>
      <c r="G924" s="3">
        <v>44448.0</v>
      </c>
      <c r="H924" s="3">
        <v>44755.0</v>
      </c>
      <c r="I924" s="3">
        <v>44755.0</v>
      </c>
      <c r="J924" s="1" t="s">
        <v>215</v>
      </c>
      <c r="K924" s="1" t="s">
        <v>160</v>
      </c>
      <c r="L924" s="1" t="s">
        <v>216</v>
      </c>
      <c r="M924" s="1" t="s">
        <v>131</v>
      </c>
      <c r="Q924" s="1" t="s">
        <v>137</v>
      </c>
      <c r="R924" s="1" t="s">
        <v>137</v>
      </c>
      <c r="S924" s="1" t="s">
        <v>47</v>
      </c>
      <c r="T924" s="1" t="s">
        <v>4301</v>
      </c>
      <c r="U924" s="1" t="s">
        <v>1577</v>
      </c>
      <c r="V924" s="1" t="s">
        <v>4679</v>
      </c>
      <c r="W924" s="3">
        <v>44755.0</v>
      </c>
      <c r="X924" s="3">
        <v>44755.0</v>
      </c>
    </row>
    <row r="925">
      <c r="A925" s="1" t="s">
        <v>15025</v>
      </c>
      <c r="B925" s="1" t="s">
        <v>8726</v>
      </c>
      <c r="C925" s="1" t="s">
        <v>8726</v>
      </c>
      <c r="D925" s="1" t="s">
        <v>4293</v>
      </c>
      <c r="E925" s="1" t="s">
        <v>8931</v>
      </c>
      <c r="F925" s="1" t="s">
        <v>15027</v>
      </c>
      <c r="G925" s="3">
        <v>44448.0</v>
      </c>
      <c r="H925" s="3">
        <v>44755.0</v>
      </c>
      <c r="I925" s="3">
        <v>44755.0</v>
      </c>
      <c r="J925" s="1" t="s">
        <v>215</v>
      </c>
      <c r="K925" s="1" t="s">
        <v>160</v>
      </c>
      <c r="L925" s="1" t="s">
        <v>216</v>
      </c>
      <c r="M925" s="1" t="s">
        <v>131</v>
      </c>
      <c r="Q925" s="1" t="s">
        <v>137</v>
      </c>
      <c r="R925" s="1" t="s">
        <v>137</v>
      </c>
      <c r="S925" s="1" t="s">
        <v>47</v>
      </c>
      <c r="T925" s="1" t="s">
        <v>4301</v>
      </c>
      <c r="U925" s="1" t="s">
        <v>1577</v>
      </c>
      <c r="V925" s="1" t="s">
        <v>4950</v>
      </c>
      <c r="W925" s="3">
        <v>44755.0</v>
      </c>
      <c r="X925" s="3">
        <v>44755.0</v>
      </c>
    </row>
    <row r="926">
      <c r="A926" s="1" t="s">
        <v>15028</v>
      </c>
      <c r="B926" s="1" t="s">
        <v>8726</v>
      </c>
      <c r="C926" s="1" t="s">
        <v>8726</v>
      </c>
      <c r="D926" s="1" t="s">
        <v>4293</v>
      </c>
      <c r="E926" s="1" t="s">
        <v>8931</v>
      </c>
      <c r="F926" s="1" t="s">
        <v>15029</v>
      </c>
      <c r="G926" s="3">
        <v>44448.0</v>
      </c>
      <c r="H926" s="3">
        <v>44755.0</v>
      </c>
      <c r="I926" s="3">
        <v>44755.0</v>
      </c>
      <c r="J926" s="1" t="s">
        <v>215</v>
      </c>
      <c r="K926" s="1" t="s">
        <v>160</v>
      </c>
      <c r="L926" s="1" t="s">
        <v>216</v>
      </c>
      <c r="M926" s="1" t="s">
        <v>131</v>
      </c>
      <c r="Q926" s="1" t="s">
        <v>137</v>
      </c>
      <c r="R926" s="1" t="s">
        <v>137</v>
      </c>
      <c r="S926" s="1" t="s">
        <v>47</v>
      </c>
      <c r="T926" s="1" t="s">
        <v>4301</v>
      </c>
      <c r="U926" s="1" t="s">
        <v>1577</v>
      </c>
      <c r="V926" s="1" t="s">
        <v>5104</v>
      </c>
      <c r="W926" s="3">
        <v>44755.0</v>
      </c>
      <c r="X926" s="3">
        <v>44755.0</v>
      </c>
    </row>
    <row r="927">
      <c r="A927" s="1" t="s">
        <v>15032</v>
      </c>
      <c r="B927" s="1" t="s">
        <v>8726</v>
      </c>
      <c r="C927" s="1" t="s">
        <v>8726</v>
      </c>
      <c r="D927" s="1" t="s">
        <v>4293</v>
      </c>
      <c r="E927" s="1" t="s">
        <v>8931</v>
      </c>
      <c r="F927" s="1" t="s">
        <v>15033</v>
      </c>
      <c r="G927" s="3">
        <v>44448.0</v>
      </c>
      <c r="H927" s="3">
        <v>44755.0</v>
      </c>
      <c r="I927" s="3">
        <v>44755.0</v>
      </c>
      <c r="J927" s="1" t="s">
        <v>215</v>
      </c>
      <c r="K927" s="1" t="s">
        <v>160</v>
      </c>
      <c r="L927" s="1" t="s">
        <v>216</v>
      </c>
      <c r="M927" s="1" t="s">
        <v>131</v>
      </c>
      <c r="Q927" s="1" t="s">
        <v>137</v>
      </c>
      <c r="R927" s="1" t="s">
        <v>137</v>
      </c>
      <c r="S927" s="1" t="s">
        <v>47</v>
      </c>
      <c r="T927" s="1" t="s">
        <v>4301</v>
      </c>
      <c r="U927" s="1" t="s">
        <v>1577</v>
      </c>
      <c r="V927" s="1" t="s">
        <v>5120</v>
      </c>
      <c r="W927" s="3">
        <v>44755.0</v>
      </c>
      <c r="X927" s="3">
        <v>44755.0</v>
      </c>
    </row>
    <row r="928">
      <c r="A928" s="1" t="s">
        <v>15035</v>
      </c>
      <c r="B928" s="1" t="s">
        <v>8935</v>
      </c>
      <c r="C928" s="1" t="s">
        <v>8935</v>
      </c>
      <c r="D928" s="1" t="s">
        <v>4293</v>
      </c>
      <c r="E928" s="1" t="s">
        <v>8937</v>
      </c>
      <c r="F928" s="1" t="s">
        <v>15037</v>
      </c>
      <c r="G928" s="3">
        <v>43804.0</v>
      </c>
      <c r="H928" s="3">
        <v>43866.0</v>
      </c>
      <c r="I928" s="3">
        <v>43866.0</v>
      </c>
      <c r="J928" s="1" t="s">
        <v>215</v>
      </c>
      <c r="K928" s="1" t="s">
        <v>160</v>
      </c>
      <c r="L928" s="1" t="s">
        <v>216</v>
      </c>
      <c r="M928" s="1" t="s">
        <v>131</v>
      </c>
      <c r="Q928" s="1" t="s">
        <v>137</v>
      </c>
      <c r="R928" s="1" t="s">
        <v>137</v>
      </c>
      <c r="S928" s="1" t="s">
        <v>47</v>
      </c>
      <c r="T928" s="1" t="s">
        <v>4301</v>
      </c>
      <c r="U928" s="1" t="s">
        <v>1577</v>
      </c>
      <c r="V928" s="1" t="s">
        <v>3858</v>
      </c>
      <c r="W928" s="3">
        <v>43866.0</v>
      </c>
      <c r="X928" s="3">
        <v>43866.0</v>
      </c>
    </row>
    <row r="929">
      <c r="A929" s="1" t="s">
        <v>15039</v>
      </c>
      <c r="B929" s="1" t="s">
        <v>8935</v>
      </c>
      <c r="C929" s="1" t="s">
        <v>8935</v>
      </c>
      <c r="D929" s="1" t="s">
        <v>4293</v>
      </c>
      <c r="E929" s="1" t="s">
        <v>8937</v>
      </c>
      <c r="F929" s="1" t="s">
        <v>15040</v>
      </c>
      <c r="G929" s="3">
        <v>43804.0</v>
      </c>
      <c r="H929" s="3">
        <v>43866.0</v>
      </c>
      <c r="I929" s="3">
        <v>43866.0</v>
      </c>
      <c r="J929" s="1" t="s">
        <v>215</v>
      </c>
      <c r="K929" s="1" t="s">
        <v>160</v>
      </c>
      <c r="L929" s="1" t="s">
        <v>216</v>
      </c>
      <c r="M929" s="1" t="s">
        <v>131</v>
      </c>
      <c r="Q929" s="1" t="s">
        <v>137</v>
      </c>
      <c r="R929" s="1" t="s">
        <v>137</v>
      </c>
      <c r="S929" s="1" t="s">
        <v>47</v>
      </c>
      <c r="T929" s="1" t="s">
        <v>4301</v>
      </c>
      <c r="U929" s="1" t="s">
        <v>1577</v>
      </c>
      <c r="V929" s="1" t="s">
        <v>3865</v>
      </c>
      <c r="W929" s="3">
        <v>43866.0</v>
      </c>
      <c r="X929" s="3">
        <v>43866.0</v>
      </c>
    </row>
    <row r="930">
      <c r="A930" s="1" t="s">
        <v>15042</v>
      </c>
      <c r="B930" s="1" t="s">
        <v>8935</v>
      </c>
      <c r="C930" s="1" t="s">
        <v>8935</v>
      </c>
      <c r="D930" s="1" t="s">
        <v>4293</v>
      </c>
      <c r="E930" s="1" t="s">
        <v>8937</v>
      </c>
      <c r="F930" s="1" t="s">
        <v>15043</v>
      </c>
      <c r="G930" s="3">
        <v>43804.0</v>
      </c>
      <c r="H930" s="3">
        <v>43866.0</v>
      </c>
      <c r="I930" s="3">
        <v>43866.0</v>
      </c>
      <c r="J930" s="1" t="s">
        <v>215</v>
      </c>
      <c r="K930" s="1" t="s">
        <v>160</v>
      </c>
      <c r="L930" s="1" t="s">
        <v>216</v>
      </c>
      <c r="M930" s="1" t="s">
        <v>131</v>
      </c>
      <c r="Q930" s="1" t="s">
        <v>137</v>
      </c>
      <c r="R930" s="1" t="s">
        <v>137</v>
      </c>
      <c r="S930" s="1" t="s">
        <v>47</v>
      </c>
      <c r="T930" s="1" t="s">
        <v>4301</v>
      </c>
      <c r="U930" s="1" t="s">
        <v>1577</v>
      </c>
      <c r="V930" s="1" t="s">
        <v>4950</v>
      </c>
      <c r="W930" s="3">
        <v>43866.0</v>
      </c>
      <c r="X930" s="3">
        <v>43866.0</v>
      </c>
    </row>
    <row r="931">
      <c r="A931" s="1" t="s">
        <v>15045</v>
      </c>
      <c r="B931" s="1" t="s">
        <v>7444</v>
      </c>
      <c r="C931" s="1" t="s">
        <v>7444</v>
      </c>
      <c r="D931" s="1" t="s">
        <v>4293</v>
      </c>
      <c r="E931" s="1" t="s">
        <v>8941</v>
      </c>
      <c r="F931" s="1" t="s">
        <v>15046</v>
      </c>
      <c r="G931" s="3">
        <v>44133.0</v>
      </c>
      <c r="H931" s="3">
        <v>44271.0</v>
      </c>
      <c r="I931" s="3">
        <v>44271.0</v>
      </c>
      <c r="J931" s="1" t="s">
        <v>215</v>
      </c>
      <c r="K931" s="1" t="s">
        <v>160</v>
      </c>
      <c r="L931" s="1" t="s">
        <v>216</v>
      </c>
      <c r="M931" s="1" t="s">
        <v>131</v>
      </c>
      <c r="Q931" s="1" t="s">
        <v>137</v>
      </c>
      <c r="R931" s="1" t="s">
        <v>137</v>
      </c>
      <c r="S931" s="1" t="s">
        <v>47</v>
      </c>
      <c r="T931" s="1" t="s">
        <v>4301</v>
      </c>
      <c r="U931" s="1" t="s">
        <v>1577</v>
      </c>
      <c r="V931" s="1" t="s">
        <v>3858</v>
      </c>
      <c r="W931" s="3">
        <v>44271.0</v>
      </c>
      <c r="X931" s="3">
        <v>44271.0</v>
      </c>
    </row>
    <row r="932">
      <c r="A932" s="1" t="s">
        <v>15048</v>
      </c>
      <c r="B932" s="1" t="s">
        <v>6118</v>
      </c>
      <c r="C932" s="1" t="s">
        <v>6118</v>
      </c>
      <c r="D932" s="1" t="s">
        <v>4293</v>
      </c>
      <c r="E932" s="1" t="s">
        <v>8945</v>
      </c>
      <c r="F932" s="1" t="s">
        <v>15050</v>
      </c>
      <c r="G932" s="3">
        <v>44560.0</v>
      </c>
      <c r="H932" s="3">
        <v>44247.0</v>
      </c>
      <c r="I932" s="3">
        <v>44247.0</v>
      </c>
      <c r="J932" s="1" t="s">
        <v>215</v>
      </c>
      <c r="K932" s="1" t="s">
        <v>160</v>
      </c>
      <c r="L932" s="1" t="s">
        <v>216</v>
      </c>
      <c r="M932" s="1" t="s">
        <v>131</v>
      </c>
      <c r="Q932" s="1" t="s">
        <v>137</v>
      </c>
      <c r="R932" s="1" t="s">
        <v>137</v>
      </c>
      <c r="S932" s="1" t="s">
        <v>47</v>
      </c>
      <c r="T932" s="1" t="s">
        <v>4301</v>
      </c>
      <c r="U932" s="1" t="s">
        <v>1577</v>
      </c>
      <c r="V932" s="1" t="s">
        <v>3858</v>
      </c>
      <c r="W932" s="3">
        <v>44247.0</v>
      </c>
      <c r="X932" s="3">
        <v>44247.0</v>
      </c>
    </row>
    <row r="933">
      <c r="A933" s="1" t="s">
        <v>15051</v>
      </c>
      <c r="B933" s="1" t="s">
        <v>8949</v>
      </c>
      <c r="C933" s="1" t="s">
        <v>8949</v>
      </c>
      <c r="D933" s="1" t="s">
        <v>4293</v>
      </c>
      <c r="E933" s="1" t="s">
        <v>8950</v>
      </c>
      <c r="F933" s="1" t="s">
        <v>15053</v>
      </c>
      <c r="G933" s="3">
        <v>42720.0</v>
      </c>
      <c r="H933" s="3">
        <v>42744.0</v>
      </c>
      <c r="I933" s="3">
        <v>42744.0</v>
      </c>
      <c r="J933" s="1" t="s">
        <v>215</v>
      </c>
      <c r="K933" s="1" t="s">
        <v>160</v>
      </c>
      <c r="L933" s="1" t="s">
        <v>216</v>
      </c>
      <c r="M933" s="1" t="s">
        <v>131</v>
      </c>
      <c r="Q933" s="1" t="s">
        <v>137</v>
      </c>
      <c r="R933" s="1" t="s">
        <v>137</v>
      </c>
      <c r="S933" s="1" t="s">
        <v>47</v>
      </c>
      <c r="T933" s="1" t="s">
        <v>4301</v>
      </c>
      <c r="U933" s="1" t="s">
        <v>1577</v>
      </c>
      <c r="V933" s="1" t="s">
        <v>3858</v>
      </c>
      <c r="W933" s="3">
        <v>42744.0</v>
      </c>
      <c r="X933" s="3">
        <v>42744.0</v>
      </c>
    </row>
    <row r="934">
      <c r="A934" s="1" t="s">
        <v>15055</v>
      </c>
      <c r="B934" s="1" t="s">
        <v>8949</v>
      </c>
      <c r="C934" s="1" t="s">
        <v>8949</v>
      </c>
      <c r="D934" s="1" t="s">
        <v>4293</v>
      </c>
      <c r="E934" s="1" t="s">
        <v>8950</v>
      </c>
      <c r="F934" s="1" t="s">
        <v>15056</v>
      </c>
      <c r="G934" s="3">
        <v>42720.0</v>
      </c>
      <c r="H934" s="3">
        <v>42744.0</v>
      </c>
      <c r="I934" s="3">
        <v>42744.0</v>
      </c>
      <c r="J934" s="1" t="s">
        <v>215</v>
      </c>
      <c r="K934" s="1" t="s">
        <v>160</v>
      </c>
      <c r="L934" s="1" t="s">
        <v>216</v>
      </c>
      <c r="M934" s="1" t="s">
        <v>131</v>
      </c>
      <c r="Q934" s="1" t="s">
        <v>137</v>
      </c>
      <c r="R934" s="1" t="s">
        <v>137</v>
      </c>
      <c r="S934" s="1" t="s">
        <v>47</v>
      </c>
      <c r="T934" s="1" t="s">
        <v>4301</v>
      </c>
      <c r="U934" s="1" t="s">
        <v>1577</v>
      </c>
      <c r="V934" s="1" t="s">
        <v>3963</v>
      </c>
      <c r="W934" s="3">
        <v>42744.0</v>
      </c>
      <c r="X934" s="3">
        <v>42744.0</v>
      </c>
    </row>
    <row r="935">
      <c r="A935" s="1" t="s">
        <v>15057</v>
      </c>
      <c r="B935" s="1" t="s">
        <v>8949</v>
      </c>
      <c r="C935" s="1" t="s">
        <v>8949</v>
      </c>
      <c r="D935" s="1" t="s">
        <v>4293</v>
      </c>
      <c r="E935" s="1" t="s">
        <v>8950</v>
      </c>
      <c r="F935" s="1" t="s">
        <v>15058</v>
      </c>
      <c r="G935" s="3">
        <v>42720.0</v>
      </c>
      <c r="H935" s="3">
        <v>42744.0</v>
      </c>
      <c r="I935" s="3">
        <v>42744.0</v>
      </c>
      <c r="J935" s="1" t="s">
        <v>215</v>
      </c>
      <c r="K935" s="1" t="s">
        <v>160</v>
      </c>
      <c r="L935" s="1" t="s">
        <v>216</v>
      </c>
      <c r="M935" s="1" t="s">
        <v>131</v>
      </c>
      <c r="Q935" s="1" t="s">
        <v>137</v>
      </c>
      <c r="R935" s="1" t="s">
        <v>137</v>
      </c>
      <c r="S935" s="1" t="s">
        <v>47</v>
      </c>
      <c r="T935" s="1" t="s">
        <v>4301</v>
      </c>
      <c r="U935" s="1" t="s">
        <v>1577</v>
      </c>
      <c r="V935" s="1" t="s">
        <v>4950</v>
      </c>
      <c r="W935" s="3">
        <v>42744.0</v>
      </c>
      <c r="X935" s="3">
        <v>42744.0</v>
      </c>
    </row>
    <row r="936">
      <c r="A936" s="1" t="s">
        <v>15060</v>
      </c>
      <c r="B936" s="1" t="s">
        <v>8954</v>
      </c>
      <c r="C936" s="1" t="s">
        <v>8954</v>
      </c>
      <c r="D936" s="1" t="s">
        <v>4293</v>
      </c>
      <c r="E936" s="1" t="s">
        <v>8956</v>
      </c>
      <c r="F936" s="1" t="s">
        <v>15061</v>
      </c>
      <c r="G936" s="3">
        <v>44539.0</v>
      </c>
      <c r="H936" s="3">
        <v>44781.0</v>
      </c>
      <c r="I936" s="3">
        <v>44781.0</v>
      </c>
      <c r="J936" s="1" t="s">
        <v>215</v>
      </c>
      <c r="K936" s="1" t="s">
        <v>160</v>
      </c>
      <c r="L936" s="1" t="s">
        <v>216</v>
      </c>
      <c r="M936" s="1" t="s">
        <v>131</v>
      </c>
      <c r="Q936" s="1" t="s">
        <v>137</v>
      </c>
      <c r="R936" s="1" t="s">
        <v>137</v>
      </c>
      <c r="S936" s="1" t="s">
        <v>47</v>
      </c>
      <c r="T936" s="1" t="s">
        <v>4301</v>
      </c>
      <c r="U936" s="1" t="s">
        <v>1577</v>
      </c>
      <c r="V936" s="1" t="s">
        <v>4950</v>
      </c>
      <c r="W936" s="3">
        <v>44781.0</v>
      </c>
      <c r="X936" s="3">
        <v>44781.0</v>
      </c>
    </row>
    <row r="937">
      <c r="A937" s="1" t="s">
        <v>15064</v>
      </c>
      <c r="B937" s="1" t="s">
        <v>8960</v>
      </c>
      <c r="C937" s="1" t="s">
        <v>8960</v>
      </c>
      <c r="D937" s="1" t="s">
        <v>4293</v>
      </c>
      <c r="E937" s="1" t="s">
        <v>8961</v>
      </c>
      <c r="F937" s="1" t="s">
        <v>15065</v>
      </c>
      <c r="G937" s="3">
        <v>44994.0</v>
      </c>
      <c r="H937" s="3">
        <v>45218.0</v>
      </c>
      <c r="I937" s="3">
        <v>45218.0</v>
      </c>
      <c r="J937" s="1" t="s">
        <v>215</v>
      </c>
      <c r="K937" s="1" t="s">
        <v>160</v>
      </c>
      <c r="L937" s="1" t="s">
        <v>216</v>
      </c>
      <c r="M937" s="1" t="s">
        <v>131</v>
      </c>
      <c r="Q937" s="1" t="s">
        <v>137</v>
      </c>
      <c r="R937" s="1" t="s">
        <v>137</v>
      </c>
      <c r="S937" s="1" t="s">
        <v>47</v>
      </c>
      <c r="T937" s="1" t="s">
        <v>4301</v>
      </c>
      <c r="U937" s="1" t="s">
        <v>1577</v>
      </c>
      <c r="V937" s="1" t="s">
        <v>3963</v>
      </c>
      <c r="W937" s="3">
        <v>45218.0</v>
      </c>
      <c r="X937" s="3">
        <v>45218.0</v>
      </c>
    </row>
    <row r="938">
      <c r="A938" s="1" t="s">
        <v>15067</v>
      </c>
      <c r="B938" s="1" t="s">
        <v>8960</v>
      </c>
      <c r="C938" s="1" t="s">
        <v>8960</v>
      </c>
      <c r="D938" s="1" t="s">
        <v>4293</v>
      </c>
      <c r="E938" s="1" t="s">
        <v>8961</v>
      </c>
      <c r="F938" s="1" t="s">
        <v>15069</v>
      </c>
      <c r="G938" s="3">
        <v>44994.0</v>
      </c>
      <c r="H938" s="3">
        <v>45218.0</v>
      </c>
      <c r="I938" s="3">
        <v>45218.0</v>
      </c>
      <c r="J938" s="1" t="s">
        <v>215</v>
      </c>
      <c r="K938" s="1" t="s">
        <v>160</v>
      </c>
      <c r="L938" s="1" t="s">
        <v>216</v>
      </c>
      <c r="M938" s="1" t="s">
        <v>131</v>
      </c>
      <c r="Q938" s="1" t="s">
        <v>137</v>
      </c>
      <c r="R938" s="1" t="s">
        <v>137</v>
      </c>
      <c r="S938" s="1" t="s">
        <v>47</v>
      </c>
      <c r="T938" s="1" t="s">
        <v>4301</v>
      </c>
      <c r="U938" s="1" t="s">
        <v>1577</v>
      </c>
      <c r="V938" s="1" t="s">
        <v>4679</v>
      </c>
      <c r="W938" s="3">
        <v>45218.0</v>
      </c>
      <c r="X938" s="3">
        <v>45218.0</v>
      </c>
    </row>
    <row r="939">
      <c r="A939" s="1" t="s">
        <v>15070</v>
      </c>
      <c r="B939" s="1" t="s">
        <v>8960</v>
      </c>
      <c r="C939" s="1" t="s">
        <v>8960</v>
      </c>
      <c r="D939" s="1" t="s">
        <v>4293</v>
      </c>
      <c r="E939" s="1" t="s">
        <v>8961</v>
      </c>
      <c r="F939" s="1" t="s">
        <v>15072</v>
      </c>
      <c r="G939" s="3">
        <v>44994.0</v>
      </c>
      <c r="H939" s="3">
        <v>45218.0</v>
      </c>
      <c r="I939" s="3">
        <v>45218.0</v>
      </c>
      <c r="J939" s="1" t="s">
        <v>215</v>
      </c>
      <c r="K939" s="1" t="s">
        <v>160</v>
      </c>
      <c r="L939" s="1" t="s">
        <v>216</v>
      </c>
      <c r="M939" s="1" t="s">
        <v>131</v>
      </c>
      <c r="Q939" s="1" t="s">
        <v>137</v>
      </c>
      <c r="R939" s="1" t="s">
        <v>137</v>
      </c>
      <c r="S939" s="1" t="s">
        <v>47</v>
      </c>
      <c r="T939" s="1" t="s">
        <v>4301</v>
      </c>
      <c r="U939" s="1" t="s">
        <v>1577</v>
      </c>
      <c r="V939" s="1" t="s">
        <v>4054</v>
      </c>
      <c r="W939" s="3">
        <v>45218.0</v>
      </c>
      <c r="X939" s="3">
        <v>45218.0</v>
      </c>
    </row>
    <row r="940">
      <c r="A940" s="1" t="s">
        <v>15074</v>
      </c>
      <c r="B940" s="1" t="s">
        <v>8960</v>
      </c>
      <c r="C940" s="1" t="s">
        <v>8960</v>
      </c>
      <c r="D940" s="1" t="s">
        <v>4293</v>
      </c>
      <c r="E940" s="1" t="s">
        <v>8961</v>
      </c>
      <c r="F940" s="1" t="s">
        <v>15075</v>
      </c>
      <c r="G940" s="3">
        <v>44994.0</v>
      </c>
      <c r="H940" s="3">
        <v>45218.0</v>
      </c>
      <c r="I940" s="3">
        <v>45218.0</v>
      </c>
      <c r="J940" s="1" t="s">
        <v>215</v>
      </c>
      <c r="K940" s="1" t="s">
        <v>160</v>
      </c>
      <c r="L940" s="1" t="s">
        <v>216</v>
      </c>
      <c r="M940" s="1" t="s">
        <v>131</v>
      </c>
      <c r="Q940" s="1" t="s">
        <v>137</v>
      </c>
      <c r="R940" s="1" t="s">
        <v>137</v>
      </c>
      <c r="S940" s="1" t="s">
        <v>47</v>
      </c>
      <c r="T940" s="1" t="s">
        <v>4301</v>
      </c>
      <c r="U940" s="1" t="s">
        <v>1577</v>
      </c>
      <c r="V940" s="1" t="s">
        <v>4950</v>
      </c>
      <c r="W940" s="3">
        <v>45218.0</v>
      </c>
      <c r="X940" s="3">
        <v>45218.0</v>
      </c>
    </row>
    <row r="941">
      <c r="A941" s="1" t="s">
        <v>15077</v>
      </c>
      <c r="B941" s="1" t="s">
        <v>8960</v>
      </c>
      <c r="C941" s="1" t="s">
        <v>8960</v>
      </c>
      <c r="D941" s="1" t="s">
        <v>4293</v>
      </c>
      <c r="E941" s="1" t="s">
        <v>8961</v>
      </c>
      <c r="F941" s="1" t="s">
        <v>15078</v>
      </c>
      <c r="G941" s="3">
        <v>44994.0</v>
      </c>
      <c r="H941" s="3">
        <v>45218.0</v>
      </c>
      <c r="I941" s="3">
        <v>45218.0</v>
      </c>
      <c r="J941" s="1" t="s">
        <v>215</v>
      </c>
      <c r="K941" s="1" t="s">
        <v>160</v>
      </c>
      <c r="L941" s="1" t="s">
        <v>216</v>
      </c>
      <c r="M941" s="1" t="s">
        <v>131</v>
      </c>
      <c r="Q941" s="1" t="s">
        <v>137</v>
      </c>
      <c r="R941" s="1" t="s">
        <v>137</v>
      </c>
      <c r="S941" s="1" t="s">
        <v>47</v>
      </c>
      <c r="T941" s="1" t="s">
        <v>4301</v>
      </c>
      <c r="U941" s="1" t="s">
        <v>1577</v>
      </c>
      <c r="V941" s="1" t="s">
        <v>5104</v>
      </c>
      <c r="W941" s="3">
        <v>45218.0</v>
      </c>
      <c r="X941" s="3">
        <v>45218.0</v>
      </c>
    </row>
    <row r="942">
      <c r="A942" s="1" t="s">
        <v>15079</v>
      </c>
      <c r="B942" s="1" t="s">
        <v>8960</v>
      </c>
      <c r="C942" s="1" t="s">
        <v>8960</v>
      </c>
      <c r="D942" s="1" t="s">
        <v>4293</v>
      </c>
      <c r="E942" s="1" t="s">
        <v>8961</v>
      </c>
      <c r="F942" s="1" t="s">
        <v>15080</v>
      </c>
      <c r="G942" s="3">
        <v>44994.0</v>
      </c>
      <c r="H942" s="3">
        <v>45218.0</v>
      </c>
      <c r="I942" s="3">
        <v>45218.0</v>
      </c>
      <c r="J942" s="1" t="s">
        <v>215</v>
      </c>
      <c r="K942" s="1" t="s">
        <v>160</v>
      </c>
      <c r="L942" s="1" t="s">
        <v>216</v>
      </c>
      <c r="M942" s="1" t="s">
        <v>131</v>
      </c>
      <c r="Q942" s="1" t="s">
        <v>137</v>
      </c>
      <c r="R942" s="1" t="s">
        <v>137</v>
      </c>
      <c r="S942" s="1" t="s">
        <v>47</v>
      </c>
      <c r="T942" s="1" t="s">
        <v>4301</v>
      </c>
      <c r="U942" s="1" t="s">
        <v>1577</v>
      </c>
      <c r="V942" s="1" t="s">
        <v>5120</v>
      </c>
      <c r="W942" s="3">
        <v>45218.0</v>
      </c>
      <c r="X942" s="3">
        <v>45218.0</v>
      </c>
    </row>
    <row r="943">
      <c r="A943" s="1" t="s">
        <v>15082</v>
      </c>
      <c r="B943" s="1" t="s">
        <v>7930</v>
      </c>
      <c r="C943" s="1" t="s">
        <v>7930</v>
      </c>
      <c r="D943" s="1" t="s">
        <v>4293</v>
      </c>
      <c r="E943" s="1" t="s">
        <v>8967</v>
      </c>
      <c r="F943" s="1" t="s">
        <v>15083</v>
      </c>
      <c r="G943" s="3">
        <v>44557.0</v>
      </c>
      <c r="H943" s="3">
        <v>44756.0</v>
      </c>
      <c r="I943" s="3">
        <v>44756.0</v>
      </c>
      <c r="J943" s="1" t="s">
        <v>215</v>
      </c>
      <c r="K943" s="1" t="s">
        <v>160</v>
      </c>
      <c r="L943" s="1" t="s">
        <v>216</v>
      </c>
      <c r="M943" s="1" t="s">
        <v>131</v>
      </c>
      <c r="Q943" s="1" t="s">
        <v>137</v>
      </c>
      <c r="R943" s="1" t="s">
        <v>137</v>
      </c>
      <c r="S943" s="1" t="s">
        <v>47</v>
      </c>
      <c r="T943" s="1" t="s">
        <v>4301</v>
      </c>
      <c r="U943" s="1" t="s">
        <v>1577</v>
      </c>
      <c r="V943" s="1" t="s">
        <v>3858</v>
      </c>
      <c r="W943" s="3">
        <v>44756.0</v>
      </c>
      <c r="X943" s="3">
        <v>44756.0</v>
      </c>
    </row>
    <row r="944">
      <c r="A944" s="1" t="s">
        <v>15085</v>
      </c>
      <c r="B944" s="1" t="s">
        <v>8972</v>
      </c>
      <c r="C944" s="1" t="s">
        <v>8972</v>
      </c>
      <c r="D944" s="1" t="s">
        <v>4293</v>
      </c>
      <c r="E944" s="1" t="s">
        <v>8973</v>
      </c>
      <c r="F944" s="1" t="s">
        <v>15086</v>
      </c>
      <c r="G944" s="3">
        <v>45250.0</v>
      </c>
      <c r="H944" s="3">
        <v>45499.0</v>
      </c>
      <c r="I944" s="3">
        <v>45499.0</v>
      </c>
      <c r="J944" s="1" t="s">
        <v>215</v>
      </c>
      <c r="K944" s="1" t="s">
        <v>160</v>
      </c>
      <c r="L944" s="1" t="s">
        <v>216</v>
      </c>
      <c r="M944" s="1" t="s">
        <v>131</v>
      </c>
      <c r="Q944" s="1" t="s">
        <v>137</v>
      </c>
      <c r="R944" s="1" t="s">
        <v>137</v>
      </c>
      <c r="S944" s="1" t="s">
        <v>47</v>
      </c>
      <c r="T944" s="1" t="s">
        <v>4301</v>
      </c>
      <c r="U944" s="1" t="s">
        <v>1577</v>
      </c>
      <c r="V944" s="1" t="s">
        <v>3858</v>
      </c>
      <c r="W944" s="3">
        <v>45499.0</v>
      </c>
      <c r="X944" s="3">
        <v>45499.0</v>
      </c>
    </row>
    <row r="945">
      <c r="A945" s="1" t="s">
        <v>15088</v>
      </c>
      <c r="B945" s="1" t="s">
        <v>8972</v>
      </c>
      <c r="C945" s="1" t="s">
        <v>8972</v>
      </c>
      <c r="D945" s="1" t="s">
        <v>4293</v>
      </c>
      <c r="E945" s="1" t="s">
        <v>8973</v>
      </c>
      <c r="F945" s="1" t="s">
        <v>15091</v>
      </c>
      <c r="G945" s="3">
        <v>45250.0</v>
      </c>
      <c r="H945" s="3">
        <v>45499.0</v>
      </c>
      <c r="I945" s="3">
        <v>45499.0</v>
      </c>
      <c r="J945" s="1" t="s">
        <v>215</v>
      </c>
      <c r="K945" s="1" t="s">
        <v>160</v>
      </c>
      <c r="L945" s="1" t="s">
        <v>216</v>
      </c>
      <c r="M945" s="1" t="s">
        <v>131</v>
      </c>
      <c r="Q945" s="1" t="s">
        <v>137</v>
      </c>
      <c r="R945" s="1" t="s">
        <v>137</v>
      </c>
      <c r="S945" s="1" t="s">
        <v>47</v>
      </c>
      <c r="T945" s="1" t="s">
        <v>4301</v>
      </c>
      <c r="U945" s="1" t="s">
        <v>1577</v>
      </c>
      <c r="V945" s="1" t="s">
        <v>3865</v>
      </c>
      <c r="W945" s="3">
        <v>45499.0</v>
      </c>
      <c r="X945" s="3">
        <v>45499.0</v>
      </c>
    </row>
    <row r="946">
      <c r="A946" s="1" t="s">
        <v>15093</v>
      </c>
      <c r="B946" s="1" t="s">
        <v>8979</v>
      </c>
      <c r="C946" s="1" t="s">
        <v>8979</v>
      </c>
      <c r="D946" s="1" t="s">
        <v>4293</v>
      </c>
      <c r="E946" s="1" t="s">
        <v>8981</v>
      </c>
      <c r="F946" s="1" t="s">
        <v>15094</v>
      </c>
      <c r="G946" s="3">
        <v>43623.0</v>
      </c>
      <c r="H946" s="3">
        <v>43617.0</v>
      </c>
      <c r="I946" s="3">
        <v>43617.0</v>
      </c>
      <c r="J946" s="1" t="s">
        <v>215</v>
      </c>
      <c r="K946" s="1" t="s">
        <v>160</v>
      </c>
      <c r="L946" s="1" t="s">
        <v>216</v>
      </c>
      <c r="M946" s="1" t="s">
        <v>131</v>
      </c>
      <c r="Q946" s="1" t="s">
        <v>137</v>
      </c>
      <c r="R946" s="1" t="s">
        <v>137</v>
      </c>
      <c r="S946" s="1" t="s">
        <v>47</v>
      </c>
      <c r="T946" s="1" t="s">
        <v>4301</v>
      </c>
      <c r="U946" s="1" t="s">
        <v>1577</v>
      </c>
      <c r="V946" s="1" t="s">
        <v>3858</v>
      </c>
      <c r="W946" s="3">
        <v>43617.0</v>
      </c>
      <c r="X946" s="3">
        <v>43617.0</v>
      </c>
    </row>
    <row r="947">
      <c r="A947" s="1" t="s">
        <v>15096</v>
      </c>
      <c r="B947" s="1" t="s">
        <v>8985</v>
      </c>
      <c r="C947" s="1" t="s">
        <v>8985</v>
      </c>
      <c r="D947" s="1" t="s">
        <v>4293</v>
      </c>
      <c r="E947" s="1" t="s">
        <v>8986</v>
      </c>
      <c r="F947" s="1" t="s">
        <v>15097</v>
      </c>
      <c r="G947" s="3">
        <v>45656.0</v>
      </c>
      <c r="H947" s="3">
        <v>45925.0</v>
      </c>
      <c r="I947" s="3">
        <v>45925.0</v>
      </c>
      <c r="J947" s="1" t="s">
        <v>215</v>
      </c>
      <c r="K947" s="1" t="s">
        <v>160</v>
      </c>
      <c r="L947" s="1" t="s">
        <v>216</v>
      </c>
      <c r="M947" s="1" t="s">
        <v>131</v>
      </c>
      <c r="Q947" s="1" t="s">
        <v>137</v>
      </c>
      <c r="R947" s="1" t="s">
        <v>137</v>
      </c>
      <c r="S947" s="1" t="s">
        <v>47</v>
      </c>
      <c r="T947" s="1" t="s">
        <v>4301</v>
      </c>
      <c r="U947" s="1" t="s">
        <v>1577</v>
      </c>
      <c r="V947" s="1" t="s">
        <v>3858</v>
      </c>
      <c r="W947" s="3">
        <v>45925.0</v>
      </c>
      <c r="X947" s="3">
        <v>45925.0</v>
      </c>
    </row>
    <row r="948">
      <c r="A948" s="1" t="s">
        <v>15099</v>
      </c>
      <c r="B948" s="1" t="s">
        <v>8995</v>
      </c>
      <c r="C948" s="1" t="s">
        <v>8995</v>
      </c>
      <c r="D948" s="1" t="s">
        <v>4293</v>
      </c>
      <c r="E948" s="1" t="s">
        <v>8996</v>
      </c>
      <c r="F948" s="1" t="s">
        <v>15100</v>
      </c>
      <c r="G948" s="3">
        <v>45251.0</v>
      </c>
      <c r="H948" s="3">
        <v>45491.0</v>
      </c>
      <c r="I948" s="3">
        <v>45491.0</v>
      </c>
      <c r="J948" s="1" t="s">
        <v>215</v>
      </c>
      <c r="K948" s="1" t="s">
        <v>160</v>
      </c>
      <c r="L948" s="1" t="s">
        <v>216</v>
      </c>
      <c r="M948" s="1" t="s">
        <v>131</v>
      </c>
      <c r="Q948" s="1" t="s">
        <v>137</v>
      </c>
      <c r="R948" s="1" t="s">
        <v>137</v>
      </c>
      <c r="S948" s="1" t="s">
        <v>47</v>
      </c>
      <c r="T948" s="1" t="s">
        <v>4301</v>
      </c>
      <c r="U948" s="1" t="s">
        <v>1577</v>
      </c>
      <c r="V948" s="1" t="s">
        <v>3858</v>
      </c>
      <c r="W948" s="3">
        <v>45491.0</v>
      </c>
      <c r="X948" s="3">
        <v>45491.0</v>
      </c>
    </row>
    <row r="949">
      <c r="A949" s="1" t="s">
        <v>15103</v>
      </c>
      <c r="B949" s="1" t="s">
        <v>8995</v>
      </c>
      <c r="C949" s="1" t="s">
        <v>8995</v>
      </c>
      <c r="D949" s="1" t="s">
        <v>4293</v>
      </c>
      <c r="E949" s="1" t="s">
        <v>8996</v>
      </c>
      <c r="F949" s="1" t="s">
        <v>15104</v>
      </c>
      <c r="G949" s="3">
        <v>45251.0</v>
      </c>
      <c r="H949" s="3">
        <v>45491.0</v>
      </c>
      <c r="I949" s="3">
        <v>45491.0</v>
      </c>
      <c r="J949" s="1" t="s">
        <v>215</v>
      </c>
      <c r="K949" s="1" t="s">
        <v>160</v>
      </c>
      <c r="L949" s="1" t="s">
        <v>216</v>
      </c>
      <c r="M949" s="1" t="s">
        <v>131</v>
      </c>
      <c r="Q949" s="1" t="s">
        <v>137</v>
      </c>
      <c r="R949" s="1" t="s">
        <v>137</v>
      </c>
      <c r="S949" s="1" t="s">
        <v>47</v>
      </c>
      <c r="T949" s="1" t="s">
        <v>4301</v>
      </c>
      <c r="U949" s="1" t="s">
        <v>1577</v>
      </c>
      <c r="V949" s="1" t="s">
        <v>4950</v>
      </c>
      <c r="W949" s="3">
        <v>45491.0</v>
      </c>
      <c r="X949" s="3">
        <v>45491.0</v>
      </c>
    </row>
    <row r="950">
      <c r="A950" s="1" t="s">
        <v>15106</v>
      </c>
      <c r="B950" s="1" t="s">
        <v>9003</v>
      </c>
      <c r="C950" s="1" t="s">
        <v>9003</v>
      </c>
      <c r="D950" s="1" t="s">
        <v>4293</v>
      </c>
      <c r="E950" s="1" t="s">
        <v>9004</v>
      </c>
      <c r="F950" s="1" t="s">
        <v>15108</v>
      </c>
      <c r="G950" s="3">
        <v>45187.0</v>
      </c>
      <c r="H950" s="3">
        <v>45454.0</v>
      </c>
      <c r="I950" s="3">
        <v>45454.0</v>
      </c>
      <c r="J950" s="1" t="s">
        <v>215</v>
      </c>
      <c r="K950" s="1" t="s">
        <v>160</v>
      </c>
      <c r="L950" s="1" t="s">
        <v>216</v>
      </c>
      <c r="M950" s="1" t="s">
        <v>131</v>
      </c>
      <c r="Q950" s="1" t="s">
        <v>137</v>
      </c>
      <c r="R950" s="1" t="s">
        <v>137</v>
      </c>
      <c r="S950" s="1" t="s">
        <v>47</v>
      </c>
      <c r="T950" s="1" t="s">
        <v>4301</v>
      </c>
      <c r="U950" s="1" t="s">
        <v>1577</v>
      </c>
      <c r="V950" s="1" t="s">
        <v>3858</v>
      </c>
      <c r="W950" s="3">
        <v>45454.0</v>
      </c>
      <c r="X950" s="3">
        <v>45454.0</v>
      </c>
    </row>
    <row r="951">
      <c r="A951" s="1" t="s">
        <v>15109</v>
      </c>
      <c r="B951" s="1" t="s">
        <v>9003</v>
      </c>
      <c r="C951" s="1" t="s">
        <v>9003</v>
      </c>
      <c r="D951" s="1" t="s">
        <v>4293</v>
      </c>
      <c r="E951" s="1" t="s">
        <v>9004</v>
      </c>
      <c r="F951" s="1" t="s">
        <v>15111</v>
      </c>
      <c r="G951" s="3">
        <v>45187.0</v>
      </c>
      <c r="H951" s="3">
        <v>45454.0</v>
      </c>
      <c r="I951" s="3">
        <v>45454.0</v>
      </c>
      <c r="J951" s="1" t="s">
        <v>215</v>
      </c>
      <c r="K951" s="1" t="s">
        <v>160</v>
      </c>
      <c r="L951" s="1" t="s">
        <v>216</v>
      </c>
      <c r="M951" s="1" t="s">
        <v>131</v>
      </c>
      <c r="Q951" s="1" t="s">
        <v>137</v>
      </c>
      <c r="R951" s="1" t="s">
        <v>137</v>
      </c>
      <c r="S951" s="1" t="s">
        <v>47</v>
      </c>
      <c r="T951" s="1" t="s">
        <v>4301</v>
      </c>
      <c r="U951" s="1" t="s">
        <v>1577</v>
      </c>
      <c r="V951" s="1" t="s">
        <v>4950</v>
      </c>
      <c r="W951" s="3">
        <v>45454.0</v>
      </c>
      <c r="X951" s="3">
        <v>45454.0</v>
      </c>
    </row>
    <row r="952">
      <c r="A952" s="1" t="s">
        <v>15113</v>
      </c>
      <c r="B952" s="1" t="s">
        <v>9015</v>
      </c>
      <c r="C952" s="1" t="s">
        <v>9015</v>
      </c>
      <c r="D952" s="1" t="s">
        <v>4293</v>
      </c>
      <c r="E952" s="1" t="s">
        <v>9017</v>
      </c>
      <c r="F952" s="1" t="s">
        <v>15114</v>
      </c>
      <c r="G952" s="3">
        <v>44314.0</v>
      </c>
      <c r="H952" s="3">
        <v>44314.0</v>
      </c>
      <c r="I952" s="3">
        <v>44314.0</v>
      </c>
      <c r="J952" s="1" t="s">
        <v>215</v>
      </c>
      <c r="K952" s="1" t="s">
        <v>160</v>
      </c>
      <c r="L952" s="1" t="s">
        <v>216</v>
      </c>
      <c r="M952" s="1" t="s">
        <v>131</v>
      </c>
      <c r="Q952" s="1" t="s">
        <v>137</v>
      </c>
      <c r="R952" s="1" t="s">
        <v>137</v>
      </c>
      <c r="S952" s="1" t="s">
        <v>47</v>
      </c>
      <c r="T952" s="1" t="s">
        <v>4301</v>
      </c>
      <c r="U952" s="1" t="s">
        <v>1577</v>
      </c>
      <c r="V952" s="1" t="s">
        <v>3858</v>
      </c>
      <c r="W952" s="3">
        <v>44314.0</v>
      </c>
      <c r="X952" s="3">
        <v>44314.0</v>
      </c>
    </row>
    <row r="953">
      <c r="A953" s="1" t="s">
        <v>15116</v>
      </c>
      <c r="B953" s="1" t="s">
        <v>9027</v>
      </c>
      <c r="C953" s="1" t="s">
        <v>9027</v>
      </c>
      <c r="D953" s="1" t="s">
        <v>4293</v>
      </c>
      <c r="E953" s="1" t="s">
        <v>9029</v>
      </c>
      <c r="F953" s="1" t="s">
        <v>15117</v>
      </c>
      <c r="G953" s="3">
        <v>45176.0</v>
      </c>
      <c r="H953" s="3">
        <v>45393.0</v>
      </c>
      <c r="I953" s="3">
        <v>45393.0</v>
      </c>
      <c r="J953" s="1" t="s">
        <v>215</v>
      </c>
      <c r="K953" s="1" t="s">
        <v>160</v>
      </c>
      <c r="L953" s="1" t="s">
        <v>216</v>
      </c>
      <c r="M953" s="1" t="s">
        <v>131</v>
      </c>
      <c r="Q953" s="1" t="s">
        <v>137</v>
      </c>
      <c r="R953" s="1" t="s">
        <v>137</v>
      </c>
      <c r="S953" s="1" t="s">
        <v>47</v>
      </c>
      <c r="T953" s="1" t="s">
        <v>4301</v>
      </c>
      <c r="U953" s="1" t="s">
        <v>1577</v>
      </c>
      <c r="V953" s="1" t="s">
        <v>3858</v>
      </c>
      <c r="W953" s="3">
        <v>45393.0</v>
      </c>
      <c r="X953" s="3">
        <v>45393.0</v>
      </c>
    </row>
    <row r="954">
      <c r="A954" s="1" t="s">
        <v>15119</v>
      </c>
      <c r="B954" s="1" t="s">
        <v>5823</v>
      </c>
      <c r="C954" s="1" t="s">
        <v>5823</v>
      </c>
      <c r="D954" s="1" t="s">
        <v>4293</v>
      </c>
      <c r="E954" s="1" t="s">
        <v>9042</v>
      </c>
      <c r="F954" s="1" t="s">
        <v>15120</v>
      </c>
      <c r="G954" s="3">
        <v>45106.0</v>
      </c>
      <c r="H954" s="3">
        <v>45426.0</v>
      </c>
      <c r="I954" s="3">
        <v>45426.0</v>
      </c>
      <c r="J954" s="1" t="s">
        <v>215</v>
      </c>
      <c r="K954" s="1" t="s">
        <v>160</v>
      </c>
      <c r="L954" s="1" t="s">
        <v>216</v>
      </c>
      <c r="M954" s="1" t="s">
        <v>131</v>
      </c>
      <c r="Q954" s="1" t="s">
        <v>137</v>
      </c>
      <c r="R954" s="1" t="s">
        <v>137</v>
      </c>
      <c r="S954" s="1" t="s">
        <v>47</v>
      </c>
      <c r="T954" s="1" t="s">
        <v>4301</v>
      </c>
      <c r="U954" s="1" t="s">
        <v>1577</v>
      </c>
      <c r="V954" s="1" t="s">
        <v>3858</v>
      </c>
      <c r="W954" s="3">
        <v>45426.0</v>
      </c>
      <c r="X954" s="3">
        <v>45426.0</v>
      </c>
    </row>
    <row r="955">
      <c r="A955" s="1" t="s">
        <v>15122</v>
      </c>
      <c r="B955" s="1" t="s">
        <v>5823</v>
      </c>
      <c r="C955" s="1" t="s">
        <v>5823</v>
      </c>
      <c r="D955" s="1" t="s">
        <v>4293</v>
      </c>
      <c r="E955" s="1" t="s">
        <v>9042</v>
      </c>
      <c r="F955" s="1" t="s">
        <v>15123</v>
      </c>
      <c r="G955" s="3">
        <v>45106.0</v>
      </c>
      <c r="H955" s="3">
        <v>45426.0</v>
      </c>
      <c r="I955" s="3">
        <v>45426.0</v>
      </c>
      <c r="J955" s="1" t="s">
        <v>215</v>
      </c>
      <c r="K955" s="1" t="s">
        <v>160</v>
      </c>
      <c r="L955" s="1" t="s">
        <v>216</v>
      </c>
      <c r="M955" s="1" t="s">
        <v>131</v>
      </c>
      <c r="Q955" s="1" t="s">
        <v>137</v>
      </c>
      <c r="R955" s="1" t="s">
        <v>137</v>
      </c>
      <c r="S955" s="1" t="s">
        <v>47</v>
      </c>
      <c r="T955" s="1" t="s">
        <v>4301</v>
      </c>
      <c r="U955" s="1" t="s">
        <v>1577</v>
      </c>
      <c r="V955" s="1" t="s">
        <v>3865</v>
      </c>
      <c r="W955" s="3">
        <v>45426.0</v>
      </c>
      <c r="X955" s="3">
        <v>45426.0</v>
      </c>
    </row>
    <row r="956">
      <c r="A956" s="1" t="s">
        <v>15125</v>
      </c>
      <c r="B956" s="1" t="s">
        <v>5823</v>
      </c>
      <c r="C956" s="1" t="s">
        <v>5823</v>
      </c>
      <c r="D956" s="1" t="s">
        <v>4293</v>
      </c>
      <c r="E956" s="1" t="s">
        <v>9042</v>
      </c>
      <c r="F956" s="1" t="s">
        <v>15126</v>
      </c>
      <c r="G956" s="3">
        <v>45106.0</v>
      </c>
      <c r="H956" s="3">
        <v>45426.0</v>
      </c>
      <c r="I956" s="3">
        <v>45426.0</v>
      </c>
      <c r="J956" s="1" t="s">
        <v>215</v>
      </c>
      <c r="K956" s="1" t="s">
        <v>160</v>
      </c>
      <c r="L956" s="1" t="s">
        <v>216</v>
      </c>
      <c r="M956" s="1" t="s">
        <v>131</v>
      </c>
      <c r="Q956" s="1" t="s">
        <v>137</v>
      </c>
      <c r="R956" s="1" t="s">
        <v>137</v>
      </c>
      <c r="S956" s="1" t="s">
        <v>47</v>
      </c>
      <c r="T956" s="1" t="s">
        <v>4301</v>
      </c>
      <c r="U956" s="1" t="s">
        <v>1577</v>
      </c>
      <c r="V956" s="1" t="s">
        <v>4950</v>
      </c>
      <c r="W956" s="3">
        <v>45426.0</v>
      </c>
      <c r="X956" s="3">
        <v>45426.0</v>
      </c>
    </row>
    <row r="957">
      <c r="A957" s="1" t="s">
        <v>15128</v>
      </c>
      <c r="B957" s="1" t="s">
        <v>13961</v>
      </c>
      <c r="C957" s="1" t="s">
        <v>13961</v>
      </c>
      <c r="D957" s="1" t="s">
        <v>4293</v>
      </c>
      <c r="E957" s="1" t="s">
        <v>15129</v>
      </c>
      <c r="F957" s="1" t="s">
        <v>15130</v>
      </c>
      <c r="G957" s="3">
        <v>45831.0</v>
      </c>
      <c r="H957" s="3"/>
      <c r="I957" s="3"/>
      <c r="J957" s="1" t="s">
        <v>124</v>
      </c>
      <c r="K957" s="1" t="s">
        <v>160</v>
      </c>
      <c r="L957" s="1" t="s">
        <v>253</v>
      </c>
      <c r="M957" s="1" t="s">
        <v>131</v>
      </c>
      <c r="Q957" s="1" t="s">
        <v>137</v>
      </c>
      <c r="R957" s="1" t="s">
        <v>137</v>
      </c>
      <c r="S957" s="1" t="s">
        <v>47</v>
      </c>
      <c r="T957" s="1" t="s">
        <v>4301</v>
      </c>
      <c r="U957" s="1" t="s">
        <v>1577</v>
      </c>
      <c r="V957" s="1" t="s">
        <v>3858</v>
      </c>
      <c r="W957" s="3"/>
      <c r="X957" s="3"/>
    </row>
    <row r="958">
      <c r="A958" s="1" t="s">
        <v>15133</v>
      </c>
      <c r="B958" s="1" t="s">
        <v>13961</v>
      </c>
      <c r="C958" s="1" t="s">
        <v>13961</v>
      </c>
      <c r="D958" s="1" t="s">
        <v>4293</v>
      </c>
      <c r="E958" s="1" t="s">
        <v>15129</v>
      </c>
      <c r="F958" s="1" t="s">
        <v>15134</v>
      </c>
      <c r="G958" s="3">
        <v>45831.0</v>
      </c>
      <c r="H958" s="3"/>
      <c r="I958" s="3"/>
      <c r="J958" s="1" t="s">
        <v>124</v>
      </c>
      <c r="K958" s="1" t="s">
        <v>160</v>
      </c>
      <c r="L958" s="1" t="s">
        <v>253</v>
      </c>
      <c r="M958" s="1" t="s">
        <v>131</v>
      </c>
      <c r="Q958" s="1" t="s">
        <v>137</v>
      </c>
      <c r="R958" s="1" t="s">
        <v>137</v>
      </c>
      <c r="S958" s="1" t="s">
        <v>47</v>
      </c>
      <c r="T958" s="1" t="s">
        <v>4301</v>
      </c>
      <c r="U958" s="1" t="s">
        <v>1577</v>
      </c>
      <c r="V958" s="1" t="s">
        <v>4950</v>
      </c>
      <c r="W958" s="3"/>
      <c r="X958" s="3"/>
    </row>
    <row r="959">
      <c r="A959" s="1" t="s">
        <v>15136</v>
      </c>
      <c r="B959" s="1" t="s">
        <v>9050</v>
      </c>
      <c r="C959" s="1" t="s">
        <v>9050</v>
      </c>
      <c r="D959" s="1" t="s">
        <v>4293</v>
      </c>
      <c r="E959" s="1" t="s">
        <v>9053</v>
      </c>
      <c r="F959" s="1" t="s">
        <v>15137</v>
      </c>
      <c r="G959" s="3">
        <v>45278.0</v>
      </c>
      <c r="H959" s="3">
        <v>45696.0</v>
      </c>
      <c r="I959" s="3">
        <v>45696.0</v>
      </c>
      <c r="J959" s="1" t="s">
        <v>215</v>
      </c>
      <c r="K959" s="1" t="s">
        <v>160</v>
      </c>
      <c r="L959" s="1" t="s">
        <v>216</v>
      </c>
      <c r="M959" s="1" t="s">
        <v>131</v>
      </c>
      <c r="Q959" s="1" t="s">
        <v>137</v>
      </c>
      <c r="R959" s="1" t="s">
        <v>137</v>
      </c>
      <c r="S959" s="1" t="s">
        <v>47</v>
      </c>
      <c r="T959" s="1" t="s">
        <v>4301</v>
      </c>
      <c r="U959" s="1" t="s">
        <v>1577</v>
      </c>
      <c r="V959" s="1" t="s">
        <v>3963</v>
      </c>
      <c r="W959" s="3">
        <v>45696.0</v>
      </c>
      <c r="X959" s="3">
        <v>45696.0</v>
      </c>
    </row>
    <row r="960">
      <c r="A960" s="1" t="s">
        <v>15139</v>
      </c>
      <c r="B960" s="1" t="s">
        <v>4749</v>
      </c>
      <c r="C960" s="1" t="s">
        <v>4749</v>
      </c>
      <c r="D960" s="1" t="s">
        <v>4293</v>
      </c>
      <c r="E960" s="1" t="s">
        <v>9063</v>
      </c>
      <c r="F960" s="1" t="s">
        <v>15141</v>
      </c>
      <c r="G960" s="3">
        <v>44400.0</v>
      </c>
      <c r="H960" s="3">
        <v>44402.0</v>
      </c>
      <c r="I960" s="3">
        <v>44402.0</v>
      </c>
      <c r="J960" s="1" t="s">
        <v>215</v>
      </c>
      <c r="K960" s="1" t="s">
        <v>160</v>
      </c>
      <c r="L960" s="1" t="s">
        <v>216</v>
      </c>
      <c r="M960" s="1" t="s">
        <v>131</v>
      </c>
      <c r="Q960" s="1" t="s">
        <v>137</v>
      </c>
      <c r="R960" s="1" t="s">
        <v>137</v>
      </c>
      <c r="S960" s="1" t="s">
        <v>47</v>
      </c>
      <c r="T960" s="1" t="s">
        <v>4301</v>
      </c>
      <c r="U960" s="1" t="s">
        <v>1577</v>
      </c>
      <c r="V960" s="1" t="s">
        <v>3858</v>
      </c>
      <c r="W960" s="3">
        <v>44402.0</v>
      </c>
      <c r="X960" s="3">
        <v>44402.0</v>
      </c>
    </row>
    <row r="961">
      <c r="A961" s="1" t="s">
        <v>15143</v>
      </c>
      <c r="B961" s="1" t="s">
        <v>8310</v>
      </c>
      <c r="C961" s="1" t="s">
        <v>8310</v>
      </c>
      <c r="D961" s="1" t="s">
        <v>4293</v>
      </c>
      <c r="E961" s="1" t="s">
        <v>9074</v>
      </c>
      <c r="F961" s="1" t="s">
        <v>15144</v>
      </c>
      <c r="G961" s="3">
        <v>44553.0</v>
      </c>
      <c r="H961" s="3">
        <v>44552.0</v>
      </c>
      <c r="I961" s="3">
        <v>44552.0</v>
      </c>
      <c r="J961" s="1" t="s">
        <v>215</v>
      </c>
      <c r="K961" s="1" t="s">
        <v>160</v>
      </c>
      <c r="L961" s="1" t="s">
        <v>216</v>
      </c>
      <c r="M961" s="1" t="s">
        <v>131</v>
      </c>
      <c r="Q961" s="1" t="s">
        <v>137</v>
      </c>
      <c r="R961" s="1" t="s">
        <v>137</v>
      </c>
      <c r="S961" s="1" t="s">
        <v>47</v>
      </c>
      <c r="T961" s="1" t="s">
        <v>4301</v>
      </c>
      <c r="U961" s="1" t="s">
        <v>1577</v>
      </c>
      <c r="V961" s="1" t="s">
        <v>3858</v>
      </c>
      <c r="W961" s="3">
        <v>44552.0</v>
      </c>
      <c r="X961" s="3">
        <v>44552.0</v>
      </c>
    </row>
    <row r="962">
      <c r="A962" s="1" t="s">
        <v>15146</v>
      </c>
      <c r="B962" s="1" t="s">
        <v>13965</v>
      </c>
      <c r="C962" s="1" t="s">
        <v>13965</v>
      </c>
      <c r="D962" s="1" t="s">
        <v>4293</v>
      </c>
      <c r="E962" s="1" t="s">
        <v>15147</v>
      </c>
      <c r="F962" s="1" t="s">
        <v>15148</v>
      </c>
      <c r="G962" s="3">
        <v>45645.0</v>
      </c>
      <c r="H962" s="3"/>
      <c r="I962" s="3"/>
      <c r="J962" s="1" t="s">
        <v>124</v>
      </c>
      <c r="K962" s="1" t="s">
        <v>160</v>
      </c>
      <c r="L962" s="1" t="s">
        <v>253</v>
      </c>
      <c r="M962" s="1" t="s">
        <v>131</v>
      </c>
      <c r="Q962" s="1" t="s">
        <v>137</v>
      </c>
      <c r="R962" s="1" t="s">
        <v>137</v>
      </c>
      <c r="S962" s="1" t="s">
        <v>47</v>
      </c>
      <c r="T962" s="1" t="s">
        <v>4301</v>
      </c>
      <c r="U962" s="1" t="s">
        <v>1577</v>
      </c>
      <c r="V962" s="1" t="s">
        <v>3858</v>
      </c>
      <c r="W962" s="3"/>
      <c r="X962" s="13"/>
    </row>
    <row r="963">
      <c r="A963" s="1" t="s">
        <v>15150</v>
      </c>
      <c r="B963" s="1" t="s">
        <v>13965</v>
      </c>
      <c r="C963" s="1" t="s">
        <v>13965</v>
      </c>
      <c r="D963" s="1" t="s">
        <v>4293</v>
      </c>
      <c r="E963" s="1" t="s">
        <v>15147</v>
      </c>
      <c r="F963" s="1" t="s">
        <v>15152</v>
      </c>
      <c r="G963" s="3">
        <v>45645.0</v>
      </c>
      <c r="H963" s="3"/>
      <c r="I963" s="3"/>
      <c r="J963" s="1" t="s">
        <v>124</v>
      </c>
      <c r="K963" s="1" t="s">
        <v>160</v>
      </c>
      <c r="L963" s="1" t="s">
        <v>253</v>
      </c>
      <c r="M963" s="1" t="s">
        <v>131</v>
      </c>
      <c r="Q963" s="1" t="s">
        <v>137</v>
      </c>
      <c r="R963" s="1" t="s">
        <v>137</v>
      </c>
      <c r="S963" s="1" t="s">
        <v>47</v>
      </c>
      <c r="T963" s="1" t="s">
        <v>4301</v>
      </c>
      <c r="U963" s="1" t="s">
        <v>1577</v>
      </c>
      <c r="V963" s="1" t="s">
        <v>4950</v>
      </c>
      <c r="W963" s="3"/>
      <c r="X963" s="3"/>
    </row>
    <row r="964">
      <c r="A964" s="1" t="s">
        <v>15153</v>
      </c>
      <c r="B964" s="1" t="s">
        <v>4826</v>
      </c>
      <c r="C964" s="1" t="s">
        <v>4826</v>
      </c>
      <c r="D964" s="1" t="s">
        <v>4293</v>
      </c>
      <c r="E964" s="1" t="s">
        <v>9081</v>
      </c>
      <c r="F964" s="1" t="s">
        <v>15155</v>
      </c>
      <c r="G964" s="3">
        <v>45278.0</v>
      </c>
      <c r="H964" s="3">
        <v>45366.0</v>
      </c>
      <c r="I964" s="3">
        <v>45366.0</v>
      </c>
      <c r="J964" s="1" t="s">
        <v>215</v>
      </c>
      <c r="K964" s="1" t="s">
        <v>160</v>
      </c>
      <c r="L964" s="1" t="s">
        <v>216</v>
      </c>
      <c r="M964" s="1" t="s">
        <v>131</v>
      </c>
      <c r="Q964" s="1" t="s">
        <v>137</v>
      </c>
      <c r="R964" s="1" t="s">
        <v>137</v>
      </c>
      <c r="S964" s="1" t="s">
        <v>47</v>
      </c>
      <c r="T964" s="1" t="s">
        <v>4301</v>
      </c>
      <c r="U964" s="1" t="s">
        <v>1577</v>
      </c>
      <c r="V964" s="1" t="s">
        <v>3858</v>
      </c>
      <c r="W964" s="3">
        <v>45366.0</v>
      </c>
      <c r="X964" s="3">
        <v>45366.0</v>
      </c>
    </row>
    <row r="965">
      <c r="A965" s="1" t="s">
        <v>15157</v>
      </c>
      <c r="B965" s="1" t="s">
        <v>4826</v>
      </c>
      <c r="C965" s="1" t="s">
        <v>4826</v>
      </c>
      <c r="D965" s="1" t="s">
        <v>4293</v>
      </c>
      <c r="E965" s="1" t="s">
        <v>9081</v>
      </c>
      <c r="F965" s="1" t="s">
        <v>15158</v>
      </c>
      <c r="G965" s="3">
        <v>45278.0</v>
      </c>
      <c r="H965" s="3">
        <v>45366.0</v>
      </c>
      <c r="I965" s="3">
        <v>45366.0</v>
      </c>
      <c r="J965" s="1" t="s">
        <v>215</v>
      </c>
      <c r="K965" s="1" t="s">
        <v>160</v>
      </c>
      <c r="L965" s="1" t="s">
        <v>216</v>
      </c>
      <c r="M965" s="1" t="s">
        <v>131</v>
      </c>
      <c r="Q965" s="1" t="s">
        <v>137</v>
      </c>
      <c r="R965" s="1" t="s">
        <v>137</v>
      </c>
      <c r="S965" s="1" t="s">
        <v>47</v>
      </c>
      <c r="T965" s="1" t="s">
        <v>4301</v>
      </c>
      <c r="U965" s="1" t="s">
        <v>1577</v>
      </c>
      <c r="V965" s="1" t="s">
        <v>4679</v>
      </c>
      <c r="W965" s="3">
        <v>45366.0</v>
      </c>
      <c r="X965" s="3">
        <v>45366.0</v>
      </c>
    </row>
    <row r="966">
      <c r="A966" s="1" t="s">
        <v>15159</v>
      </c>
      <c r="B966" s="1" t="s">
        <v>4826</v>
      </c>
      <c r="C966" s="1" t="s">
        <v>4826</v>
      </c>
      <c r="D966" s="1" t="s">
        <v>4293</v>
      </c>
      <c r="E966" s="1" t="s">
        <v>9081</v>
      </c>
      <c r="F966" s="1" t="s">
        <v>15160</v>
      </c>
      <c r="G966" s="3">
        <v>45278.0</v>
      </c>
      <c r="H966" s="3">
        <v>45366.0</v>
      </c>
      <c r="I966" s="3">
        <v>45366.0</v>
      </c>
      <c r="J966" s="1" t="s">
        <v>215</v>
      </c>
      <c r="K966" s="1" t="s">
        <v>160</v>
      </c>
      <c r="L966" s="1" t="s">
        <v>216</v>
      </c>
      <c r="M966" s="1" t="s">
        <v>131</v>
      </c>
      <c r="Q966" s="1" t="s">
        <v>137</v>
      </c>
      <c r="R966" s="1" t="s">
        <v>137</v>
      </c>
      <c r="S966" s="1" t="s">
        <v>47</v>
      </c>
      <c r="T966" s="1" t="s">
        <v>4301</v>
      </c>
      <c r="U966" s="1" t="s">
        <v>1577</v>
      </c>
      <c r="V966" s="1" t="s">
        <v>4950</v>
      </c>
      <c r="W966" s="3">
        <v>45366.0</v>
      </c>
      <c r="X966" s="3">
        <v>45366.0</v>
      </c>
    </row>
    <row r="967">
      <c r="A967" s="1" t="s">
        <v>15163</v>
      </c>
      <c r="B967" s="1" t="s">
        <v>4826</v>
      </c>
      <c r="C967" s="1" t="s">
        <v>4826</v>
      </c>
      <c r="D967" s="1" t="s">
        <v>4293</v>
      </c>
      <c r="E967" s="1" t="s">
        <v>9081</v>
      </c>
      <c r="F967" s="1" t="s">
        <v>15164</v>
      </c>
      <c r="G967" s="3">
        <v>45278.0</v>
      </c>
      <c r="H967" s="3">
        <v>45366.0</v>
      </c>
      <c r="I967" s="3">
        <v>45366.0</v>
      </c>
      <c r="J967" s="1" t="s">
        <v>215</v>
      </c>
      <c r="K967" s="1" t="s">
        <v>160</v>
      </c>
      <c r="L967" s="1" t="s">
        <v>216</v>
      </c>
      <c r="M967" s="1" t="s">
        <v>131</v>
      </c>
      <c r="Q967" s="1" t="s">
        <v>137</v>
      </c>
      <c r="R967" s="1" t="s">
        <v>137</v>
      </c>
      <c r="S967" s="1" t="s">
        <v>47</v>
      </c>
      <c r="T967" s="1" t="s">
        <v>4301</v>
      </c>
      <c r="U967" s="1" t="s">
        <v>1577</v>
      </c>
      <c r="V967" s="1" t="s">
        <v>5104</v>
      </c>
      <c r="W967" s="3">
        <v>45366.0</v>
      </c>
      <c r="X967" s="3">
        <v>45366.0</v>
      </c>
    </row>
    <row r="968">
      <c r="A968" s="1" t="s">
        <v>15165</v>
      </c>
      <c r="B968" s="1" t="s">
        <v>4826</v>
      </c>
      <c r="C968" s="1" t="s">
        <v>4826</v>
      </c>
      <c r="D968" s="1" t="s">
        <v>4293</v>
      </c>
      <c r="E968" s="1" t="s">
        <v>9081</v>
      </c>
      <c r="F968" s="1" t="s">
        <v>15166</v>
      </c>
      <c r="G968" s="3">
        <v>45278.0</v>
      </c>
      <c r="H968" s="3">
        <v>45366.0</v>
      </c>
      <c r="I968" s="3">
        <v>45366.0</v>
      </c>
      <c r="J968" s="1" t="s">
        <v>215</v>
      </c>
      <c r="K968" s="1" t="s">
        <v>160</v>
      </c>
      <c r="L968" s="1" t="s">
        <v>216</v>
      </c>
      <c r="M968" s="1" t="s">
        <v>131</v>
      </c>
      <c r="Q968" s="1" t="s">
        <v>137</v>
      </c>
      <c r="R968" s="1" t="s">
        <v>137</v>
      </c>
      <c r="S968" s="1" t="s">
        <v>47</v>
      </c>
      <c r="T968" s="1" t="s">
        <v>4301</v>
      </c>
      <c r="U968" s="1" t="s">
        <v>1577</v>
      </c>
      <c r="V968" s="1" t="s">
        <v>5120</v>
      </c>
      <c r="W968" s="3">
        <v>45366.0</v>
      </c>
      <c r="X968" s="3">
        <v>45366.0</v>
      </c>
    </row>
    <row r="969">
      <c r="A969" s="1" t="s">
        <v>15168</v>
      </c>
      <c r="B969" s="1" t="s">
        <v>9089</v>
      </c>
      <c r="C969" s="1" t="s">
        <v>9089</v>
      </c>
      <c r="D969" s="1" t="s">
        <v>4293</v>
      </c>
      <c r="E969" s="1" t="s">
        <v>9092</v>
      </c>
      <c r="F969" s="1" t="s">
        <v>15170</v>
      </c>
      <c r="G969" s="3">
        <v>45496.0</v>
      </c>
      <c r="H969" s="3">
        <v>45743.0</v>
      </c>
      <c r="I969" s="3">
        <v>45743.0</v>
      </c>
      <c r="J969" s="1" t="s">
        <v>215</v>
      </c>
      <c r="K969" s="1" t="s">
        <v>160</v>
      </c>
      <c r="L969" s="1" t="s">
        <v>216</v>
      </c>
      <c r="M969" s="1" t="s">
        <v>131</v>
      </c>
      <c r="Q969" s="1" t="s">
        <v>137</v>
      </c>
      <c r="R969" s="1" t="s">
        <v>137</v>
      </c>
      <c r="S969" s="1" t="s">
        <v>47</v>
      </c>
      <c r="T969" s="1" t="s">
        <v>4301</v>
      </c>
      <c r="U969" s="1" t="s">
        <v>1577</v>
      </c>
      <c r="V969" s="1" t="s">
        <v>3858</v>
      </c>
      <c r="W969" s="3">
        <v>45743.0</v>
      </c>
      <c r="X969" s="3">
        <v>45743.0</v>
      </c>
    </row>
    <row r="970">
      <c r="A970" s="1" t="s">
        <v>15172</v>
      </c>
      <c r="B970" s="1" t="s">
        <v>9089</v>
      </c>
      <c r="C970" s="1" t="s">
        <v>9089</v>
      </c>
      <c r="D970" s="1" t="s">
        <v>4293</v>
      </c>
      <c r="E970" s="1" t="s">
        <v>9092</v>
      </c>
      <c r="F970" s="1" t="s">
        <v>15173</v>
      </c>
      <c r="G970" s="3">
        <v>45496.0</v>
      </c>
      <c r="H970" s="3">
        <v>45743.0</v>
      </c>
      <c r="I970" s="3">
        <v>45743.0</v>
      </c>
      <c r="J970" s="1" t="s">
        <v>215</v>
      </c>
      <c r="K970" s="1" t="s">
        <v>160</v>
      </c>
      <c r="L970" s="1" t="s">
        <v>216</v>
      </c>
      <c r="M970" s="1" t="s">
        <v>131</v>
      </c>
      <c r="Q970" s="1" t="s">
        <v>137</v>
      </c>
      <c r="R970" s="1" t="s">
        <v>137</v>
      </c>
      <c r="S970" s="1" t="s">
        <v>47</v>
      </c>
      <c r="T970" s="1" t="s">
        <v>4301</v>
      </c>
      <c r="U970" s="1" t="s">
        <v>1577</v>
      </c>
      <c r="V970" s="1" t="s">
        <v>4950</v>
      </c>
      <c r="W970" s="3">
        <v>45743.0</v>
      </c>
      <c r="X970" s="3">
        <v>45743.0</v>
      </c>
    </row>
    <row r="971">
      <c r="A971" s="1" t="s">
        <v>15175</v>
      </c>
      <c r="B971" s="1" t="s">
        <v>9102</v>
      </c>
      <c r="C971" s="1" t="s">
        <v>9102</v>
      </c>
      <c r="D971" s="1" t="s">
        <v>4293</v>
      </c>
      <c r="E971" s="1" t="s">
        <v>9103</v>
      </c>
      <c r="F971" s="1" t="s">
        <v>15177</v>
      </c>
      <c r="G971" s="3">
        <v>45926.0</v>
      </c>
      <c r="H971" s="3">
        <v>45908.0</v>
      </c>
      <c r="I971" s="3">
        <v>45908.0</v>
      </c>
      <c r="J971" s="1" t="s">
        <v>215</v>
      </c>
      <c r="K971" s="1" t="s">
        <v>160</v>
      </c>
      <c r="L971" s="1" t="s">
        <v>216</v>
      </c>
      <c r="M971" s="1" t="s">
        <v>131</v>
      </c>
      <c r="Q971" s="1" t="s">
        <v>137</v>
      </c>
      <c r="R971" s="1" t="s">
        <v>137</v>
      </c>
      <c r="S971" s="1" t="s">
        <v>47</v>
      </c>
      <c r="T971" s="1" t="s">
        <v>4301</v>
      </c>
      <c r="U971" s="1" t="s">
        <v>1577</v>
      </c>
      <c r="V971" s="1" t="s">
        <v>3858</v>
      </c>
      <c r="W971" s="3">
        <v>45908.0</v>
      </c>
      <c r="X971" s="3">
        <v>45908.0</v>
      </c>
    </row>
    <row r="972">
      <c r="A972" s="1" t="s">
        <v>15178</v>
      </c>
      <c r="B972" s="1" t="s">
        <v>9102</v>
      </c>
      <c r="C972" s="1" t="s">
        <v>9102</v>
      </c>
      <c r="D972" s="1" t="s">
        <v>4293</v>
      </c>
      <c r="E972" s="1" t="s">
        <v>9103</v>
      </c>
      <c r="F972" s="1" t="s">
        <v>15179</v>
      </c>
      <c r="G972" s="3">
        <v>45926.0</v>
      </c>
      <c r="H972" s="3">
        <v>45908.0</v>
      </c>
      <c r="I972" s="3">
        <v>45908.0</v>
      </c>
      <c r="J972" s="1" t="s">
        <v>215</v>
      </c>
      <c r="K972" s="1" t="s">
        <v>160</v>
      </c>
      <c r="L972" s="1" t="s">
        <v>216</v>
      </c>
      <c r="M972" s="1" t="s">
        <v>131</v>
      </c>
      <c r="Q972" s="1" t="s">
        <v>137</v>
      </c>
      <c r="R972" s="1" t="s">
        <v>137</v>
      </c>
      <c r="S972" s="1" t="s">
        <v>47</v>
      </c>
      <c r="T972" s="1" t="s">
        <v>4301</v>
      </c>
      <c r="U972" s="1" t="s">
        <v>1577</v>
      </c>
      <c r="V972" s="1" t="s">
        <v>4054</v>
      </c>
      <c r="W972" s="3">
        <v>45908.0</v>
      </c>
      <c r="X972" s="3">
        <v>45908.0</v>
      </c>
    </row>
    <row r="973">
      <c r="A973" s="1" t="s">
        <v>15180</v>
      </c>
      <c r="B973" s="1" t="s">
        <v>9102</v>
      </c>
      <c r="C973" s="1" t="s">
        <v>9102</v>
      </c>
      <c r="D973" s="1" t="s">
        <v>4293</v>
      </c>
      <c r="E973" s="1" t="s">
        <v>9103</v>
      </c>
      <c r="F973" s="1" t="s">
        <v>15181</v>
      </c>
      <c r="G973" s="3">
        <v>45926.0</v>
      </c>
      <c r="H973" s="3">
        <v>45908.0</v>
      </c>
      <c r="I973" s="3">
        <v>45908.0</v>
      </c>
      <c r="J973" s="1" t="s">
        <v>215</v>
      </c>
      <c r="K973" s="1" t="s">
        <v>160</v>
      </c>
      <c r="L973" s="1" t="s">
        <v>216</v>
      </c>
      <c r="M973" s="1" t="s">
        <v>131</v>
      </c>
      <c r="Q973" s="1" t="s">
        <v>137</v>
      </c>
      <c r="R973" s="1" t="s">
        <v>137</v>
      </c>
      <c r="S973" s="1" t="s">
        <v>47</v>
      </c>
      <c r="T973" s="1" t="s">
        <v>4301</v>
      </c>
      <c r="U973" s="1" t="s">
        <v>1577</v>
      </c>
      <c r="V973" s="1" t="s">
        <v>3865</v>
      </c>
      <c r="W973" s="3">
        <v>45908.0</v>
      </c>
      <c r="X973" s="3">
        <v>45908.0</v>
      </c>
    </row>
    <row r="974">
      <c r="A974" s="1" t="s">
        <v>15182</v>
      </c>
      <c r="B974" s="1" t="s">
        <v>9111</v>
      </c>
      <c r="C974" s="1" t="s">
        <v>9111</v>
      </c>
      <c r="D974" s="1" t="s">
        <v>4293</v>
      </c>
      <c r="E974" s="1" t="s">
        <v>9115</v>
      </c>
      <c r="F974" s="1" t="s">
        <v>15183</v>
      </c>
      <c r="G974" s="3">
        <v>45358.0</v>
      </c>
      <c r="H974" s="3">
        <v>45670.0</v>
      </c>
      <c r="I974" s="3">
        <v>45670.0</v>
      </c>
      <c r="J974" s="1" t="s">
        <v>215</v>
      </c>
      <c r="K974" s="1" t="s">
        <v>160</v>
      </c>
      <c r="L974" s="1" t="s">
        <v>216</v>
      </c>
      <c r="M974" s="1" t="s">
        <v>131</v>
      </c>
      <c r="O974" s="1"/>
      <c r="Q974" s="1" t="s">
        <v>137</v>
      </c>
      <c r="R974" s="1" t="s">
        <v>137</v>
      </c>
      <c r="S974" s="1" t="s">
        <v>47</v>
      </c>
      <c r="T974" s="1" t="s">
        <v>4301</v>
      </c>
      <c r="U974" s="1" t="s">
        <v>1577</v>
      </c>
      <c r="V974" s="1" t="s">
        <v>3858</v>
      </c>
      <c r="W974" s="3">
        <v>45670.0</v>
      </c>
      <c r="X974" s="3">
        <v>45670.0</v>
      </c>
    </row>
    <row r="975">
      <c r="A975" s="1" t="s">
        <v>15184</v>
      </c>
      <c r="B975" s="1" t="s">
        <v>9111</v>
      </c>
      <c r="C975" s="1" t="s">
        <v>9111</v>
      </c>
      <c r="D975" s="1" t="s">
        <v>4293</v>
      </c>
      <c r="E975" s="1" t="s">
        <v>9115</v>
      </c>
      <c r="F975" s="1" t="s">
        <v>15185</v>
      </c>
      <c r="G975" s="3">
        <v>45358.0</v>
      </c>
      <c r="H975" s="3">
        <v>45670.0</v>
      </c>
      <c r="I975" s="3">
        <v>45670.0</v>
      </c>
      <c r="J975" s="1" t="s">
        <v>215</v>
      </c>
      <c r="K975" s="1" t="s">
        <v>160</v>
      </c>
      <c r="L975" s="1" t="s">
        <v>216</v>
      </c>
      <c r="M975" s="1" t="s">
        <v>131</v>
      </c>
      <c r="Q975" s="1" t="s">
        <v>137</v>
      </c>
      <c r="R975" s="1" t="s">
        <v>137</v>
      </c>
      <c r="S975" s="1" t="s">
        <v>47</v>
      </c>
      <c r="T975" s="1" t="s">
        <v>4301</v>
      </c>
      <c r="U975" s="1" t="s">
        <v>1577</v>
      </c>
      <c r="V975" s="1" t="s">
        <v>4950</v>
      </c>
      <c r="W975" s="3">
        <v>45670.0</v>
      </c>
      <c r="X975" s="3">
        <v>45670.0</v>
      </c>
    </row>
    <row r="976">
      <c r="A976" s="1" t="s">
        <v>15186</v>
      </c>
      <c r="B976" s="1" t="s">
        <v>9121</v>
      </c>
      <c r="C976" s="1" t="s">
        <v>9121</v>
      </c>
      <c r="D976" s="1" t="s">
        <v>4293</v>
      </c>
      <c r="E976" s="1" t="s">
        <v>9122</v>
      </c>
      <c r="F976" s="1" t="s">
        <v>15187</v>
      </c>
      <c r="G976" s="3">
        <v>45919.0</v>
      </c>
      <c r="H976" s="3">
        <v>46189.0</v>
      </c>
      <c r="I976" s="3">
        <v>46189.0</v>
      </c>
      <c r="J976" s="1" t="s">
        <v>124</v>
      </c>
      <c r="K976" s="1" t="s">
        <v>160</v>
      </c>
      <c r="L976" s="1" t="s">
        <v>253</v>
      </c>
      <c r="M976" s="1" t="s">
        <v>131</v>
      </c>
      <c r="O976" s="1" t="s">
        <v>3594</v>
      </c>
      <c r="Q976" s="1" t="s">
        <v>137</v>
      </c>
      <c r="R976" s="1" t="s">
        <v>137</v>
      </c>
      <c r="S976" s="1" t="s">
        <v>47</v>
      </c>
      <c r="T976" s="1" t="s">
        <v>4301</v>
      </c>
      <c r="U976" s="1" t="s">
        <v>1577</v>
      </c>
      <c r="V976" s="1" t="s">
        <v>3858</v>
      </c>
      <c r="W976" s="3">
        <v>46189.0</v>
      </c>
      <c r="X976" s="3">
        <v>46189.0</v>
      </c>
    </row>
    <row r="977">
      <c r="A977" s="1" t="s">
        <v>15188</v>
      </c>
      <c r="B977" s="1" t="s">
        <v>9130</v>
      </c>
      <c r="C977" s="1" t="s">
        <v>9130</v>
      </c>
      <c r="D977" s="1" t="s">
        <v>4293</v>
      </c>
      <c r="E977" s="1" t="s">
        <v>9131</v>
      </c>
      <c r="F977" s="1" t="s">
        <v>15189</v>
      </c>
      <c r="G977" s="3">
        <v>44558.0</v>
      </c>
      <c r="H977" s="3">
        <v>44732.0</v>
      </c>
      <c r="I977" s="3">
        <v>44732.0</v>
      </c>
      <c r="J977" s="1" t="s">
        <v>215</v>
      </c>
      <c r="K977" s="1" t="s">
        <v>160</v>
      </c>
      <c r="L977" s="1" t="s">
        <v>216</v>
      </c>
      <c r="M977" s="1" t="s">
        <v>131</v>
      </c>
      <c r="Q977" s="1" t="s">
        <v>137</v>
      </c>
      <c r="R977" s="1" t="s">
        <v>137</v>
      </c>
      <c r="S977" s="1" t="s">
        <v>47</v>
      </c>
      <c r="T977" s="1" t="s">
        <v>4301</v>
      </c>
      <c r="U977" s="1" t="s">
        <v>1577</v>
      </c>
      <c r="V977" s="1" t="s">
        <v>3858</v>
      </c>
      <c r="W977" s="3">
        <v>44732.0</v>
      </c>
      <c r="X977" s="3">
        <v>44732.0</v>
      </c>
    </row>
    <row r="978">
      <c r="A978" s="1" t="s">
        <v>15190</v>
      </c>
      <c r="B978" s="1" t="s">
        <v>9139</v>
      </c>
      <c r="C978" s="1" t="s">
        <v>9139</v>
      </c>
      <c r="D978" s="1" t="s">
        <v>4293</v>
      </c>
      <c r="E978" s="1" t="s">
        <v>9141</v>
      </c>
      <c r="F978" s="1" t="s">
        <v>15191</v>
      </c>
      <c r="G978" s="3">
        <v>45397.0</v>
      </c>
      <c r="H978" s="3">
        <v>45791.0</v>
      </c>
      <c r="I978" s="3">
        <v>45791.0</v>
      </c>
      <c r="J978" s="1" t="s">
        <v>215</v>
      </c>
      <c r="K978" s="1" t="s">
        <v>160</v>
      </c>
      <c r="L978" s="1" t="s">
        <v>216</v>
      </c>
      <c r="M978" s="1" t="s">
        <v>131</v>
      </c>
      <c r="Q978" s="1" t="s">
        <v>137</v>
      </c>
      <c r="R978" s="1" t="s">
        <v>137</v>
      </c>
      <c r="S978" s="1" t="s">
        <v>47</v>
      </c>
      <c r="T978" s="1" t="s">
        <v>4301</v>
      </c>
      <c r="U978" s="1" t="s">
        <v>1577</v>
      </c>
      <c r="V978" s="1" t="s">
        <v>3858</v>
      </c>
      <c r="W978" s="3">
        <v>45791.0</v>
      </c>
      <c r="X978" s="3">
        <v>45791.0</v>
      </c>
    </row>
    <row r="979">
      <c r="A979" s="1" t="s">
        <v>15192</v>
      </c>
      <c r="B979" s="1" t="s">
        <v>9147</v>
      </c>
      <c r="C979" s="1" t="s">
        <v>9147</v>
      </c>
      <c r="D979" s="1" t="s">
        <v>4293</v>
      </c>
      <c r="E979" s="1" t="s">
        <v>9149</v>
      </c>
      <c r="F979" s="1" t="s">
        <v>15193</v>
      </c>
      <c r="G979" s="3">
        <v>45776.0</v>
      </c>
      <c r="H979" s="3">
        <v>45911.0</v>
      </c>
      <c r="I979" s="3">
        <v>45911.0</v>
      </c>
      <c r="J979" s="1" t="s">
        <v>215</v>
      </c>
      <c r="K979" s="1" t="s">
        <v>160</v>
      </c>
      <c r="L979" s="1" t="s">
        <v>216</v>
      </c>
      <c r="M979" s="1" t="s">
        <v>131</v>
      </c>
      <c r="Q979" s="1" t="s">
        <v>137</v>
      </c>
      <c r="R979" s="1" t="s">
        <v>137</v>
      </c>
      <c r="S979" s="1" t="s">
        <v>47</v>
      </c>
      <c r="T979" s="1" t="s">
        <v>4301</v>
      </c>
      <c r="U979" s="1" t="s">
        <v>1577</v>
      </c>
      <c r="V979" s="1" t="s">
        <v>4679</v>
      </c>
      <c r="W979" s="3">
        <v>45911.0</v>
      </c>
      <c r="X979" s="3">
        <v>45911.0</v>
      </c>
    </row>
    <row r="980">
      <c r="A980" s="1" t="s">
        <v>15194</v>
      </c>
      <c r="B980" s="1" t="s">
        <v>9147</v>
      </c>
      <c r="C980" s="1" t="s">
        <v>9147</v>
      </c>
      <c r="D980" s="1" t="s">
        <v>4293</v>
      </c>
      <c r="E980" s="1" t="s">
        <v>9149</v>
      </c>
      <c r="F980" s="1" t="s">
        <v>15195</v>
      </c>
      <c r="G980" s="3">
        <v>45776.0</v>
      </c>
      <c r="H980" s="3">
        <v>45911.0</v>
      </c>
      <c r="I980" s="3">
        <v>45911.0</v>
      </c>
      <c r="J980" s="1" t="s">
        <v>215</v>
      </c>
      <c r="K980" s="1" t="s">
        <v>160</v>
      </c>
      <c r="L980" s="1" t="s">
        <v>216</v>
      </c>
      <c r="M980" s="1" t="s">
        <v>131</v>
      </c>
      <c r="Q980" s="1" t="s">
        <v>137</v>
      </c>
      <c r="R980" s="1" t="s">
        <v>137</v>
      </c>
      <c r="S980" s="1" t="s">
        <v>47</v>
      </c>
      <c r="T980" s="1" t="s">
        <v>4301</v>
      </c>
      <c r="U980" s="1" t="s">
        <v>1577</v>
      </c>
      <c r="V980" s="1" t="s">
        <v>4950</v>
      </c>
      <c r="W980" s="3">
        <v>45911.0</v>
      </c>
      <c r="X980" s="3">
        <v>45911.0</v>
      </c>
    </row>
    <row r="981">
      <c r="A981" s="1" t="s">
        <v>15196</v>
      </c>
      <c r="B981" s="1" t="s">
        <v>9147</v>
      </c>
      <c r="C981" s="1" t="s">
        <v>9147</v>
      </c>
      <c r="D981" s="1" t="s">
        <v>4293</v>
      </c>
      <c r="E981" s="1" t="s">
        <v>9149</v>
      </c>
      <c r="F981" s="1" t="s">
        <v>15197</v>
      </c>
      <c r="G981" s="3">
        <v>45776.0</v>
      </c>
      <c r="H981" s="3">
        <v>45911.0</v>
      </c>
      <c r="I981" s="3">
        <v>45911.0</v>
      </c>
      <c r="J981" s="1" t="s">
        <v>215</v>
      </c>
      <c r="K981" s="1" t="s">
        <v>160</v>
      </c>
      <c r="L981" s="1" t="s">
        <v>216</v>
      </c>
      <c r="M981" s="1" t="s">
        <v>131</v>
      </c>
      <c r="Q981" s="1" t="s">
        <v>137</v>
      </c>
      <c r="R981" s="1" t="s">
        <v>137</v>
      </c>
      <c r="S981" s="1" t="s">
        <v>47</v>
      </c>
      <c r="T981" s="1" t="s">
        <v>4301</v>
      </c>
      <c r="U981" s="1" t="s">
        <v>1577</v>
      </c>
      <c r="V981" s="1" t="s">
        <v>5104</v>
      </c>
      <c r="W981" s="3">
        <v>45911.0</v>
      </c>
      <c r="X981" s="3">
        <v>45911.0</v>
      </c>
    </row>
    <row r="982">
      <c r="A982" s="1" t="s">
        <v>15198</v>
      </c>
      <c r="B982" s="1" t="s">
        <v>9147</v>
      </c>
      <c r="C982" s="1" t="s">
        <v>9147</v>
      </c>
      <c r="D982" s="1" t="s">
        <v>4293</v>
      </c>
      <c r="E982" s="1" t="s">
        <v>9149</v>
      </c>
      <c r="F982" s="1" t="s">
        <v>15199</v>
      </c>
      <c r="G982" s="3">
        <v>45776.0</v>
      </c>
      <c r="H982" s="3">
        <v>45911.0</v>
      </c>
      <c r="I982" s="3">
        <v>45911.0</v>
      </c>
      <c r="J982" s="1" t="s">
        <v>215</v>
      </c>
      <c r="K982" s="1" t="s">
        <v>160</v>
      </c>
      <c r="L982" s="1" t="s">
        <v>216</v>
      </c>
      <c r="M982" s="1" t="s">
        <v>131</v>
      </c>
      <c r="Q982" s="1" t="s">
        <v>137</v>
      </c>
      <c r="R982" s="1" t="s">
        <v>137</v>
      </c>
      <c r="S982" s="1" t="s">
        <v>47</v>
      </c>
      <c r="T982" s="1" t="s">
        <v>4301</v>
      </c>
      <c r="U982" s="1" t="s">
        <v>1577</v>
      </c>
      <c r="V982" s="1" t="s">
        <v>5120</v>
      </c>
      <c r="W982" s="3">
        <v>45911.0</v>
      </c>
      <c r="X982" s="3">
        <v>45911.0</v>
      </c>
    </row>
    <row r="983">
      <c r="A983" s="1" t="s">
        <v>15200</v>
      </c>
      <c r="B983" s="1" t="s">
        <v>9158</v>
      </c>
      <c r="C983" s="1" t="s">
        <v>9158</v>
      </c>
      <c r="D983" s="1" t="s">
        <v>4293</v>
      </c>
      <c r="E983" s="1" t="s">
        <v>9160</v>
      </c>
      <c r="F983" s="1" t="s">
        <v>15201</v>
      </c>
      <c r="G983" s="3">
        <v>44824.0</v>
      </c>
      <c r="H983" s="3">
        <v>45102.0</v>
      </c>
      <c r="I983" s="3">
        <v>45102.0</v>
      </c>
      <c r="J983" s="1" t="s">
        <v>215</v>
      </c>
      <c r="K983" s="1" t="s">
        <v>160</v>
      </c>
      <c r="L983" s="1" t="s">
        <v>216</v>
      </c>
      <c r="M983" s="1" t="s">
        <v>131</v>
      </c>
      <c r="Q983" s="1" t="s">
        <v>137</v>
      </c>
      <c r="R983" s="1" t="s">
        <v>137</v>
      </c>
      <c r="S983" s="1" t="s">
        <v>47</v>
      </c>
      <c r="T983" s="1" t="s">
        <v>4301</v>
      </c>
      <c r="U983" s="1" t="s">
        <v>1577</v>
      </c>
      <c r="V983" s="1" t="s">
        <v>3858</v>
      </c>
      <c r="W983" s="3">
        <v>45102.0</v>
      </c>
      <c r="X983" s="3">
        <v>45102.0</v>
      </c>
    </row>
    <row r="984">
      <c r="A984" s="1" t="s">
        <v>15202</v>
      </c>
      <c r="B984" s="1" t="s">
        <v>9171</v>
      </c>
      <c r="C984" s="1" t="s">
        <v>9171</v>
      </c>
      <c r="D984" s="1" t="s">
        <v>4293</v>
      </c>
      <c r="E984" s="1" t="s">
        <v>9174</v>
      </c>
      <c r="F984" s="1" t="s">
        <v>15203</v>
      </c>
      <c r="G984" s="3">
        <v>45520.0</v>
      </c>
      <c r="H984" s="3">
        <v>45814.0</v>
      </c>
      <c r="I984" s="3">
        <v>45814.0</v>
      </c>
      <c r="J984" s="1" t="s">
        <v>215</v>
      </c>
      <c r="K984" s="1" t="s">
        <v>160</v>
      </c>
      <c r="L984" s="1" t="s">
        <v>216</v>
      </c>
      <c r="M984" s="1" t="s">
        <v>131</v>
      </c>
      <c r="Q984" s="1" t="s">
        <v>137</v>
      </c>
      <c r="R984" s="1" t="s">
        <v>137</v>
      </c>
      <c r="S984" s="1" t="s">
        <v>47</v>
      </c>
      <c r="T984" s="1" t="s">
        <v>4301</v>
      </c>
      <c r="U984" s="1" t="s">
        <v>1577</v>
      </c>
      <c r="V984" s="1" t="s">
        <v>3858</v>
      </c>
      <c r="W984" s="3">
        <v>45814.0</v>
      </c>
      <c r="X984" s="3">
        <v>45814.0</v>
      </c>
    </row>
    <row r="985">
      <c r="A985" s="1" t="s">
        <v>15204</v>
      </c>
      <c r="B985" s="1" t="s">
        <v>9171</v>
      </c>
      <c r="C985" s="1" t="s">
        <v>9171</v>
      </c>
      <c r="D985" s="1" t="s">
        <v>4293</v>
      </c>
      <c r="E985" s="1" t="s">
        <v>9174</v>
      </c>
      <c r="F985" s="1" t="s">
        <v>15205</v>
      </c>
      <c r="G985" s="3">
        <v>45520.0</v>
      </c>
      <c r="H985" s="3">
        <v>45814.0</v>
      </c>
      <c r="I985" s="3">
        <v>45814.0</v>
      </c>
      <c r="J985" s="1" t="s">
        <v>215</v>
      </c>
      <c r="K985" s="1" t="s">
        <v>160</v>
      </c>
      <c r="L985" s="1" t="s">
        <v>216</v>
      </c>
      <c r="M985" s="1" t="s">
        <v>131</v>
      </c>
      <c r="Q985" s="1" t="s">
        <v>137</v>
      </c>
      <c r="R985" s="1" t="s">
        <v>137</v>
      </c>
      <c r="S985" s="1" t="s">
        <v>47</v>
      </c>
      <c r="T985" s="1" t="s">
        <v>4301</v>
      </c>
      <c r="U985" s="1" t="s">
        <v>1577</v>
      </c>
      <c r="V985" s="1" t="s">
        <v>4950</v>
      </c>
      <c r="W985" s="3">
        <v>45814.0</v>
      </c>
      <c r="X985" s="3">
        <v>45814.0</v>
      </c>
    </row>
    <row r="986">
      <c r="A986" s="1" t="s">
        <v>15206</v>
      </c>
      <c r="B986" s="1" t="s">
        <v>6718</v>
      </c>
      <c r="C986" s="1" t="s">
        <v>6718</v>
      </c>
      <c r="D986" s="1" t="s">
        <v>4293</v>
      </c>
      <c r="E986" s="1" t="s">
        <v>15207</v>
      </c>
      <c r="F986" s="1" t="s">
        <v>15208</v>
      </c>
      <c r="G986" s="3">
        <v>45786.0</v>
      </c>
      <c r="H986" s="3"/>
      <c r="I986" s="3"/>
      <c r="J986" s="1" t="s">
        <v>124</v>
      </c>
      <c r="K986" s="1" t="s">
        <v>160</v>
      </c>
      <c r="L986" s="1" t="s">
        <v>253</v>
      </c>
      <c r="M986" s="1" t="s">
        <v>131</v>
      </c>
      <c r="Q986" s="1" t="s">
        <v>137</v>
      </c>
      <c r="R986" s="1" t="s">
        <v>137</v>
      </c>
      <c r="S986" s="1" t="s">
        <v>47</v>
      </c>
      <c r="T986" s="1" t="s">
        <v>4301</v>
      </c>
      <c r="U986" s="1" t="s">
        <v>1577</v>
      </c>
      <c r="V986" s="1" t="s">
        <v>3858</v>
      </c>
      <c r="W986" s="3"/>
      <c r="X986" s="3"/>
    </row>
    <row r="987">
      <c r="A987" s="1" t="s">
        <v>15209</v>
      </c>
      <c r="B987" s="1" t="s">
        <v>6718</v>
      </c>
      <c r="C987" s="1" t="s">
        <v>6718</v>
      </c>
      <c r="D987" s="1" t="s">
        <v>4293</v>
      </c>
      <c r="E987" s="1" t="s">
        <v>15207</v>
      </c>
      <c r="F987" s="1" t="s">
        <v>15210</v>
      </c>
      <c r="G987" s="3">
        <v>45786.0</v>
      </c>
      <c r="H987" s="3"/>
      <c r="I987" s="3"/>
      <c r="J987" s="1" t="s">
        <v>124</v>
      </c>
      <c r="K987" s="1" t="s">
        <v>160</v>
      </c>
      <c r="L987" s="1" t="s">
        <v>253</v>
      </c>
      <c r="M987" s="1" t="s">
        <v>131</v>
      </c>
      <c r="Q987" s="1" t="s">
        <v>137</v>
      </c>
      <c r="R987" s="1" t="s">
        <v>137</v>
      </c>
      <c r="S987" s="1" t="s">
        <v>47</v>
      </c>
      <c r="T987" s="1" t="s">
        <v>4301</v>
      </c>
      <c r="U987" s="1" t="s">
        <v>1577</v>
      </c>
      <c r="V987" s="1" t="s">
        <v>4950</v>
      </c>
      <c r="W987" s="3"/>
      <c r="X987" s="3"/>
    </row>
    <row r="988">
      <c r="A988" s="1" t="s">
        <v>15211</v>
      </c>
      <c r="B988" s="1" t="s">
        <v>9186</v>
      </c>
      <c r="C988" s="1" t="s">
        <v>9186</v>
      </c>
      <c r="D988" s="1" t="s">
        <v>4293</v>
      </c>
      <c r="E988" s="1" t="s">
        <v>9188</v>
      </c>
      <c r="F988" s="1" t="s">
        <v>15212</v>
      </c>
      <c r="G988" s="3">
        <v>43502.0</v>
      </c>
      <c r="H988" s="3">
        <v>43501.0</v>
      </c>
      <c r="I988" s="3">
        <v>43501.0</v>
      </c>
      <c r="J988" s="1" t="s">
        <v>215</v>
      </c>
      <c r="K988" s="1" t="s">
        <v>160</v>
      </c>
      <c r="L988" s="1" t="s">
        <v>216</v>
      </c>
      <c r="M988" s="1" t="s">
        <v>131</v>
      </c>
      <c r="Q988" s="1" t="s">
        <v>137</v>
      </c>
      <c r="R988" s="1" t="s">
        <v>137</v>
      </c>
      <c r="S988" s="1" t="s">
        <v>47</v>
      </c>
      <c r="T988" s="1" t="s">
        <v>4301</v>
      </c>
      <c r="U988" s="1" t="s">
        <v>1577</v>
      </c>
      <c r="V988" s="1" t="s">
        <v>3858</v>
      </c>
      <c r="W988" s="3">
        <v>43501.0</v>
      </c>
      <c r="X988" s="3">
        <v>43501.0</v>
      </c>
    </row>
    <row r="989">
      <c r="A989" s="1" t="s">
        <v>15213</v>
      </c>
      <c r="B989" s="1" t="s">
        <v>9186</v>
      </c>
      <c r="C989" s="1" t="s">
        <v>9186</v>
      </c>
      <c r="D989" s="1" t="s">
        <v>4293</v>
      </c>
      <c r="E989" s="1" t="s">
        <v>9188</v>
      </c>
      <c r="F989" s="1" t="s">
        <v>15214</v>
      </c>
      <c r="G989" s="3">
        <v>43502.0</v>
      </c>
      <c r="H989" s="3">
        <v>43501.0</v>
      </c>
      <c r="I989" s="3">
        <v>43501.0</v>
      </c>
      <c r="J989" s="1" t="s">
        <v>215</v>
      </c>
      <c r="K989" s="1" t="s">
        <v>160</v>
      </c>
      <c r="L989" s="1" t="s">
        <v>216</v>
      </c>
      <c r="M989" s="1" t="s">
        <v>131</v>
      </c>
      <c r="Q989" s="1" t="s">
        <v>137</v>
      </c>
      <c r="R989" s="1" t="s">
        <v>137</v>
      </c>
      <c r="S989" s="1" t="s">
        <v>47</v>
      </c>
      <c r="T989" s="1" t="s">
        <v>4301</v>
      </c>
      <c r="U989" s="1" t="s">
        <v>1577</v>
      </c>
      <c r="V989" s="1" t="s">
        <v>4950</v>
      </c>
      <c r="W989" s="3">
        <v>43501.0</v>
      </c>
      <c r="X989" s="3">
        <v>43501.0</v>
      </c>
    </row>
    <row r="990">
      <c r="A990" s="1" t="s">
        <v>15215</v>
      </c>
      <c r="B990" s="1" t="s">
        <v>9196</v>
      </c>
      <c r="C990" s="1" t="s">
        <v>9196</v>
      </c>
      <c r="D990" s="1" t="s">
        <v>4293</v>
      </c>
      <c r="E990" s="1" t="s">
        <v>9197</v>
      </c>
      <c r="F990" s="1" t="s">
        <v>15216</v>
      </c>
      <c r="G990" s="3">
        <v>44008.0</v>
      </c>
      <c r="H990" s="3">
        <v>44102.0</v>
      </c>
      <c r="I990" s="3">
        <v>44102.0</v>
      </c>
      <c r="J990" s="1" t="s">
        <v>215</v>
      </c>
      <c r="K990" s="1" t="s">
        <v>160</v>
      </c>
      <c r="L990" s="1" t="s">
        <v>216</v>
      </c>
      <c r="M990" s="1" t="s">
        <v>131</v>
      </c>
      <c r="Q990" s="1" t="s">
        <v>137</v>
      </c>
      <c r="R990" s="1" t="s">
        <v>137</v>
      </c>
      <c r="S990" s="1" t="s">
        <v>47</v>
      </c>
      <c r="T990" s="1" t="s">
        <v>4301</v>
      </c>
      <c r="U990" s="1" t="s">
        <v>1577</v>
      </c>
      <c r="V990" s="1" t="s">
        <v>3858</v>
      </c>
      <c r="W990" s="3">
        <v>44102.0</v>
      </c>
      <c r="X990" s="3">
        <v>44102.0</v>
      </c>
    </row>
    <row r="991">
      <c r="A991" s="1" t="s">
        <v>15217</v>
      </c>
      <c r="B991" s="1" t="s">
        <v>9196</v>
      </c>
      <c r="C991" s="1" t="s">
        <v>9196</v>
      </c>
      <c r="D991" s="1" t="s">
        <v>4293</v>
      </c>
      <c r="E991" s="1" t="s">
        <v>9197</v>
      </c>
      <c r="F991" s="1" t="s">
        <v>15218</v>
      </c>
      <c r="G991" s="3">
        <v>44008.0</v>
      </c>
      <c r="H991" s="3">
        <v>44102.0</v>
      </c>
      <c r="I991" s="3">
        <v>44102.0</v>
      </c>
      <c r="J991" s="1" t="s">
        <v>215</v>
      </c>
      <c r="K991" s="1" t="s">
        <v>160</v>
      </c>
      <c r="L991" s="1" t="s">
        <v>216</v>
      </c>
      <c r="M991" s="1" t="s">
        <v>131</v>
      </c>
      <c r="Q991" s="1" t="s">
        <v>137</v>
      </c>
      <c r="R991" s="1" t="s">
        <v>137</v>
      </c>
      <c r="S991" s="1" t="s">
        <v>47</v>
      </c>
      <c r="T991" s="1" t="s">
        <v>4301</v>
      </c>
      <c r="U991" s="1" t="s">
        <v>1577</v>
      </c>
      <c r="V991" s="1" t="s">
        <v>4950</v>
      </c>
      <c r="W991" s="3">
        <v>44102.0</v>
      </c>
      <c r="X991" s="3">
        <v>44102.0</v>
      </c>
    </row>
    <row r="992">
      <c r="A992" s="1" t="s">
        <v>15219</v>
      </c>
      <c r="B992" s="1" t="s">
        <v>9135</v>
      </c>
      <c r="C992" s="1" t="s">
        <v>9135</v>
      </c>
      <c r="D992" s="1" t="s">
        <v>4293</v>
      </c>
      <c r="E992" s="1" t="s">
        <v>9208</v>
      </c>
      <c r="F992" s="1" t="s">
        <v>15220</v>
      </c>
      <c r="G992" s="3">
        <v>44196.0</v>
      </c>
      <c r="H992" s="3">
        <v>44299.0</v>
      </c>
      <c r="I992" s="3">
        <v>44299.0</v>
      </c>
      <c r="J992" s="1" t="s">
        <v>215</v>
      </c>
      <c r="K992" s="1" t="s">
        <v>160</v>
      </c>
      <c r="L992" s="1" t="s">
        <v>216</v>
      </c>
      <c r="M992" s="1" t="s">
        <v>131</v>
      </c>
      <c r="Q992" s="1" t="s">
        <v>137</v>
      </c>
      <c r="R992" s="1" t="s">
        <v>137</v>
      </c>
      <c r="S992" s="1" t="s">
        <v>47</v>
      </c>
      <c r="T992" s="1" t="s">
        <v>4301</v>
      </c>
      <c r="U992" s="1" t="s">
        <v>1577</v>
      </c>
      <c r="V992" s="1" t="s">
        <v>3858</v>
      </c>
      <c r="W992" s="3">
        <v>44299.0</v>
      </c>
      <c r="X992" s="3">
        <v>44299.0</v>
      </c>
    </row>
    <row r="993">
      <c r="A993" s="1" t="s">
        <v>15221</v>
      </c>
      <c r="B993" s="1" t="s">
        <v>7782</v>
      </c>
      <c r="C993" s="1" t="s">
        <v>7782</v>
      </c>
      <c r="D993" s="1" t="s">
        <v>4293</v>
      </c>
      <c r="E993" s="1" t="s">
        <v>9217</v>
      </c>
      <c r="F993" s="1" t="s">
        <v>15222</v>
      </c>
      <c r="G993" s="3">
        <v>43787.0</v>
      </c>
      <c r="H993" s="3">
        <v>43787.0</v>
      </c>
      <c r="I993" s="3">
        <v>43787.0</v>
      </c>
      <c r="J993" s="1" t="s">
        <v>215</v>
      </c>
      <c r="K993" s="1" t="s">
        <v>160</v>
      </c>
      <c r="L993" s="1" t="s">
        <v>216</v>
      </c>
      <c r="M993" s="1" t="s">
        <v>131</v>
      </c>
      <c r="Q993" s="1" t="s">
        <v>137</v>
      </c>
      <c r="R993" s="1" t="s">
        <v>137</v>
      </c>
      <c r="S993" s="1" t="s">
        <v>47</v>
      </c>
      <c r="T993" s="1" t="s">
        <v>4301</v>
      </c>
      <c r="U993" s="1" t="s">
        <v>1577</v>
      </c>
      <c r="V993" s="1" t="s">
        <v>3858</v>
      </c>
      <c r="W993" s="3">
        <v>43787.0</v>
      </c>
      <c r="X993" s="3">
        <v>43787.0</v>
      </c>
    </row>
    <row r="994">
      <c r="A994" s="1" t="s">
        <v>15223</v>
      </c>
      <c r="B994" s="1" t="s">
        <v>7782</v>
      </c>
      <c r="C994" s="1" t="s">
        <v>7782</v>
      </c>
      <c r="D994" s="1" t="s">
        <v>4293</v>
      </c>
      <c r="E994" s="1" t="s">
        <v>9217</v>
      </c>
      <c r="F994" s="1" t="s">
        <v>15224</v>
      </c>
      <c r="G994" s="3">
        <v>43787.0</v>
      </c>
      <c r="H994" s="3">
        <v>43787.0</v>
      </c>
      <c r="I994" s="3">
        <v>43787.0</v>
      </c>
      <c r="J994" s="1" t="s">
        <v>215</v>
      </c>
      <c r="K994" s="1" t="s">
        <v>160</v>
      </c>
      <c r="L994" s="1" t="s">
        <v>216</v>
      </c>
      <c r="M994" s="1" t="s">
        <v>131</v>
      </c>
      <c r="Q994" s="1" t="s">
        <v>137</v>
      </c>
      <c r="R994" s="1" t="s">
        <v>137</v>
      </c>
      <c r="S994" s="1" t="s">
        <v>47</v>
      </c>
      <c r="T994" s="1" t="s">
        <v>4301</v>
      </c>
      <c r="U994" s="1" t="s">
        <v>1577</v>
      </c>
      <c r="V994" s="1" t="s">
        <v>7314</v>
      </c>
      <c r="W994" s="3">
        <v>43787.0</v>
      </c>
      <c r="X994" s="3">
        <v>43787.0</v>
      </c>
    </row>
    <row r="995">
      <c r="A995" s="1" t="s">
        <v>15225</v>
      </c>
      <c r="B995" s="1" t="s">
        <v>7782</v>
      </c>
      <c r="C995" s="1" t="s">
        <v>7782</v>
      </c>
      <c r="D995" s="1" t="s">
        <v>4293</v>
      </c>
      <c r="E995" s="1" t="s">
        <v>9217</v>
      </c>
      <c r="F995" s="1" t="s">
        <v>15226</v>
      </c>
      <c r="G995" s="3">
        <v>43787.0</v>
      </c>
      <c r="H995" s="3">
        <v>43787.0</v>
      </c>
      <c r="I995" s="3">
        <v>43787.0</v>
      </c>
      <c r="J995" s="1" t="s">
        <v>215</v>
      </c>
      <c r="K995" s="1" t="s">
        <v>160</v>
      </c>
      <c r="L995" s="1" t="s">
        <v>216</v>
      </c>
      <c r="M995" s="1" t="s">
        <v>131</v>
      </c>
      <c r="Q995" s="1" t="s">
        <v>137</v>
      </c>
      <c r="R995" s="1" t="s">
        <v>137</v>
      </c>
      <c r="S995" s="1" t="s">
        <v>47</v>
      </c>
      <c r="T995" s="1" t="s">
        <v>4301</v>
      </c>
      <c r="U995" s="1" t="s">
        <v>1577</v>
      </c>
      <c r="V995" s="1" t="s">
        <v>4950</v>
      </c>
      <c r="W995" s="3">
        <v>43787.0</v>
      </c>
      <c r="X995" s="3">
        <v>43787.0</v>
      </c>
    </row>
    <row r="996">
      <c r="A996" s="1" t="s">
        <v>15227</v>
      </c>
      <c r="B996" s="1" t="s">
        <v>5895</v>
      </c>
      <c r="C996" s="1" t="s">
        <v>5895</v>
      </c>
      <c r="D996" s="1" t="s">
        <v>4293</v>
      </c>
      <c r="E996" s="1" t="s">
        <v>15228</v>
      </c>
      <c r="F996" s="1" t="s">
        <v>15229</v>
      </c>
      <c r="G996" s="3">
        <v>45930.0</v>
      </c>
      <c r="H996" s="3"/>
      <c r="I996" s="3"/>
      <c r="J996" s="1" t="s">
        <v>124</v>
      </c>
      <c r="K996" s="1" t="s">
        <v>160</v>
      </c>
      <c r="L996" s="1" t="s">
        <v>253</v>
      </c>
      <c r="M996" s="1" t="s">
        <v>131</v>
      </c>
      <c r="Q996" s="1" t="s">
        <v>137</v>
      </c>
      <c r="R996" s="1" t="s">
        <v>137</v>
      </c>
      <c r="S996" s="1" t="s">
        <v>47</v>
      </c>
      <c r="T996" s="1" t="s">
        <v>4301</v>
      </c>
      <c r="U996" s="1" t="s">
        <v>1577</v>
      </c>
      <c r="V996" s="1" t="s">
        <v>3858</v>
      </c>
      <c r="W996" s="3"/>
      <c r="X996" s="3"/>
    </row>
    <row r="997">
      <c r="A997" s="1" t="s">
        <v>15230</v>
      </c>
      <c r="B997" s="1" t="s">
        <v>9225</v>
      </c>
      <c r="C997" s="1" t="s">
        <v>9225</v>
      </c>
      <c r="D997" s="1" t="s">
        <v>4293</v>
      </c>
      <c r="E997" s="1" t="s">
        <v>9226</v>
      </c>
      <c r="F997" s="1" t="s">
        <v>15231</v>
      </c>
      <c r="G997" s="3">
        <v>44225.0</v>
      </c>
      <c r="H997" s="3">
        <v>44424.0</v>
      </c>
      <c r="I997" s="3">
        <v>44424.0</v>
      </c>
      <c r="J997" s="1" t="s">
        <v>215</v>
      </c>
      <c r="K997" s="1" t="s">
        <v>160</v>
      </c>
      <c r="L997" s="1" t="s">
        <v>216</v>
      </c>
      <c r="M997" s="1" t="s">
        <v>131</v>
      </c>
      <c r="Q997" s="1" t="s">
        <v>137</v>
      </c>
      <c r="R997" s="1" t="s">
        <v>137</v>
      </c>
      <c r="S997" s="1" t="s">
        <v>47</v>
      </c>
      <c r="T997" s="1" t="s">
        <v>4301</v>
      </c>
      <c r="U997" s="1" t="s">
        <v>1577</v>
      </c>
      <c r="V997" s="1" t="s">
        <v>3858</v>
      </c>
      <c r="W997" s="3">
        <v>44424.0</v>
      </c>
      <c r="X997" s="3">
        <v>44424.0</v>
      </c>
    </row>
    <row r="998">
      <c r="A998" s="1" t="s">
        <v>15232</v>
      </c>
      <c r="B998" s="1" t="s">
        <v>9225</v>
      </c>
      <c r="C998" s="1" t="s">
        <v>9225</v>
      </c>
      <c r="D998" s="1" t="s">
        <v>4293</v>
      </c>
      <c r="E998" s="1" t="s">
        <v>9226</v>
      </c>
      <c r="F998" s="1" t="s">
        <v>15233</v>
      </c>
      <c r="G998" s="3">
        <v>44225.0</v>
      </c>
      <c r="H998" s="3">
        <v>44424.0</v>
      </c>
      <c r="I998" s="3">
        <v>44424.0</v>
      </c>
      <c r="J998" s="1" t="s">
        <v>215</v>
      </c>
      <c r="K998" s="1" t="s">
        <v>160</v>
      </c>
      <c r="L998" s="1" t="s">
        <v>216</v>
      </c>
      <c r="M998" s="1" t="s">
        <v>131</v>
      </c>
      <c r="Q998" s="1" t="s">
        <v>137</v>
      </c>
      <c r="R998" s="1" t="s">
        <v>137</v>
      </c>
      <c r="S998" s="1" t="s">
        <v>47</v>
      </c>
      <c r="T998" s="1" t="s">
        <v>4301</v>
      </c>
      <c r="U998" s="1" t="s">
        <v>1577</v>
      </c>
      <c r="V998" s="1" t="s">
        <v>3963</v>
      </c>
      <c r="W998" s="3">
        <v>44424.0</v>
      </c>
      <c r="X998" s="3">
        <v>44424.0</v>
      </c>
    </row>
    <row r="999">
      <c r="A999" s="1" t="s">
        <v>15234</v>
      </c>
      <c r="B999" s="1" t="s">
        <v>9236</v>
      </c>
      <c r="C999" s="1" t="s">
        <v>9236</v>
      </c>
      <c r="D999" s="1" t="s">
        <v>4293</v>
      </c>
      <c r="E999" s="1" t="s">
        <v>9238</v>
      </c>
      <c r="F999" s="1" t="s">
        <v>15235</v>
      </c>
      <c r="G999" s="3">
        <v>44455.0</v>
      </c>
      <c r="H999" s="3">
        <v>44537.0</v>
      </c>
      <c r="I999" s="3">
        <v>44537.0</v>
      </c>
      <c r="J999" s="1" t="s">
        <v>215</v>
      </c>
      <c r="K999" s="1" t="s">
        <v>160</v>
      </c>
      <c r="L999" s="1" t="s">
        <v>216</v>
      </c>
      <c r="M999" s="1" t="s">
        <v>131</v>
      </c>
      <c r="Q999" s="1" t="s">
        <v>137</v>
      </c>
      <c r="R999" s="1" t="s">
        <v>137</v>
      </c>
      <c r="S999" s="1" t="s">
        <v>47</v>
      </c>
      <c r="T999" s="1" t="s">
        <v>4301</v>
      </c>
      <c r="U999" s="1" t="s">
        <v>1577</v>
      </c>
      <c r="V999" s="1" t="s">
        <v>3858</v>
      </c>
      <c r="W999" s="3">
        <v>44537.0</v>
      </c>
      <c r="X999" s="3">
        <v>44537.0</v>
      </c>
    </row>
    <row r="1000">
      <c r="A1000" s="1" t="s">
        <v>15236</v>
      </c>
      <c r="B1000" s="1" t="s">
        <v>9244</v>
      </c>
      <c r="C1000" s="1" t="s">
        <v>9244</v>
      </c>
      <c r="D1000" s="1" t="s">
        <v>4293</v>
      </c>
      <c r="E1000" s="1" t="s">
        <v>9246</v>
      </c>
      <c r="F1000" s="1" t="s">
        <v>15237</v>
      </c>
      <c r="G1000" s="3">
        <v>45504.0</v>
      </c>
      <c r="H1000" s="3">
        <v>45540.0</v>
      </c>
      <c r="I1000" s="3">
        <v>45540.0</v>
      </c>
      <c r="J1000" s="1" t="s">
        <v>215</v>
      </c>
      <c r="K1000" s="1" t="s">
        <v>160</v>
      </c>
      <c r="L1000" s="1" t="s">
        <v>216</v>
      </c>
      <c r="M1000" s="1" t="s">
        <v>131</v>
      </c>
      <c r="Q1000" s="1" t="s">
        <v>137</v>
      </c>
      <c r="R1000" s="1" t="s">
        <v>137</v>
      </c>
      <c r="S1000" s="1" t="s">
        <v>47</v>
      </c>
      <c r="T1000" s="1" t="s">
        <v>4301</v>
      </c>
      <c r="U1000" s="1" t="s">
        <v>1577</v>
      </c>
      <c r="V1000" s="1" t="s">
        <v>3858</v>
      </c>
      <c r="W1000" s="3">
        <v>45540.0</v>
      </c>
      <c r="X1000" s="3">
        <v>45540.0</v>
      </c>
    </row>
    <row r="1001">
      <c r="A1001" s="1" t="s">
        <v>15238</v>
      </c>
      <c r="B1001" s="1" t="s">
        <v>9256</v>
      </c>
      <c r="C1001" s="1" t="s">
        <v>9256</v>
      </c>
      <c r="D1001" s="1" t="s">
        <v>4293</v>
      </c>
      <c r="E1001" s="1" t="s">
        <v>9258</v>
      </c>
      <c r="F1001" s="1" t="s">
        <v>15239</v>
      </c>
      <c r="G1001" s="3">
        <v>44348.0</v>
      </c>
      <c r="H1001" s="3">
        <v>44348.0</v>
      </c>
      <c r="I1001" s="3">
        <v>44348.0</v>
      </c>
      <c r="J1001" s="1" t="s">
        <v>215</v>
      </c>
      <c r="K1001" s="1" t="s">
        <v>160</v>
      </c>
      <c r="L1001" s="1" t="s">
        <v>216</v>
      </c>
      <c r="M1001" s="1" t="s">
        <v>131</v>
      </c>
      <c r="Q1001" s="1" t="s">
        <v>137</v>
      </c>
      <c r="R1001" s="1" t="s">
        <v>137</v>
      </c>
      <c r="S1001" s="1" t="s">
        <v>47</v>
      </c>
      <c r="T1001" s="1" t="s">
        <v>4301</v>
      </c>
      <c r="U1001" s="1" t="s">
        <v>1577</v>
      </c>
      <c r="V1001" s="1" t="s">
        <v>4950</v>
      </c>
      <c r="W1001" s="3">
        <v>44348.0</v>
      </c>
      <c r="X1001" s="3">
        <v>44348.0</v>
      </c>
    </row>
    <row r="1002">
      <c r="A1002" s="1" t="s">
        <v>15240</v>
      </c>
      <c r="B1002" s="1" t="s">
        <v>5842</v>
      </c>
      <c r="C1002" s="1" t="s">
        <v>5842</v>
      </c>
      <c r="D1002" s="1" t="s">
        <v>4293</v>
      </c>
      <c r="E1002" s="1" t="s">
        <v>9266</v>
      </c>
      <c r="F1002" s="1" t="s">
        <v>15241</v>
      </c>
      <c r="G1002" s="3">
        <v>45281.0</v>
      </c>
      <c r="H1002" s="3">
        <v>45586.0</v>
      </c>
      <c r="I1002" s="3">
        <v>45586.0</v>
      </c>
      <c r="J1002" s="1" t="s">
        <v>215</v>
      </c>
      <c r="K1002" s="1" t="s">
        <v>160</v>
      </c>
      <c r="L1002" s="1" t="s">
        <v>216</v>
      </c>
      <c r="M1002" s="1" t="s">
        <v>131</v>
      </c>
      <c r="Q1002" s="1" t="s">
        <v>137</v>
      </c>
      <c r="R1002" s="1" t="s">
        <v>137</v>
      </c>
      <c r="S1002" s="1" t="s">
        <v>47</v>
      </c>
      <c r="T1002" s="1" t="s">
        <v>4301</v>
      </c>
      <c r="U1002" s="1" t="s">
        <v>1577</v>
      </c>
      <c r="V1002" s="1" t="s">
        <v>3858</v>
      </c>
      <c r="W1002" s="3">
        <v>45586.0</v>
      </c>
      <c r="X1002" s="3">
        <v>45586.0</v>
      </c>
    </row>
    <row r="1003">
      <c r="A1003" s="1" t="s">
        <v>15242</v>
      </c>
      <c r="B1003" s="1" t="s">
        <v>5842</v>
      </c>
      <c r="C1003" s="1" t="s">
        <v>5842</v>
      </c>
      <c r="D1003" s="1" t="s">
        <v>4293</v>
      </c>
      <c r="E1003" s="1" t="s">
        <v>9266</v>
      </c>
      <c r="F1003" s="1" t="s">
        <v>15243</v>
      </c>
      <c r="G1003" s="3">
        <v>45281.0</v>
      </c>
      <c r="H1003" s="3">
        <v>45586.0</v>
      </c>
      <c r="I1003" s="3">
        <v>45586.0</v>
      </c>
      <c r="J1003" s="1" t="s">
        <v>215</v>
      </c>
      <c r="K1003" s="1" t="s">
        <v>160</v>
      </c>
      <c r="L1003" s="1" t="s">
        <v>216</v>
      </c>
      <c r="M1003" s="1" t="s">
        <v>131</v>
      </c>
      <c r="Q1003" s="1" t="s">
        <v>137</v>
      </c>
      <c r="R1003" s="1" t="s">
        <v>137</v>
      </c>
      <c r="S1003" s="1" t="s">
        <v>47</v>
      </c>
      <c r="T1003" s="1" t="s">
        <v>4301</v>
      </c>
      <c r="U1003" s="1" t="s">
        <v>1577</v>
      </c>
      <c r="V1003" s="1" t="s">
        <v>3865</v>
      </c>
      <c r="W1003" s="3">
        <v>45586.0</v>
      </c>
      <c r="X1003" s="3">
        <v>45586.0</v>
      </c>
    </row>
    <row r="1004">
      <c r="A1004" s="1" t="s">
        <v>15244</v>
      </c>
      <c r="B1004" s="1" t="s">
        <v>5842</v>
      </c>
      <c r="C1004" s="1" t="s">
        <v>5842</v>
      </c>
      <c r="D1004" s="1" t="s">
        <v>4293</v>
      </c>
      <c r="E1004" s="1" t="s">
        <v>9266</v>
      </c>
      <c r="F1004" s="1" t="s">
        <v>15245</v>
      </c>
      <c r="G1004" s="3">
        <v>45281.0</v>
      </c>
      <c r="H1004" s="3">
        <v>45586.0</v>
      </c>
      <c r="I1004" s="3">
        <v>45586.0</v>
      </c>
      <c r="J1004" s="1" t="s">
        <v>215</v>
      </c>
      <c r="K1004" s="1" t="s">
        <v>160</v>
      </c>
      <c r="L1004" s="1" t="s">
        <v>216</v>
      </c>
      <c r="M1004" s="1" t="s">
        <v>131</v>
      </c>
      <c r="Q1004" s="1" t="s">
        <v>137</v>
      </c>
      <c r="R1004" s="1" t="s">
        <v>137</v>
      </c>
      <c r="S1004" s="1" t="s">
        <v>47</v>
      </c>
      <c r="T1004" s="1" t="s">
        <v>4301</v>
      </c>
      <c r="U1004" s="1" t="s">
        <v>1577</v>
      </c>
      <c r="V1004" s="1" t="s">
        <v>4950</v>
      </c>
      <c r="W1004" s="3">
        <v>45586.0</v>
      </c>
      <c r="X1004" s="3">
        <v>45586.0</v>
      </c>
    </row>
    <row r="1005">
      <c r="A1005" s="1" t="s">
        <v>15246</v>
      </c>
      <c r="B1005" s="1" t="s">
        <v>6916</v>
      </c>
      <c r="C1005" s="1" t="s">
        <v>6916</v>
      </c>
      <c r="D1005" s="1" t="s">
        <v>4293</v>
      </c>
      <c r="E1005" s="1" t="s">
        <v>9275</v>
      </c>
      <c r="F1005" s="1" t="s">
        <v>15247</v>
      </c>
      <c r="G1005" s="3">
        <v>45233.0</v>
      </c>
      <c r="H1005" s="3">
        <v>45432.0</v>
      </c>
      <c r="I1005" s="3">
        <v>45432.0</v>
      </c>
      <c r="J1005" s="1" t="s">
        <v>215</v>
      </c>
      <c r="K1005" s="1" t="s">
        <v>160</v>
      </c>
      <c r="L1005" s="1" t="s">
        <v>216</v>
      </c>
      <c r="M1005" s="1" t="s">
        <v>131</v>
      </c>
      <c r="Q1005" s="1" t="s">
        <v>137</v>
      </c>
      <c r="R1005" s="1" t="s">
        <v>137</v>
      </c>
      <c r="S1005" s="1" t="s">
        <v>47</v>
      </c>
      <c r="T1005" s="1" t="s">
        <v>4301</v>
      </c>
      <c r="U1005" s="1" t="s">
        <v>1577</v>
      </c>
      <c r="V1005" s="1" t="s">
        <v>4679</v>
      </c>
      <c r="W1005" s="3">
        <v>45432.0</v>
      </c>
      <c r="X1005" s="3">
        <v>45432.0</v>
      </c>
    </row>
    <row r="1006">
      <c r="A1006" s="1" t="s">
        <v>15248</v>
      </c>
      <c r="B1006" s="1" t="s">
        <v>6916</v>
      </c>
      <c r="C1006" s="1" t="s">
        <v>6916</v>
      </c>
      <c r="D1006" s="1" t="s">
        <v>4293</v>
      </c>
      <c r="E1006" s="1" t="s">
        <v>9275</v>
      </c>
      <c r="F1006" s="1" t="s">
        <v>15249</v>
      </c>
      <c r="G1006" s="3">
        <v>45233.0</v>
      </c>
      <c r="H1006" s="3">
        <v>45432.0</v>
      </c>
      <c r="I1006" s="3">
        <v>45432.0</v>
      </c>
      <c r="J1006" s="1" t="s">
        <v>215</v>
      </c>
      <c r="K1006" s="1" t="s">
        <v>160</v>
      </c>
      <c r="L1006" s="1" t="s">
        <v>216</v>
      </c>
      <c r="M1006" s="1" t="s">
        <v>131</v>
      </c>
      <c r="Q1006" s="1" t="s">
        <v>137</v>
      </c>
      <c r="R1006" s="1" t="s">
        <v>137</v>
      </c>
      <c r="S1006" s="1" t="s">
        <v>47</v>
      </c>
      <c r="T1006" s="1" t="s">
        <v>4301</v>
      </c>
      <c r="U1006" s="1" t="s">
        <v>1577</v>
      </c>
      <c r="V1006" s="1" t="s">
        <v>3865</v>
      </c>
      <c r="W1006" s="3">
        <v>45432.0</v>
      </c>
      <c r="X1006" s="3">
        <v>45432.0</v>
      </c>
    </row>
    <row r="1007">
      <c r="A1007" s="1" t="s">
        <v>15250</v>
      </c>
      <c r="B1007" s="1" t="s">
        <v>6916</v>
      </c>
      <c r="C1007" s="1" t="s">
        <v>6916</v>
      </c>
      <c r="D1007" s="1" t="s">
        <v>4293</v>
      </c>
      <c r="E1007" s="1" t="s">
        <v>9275</v>
      </c>
      <c r="F1007" s="1" t="s">
        <v>15251</v>
      </c>
      <c r="G1007" s="3">
        <v>45233.0</v>
      </c>
      <c r="H1007" s="3">
        <v>45432.0</v>
      </c>
      <c r="I1007" s="3">
        <v>45432.0</v>
      </c>
      <c r="J1007" s="1" t="s">
        <v>215</v>
      </c>
      <c r="K1007" s="1" t="s">
        <v>160</v>
      </c>
      <c r="L1007" s="1" t="s">
        <v>216</v>
      </c>
      <c r="M1007" s="1" t="s">
        <v>131</v>
      </c>
      <c r="Q1007" s="1" t="s">
        <v>137</v>
      </c>
      <c r="R1007" s="1" t="s">
        <v>137</v>
      </c>
      <c r="S1007" s="1" t="s">
        <v>47</v>
      </c>
      <c r="T1007" s="1" t="s">
        <v>4301</v>
      </c>
      <c r="U1007" s="1" t="s">
        <v>1577</v>
      </c>
      <c r="V1007" s="1" t="s">
        <v>4950</v>
      </c>
      <c r="W1007" s="3">
        <v>45432.0</v>
      </c>
      <c r="X1007" s="3">
        <v>45432.0</v>
      </c>
    </row>
    <row r="1008">
      <c r="A1008" s="1" t="s">
        <v>15252</v>
      </c>
      <c r="B1008" s="1" t="s">
        <v>6916</v>
      </c>
      <c r="C1008" s="1" t="s">
        <v>6916</v>
      </c>
      <c r="D1008" s="1" t="s">
        <v>4293</v>
      </c>
      <c r="E1008" s="1" t="s">
        <v>9275</v>
      </c>
      <c r="F1008" s="1" t="s">
        <v>15253</v>
      </c>
      <c r="G1008" s="3">
        <v>45233.0</v>
      </c>
      <c r="H1008" s="3">
        <v>45432.0</v>
      </c>
      <c r="I1008" s="3">
        <v>45432.0</v>
      </c>
      <c r="J1008" s="1" t="s">
        <v>215</v>
      </c>
      <c r="K1008" s="1" t="s">
        <v>160</v>
      </c>
      <c r="L1008" s="1" t="s">
        <v>216</v>
      </c>
      <c r="M1008" s="1" t="s">
        <v>131</v>
      </c>
      <c r="Q1008" s="1" t="s">
        <v>137</v>
      </c>
      <c r="R1008" s="1" t="s">
        <v>137</v>
      </c>
      <c r="S1008" s="1" t="s">
        <v>47</v>
      </c>
      <c r="T1008" s="1" t="s">
        <v>4301</v>
      </c>
      <c r="U1008" s="1" t="s">
        <v>1577</v>
      </c>
      <c r="V1008" s="1" t="s">
        <v>5104</v>
      </c>
      <c r="W1008" s="3">
        <v>45432.0</v>
      </c>
      <c r="X1008" s="3">
        <v>45432.0</v>
      </c>
    </row>
    <row r="1009">
      <c r="A1009" s="1" t="s">
        <v>15254</v>
      </c>
      <c r="B1009" s="1" t="s">
        <v>6916</v>
      </c>
      <c r="C1009" s="1" t="s">
        <v>6916</v>
      </c>
      <c r="D1009" s="1" t="s">
        <v>4293</v>
      </c>
      <c r="E1009" s="1" t="s">
        <v>9275</v>
      </c>
      <c r="F1009" s="1" t="s">
        <v>15255</v>
      </c>
      <c r="G1009" s="3">
        <v>45233.0</v>
      </c>
      <c r="H1009" s="3">
        <v>45432.0</v>
      </c>
      <c r="I1009" s="3">
        <v>45432.0</v>
      </c>
      <c r="J1009" s="1" t="s">
        <v>215</v>
      </c>
      <c r="K1009" s="1" t="s">
        <v>160</v>
      </c>
      <c r="L1009" s="1" t="s">
        <v>216</v>
      </c>
      <c r="M1009" s="1" t="s">
        <v>131</v>
      </c>
      <c r="Q1009" s="1" t="s">
        <v>137</v>
      </c>
      <c r="R1009" s="1" t="s">
        <v>137</v>
      </c>
      <c r="S1009" s="1" t="s">
        <v>47</v>
      </c>
      <c r="T1009" s="1" t="s">
        <v>4301</v>
      </c>
      <c r="U1009" s="1" t="s">
        <v>1577</v>
      </c>
      <c r="V1009" s="1" t="s">
        <v>5120</v>
      </c>
      <c r="W1009" s="3">
        <v>45432.0</v>
      </c>
      <c r="X1009" s="3">
        <v>45432.0</v>
      </c>
    </row>
    <row r="1010">
      <c r="A1010" s="1" t="s">
        <v>15256</v>
      </c>
      <c r="B1010" s="1" t="s">
        <v>9284</v>
      </c>
      <c r="C1010" s="1" t="s">
        <v>9284</v>
      </c>
      <c r="D1010" s="1" t="s">
        <v>4293</v>
      </c>
      <c r="E1010" s="1" t="s">
        <v>9286</v>
      </c>
      <c r="F1010" s="1" t="s">
        <v>15257</v>
      </c>
      <c r="G1010" s="3">
        <v>43809.0</v>
      </c>
      <c r="H1010" s="3">
        <v>43879.0</v>
      </c>
      <c r="I1010" s="3">
        <v>43879.0</v>
      </c>
      <c r="J1010" s="1" t="s">
        <v>215</v>
      </c>
      <c r="K1010" s="1" t="s">
        <v>160</v>
      </c>
      <c r="L1010" s="1" t="s">
        <v>216</v>
      </c>
      <c r="M1010" s="1" t="s">
        <v>131</v>
      </c>
      <c r="Q1010" s="1" t="s">
        <v>137</v>
      </c>
      <c r="R1010" s="1" t="s">
        <v>137</v>
      </c>
      <c r="S1010" s="1" t="s">
        <v>47</v>
      </c>
      <c r="T1010" s="1" t="s">
        <v>4301</v>
      </c>
      <c r="U1010" s="1" t="s">
        <v>1577</v>
      </c>
      <c r="V1010" s="1" t="s">
        <v>3858</v>
      </c>
      <c r="W1010" s="3">
        <v>43879.0</v>
      </c>
      <c r="X1010" s="3">
        <v>43879.0</v>
      </c>
    </row>
    <row r="1011">
      <c r="A1011" s="1" t="s">
        <v>15258</v>
      </c>
      <c r="B1011" s="1" t="s">
        <v>9294</v>
      </c>
      <c r="C1011" s="1" t="s">
        <v>9294</v>
      </c>
      <c r="D1011" s="1" t="s">
        <v>4293</v>
      </c>
      <c r="E1011" s="1" t="s">
        <v>9295</v>
      </c>
      <c r="F1011" s="1" t="s">
        <v>15259</v>
      </c>
      <c r="G1011" s="3">
        <v>45516.0</v>
      </c>
      <c r="H1011" s="3">
        <v>45742.0</v>
      </c>
      <c r="I1011" s="3">
        <v>45742.0</v>
      </c>
      <c r="J1011" s="1" t="s">
        <v>215</v>
      </c>
      <c r="K1011" s="1" t="s">
        <v>160</v>
      </c>
      <c r="L1011" s="1" t="s">
        <v>216</v>
      </c>
      <c r="M1011" s="1" t="s">
        <v>131</v>
      </c>
      <c r="Q1011" s="1" t="s">
        <v>137</v>
      </c>
      <c r="R1011" s="1" t="s">
        <v>137</v>
      </c>
      <c r="S1011" s="1" t="s">
        <v>47</v>
      </c>
      <c r="T1011" s="1" t="s">
        <v>4301</v>
      </c>
      <c r="U1011" s="1" t="s">
        <v>1577</v>
      </c>
      <c r="V1011" s="1" t="s">
        <v>3858</v>
      </c>
      <c r="W1011" s="3">
        <v>45742.0</v>
      </c>
      <c r="X1011" s="3">
        <v>45742.0</v>
      </c>
    </row>
    <row r="1012">
      <c r="A1012" s="1" t="s">
        <v>15260</v>
      </c>
      <c r="B1012" s="1" t="s">
        <v>9294</v>
      </c>
      <c r="C1012" s="1" t="s">
        <v>9294</v>
      </c>
      <c r="D1012" s="1" t="s">
        <v>4293</v>
      </c>
      <c r="E1012" s="1" t="s">
        <v>9295</v>
      </c>
      <c r="F1012" s="1" t="s">
        <v>15261</v>
      </c>
      <c r="G1012" s="3">
        <v>45516.0</v>
      </c>
      <c r="H1012" s="3">
        <v>45742.0</v>
      </c>
      <c r="I1012" s="3">
        <v>45742.0</v>
      </c>
      <c r="J1012" s="1" t="s">
        <v>215</v>
      </c>
      <c r="K1012" s="1" t="s">
        <v>160</v>
      </c>
      <c r="L1012" s="1" t="s">
        <v>216</v>
      </c>
      <c r="M1012" s="1" t="s">
        <v>131</v>
      </c>
      <c r="Q1012" s="1" t="s">
        <v>137</v>
      </c>
      <c r="R1012" s="1" t="s">
        <v>137</v>
      </c>
      <c r="S1012" s="1" t="s">
        <v>47</v>
      </c>
      <c r="T1012" s="1" t="s">
        <v>4301</v>
      </c>
      <c r="U1012" s="1" t="s">
        <v>1577</v>
      </c>
      <c r="V1012" s="1" t="s">
        <v>4950</v>
      </c>
      <c r="W1012" s="3">
        <v>45742.0</v>
      </c>
      <c r="X1012" s="3">
        <v>45742.0</v>
      </c>
    </row>
    <row r="1013">
      <c r="A1013" s="1" t="s">
        <v>15262</v>
      </c>
      <c r="B1013" s="1" t="s">
        <v>5272</v>
      </c>
      <c r="C1013" s="1" t="s">
        <v>5272</v>
      </c>
      <c r="D1013" s="1" t="s">
        <v>4293</v>
      </c>
      <c r="E1013" s="1" t="s">
        <v>9304</v>
      </c>
      <c r="F1013" s="1" t="s">
        <v>15263</v>
      </c>
      <c r="G1013" s="3">
        <v>43552.0</v>
      </c>
      <c r="H1013" s="3">
        <v>43670.0</v>
      </c>
      <c r="I1013" s="3">
        <v>43670.0</v>
      </c>
      <c r="J1013" s="1" t="s">
        <v>215</v>
      </c>
      <c r="K1013" s="1" t="s">
        <v>160</v>
      </c>
      <c r="L1013" s="1" t="s">
        <v>216</v>
      </c>
      <c r="M1013" s="1" t="s">
        <v>131</v>
      </c>
      <c r="Q1013" s="1" t="s">
        <v>137</v>
      </c>
      <c r="R1013" s="1" t="s">
        <v>137</v>
      </c>
      <c r="S1013" s="1" t="s">
        <v>47</v>
      </c>
      <c r="T1013" s="1" t="s">
        <v>4301</v>
      </c>
      <c r="U1013" s="1" t="s">
        <v>1577</v>
      </c>
      <c r="V1013" s="1" t="s">
        <v>3858</v>
      </c>
      <c r="W1013" s="3">
        <v>43670.0</v>
      </c>
      <c r="X1013" s="3">
        <v>43670.0</v>
      </c>
    </row>
    <row r="1014">
      <c r="A1014" s="1" t="s">
        <v>15264</v>
      </c>
      <c r="B1014" s="1" t="s">
        <v>9310</v>
      </c>
      <c r="C1014" s="1" t="s">
        <v>9310</v>
      </c>
      <c r="D1014" s="1" t="s">
        <v>4293</v>
      </c>
      <c r="E1014" s="1" t="s">
        <v>9311</v>
      </c>
      <c r="F1014" s="1" t="s">
        <v>15265</v>
      </c>
      <c r="G1014" s="3">
        <v>45020.0</v>
      </c>
      <c r="H1014" s="3">
        <v>45350.0</v>
      </c>
      <c r="I1014" s="3">
        <v>45350.0</v>
      </c>
      <c r="J1014" s="1" t="s">
        <v>215</v>
      </c>
      <c r="K1014" s="1" t="s">
        <v>160</v>
      </c>
      <c r="L1014" s="1" t="s">
        <v>216</v>
      </c>
      <c r="M1014" s="1" t="s">
        <v>131</v>
      </c>
      <c r="Q1014" s="1" t="s">
        <v>137</v>
      </c>
      <c r="R1014" s="1" t="s">
        <v>137</v>
      </c>
      <c r="S1014" s="1" t="s">
        <v>47</v>
      </c>
      <c r="T1014" s="1" t="s">
        <v>4301</v>
      </c>
      <c r="U1014" s="1" t="s">
        <v>1577</v>
      </c>
      <c r="V1014" s="1" t="s">
        <v>3858</v>
      </c>
      <c r="W1014" s="3">
        <v>45350.0</v>
      </c>
      <c r="X1014" s="3">
        <v>45350.0</v>
      </c>
    </row>
    <row r="1015">
      <c r="A1015" s="1" t="s">
        <v>15266</v>
      </c>
      <c r="B1015" s="1" t="s">
        <v>6931</v>
      </c>
      <c r="C1015" s="1" t="s">
        <v>6931</v>
      </c>
      <c r="D1015" s="1" t="s">
        <v>4293</v>
      </c>
      <c r="E1015" s="1" t="s">
        <v>9322</v>
      </c>
      <c r="F1015" s="1" t="s">
        <v>15267</v>
      </c>
      <c r="G1015" s="3">
        <v>43096.0</v>
      </c>
      <c r="H1015" s="3">
        <v>43111.0</v>
      </c>
      <c r="I1015" s="3">
        <v>43111.0</v>
      </c>
      <c r="J1015" s="1" t="s">
        <v>215</v>
      </c>
      <c r="K1015" s="1" t="s">
        <v>160</v>
      </c>
      <c r="L1015" s="1" t="s">
        <v>216</v>
      </c>
      <c r="M1015" s="1" t="s">
        <v>131</v>
      </c>
      <c r="Q1015" s="1" t="s">
        <v>137</v>
      </c>
      <c r="R1015" s="1" t="s">
        <v>137</v>
      </c>
      <c r="S1015" s="1" t="s">
        <v>47</v>
      </c>
      <c r="T1015" s="1" t="s">
        <v>4301</v>
      </c>
      <c r="U1015" s="1" t="s">
        <v>1577</v>
      </c>
      <c r="V1015" s="1" t="s">
        <v>3858</v>
      </c>
      <c r="W1015" s="3">
        <v>43111.0</v>
      </c>
      <c r="X1015" s="3">
        <v>43111.0</v>
      </c>
    </row>
    <row r="1016">
      <c r="A1016" s="1" t="s">
        <v>15268</v>
      </c>
      <c r="B1016" s="1" t="s">
        <v>6931</v>
      </c>
      <c r="C1016" s="1" t="s">
        <v>6931</v>
      </c>
      <c r="D1016" s="1" t="s">
        <v>4293</v>
      </c>
      <c r="E1016" s="1" t="s">
        <v>9322</v>
      </c>
      <c r="F1016" s="1" t="s">
        <v>15269</v>
      </c>
      <c r="G1016" s="3">
        <v>43096.0</v>
      </c>
      <c r="H1016" s="3">
        <v>43111.0</v>
      </c>
      <c r="I1016" s="3">
        <v>43111.0</v>
      </c>
      <c r="J1016" s="1" t="s">
        <v>215</v>
      </c>
      <c r="K1016" s="1" t="s">
        <v>160</v>
      </c>
      <c r="L1016" s="1" t="s">
        <v>216</v>
      </c>
      <c r="M1016" s="1" t="s">
        <v>131</v>
      </c>
      <c r="Q1016" s="1" t="s">
        <v>137</v>
      </c>
      <c r="R1016" s="1" t="s">
        <v>137</v>
      </c>
      <c r="S1016" s="1" t="s">
        <v>47</v>
      </c>
      <c r="T1016" s="1" t="s">
        <v>4301</v>
      </c>
      <c r="U1016" s="1" t="s">
        <v>1577</v>
      </c>
      <c r="V1016" s="1" t="s">
        <v>3865</v>
      </c>
      <c r="W1016" s="3">
        <v>43111.0</v>
      </c>
      <c r="X1016" s="3">
        <v>43111.0</v>
      </c>
    </row>
    <row r="1017">
      <c r="A1017" s="1" t="s">
        <v>15270</v>
      </c>
      <c r="B1017" s="1" t="s">
        <v>6931</v>
      </c>
      <c r="C1017" s="1" t="s">
        <v>6931</v>
      </c>
      <c r="D1017" s="1" t="s">
        <v>4293</v>
      </c>
      <c r="E1017" s="1" t="s">
        <v>9322</v>
      </c>
      <c r="F1017" s="1" t="s">
        <v>15271</v>
      </c>
      <c r="G1017" s="3">
        <v>43096.0</v>
      </c>
      <c r="H1017" s="3">
        <v>43111.0</v>
      </c>
      <c r="I1017" s="3">
        <v>43111.0</v>
      </c>
      <c r="J1017" s="1" t="s">
        <v>215</v>
      </c>
      <c r="K1017" s="1" t="s">
        <v>160</v>
      </c>
      <c r="L1017" s="1" t="s">
        <v>216</v>
      </c>
      <c r="M1017" s="1" t="s">
        <v>131</v>
      </c>
      <c r="Q1017" s="1" t="s">
        <v>137</v>
      </c>
      <c r="R1017" s="1" t="s">
        <v>137</v>
      </c>
      <c r="S1017" s="1" t="s">
        <v>47</v>
      </c>
      <c r="T1017" s="1" t="s">
        <v>4301</v>
      </c>
      <c r="U1017" s="1" t="s">
        <v>1577</v>
      </c>
      <c r="V1017" s="1" t="s">
        <v>4950</v>
      </c>
      <c r="W1017" s="3">
        <v>43111.0</v>
      </c>
      <c r="X1017" s="3">
        <v>43111.0</v>
      </c>
    </row>
    <row r="1018">
      <c r="A1018" s="1" t="s">
        <v>15272</v>
      </c>
      <c r="B1018" s="1" t="s">
        <v>5448</v>
      </c>
      <c r="C1018" s="1" t="s">
        <v>5448</v>
      </c>
      <c r="D1018" s="1" t="s">
        <v>4293</v>
      </c>
      <c r="E1018" s="1" t="s">
        <v>9331</v>
      </c>
      <c r="F1018" s="1" t="s">
        <v>15273</v>
      </c>
      <c r="G1018" s="3">
        <v>44908.0</v>
      </c>
      <c r="H1018" s="3">
        <v>45069.0</v>
      </c>
      <c r="I1018" s="3">
        <v>45069.0</v>
      </c>
      <c r="J1018" s="1" t="s">
        <v>215</v>
      </c>
      <c r="K1018" s="1" t="s">
        <v>160</v>
      </c>
      <c r="L1018" s="1" t="s">
        <v>216</v>
      </c>
      <c r="M1018" s="1" t="s">
        <v>131</v>
      </c>
      <c r="Q1018" s="1" t="s">
        <v>137</v>
      </c>
      <c r="R1018" s="1" t="s">
        <v>137</v>
      </c>
      <c r="S1018" s="1" t="s">
        <v>47</v>
      </c>
      <c r="T1018" s="1" t="s">
        <v>4301</v>
      </c>
      <c r="U1018" s="1" t="s">
        <v>1577</v>
      </c>
      <c r="V1018" s="1" t="s">
        <v>3858</v>
      </c>
      <c r="W1018" s="3">
        <v>45069.0</v>
      </c>
      <c r="X1018" s="3">
        <v>45069.0</v>
      </c>
    </row>
    <row r="1019">
      <c r="A1019" s="1" t="s">
        <v>15274</v>
      </c>
      <c r="B1019" s="1" t="s">
        <v>9339</v>
      </c>
      <c r="C1019" s="1" t="s">
        <v>9339</v>
      </c>
      <c r="D1019" s="1" t="s">
        <v>4293</v>
      </c>
      <c r="E1019" s="1" t="s">
        <v>9341</v>
      </c>
      <c r="F1019" s="1" t="s">
        <v>15275</v>
      </c>
      <c r="G1019" s="3">
        <v>44293.0</v>
      </c>
      <c r="H1019" s="3">
        <v>44293.0</v>
      </c>
      <c r="I1019" s="3">
        <v>44293.0</v>
      </c>
      <c r="J1019" s="1" t="s">
        <v>215</v>
      </c>
      <c r="K1019" s="1" t="s">
        <v>160</v>
      </c>
      <c r="L1019" s="1" t="s">
        <v>216</v>
      </c>
      <c r="M1019" s="1" t="s">
        <v>131</v>
      </c>
      <c r="Q1019" s="1" t="s">
        <v>137</v>
      </c>
      <c r="R1019" s="1" t="s">
        <v>137</v>
      </c>
      <c r="S1019" s="1" t="s">
        <v>47</v>
      </c>
      <c r="T1019" s="1" t="s">
        <v>4301</v>
      </c>
      <c r="U1019" s="1" t="s">
        <v>1577</v>
      </c>
      <c r="V1019" s="1" t="s">
        <v>3858</v>
      </c>
      <c r="W1019" s="3">
        <v>44293.0</v>
      </c>
      <c r="X1019" s="3">
        <v>44293.0</v>
      </c>
    </row>
    <row r="1020">
      <c r="A1020" s="1" t="s">
        <v>15276</v>
      </c>
      <c r="B1020" s="1" t="s">
        <v>9349</v>
      </c>
      <c r="C1020" s="1" t="s">
        <v>9349</v>
      </c>
      <c r="D1020" s="1" t="s">
        <v>4293</v>
      </c>
      <c r="E1020" s="1" t="s">
        <v>9352</v>
      </c>
      <c r="F1020" s="1" t="s">
        <v>15277</v>
      </c>
      <c r="G1020" s="3">
        <v>45219.0</v>
      </c>
      <c r="H1020" s="3">
        <v>45365.0</v>
      </c>
      <c r="I1020" s="3">
        <v>45365.0</v>
      </c>
      <c r="J1020" s="1" t="s">
        <v>215</v>
      </c>
      <c r="K1020" s="1" t="s">
        <v>160</v>
      </c>
      <c r="L1020" s="1" t="s">
        <v>216</v>
      </c>
      <c r="M1020" s="1" t="s">
        <v>131</v>
      </c>
      <c r="Q1020" s="1" t="s">
        <v>137</v>
      </c>
      <c r="R1020" s="1" t="s">
        <v>137</v>
      </c>
      <c r="S1020" s="1" t="s">
        <v>47</v>
      </c>
      <c r="T1020" s="1" t="s">
        <v>4301</v>
      </c>
      <c r="U1020" s="1" t="s">
        <v>1577</v>
      </c>
      <c r="V1020" s="1" t="s">
        <v>3858</v>
      </c>
      <c r="W1020" s="3">
        <v>45365.0</v>
      </c>
      <c r="X1020" s="3">
        <v>45365.0</v>
      </c>
    </row>
    <row r="1021">
      <c r="A1021" s="1" t="s">
        <v>15278</v>
      </c>
      <c r="B1021" s="1" t="s">
        <v>9349</v>
      </c>
      <c r="C1021" s="1" t="s">
        <v>9349</v>
      </c>
      <c r="D1021" s="1" t="s">
        <v>4293</v>
      </c>
      <c r="E1021" s="1" t="s">
        <v>9352</v>
      </c>
      <c r="F1021" s="1" t="s">
        <v>15279</v>
      </c>
      <c r="G1021" s="3">
        <v>45219.0</v>
      </c>
      <c r="H1021" s="3">
        <v>45365.0</v>
      </c>
      <c r="I1021" s="3">
        <v>45365.0</v>
      </c>
      <c r="J1021" s="1" t="s">
        <v>215</v>
      </c>
      <c r="K1021" s="1" t="s">
        <v>160</v>
      </c>
      <c r="L1021" s="1" t="s">
        <v>216</v>
      </c>
      <c r="M1021" s="1" t="s">
        <v>131</v>
      </c>
      <c r="Q1021" s="1" t="s">
        <v>137</v>
      </c>
      <c r="R1021" s="1" t="s">
        <v>137</v>
      </c>
      <c r="S1021" s="1" t="s">
        <v>47</v>
      </c>
      <c r="T1021" s="1" t="s">
        <v>4301</v>
      </c>
      <c r="U1021" s="1" t="s">
        <v>1577</v>
      </c>
      <c r="V1021" s="1" t="s">
        <v>4950</v>
      </c>
      <c r="W1021" s="3">
        <v>45365.0</v>
      </c>
      <c r="X1021" s="3">
        <v>45365.0</v>
      </c>
    </row>
    <row r="1022">
      <c r="A1022" s="1" t="s">
        <v>15280</v>
      </c>
      <c r="B1022" s="1" t="s">
        <v>9360</v>
      </c>
      <c r="C1022" s="1" t="s">
        <v>9360</v>
      </c>
      <c r="D1022" s="1" t="s">
        <v>4293</v>
      </c>
      <c r="E1022" s="1" t="s">
        <v>9363</v>
      </c>
      <c r="F1022" s="1" t="s">
        <v>15281</v>
      </c>
      <c r="G1022" s="3">
        <v>44623.0</v>
      </c>
      <c r="H1022" s="3">
        <v>44858.0</v>
      </c>
      <c r="I1022" s="3">
        <v>44858.0</v>
      </c>
      <c r="J1022" s="1" t="s">
        <v>215</v>
      </c>
      <c r="K1022" s="1" t="s">
        <v>160</v>
      </c>
      <c r="L1022" s="1" t="s">
        <v>216</v>
      </c>
      <c r="M1022" s="1" t="s">
        <v>131</v>
      </c>
      <c r="Q1022" s="1" t="s">
        <v>137</v>
      </c>
      <c r="R1022" s="1" t="s">
        <v>137</v>
      </c>
      <c r="S1022" s="1" t="s">
        <v>47</v>
      </c>
      <c r="T1022" s="1" t="s">
        <v>4301</v>
      </c>
      <c r="U1022" s="1" t="s">
        <v>1577</v>
      </c>
      <c r="V1022" s="1" t="s">
        <v>3858</v>
      </c>
      <c r="W1022" s="3">
        <v>44858.0</v>
      </c>
      <c r="X1022" s="3">
        <v>44858.0</v>
      </c>
    </row>
    <row r="1023">
      <c r="A1023" s="1" t="s">
        <v>15282</v>
      </c>
      <c r="B1023" s="1" t="s">
        <v>9360</v>
      </c>
      <c r="C1023" s="1" t="s">
        <v>9360</v>
      </c>
      <c r="D1023" s="1" t="s">
        <v>4293</v>
      </c>
      <c r="E1023" s="1" t="s">
        <v>9363</v>
      </c>
      <c r="F1023" s="1" t="s">
        <v>15283</v>
      </c>
      <c r="G1023" s="3">
        <v>44623.0</v>
      </c>
      <c r="H1023" s="3">
        <v>44858.0</v>
      </c>
      <c r="I1023" s="3">
        <v>44858.0</v>
      </c>
      <c r="J1023" s="1" t="s">
        <v>215</v>
      </c>
      <c r="K1023" s="1" t="s">
        <v>160</v>
      </c>
      <c r="L1023" s="1" t="s">
        <v>216</v>
      </c>
      <c r="M1023" s="1" t="s">
        <v>131</v>
      </c>
      <c r="Q1023" s="1" t="s">
        <v>137</v>
      </c>
      <c r="R1023" s="1" t="s">
        <v>137</v>
      </c>
      <c r="S1023" s="1" t="s">
        <v>47</v>
      </c>
      <c r="T1023" s="1" t="s">
        <v>4301</v>
      </c>
      <c r="U1023" s="1" t="s">
        <v>1577</v>
      </c>
      <c r="V1023" s="1" t="s">
        <v>4679</v>
      </c>
      <c r="W1023" s="3">
        <v>44858.0</v>
      </c>
      <c r="X1023" s="3">
        <v>44858.0</v>
      </c>
    </row>
    <row r="1024">
      <c r="A1024" s="1" t="s">
        <v>15284</v>
      </c>
      <c r="B1024" s="1" t="s">
        <v>9360</v>
      </c>
      <c r="C1024" s="1" t="s">
        <v>9360</v>
      </c>
      <c r="D1024" s="1" t="s">
        <v>4293</v>
      </c>
      <c r="E1024" s="1" t="s">
        <v>9363</v>
      </c>
      <c r="F1024" s="1" t="s">
        <v>15285</v>
      </c>
      <c r="G1024" s="3">
        <v>44623.0</v>
      </c>
      <c r="H1024" s="3">
        <v>44858.0</v>
      </c>
      <c r="I1024" s="3">
        <v>44858.0</v>
      </c>
      <c r="J1024" s="1" t="s">
        <v>215</v>
      </c>
      <c r="K1024" s="1" t="s">
        <v>160</v>
      </c>
      <c r="L1024" s="1" t="s">
        <v>216</v>
      </c>
      <c r="M1024" s="1" t="s">
        <v>131</v>
      </c>
      <c r="Q1024" s="1" t="s">
        <v>137</v>
      </c>
      <c r="R1024" s="1" t="s">
        <v>137</v>
      </c>
      <c r="S1024" s="1" t="s">
        <v>47</v>
      </c>
      <c r="T1024" s="1" t="s">
        <v>4301</v>
      </c>
      <c r="U1024" s="1" t="s">
        <v>1577</v>
      </c>
      <c r="V1024" s="1" t="s">
        <v>4950</v>
      </c>
      <c r="W1024" s="3">
        <v>44858.0</v>
      </c>
      <c r="X1024" s="3">
        <v>44858.0</v>
      </c>
    </row>
    <row r="1025">
      <c r="A1025" s="1" t="s">
        <v>15286</v>
      </c>
      <c r="B1025" s="1" t="s">
        <v>9360</v>
      </c>
      <c r="C1025" s="1" t="s">
        <v>9360</v>
      </c>
      <c r="D1025" s="1" t="s">
        <v>4293</v>
      </c>
      <c r="E1025" s="1" t="s">
        <v>9363</v>
      </c>
      <c r="F1025" s="1" t="s">
        <v>15287</v>
      </c>
      <c r="G1025" s="3">
        <v>44623.0</v>
      </c>
      <c r="H1025" s="3">
        <v>44858.0</v>
      </c>
      <c r="I1025" s="3">
        <v>44858.0</v>
      </c>
      <c r="J1025" s="1" t="s">
        <v>215</v>
      </c>
      <c r="K1025" s="1" t="s">
        <v>160</v>
      </c>
      <c r="L1025" s="1" t="s">
        <v>216</v>
      </c>
      <c r="M1025" s="1" t="s">
        <v>131</v>
      </c>
      <c r="Q1025" s="1" t="s">
        <v>137</v>
      </c>
      <c r="R1025" s="1" t="s">
        <v>137</v>
      </c>
      <c r="S1025" s="1" t="s">
        <v>47</v>
      </c>
      <c r="T1025" s="1" t="s">
        <v>4301</v>
      </c>
      <c r="U1025" s="1" t="s">
        <v>1577</v>
      </c>
      <c r="V1025" s="1" t="s">
        <v>5104</v>
      </c>
      <c r="W1025" s="3">
        <v>44858.0</v>
      </c>
      <c r="X1025" s="3">
        <v>44858.0</v>
      </c>
    </row>
    <row r="1026">
      <c r="A1026" s="1" t="s">
        <v>15288</v>
      </c>
      <c r="B1026" s="1" t="s">
        <v>9360</v>
      </c>
      <c r="C1026" s="1" t="s">
        <v>9360</v>
      </c>
      <c r="D1026" s="1" t="s">
        <v>4293</v>
      </c>
      <c r="E1026" s="1" t="s">
        <v>9363</v>
      </c>
      <c r="F1026" s="1" t="s">
        <v>15289</v>
      </c>
      <c r="G1026" s="3">
        <v>44623.0</v>
      </c>
      <c r="H1026" s="3">
        <v>44858.0</v>
      </c>
      <c r="I1026" s="3">
        <v>44858.0</v>
      </c>
      <c r="J1026" s="1" t="s">
        <v>215</v>
      </c>
      <c r="K1026" s="1" t="s">
        <v>160</v>
      </c>
      <c r="L1026" s="1" t="s">
        <v>216</v>
      </c>
      <c r="M1026" s="1" t="s">
        <v>131</v>
      </c>
      <c r="Q1026" s="1" t="s">
        <v>137</v>
      </c>
      <c r="R1026" s="1" t="s">
        <v>137</v>
      </c>
      <c r="S1026" s="1" t="s">
        <v>47</v>
      </c>
      <c r="T1026" s="1" t="s">
        <v>4301</v>
      </c>
      <c r="U1026" s="1" t="s">
        <v>1577</v>
      </c>
      <c r="V1026" s="1" t="s">
        <v>5120</v>
      </c>
      <c r="W1026" s="3">
        <v>44858.0</v>
      </c>
      <c r="X1026" s="3">
        <v>44858.0</v>
      </c>
    </row>
    <row r="1027">
      <c r="A1027" s="1" t="s">
        <v>15290</v>
      </c>
      <c r="B1027" s="1" t="s">
        <v>9371</v>
      </c>
      <c r="C1027" s="1" t="s">
        <v>9371</v>
      </c>
      <c r="D1027" s="1" t="s">
        <v>4293</v>
      </c>
      <c r="E1027" s="1" t="s">
        <v>9373</v>
      </c>
      <c r="F1027" s="1" t="s">
        <v>15291</v>
      </c>
      <c r="G1027" s="3">
        <v>45009.0</v>
      </c>
      <c r="H1027" s="3">
        <v>45204.0</v>
      </c>
      <c r="I1027" s="3">
        <v>45204.0</v>
      </c>
      <c r="J1027" s="1" t="s">
        <v>215</v>
      </c>
      <c r="K1027" s="1" t="s">
        <v>160</v>
      </c>
      <c r="L1027" s="1" t="s">
        <v>216</v>
      </c>
      <c r="M1027" s="1" t="s">
        <v>131</v>
      </c>
      <c r="Q1027" s="1" t="s">
        <v>137</v>
      </c>
      <c r="R1027" s="1" t="s">
        <v>137</v>
      </c>
      <c r="S1027" s="1" t="s">
        <v>47</v>
      </c>
      <c r="T1027" s="1" t="s">
        <v>4301</v>
      </c>
      <c r="U1027" s="1" t="s">
        <v>1577</v>
      </c>
      <c r="V1027" s="1" t="s">
        <v>3858</v>
      </c>
      <c r="W1027" s="3">
        <v>45204.0</v>
      </c>
      <c r="X1027" s="3">
        <v>45204.0</v>
      </c>
    </row>
    <row r="1028">
      <c r="A1028" s="1" t="s">
        <v>15292</v>
      </c>
      <c r="B1028" s="1" t="s">
        <v>9371</v>
      </c>
      <c r="C1028" s="1" t="s">
        <v>9371</v>
      </c>
      <c r="D1028" s="1" t="s">
        <v>4293</v>
      </c>
      <c r="E1028" s="1" t="s">
        <v>9373</v>
      </c>
      <c r="F1028" s="1" t="s">
        <v>15293</v>
      </c>
      <c r="G1028" s="3">
        <v>45009.0</v>
      </c>
      <c r="H1028" s="3">
        <v>45204.0</v>
      </c>
      <c r="I1028" s="3">
        <v>45204.0</v>
      </c>
      <c r="J1028" s="1" t="s">
        <v>215</v>
      </c>
      <c r="K1028" s="1" t="s">
        <v>160</v>
      </c>
      <c r="L1028" s="1" t="s">
        <v>216</v>
      </c>
      <c r="M1028" s="1" t="s">
        <v>131</v>
      </c>
      <c r="Q1028" s="1" t="s">
        <v>137</v>
      </c>
      <c r="R1028" s="1" t="s">
        <v>137</v>
      </c>
      <c r="S1028" s="1" t="s">
        <v>47</v>
      </c>
      <c r="T1028" s="1" t="s">
        <v>4301</v>
      </c>
      <c r="U1028" s="1" t="s">
        <v>1577</v>
      </c>
      <c r="V1028" s="1" t="s">
        <v>4950</v>
      </c>
      <c r="W1028" s="3">
        <v>45204.0</v>
      </c>
      <c r="X1028" s="3">
        <v>45204.0</v>
      </c>
    </row>
    <row r="1029">
      <c r="A1029" s="1" t="s">
        <v>15297</v>
      </c>
      <c r="B1029" s="1" t="s">
        <v>9382</v>
      </c>
      <c r="C1029" s="1" t="s">
        <v>9382</v>
      </c>
      <c r="D1029" s="1" t="s">
        <v>4293</v>
      </c>
      <c r="E1029" s="1" t="s">
        <v>9384</v>
      </c>
      <c r="F1029" s="1" t="s">
        <v>15299</v>
      </c>
      <c r="G1029" s="3">
        <v>44452.0</v>
      </c>
      <c r="H1029" s="3">
        <v>44452.0</v>
      </c>
      <c r="I1029" s="3">
        <v>44452.0</v>
      </c>
      <c r="J1029" s="1" t="s">
        <v>215</v>
      </c>
      <c r="K1029" s="1" t="s">
        <v>160</v>
      </c>
      <c r="L1029" s="1" t="s">
        <v>216</v>
      </c>
      <c r="M1029" s="1" t="s">
        <v>131</v>
      </c>
      <c r="Q1029" s="1" t="s">
        <v>137</v>
      </c>
      <c r="R1029" s="1" t="s">
        <v>137</v>
      </c>
      <c r="S1029" s="1" t="s">
        <v>47</v>
      </c>
      <c r="T1029" s="1" t="s">
        <v>4301</v>
      </c>
      <c r="U1029" s="1" t="s">
        <v>1577</v>
      </c>
      <c r="V1029" s="1" t="s">
        <v>3858</v>
      </c>
      <c r="W1029" s="3">
        <v>44452.0</v>
      </c>
      <c r="X1029" s="3">
        <v>44452.0</v>
      </c>
    </row>
    <row r="1030">
      <c r="A1030" s="1" t="s">
        <v>15300</v>
      </c>
      <c r="B1030" s="1" t="s">
        <v>9394</v>
      </c>
      <c r="C1030" s="1" t="s">
        <v>9394</v>
      </c>
      <c r="D1030" s="1" t="s">
        <v>4293</v>
      </c>
      <c r="E1030" s="1" t="s">
        <v>9395</v>
      </c>
      <c r="F1030" s="1" t="s">
        <v>15304</v>
      </c>
      <c r="G1030" s="3">
        <v>45331.0</v>
      </c>
      <c r="H1030" s="3">
        <v>45446.0</v>
      </c>
      <c r="I1030" s="3">
        <v>45446.0</v>
      </c>
      <c r="J1030" s="1" t="s">
        <v>215</v>
      </c>
      <c r="K1030" s="1" t="s">
        <v>160</v>
      </c>
      <c r="L1030" s="1" t="s">
        <v>216</v>
      </c>
      <c r="M1030" s="1" t="s">
        <v>131</v>
      </c>
      <c r="Q1030" s="1" t="s">
        <v>137</v>
      </c>
      <c r="R1030" s="1" t="s">
        <v>137</v>
      </c>
      <c r="S1030" s="1" t="s">
        <v>47</v>
      </c>
      <c r="T1030" s="1" t="s">
        <v>4301</v>
      </c>
      <c r="U1030" s="1" t="s">
        <v>1577</v>
      </c>
      <c r="V1030" s="1" t="s">
        <v>4679</v>
      </c>
      <c r="W1030" s="3">
        <v>45446.0</v>
      </c>
      <c r="X1030" s="3">
        <v>45446.0</v>
      </c>
    </row>
    <row r="1031">
      <c r="A1031" s="1" t="s">
        <v>15309</v>
      </c>
      <c r="B1031" s="1" t="s">
        <v>9394</v>
      </c>
      <c r="C1031" s="1" t="s">
        <v>9394</v>
      </c>
      <c r="D1031" s="1" t="s">
        <v>4293</v>
      </c>
      <c r="E1031" s="1" t="s">
        <v>9395</v>
      </c>
      <c r="F1031" s="1" t="s">
        <v>15310</v>
      </c>
      <c r="G1031" s="3">
        <v>45331.0</v>
      </c>
      <c r="H1031" s="3">
        <v>45446.0</v>
      </c>
      <c r="I1031" s="3">
        <v>45446.0</v>
      </c>
      <c r="J1031" s="1" t="s">
        <v>215</v>
      </c>
      <c r="K1031" s="1" t="s">
        <v>160</v>
      </c>
      <c r="L1031" s="1" t="s">
        <v>216</v>
      </c>
      <c r="M1031" s="1" t="s">
        <v>131</v>
      </c>
      <c r="Q1031" s="1" t="s">
        <v>137</v>
      </c>
      <c r="R1031" s="1" t="s">
        <v>137</v>
      </c>
      <c r="S1031" s="1" t="s">
        <v>47</v>
      </c>
      <c r="T1031" s="1" t="s">
        <v>4301</v>
      </c>
      <c r="U1031" s="1" t="s">
        <v>1577</v>
      </c>
      <c r="V1031" s="1" t="s">
        <v>4950</v>
      </c>
      <c r="W1031" s="3">
        <v>45446.0</v>
      </c>
      <c r="X1031" s="3">
        <v>45446.0</v>
      </c>
    </row>
    <row r="1032">
      <c r="A1032" s="1" t="s">
        <v>15312</v>
      </c>
      <c r="B1032" s="1" t="s">
        <v>9394</v>
      </c>
      <c r="C1032" s="1" t="s">
        <v>9394</v>
      </c>
      <c r="D1032" s="1" t="s">
        <v>4293</v>
      </c>
      <c r="E1032" s="1" t="s">
        <v>9395</v>
      </c>
      <c r="F1032" s="1" t="s">
        <v>15313</v>
      </c>
      <c r="G1032" s="3">
        <v>45331.0</v>
      </c>
      <c r="H1032" s="3">
        <v>45446.0</v>
      </c>
      <c r="I1032" s="3">
        <v>45446.0</v>
      </c>
      <c r="J1032" s="1" t="s">
        <v>215</v>
      </c>
      <c r="K1032" s="1" t="s">
        <v>160</v>
      </c>
      <c r="L1032" s="1" t="s">
        <v>216</v>
      </c>
      <c r="M1032" s="1" t="s">
        <v>131</v>
      </c>
      <c r="Q1032" s="1" t="s">
        <v>137</v>
      </c>
      <c r="R1032" s="1" t="s">
        <v>137</v>
      </c>
      <c r="S1032" s="1" t="s">
        <v>47</v>
      </c>
      <c r="T1032" s="1" t="s">
        <v>4301</v>
      </c>
      <c r="U1032" s="1" t="s">
        <v>1577</v>
      </c>
      <c r="V1032" s="1" t="s">
        <v>5104</v>
      </c>
      <c r="W1032" s="3">
        <v>45446.0</v>
      </c>
      <c r="X1032" s="3">
        <v>45446.0</v>
      </c>
    </row>
    <row r="1033">
      <c r="A1033" s="1" t="s">
        <v>15314</v>
      </c>
      <c r="B1033" s="1" t="s">
        <v>9394</v>
      </c>
      <c r="C1033" s="1" t="s">
        <v>9394</v>
      </c>
      <c r="D1033" s="1" t="s">
        <v>4293</v>
      </c>
      <c r="E1033" s="1" t="s">
        <v>9395</v>
      </c>
      <c r="F1033" s="1" t="s">
        <v>15315</v>
      </c>
      <c r="G1033" s="3">
        <v>45331.0</v>
      </c>
      <c r="H1033" s="3">
        <v>45446.0</v>
      </c>
      <c r="I1033" s="3">
        <v>45446.0</v>
      </c>
      <c r="J1033" s="1" t="s">
        <v>215</v>
      </c>
      <c r="K1033" s="1" t="s">
        <v>160</v>
      </c>
      <c r="L1033" s="1" t="s">
        <v>216</v>
      </c>
      <c r="M1033" s="1" t="s">
        <v>131</v>
      </c>
      <c r="Q1033" s="1" t="s">
        <v>137</v>
      </c>
      <c r="R1033" s="1" t="s">
        <v>137</v>
      </c>
      <c r="S1033" s="1" t="s">
        <v>47</v>
      </c>
      <c r="T1033" s="1" t="s">
        <v>4301</v>
      </c>
      <c r="U1033" s="1" t="s">
        <v>1577</v>
      </c>
      <c r="V1033" s="1" t="s">
        <v>5120</v>
      </c>
      <c r="W1033" s="3">
        <v>45446.0</v>
      </c>
      <c r="X1033" s="3">
        <v>45446.0</v>
      </c>
    </row>
    <row r="1034">
      <c r="A1034" s="1" t="s">
        <v>15316</v>
      </c>
      <c r="B1034" s="1" t="s">
        <v>13983</v>
      </c>
      <c r="C1034" s="1" t="s">
        <v>13983</v>
      </c>
      <c r="D1034" s="1" t="s">
        <v>4293</v>
      </c>
      <c r="E1034" s="1" t="s">
        <v>15317</v>
      </c>
      <c r="F1034" s="1" t="s">
        <v>15318</v>
      </c>
      <c r="G1034" s="3">
        <v>45848.0</v>
      </c>
      <c r="H1034" s="3"/>
      <c r="I1034" s="3"/>
      <c r="J1034" s="1" t="s">
        <v>124</v>
      </c>
      <c r="K1034" s="1" t="s">
        <v>160</v>
      </c>
      <c r="L1034" s="1" t="s">
        <v>253</v>
      </c>
      <c r="M1034" s="1" t="s">
        <v>131</v>
      </c>
      <c r="Q1034" s="1" t="s">
        <v>137</v>
      </c>
      <c r="R1034" s="1" t="s">
        <v>137</v>
      </c>
      <c r="S1034" s="1" t="s">
        <v>47</v>
      </c>
      <c r="T1034" s="1" t="s">
        <v>4301</v>
      </c>
      <c r="U1034" s="1" t="s">
        <v>1577</v>
      </c>
      <c r="V1034" s="1" t="s">
        <v>3858</v>
      </c>
      <c r="W1034" s="3"/>
    </row>
    <row r="1035">
      <c r="A1035" s="1" t="s">
        <v>15319</v>
      </c>
      <c r="B1035" s="1" t="s">
        <v>13983</v>
      </c>
      <c r="C1035" s="1" t="s">
        <v>13983</v>
      </c>
      <c r="D1035" s="1" t="s">
        <v>4293</v>
      </c>
      <c r="E1035" s="1" t="s">
        <v>15317</v>
      </c>
      <c r="F1035" s="1" t="s">
        <v>15320</v>
      </c>
      <c r="G1035" s="3">
        <v>45848.0</v>
      </c>
      <c r="H1035" s="3"/>
      <c r="I1035" s="3"/>
      <c r="J1035" s="1" t="s">
        <v>124</v>
      </c>
      <c r="K1035" s="1" t="s">
        <v>160</v>
      </c>
      <c r="L1035" s="1" t="s">
        <v>253</v>
      </c>
      <c r="M1035" s="1" t="s">
        <v>131</v>
      </c>
      <c r="Q1035" s="1" t="s">
        <v>137</v>
      </c>
      <c r="R1035" s="1" t="s">
        <v>137</v>
      </c>
      <c r="S1035" s="1" t="s">
        <v>47</v>
      </c>
      <c r="T1035" s="1" t="s">
        <v>4301</v>
      </c>
      <c r="U1035" s="1" t="s">
        <v>1577</v>
      </c>
      <c r="V1035" s="1" t="s">
        <v>4950</v>
      </c>
      <c r="W1035" s="3"/>
      <c r="X1035" s="3"/>
    </row>
    <row r="1036">
      <c r="A1036" s="1" t="s">
        <v>15321</v>
      </c>
      <c r="B1036" s="1" t="s">
        <v>9402</v>
      </c>
      <c r="C1036" s="1" t="s">
        <v>9402</v>
      </c>
      <c r="D1036" s="1" t="s">
        <v>4293</v>
      </c>
      <c r="E1036" s="1" t="s">
        <v>9404</v>
      </c>
      <c r="F1036" s="1" t="s">
        <v>15322</v>
      </c>
      <c r="G1036" s="3">
        <v>44922.0</v>
      </c>
      <c r="H1036" s="3">
        <v>45223.0</v>
      </c>
      <c r="I1036" s="3">
        <v>45223.0</v>
      </c>
      <c r="J1036" s="1" t="s">
        <v>215</v>
      </c>
      <c r="K1036" s="1" t="s">
        <v>160</v>
      </c>
      <c r="L1036" s="1" t="s">
        <v>216</v>
      </c>
      <c r="M1036" s="1" t="s">
        <v>131</v>
      </c>
      <c r="Q1036" s="1" t="s">
        <v>137</v>
      </c>
      <c r="R1036" s="1" t="s">
        <v>137</v>
      </c>
      <c r="S1036" s="1" t="s">
        <v>47</v>
      </c>
      <c r="T1036" s="1" t="s">
        <v>4301</v>
      </c>
      <c r="U1036" s="1" t="s">
        <v>1577</v>
      </c>
      <c r="V1036" s="1" t="s">
        <v>3858</v>
      </c>
      <c r="W1036" s="3">
        <v>45223.0</v>
      </c>
      <c r="X1036" s="3">
        <v>45223.0</v>
      </c>
    </row>
    <row r="1037">
      <c r="A1037" s="1" t="s">
        <v>15323</v>
      </c>
      <c r="B1037" s="1" t="s">
        <v>9413</v>
      </c>
      <c r="C1037" s="1" t="s">
        <v>9413</v>
      </c>
      <c r="D1037" s="1" t="s">
        <v>4293</v>
      </c>
      <c r="E1037" s="1" t="s">
        <v>9416</v>
      </c>
      <c r="F1037" s="1" t="s">
        <v>15324</v>
      </c>
      <c r="G1037" s="3">
        <v>43622.0</v>
      </c>
      <c r="H1037" s="3">
        <v>43692.0</v>
      </c>
      <c r="I1037" s="3">
        <v>43692.0</v>
      </c>
      <c r="J1037" s="1" t="s">
        <v>215</v>
      </c>
      <c r="K1037" s="1" t="s">
        <v>160</v>
      </c>
      <c r="L1037" s="1" t="s">
        <v>216</v>
      </c>
      <c r="M1037" s="1" t="s">
        <v>131</v>
      </c>
      <c r="Q1037" s="1" t="s">
        <v>137</v>
      </c>
      <c r="R1037" s="1" t="s">
        <v>137</v>
      </c>
      <c r="S1037" s="1" t="s">
        <v>47</v>
      </c>
      <c r="T1037" s="1" t="s">
        <v>4301</v>
      </c>
      <c r="U1037" s="1" t="s">
        <v>1577</v>
      </c>
      <c r="V1037" s="1" t="s">
        <v>3858</v>
      </c>
      <c r="W1037" s="3">
        <v>43692.0</v>
      </c>
      <c r="X1037" s="3">
        <v>43692.0</v>
      </c>
    </row>
    <row r="1038">
      <c r="A1038" s="1" t="s">
        <v>15325</v>
      </c>
      <c r="B1038" s="1" t="s">
        <v>9413</v>
      </c>
      <c r="C1038" s="1" t="s">
        <v>9413</v>
      </c>
      <c r="D1038" s="1" t="s">
        <v>4293</v>
      </c>
      <c r="E1038" s="1" t="s">
        <v>9416</v>
      </c>
      <c r="F1038" s="1" t="s">
        <v>15326</v>
      </c>
      <c r="G1038" s="3">
        <v>43622.0</v>
      </c>
      <c r="H1038" s="3">
        <v>43692.0</v>
      </c>
      <c r="I1038" s="3">
        <v>43692.0</v>
      </c>
      <c r="J1038" s="1" t="s">
        <v>215</v>
      </c>
      <c r="K1038" s="1" t="s">
        <v>160</v>
      </c>
      <c r="L1038" s="1" t="s">
        <v>216</v>
      </c>
      <c r="M1038" s="1" t="s">
        <v>131</v>
      </c>
      <c r="Q1038" s="1" t="s">
        <v>137</v>
      </c>
      <c r="R1038" s="1" t="s">
        <v>137</v>
      </c>
      <c r="S1038" s="1" t="s">
        <v>47</v>
      </c>
      <c r="T1038" s="1" t="s">
        <v>4301</v>
      </c>
      <c r="U1038" s="1" t="s">
        <v>1577</v>
      </c>
      <c r="V1038" s="1" t="s">
        <v>3865</v>
      </c>
      <c r="W1038" s="3">
        <v>43692.0</v>
      </c>
      <c r="X1038" s="3">
        <v>43692.0</v>
      </c>
    </row>
    <row r="1039">
      <c r="A1039" s="1" t="s">
        <v>15327</v>
      </c>
      <c r="B1039" s="1" t="s">
        <v>4292</v>
      </c>
      <c r="C1039" s="1" t="s">
        <v>4292</v>
      </c>
      <c r="D1039" s="1" t="s">
        <v>4293</v>
      </c>
      <c r="E1039" s="1" t="s">
        <v>9425</v>
      </c>
      <c r="F1039" s="1" t="s">
        <v>15328</v>
      </c>
      <c r="G1039" s="3">
        <v>45341.0</v>
      </c>
      <c r="H1039" s="3">
        <v>45336.0</v>
      </c>
      <c r="I1039" s="3">
        <v>45336.0</v>
      </c>
      <c r="J1039" s="1" t="s">
        <v>215</v>
      </c>
      <c r="K1039" s="1" t="s">
        <v>160</v>
      </c>
      <c r="L1039" s="1" t="s">
        <v>216</v>
      </c>
      <c r="M1039" s="1" t="s">
        <v>131</v>
      </c>
      <c r="Q1039" s="1" t="s">
        <v>137</v>
      </c>
      <c r="R1039" s="1" t="s">
        <v>137</v>
      </c>
      <c r="S1039" s="1" t="s">
        <v>47</v>
      </c>
      <c r="T1039" s="1" t="s">
        <v>4301</v>
      </c>
      <c r="U1039" s="1" t="s">
        <v>1577</v>
      </c>
      <c r="V1039" s="1" t="s">
        <v>3858</v>
      </c>
      <c r="W1039" s="3">
        <v>45336.0</v>
      </c>
      <c r="X1039" s="3">
        <v>45336.0</v>
      </c>
    </row>
    <row r="1040">
      <c r="A1040" s="1" t="s">
        <v>15329</v>
      </c>
      <c r="B1040" s="1" t="s">
        <v>4292</v>
      </c>
      <c r="C1040" s="1" t="s">
        <v>4292</v>
      </c>
      <c r="D1040" s="1" t="s">
        <v>4293</v>
      </c>
      <c r="E1040" s="1" t="s">
        <v>9425</v>
      </c>
      <c r="F1040" s="1" t="s">
        <v>15330</v>
      </c>
      <c r="G1040" s="3">
        <v>45341.0</v>
      </c>
      <c r="H1040" s="3">
        <v>45336.0</v>
      </c>
      <c r="I1040" s="3">
        <v>45336.0</v>
      </c>
      <c r="J1040" s="1" t="s">
        <v>215</v>
      </c>
      <c r="K1040" s="1" t="s">
        <v>160</v>
      </c>
      <c r="L1040" s="1" t="s">
        <v>216</v>
      </c>
      <c r="M1040" s="1" t="s">
        <v>131</v>
      </c>
      <c r="Q1040" s="1" t="s">
        <v>137</v>
      </c>
      <c r="R1040" s="1" t="s">
        <v>137</v>
      </c>
      <c r="S1040" s="1" t="s">
        <v>47</v>
      </c>
      <c r="T1040" s="1" t="s">
        <v>4301</v>
      </c>
      <c r="U1040" s="1" t="s">
        <v>1577</v>
      </c>
      <c r="V1040" s="1" t="s">
        <v>4950</v>
      </c>
      <c r="W1040" s="3">
        <v>45336.0</v>
      </c>
      <c r="X1040" s="3">
        <v>45336.0</v>
      </c>
    </row>
    <row r="1041">
      <c r="A1041" s="1" t="s">
        <v>15331</v>
      </c>
      <c r="B1041" s="1" t="s">
        <v>5035</v>
      </c>
      <c r="C1041" s="1" t="s">
        <v>5035</v>
      </c>
      <c r="D1041" s="1" t="s">
        <v>4293</v>
      </c>
      <c r="E1041" s="1" t="s">
        <v>9433</v>
      </c>
      <c r="F1041" s="1" t="s">
        <v>15332</v>
      </c>
      <c r="G1041" s="3">
        <v>44886.0</v>
      </c>
      <c r="H1041" s="3">
        <v>45379.0</v>
      </c>
      <c r="I1041" s="3">
        <v>45379.0</v>
      </c>
      <c r="J1041" s="1" t="s">
        <v>215</v>
      </c>
      <c r="K1041" s="1" t="s">
        <v>160</v>
      </c>
      <c r="L1041" s="1" t="s">
        <v>216</v>
      </c>
      <c r="M1041" s="1" t="s">
        <v>131</v>
      </c>
      <c r="Q1041" s="1" t="s">
        <v>137</v>
      </c>
      <c r="R1041" s="1" t="s">
        <v>137</v>
      </c>
      <c r="S1041" s="1" t="s">
        <v>47</v>
      </c>
      <c r="T1041" s="1" t="s">
        <v>4301</v>
      </c>
      <c r="U1041" s="1" t="s">
        <v>1577</v>
      </c>
      <c r="V1041" s="1" t="s">
        <v>3858</v>
      </c>
      <c r="W1041" s="3">
        <v>45379.0</v>
      </c>
      <c r="X1041" s="3">
        <v>45379.0</v>
      </c>
    </row>
    <row r="1042">
      <c r="A1042" s="1" t="s">
        <v>15333</v>
      </c>
      <c r="B1042" s="1" t="s">
        <v>4484</v>
      </c>
      <c r="C1042" s="1" t="s">
        <v>4484</v>
      </c>
      <c r="D1042" s="1" t="s">
        <v>4293</v>
      </c>
      <c r="E1042" s="1" t="s">
        <v>9442</v>
      </c>
      <c r="F1042" s="1" t="s">
        <v>15334</v>
      </c>
      <c r="G1042" s="3">
        <v>44386.0</v>
      </c>
      <c r="H1042" s="3">
        <v>44620.0</v>
      </c>
      <c r="I1042" s="3">
        <v>44620.0</v>
      </c>
      <c r="J1042" s="1" t="s">
        <v>215</v>
      </c>
      <c r="K1042" s="1" t="s">
        <v>160</v>
      </c>
      <c r="L1042" s="1" t="s">
        <v>216</v>
      </c>
      <c r="M1042" s="1" t="s">
        <v>131</v>
      </c>
      <c r="Q1042" s="1" t="s">
        <v>137</v>
      </c>
      <c r="R1042" s="1" t="s">
        <v>137</v>
      </c>
      <c r="S1042" s="1" t="s">
        <v>47</v>
      </c>
      <c r="T1042" s="1" t="s">
        <v>4301</v>
      </c>
      <c r="U1042" s="1" t="s">
        <v>1577</v>
      </c>
      <c r="V1042" s="1" t="s">
        <v>4679</v>
      </c>
      <c r="W1042" s="3">
        <v>44620.0</v>
      </c>
      <c r="X1042" s="3">
        <v>44620.0</v>
      </c>
    </row>
    <row r="1043">
      <c r="A1043" s="1" t="s">
        <v>15335</v>
      </c>
      <c r="B1043" s="1" t="s">
        <v>4484</v>
      </c>
      <c r="C1043" s="1" t="s">
        <v>4484</v>
      </c>
      <c r="D1043" s="1" t="s">
        <v>4293</v>
      </c>
      <c r="E1043" s="1" t="s">
        <v>9442</v>
      </c>
      <c r="F1043" s="1" t="s">
        <v>15336</v>
      </c>
      <c r="G1043" s="3">
        <v>44386.0</v>
      </c>
      <c r="H1043" s="3">
        <v>44620.0</v>
      </c>
      <c r="I1043" s="3">
        <v>44620.0</v>
      </c>
      <c r="J1043" s="1" t="s">
        <v>215</v>
      </c>
      <c r="K1043" s="1" t="s">
        <v>160</v>
      </c>
      <c r="L1043" s="1" t="s">
        <v>216</v>
      </c>
      <c r="M1043" s="1" t="s">
        <v>131</v>
      </c>
      <c r="Q1043" s="1" t="s">
        <v>137</v>
      </c>
      <c r="R1043" s="1" t="s">
        <v>137</v>
      </c>
      <c r="S1043" s="1" t="s">
        <v>47</v>
      </c>
      <c r="T1043" s="1" t="s">
        <v>4301</v>
      </c>
      <c r="U1043" s="1" t="s">
        <v>1577</v>
      </c>
      <c r="V1043" s="1" t="s">
        <v>4950</v>
      </c>
      <c r="W1043" s="3">
        <v>44620.0</v>
      </c>
      <c r="X1043" s="3">
        <v>44620.0</v>
      </c>
    </row>
    <row r="1044">
      <c r="A1044" s="1" t="s">
        <v>15337</v>
      </c>
      <c r="B1044" s="1" t="s">
        <v>4484</v>
      </c>
      <c r="C1044" s="1" t="s">
        <v>4484</v>
      </c>
      <c r="D1044" s="1" t="s">
        <v>4293</v>
      </c>
      <c r="E1044" s="1" t="s">
        <v>9442</v>
      </c>
      <c r="F1044" s="1" t="s">
        <v>15338</v>
      </c>
      <c r="G1044" s="3">
        <v>44386.0</v>
      </c>
      <c r="H1044" s="3">
        <v>44620.0</v>
      </c>
      <c r="I1044" s="3">
        <v>44620.0</v>
      </c>
      <c r="J1044" s="1" t="s">
        <v>215</v>
      </c>
      <c r="K1044" s="1" t="s">
        <v>160</v>
      </c>
      <c r="L1044" s="1" t="s">
        <v>216</v>
      </c>
      <c r="M1044" s="1" t="s">
        <v>131</v>
      </c>
      <c r="Q1044" s="1" t="s">
        <v>137</v>
      </c>
      <c r="R1044" s="1" t="s">
        <v>137</v>
      </c>
      <c r="S1044" s="1" t="s">
        <v>47</v>
      </c>
      <c r="T1044" s="1" t="s">
        <v>4301</v>
      </c>
      <c r="U1044" s="1" t="s">
        <v>1577</v>
      </c>
      <c r="V1044" s="1" t="s">
        <v>5104</v>
      </c>
      <c r="W1044" s="3">
        <v>44620.0</v>
      </c>
      <c r="X1044" s="3">
        <v>44620.0</v>
      </c>
    </row>
    <row r="1045">
      <c r="A1045" s="1" t="s">
        <v>15339</v>
      </c>
      <c r="B1045" s="1" t="s">
        <v>4484</v>
      </c>
      <c r="C1045" s="1" t="s">
        <v>4484</v>
      </c>
      <c r="D1045" s="1" t="s">
        <v>4293</v>
      </c>
      <c r="E1045" s="1" t="s">
        <v>9442</v>
      </c>
      <c r="F1045" s="1" t="s">
        <v>15340</v>
      </c>
      <c r="G1045" s="3">
        <v>44386.0</v>
      </c>
      <c r="H1045" s="3">
        <v>44620.0</v>
      </c>
      <c r="I1045" s="3">
        <v>44620.0</v>
      </c>
      <c r="J1045" s="1" t="s">
        <v>215</v>
      </c>
      <c r="K1045" s="1" t="s">
        <v>160</v>
      </c>
      <c r="L1045" s="1" t="s">
        <v>216</v>
      </c>
      <c r="M1045" s="1" t="s">
        <v>131</v>
      </c>
      <c r="Q1045" s="1" t="s">
        <v>137</v>
      </c>
      <c r="R1045" s="1" t="s">
        <v>137</v>
      </c>
      <c r="S1045" s="1" t="s">
        <v>47</v>
      </c>
      <c r="T1045" s="1" t="s">
        <v>4301</v>
      </c>
      <c r="U1045" s="1" t="s">
        <v>1577</v>
      </c>
      <c r="V1045" s="1" t="s">
        <v>5120</v>
      </c>
      <c r="W1045" s="3">
        <v>44620.0</v>
      </c>
      <c r="X1045" s="3">
        <v>44620.0</v>
      </c>
    </row>
    <row r="1046">
      <c r="A1046" s="1" t="s">
        <v>15341</v>
      </c>
      <c r="B1046" s="1" t="s">
        <v>9451</v>
      </c>
      <c r="C1046" s="1" t="s">
        <v>9451</v>
      </c>
      <c r="D1046" s="1" t="s">
        <v>4293</v>
      </c>
      <c r="E1046" s="1" t="s">
        <v>9453</v>
      </c>
      <c r="F1046" s="1" t="s">
        <v>15342</v>
      </c>
      <c r="G1046" s="3">
        <v>45261.0</v>
      </c>
      <c r="H1046" s="3">
        <v>45261.0</v>
      </c>
      <c r="I1046" s="3">
        <v>45261.0</v>
      </c>
      <c r="J1046" s="1" t="s">
        <v>215</v>
      </c>
      <c r="K1046" s="1" t="s">
        <v>160</v>
      </c>
      <c r="L1046" s="1" t="s">
        <v>216</v>
      </c>
      <c r="M1046" s="1" t="s">
        <v>131</v>
      </c>
      <c r="Q1046" s="1" t="s">
        <v>137</v>
      </c>
      <c r="R1046" s="1" t="s">
        <v>137</v>
      </c>
      <c r="S1046" s="1" t="s">
        <v>47</v>
      </c>
      <c r="T1046" s="1" t="s">
        <v>4301</v>
      </c>
      <c r="U1046" s="1" t="s">
        <v>1577</v>
      </c>
      <c r="V1046" s="1" t="s">
        <v>7314</v>
      </c>
      <c r="W1046" s="3">
        <v>45261.0</v>
      </c>
      <c r="X1046" s="3">
        <v>45261.0</v>
      </c>
    </row>
    <row r="1047">
      <c r="A1047" s="1" t="s">
        <v>15343</v>
      </c>
      <c r="B1047" s="1" t="s">
        <v>7367</v>
      </c>
      <c r="C1047" s="1" t="s">
        <v>7367</v>
      </c>
      <c r="D1047" s="1" t="s">
        <v>4293</v>
      </c>
      <c r="E1047" s="1" t="s">
        <v>15344</v>
      </c>
      <c r="F1047" s="1" t="s">
        <v>15345</v>
      </c>
      <c r="G1047" s="3">
        <v>45868.0</v>
      </c>
      <c r="H1047" s="3"/>
      <c r="I1047" s="3"/>
      <c r="J1047" s="1" t="s">
        <v>124</v>
      </c>
      <c r="K1047" s="1" t="s">
        <v>160</v>
      </c>
      <c r="L1047" s="1" t="s">
        <v>253</v>
      </c>
      <c r="M1047" s="1" t="s">
        <v>131</v>
      </c>
      <c r="Q1047" s="1" t="s">
        <v>137</v>
      </c>
      <c r="R1047" s="1" t="s">
        <v>137</v>
      </c>
      <c r="S1047" s="1" t="s">
        <v>47</v>
      </c>
      <c r="T1047" s="1" t="s">
        <v>4301</v>
      </c>
      <c r="U1047" s="1" t="s">
        <v>1577</v>
      </c>
      <c r="V1047" s="1" t="s">
        <v>3858</v>
      </c>
      <c r="W1047" s="3"/>
      <c r="X1047" s="3"/>
    </row>
    <row r="1048">
      <c r="A1048" s="1" t="s">
        <v>15346</v>
      </c>
      <c r="B1048" s="1" t="s">
        <v>7367</v>
      </c>
      <c r="C1048" s="1" t="s">
        <v>7367</v>
      </c>
      <c r="D1048" s="1" t="s">
        <v>4293</v>
      </c>
      <c r="E1048" s="1" t="s">
        <v>15344</v>
      </c>
      <c r="F1048" s="1" t="s">
        <v>15347</v>
      </c>
      <c r="G1048" s="3">
        <v>45868.0</v>
      </c>
      <c r="H1048" s="3"/>
      <c r="I1048" s="3"/>
      <c r="J1048" s="1" t="s">
        <v>124</v>
      </c>
      <c r="K1048" s="1" t="s">
        <v>160</v>
      </c>
      <c r="L1048" s="1" t="s">
        <v>253</v>
      </c>
      <c r="M1048" s="1" t="s">
        <v>131</v>
      </c>
      <c r="Q1048" s="1" t="s">
        <v>137</v>
      </c>
      <c r="R1048" s="1" t="s">
        <v>137</v>
      </c>
      <c r="S1048" s="1" t="s">
        <v>47</v>
      </c>
      <c r="T1048" s="1" t="s">
        <v>4301</v>
      </c>
      <c r="U1048" s="1" t="s">
        <v>1577</v>
      </c>
      <c r="V1048" s="1" t="s">
        <v>4950</v>
      </c>
      <c r="W1048" s="3"/>
      <c r="X1048" s="3"/>
    </row>
    <row r="1049">
      <c r="A1049" s="1" t="s">
        <v>15348</v>
      </c>
      <c r="B1049" s="1" t="s">
        <v>5605</v>
      </c>
      <c r="C1049" s="1" t="s">
        <v>5605</v>
      </c>
      <c r="D1049" s="1" t="s">
        <v>4293</v>
      </c>
      <c r="E1049" s="1" t="s">
        <v>9463</v>
      </c>
      <c r="F1049" s="1" t="s">
        <v>15349</v>
      </c>
      <c r="G1049" s="3">
        <v>44378.0</v>
      </c>
      <c r="H1049" s="3">
        <v>44651.0</v>
      </c>
      <c r="I1049" s="3">
        <v>44651.0</v>
      </c>
      <c r="J1049" s="1" t="s">
        <v>215</v>
      </c>
      <c r="K1049" s="1" t="s">
        <v>160</v>
      </c>
      <c r="L1049" s="1" t="s">
        <v>216</v>
      </c>
      <c r="M1049" s="1" t="s">
        <v>131</v>
      </c>
      <c r="Q1049" s="1" t="s">
        <v>137</v>
      </c>
      <c r="R1049" s="1" t="s">
        <v>137</v>
      </c>
      <c r="S1049" s="1" t="s">
        <v>47</v>
      </c>
      <c r="T1049" s="1" t="s">
        <v>4301</v>
      </c>
      <c r="U1049" s="1" t="s">
        <v>1577</v>
      </c>
      <c r="V1049" s="1" t="s">
        <v>3858</v>
      </c>
      <c r="W1049" s="3">
        <v>44651.0</v>
      </c>
      <c r="X1049" s="3">
        <v>44651.0</v>
      </c>
    </row>
    <row r="1050">
      <c r="A1050" s="1" t="s">
        <v>15350</v>
      </c>
      <c r="B1050" s="1" t="s">
        <v>5605</v>
      </c>
      <c r="C1050" s="1" t="s">
        <v>5605</v>
      </c>
      <c r="D1050" s="1" t="s">
        <v>4293</v>
      </c>
      <c r="E1050" s="1" t="s">
        <v>9463</v>
      </c>
      <c r="F1050" s="1" t="s">
        <v>15351</v>
      </c>
      <c r="G1050" s="3">
        <v>44378.0</v>
      </c>
      <c r="H1050" s="3">
        <v>44651.0</v>
      </c>
      <c r="I1050" s="3">
        <v>44651.0</v>
      </c>
      <c r="J1050" s="1" t="s">
        <v>215</v>
      </c>
      <c r="K1050" s="1" t="s">
        <v>160</v>
      </c>
      <c r="L1050" s="1" t="s">
        <v>216</v>
      </c>
      <c r="M1050" s="1" t="s">
        <v>131</v>
      </c>
      <c r="Q1050" s="1" t="s">
        <v>137</v>
      </c>
      <c r="R1050" s="1" t="s">
        <v>137</v>
      </c>
      <c r="S1050" s="1" t="s">
        <v>47</v>
      </c>
      <c r="T1050" s="1" t="s">
        <v>4301</v>
      </c>
      <c r="U1050" s="1" t="s">
        <v>1577</v>
      </c>
      <c r="V1050" s="1" t="s">
        <v>4950</v>
      </c>
      <c r="W1050" s="3">
        <v>44651.0</v>
      </c>
      <c r="X1050" s="3">
        <v>44651.0</v>
      </c>
    </row>
    <row r="1051">
      <c r="A1051" s="1" t="s">
        <v>15352</v>
      </c>
      <c r="B1051" s="1" t="s">
        <v>9470</v>
      </c>
      <c r="C1051" s="1" t="s">
        <v>9470</v>
      </c>
      <c r="D1051" s="1" t="s">
        <v>4293</v>
      </c>
      <c r="E1051" s="1" t="s">
        <v>9471</v>
      </c>
      <c r="F1051" s="1" t="s">
        <v>15353</v>
      </c>
      <c r="G1051" s="3">
        <v>45370.0</v>
      </c>
      <c r="H1051" s="3">
        <v>45383.0</v>
      </c>
      <c r="I1051" s="3">
        <v>45383.0</v>
      </c>
      <c r="J1051" s="1" t="s">
        <v>215</v>
      </c>
      <c r="K1051" s="1" t="s">
        <v>160</v>
      </c>
      <c r="L1051" s="1" t="s">
        <v>216</v>
      </c>
      <c r="M1051" s="1" t="s">
        <v>131</v>
      </c>
      <c r="Q1051" s="1" t="s">
        <v>137</v>
      </c>
      <c r="R1051" s="1" t="s">
        <v>137</v>
      </c>
      <c r="S1051" s="1" t="s">
        <v>47</v>
      </c>
      <c r="T1051" s="1" t="s">
        <v>4301</v>
      </c>
      <c r="U1051" s="1" t="s">
        <v>1577</v>
      </c>
      <c r="V1051" s="1" t="s">
        <v>3858</v>
      </c>
      <c r="W1051" s="3">
        <v>45383.0</v>
      </c>
      <c r="X1051" s="3">
        <v>45383.0</v>
      </c>
    </row>
    <row r="1052">
      <c r="A1052" s="1" t="s">
        <v>15354</v>
      </c>
      <c r="B1052" s="1" t="s">
        <v>9470</v>
      </c>
      <c r="C1052" s="1" t="s">
        <v>9470</v>
      </c>
      <c r="D1052" s="1" t="s">
        <v>4293</v>
      </c>
      <c r="E1052" s="1" t="s">
        <v>9471</v>
      </c>
      <c r="F1052" s="1" t="s">
        <v>15355</v>
      </c>
      <c r="G1052" s="3">
        <v>45370.0</v>
      </c>
      <c r="H1052" s="3">
        <v>45383.0</v>
      </c>
      <c r="I1052" s="3">
        <v>45383.0</v>
      </c>
      <c r="J1052" s="1" t="s">
        <v>215</v>
      </c>
      <c r="K1052" s="1" t="s">
        <v>160</v>
      </c>
      <c r="L1052" s="1" t="s">
        <v>216</v>
      </c>
      <c r="M1052" s="1" t="s">
        <v>131</v>
      </c>
      <c r="Q1052" s="1" t="s">
        <v>137</v>
      </c>
      <c r="R1052" s="1" t="s">
        <v>137</v>
      </c>
      <c r="S1052" s="1" t="s">
        <v>47</v>
      </c>
      <c r="T1052" s="1" t="s">
        <v>4301</v>
      </c>
      <c r="U1052" s="1" t="s">
        <v>1577</v>
      </c>
      <c r="V1052" s="1" t="s">
        <v>3963</v>
      </c>
      <c r="W1052" s="3">
        <v>45383.0</v>
      </c>
      <c r="X1052" s="3">
        <v>45383.0</v>
      </c>
    </row>
    <row r="1053">
      <c r="A1053" s="1" t="s">
        <v>15356</v>
      </c>
      <c r="B1053" s="1" t="s">
        <v>9470</v>
      </c>
      <c r="C1053" s="1" t="s">
        <v>9470</v>
      </c>
      <c r="D1053" s="1" t="s">
        <v>4293</v>
      </c>
      <c r="E1053" s="1" t="s">
        <v>9471</v>
      </c>
      <c r="F1053" s="1" t="s">
        <v>15357</v>
      </c>
      <c r="G1053" s="3">
        <v>45370.0</v>
      </c>
      <c r="H1053" s="3">
        <v>45383.0</v>
      </c>
      <c r="I1053" s="3">
        <v>45383.0</v>
      </c>
      <c r="J1053" s="1" t="s">
        <v>215</v>
      </c>
      <c r="K1053" s="1" t="s">
        <v>160</v>
      </c>
      <c r="L1053" s="1" t="s">
        <v>216</v>
      </c>
      <c r="M1053" s="1" t="s">
        <v>131</v>
      </c>
      <c r="Q1053" s="1" t="s">
        <v>137</v>
      </c>
      <c r="R1053" s="1" t="s">
        <v>137</v>
      </c>
      <c r="S1053" s="1" t="s">
        <v>47</v>
      </c>
      <c r="T1053" s="1" t="s">
        <v>4301</v>
      </c>
      <c r="U1053" s="1" t="s">
        <v>1577</v>
      </c>
      <c r="V1053" s="1" t="s">
        <v>3865</v>
      </c>
      <c r="W1053" s="3">
        <v>45383.0</v>
      </c>
      <c r="X1053" s="3">
        <v>45383.0</v>
      </c>
    </row>
    <row r="1054">
      <c r="A1054" s="1" t="s">
        <v>15358</v>
      </c>
      <c r="B1054" s="1" t="s">
        <v>9470</v>
      </c>
      <c r="C1054" s="1" t="s">
        <v>9470</v>
      </c>
      <c r="D1054" s="1" t="s">
        <v>4293</v>
      </c>
      <c r="E1054" s="1" t="s">
        <v>9471</v>
      </c>
      <c r="F1054" s="1" t="s">
        <v>15359</v>
      </c>
      <c r="G1054" s="3">
        <v>45370.0</v>
      </c>
      <c r="H1054" s="3">
        <v>45383.0</v>
      </c>
      <c r="I1054" s="3">
        <v>45383.0</v>
      </c>
      <c r="J1054" s="1" t="s">
        <v>215</v>
      </c>
      <c r="K1054" s="1" t="s">
        <v>160</v>
      </c>
      <c r="L1054" s="1" t="s">
        <v>216</v>
      </c>
      <c r="M1054" s="1" t="s">
        <v>131</v>
      </c>
      <c r="Q1054" s="1" t="s">
        <v>137</v>
      </c>
      <c r="R1054" s="1" t="s">
        <v>137</v>
      </c>
      <c r="S1054" s="1" t="s">
        <v>47</v>
      </c>
      <c r="T1054" s="1" t="s">
        <v>4301</v>
      </c>
      <c r="U1054" s="1" t="s">
        <v>1577</v>
      </c>
      <c r="V1054" s="1" t="s">
        <v>4950</v>
      </c>
      <c r="W1054" s="3">
        <v>45383.0</v>
      </c>
      <c r="X1054" s="3">
        <v>45383.0</v>
      </c>
    </row>
    <row r="1055">
      <c r="A1055" s="1" t="s">
        <v>15360</v>
      </c>
      <c r="B1055" s="1" t="s">
        <v>8630</v>
      </c>
      <c r="C1055" s="1" t="s">
        <v>8630</v>
      </c>
      <c r="D1055" s="1" t="s">
        <v>4293</v>
      </c>
      <c r="E1055" s="1" t="s">
        <v>9481</v>
      </c>
      <c r="F1055" s="1" t="s">
        <v>15361</v>
      </c>
      <c r="G1055" s="3">
        <v>45635.0</v>
      </c>
      <c r="H1055" s="3">
        <v>45755.0</v>
      </c>
      <c r="I1055" s="3">
        <v>45755.0</v>
      </c>
      <c r="J1055" s="1" t="s">
        <v>215</v>
      </c>
      <c r="K1055" s="1" t="s">
        <v>160</v>
      </c>
      <c r="L1055" s="1" t="s">
        <v>216</v>
      </c>
      <c r="M1055" s="1" t="s">
        <v>131</v>
      </c>
      <c r="Q1055" s="1" t="s">
        <v>137</v>
      </c>
      <c r="R1055" s="1" t="s">
        <v>137</v>
      </c>
      <c r="S1055" s="1" t="s">
        <v>47</v>
      </c>
      <c r="T1055" s="1" t="s">
        <v>4301</v>
      </c>
      <c r="U1055" s="1" t="s">
        <v>1577</v>
      </c>
      <c r="V1055" s="1" t="s">
        <v>3865</v>
      </c>
      <c r="W1055" s="3">
        <v>45755.0</v>
      </c>
      <c r="X1055" s="3">
        <v>45755.0</v>
      </c>
    </row>
    <row r="1056">
      <c r="A1056" s="1" t="s">
        <v>15362</v>
      </c>
      <c r="B1056" s="1" t="s">
        <v>9487</v>
      </c>
      <c r="C1056" s="1" t="s">
        <v>9487</v>
      </c>
      <c r="D1056" s="1" t="s">
        <v>4293</v>
      </c>
      <c r="E1056" s="1" t="s">
        <v>9488</v>
      </c>
      <c r="F1056" s="1" t="s">
        <v>15363</v>
      </c>
      <c r="G1056" s="3">
        <v>44197.0</v>
      </c>
      <c r="H1056" s="3">
        <v>44197.0</v>
      </c>
      <c r="I1056" s="3">
        <v>44197.0</v>
      </c>
      <c r="J1056" s="1" t="s">
        <v>215</v>
      </c>
      <c r="K1056" s="1" t="s">
        <v>160</v>
      </c>
      <c r="L1056" s="1" t="s">
        <v>216</v>
      </c>
      <c r="M1056" s="1" t="s">
        <v>131</v>
      </c>
      <c r="Q1056" s="1" t="s">
        <v>137</v>
      </c>
      <c r="R1056" s="1" t="s">
        <v>137</v>
      </c>
      <c r="S1056" s="1" t="s">
        <v>47</v>
      </c>
      <c r="T1056" s="1" t="s">
        <v>4301</v>
      </c>
      <c r="U1056" s="1" t="s">
        <v>1577</v>
      </c>
      <c r="V1056" s="1" t="s">
        <v>3858</v>
      </c>
      <c r="W1056" s="3">
        <v>44197.0</v>
      </c>
      <c r="X1056" s="3">
        <v>44197.0</v>
      </c>
    </row>
    <row r="1057">
      <c r="A1057" s="1" t="s">
        <v>15364</v>
      </c>
      <c r="B1057" s="1" t="s">
        <v>9496</v>
      </c>
      <c r="C1057" s="1" t="s">
        <v>9496</v>
      </c>
      <c r="D1057" s="1" t="s">
        <v>4293</v>
      </c>
      <c r="E1057" s="1" t="s">
        <v>9498</v>
      </c>
      <c r="F1057" s="1" t="s">
        <v>15365</v>
      </c>
      <c r="G1057" s="3">
        <v>45593.0</v>
      </c>
      <c r="H1057" s="3">
        <v>45820.0</v>
      </c>
      <c r="I1057" s="3">
        <v>45820.0</v>
      </c>
      <c r="J1057" s="1" t="s">
        <v>215</v>
      </c>
      <c r="K1057" s="1" t="s">
        <v>160</v>
      </c>
      <c r="L1057" s="1" t="s">
        <v>216</v>
      </c>
      <c r="M1057" s="1" t="s">
        <v>131</v>
      </c>
      <c r="Q1057" s="1" t="s">
        <v>137</v>
      </c>
      <c r="R1057" s="1" t="s">
        <v>137</v>
      </c>
      <c r="S1057" s="1" t="s">
        <v>47</v>
      </c>
      <c r="T1057" s="1" t="s">
        <v>4301</v>
      </c>
      <c r="U1057" s="1" t="s">
        <v>1577</v>
      </c>
      <c r="V1057" s="1" t="s">
        <v>3858</v>
      </c>
      <c r="W1057" s="3">
        <v>45820.0</v>
      </c>
      <c r="X1057" s="3">
        <v>45820.0</v>
      </c>
    </row>
    <row r="1058">
      <c r="A1058" s="1" t="s">
        <v>15366</v>
      </c>
      <c r="B1058" s="1" t="s">
        <v>9506</v>
      </c>
      <c r="C1058" s="1" t="s">
        <v>9506</v>
      </c>
      <c r="D1058" s="1" t="s">
        <v>4293</v>
      </c>
      <c r="E1058" s="1" t="s">
        <v>9507</v>
      </c>
      <c r="F1058" s="1" t="s">
        <v>15367</v>
      </c>
      <c r="G1058" s="3">
        <v>43831.0</v>
      </c>
      <c r="H1058" s="3">
        <v>43525.0</v>
      </c>
      <c r="I1058" s="3">
        <v>43525.0</v>
      </c>
      <c r="J1058" s="1" t="s">
        <v>215</v>
      </c>
      <c r="K1058" s="1" t="s">
        <v>160</v>
      </c>
      <c r="L1058" s="1" t="s">
        <v>216</v>
      </c>
      <c r="M1058" s="1" t="s">
        <v>131</v>
      </c>
      <c r="Q1058" s="1" t="s">
        <v>137</v>
      </c>
      <c r="R1058" s="1" t="s">
        <v>137</v>
      </c>
      <c r="S1058" s="1" t="s">
        <v>47</v>
      </c>
      <c r="T1058" s="1" t="s">
        <v>4301</v>
      </c>
      <c r="U1058" s="1" t="s">
        <v>1577</v>
      </c>
      <c r="V1058" s="1" t="s">
        <v>3858</v>
      </c>
      <c r="W1058" s="3">
        <v>43525.0</v>
      </c>
      <c r="X1058" s="3">
        <v>43525.0</v>
      </c>
    </row>
    <row r="1059">
      <c r="A1059" s="1" t="s">
        <v>15368</v>
      </c>
      <c r="B1059" s="1" t="s">
        <v>9514</v>
      </c>
      <c r="C1059" s="1" t="s">
        <v>9514</v>
      </c>
      <c r="D1059" s="1" t="s">
        <v>4293</v>
      </c>
      <c r="E1059" s="1" t="s">
        <v>9520</v>
      </c>
      <c r="F1059" s="1" t="s">
        <v>15369</v>
      </c>
      <c r="G1059" s="3">
        <v>45096.0</v>
      </c>
      <c r="H1059" s="3">
        <v>45167.0</v>
      </c>
      <c r="I1059" s="3">
        <v>45167.0</v>
      </c>
      <c r="J1059" s="1" t="s">
        <v>215</v>
      </c>
      <c r="K1059" s="1" t="s">
        <v>160</v>
      </c>
      <c r="L1059" s="1" t="s">
        <v>216</v>
      </c>
      <c r="M1059" s="1" t="s">
        <v>131</v>
      </c>
      <c r="Q1059" s="1" t="s">
        <v>137</v>
      </c>
      <c r="R1059" s="1" t="s">
        <v>137</v>
      </c>
      <c r="S1059" s="1" t="s">
        <v>47</v>
      </c>
      <c r="T1059" s="1" t="s">
        <v>4301</v>
      </c>
      <c r="U1059" s="1" t="s">
        <v>1577</v>
      </c>
      <c r="V1059" s="1" t="s">
        <v>4679</v>
      </c>
      <c r="W1059" s="3">
        <v>45167.0</v>
      </c>
      <c r="X1059" s="3">
        <v>45167.0</v>
      </c>
    </row>
    <row r="1060">
      <c r="A1060" s="1" t="s">
        <v>15370</v>
      </c>
      <c r="B1060" s="1" t="s">
        <v>9514</v>
      </c>
      <c r="C1060" s="1" t="s">
        <v>9514</v>
      </c>
      <c r="D1060" s="1" t="s">
        <v>4293</v>
      </c>
      <c r="E1060" s="1" t="s">
        <v>9520</v>
      </c>
      <c r="F1060" s="1" t="s">
        <v>15371</v>
      </c>
      <c r="G1060" s="3">
        <v>45096.0</v>
      </c>
      <c r="H1060" s="3">
        <v>45167.0</v>
      </c>
      <c r="I1060" s="3">
        <v>45167.0</v>
      </c>
      <c r="J1060" s="1" t="s">
        <v>215</v>
      </c>
      <c r="K1060" s="1" t="s">
        <v>160</v>
      </c>
      <c r="L1060" s="1" t="s">
        <v>216</v>
      </c>
      <c r="M1060" s="1" t="s">
        <v>131</v>
      </c>
      <c r="Q1060" s="1" t="s">
        <v>137</v>
      </c>
      <c r="R1060" s="1" t="s">
        <v>137</v>
      </c>
      <c r="S1060" s="1" t="s">
        <v>47</v>
      </c>
      <c r="T1060" s="1" t="s">
        <v>4301</v>
      </c>
      <c r="U1060" s="1" t="s">
        <v>1577</v>
      </c>
      <c r="V1060" s="1" t="s">
        <v>4950</v>
      </c>
      <c r="W1060" s="3">
        <v>45167.0</v>
      </c>
      <c r="X1060" s="3">
        <v>45167.0</v>
      </c>
    </row>
    <row r="1061">
      <c r="A1061" s="1" t="s">
        <v>15372</v>
      </c>
      <c r="B1061" s="1" t="s">
        <v>9514</v>
      </c>
      <c r="C1061" s="1" t="s">
        <v>9514</v>
      </c>
      <c r="D1061" s="1" t="s">
        <v>4293</v>
      </c>
      <c r="E1061" s="1" t="s">
        <v>9520</v>
      </c>
      <c r="F1061" s="1" t="s">
        <v>15373</v>
      </c>
      <c r="G1061" s="3">
        <v>45096.0</v>
      </c>
      <c r="H1061" s="3">
        <v>45167.0</v>
      </c>
      <c r="I1061" s="3">
        <v>45167.0</v>
      </c>
      <c r="J1061" s="1" t="s">
        <v>215</v>
      </c>
      <c r="K1061" s="1" t="s">
        <v>160</v>
      </c>
      <c r="L1061" s="1" t="s">
        <v>216</v>
      </c>
      <c r="M1061" s="1" t="s">
        <v>131</v>
      </c>
      <c r="Q1061" s="1" t="s">
        <v>137</v>
      </c>
      <c r="R1061" s="1" t="s">
        <v>137</v>
      </c>
      <c r="S1061" s="1" t="s">
        <v>47</v>
      </c>
      <c r="T1061" s="1" t="s">
        <v>4301</v>
      </c>
      <c r="U1061" s="1" t="s">
        <v>1577</v>
      </c>
      <c r="V1061" s="1" t="s">
        <v>5104</v>
      </c>
      <c r="W1061" s="3">
        <v>45167.0</v>
      </c>
      <c r="X1061" s="3">
        <v>45167.0</v>
      </c>
    </row>
    <row r="1062">
      <c r="A1062" s="1" t="s">
        <v>15374</v>
      </c>
      <c r="B1062" s="1" t="s">
        <v>9514</v>
      </c>
      <c r="C1062" s="1" t="s">
        <v>9514</v>
      </c>
      <c r="D1062" s="1" t="s">
        <v>4293</v>
      </c>
      <c r="E1062" s="1" t="s">
        <v>9520</v>
      </c>
      <c r="F1062" s="1" t="s">
        <v>15375</v>
      </c>
      <c r="G1062" s="3">
        <v>45096.0</v>
      </c>
      <c r="H1062" s="3">
        <v>45167.0</v>
      </c>
      <c r="I1062" s="3">
        <v>45167.0</v>
      </c>
      <c r="J1062" s="1" t="s">
        <v>215</v>
      </c>
      <c r="K1062" s="1" t="s">
        <v>160</v>
      </c>
      <c r="L1062" s="1" t="s">
        <v>216</v>
      </c>
      <c r="M1062" s="1" t="s">
        <v>131</v>
      </c>
      <c r="Q1062" s="1" t="s">
        <v>137</v>
      </c>
      <c r="R1062" s="1" t="s">
        <v>137</v>
      </c>
      <c r="S1062" s="1" t="s">
        <v>47</v>
      </c>
      <c r="T1062" s="1" t="s">
        <v>4301</v>
      </c>
      <c r="U1062" s="1" t="s">
        <v>1577</v>
      </c>
      <c r="V1062" s="1" t="s">
        <v>5120</v>
      </c>
      <c r="W1062" s="3">
        <v>45167.0</v>
      </c>
      <c r="X1062" s="3">
        <v>45167.0</v>
      </c>
    </row>
    <row r="1063">
      <c r="A1063" s="1" t="s">
        <v>15376</v>
      </c>
      <c r="B1063" s="1" t="s">
        <v>5055</v>
      </c>
      <c r="C1063" s="1" t="s">
        <v>5055</v>
      </c>
      <c r="D1063" s="1" t="s">
        <v>4293</v>
      </c>
      <c r="E1063" s="1" t="s">
        <v>9532</v>
      </c>
      <c r="F1063" s="1" t="s">
        <v>15377</v>
      </c>
      <c r="G1063" s="3">
        <v>44136.0</v>
      </c>
      <c r="H1063" s="3">
        <v>44136.0</v>
      </c>
      <c r="I1063" s="3">
        <v>44136.0</v>
      </c>
      <c r="J1063" s="1" t="s">
        <v>215</v>
      </c>
      <c r="K1063" s="1" t="s">
        <v>160</v>
      </c>
      <c r="L1063" s="1" t="s">
        <v>216</v>
      </c>
      <c r="M1063" s="1" t="s">
        <v>131</v>
      </c>
      <c r="Q1063" s="1" t="s">
        <v>137</v>
      </c>
      <c r="R1063" s="1" t="s">
        <v>137</v>
      </c>
      <c r="S1063" s="1" t="s">
        <v>47</v>
      </c>
      <c r="T1063" s="1" t="s">
        <v>4301</v>
      </c>
      <c r="U1063" s="1" t="s">
        <v>1577</v>
      </c>
      <c r="V1063" s="1" t="s">
        <v>3858</v>
      </c>
      <c r="W1063" s="3">
        <v>44136.0</v>
      </c>
      <c r="X1063" s="3">
        <v>44136.0</v>
      </c>
    </row>
    <row r="1064">
      <c r="A1064" s="1" t="s">
        <v>15378</v>
      </c>
      <c r="B1064" s="1" t="s">
        <v>5055</v>
      </c>
      <c r="C1064" s="1" t="s">
        <v>5055</v>
      </c>
      <c r="D1064" s="1" t="s">
        <v>4293</v>
      </c>
      <c r="E1064" s="1" t="s">
        <v>9532</v>
      </c>
      <c r="F1064" s="1" t="s">
        <v>15379</v>
      </c>
      <c r="G1064" s="3">
        <v>44136.0</v>
      </c>
      <c r="H1064" s="3">
        <v>44136.0</v>
      </c>
      <c r="I1064" s="3">
        <v>44136.0</v>
      </c>
      <c r="J1064" s="1" t="s">
        <v>215</v>
      </c>
      <c r="K1064" s="1" t="s">
        <v>160</v>
      </c>
      <c r="L1064" s="1" t="s">
        <v>216</v>
      </c>
      <c r="M1064" s="1" t="s">
        <v>131</v>
      </c>
      <c r="Q1064" s="1" t="s">
        <v>137</v>
      </c>
      <c r="R1064" s="1" t="s">
        <v>137</v>
      </c>
      <c r="S1064" s="1" t="s">
        <v>47</v>
      </c>
      <c r="T1064" s="1" t="s">
        <v>4301</v>
      </c>
      <c r="U1064" s="1" t="s">
        <v>1577</v>
      </c>
      <c r="V1064" s="1" t="s">
        <v>3963</v>
      </c>
      <c r="W1064" s="3">
        <v>44136.0</v>
      </c>
      <c r="X1064" s="3">
        <v>44136.0</v>
      </c>
    </row>
    <row r="1065">
      <c r="A1065" s="1" t="s">
        <v>15380</v>
      </c>
      <c r="B1065" s="1" t="s">
        <v>5055</v>
      </c>
      <c r="C1065" s="1" t="s">
        <v>5055</v>
      </c>
      <c r="D1065" s="1" t="s">
        <v>4293</v>
      </c>
      <c r="E1065" s="1" t="s">
        <v>9532</v>
      </c>
      <c r="F1065" s="1" t="s">
        <v>15381</v>
      </c>
      <c r="G1065" s="3">
        <v>44136.0</v>
      </c>
      <c r="H1065" s="3">
        <v>44136.0</v>
      </c>
      <c r="I1065" s="3">
        <v>44136.0</v>
      </c>
      <c r="J1065" s="1" t="s">
        <v>215</v>
      </c>
      <c r="K1065" s="1" t="s">
        <v>160</v>
      </c>
      <c r="L1065" s="1" t="s">
        <v>216</v>
      </c>
      <c r="M1065" s="1" t="s">
        <v>131</v>
      </c>
      <c r="Q1065" s="1" t="s">
        <v>137</v>
      </c>
      <c r="R1065" s="1" t="s">
        <v>137</v>
      </c>
      <c r="S1065" s="1" t="s">
        <v>47</v>
      </c>
      <c r="T1065" s="1" t="s">
        <v>4301</v>
      </c>
      <c r="U1065" s="1" t="s">
        <v>1577</v>
      </c>
      <c r="V1065" s="1" t="s">
        <v>4950</v>
      </c>
      <c r="W1065" s="3">
        <v>44136.0</v>
      </c>
      <c r="X1065" s="3">
        <v>44136.0</v>
      </c>
    </row>
    <row r="1066">
      <c r="A1066" s="1" t="s">
        <v>15382</v>
      </c>
      <c r="B1066" s="1" t="s">
        <v>9540</v>
      </c>
      <c r="C1066" s="1" t="s">
        <v>9540</v>
      </c>
      <c r="D1066" s="1" t="s">
        <v>4293</v>
      </c>
      <c r="E1066" s="1" t="s">
        <v>9543</v>
      </c>
      <c r="F1066" s="1" t="s">
        <v>15383</v>
      </c>
      <c r="G1066" s="3">
        <v>45586.0</v>
      </c>
      <c r="H1066" s="3">
        <v>45859.0</v>
      </c>
      <c r="I1066" s="3">
        <v>45859.0</v>
      </c>
      <c r="J1066" s="1" t="s">
        <v>215</v>
      </c>
      <c r="K1066" s="1" t="s">
        <v>160</v>
      </c>
      <c r="L1066" s="1" t="s">
        <v>216</v>
      </c>
      <c r="M1066" s="1" t="s">
        <v>131</v>
      </c>
      <c r="Q1066" s="1" t="s">
        <v>137</v>
      </c>
      <c r="R1066" s="1" t="s">
        <v>137</v>
      </c>
      <c r="S1066" s="1" t="s">
        <v>47</v>
      </c>
      <c r="T1066" s="1" t="s">
        <v>4301</v>
      </c>
      <c r="U1066" s="1" t="s">
        <v>1577</v>
      </c>
      <c r="V1066" s="1" t="s">
        <v>3858</v>
      </c>
      <c r="W1066" s="3">
        <v>45859.0</v>
      </c>
      <c r="X1066" s="3">
        <v>45859.0</v>
      </c>
    </row>
    <row r="1067">
      <c r="A1067" s="1" t="s">
        <v>15384</v>
      </c>
      <c r="B1067" s="1" t="s">
        <v>9540</v>
      </c>
      <c r="C1067" s="1" t="s">
        <v>9540</v>
      </c>
      <c r="D1067" s="1" t="s">
        <v>4293</v>
      </c>
      <c r="E1067" s="1" t="s">
        <v>9543</v>
      </c>
      <c r="F1067" s="1" t="s">
        <v>15385</v>
      </c>
      <c r="G1067" s="3">
        <v>45586.0</v>
      </c>
      <c r="H1067" s="3">
        <v>45859.0</v>
      </c>
      <c r="I1067" s="3">
        <v>45859.0</v>
      </c>
      <c r="J1067" s="1" t="s">
        <v>215</v>
      </c>
      <c r="K1067" s="1" t="s">
        <v>160</v>
      </c>
      <c r="L1067" s="1" t="s">
        <v>216</v>
      </c>
      <c r="M1067" s="1" t="s">
        <v>131</v>
      </c>
      <c r="Q1067" s="1" t="s">
        <v>137</v>
      </c>
      <c r="R1067" s="1" t="s">
        <v>137</v>
      </c>
      <c r="S1067" s="1" t="s">
        <v>47</v>
      </c>
      <c r="T1067" s="1" t="s">
        <v>4301</v>
      </c>
      <c r="U1067" s="1" t="s">
        <v>1577</v>
      </c>
      <c r="V1067" s="1" t="s">
        <v>4950</v>
      </c>
      <c r="W1067" s="3">
        <v>45859.0</v>
      </c>
      <c r="X1067" s="3">
        <v>45859.0</v>
      </c>
    </row>
    <row r="1068">
      <c r="A1068" s="1" t="s">
        <v>15387</v>
      </c>
      <c r="B1068" s="1" t="s">
        <v>9551</v>
      </c>
      <c r="C1068" s="1" t="s">
        <v>9551</v>
      </c>
      <c r="D1068" s="1" t="s">
        <v>4293</v>
      </c>
      <c r="E1068" s="1" t="s">
        <v>9553</v>
      </c>
      <c r="F1068" s="1" t="s">
        <v>15389</v>
      </c>
      <c r="G1068" s="3">
        <v>43362.0</v>
      </c>
      <c r="H1068" s="3">
        <v>43593.0</v>
      </c>
      <c r="I1068" s="3">
        <v>43593.0</v>
      </c>
      <c r="J1068" s="1" t="s">
        <v>215</v>
      </c>
      <c r="K1068" s="1" t="s">
        <v>160</v>
      </c>
      <c r="L1068" s="1" t="s">
        <v>216</v>
      </c>
      <c r="M1068" s="1" t="s">
        <v>131</v>
      </c>
      <c r="Q1068" s="1" t="s">
        <v>137</v>
      </c>
      <c r="R1068" s="1" t="s">
        <v>137</v>
      </c>
      <c r="S1068" s="1" t="s">
        <v>47</v>
      </c>
      <c r="T1068" s="1" t="s">
        <v>4301</v>
      </c>
      <c r="U1068" s="1" t="s">
        <v>1577</v>
      </c>
      <c r="V1068" s="1" t="s">
        <v>3858</v>
      </c>
      <c r="W1068" s="3">
        <v>43593.0</v>
      </c>
      <c r="X1068" s="3">
        <v>43593.0</v>
      </c>
    </row>
    <row r="1069">
      <c r="A1069" s="1" t="s">
        <v>15390</v>
      </c>
      <c r="B1069" s="1" t="s">
        <v>9551</v>
      </c>
      <c r="C1069" s="1" t="s">
        <v>9551</v>
      </c>
      <c r="D1069" s="1" t="s">
        <v>4293</v>
      </c>
      <c r="E1069" s="1" t="s">
        <v>9553</v>
      </c>
      <c r="F1069" s="1" t="s">
        <v>15391</v>
      </c>
      <c r="G1069" s="3">
        <v>43362.0</v>
      </c>
      <c r="H1069" s="3">
        <v>43593.0</v>
      </c>
      <c r="I1069" s="3">
        <v>43593.0</v>
      </c>
      <c r="J1069" s="1" t="s">
        <v>215</v>
      </c>
      <c r="K1069" s="1" t="s">
        <v>160</v>
      </c>
      <c r="L1069" s="1" t="s">
        <v>216</v>
      </c>
      <c r="M1069" s="1" t="s">
        <v>131</v>
      </c>
      <c r="Q1069" s="1" t="s">
        <v>137</v>
      </c>
      <c r="R1069" s="1" t="s">
        <v>137</v>
      </c>
      <c r="S1069" s="1" t="s">
        <v>47</v>
      </c>
      <c r="T1069" s="1" t="s">
        <v>4301</v>
      </c>
      <c r="U1069" s="1" t="s">
        <v>1577</v>
      </c>
      <c r="V1069" s="1" t="s">
        <v>4950</v>
      </c>
      <c r="W1069" s="3">
        <v>43593.0</v>
      </c>
      <c r="X1069" s="3">
        <v>43593.0</v>
      </c>
    </row>
    <row r="1070">
      <c r="A1070" s="1" t="s">
        <v>15392</v>
      </c>
      <c r="B1070" s="1" t="s">
        <v>9560</v>
      </c>
      <c r="C1070" s="1" t="s">
        <v>9560</v>
      </c>
      <c r="D1070" s="1" t="s">
        <v>4293</v>
      </c>
      <c r="E1070" s="1" t="s">
        <v>9561</v>
      </c>
      <c r="F1070" s="1" t="s">
        <v>15393</v>
      </c>
      <c r="G1070" s="3">
        <v>44389.0</v>
      </c>
      <c r="H1070" s="3">
        <v>44419.0</v>
      </c>
      <c r="I1070" s="3">
        <v>44419.0</v>
      </c>
      <c r="J1070" s="1" t="s">
        <v>215</v>
      </c>
      <c r="K1070" s="1" t="s">
        <v>160</v>
      </c>
      <c r="L1070" s="1" t="s">
        <v>216</v>
      </c>
      <c r="M1070" s="1" t="s">
        <v>131</v>
      </c>
      <c r="Q1070" s="1" t="s">
        <v>137</v>
      </c>
      <c r="R1070" s="1" t="s">
        <v>137</v>
      </c>
      <c r="S1070" s="1" t="s">
        <v>47</v>
      </c>
      <c r="T1070" s="1" t="s">
        <v>4301</v>
      </c>
      <c r="U1070" s="1" t="s">
        <v>1577</v>
      </c>
      <c r="V1070" s="1" t="s">
        <v>3858</v>
      </c>
      <c r="W1070" s="3">
        <v>44419.0</v>
      </c>
      <c r="X1070" s="3">
        <v>44419.0</v>
      </c>
    </row>
    <row r="1071">
      <c r="A1071" s="1" t="s">
        <v>15394</v>
      </c>
      <c r="B1071" s="1" t="s">
        <v>9560</v>
      </c>
      <c r="C1071" s="1" t="s">
        <v>9560</v>
      </c>
      <c r="D1071" s="1" t="s">
        <v>4293</v>
      </c>
      <c r="E1071" s="1" t="s">
        <v>9561</v>
      </c>
      <c r="F1071" s="1" t="s">
        <v>15395</v>
      </c>
      <c r="G1071" s="3">
        <v>44389.0</v>
      </c>
      <c r="H1071" s="3">
        <v>44419.0</v>
      </c>
      <c r="I1071" s="3">
        <v>44419.0</v>
      </c>
      <c r="J1071" s="1" t="s">
        <v>215</v>
      </c>
      <c r="K1071" s="1" t="s">
        <v>160</v>
      </c>
      <c r="L1071" s="1" t="s">
        <v>216</v>
      </c>
      <c r="M1071" s="1" t="s">
        <v>131</v>
      </c>
      <c r="Q1071" s="1" t="s">
        <v>137</v>
      </c>
      <c r="R1071" s="1" t="s">
        <v>137</v>
      </c>
      <c r="S1071" s="1" t="s">
        <v>47</v>
      </c>
      <c r="T1071" s="1" t="s">
        <v>4301</v>
      </c>
      <c r="U1071" s="1" t="s">
        <v>1577</v>
      </c>
      <c r="V1071" s="1" t="s">
        <v>4950</v>
      </c>
      <c r="W1071" s="3">
        <v>44419.0</v>
      </c>
      <c r="X1071" s="3">
        <v>44419.0</v>
      </c>
    </row>
    <row r="1072">
      <c r="A1072" s="1" t="s">
        <v>15396</v>
      </c>
      <c r="B1072" s="1" t="s">
        <v>9570</v>
      </c>
      <c r="C1072" s="1" t="s">
        <v>9570</v>
      </c>
      <c r="D1072" s="1" t="s">
        <v>4293</v>
      </c>
      <c r="E1072" s="1" t="s">
        <v>7150</v>
      </c>
      <c r="F1072" s="1" t="s">
        <v>15397</v>
      </c>
      <c r="G1072" s="3">
        <v>45619.0</v>
      </c>
      <c r="H1072" s="3">
        <v>45876.0</v>
      </c>
      <c r="I1072" s="3">
        <v>45876.0</v>
      </c>
      <c r="J1072" s="1" t="s">
        <v>215</v>
      </c>
      <c r="K1072" s="1" t="s">
        <v>160</v>
      </c>
      <c r="L1072" s="1" t="s">
        <v>216</v>
      </c>
      <c r="M1072" s="1" t="s">
        <v>131</v>
      </c>
      <c r="Q1072" s="1" t="s">
        <v>137</v>
      </c>
      <c r="R1072" s="1" t="s">
        <v>137</v>
      </c>
      <c r="S1072" s="1" t="s">
        <v>47</v>
      </c>
      <c r="T1072" s="1" t="s">
        <v>4301</v>
      </c>
      <c r="U1072" s="1" t="s">
        <v>1577</v>
      </c>
      <c r="V1072" s="1" t="s">
        <v>3858</v>
      </c>
      <c r="W1072" s="3">
        <v>45876.0</v>
      </c>
      <c r="X1072" s="3">
        <v>45876.0</v>
      </c>
    </row>
    <row r="1073">
      <c r="A1073" s="1" t="s">
        <v>15398</v>
      </c>
      <c r="B1073" s="1" t="s">
        <v>9581</v>
      </c>
      <c r="C1073" s="1" t="s">
        <v>9581</v>
      </c>
      <c r="D1073" s="1" t="s">
        <v>4293</v>
      </c>
      <c r="E1073" s="1" t="s">
        <v>9583</v>
      </c>
      <c r="F1073" s="1" t="s">
        <v>15399</v>
      </c>
      <c r="G1073" s="3">
        <v>46036.0</v>
      </c>
      <c r="H1073" s="3"/>
      <c r="I1073" s="3"/>
      <c r="J1073" s="1" t="s">
        <v>124</v>
      </c>
      <c r="K1073" s="1" t="s">
        <v>160</v>
      </c>
      <c r="L1073" s="1" t="s">
        <v>460</v>
      </c>
      <c r="M1073" s="1" t="s">
        <v>131</v>
      </c>
      <c r="O1073" s="1" t="s">
        <v>15400</v>
      </c>
      <c r="Q1073" s="1" t="s">
        <v>137</v>
      </c>
      <c r="R1073" s="1" t="s">
        <v>137</v>
      </c>
      <c r="S1073" s="1" t="s">
        <v>47</v>
      </c>
      <c r="T1073" s="1" t="s">
        <v>9750</v>
      </c>
      <c r="U1073" s="1" t="s">
        <v>1577</v>
      </c>
      <c r="V1073" s="1" t="s">
        <v>3858</v>
      </c>
      <c r="W1073" s="3">
        <v>46342.0</v>
      </c>
      <c r="X1073" s="3"/>
    </row>
    <row r="1074">
      <c r="A1074" s="1" t="s">
        <v>15401</v>
      </c>
      <c r="B1074" s="1" t="s">
        <v>9581</v>
      </c>
      <c r="C1074" s="1" t="s">
        <v>9581</v>
      </c>
      <c r="D1074" s="1" t="s">
        <v>4293</v>
      </c>
      <c r="E1074" s="1" t="s">
        <v>9583</v>
      </c>
      <c r="F1074" s="1" t="s">
        <v>15402</v>
      </c>
      <c r="G1074" s="3">
        <v>46036.0</v>
      </c>
      <c r="H1074" s="3"/>
      <c r="I1074" s="3"/>
      <c r="J1074" s="1" t="s">
        <v>124</v>
      </c>
      <c r="K1074" s="1" t="s">
        <v>160</v>
      </c>
      <c r="L1074" s="1" t="s">
        <v>460</v>
      </c>
      <c r="M1074" s="1" t="s">
        <v>131</v>
      </c>
      <c r="O1074" s="1" t="s">
        <v>15403</v>
      </c>
      <c r="Q1074" s="1" t="s">
        <v>137</v>
      </c>
      <c r="R1074" s="1" t="s">
        <v>137</v>
      </c>
      <c r="S1074" s="1" t="s">
        <v>47</v>
      </c>
      <c r="T1074" s="1" t="s">
        <v>9750</v>
      </c>
      <c r="U1074" s="1" t="s">
        <v>1577</v>
      </c>
      <c r="V1074" s="1" t="s">
        <v>4054</v>
      </c>
      <c r="W1074" s="3">
        <v>46342.0</v>
      </c>
    </row>
    <row r="1075">
      <c r="A1075" s="1" t="s">
        <v>15404</v>
      </c>
      <c r="B1075" s="1" t="s">
        <v>9581</v>
      </c>
      <c r="C1075" s="1" t="s">
        <v>9581</v>
      </c>
      <c r="D1075" s="1" t="s">
        <v>4293</v>
      </c>
      <c r="E1075" s="1" t="s">
        <v>9583</v>
      </c>
      <c r="F1075" s="1" t="s">
        <v>15405</v>
      </c>
      <c r="G1075" s="3">
        <v>46036.0</v>
      </c>
      <c r="H1075" s="3"/>
      <c r="I1075" s="3"/>
      <c r="J1075" s="1" t="s">
        <v>124</v>
      </c>
      <c r="K1075" s="1" t="s">
        <v>160</v>
      </c>
      <c r="L1075" s="1" t="s">
        <v>460</v>
      </c>
      <c r="M1075" s="1" t="s">
        <v>131</v>
      </c>
      <c r="O1075" s="1" t="s">
        <v>15406</v>
      </c>
      <c r="Q1075" s="1" t="s">
        <v>137</v>
      </c>
      <c r="R1075" s="1" t="s">
        <v>137</v>
      </c>
      <c r="S1075" s="1" t="s">
        <v>47</v>
      </c>
      <c r="T1075" s="1" t="s">
        <v>9750</v>
      </c>
      <c r="U1075" s="1" t="s">
        <v>1577</v>
      </c>
      <c r="V1075" s="1" t="s">
        <v>4950</v>
      </c>
      <c r="W1075" s="3">
        <v>46342.0</v>
      </c>
      <c r="X1075" s="13"/>
    </row>
    <row r="1076">
      <c r="A1076" s="1" t="s">
        <v>15407</v>
      </c>
      <c r="B1076" s="1" t="s">
        <v>9594</v>
      </c>
      <c r="C1076" s="1" t="s">
        <v>9594</v>
      </c>
      <c r="D1076" s="1" t="s">
        <v>4293</v>
      </c>
      <c r="E1076" s="1" t="s">
        <v>9597</v>
      </c>
      <c r="F1076" s="1" t="s">
        <v>15408</v>
      </c>
      <c r="G1076" s="3">
        <v>45755.0</v>
      </c>
      <c r="H1076" s="3">
        <v>45777.0</v>
      </c>
      <c r="I1076" s="3">
        <v>45777.0</v>
      </c>
      <c r="J1076" s="1" t="s">
        <v>215</v>
      </c>
      <c r="K1076" s="1" t="s">
        <v>160</v>
      </c>
      <c r="L1076" s="1" t="s">
        <v>216</v>
      </c>
      <c r="M1076" s="1" t="s">
        <v>131</v>
      </c>
      <c r="Q1076" s="1" t="s">
        <v>137</v>
      </c>
      <c r="R1076" s="1" t="s">
        <v>137</v>
      </c>
      <c r="S1076" s="1" t="s">
        <v>47</v>
      </c>
      <c r="T1076" s="1" t="s">
        <v>4301</v>
      </c>
      <c r="U1076" s="1" t="s">
        <v>1577</v>
      </c>
      <c r="V1076" s="1" t="s">
        <v>3858</v>
      </c>
      <c r="W1076" s="3">
        <v>45777.0</v>
      </c>
      <c r="X1076" s="3">
        <v>45777.0</v>
      </c>
    </row>
    <row r="1077">
      <c r="A1077" s="1" t="s">
        <v>15409</v>
      </c>
      <c r="B1077" s="1" t="s">
        <v>9610</v>
      </c>
      <c r="C1077" s="1" t="s">
        <v>9610</v>
      </c>
      <c r="D1077" s="1" t="s">
        <v>4293</v>
      </c>
      <c r="E1077" s="1" t="s">
        <v>9611</v>
      </c>
      <c r="F1077" s="1" t="s">
        <v>15410</v>
      </c>
      <c r="G1077" s="3">
        <v>45663.0</v>
      </c>
      <c r="H1077" s="3">
        <v>45742.0</v>
      </c>
      <c r="I1077" s="3">
        <v>45742.0</v>
      </c>
      <c r="J1077" s="1" t="s">
        <v>215</v>
      </c>
      <c r="K1077" s="1" t="s">
        <v>160</v>
      </c>
      <c r="L1077" s="1" t="s">
        <v>216</v>
      </c>
      <c r="M1077" s="1" t="s">
        <v>131</v>
      </c>
      <c r="Q1077" s="1" t="s">
        <v>137</v>
      </c>
      <c r="R1077" s="1" t="s">
        <v>137</v>
      </c>
      <c r="S1077" s="1" t="s">
        <v>47</v>
      </c>
      <c r="T1077" s="1" t="s">
        <v>4301</v>
      </c>
      <c r="U1077" s="1" t="s">
        <v>1577</v>
      </c>
      <c r="V1077" s="1" t="s">
        <v>4679</v>
      </c>
      <c r="W1077" s="3">
        <v>45742.0</v>
      </c>
      <c r="X1077" s="3">
        <v>45742.0</v>
      </c>
    </row>
    <row r="1078">
      <c r="A1078" s="1" t="s">
        <v>15411</v>
      </c>
      <c r="B1078" s="1" t="s">
        <v>9610</v>
      </c>
      <c r="C1078" s="1" t="s">
        <v>9610</v>
      </c>
      <c r="D1078" s="1" t="s">
        <v>4293</v>
      </c>
      <c r="E1078" s="1" t="s">
        <v>9611</v>
      </c>
      <c r="F1078" s="1" t="s">
        <v>15412</v>
      </c>
      <c r="G1078" s="3">
        <v>45663.0</v>
      </c>
      <c r="H1078" s="3">
        <v>45742.0</v>
      </c>
      <c r="I1078" s="3">
        <v>45742.0</v>
      </c>
      <c r="J1078" s="1" t="s">
        <v>215</v>
      </c>
      <c r="K1078" s="1" t="s">
        <v>160</v>
      </c>
      <c r="L1078" s="1" t="s">
        <v>216</v>
      </c>
      <c r="M1078" s="1" t="s">
        <v>131</v>
      </c>
      <c r="Q1078" s="1" t="s">
        <v>137</v>
      </c>
      <c r="R1078" s="1" t="s">
        <v>137</v>
      </c>
      <c r="S1078" s="1" t="s">
        <v>47</v>
      </c>
      <c r="T1078" s="1" t="s">
        <v>4301</v>
      </c>
      <c r="U1078" s="1" t="s">
        <v>1577</v>
      </c>
      <c r="V1078" s="1" t="s">
        <v>4950</v>
      </c>
      <c r="W1078" s="3">
        <v>45742.0</v>
      </c>
      <c r="X1078" s="3">
        <v>45742.0</v>
      </c>
    </row>
    <row r="1079">
      <c r="A1079" s="1" t="s">
        <v>15413</v>
      </c>
      <c r="B1079" s="1" t="s">
        <v>9610</v>
      </c>
      <c r="C1079" s="1" t="s">
        <v>9610</v>
      </c>
      <c r="D1079" s="1" t="s">
        <v>4293</v>
      </c>
      <c r="E1079" s="1" t="s">
        <v>9611</v>
      </c>
      <c r="F1079" s="1" t="s">
        <v>15414</v>
      </c>
      <c r="G1079" s="3">
        <v>45663.0</v>
      </c>
      <c r="H1079" s="3">
        <v>45742.0</v>
      </c>
      <c r="I1079" s="3">
        <v>45742.0</v>
      </c>
      <c r="J1079" s="1" t="s">
        <v>215</v>
      </c>
      <c r="K1079" s="1" t="s">
        <v>160</v>
      </c>
      <c r="L1079" s="1" t="s">
        <v>216</v>
      </c>
      <c r="M1079" s="1" t="s">
        <v>131</v>
      </c>
      <c r="Q1079" s="1" t="s">
        <v>137</v>
      </c>
      <c r="R1079" s="1" t="s">
        <v>137</v>
      </c>
      <c r="S1079" s="1" t="s">
        <v>47</v>
      </c>
      <c r="T1079" s="1" t="s">
        <v>4301</v>
      </c>
      <c r="U1079" s="1" t="s">
        <v>1577</v>
      </c>
      <c r="V1079" s="1" t="s">
        <v>5104</v>
      </c>
      <c r="W1079" s="3">
        <v>45742.0</v>
      </c>
      <c r="X1079" s="3">
        <v>45742.0</v>
      </c>
    </row>
    <row r="1080">
      <c r="A1080" s="1" t="s">
        <v>15415</v>
      </c>
      <c r="B1080" s="1" t="s">
        <v>9610</v>
      </c>
      <c r="C1080" s="1" t="s">
        <v>9610</v>
      </c>
      <c r="D1080" s="1" t="s">
        <v>4293</v>
      </c>
      <c r="E1080" s="1" t="s">
        <v>9611</v>
      </c>
      <c r="F1080" s="1" t="s">
        <v>15416</v>
      </c>
      <c r="G1080" s="3">
        <v>45663.0</v>
      </c>
      <c r="H1080" s="3">
        <v>45742.0</v>
      </c>
      <c r="I1080" s="3">
        <v>45742.0</v>
      </c>
      <c r="J1080" s="1" t="s">
        <v>215</v>
      </c>
      <c r="K1080" s="1" t="s">
        <v>160</v>
      </c>
      <c r="L1080" s="1" t="s">
        <v>216</v>
      </c>
      <c r="M1080" s="1" t="s">
        <v>131</v>
      </c>
      <c r="Q1080" s="1" t="s">
        <v>137</v>
      </c>
      <c r="R1080" s="1" t="s">
        <v>137</v>
      </c>
      <c r="S1080" s="1" t="s">
        <v>47</v>
      </c>
      <c r="T1080" s="1" t="s">
        <v>4301</v>
      </c>
      <c r="U1080" s="1" t="s">
        <v>1577</v>
      </c>
      <c r="V1080" s="1" t="s">
        <v>5120</v>
      </c>
      <c r="W1080" s="3">
        <v>45742.0</v>
      </c>
      <c r="X1080" s="3">
        <v>45742.0</v>
      </c>
    </row>
    <row r="1081">
      <c r="A1081" s="1" t="s">
        <v>15417</v>
      </c>
      <c r="B1081" s="1" t="s">
        <v>9617</v>
      </c>
      <c r="C1081" s="1" t="s">
        <v>9617</v>
      </c>
      <c r="D1081" s="1" t="s">
        <v>4293</v>
      </c>
      <c r="E1081" s="1" t="s">
        <v>9619</v>
      </c>
      <c r="F1081" s="1" t="s">
        <v>15418</v>
      </c>
      <c r="G1081" s="3">
        <v>44636.0</v>
      </c>
      <c r="H1081" s="3">
        <v>44734.0</v>
      </c>
      <c r="I1081" s="3">
        <v>44734.0</v>
      </c>
      <c r="J1081" s="1" t="s">
        <v>215</v>
      </c>
      <c r="K1081" s="1" t="s">
        <v>160</v>
      </c>
      <c r="L1081" s="1" t="s">
        <v>216</v>
      </c>
      <c r="M1081" s="1" t="s">
        <v>131</v>
      </c>
      <c r="Q1081" s="1" t="s">
        <v>137</v>
      </c>
      <c r="R1081" s="1" t="s">
        <v>137</v>
      </c>
      <c r="S1081" s="1" t="s">
        <v>47</v>
      </c>
      <c r="T1081" s="1" t="s">
        <v>4301</v>
      </c>
      <c r="U1081" s="1" t="s">
        <v>1577</v>
      </c>
      <c r="V1081" s="1" t="s">
        <v>3858</v>
      </c>
      <c r="W1081" s="3">
        <v>44734.0</v>
      </c>
      <c r="X1081" s="3">
        <v>44734.0</v>
      </c>
    </row>
    <row r="1082">
      <c r="A1082" s="1" t="s">
        <v>15419</v>
      </c>
      <c r="B1082" s="1" t="s">
        <v>9628</v>
      </c>
      <c r="C1082" s="1" t="s">
        <v>9628</v>
      </c>
      <c r="D1082" s="1" t="s">
        <v>4293</v>
      </c>
      <c r="E1082" s="1" t="s">
        <v>9630</v>
      </c>
      <c r="F1082" s="1" t="s">
        <v>15420</v>
      </c>
      <c r="G1082" s="3">
        <v>44337.0</v>
      </c>
      <c r="H1082" s="3">
        <v>44385.0</v>
      </c>
      <c r="I1082" s="3">
        <v>44385.0</v>
      </c>
      <c r="J1082" s="1" t="s">
        <v>215</v>
      </c>
      <c r="K1082" s="1" t="s">
        <v>160</v>
      </c>
      <c r="L1082" s="1" t="s">
        <v>216</v>
      </c>
      <c r="M1082" s="1" t="s">
        <v>131</v>
      </c>
      <c r="Q1082" s="1" t="s">
        <v>137</v>
      </c>
      <c r="R1082" s="1" t="s">
        <v>137</v>
      </c>
      <c r="S1082" s="1" t="s">
        <v>47</v>
      </c>
      <c r="T1082" s="1" t="s">
        <v>4301</v>
      </c>
      <c r="U1082" s="1" t="s">
        <v>1577</v>
      </c>
      <c r="V1082" s="1" t="s">
        <v>4679</v>
      </c>
      <c r="W1082" s="3">
        <v>44385.0</v>
      </c>
      <c r="X1082" s="3">
        <v>44385.0</v>
      </c>
    </row>
    <row r="1083">
      <c r="A1083" s="1" t="s">
        <v>15421</v>
      </c>
      <c r="B1083" s="1" t="s">
        <v>9628</v>
      </c>
      <c r="C1083" s="1" t="s">
        <v>9628</v>
      </c>
      <c r="D1083" s="1" t="s">
        <v>4293</v>
      </c>
      <c r="E1083" s="1" t="s">
        <v>9630</v>
      </c>
      <c r="F1083" s="1" t="s">
        <v>15422</v>
      </c>
      <c r="G1083" s="3">
        <v>44337.0</v>
      </c>
      <c r="H1083" s="3">
        <v>44385.0</v>
      </c>
      <c r="I1083" s="3">
        <v>44385.0</v>
      </c>
      <c r="J1083" s="1" t="s">
        <v>215</v>
      </c>
      <c r="K1083" s="1" t="s">
        <v>160</v>
      </c>
      <c r="L1083" s="1" t="s">
        <v>216</v>
      </c>
      <c r="M1083" s="1" t="s">
        <v>131</v>
      </c>
      <c r="Q1083" s="1" t="s">
        <v>137</v>
      </c>
      <c r="R1083" s="1" t="s">
        <v>137</v>
      </c>
      <c r="S1083" s="1" t="s">
        <v>47</v>
      </c>
      <c r="T1083" s="1" t="s">
        <v>4301</v>
      </c>
      <c r="U1083" s="1" t="s">
        <v>1577</v>
      </c>
      <c r="V1083" s="1" t="s">
        <v>4950</v>
      </c>
      <c r="W1083" s="3">
        <v>44385.0</v>
      </c>
      <c r="X1083" s="3">
        <v>44385.0</v>
      </c>
    </row>
    <row r="1084">
      <c r="A1084" s="1" t="s">
        <v>15423</v>
      </c>
      <c r="B1084" s="1" t="s">
        <v>9628</v>
      </c>
      <c r="C1084" s="1" t="s">
        <v>9628</v>
      </c>
      <c r="D1084" s="1" t="s">
        <v>4293</v>
      </c>
      <c r="E1084" s="1" t="s">
        <v>9630</v>
      </c>
      <c r="F1084" s="1" t="s">
        <v>15424</v>
      </c>
      <c r="G1084" s="3">
        <v>44337.0</v>
      </c>
      <c r="H1084" s="3">
        <v>44385.0</v>
      </c>
      <c r="I1084" s="3">
        <v>44385.0</v>
      </c>
      <c r="J1084" s="1" t="s">
        <v>215</v>
      </c>
      <c r="K1084" s="1" t="s">
        <v>160</v>
      </c>
      <c r="L1084" s="1" t="s">
        <v>216</v>
      </c>
      <c r="M1084" s="1" t="s">
        <v>131</v>
      </c>
      <c r="Q1084" s="1" t="s">
        <v>137</v>
      </c>
      <c r="R1084" s="1" t="s">
        <v>137</v>
      </c>
      <c r="S1084" s="1" t="s">
        <v>47</v>
      </c>
      <c r="T1084" s="1" t="s">
        <v>4301</v>
      </c>
      <c r="U1084" s="1" t="s">
        <v>1577</v>
      </c>
      <c r="V1084" s="1" t="s">
        <v>5104</v>
      </c>
      <c r="W1084" s="3">
        <v>44385.0</v>
      </c>
      <c r="X1084" s="3">
        <v>44385.0</v>
      </c>
    </row>
    <row r="1085">
      <c r="A1085" s="1" t="s">
        <v>15425</v>
      </c>
      <c r="B1085" s="1" t="s">
        <v>9628</v>
      </c>
      <c r="C1085" s="1" t="s">
        <v>9628</v>
      </c>
      <c r="D1085" s="1" t="s">
        <v>4293</v>
      </c>
      <c r="E1085" s="1" t="s">
        <v>9630</v>
      </c>
      <c r="F1085" s="1" t="s">
        <v>15426</v>
      </c>
      <c r="G1085" s="3">
        <v>44337.0</v>
      </c>
      <c r="H1085" s="3">
        <v>44385.0</v>
      </c>
      <c r="I1085" s="3">
        <v>44385.0</v>
      </c>
      <c r="J1085" s="1" t="s">
        <v>215</v>
      </c>
      <c r="K1085" s="1" t="s">
        <v>160</v>
      </c>
      <c r="L1085" s="1" t="s">
        <v>216</v>
      </c>
      <c r="M1085" s="1" t="s">
        <v>131</v>
      </c>
      <c r="Q1085" s="1" t="s">
        <v>137</v>
      </c>
      <c r="R1085" s="1" t="s">
        <v>137</v>
      </c>
      <c r="S1085" s="1" t="s">
        <v>47</v>
      </c>
      <c r="T1085" s="1" t="s">
        <v>4301</v>
      </c>
      <c r="U1085" s="1" t="s">
        <v>1577</v>
      </c>
      <c r="V1085" s="1" t="s">
        <v>5120</v>
      </c>
      <c r="W1085" s="3">
        <v>44385.0</v>
      </c>
      <c r="X1085" s="3">
        <v>44385.0</v>
      </c>
    </row>
    <row r="1086">
      <c r="A1086" s="1" t="s">
        <v>15427</v>
      </c>
      <c r="B1086" s="1" t="s">
        <v>9638</v>
      </c>
      <c r="C1086" s="1" t="s">
        <v>9638</v>
      </c>
      <c r="D1086" s="1" t="s">
        <v>4293</v>
      </c>
      <c r="E1086" s="1" t="s">
        <v>9640</v>
      </c>
      <c r="F1086" s="1" t="s">
        <v>15428</v>
      </c>
      <c r="G1086" s="3">
        <v>44729.0</v>
      </c>
      <c r="H1086" s="3">
        <v>44827.0</v>
      </c>
      <c r="I1086" s="3">
        <v>44827.0</v>
      </c>
      <c r="J1086" s="1" t="s">
        <v>215</v>
      </c>
      <c r="K1086" s="1" t="s">
        <v>160</v>
      </c>
      <c r="L1086" s="1" t="s">
        <v>216</v>
      </c>
      <c r="M1086" s="1" t="s">
        <v>131</v>
      </c>
      <c r="Q1086" s="1" t="s">
        <v>137</v>
      </c>
      <c r="R1086" s="1" t="s">
        <v>137</v>
      </c>
      <c r="S1086" s="1" t="s">
        <v>47</v>
      </c>
      <c r="T1086" s="1" t="s">
        <v>4301</v>
      </c>
      <c r="U1086" s="1" t="s">
        <v>1577</v>
      </c>
      <c r="V1086" s="1" t="s">
        <v>4679</v>
      </c>
      <c r="W1086" s="3">
        <v>44827.0</v>
      </c>
      <c r="X1086" s="3">
        <v>44827.0</v>
      </c>
    </row>
    <row r="1087">
      <c r="A1087" s="1" t="s">
        <v>15429</v>
      </c>
      <c r="B1087" s="1" t="s">
        <v>9638</v>
      </c>
      <c r="C1087" s="1" t="s">
        <v>9638</v>
      </c>
      <c r="D1087" s="1" t="s">
        <v>4293</v>
      </c>
      <c r="E1087" s="1" t="s">
        <v>9640</v>
      </c>
      <c r="F1087" s="1" t="s">
        <v>15430</v>
      </c>
      <c r="G1087" s="3">
        <v>44729.0</v>
      </c>
      <c r="H1087" s="3">
        <v>44827.0</v>
      </c>
      <c r="I1087" s="3">
        <v>44827.0</v>
      </c>
      <c r="J1087" s="1" t="s">
        <v>215</v>
      </c>
      <c r="K1087" s="1" t="s">
        <v>160</v>
      </c>
      <c r="L1087" s="1" t="s">
        <v>216</v>
      </c>
      <c r="M1087" s="1" t="s">
        <v>131</v>
      </c>
      <c r="Q1087" s="1" t="s">
        <v>137</v>
      </c>
      <c r="R1087" s="1" t="s">
        <v>137</v>
      </c>
      <c r="S1087" s="1" t="s">
        <v>47</v>
      </c>
      <c r="T1087" s="1" t="s">
        <v>4301</v>
      </c>
      <c r="U1087" s="1" t="s">
        <v>1577</v>
      </c>
      <c r="V1087" s="1" t="s">
        <v>4950</v>
      </c>
      <c r="W1087" s="3">
        <v>44827.0</v>
      </c>
      <c r="X1087" s="3">
        <v>44827.0</v>
      </c>
    </row>
    <row r="1088">
      <c r="A1088" s="1" t="s">
        <v>15431</v>
      </c>
      <c r="B1088" s="1" t="s">
        <v>9638</v>
      </c>
      <c r="C1088" s="1" t="s">
        <v>9638</v>
      </c>
      <c r="D1088" s="1" t="s">
        <v>4293</v>
      </c>
      <c r="E1088" s="1" t="s">
        <v>9640</v>
      </c>
      <c r="F1088" s="1" t="s">
        <v>15432</v>
      </c>
      <c r="G1088" s="3">
        <v>44729.0</v>
      </c>
      <c r="H1088" s="3">
        <v>44827.0</v>
      </c>
      <c r="I1088" s="3">
        <v>44827.0</v>
      </c>
      <c r="J1088" s="1" t="s">
        <v>215</v>
      </c>
      <c r="K1088" s="1" t="s">
        <v>160</v>
      </c>
      <c r="L1088" s="1" t="s">
        <v>216</v>
      </c>
      <c r="M1088" s="1" t="s">
        <v>131</v>
      </c>
      <c r="Q1088" s="1" t="s">
        <v>137</v>
      </c>
      <c r="R1088" s="1" t="s">
        <v>137</v>
      </c>
      <c r="S1088" s="1" t="s">
        <v>47</v>
      </c>
      <c r="T1088" s="1" t="s">
        <v>4301</v>
      </c>
      <c r="U1088" s="1" t="s">
        <v>1577</v>
      </c>
      <c r="V1088" s="1" t="s">
        <v>5104</v>
      </c>
      <c r="W1088" s="3">
        <v>44827.0</v>
      </c>
      <c r="X1088" s="3">
        <v>44827.0</v>
      </c>
    </row>
    <row r="1089">
      <c r="A1089" s="1" t="s">
        <v>15433</v>
      </c>
      <c r="B1089" s="1" t="s">
        <v>9638</v>
      </c>
      <c r="C1089" s="1" t="s">
        <v>9638</v>
      </c>
      <c r="D1089" s="1" t="s">
        <v>4293</v>
      </c>
      <c r="E1089" s="1" t="s">
        <v>9640</v>
      </c>
      <c r="F1089" s="1" t="s">
        <v>15434</v>
      </c>
      <c r="G1089" s="3">
        <v>44729.0</v>
      </c>
      <c r="H1089" s="3">
        <v>44827.0</v>
      </c>
      <c r="I1089" s="3">
        <v>44827.0</v>
      </c>
      <c r="J1089" s="1" t="s">
        <v>215</v>
      </c>
      <c r="K1089" s="1" t="s">
        <v>160</v>
      </c>
      <c r="L1089" s="1" t="s">
        <v>216</v>
      </c>
      <c r="M1089" s="1" t="s">
        <v>131</v>
      </c>
      <c r="Q1089" s="1" t="s">
        <v>137</v>
      </c>
      <c r="R1089" s="1" t="s">
        <v>137</v>
      </c>
      <c r="S1089" s="1" t="s">
        <v>47</v>
      </c>
      <c r="T1089" s="1" t="s">
        <v>4301</v>
      </c>
      <c r="U1089" s="1" t="s">
        <v>1577</v>
      </c>
      <c r="V1089" s="1" t="s">
        <v>5120</v>
      </c>
      <c r="W1089" s="3">
        <v>44827.0</v>
      </c>
      <c r="X1089" s="3">
        <v>44827.0</v>
      </c>
    </row>
    <row r="1090">
      <c r="A1090" s="1" t="s">
        <v>15435</v>
      </c>
      <c r="B1090" s="1" t="s">
        <v>9647</v>
      </c>
      <c r="C1090" s="1" t="s">
        <v>9647</v>
      </c>
      <c r="D1090" s="1" t="s">
        <v>4293</v>
      </c>
      <c r="E1090" s="1" t="s">
        <v>9649</v>
      </c>
      <c r="F1090" s="1" t="s">
        <v>15436</v>
      </c>
      <c r="G1090" s="3">
        <v>44653.0</v>
      </c>
      <c r="H1090" s="3">
        <v>44799.0</v>
      </c>
      <c r="I1090" s="3">
        <v>44799.0</v>
      </c>
      <c r="J1090" s="1" t="s">
        <v>215</v>
      </c>
      <c r="K1090" s="1" t="s">
        <v>160</v>
      </c>
      <c r="L1090" s="1" t="s">
        <v>216</v>
      </c>
      <c r="M1090" s="1" t="s">
        <v>131</v>
      </c>
      <c r="Q1090" s="1" t="s">
        <v>137</v>
      </c>
      <c r="R1090" s="1" t="s">
        <v>137</v>
      </c>
      <c r="S1090" s="1" t="s">
        <v>47</v>
      </c>
      <c r="T1090" s="1" t="s">
        <v>4301</v>
      </c>
      <c r="U1090" s="1" t="s">
        <v>1577</v>
      </c>
      <c r="V1090" s="1" t="s">
        <v>3858</v>
      </c>
      <c r="W1090" s="3">
        <v>44799.0</v>
      </c>
      <c r="X1090" s="3">
        <v>44799.0</v>
      </c>
    </row>
    <row r="1091">
      <c r="A1091" s="1" t="s">
        <v>15437</v>
      </c>
      <c r="B1091" s="1" t="s">
        <v>5808</v>
      </c>
      <c r="C1091" s="1" t="s">
        <v>5808</v>
      </c>
      <c r="D1091" s="1" t="s">
        <v>4293</v>
      </c>
      <c r="E1091" s="1" t="s">
        <v>9464</v>
      </c>
      <c r="F1091" s="1" t="s">
        <v>15438</v>
      </c>
      <c r="G1091" s="3">
        <v>45309.0</v>
      </c>
      <c r="H1091" s="3">
        <v>45649.0</v>
      </c>
      <c r="I1091" s="3">
        <v>45649.0</v>
      </c>
      <c r="J1091" s="1" t="s">
        <v>215</v>
      </c>
      <c r="K1091" s="1" t="s">
        <v>160</v>
      </c>
      <c r="L1091" s="1" t="s">
        <v>216</v>
      </c>
      <c r="M1091" s="1" t="s">
        <v>131</v>
      </c>
      <c r="Q1091" s="1" t="s">
        <v>137</v>
      </c>
      <c r="R1091" s="1" t="s">
        <v>137</v>
      </c>
      <c r="S1091" s="1" t="s">
        <v>47</v>
      </c>
      <c r="T1091" s="1" t="s">
        <v>4301</v>
      </c>
      <c r="U1091" s="1" t="s">
        <v>1577</v>
      </c>
      <c r="V1091" s="1" t="s">
        <v>3858</v>
      </c>
      <c r="W1091" s="3">
        <v>45649.0</v>
      </c>
      <c r="X1091" s="3">
        <v>45649.0</v>
      </c>
    </row>
    <row r="1092">
      <c r="A1092" s="1" t="s">
        <v>15439</v>
      </c>
      <c r="B1092" s="1" t="s">
        <v>9666</v>
      </c>
      <c r="C1092" s="1" t="s">
        <v>9666</v>
      </c>
      <c r="D1092" s="1" t="s">
        <v>4293</v>
      </c>
      <c r="E1092" s="1" t="s">
        <v>9668</v>
      </c>
      <c r="F1092" s="1" t="s">
        <v>15440</v>
      </c>
      <c r="G1092" s="3">
        <v>45423.0</v>
      </c>
      <c r="H1092" s="3">
        <v>45715.0</v>
      </c>
      <c r="I1092" s="3">
        <v>45715.0</v>
      </c>
      <c r="J1092" s="1" t="s">
        <v>215</v>
      </c>
      <c r="K1092" s="1" t="s">
        <v>160</v>
      </c>
      <c r="L1092" s="1" t="s">
        <v>216</v>
      </c>
      <c r="M1092" s="1" t="s">
        <v>131</v>
      </c>
      <c r="Q1092" s="1" t="s">
        <v>137</v>
      </c>
      <c r="R1092" s="1" t="s">
        <v>137</v>
      </c>
      <c r="S1092" s="1" t="s">
        <v>47</v>
      </c>
      <c r="T1092" s="1" t="s">
        <v>4301</v>
      </c>
      <c r="U1092" s="1" t="s">
        <v>1577</v>
      </c>
      <c r="V1092" s="1" t="s">
        <v>3858</v>
      </c>
      <c r="W1092" s="3">
        <v>45715.0</v>
      </c>
      <c r="X1092" s="3">
        <v>45715.0</v>
      </c>
    </row>
    <row r="1093">
      <c r="A1093" s="1" t="s">
        <v>15441</v>
      </c>
      <c r="B1093" s="1" t="s">
        <v>9666</v>
      </c>
      <c r="C1093" s="1" t="s">
        <v>9666</v>
      </c>
      <c r="D1093" s="1" t="s">
        <v>4293</v>
      </c>
      <c r="E1093" s="1" t="s">
        <v>9668</v>
      </c>
      <c r="F1093" s="1" t="s">
        <v>15442</v>
      </c>
      <c r="G1093" s="3">
        <v>45423.0</v>
      </c>
      <c r="H1093" s="3">
        <v>45715.0</v>
      </c>
      <c r="I1093" s="3">
        <v>45715.0</v>
      </c>
      <c r="J1093" s="1" t="s">
        <v>215</v>
      </c>
      <c r="K1093" s="1" t="s">
        <v>160</v>
      </c>
      <c r="L1093" s="1" t="s">
        <v>216</v>
      </c>
      <c r="M1093" s="1" t="s">
        <v>131</v>
      </c>
      <c r="Q1093" s="1" t="s">
        <v>137</v>
      </c>
      <c r="R1093" s="1" t="s">
        <v>137</v>
      </c>
      <c r="S1093" s="1" t="s">
        <v>47</v>
      </c>
      <c r="T1093" s="1" t="s">
        <v>4301</v>
      </c>
      <c r="U1093" s="1" t="s">
        <v>1577</v>
      </c>
      <c r="V1093" s="1" t="s">
        <v>4950</v>
      </c>
      <c r="W1093" s="3">
        <v>45715.0</v>
      </c>
      <c r="X1093" s="3">
        <v>45715.0</v>
      </c>
    </row>
    <row r="1094">
      <c r="A1094" s="1" t="s">
        <v>15443</v>
      </c>
      <c r="B1094" s="1" t="s">
        <v>6193</v>
      </c>
      <c r="C1094" s="1" t="s">
        <v>6193</v>
      </c>
      <c r="D1094" s="1" t="s">
        <v>4293</v>
      </c>
      <c r="E1094" s="1" t="s">
        <v>9676</v>
      </c>
      <c r="F1094" s="1" t="s">
        <v>15444</v>
      </c>
      <c r="G1094" s="3">
        <v>42913.0</v>
      </c>
      <c r="H1094" s="3">
        <v>43132.0</v>
      </c>
      <c r="I1094" s="3">
        <v>43132.0</v>
      </c>
      <c r="J1094" s="1" t="s">
        <v>215</v>
      </c>
      <c r="K1094" s="1" t="s">
        <v>160</v>
      </c>
      <c r="L1094" s="1" t="s">
        <v>216</v>
      </c>
      <c r="M1094" s="1" t="s">
        <v>131</v>
      </c>
      <c r="Q1094" s="1" t="s">
        <v>137</v>
      </c>
      <c r="R1094" s="1" t="s">
        <v>137</v>
      </c>
      <c r="S1094" s="1" t="s">
        <v>47</v>
      </c>
      <c r="T1094" s="1" t="s">
        <v>4301</v>
      </c>
      <c r="U1094" s="1" t="s">
        <v>1577</v>
      </c>
      <c r="V1094" s="1" t="s">
        <v>3858</v>
      </c>
      <c r="W1094" s="3">
        <v>43132.0</v>
      </c>
      <c r="X1094" s="3">
        <v>43132.0</v>
      </c>
    </row>
    <row r="1095">
      <c r="A1095" s="1" t="s">
        <v>15445</v>
      </c>
      <c r="B1095" s="1" t="s">
        <v>9683</v>
      </c>
      <c r="C1095" s="1" t="s">
        <v>9683</v>
      </c>
      <c r="D1095" s="1" t="s">
        <v>4293</v>
      </c>
      <c r="E1095" s="1" t="s">
        <v>9684</v>
      </c>
      <c r="F1095" s="1" t="s">
        <v>15446</v>
      </c>
      <c r="G1095" s="3">
        <v>44287.0</v>
      </c>
      <c r="H1095" s="3">
        <v>44298.0</v>
      </c>
      <c r="I1095" s="3">
        <v>44298.0</v>
      </c>
      <c r="J1095" s="1" t="s">
        <v>215</v>
      </c>
      <c r="K1095" s="1" t="s">
        <v>160</v>
      </c>
      <c r="L1095" s="1" t="s">
        <v>216</v>
      </c>
      <c r="M1095" s="1" t="s">
        <v>131</v>
      </c>
      <c r="Q1095" s="1" t="s">
        <v>137</v>
      </c>
      <c r="R1095" s="1" t="s">
        <v>137</v>
      </c>
      <c r="S1095" s="1" t="s">
        <v>47</v>
      </c>
      <c r="T1095" s="1" t="s">
        <v>4301</v>
      </c>
      <c r="U1095" s="1" t="s">
        <v>1577</v>
      </c>
      <c r="V1095" s="1" t="s">
        <v>3858</v>
      </c>
      <c r="W1095" s="3">
        <v>44298.0</v>
      </c>
      <c r="X1095" s="3">
        <v>44298.0</v>
      </c>
    </row>
    <row r="1096">
      <c r="A1096" s="1" t="s">
        <v>15447</v>
      </c>
      <c r="B1096" s="1" t="s">
        <v>9691</v>
      </c>
      <c r="C1096" s="1" t="s">
        <v>9691</v>
      </c>
      <c r="D1096" s="1" t="s">
        <v>4293</v>
      </c>
      <c r="E1096" s="1" t="s">
        <v>9692</v>
      </c>
      <c r="F1096" s="1" t="s">
        <v>15448</v>
      </c>
      <c r="G1096" s="3">
        <v>43943.0</v>
      </c>
      <c r="H1096" s="3">
        <v>43997.0</v>
      </c>
      <c r="I1096" s="3">
        <v>43997.0</v>
      </c>
      <c r="J1096" s="1" t="s">
        <v>215</v>
      </c>
      <c r="K1096" s="1" t="s">
        <v>160</v>
      </c>
      <c r="L1096" s="1" t="s">
        <v>216</v>
      </c>
      <c r="M1096" s="1" t="s">
        <v>131</v>
      </c>
      <c r="Q1096" s="1" t="s">
        <v>137</v>
      </c>
      <c r="R1096" s="1" t="s">
        <v>137</v>
      </c>
      <c r="S1096" s="1" t="s">
        <v>47</v>
      </c>
      <c r="T1096" s="1" t="s">
        <v>4301</v>
      </c>
      <c r="U1096" s="1" t="s">
        <v>1577</v>
      </c>
      <c r="V1096" s="1" t="s">
        <v>3858</v>
      </c>
      <c r="W1096" s="3">
        <v>43997.0</v>
      </c>
      <c r="X1096" s="3">
        <v>43997.0</v>
      </c>
    </row>
    <row r="1097">
      <c r="A1097" s="1" t="s">
        <v>15449</v>
      </c>
      <c r="B1097" s="1" t="s">
        <v>9700</v>
      </c>
      <c r="C1097" s="1" t="s">
        <v>9700</v>
      </c>
      <c r="D1097" s="1" t="s">
        <v>4293</v>
      </c>
      <c r="E1097" s="1" t="s">
        <v>9702</v>
      </c>
      <c r="F1097" s="1" t="s">
        <v>15450</v>
      </c>
      <c r="G1097" s="3">
        <v>45134.0</v>
      </c>
      <c r="H1097" s="3">
        <v>45322.0</v>
      </c>
      <c r="I1097" s="3">
        <v>45322.0</v>
      </c>
      <c r="J1097" s="1" t="s">
        <v>215</v>
      </c>
      <c r="K1097" s="1" t="s">
        <v>160</v>
      </c>
      <c r="L1097" s="1" t="s">
        <v>216</v>
      </c>
      <c r="M1097" s="1" t="s">
        <v>131</v>
      </c>
      <c r="Q1097" s="1" t="s">
        <v>137</v>
      </c>
      <c r="R1097" s="1" t="s">
        <v>137</v>
      </c>
      <c r="S1097" s="1" t="s">
        <v>47</v>
      </c>
      <c r="T1097" s="1" t="s">
        <v>4301</v>
      </c>
      <c r="U1097" s="1" t="s">
        <v>1577</v>
      </c>
      <c r="V1097" s="1" t="s">
        <v>3858</v>
      </c>
      <c r="W1097" s="3">
        <v>45322.0</v>
      </c>
      <c r="X1097" s="3">
        <v>45322.0</v>
      </c>
    </row>
    <row r="1098">
      <c r="A1098" s="1" t="s">
        <v>15451</v>
      </c>
      <c r="B1098" s="1" t="s">
        <v>5521</v>
      </c>
      <c r="C1098" s="1" t="s">
        <v>5521</v>
      </c>
      <c r="D1098" s="1" t="s">
        <v>4293</v>
      </c>
      <c r="E1098" s="1" t="s">
        <v>9709</v>
      </c>
      <c r="F1098" s="1" t="s">
        <v>15452</v>
      </c>
      <c r="G1098" s="3">
        <v>45265.0</v>
      </c>
      <c r="H1098" s="3">
        <v>45637.0</v>
      </c>
      <c r="I1098" s="3">
        <v>45637.0</v>
      </c>
      <c r="J1098" s="1" t="s">
        <v>215</v>
      </c>
      <c r="K1098" s="1" t="s">
        <v>160</v>
      </c>
      <c r="L1098" s="1" t="s">
        <v>216</v>
      </c>
      <c r="M1098" s="1" t="s">
        <v>131</v>
      </c>
      <c r="Q1098" s="1" t="s">
        <v>137</v>
      </c>
      <c r="R1098" s="1" t="s">
        <v>137</v>
      </c>
      <c r="S1098" s="1" t="s">
        <v>47</v>
      </c>
      <c r="T1098" s="1" t="s">
        <v>4301</v>
      </c>
      <c r="U1098" s="1" t="s">
        <v>1577</v>
      </c>
      <c r="V1098" s="1" t="s">
        <v>3858</v>
      </c>
      <c r="W1098" s="3">
        <v>45637.0</v>
      </c>
      <c r="X1098" s="3">
        <v>45637.0</v>
      </c>
    </row>
    <row r="1099">
      <c r="A1099" s="1" t="s">
        <v>15453</v>
      </c>
      <c r="B1099" s="1" t="s">
        <v>6649</v>
      </c>
      <c r="C1099" s="1" t="s">
        <v>6649</v>
      </c>
      <c r="D1099" s="1" t="s">
        <v>4293</v>
      </c>
      <c r="E1099" s="1" t="s">
        <v>9718</v>
      </c>
      <c r="F1099" s="1" t="s">
        <v>15454</v>
      </c>
      <c r="G1099" s="3">
        <v>44292.0</v>
      </c>
      <c r="H1099" s="3">
        <v>44292.0</v>
      </c>
      <c r="I1099" s="3">
        <v>44292.0</v>
      </c>
      <c r="J1099" s="1" t="s">
        <v>215</v>
      </c>
      <c r="K1099" s="1" t="s">
        <v>160</v>
      </c>
      <c r="L1099" s="1" t="s">
        <v>216</v>
      </c>
      <c r="M1099" s="1" t="s">
        <v>131</v>
      </c>
      <c r="Q1099" s="1" t="s">
        <v>137</v>
      </c>
      <c r="R1099" s="1" t="s">
        <v>137</v>
      </c>
      <c r="S1099" s="1" t="s">
        <v>47</v>
      </c>
      <c r="T1099" s="1" t="s">
        <v>4301</v>
      </c>
      <c r="U1099" s="1" t="s">
        <v>1577</v>
      </c>
      <c r="V1099" s="1" t="s">
        <v>3858</v>
      </c>
      <c r="W1099" s="3">
        <v>44292.0</v>
      </c>
      <c r="X1099" s="3">
        <v>44292.0</v>
      </c>
    </row>
    <row r="1100">
      <c r="A1100" s="1" t="s">
        <v>15455</v>
      </c>
      <c r="B1100" s="1" t="s">
        <v>8472</v>
      </c>
      <c r="C1100" s="1" t="s">
        <v>8472</v>
      </c>
      <c r="D1100" s="1" t="s">
        <v>4293</v>
      </c>
      <c r="E1100" s="1" t="s">
        <v>9724</v>
      </c>
      <c r="F1100" s="1" t="s">
        <v>15456</v>
      </c>
      <c r="G1100" s="3">
        <v>45777.0</v>
      </c>
      <c r="H1100" s="3">
        <v>45777.0</v>
      </c>
      <c r="I1100" s="3">
        <v>45777.0</v>
      </c>
      <c r="J1100" s="1" t="s">
        <v>215</v>
      </c>
      <c r="K1100" s="1" t="s">
        <v>160</v>
      </c>
      <c r="L1100" s="1" t="s">
        <v>216</v>
      </c>
      <c r="M1100" s="1" t="s">
        <v>131</v>
      </c>
      <c r="Q1100" s="1" t="s">
        <v>137</v>
      </c>
      <c r="R1100" s="1" t="s">
        <v>137</v>
      </c>
      <c r="S1100" s="1" t="s">
        <v>47</v>
      </c>
      <c r="T1100" s="1" t="s">
        <v>4301</v>
      </c>
      <c r="U1100" s="1" t="s">
        <v>1577</v>
      </c>
      <c r="V1100" s="1" t="s">
        <v>3858</v>
      </c>
      <c r="W1100" s="3">
        <v>45777.0</v>
      </c>
      <c r="X1100" s="3">
        <v>45777.0</v>
      </c>
    </row>
    <row r="1101">
      <c r="A1101" s="1" t="s">
        <v>15457</v>
      </c>
      <c r="B1101" s="1" t="s">
        <v>8472</v>
      </c>
      <c r="C1101" s="1" t="s">
        <v>8472</v>
      </c>
      <c r="D1101" s="1" t="s">
        <v>4293</v>
      </c>
      <c r="E1101" s="1" t="s">
        <v>9724</v>
      </c>
      <c r="F1101" s="1" t="s">
        <v>15458</v>
      </c>
      <c r="G1101" s="3">
        <v>45777.0</v>
      </c>
      <c r="H1101" s="3">
        <v>45777.0</v>
      </c>
      <c r="I1101" s="3">
        <v>45777.0</v>
      </c>
      <c r="J1101" s="1" t="s">
        <v>215</v>
      </c>
      <c r="K1101" s="1" t="s">
        <v>160</v>
      </c>
      <c r="L1101" s="1" t="s">
        <v>216</v>
      </c>
      <c r="M1101" s="1" t="s">
        <v>131</v>
      </c>
      <c r="Q1101" s="1" t="s">
        <v>137</v>
      </c>
      <c r="R1101" s="1" t="s">
        <v>137</v>
      </c>
      <c r="S1101" s="1" t="s">
        <v>47</v>
      </c>
      <c r="T1101" s="1" t="s">
        <v>4301</v>
      </c>
      <c r="U1101" s="1" t="s">
        <v>1577</v>
      </c>
      <c r="V1101" s="1" t="s">
        <v>4950</v>
      </c>
      <c r="W1101" s="3">
        <v>45777.0</v>
      </c>
      <c r="X1101" s="3">
        <v>45777.0</v>
      </c>
    </row>
    <row r="1102">
      <c r="A1102" s="1" t="s">
        <v>15459</v>
      </c>
      <c r="B1102" s="1" t="s">
        <v>4509</v>
      </c>
      <c r="C1102" s="1" t="s">
        <v>4509</v>
      </c>
      <c r="D1102" s="1" t="s">
        <v>4293</v>
      </c>
      <c r="E1102" s="1" t="s">
        <v>9730</v>
      </c>
      <c r="F1102" s="1" t="s">
        <v>15460</v>
      </c>
      <c r="G1102" s="3">
        <v>45531.0</v>
      </c>
      <c r="H1102" s="3">
        <v>45747.0</v>
      </c>
      <c r="I1102" s="3">
        <v>45747.0</v>
      </c>
      <c r="J1102" s="1" t="s">
        <v>215</v>
      </c>
      <c r="K1102" s="1" t="s">
        <v>160</v>
      </c>
      <c r="L1102" s="1" t="s">
        <v>216</v>
      </c>
      <c r="M1102" s="1" t="s">
        <v>131</v>
      </c>
      <c r="Q1102" s="1" t="s">
        <v>137</v>
      </c>
      <c r="R1102" s="1" t="s">
        <v>137</v>
      </c>
      <c r="S1102" s="1" t="s">
        <v>47</v>
      </c>
      <c r="T1102" s="1" t="s">
        <v>4301</v>
      </c>
      <c r="U1102" s="1" t="s">
        <v>1577</v>
      </c>
      <c r="V1102" s="1" t="s">
        <v>3858</v>
      </c>
      <c r="W1102" s="3">
        <v>45747.0</v>
      </c>
      <c r="X1102" s="3">
        <v>45747.0</v>
      </c>
    </row>
    <row r="1103">
      <c r="A1103" s="1" t="s">
        <v>15461</v>
      </c>
      <c r="B1103" s="1" t="s">
        <v>4509</v>
      </c>
      <c r="C1103" s="1" t="s">
        <v>4509</v>
      </c>
      <c r="D1103" s="1" t="s">
        <v>4293</v>
      </c>
      <c r="E1103" s="1" t="s">
        <v>9730</v>
      </c>
      <c r="F1103" s="1" t="s">
        <v>15462</v>
      </c>
      <c r="G1103" s="3">
        <v>45531.0</v>
      </c>
      <c r="H1103" s="3">
        <v>45747.0</v>
      </c>
      <c r="I1103" s="3">
        <v>45747.0</v>
      </c>
      <c r="J1103" s="1" t="s">
        <v>215</v>
      </c>
      <c r="K1103" s="1" t="s">
        <v>160</v>
      </c>
      <c r="L1103" s="1" t="s">
        <v>216</v>
      </c>
      <c r="M1103" s="1" t="s">
        <v>131</v>
      </c>
      <c r="Q1103" s="1" t="s">
        <v>137</v>
      </c>
      <c r="R1103" s="1" t="s">
        <v>137</v>
      </c>
      <c r="S1103" s="1" t="s">
        <v>47</v>
      </c>
      <c r="T1103" s="1" t="s">
        <v>4301</v>
      </c>
      <c r="U1103" s="1" t="s">
        <v>1577</v>
      </c>
      <c r="V1103" s="1" t="s">
        <v>4950</v>
      </c>
      <c r="W1103" s="3">
        <v>45747.0</v>
      </c>
      <c r="X1103" s="3">
        <v>45747.0</v>
      </c>
    </row>
    <row r="1104">
      <c r="A1104" s="1" t="s">
        <v>15463</v>
      </c>
      <c r="B1104" s="1" t="s">
        <v>5135</v>
      </c>
      <c r="C1104" s="1" t="s">
        <v>5135</v>
      </c>
      <c r="D1104" s="1" t="s">
        <v>4293</v>
      </c>
      <c r="E1104" s="1" t="s">
        <v>9738</v>
      </c>
      <c r="F1104" s="1" t="s">
        <v>15464</v>
      </c>
      <c r="G1104" s="3">
        <v>44893.0</v>
      </c>
      <c r="H1104" s="3">
        <v>45440.0</v>
      </c>
      <c r="I1104" s="3">
        <v>45440.0</v>
      </c>
      <c r="J1104" s="1" t="s">
        <v>215</v>
      </c>
      <c r="K1104" s="1" t="s">
        <v>160</v>
      </c>
      <c r="L1104" s="1" t="s">
        <v>216</v>
      </c>
      <c r="M1104" s="1" t="s">
        <v>131</v>
      </c>
      <c r="Q1104" s="1" t="s">
        <v>137</v>
      </c>
      <c r="R1104" s="1" t="s">
        <v>137</v>
      </c>
      <c r="S1104" s="1" t="s">
        <v>47</v>
      </c>
      <c r="T1104" s="1" t="s">
        <v>4301</v>
      </c>
      <c r="U1104" s="1" t="s">
        <v>1577</v>
      </c>
      <c r="V1104" s="1" t="s">
        <v>3858</v>
      </c>
      <c r="W1104" s="3">
        <v>45440.0</v>
      </c>
      <c r="X1104" s="3">
        <v>45440.0</v>
      </c>
    </row>
    <row r="1105">
      <c r="A1105" s="1" t="s">
        <v>15471</v>
      </c>
      <c r="B1105" s="1" t="s">
        <v>5135</v>
      </c>
      <c r="C1105" s="1" t="s">
        <v>5135</v>
      </c>
      <c r="D1105" s="1" t="s">
        <v>4293</v>
      </c>
      <c r="E1105" s="1" t="s">
        <v>9738</v>
      </c>
      <c r="F1105" s="1" t="s">
        <v>15474</v>
      </c>
      <c r="G1105" s="3">
        <v>44893.0</v>
      </c>
      <c r="H1105" s="3">
        <v>45440.0</v>
      </c>
      <c r="I1105" s="3">
        <v>45440.0</v>
      </c>
      <c r="J1105" s="1" t="s">
        <v>215</v>
      </c>
      <c r="K1105" s="1" t="s">
        <v>160</v>
      </c>
      <c r="L1105" s="1" t="s">
        <v>216</v>
      </c>
      <c r="M1105" s="1" t="s">
        <v>131</v>
      </c>
      <c r="Q1105" s="1" t="s">
        <v>137</v>
      </c>
      <c r="R1105" s="1" t="s">
        <v>137</v>
      </c>
      <c r="S1105" s="1" t="s">
        <v>47</v>
      </c>
      <c r="T1105" s="1" t="s">
        <v>4301</v>
      </c>
      <c r="U1105" s="1" t="s">
        <v>1577</v>
      </c>
      <c r="V1105" s="1" t="s">
        <v>4950</v>
      </c>
      <c r="W1105" s="3">
        <v>45440.0</v>
      </c>
      <c r="X1105" s="3">
        <v>45440.0</v>
      </c>
    </row>
    <row r="1106">
      <c r="A1106" s="1" t="s">
        <v>15475</v>
      </c>
      <c r="B1106" s="1" t="s">
        <v>4789</v>
      </c>
      <c r="C1106" s="1" t="s">
        <v>4789</v>
      </c>
      <c r="D1106" s="1" t="s">
        <v>4293</v>
      </c>
      <c r="E1106" s="1" t="s">
        <v>9456</v>
      </c>
      <c r="F1106" s="1" t="s">
        <v>15481</v>
      </c>
      <c r="G1106" s="3">
        <v>45833.0</v>
      </c>
      <c r="H1106" s="3">
        <v>46346.0</v>
      </c>
      <c r="I1106" s="3"/>
      <c r="J1106" s="1" t="s">
        <v>124</v>
      </c>
      <c r="K1106" s="1" t="s">
        <v>160</v>
      </c>
      <c r="L1106" s="1" t="s">
        <v>460</v>
      </c>
      <c r="M1106" s="1" t="s">
        <v>131</v>
      </c>
      <c r="O1106" s="1" t="s">
        <v>15482</v>
      </c>
      <c r="Q1106" s="1" t="s">
        <v>137</v>
      </c>
      <c r="R1106" s="1" t="s">
        <v>137</v>
      </c>
      <c r="S1106" s="1" t="s">
        <v>47</v>
      </c>
      <c r="T1106" s="1" t="s">
        <v>4301</v>
      </c>
      <c r="U1106" s="1" t="s">
        <v>1577</v>
      </c>
      <c r="V1106" s="1" t="s">
        <v>3858</v>
      </c>
      <c r="W1106" s="3">
        <v>46346.0</v>
      </c>
      <c r="X1106" s="3"/>
    </row>
    <row r="1107">
      <c r="A1107" s="1" t="s">
        <v>15486</v>
      </c>
      <c r="B1107" s="1" t="s">
        <v>4789</v>
      </c>
      <c r="C1107" s="1" t="s">
        <v>4789</v>
      </c>
      <c r="D1107" s="1" t="s">
        <v>4293</v>
      </c>
      <c r="E1107" s="1" t="s">
        <v>9456</v>
      </c>
      <c r="F1107" s="1" t="s">
        <v>15487</v>
      </c>
      <c r="G1107" s="3">
        <v>45833.0</v>
      </c>
      <c r="H1107" s="3">
        <v>46346.0</v>
      </c>
      <c r="I1107" s="3"/>
      <c r="J1107" s="1" t="s">
        <v>124</v>
      </c>
      <c r="K1107" s="1" t="s">
        <v>160</v>
      </c>
      <c r="L1107" s="1" t="s">
        <v>460</v>
      </c>
      <c r="M1107" s="1" t="s">
        <v>131</v>
      </c>
      <c r="O1107" s="1" t="s">
        <v>15490</v>
      </c>
      <c r="Q1107" s="1" t="s">
        <v>137</v>
      </c>
      <c r="R1107" s="1" t="s">
        <v>137</v>
      </c>
      <c r="S1107" s="1" t="s">
        <v>47</v>
      </c>
      <c r="T1107" s="1" t="s">
        <v>4301</v>
      </c>
      <c r="U1107" s="1" t="s">
        <v>1577</v>
      </c>
      <c r="V1107" s="1" t="s">
        <v>4950</v>
      </c>
      <c r="W1107" s="3">
        <v>46346.0</v>
      </c>
      <c r="X1107" s="3"/>
    </row>
    <row r="1108">
      <c r="A1108" s="1" t="s">
        <v>15491</v>
      </c>
      <c r="B1108" s="1" t="s">
        <v>9763</v>
      </c>
      <c r="C1108" s="1" t="s">
        <v>9763</v>
      </c>
      <c r="D1108" s="1" t="s">
        <v>4293</v>
      </c>
      <c r="E1108" s="1" t="s">
        <v>9765</v>
      </c>
      <c r="F1108" s="1" t="s">
        <v>15492</v>
      </c>
      <c r="G1108" s="3">
        <v>45106.0</v>
      </c>
      <c r="H1108" s="3">
        <v>45106.0</v>
      </c>
      <c r="I1108" s="3">
        <v>45106.0</v>
      </c>
      <c r="J1108" s="1" t="s">
        <v>215</v>
      </c>
      <c r="K1108" s="1" t="s">
        <v>160</v>
      </c>
      <c r="L1108" s="1" t="s">
        <v>216</v>
      </c>
      <c r="M1108" s="1" t="s">
        <v>131</v>
      </c>
      <c r="Q1108" s="1" t="s">
        <v>137</v>
      </c>
      <c r="R1108" s="1" t="s">
        <v>137</v>
      </c>
      <c r="S1108" s="1" t="s">
        <v>47</v>
      </c>
      <c r="T1108" s="1" t="s">
        <v>4301</v>
      </c>
      <c r="U1108" s="1" t="s">
        <v>1577</v>
      </c>
      <c r="V1108" s="1" t="s">
        <v>7334</v>
      </c>
      <c r="W1108" s="3">
        <v>45106.0</v>
      </c>
      <c r="X1108" s="3">
        <v>45106.0</v>
      </c>
    </row>
    <row r="1109">
      <c r="A1109" s="1" t="s">
        <v>15493</v>
      </c>
      <c r="B1109" s="1" t="s">
        <v>9123</v>
      </c>
      <c r="C1109" s="1" t="s">
        <v>9123</v>
      </c>
      <c r="D1109" s="1" t="s">
        <v>4293</v>
      </c>
      <c r="E1109" s="1" t="s">
        <v>9776</v>
      </c>
      <c r="F1109" s="1" t="s">
        <v>15494</v>
      </c>
      <c r="G1109" s="3">
        <v>43992.0</v>
      </c>
      <c r="H1109" s="3">
        <v>44036.0</v>
      </c>
      <c r="I1109" s="3">
        <v>44036.0</v>
      </c>
      <c r="J1109" s="1" t="s">
        <v>215</v>
      </c>
      <c r="K1109" s="1" t="s">
        <v>160</v>
      </c>
      <c r="L1109" s="1" t="s">
        <v>216</v>
      </c>
      <c r="M1109" s="1" t="s">
        <v>131</v>
      </c>
      <c r="Q1109" s="1" t="s">
        <v>137</v>
      </c>
      <c r="R1109" s="1" t="s">
        <v>137</v>
      </c>
      <c r="S1109" s="1" t="s">
        <v>47</v>
      </c>
      <c r="T1109" s="1" t="s">
        <v>4301</v>
      </c>
      <c r="U1109" s="1" t="s">
        <v>1577</v>
      </c>
      <c r="V1109" s="1" t="s">
        <v>3858</v>
      </c>
      <c r="W1109" s="3">
        <v>44036.0</v>
      </c>
      <c r="X1109" s="3">
        <v>44036.0</v>
      </c>
    </row>
    <row r="1110">
      <c r="A1110" s="1" t="s">
        <v>15495</v>
      </c>
      <c r="B1110" s="1" t="s">
        <v>7548</v>
      </c>
      <c r="C1110" s="1" t="s">
        <v>7548</v>
      </c>
      <c r="D1110" s="1" t="s">
        <v>4293</v>
      </c>
      <c r="E1110" s="1" t="s">
        <v>9783</v>
      </c>
      <c r="F1110" s="1" t="s">
        <v>15496</v>
      </c>
      <c r="G1110" s="3">
        <v>44165.0</v>
      </c>
      <c r="H1110" s="3">
        <v>44321.0</v>
      </c>
      <c r="I1110" s="3">
        <v>44321.0</v>
      </c>
      <c r="J1110" s="1" t="s">
        <v>215</v>
      </c>
      <c r="K1110" s="1" t="s">
        <v>160</v>
      </c>
      <c r="L1110" s="1" t="s">
        <v>216</v>
      </c>
      <c r="M1110" s="1" t="s">
        <v>131</v>
      </c>
      <c r="Q1110" s="1" t="s">
        <v>137</v>
      </c>
      <c r="R1110" s="1" t="s">
        <v>137</v>
      </c>
      <c r="S1110" s="1" t="s">
        <v>47</v>
      </c>
      <c r="T1110" s="1" t="s">
        <v>4301</v>
      </c>
      <c r="U1110" s="1" t="s">
        <v>1577</v>
      </c>
      <c r="V1110" s="1" t="s">
        <v>3858</v>
      </c>
      <c r="W1110" s="3">
        <v>44321.0</v>
      </c>
      <c r="X1110" s="3">
        <v>44321.0</v>
      </c>
    </row>
    <row r="1111">
      <c r="A1111" s="1" t="s">
        <v>15497</v>
      </c>
      <c r="B1111" s="1" t="s">
        <v>7548</v>
      </c>
      <c r="C1111" s="1" t="s">
        <v>7548</v>
      </c>
      <c r="D1111" s="1" t="s">
        <v>4293</v>
      </c>
      <c r="E1111" s="1" t="s">
        <v>9783</v>
      </c>
      <c r="F1111" s="1" t="s">
        <v>15498</v>
      </c>
      <c r="G1111" s="3">
        <v>44165.0</v>
      </c>
      <c r="H1111" s="3">
        <v>44321.0</v>
      </c>
      <c r="I1111" s="3">
        <v>44321.0</v>
      </c>
      <c r="J1111" s="1" t="s">
        <v>215</v>
      </c>
      <c r="K1111" s="1" t="s">
        <v>160</v>
      </c>
      <c r="L1111" s="1" t="s">
        <v>216</v>
      </c>
      <c r="M1111" s="1" t="s">
        <v>131</v>
      </c>
      <c r="Q1111" s="1" t="s">
        <v>137</v>
      </c>
      <c r="R1111" s="1" t="s">
        <v>137</v>
      </c>
      <c r="S1111" s="1" t="s">
        <v>47</v>
      </c>
      <c r="T1111" s="1" t="s">
        <v>4301</v>
      </c>
      <c r="U1111" s="1" t="s">
        <v>1577</v>
      </c>
      <c r="V1111" s="1" t="s">
        <v>4950</v>
      </c>
      <c r="W1111" s="3">
        <v>44321.0</v>
      </c>
      <c r="X1111" s="3">
        <v>44321.0</v>
      </c>
    </row>
    <row r="1112">
      <c r="A1112" s="1" t="s">
        <v>15499</v>
      </c>
      <c r="B1112" s="1" t="s">
        <v>9791</v>
      </c>
      <c r="C1112" s="1" t="s">
        <v>9791</v>
      </c>
      <c r="D1112" s="1" t="s">
        <v>4293</v>
      </c>
      <c r="E1112" s="1" t="s">
        <v>9794</v>
      </c>
      <c r="F1112" s="1" t="s">
        <v>15500</v>
      </c>
      <c r="G1112" s="3">
        <v>45548.0</v>
      </c>
      <c r="H1112" s="3">
        <v>45602.0</v>
      </c>
      <c r="I1112" s="3">
        <v>45602.0</v>
      </c>
      <c r="J1112" s="1" t="s">
        <v>215</v>
      </c>
      <c r="K1112" s="1" t="s">
        <v>160</v>
      </c>
      <c r="L1112" s="1" t="s">
        <v>216</v>
      </c>
      <c r="M1112" s="1" t="s">
        <v>131</v>
      </c>
      <c r="Q1112" s="1" t="s">
        <v>137</v>
      </c>
      <c r="R1112" s="1" t="s">
        <v>137</v>
      </c>
      <c r="S1112" s="1" t="s">
        <v>47</v>
      </c>
      <c r="T1112" s="1" t="s">
        <v>4301</v>
      </c>
      <c r="U1112" s="1" t="s">
        <v>1577</v>
      </c>
      <c r="V1112" s="1" t="s">
        <v>4679</v>
      </c>
      <c r="W1112" s="3">
        <v>45602.0</v>
      </c>
      <c r="X1112" s="3">
        <v>45602.0</v>
      </c>
    </row>
    <row r="1113">
      <c r="A1113" s="1" t="s">
        <v>15501</v>
      </c>
      <c r="B1113" s="1" t="s">
        <v>9791</v>
      </c>
      <c r="C1113" s="1" t="s">
        <v>9791</v>
      </c>
      <c r="D1113" s="1" t="s">
        <v>4293</v>
      </c>
      <c r="E1113" s="1" t="s">
        <v>9794</v>
      </c>
      <c r="F1113" s="1" t="s">
        <v>15502</v>
      </c>
      <c r="G1113" s="3">
        <v>45548.0</v>
      </c>
      <c r="H1113" s="3">
        <v>45602.0</v>
      </c>
      <c r="I1113" s="3">
        <v>45602.0</v>
      </c>
      <c r="J1113" s="1" t="s">
        <v>215</v>
      </c>
      <c r="K1113" s="1" t="s">
        <v>160</v>
      </c>
      <c r="L1113" s="1" t="s">
        <v>216</v>
      </c>
      <c r="M1113" s="1" t="s">
        <v>131</v>
      </c>
      <c r="Q1113" s="1" t="s">
        <v>137</v>
      </c>
      <c r="R1113" s="1" t="s">
        <v>137</v>
      </c>
      <c r="S1113" s="1" t="s">
        <v>47</v>
      </c>
      <c r="T1113" s="1" t="s">
        <v>4301</v>
      </c>
      <c r="U1113" s="1" t="s">
        <v>1577</v>
      </c>
      <c r="V1113" s="1" t="s">
        <v>4950</v>
      </c>
      <c r="W1113" s="3">
        <v>45602.0</v>
      </c>
      <c r="X1113" s="3">
        <v>45602.0</v>
      </c>
    </row>
    <row r="1114">
      <c r="A1114" s="1" t="s">
        <v>15503</v>
      </c>
      <c r="B1114" s="1" t="s">
        <v>9791</v>
      </c>
      <c r="C1114" s="1" t="s">
        <v>9791</v>
      </c>
      <c r="D1114" s="1" t="s">
        <v>4293</v>
      </c>
      <c r="E1114" s="1" t="s">
        <v>9794</v>
      </c>
      <c r="F1114" s="1" t="s">
        <v>15504</v>
      </c>
      <c r="G1114" s="3">
        <v>45548.0</v>
      </c>
      <c r="H1114" s="3">
        <v>45602.0</v>
      </c>
      <c r="I1114" s="3">
        <v>45602.0</v>
      </c>
      <c r="J1114" s="1" t="s">
        <v>215</v>
      </c>
      <c r="K1114" s="1" t="s">
        <v>160</v>
      </c>
      <c r="L1114" s="1" t="s">
        <v>216</v>
      </c>
      <c r="M1114" s="1" t="s">
        <v>131</v>
      </c>
      <c r="Q1114" s="1" t="s">
        <v>137</v>
      </c>
      <c r="R1114" s="1" t="s">
        <v>137</v>
      </c>
      <c r="S1114" s="1" t="s">
        <v>47</v>
      </c>
      <c r="T1114" s="1" t="s">
        <v>4301</v>
      </c>
      <c r="U1114" s="1" t="s">
        <v>1577</v>
      </c>
      <c r="V1114" s="1" t="s">
        <v>5104</v>
      </c>
      <c r="W1114" s="3">
        <v>45602.0</v>
      </c>
      <c r="X1114" s="3">
        <v>45602.0</v>
      </c>
    </row>
    <row r="1115">
      <c r="A1115" s="1" t="s">
        <v>15505</v>
      </c>
      <c r="B1115" s="1" t="s">
        <v>9791</v>
      </c>
      <c r="C1115" s="1" t="s">
        <v>9791</v>
      </c>
      <c r="D1115" s="1" t="s">
        <v>4293</v>
      </c>
      <c r="E1115" s="1" t="s">
        <v>9794</v>
      </c>
      <c r="F1115" s="1" t="s">
        <v>15506</v>
      </c>
      <c r="G1115" s="3">
        <v>45548.0</v>
      </c>
      <c r="H1115" s="3">
        <v>45602.0</v>
      </c>
      <c r="I1115" s="3">
        <v>45602.0</v>
      </c>
      <c r="J1115" s="1" t="s">
        <v>215</v>
      </c>
      <c r="K1115" s="1" t="s">
        <v>160</v>
      </c>
      <c r="L1115" s="1" t="s">
        <v>216</v>
      </c>
      <c r="M1115" s="1" t="s">
        <v>131</v>
      </c>
      <c r="Q1115" s="1" t="s">
        <v>137</v>
      </c>
      <c r="R1115" s="1" t="s">
        <v>137</v>
      </c>
      <c r="S1115" s="1" t="s">
        <v>47</v>
      </c>
      <c r="T1115" s="1" t="s">
        <v>4301</v>
      </c>
      <c r="U1115" s="1" t="s">
        <v>1577</v>
      </c>
      <c r="V1115" s="1" t="s">
        <v>5120</v>
      </c>
      <c r="W1115" s="3">
        <v>45602.0</v>
      </c>
      <c r="X1115" s="3">
        <v>45602.0</v>
      </c>
    </row>
    <row r="1116">
      <c r="A1116" s="1" t="s">
        <v>15507</v>
      </c>
      <c r="B1116" s="1" t="s">
        <v>9230</v>
      </c>
      <c r="C1116" s="1" t="s">
        <v>9230</v>
      </c>
      <c r="D1116" s="1" t="s">
        <v>4293</v>
      </c>
      <c r="E1116" s="1" t="s">
        <v>9801</v>
      </c>
      <c r="F1116" s="1" t="s">
        <v>15508</v>
      </c>
      <c r="G1116" s="3">
        <v>45485.0</v>
      </c>
      <c r="H1116" s="3">
        <v>45923.0</v>
      </c>
      <c r="I1116" s="3">
        <v>45923.0</v>
      </c>
      <c r="J1116" s="1" t="s">
        <v>215</v>
      </c>
      <c r="K1116" s="1" t="s">
        <v>160</v>
      </c>
      <c r="L1116" s="1" t="s">
        <v>216</v>
      </c>
      <c r="M1116" s="1" t="s">
        <v>131</v>
      </c>
      <c r="Q1116" s="1" t="s">
        <v>137</v>
      </c>
      <c r="R1116" s="1" t="s">
        <v>137</v>
      </c>
      <c r="S1116" s="1" t="s">
        <v>47</v>
      </c>
      <c r="T1116" s="1" t="s">
        <v>4301</v>
      </c>
      <c r="U1116" s="1" t="s">
        <v>1577</v>
      </c>
      <c r="V1116" s="1" t="s">
        <v>3858</v>
      </c>
      <c r="W1116" s="3">
        <v>45923.0</v>
      </c>
      <c r="X1116" s="3">
        <v>45923.0</v>
      </c>
    </row>
    <row r="1117">
      <c r="A1117" s="1" t="s">
        <v>15509</v>
      </c>
      <c r="B1117" s="1" t="s">
        <v>9807</v>
      </c>
      <c r="C1117" s="1" t="s">
        <v>9807</v>
      </c>
      <c r="D1117" s="1" t="s">
        <v>4293</v>
      </c>
      <c r="E1117" s="1" t="s">
        <v>9810</v>
      </c>
      <c r="F1117" s="1" t="s">
        <v>15510</v>
      </c>
      <c r="G1117" s="3">
        <v>44483.0</v>
      </c>
      <c r="H1117" s="3">
        <v>44622.0</v>
      </c>
      <c r="I1117" s="3">
        <v>44622.0</v>
      </c>
      <c r="J1117" s="1" t="s">
        <v>215</v>
      </c>
      <c r="K1117" s="1" t="s">
        <v>160</v>
      </c>
      <c r="L1117" s="1" t="s">
        <v>216</v>
      </c>
      <c r="M1117" s="1" t="s">
        <v>131</v>
      </c>
      <c r="Q1117" s="1" t="s">
        <v>137</v>
      </c>
      <c r="R1117" s="1" t="s">
        <v>137</v>
      </c>
      <c r="S1117" s="1" t="s">
        <v>47</v>
      </c>
      <c r="T1117" s="1" t="s">
        <v>4301</v>
      </c>
      <c r="U1117" s="1" t="s">
        <v>1577</v>
      </c>
      <c r="V1117" s="1" t="s">
        <v>3858</v>
      </c>
      <c r="W1117" s="3">
        <v>44622.0</v>
      </c>
      <c r="X1117" s="3">
        <v>44622.0</v>
      </c>
    </row>
    <row r="1118">
      <c r="A1118" s="1" t="s">
        <v>15511</v>
      </c>
      <c r="B1118" s="1" t="s">
        <v>9819</v>
      </c>
      <c r="C1118" s="1" t="s">
        <v>9819</v>
      </c>
      <c r="D1118" s="1" t="s">
        <v>4293</v>
      </c>
      <c r="E1118" s="1" t="s">
        <v>9821</v>
      </c>
      <c r="F1118" s="1" t="s">
        <v>15512</v>
      </c>
      <c r="G1118" s="3">
        <v>43882.0</v>
      </c>
      <c r="H1118" s="3">
        <v>44053.0</v>
      </c>
      <c r="I1118" s="3">
        <v>44053.0</v>
      </c>
      <c r="J1118" s="1" t="s">
        <v>215</v>
      </c>
      <c r="K1118" s="1" t="s">
        <v>160</v>
      </c>
      <c r="L1118" s="1" t="s">
        <v>216</v>
      </c>
      <c r="M1118" s="1" t="s">
        <v>131</v>
      </c>
      <c r="Q1118" s="1" t="s">
        <v>137</v>
      </c>
      <c r="R1118" s="1" t="s">
        <v>137</v>
      </c>
      <c r="S1118" s="1" t="s">
        <v>47</v>
      </c>
      <c r="T1118" s="1" t="s">
        <v>4301</v>
      </c>
      <c r="U1118" s="1" t="s">
        <v>1577</v>
      </c>
      <c r="V1118" s="1" t="s">
        <v>3858</v>
      </c>
      <c r="W1118" s="3">
        <v>44053.0</v>
      </c>
      <c r="X1118" s="3">
        <v>44053.0</v>
      </c>
    </row>
    <row r="1119">
      <c r="A1119" s="1" t="s">
        <v>15513</v>
      </c>
      <c r="B1119" s="1" t="s">
        <v>9819</v>
      </c>
      <c r="C1119" s="1" t="s">
        <v>9819</v>
      </c>
      <c r="D1119" s="1" t="s">
        <v>4293</v>
      </c>
      <c r="E1119" s="1" t="s">
        <v>9821</v>
      </c>
      <c r="F1119" s="1" t="s">
        <v>15514</v>
      </c>
      <c r="G1119" s="3">
        <v>43882.0</v>
      </c>
      <c r="H1119" s="3">
        <v>44053.0</v>
      </c>
      <c r="I1119" s="3">
        <v>44053.0</v>
      </c>
      <c r="J1119" s="1" t="s">
        <v>215</v>
      </c>
      <c r="K1119" s="1" t="s">
        <v>160</v>
      </c>
      <c r="L1119" s="1" t="s">
        <v>216</v>
      </c>
      <c r="M1119" s="1" t="s">
        <v>131</v>
      </c>
      <c r="Q1119" s="1" t="s">
        <v>137</v>
      </c>
      <c r="R1119" s="1" t="s">
        <v>137</v>
      </c>
      <c r="S1119" s="1" t="s">
        <v>47</v>
      </c>
      <c r="T1119" s="1" t="s">
        <v>4301</v>
      </c>
      <c r="U1119" s="1" t="s">
        <v>1577</v>
      </c>
      <c r="V1119" s="1" t="s">
        <v>4679</v>
      </c>
      <c r="W1119" s="3">
        <v>44053.0</v>
      </c>
      <c r="X1119" s="3">
        <v>44053.0</v>
      </c>
    </row>
    <row r="1120">
      <c r="A1120" s="1" t="s">
        <v>15515</v>
      </c>
      <c r="B1120" s="1" t="s">
        <v>9819</v>
      </c>
      <c r="C1120" s="1" t="s">
        <v>9819</v>
      </c>
      <c r="D1120" s="1" t="s">
        <v>4293</v>
      </c>
      <c r="E1120" s="1" t="s">
        <v>9821</v>
      </c>
      <c r="F1120" s="1" t="s">
        <v>15516</v>
      </c>
      <c r="G1120" s="3">
        <v>43882.0</v>
      </c>
      <c r="H1120" s="3">
        <v>44053.0</v>
      </c>
      <c r="I1120" s="3">
        <v>44053.0</v>
      </c>
      <c r="J1120" s="1" t="s">
        <v>215</v>
      </c>
      <c r="K1120" s="1" t="s">
        <v>160</v>
      </c>
      <c r="L1120" s="1" t="s">
        <v>216</v>
      </c>
      <c r="M1120" s="1" t="s">
        <v>131</v>
      </c>
      <c r="Q1120" s="1" t="s">
        <v>137</v>
      </c>
      <c r="R1120" s="1" t="s">
        <v>137</v>
      </c>
      <c r="S1120" s="1" t="s">
        <v>47</v>
      </c>
      <c r="T1120" s="1" t="s">
        <v>4301</v>
      </c>
      <c r="U1120" s="1" t="s">
        <v>1577</v>
      </c>
      <c r="V1120" s="1" t="s">
        <v>7314</v>
      </c>
      <c r="W1120" s="3">
        <v>44053.0</v>
      </c>
      <c r="X1120" s="3">
        <v>44053.0</v>
      </c>
    </row>
    <row r="1121">
      <c r="A1121" s="1" t="s">
        <v>15517</v>
      </c>
      <c r="B1121" s="1" t="s">
        <v>9819</v>
      </c>
      <c r="C1121" s="1" t="s">
        <v>9819</v>
      </c>
      <c r="D1121" s="1" t="s">
        <v>4293</v>
      </c>
      <c r="E1121" s="1" t="s">
        <v>9821</v>
      </c>
      <c r="F1121" s="1" t="s">
        <v>15518</v>
      </c>
      <c r="G1121" s="3">
        <v>43882.0</v>
      </c>
      <c r="H1121" s="3">
        <v>44053.0</v>
      </c>
      <c r="I1121" s="3">
        <v>44053.0</v>
      </c>
      <c r="J1121" s="1" t="s">
        <v>215</v>
      </c>
      <c r="K1121" s="1" t="s">
        <v>160</v>
      </c>
      <c r="L1121" s="1" t="s">
        <v>216</v>
      </c>
      <c r="M1121" s="1" t="s">
        <v>131</v>
      </c>
      <c r="Q1121" s="1" t="s">
        <v>137</v>
      </c>
      <c r="R1121" s="1" t="s">
        <v>137</v>
      </c>
      <c r="S1121" s="1" t="s">
        <v>47</v>
      </c>
      <c r="T1121" s="1" t="s">
        <v>4301</v>
      </c>
      <c r="U1121" s="1" t="s">
        <v>1577</v>
      </c>
      <c r="V1121" s="1" t="s">
        <v>4950</v>
      </c>
      <c r="W1121" s="3">
        <v>44053.0</v>
      </c>
      <c r="X1121" s="3">
        <v>44053.0</v>
      </c>
    </row>
    <row r="1122">
      <c r="A1122" s="1" t="s">
        <v>15519</v>
      </c>
      <c r="B1122" s="1" t="s">
        <v>9819</v>
      </c>
      <c r="C1122" s="1" t="s">
        <v>9819</v>
      </c>
      <c r="D1122" s="1" t="s">
        <v>4293</v>
      </c>
      <c r="E1122" s="1" t="s">
        <v>9821</v>
      </c>
      <c r="F1122" s="1" t="s">
        <v>15520</v>
      </c>
      <c r="G1122" s="3">
        <v>43882.0</v>
      </c>
      <c r="H1122" s="3">
        <v>44053.0</v>
      </c>
      <c r="I1122" s="3">
        <v>44053.0</v>
      </c>
      <c r="J1122" s="1" t="s">
        <v>215</v>
      </c>
      <c r="K1122" s="1" t="s">
        <v>160</v>
      </c>
      <c r="L1122" s="1" t="s">
        <v>216</v>
      </c>
      <c r="M1122" s="1" t="s">
        <v>131</v>
      </c>
      <c r="Q1122" s="1" t="s">
        <v>137</v>
      </c>
      <c r="R1122" s="1" t="s">
        <v>137</v>
      </c>
      <c r="S1122" s="1" t="s">
        <v>47</v>
      </c>
      <c r="T1122" s="1" t="s">
        <v>4301</v>
      </c>
      <c r="U1122" s="1" t="s">
        <v>1577</v>
      </c>
      <c r="V1122" s="1" t="s">
        <v>5104</v>
      </c>
      <c r="W1122" s="3">
        <v>44053.0</v>
      </c>
      <c r="X1122" s="3">
        <v>44053.0</v>
      </c>
    </row>
    <row r="1123">
      <c r="A1123" s="1" t="s">
        <v>15521</v>
      </c>
      <c r="B1123" s="1" t="s">
        <v>9819</v>
      </c>
      <c r="C1123" s="1" t="s">
        <v>9819</v>
      </c>
      <c r="D1123" s="1" t="s">
        <v>4293</v>
      </c>
      <c r="E1123" s="1" t="s">
        <v>9821</v>
      </c>
      <c r="F1123" s="1" t="s">
        <v>15522</v>
      </c>
      <c r="G1123" s="3">
        <v>43882.0</v>
      </c>
      <c r="H1123" s="3">
        <v>44053.0</v>
      </c>
      <c r="I1123" s="3">
        <v>44053.0</v>
      </c>
      <c r="J1123" s="1" t="s">
        <v>215</v>
      </c>
      <c r="K1123" s="1" t="s">
        <v>160</v>
      </c>
      <c r="L1123" s="1" t="s">
        <v>216</v>
      </c>
      <c r="M1123" s="1" t="s">
        <v>131</v>
      </c>
      <c r="Q1123" s="1" t="s">
        <v>137</v>
      </c>
      <c r="R1123" s="1" t="s">
        <v>137</v>
      </c>
      <c r="S1123" s="1" t="s">
        <v>47</v>
      </c>
      <c r="T1123" s="1" t="s">
        <v>4301</v>
      </c>
      <c r="U1123" s="1" t="s">
        <v>1577</v>
      </c>
      <c r="V1123" s="1" t="s">
        <v>5120</v>
      </c>
      <c r="W1123" s="3">
        <v>44053.0</v>
      </c>
      <c r="X1123" s="3">
        <v>44053.0</v>
      </c>
    </row>
    <row r="1124">
      <c r="A1124" s="1" t="s">
        <v>15523</v>
      </c>
      <c r="B1124" s="1" t="s">
        <v>8839</v>
      </c>
      <c r="C1124" s="1" t="s">
        <v>8839</v>
      </c>
      <c r="D1124" s="1" t="s">
        <v>4293</v>
      </c>
      <c r="E1124" s="1" t="s">
        <v>7798</v>
      </c>
      <c r="F1124" s="1" t="s">
        <v>15524</v>
      </c>
      <c r="G1124" s="3">
        <v>43671.0</v>
      </c>
      <c r="H1124" s="3">
        <v>43679.0</v>
      </c>
      <c r="I1124" s="3">
        <v>43679.0</v>
      </c>
      <c r="J1124" s="1" t="s">
        <v>215</v>
      </c>
      <c r="K1124" s="1" t="s">
        <v>160</v>
      </c>
      <c r="L1124" s="1" t="s">
        <v>216</v>
      </c>
      <c r="M1124" s="1" t="s">
        <v>131</v>
      </c>
      <c r="Q1124" s="1" t="s">
        <v>137</v>
      </c>
      <c r="R1124" s="1" t="s">
        <v>137</v>
      </c>
      <c r="S1124" s="1" t="s">
        <v>47</v>
      </c>
      <c r="T1124" s="1" t="s">
        <v>4301</v>
      </c>
      <c r="U1124" s="1" t="s">
        <v>1577</v>
      </c>
      <c r="V1124" s="1" t="s">
        <v>3858</v>
      </c>
      <c r="W1124" s="3">
        <v>43679.0</v>
      </c>
      <c r="X1124" s="3">
        <v>43679.0</v>
      </c>
    </row>
    <row r="1125">
      <c r="A1125" s="1" t="s">
        <v>15525</v>
      </c>
      <c r="B1125" s="1" t="s">
        <v>9841</v>
      </c>
      <c r="C1125" s="1" t="s">
        <v>9841</v>
      </c>
      <c r="D1125" s="1" t="s">
        <v>4293</v>
      </c>
      <c r="E1125" s="1" t="s">
        <v>9843</v>
      </c>
      <c r="F1125" s="1" t="s">
        <v>15526</v>
      </c>
      <c r="G1125" s="3">
        <v>43276.0</v>
      </c>
      <c r="H1125" s="3">
        <v>43339.0</v>
      </c>
      <c r="I1125" s="3">
        <v>43339.0</v>
      </c>
      <c r="J1125" s="1" t="s">
        <v>215</v>
      </c>
      <c r="K1125" s="1" t="s">
        <v>160</v>
      </c>
      <c r="L1125" s="1" t="s">
        <v>216</v>
      </c>
      <c r="M1125" s="1" t="s">
        <v>131</v>
      </c>
      <c r="Q1125" s="1" t="s">
        <v>137</v>
      </c>
      <c r="R1125" s="1" t="s">
        <v>137</v>
      </c>
      <c r="S1125" s="1" t="s">
        <v>47</v>
      </c>
      <c r="T1125" s="1" t="s">
        <v>4301</v>
      </c>
      <c r="U1125" s="1" t="s">
        <v>1577</v>
      </c>
      <c r="V1125" s="1" t="s">
        <v>3858</v>
      </c>
      <c r="W1125" s="3">
        <v>43339.0</v>
      </c>
      <c r="X1125" s="3">
        <v>43339.0</v>
      </c>
    </row>
    <row r="1126">
      <c r="A1126" s="1" t="s">
        <v>15527</v>
      </c>
      <c r="B1126" s="1" t="s">
        <v>9853</v>
      </c>
      <c r="C1126" s="1" t="s">
        <v>9853</v>
      </c>
      <c r="D1126" s="1" t="s">
        <v>4293</v>
      </c>
      <c r="E1126" s="1" t="s">
        <v>9854</v>
      </c>
      <c r="F1126" s="1" t="s">
        <v>15528</v>
      </c>
      <c r="G1126" s="3">
        <v>44791.0</v>
      </c>
      <c r="H1126" s="3">
        <v>44957.0</v>
      </c>
      <c r="I1126" s="3">
        <v>44957.0</v>
      </c>
      <c r="J1126" s="1" t="s">
        <v>215</v>
      </c>
      <c r="K1126" s="1" t="s">
        <v>160</v>
      </c>
      <c r="L1126" s="1" t="s">
        <v>216</v>
      </c>
      <c r="M1126" s="1" t="s">
        <v>131</v>
      </c>
      <c r="Q1126" s="1" t="s">
        <v>137</v>
      </c>
      <c r="R1126" s="1" t="s">
        <v>137</v>
      </c>
      <c r="S1126" s="1" t="s">
        <v>47</v>
      </c>
      <c r="T1126" s="1" t="s">
        <v>4301</v>
      </c>
      <c r="U1126" s="1" t="s">
        <v>1577</v>
      </c>
      <c r="V1126" s="1" t="s">
        <v>3858</v>
      </c>
      <c r="W1126" s="3">
        <v>44957.0</v>
      </c>
      <c r="X1126" s="3">
        <v>44957.0</v>
      </c>
    </row>
    <row r="1127">
      <c r="A1127" s="1" t="s">
        <v>15529</v>
      </c>
      <c r="B1127" s="1" t="s">
        <v>9862</v>
      </c>
      <c r="C1127" s="1" t="s">
        <v>9862</v>
      </c>
      <c r="D1127" s="1" t="s">
        <v>4293</v>
      </c>
      <c r="E1127" s="1" t="s">
        <v>9864</v>
      </c>
      <c r="F1127" s="1" t="s">
        <v>15530</v>
      </c>
      <c r="G1127" s="3">
        <v>45282.0</v>
      </c>
      <c r="H1127" s="3">
        <v>45399.0</v>
      </c>
      <c r="I1127" s="3">
        <v>45399.0</v>
      </c>
      <c r="J1127" s="1" t="s">
        <v>215</v>
      </c>
      <c r="K1127" s="1" t="s">
        <v>160</v>
      </c>
      <c r="L1127" s="1" t="s">
        <v>216</v>
      </c>
      <c r="M1127" s="1" t="s">
        <v>131</v>
      </c>
      <c r="Q1127" s="1" t="s">
        <v>137</v>
      </c>
      <c r="R1127" s="1" t="s">
        <v>137</v>
      </c>
      <c r="S1127" s="1" t="s">
        <v>47</v>
      </c>
      <c r="T1127" s="1" t="s">
        <v>4301</v>
      </c>
      <c r="U1127" s="1" t="s">
        <v>1577</v>
      </c>
      <c r="V1127" s="1" t="s">
        <v>3858</v>
      </c>
      <c r="W1127" s="3">
        <v>45399.0</v>
      </c>
      <c r="X1127" s="3">
        <v>45399.0</v>
      </c>
    </row>
    <row r="1128">
      <c r="A1128" s="1" t="s">
        <v>15531</v>
      </c>
      <c r="B1128" s="1" t="s">
        <v>9862</v>
      </c>
      <c r="C1128" s="1" t="s">
        <v>9862</v>
      </c>
      <c r="D1128" s="1" t="s">
        <v>4293</v>
      </c>
      <c r="E1128" s="1" t="s">
        <v>9864</v>
      </c>
      <c r="F1128" s="1" t="s">
        <v>15532</v>
      </c>
      <c r="G1128" s="3">
        <v>45282.0</v>
      </c>
      <c r="H1128" s="3">
        <v>45399.0</v>
      </c>
      <c r="I1128" s="3">
        <v>45399.0</v>
      </c>
      <c r="J1128" s="1" t="s">
        <v>215</v>
      </c>
      <c r="K1128" s="1" t="s">
        <v>160</v>
      </c>
      <c r="L1128" s="1" t="s">
        <v>216</v>
      </c>
      <c r="M1128" s="1" t="s">
        <v>131</v>
      </c>
      <c r="Q1128" s="1" t="s">
        <v>137</v>
      </c>
      <c r="R1128" s="1" t="s">
        <v>137</v>
      </c>
      <c r="S1128" s="1" t="s">
        <v>47</v>
      </c>
      <c r="T1128" s="1" t="s">
        <v>4301</v>
      </c>
      <c r="U1128" s="1" t="s">
        <v>1577</v>
      </c>
      <c r="V1128" s="1" t="s">
        <v>4950</v>
      </c>
      <c r="W1128" s="3">
        <v>45399.0</v>
      </c>
      <c r="X1128" s="3">
        <v>45399.0</v>
      </c>
    </row>
    <row r="1129">
      <c r="A1129" s="1" t="s">
        <v>15533</v>
      </c>
      <c r="B1129" s="1" t="s">
        <v>9873</v>
      </c>
      <c r="C1129" s="1" t="s">
        <v>9873</v>
      </c>
      <c r="D1129" s="1" t="s">
        <v>4293</v>
      </c>
      <c r="E1129" s="1" t="s">
        <v>9876</v>
      </c>
      <c r="F1129" s="1" t="s">
        <v>15534</v>
      </c>
      <c r="G1129" s="3">
        <v>43690.0</v>
      </c>
      <c r="H1129" s="3">
        <v>43752.0</v>
      </c>
      <c r="I1129" s="3">
        <v>43752.0</v>
      </c>
      <c r="J1129" s="1" t="s">
        <v>215</v>
      </c>
      <c r="K1129" s="1" t="s">
        <v>160</v>
      </c>
      <c r="L1129" s="1" t="s">
        <v>216</v>
      </c>
      <c r="M1129" s="1" t="s">
        <v>131</v>
      </c>
      <c r="Q1129" s="1" t="s">
        <v>137</v>
      </c>
      <c r="R1129" s="1" t="s">
        <v>137</v>
      </c>
      <c r="S1129" s="1" t="s">
        <v>47</v>
      </c>
      <c r="T1129" s="1" t="s">
        <v>4301</v>
      </c>
      <c r="U1129" s="1" t="s">
        <v>1577</v>
      </c>
      <c r="V1129" s="1" t="s">
        <v>3858</v>
      </c>
      <c r="W1129" s="3">
        <v>43752.0</v>
      </c>
      <c r="X1129" s="3">
        <v>43752.0</v>
      </c>
    </row>
    <row r="1130">
      <c r="A1130" s="1" t="s">
        <v>15535</v>
      </c>
      <c r="B1130" s="1" t="s">
        <v>9421</v>
      </c>
      <c r="C1130" s="1" t="s">
        <v>9421</v>
      </c>
      <c r="D1130" s="1" t="s">
        <v>4293</v>
      </c>
      <c r="E1130" s="1" t="s">
        <v>9885</v>
      </c>
      <c r="F1130" s="1" t="s">
        <v>15536</v>
      </c>
      <c r="G1130" s="3">
        <v>44075.0</v>
      </c>
      <c r="H1130" s="3">
        <v>44148.0</v>
      </c>
      <c r="I1130" s="3">
        <v>44148.0</v>
      </c>
      <c r="J1130" s="1" t="s">
        <v>215</v>
      </c>
      <c r="K1130" s="1" t="s">
        <v>160</v>
      </c>
      <c r="L1130" s="1" t="s">
        <v>216</v>
      </c>
      <c r="M1130" s="1" t="s">
        <v>131</v>
      </c>
      <c r="Q1130" s="1" t="s">
        <v>137</v>
      </c>
      <c r="R1130" s="1" t="s">
        <v>137</v>
      </c>
      <c r="S1130" s="1" t="s">
        <v>47</v>
      </c>
      <c r="T1130" s="1" t="s">
        <v>4301</v>
      </c>
      <c r="U1130" s="1" t="s">
        <v>1577</v>
      </c>
      <c r="V1130" s="1" t="s">
        <v>3858</v>
      </c>
      <c r="W1130" s="3">
        <v>44148.0</v>
      </c>
      <c r="X1130" s="3">
        <v>44148.0</v>
      </c>
    </row>
    <row r="1131">
      <c r="A1131" s="1" t="s">
        <v>15537</v>
      </c>
      <c r="B1131" s="1" t="s">
        <v>9893</v>
      </c>
      <c r="C1131" s="1" t="s">
        <v>9893</v>
      </c>
      <c r="D1131" s="1" t="s">
        <v>4293</v>
      </c>
      <c r="E1131" s="1" t="s">
        <v>9898</v>
      </c>
      <c r="F1131" s="1" t="s">
        <v>15538</v>
      </c>
      <c r="G1131" s="3">
        <v>43353.0</v>
      </c>
      <c r="H1131" s="3">
        <v>43430.0</v>
      </c>
      <c r="I1131" s="3">
        <v>43430.0</v>
      </c>
      <c r="J1131" s="1" t="s">
        <v>215</v>
      </c>
      <c r="K1131" s="1" t="s">
        <v>160</v>
      </c>
      <c r="L1131" s="1" t="s">
        <v>216</v>
      </c>
      <c r="M1131" s="1" t="s">
        <v>131</v>
      </c>
      <c r="Q1131" s="1" t="s">
        <v>137</v>
      </c>
      <c r="R1131" s="1" t="s">
        <v>137</v>
      </c>
      <c r="S1131" s="1" t="s">
        <v>47</v>
      </c>
      <c r="T1131" s="1" t="s">
        <v>4301</v>
      </c>
      <c r="U1131" s="1" t="s">
        <v>1577</v>
      </c>
      <c r="V1131" s="1" t="s">
        <v>3858</v>
      </c>
      <c r="W1131" s="3">
        <v>43430.0</v>
      </c>
      <c r="X1131" s="3">
        <v>43430.0</v>
      </c>
    </row>
    <row r="1132">
      <c r="A1132" s="1" t="s">
        <v>15539</v>
      </c>
      <c r="B1132" s="1" t="s">
        <v>7127</v>
      </c>
      <c r="C1132" s="1" t="s">
        <v>7127</v>
      </c>
      <c r="D1132" s="1" t="s">
        <v>4293</v>
      </c>
      <c r="E1132" s="1" t="s">
        <v>9906</v>
      </c>
      <c r="F1132" s="1" t="s">
        <v>15540</v>
      </c>
      <c r="G1132" s="3">
        <v>45279.0</v>
      </c>
      <c r="H1132" s="3">
        <v>45468.0</v>
      </c>
      <c r="I1132" s="3">
        <v>45468.0</v>
      </c>
      <c r="J1132" s="1" t="s">
        <v>215</v>
      </c>
      <c r="K1132" s="1" t="s">
        <v>160</v>
      </c>
      <c r="L1132" s="1" t="s">
        <v>216</v>
      </c>
      <c r="M1132" s="1" t="s">
        <v>131</v>
      </c>
      <c r="Q1132" s="1" t="s">
        <v>137</v>
      </c>
      <c r="R1132" s="1" t="s">
        <v>137</v>
      </c>
      <c r="S1132" s="1" t="s">
        <v>47</v>
      </c>
      <c r="T1132" s="1" t="s">
        <v>4301</v>
      </c>
      <c r="U1132" s="1" t="s">
        <v>1577</v>
      </c>
      <c r="V1132" s="1" t="s">
        <v>4679</v>
      </c>
      <c r="W1132" s="3">
        <v>45468.0</v>
      </c>
      <c r="X1132" s="3">
        <v>45468.0</v>
      </c>
    </row>
    <row r="1133">
      <c r="A1133" s="1" t="s">
        <v>15541</v>
      </c>
      <c r="B1133" s="1" t="s">
        <v>7127</v>
      </c>
      <c r="C1133" s="1" t="s">
        <v>7127</v>
      </c>
      <c r="D1133" s="1" t="s">
        <v>4293</v>
      </c>
      <c r="E1133" s="1" t="s">
        <v>9906</v>
      </c>
      <c r="F1133" s="1" t="s">
        <v>15542</v>
      </c>
      <c r="G1133" s="3">
        <v>45279.0</v>
      </c>
      <c r="H1133" s="3">
        <v>45468.0</v>
      </c>
      <c r="I1133" s="3">
        <v>45468.0</v>
      </c>
      <c r="J1133" s="1" t="s">
        <v>215</v>
      </c>
      <c r="K1133" s="1" t="s">
        <v>160</v>
      </c>
      <c r="L1133" s="1" t="s">
        <v>216</v>
      </c>
      <c r="M1133" s="1" t="s">
        <v>131</v>
      </c>
      <c r="Q1133" s="1" t="s">
        <v>137</v>
      </c>
      <c r="R1133" s="1" t="s">
        <v>137</v>
      </c>
      <c r="S1133" s="1" t="s">
        <v>47</v>
      </c>
      <c r="T1133" s="1" t="s">
        <v>4301</v>
      </c>
      <c r="U1133" s="1" t="s">
        <v>1577</v>
      </c>
      <c r="V1133" s="1" t="s">
        <v>4950</v>
      </c>
      <c r="W1133" s="3">
        <v>45468.0</v>
      </c>
      <c r="X1133" s="3">
        <v>45468.0</v>
      </c>
    </row>
    <row r="1134">
      <c r="A1134" s="1" t="s">
        <v>15543</v>
      </c>
      <c r="B1134" s="1" t="s">
        <v>7127</v>
      </c>
      <c r="C1134" s="1" t="s">
        <v>7127</v>
      </c>
      <c r="D1134" s="1" t="s">
        <v>4293</v>
      </c>
      <c r="E1134" s="1" t="s">
        <v>9906</v>
      </c>
      <c r="F1134" s="1" t="s">
        <v>15544</v>
      </c>
      <c r="G1134" s="3">
        <v>45279.0</v>
      </c>
      <c r="H1134" s="3">
        <v>45468.0</v>
      </c>
      <c r="I1134" s="3">
        <v>45468.0</v>
      </c>
      <c r="J1134" s="1" t="s">
        <v>215</v>
      </c>
      <c r="K1134" s="1" t="s">
        <v>160</v>
      </c>
      <c r="L1134" s="1" t="s">
        <v>216</v>
      </c>
      <c r="M1134" s="1" t="s">
        <v>131</v>
      </c>
      <c r="Q1134" s="1" t="s">
        <v>137</v>
      </c>
      <c r="R1134" s="1" t="s">
        <v>137</v>
      </c>
      <c r="S1134" s="1" t="s">
        <v>47</v>
      </c>
      <c r="T1134" s="1" t="s">
        <v>4301</v>
      </c>
      <c r="U1134" s="1" t="s">
        <v>1577</v>
      </c>
      <c r="V1134" s="1" t="s">
        <v>5104</v>
      </c>
      <c r="W1134" s="3">
        <v>45468.0</v>
      </c>
      <c r="X1134" s="3">
        <v>45468.0</v>
      </c>
    </row>
    <row r="1135">
      <c r="A1135" s="1" t="s">
        <v>15545</v>
      </c>
      <c r="B1135" s="1" t="s">
        <v>7127</v>
      </c>
      <c r="C1135" s="1" t="s">
        <v>7127</v>
      </c>
      <c r="D1135" s="1" t="s">
        <v>4293</v>
      </c>
      <c r="E1135" s="1" t="s">
        <v>9906</v>
      </c>
      <c r="F1135" s="1" t="s">
        <v>15546</v>
      </c>
      <c r="G1135" s="3">
        <v>45279.0</v>
      </c>
      <c r="H1135" s="3">
        <v>45468.0</v>
      </c>
      <c r="I1135" s="3">
        <v>45468.0</v>
      </c>
      <c r="J1135" s="1" t="s">
        <v>215</v>
      </c>
      <c r="K1135" s="1" t="s">
        <v>160</v>
      </c>
      <c r="L1135" s="1" t="s">
        <v>216</v>
      </c>
      <c r="M1135" s="1" t="s">
        <v>131</v>
      </c>
      <c r="Q1135" s="1" t="s">
        <v>137</v>
      </c>
      <c r="R1135" s="1" t="s">
        <v>137</v>
      </c>
      <c r="S1135" s="1" t="s">
        <v>47</v>
      </c>
      <c r="T1135" s="1" t="s">
        <v>4301</v>
      </c>
      <c r="U1135" s="1" t="s">
        <v>1577</v>
      </c>
      <c r="V1135" s="1" t="s">
        <v>5120</v>
      </c>
      <c r="W1135" s="3">
        <v>45468.0</v>
      </c>
      <c r="X1135" s="3">
        <v>45468.0</v>
      </c>
    </row>
    <row r="1136">
      <c r="A1136" s="1" t="s">
        <v>15547</v>
      </c>
      <c r="B1136" s="1" t="s">
        <v>9916</v>
      </c>
      <c r="C1136" s="1" t="s">
        <v>9916</v>
      </c>
      <c r="D1136" s="1" t="s">
        <v>4293</v>
      </c>
      <c r="E1136" s="1" t="s">
        <v>9918</v>
      </c>
      <c r="F1136" s="1" t="s">
        <v>15548</v>
      </c>
      <c r="G1136" s="3">
        <v>43259.0</v>
      </c>
      <c r="H1136" s="3">
        <v>43315.0</v>
      </c>
      <c r="I1136" s="3">
        <v>43315.0</v>
      </c>
      <c r="J1136" s="1" t="s">
        <v>215</v>
      </c>
      <c r="K1136" s="1" t="s">
        <v>160</v>
      </c>
      <c r="L1136" s="1" t="s">
        <v>216</v>
      </c>
      <c r="M1136" s="1" t="s">
        <v>131</v>
      </c>
      <c r="Q1136" s="1" t="s">
        <v>137</v>
      </c>
      <c r="R1136" s="1" t="s">
        <v>137</v>
      </c>
      <c r="S1136" s="1" t="s">
        <v>47</v>
      </c>
      <c r="T1136" s="1" t="s">
        <v>4301</v>
      </c>
      <c r="U1136" s="1" t="s">
        <v>1577</v>
      </c>
      <c r="V1136" s="1" t="s">
        <v>3858</v>
      </c>
      <c r="W1136" s="3">
        <v>43315.0</v>
      </c>
      <c r="X1136" s="3">
        <v>43315.0</v>
      </c>
    </row>
    <row r="1137">
      <c r="A1137" s="1" t="s">
        <v>15549</v>
      </c>
      <c r="B1137" s="1" t="s">
        <v>9926</v>
      </c>
      <c r="C1137" s="1" t="s">
        <v>9926</v>
      </c>
      <c r="D1137" s="1" t="s">
        <v>4293</v>
      </c>
      <c r="E1137" s="1" t="s">
        <v>9928</v>
      </c>
      <c r="F1137" s="1" t="s">
        <v>15550</v>
      </c>
      <c r="G1137" s="3">
        <v>44910.0</v>
      </c>
      <c r="H1137" s="3">
        <v>45206.0</v>
      </c>
      <c r="I1137" s="3">
        <v>45206.0</v>
      </c>
      <c r="J1137" s="1" t="s">
        <v>215</v>
      </c>
      <c r="K1137" s="1" t="s">
        <v>160</v>
      </c>
      <c r="L1137" s="1" t="s">
        <v>216</v>
      </c>
      <c r="M1137" s="1" t="s">
        <v>131</v>
      </c>
      <c r="Q1137" s="1" t="s">
        <v>137</v>
      </c>
      <c r="R1137" s="1" t="s">
        <v>137</v>
      </c>
      <c r="S1137" s="1" t="s">
        <v>47</v>
      </c>
      <c r="T1137" s="1" t="s">
        <v>4301</v>
      </c>
      <c r="U1137" s="1" t="s">
        <v>1577</v>
      </c>
      <c r="V1137" s="1" t="s">
        <v>3858</v>
      </c>
      <c r="W1137" s="3">
        <v>45206.0</v>
      </c>
      <c r="X1137" s="3">
        <v>45206.0</v>
      </c>
    </row>
    <row r="1138">
      <c r="A1138" s="1" t="s">
        <v>15551</v>
      </c>
      <c r="B1138" s="1" t="s">
        <v>9939</v>
      </c>
      <c r="C1138" s="1" t="s">
        <v>9939</v>
      </c>
      <c r="D1138" s="1" t="s">
        <v>4293</v>
      </c>
      <c r="E1138" s="1" t="s">
        <v>9943</v>
      </c>
      <c r="F1138" s="1" t="s">
        <v>15552</v>
      </c>
      <c r="G1138" s="3">
        <v>44676.0</v>
      </c>
      <c r="H1138" s="3">
        <v>44881.0</v>
      </c>
      <c r="I1138" s="3">
        <v>44881.0</v>
      </c>
      <c r="J1138" s="1" t="s">
        <v>215</v>
      </c>
      <c r="K1138" s="1" t="s">
        <v>160</v>
      </c>
      <c r="L1138" s="1" t="s">
        <v>216</v>
      </c>
      <c r="M1138" s="1" t="s">
        <v>131</v>
      </c>
      <c r="Q1138" s="1" t="s">
        <v>137</v>
      </c>
      <c r="R1138" s="1" t="s">
        <v>137</v>
      </c>
      <c r="S1138" s="1" t="s">
        <v>47</v>
      </c>
      <c r="T1138" s="1" t="s">
        <v>4301</v>
      </c>
      <c r="U1138" s="1" t="s">
        <v>1577</v>
      </c>
      <c r="V1138" s="1" t="s">
        <v>3858</v>
      </c>
      <c r="W1138" s="3">
        <v>44881.0</v>
      </c>
      <c r="X1138" s="3">
        <v>44881.0</v>
      </c>
    </row>
    <row r="1139">
      <c r="A1139" s="1" t="s">
        <v>15553</v>
      </c>
      <c r="B1139" s="1" t="s">
        <v>9939</v>
      </c>
      <c r="C1139" s="1" t="s">
        <v>9939</v>
      </c>
      <c r="D1139" s="1" t="s">
        <v>4293</v>
      </c>
      <c r="E1139" s="1" t="s">
        <v>9943</v>
      </c>
      <c r="F1139" s="1" t="s">
        <v>15554</v>
      </c>
      <c r="G1139" s="3">
        <v>44676.0</v>
      </c>
      <c r="H1139" s="3">
        <v>44881.0</v>
      </c>
      <c r="I1139" s="3">
        <v>44881.0</v>
      </c>
      <c r="J1139" s="1" t="s">
        <v>215</v>
      </c>
      <c r="K1139" s="1" t="s">
        <v>160</v>
      </c>
      <c r="L1139" s="1" t="s">
        <v>216</v>
      </c>
      <c r="M1139" s="1" t="s">
        <v>131</v>
      </c>
      <c r="Q1139" s="1" t="s">
        <v>137</v>
      </c>
      <c r="R1139" s="1" t="s">
        <v>137</v>
      </c>
      <c r="S1139" s="1" t="s">
        <v>47</v>
      </c>
      <c r="T1139" s="1" t="s">
        <v>4301</v>
      </c>
      <c r="U1139" s="1" t="s">
        <v>1577</v>
      </c>
      <c r="V1139" s="1" t="s">
        <v>4950</v>
      </c>
      <c r="W1139" s="3">
        <v>44881.0</v>
      </c>
      <c r="X1139" s="3">
        <v>44881.0</v>
      </c>
    </row>
    <row r="1140">
      <c r="A1140" s="1" t="s">
        <v>15555</v>
      </c>
      <c r="B1140" s="1" t="s">
        <v>9951</v>
      </c>
      <c r="C1140" s="1" t="s">
        <v>9951</v>
      </c>
      <c r="D1140" s="1" t="s">
        <v>4293</v>
      </c>
      <c r="E1140" s="1" t="s">
        <v>9953</v>
      </c>
      <c r="F1140" s="1" t="s">
        <v>15556</v>
      </c>
      <c r="G1140" s="3">
        <v>44712.0</v>
      </c>
      <c r="H1140" s="3">
        <v>44812.0</v>
      </c>
      <c r="I1140" s="3">
        <v>44812.0</v>
      </c>
      <c r="J1140" s="1" t="s">
        <v>215</v>
      </c>
      <c r="K1140" s="1" t="s">
        <v>160</v>
      </c>
      <c r="L1140" s="1" t="s">
        <v>216</v>
      </c>
      <c r="M1140" s="1" t="s">
        <v>131</v>
      </c>
      <c r="Q1140" s="1" t="s">
        <v>137</v>
      </c>
      <c r="R1140" s="1" t="s">
        <v>137</v>
      </c>
      <c r="S1140" s="1" t="s">
        <v>47</v>
      </c>
      <c r="T1140" s="1" t="s">
        <v>4301</v>
      </c>
      <c r="U1140" s="1" t="s">
        <v>1577</v>
      </c>
      <c r="V1140" s="1" t="s">
        <v>3858</v>
      </c>
      <c r="W1140" s="3">
        <v>44812.0</v>
      </c>
      <c r="X1140" s="3">
        <v>44812.0</v>
      </c>
    </row>
    <row r="1141">
      <c r="A1141" s="1" t="s">
        <v>15557</v>
      </c>
      <c r="B1141" s="1" t="s">
        <v>9951</v>
      </c>
      <c r="C1141" s="1" t="s">
        <v>9951</v>
      </c>
      <c r="D1141" s="1" t="s">
        <v>4293</v>
      </c>
      <c r="E1141" s="1" t="s">
        <v>9953</v>
      </c>
      <c r="F1141" s="1" t="s">
        <v>15558</v>
      </c>
      <c r="G1141" s="3">
        <v>44712.0</v>
      </c>
      <c r="H1141" s="3">
        <v>44812.0</v>
      </c>
      <c r="I1141" s="3">
        <v>44812.0</v>
      </c>
      <c r="J1141" s="1" t="s">
        <v>215</v>
      </c>
      <c r="K1141" s="1" t="s">
        <v>160</v>
      </c>
      <c r="L1141" s="1" t="s">
        <v>216</v>
      </c>
      <c r="M1141" s="1" t="s">
        <v>131</v>
      </c>
      <c r="Q1141" s="1" t="s">
        <v>137</v>
      </c>
      <c r="R1141" s="1" t="s">
        <v>137</v>
      </c>
      <c r="S1141" s="1" t="s">
        <v>47</v>
      </c>
      <c r="T1141" s="1" t="s">
        <v>4301</v>
      </c>
      <c r="U1141" s="1" t="s">
        <v>1577</v>
      </c>
      <c r="V1141" s="1" t="s">
        <v>4679</v>
      </c>
      <c r="W1141" s="3">
        <v>44812.0</v>
      </c>
      <c r="X1141" s="3">
        <v>44812.0</v>
      </c>
    </row>
    <row r="1142">
      <c r="A1142" s="1" t="s">
        <v>15559</v>
      </c>
      <c r="B1142" s="1" t="s">
        <v>9951</v>
      </c>
      <c r="C1142" s="1" t="s">
        <v>9951</v>
      </c>
      <c r="D1142" s="1" t="s">
        <v>4293</v>
      </c>
      <c r="E1142" s="1" t="s">
        <v>9953</v>
      </c>
      <c r="F1142" s="1" t="s">
        <v>15560</v>
      </c>
      <c r="G1142" s="3">
        <v>44712.0</v>
      </c>
      <c r="H1142" s="3">
        <v>44812.0</v>
      </c>
      <c r="I1142" s="3">
        <v>44812.0</v>
      </c>
      <c r="J1142" s="1" t="s">
        <v>215</v>
      </c>
      <c r="K1142" s="1" t="s">
        <v>160</v>
      </c>
      <c r="L1142" s="1" t="s">
        <v>216</v>
      </c>
      <c r="M1142" s="1" t="s">
        <v>131</v>
      </c>
      <c r="Q1142" s="1" t="s">
        <v>137</v>
      </c>
      <c r="R1142" s="1" t="s">
        <v>137</v>
      </c>
      <c r="S1142" s="1" t="s">
        <v>47</v>
      </c>
      <c r="T1142" s="1" t="s">
        <v>4301</v>
      </c>
      <c r="U1142" s="1" t="s">
        <v>1577</v>
      </c>
      <c r="V1142" s="1" t="s">
        <v>4950</v>
      </c>
      <c r="W1142" s="3">
        <v>44812.0</v>
      </c>
      <c r="X1142" s="3">
        <v>44812.0</v>
      </c>
    </row>
    <row r="1143">
      <c r="A1143" s="1" t="s">
        <v>15561</v>
      </c>
      <c r="B1143" s="1" t="s">
        <v>9951</v>
      </c>
      <c r="C1143" s="1" t="s">
        <v>9951</v>
      </c>
      <c r="D1143" s="1" t="s">
        <v>4293</v>
      </c>
      <c r="E1143" s="1" t="s">
        <v>9953</v>
      </c>
      <c r="F1143" s="1" t="s">
        <v>15562</v>
      </c>
      <c r="G1143" s="3">
        <v>44712.0</v>
      </c>
      <c r="H1143" s="3">
        <v>44812.0</v>
      </c>
      <c r="I1143" s="3">
        <v>44812.0</v>
      </c>
      <c r="J1143" s="1" t="s">
        <v>215</v>
      </c>
      <c r="K1143" s="1" t="s">
        <v>160</v>
      </c>
      <c r="L1143" s="1" t="s">
        <v>216</v>
      </c>
      <c r="M1143" s="1" t="s">
        <v>131</v>
      </c>
      <c r="O1143" s="1"/>
      <c r="Q1143" s="1" t="s">
        <v>137</v>
      </c>
      <c r="R1143" s="1" t="s">
        <v>137</v>
      </c>
      <c r="S1143" s="1" t="s">
        <v>47</v>
      </c>
      <c r="T1143" s="1" t="s">
        <v>4301</v>
      </c>
      <c r="U1143" s="1" t="s">
        <v>1577</v>
      </c>
      <c r="V1143" s="1" t="s">
        <v>5104</v>
      </c>
      <c r="W1143" s="3">
        <v>44812.0</v>
      </c>
      <c r="X1143" s="3">
        <v>44812.0</v>
      </c>
    </row>
    <row r="1144">
      <c r="A1144" s="1" t="s">
        <v>15563</v>
      </c>
      <c r="B1144" s="1" t="s">
        <v>9951</v>
      </c>
      <c r="C1144" s="1" t="s">
        <v>9951</v>
      </c>
      <c r="D1144" s="1" t="s">
        <v>4293</v>
      </c>
      <c r="E1144" s="1" t="s">
        <v>9953</v>
      </c>
      <c r="F1144" s="1" t="s">
        <v>15564</v>
      </c>
      <c r="G1144" s="3">
        <v>44712.0</v>
      </c>
      <c r="H1144" s="3">
        <v>44812.0</v>
      </c>
      <c r="I1144" s="3">
        <v>44812.0</v>
      </c>
      <c r="J1144" s="1" t="s">
        <v>215</v>
      </c>
      <c r="K1144" s="1" t="s">
        <v>160</v>
      </c>
      <c r="L1144" s="1" t="s">
        <v>216</v>
      </c>
      <c r="M1144" s="1" t="s">
        <v>131</v>
      </c>
      <c r="O1144" s="1"/>
      <c r="Q1144" s="1" t="s">
        <v>137</v>
      </c>
      <c r="R1144" s="1" t="s">
        <v>137</v>
      </c>
      <c r="S1144" s="1" t="s">
        <v>47</v>
      </c>
      <c r="T1144" s="1" t="s">
        <v>4301</v>
      </c>
      <c r="U1144" s="1" t="s">
        <v>1577</v>
      </c>
      <c r="V1144" s="1" t="s">
        <v>5120</v>
      </c>
      <c r="W1144" s="3">
        <v>44812.0</v>
      </c>
      <c r="X1144" s="3">
        <v>44812.0</v>
      </c>
    </row>
    <row r="1145">
      <c r="A1145" s="1" t="s">
        <v>15565</v>
      </c>
      <c r="B1145" s="1" t="s">
        <v>9959</v>
      </c>
      <c r="C1145" s="1" t="s">
        <v>9959</v>
      </c>
      <c r="D1145" s="1" t="s">
        <v>4293</v>
      </c>
      <c r="E1145" s="1" t="s">
        <v>9963</v>
      </c>
      <c r="F1145" s="1" t="s">
        <v>15566</v>
      </c>
      <c r="G1145" s="3">
        <v>44642.0</v>
      </c>
      <c r="H1145" s="3">
        <v>44782.0</v>
      </c>
      <c r="I1145" s="3">
        <v>44782.0</v>
      </c>
      <c r="J1145" s="1" t="s">
        <v>215</v>
      </c>
      <c r="K1145" s="1" t="s">
        <v>160</v>
      </c>
      <c r="L1145" s="1" t="s">
        <v>216</v>
      </c>
      <c r="M1145" s="1" t="s">
        <v>131</v>
      </c>
      <c r="O1145" s="1"/>
      <c r="Q1145" s="1" t="s">
        <v>137</v>
      </c>
      <c r="R1145" s="1" t="s">
        <v>137</v>
      </c>
      <c r="S1145" s="1" t="s">
        <v>47</v>
      </c>
      <c r="T1145" s="1" t="s">
        <v>4301</v>
      </c>
      <c r="U1145" s="1" t="s">
        <v>1577</v>
      </c>
      <c r="V1145" s="1" t="s">
        <v>3858</v>
      </c>
      <c r="W1145" s="3">
        <v>44782.0</v>
      </c>
      <c r="X1145" s="3">
        <v>44782.0</v>
      </c>
    </row>
    <row r="1146">
      <c r="A1146" s="1" t="s">
        <v>15567</v>
      </c>
      <c r="B1146" s="1" t="s">
        <v>5950</v>
      </c>
      <c r="C1146" s="1" t="s">
        <v>5950</v>
      </c>
      <c r="D1146" s="1" t="s">
        <v>4293</v>
      </c>
      <c r="E1146" s="1" t="s">
        <v>9968</v>
      </c>
      <c r="F1146" s="1" t="s">
        <v>15568</v>
      </c>
      <c r="G1146" s="3">
        <v>44256.0</v>
      </c>
      <c r="H1146" s="3">
        <v>44256.0</v>
      </c>
      <c r="I1146" s="3">
        <v>44256.0</v>
      </c>
      <c r="J1146" s="1" t="s">
        <v>215</v>
      </c>
      <c r="K1146" s="1" t="s">
        <v>160</v>
      </c>
      <c r="L1146" s="1" t="s">
        <v>216</v>
      </c>
      <c r="M1146" s="1" t="s">
        <v>131</v>
      </c>
      <c r="O1146" s="1"/>
      <c r="Q1146" s="1" t="s">
        <v>137</v>
      </c>
      <c r="R1146" s="1" t="s">
        <v>137</v>
      </c>
      <c r="S1146" s="1" t="s">
        <v>47</v>
      </c>
      <c r="T1146" s="1" t="s">
        <v>4301</v>
      </c>
      <c r="U1146" s="1" t="s">
        <v>1577</v>
      </c>
      <c r="V1146" s="1" t="s">
        <v>4950</v>
      </c>
      <c r="W1146" s="3">
        <v>44256.0</v>
      </c>
      <c r="X1146" s="3">
        <v>44256.0</v>
      </c>
    </row>
    <row r="1147">
      <c r="A1147" s="1" t="s">
        <v>15569</v>
      </c>
      <c r="B1147" s="1" t="s">
        <v>9978</v>
      </c>
      <c r="C1147" s="1" t="s">
        <v>9978</v>
      </c>
      <c r="D1147" s="1" t="s">
        <v>4293</v>
      </c>
      <c r="E1147" s="1" t="s">
        <v>9979</v>
      </c>
      <c r="F1147" s="1" t="s">
        <v>15570</v>
      </c>
      <c r="G1147" s="3">
        <v>43224.0</v>
      </c>
      <c r="H1147" s="3">
        <v>43269.0</v>
      </c>
      <c r="I1147" s="3">
        <v>43269.0</v>
      </c>
      <c r="J1147" s="1" t="s">
        <v>215</v>
      </c>
      <c r="K1147" s="1" t="s">
        <v>160</v>
      </c>
      <c r="L1147" s="1" t="s">
        <v>216</v>
      </c>
      <c r="M1147" s="1" t="s">
        <v>131</v>
      </c>
      <c r="Q1147" s="1" t="s">
        <v>137</v>
      </c>
      <c r="R1147" s="1" t="s">
        <v>137</v>
      </c>
      <c r="S1147" s="1" t="s">
        <v>47</v>
      </c>
      <c r="T1147" s="1" t="s">
        <v>4301</v>
      </c>
      <c r="U1147" s="1" t="s">
        <v>1577</v>
      </c>
      <c r="V1147" s="1" t="s">
        <v>3858</v>
      </c>
      <c r="W1147" s="3">
        <v>43269.0</v>
      </c>
      <c r="X1147" s="3">
        <v>43269.0</v>
      </c>
    </row>
    <row r="1148">
      <c r="A1148" s="1" t="s">
        <v>15571</v>
      </c>
      <c r="B1148" s="1" t="s">
        <v>9986</v>
      </c>
      <c r="C1148" s="1" t="s">
        <v>9986</v>
      </c>
      <c r="D1148" s="1" t="s">
        <v>4293</v>
      </c>
      <c r="E1148" s="1" t="s">
        <v>9990</v>
      </c>
      <c r="F1148" s="1" t="s">
        <v>15572</v>
      </c>
      <c r="G1148" s="3">
        <v>46091.0</v>
      </c>
      <c r="H1148" s="3">
        <v>46254.0</v>
      </c>
      <c r="I1148" s="3">
        <v>46254.0</v>
      </c>
      <c r="J1148" s="1" t="s">
        <v>124</v>
      </c>
      <c r="K1148" s="1" t="s">
        <v>160</v>
      </c>
      <c r="L1148" s="1" t="s">
        <v>216</v>
      </c>
      <c r="M1148" s="1" t="s">
        <v>131</v>
      </c>
      <c r="O1148" s="1" t="s">
        <v>3947</v>
      </c>
      <c r="Q1148" s="1" t="s">
        <v>137</v>
      </c>
      <c r="R1148" s="1" t="s">
        <v>137</v>
      </c>
      <c r="S1148" s="1" t="s">
        <v>47</v>
      </c>
      <c r="T1148" s="1" t="s">
        <v>15021</v>
      </c>
      <c r="U1148" s="1" t="s">
        <v>1577</v>
      </c>
      <c r="V1148" s="1" t="s">
        <v>3858</v>
      </c>
      <c r="W1148" s="3">
        <v>46254.0</v>
      </c>
      <c r="X1148" s="3">
        <v>46254.0</v>
      </c>
    </row>
    <row r="1149">
      <c r="A1149" s="1" t="s">
        <v>15573</v>
      </c>
      <c r="B1149" s="1" t="s">
        <v>10010</v>
      </c>
      <c r="C1149" s="1" t="s">
        <v>10010</v>
      </c>
      <c r="D1149" s="1" t="s">
        <v>4293</v>
      </c>
      <c r="E1149" s="1" t="s">
        <v>10013</v>
      </c>
      <c r="F1149" s="1" t="s">
        <v>15574</v>
      </c>
      <c r="G1149" s="3">
        <v>45705.0</v>
      </c>
      <c r="H1149" s="3">
        <v>46174.0</v>
      </c>
      <c r="I1149" s="3">
        <v>46174.0</v>
      </c>
      <c r="J1149" s="1" t="s">
        <v>215</v>
      </c>
      <c r="K1149" s="1" t="s">
        <v>160</v>
      </c>
      <c r="L1149" s="1" t="s">
        <v>216</v>
      </c>
      <c r="M1149" s="1" t="s">
        <v>131</v>
      </c>
      <c r="Q1149" s="1" t="s">
        <v>137</v>
      </c>
      <c r="R1149" s="1" t="s">
        <v>137</v>
      </c>
      <c r="S1149" s="1" t="s">
        <v>47</v>
      </c>
      <c r="T1149" s="1" t="s">
        <v>4301</v>
      </c>
      <c r="U1149" s="1" t="s">
        <v>1577</v>
      </c>
      <c r="V1149" s="1" t="s">
        <v>3858</v>
      </c>
      <c r="W1149" s="3">
        <v>46174.0</v>
      </c>
      <c r="X1149" s="3">
        <v>46174.0</v>
      </c>
    </row>
    <row r="1150">
      <c r="A1150" s="1" t="s">
        <v>15575</v>
      </c>
      <c r="B1150" s="1" t="s">
        <v>10020</v>
      </c>
      <c r="C1150" s="1" t="s">
        <v>10020</v>
      </c>
      <c r="D1150" s="1" t="s">
        <v>4293</v>
      </c>
      <c r="E1150" s="1" t="s">
        <v>10021</v>
      </c>
      <c r="F1150" s="1" t="s">
        <v>15576</v>
      </c>
      <c r="G1150" s="3">
        <v>45404.0</v>
      </c>
      <c r="H1150" s="3">
        <v>45593.0</v>
      </c>
      <c r="I1150" s="3">
        <v>45593.0</v>
      </c>
      <c r="J1150" s="1" t="s">
        <v>215</v>
      </c>
      <c r="K1150" s="1" t="s">
        <v>160</v>
      </c>
      <c r="L1150" s="1" t="s">
        <v>216</v>
      </c>
      <c r="M1150" s="1" t="s">
        <v>131</v>
      </c>
      <c r="Q1150" s="1" t="s">
        <v>137</v>
      </c>
      <c r="R1150" s="1" t="s">
        <v>137</v>
      </c>
      <c r="S1150" s="1" t="s">
        <v>47</v>
      </c>
      <c r="T1150" s="1" t="s">
        <v>4301</v>
      </c>
      <c r="U1150" s="1" t="s">
        <v>1577</v>
      </c>
      <c r="V1150" s="1" t="s">
        <v>3858</v>
      </c>
      <c r="W1150" s="3">
        <v>45593.0</v>
      </c>
      <c r="X1150" s="3">
        <v>45593.0</v>
      </c>
    </row>
    <row r="1151">
      <c r="A1151" s="1" t="s">
        <v>15577</v>
      </c>
      <c r="B1151" s="1" t="s">
        <v>10020</v>
      </c>
      <c r="C1151" s="1" t="s">
        <v>10020</v>
      </c>
      <c r="D1151" s="1" t="s">
        <v>4293</v>
      </c>
      <c r="E1151" s="1" t="s">
        <v>10021</v>
      </c>
      <c r="F1151" s="1" t="s">
        <v>15578</v>
      </c>
      <c r="G1151" s="3">
        <v>45404.0</v>
      </c>
      <c r="H1151" s="3">
        <v>45593.0</v>
      </c>
      <c r="I1151" s="3">
        <v>45593.0</v>
      </c>
      <c r="J1151" s="1" t="s">
        <v>215</v>
      </c>
      <c r="K1151" s="1" t="s">
        <v>160</v>
      </c>
      <c r="L1151" s="1" t="s">
        <v>216</v>
      </c>
      <c r="M1151" s="1" t="s">
        <v>131</v>
      </c>
      <c r="Q1151" s="1" t="s">
        <v>137</v>
      </c>
      <c r="R1151" s="1" t="s">
        <v>137</v>
      </c>
      <c r="S1151" s="1" t="s">
        <v>47</v>
      </c>
      <c r="T1151" s="1" t="s">
        <v>4301</v>
      </c>
      <c r="U1151" s="1" t="s">
        <v>1577</v>
      </c>
      <c r="V1151" s="1" t="s">
        <v>4950</v>
      </c>
      <c r="W1151" s="3">
        <v>45593.0</v>
      </c>
      <c r="X1151" s="3">
        <v>45593.0</v>
      </c>
    </row>
    <row r="1152">
      <c r="A1152" s="1" t="s">
        <v>15579</v>
      </c>
      <c r="B1152" s="1" t="s">
        <v>10027</v>
      </c>
      <c r="C1152" s="1" t="s">
        <v>10027</v>
      </c>
      <c r="D1152" s="1" t="s">
        <v>4293</v>
      </c>
      <c r="E1152" s="1" t="s">
        <v>10028</v>
      </c>
      <c r="F1152" s="1" t="s">
        <v>15580</v>
      </c>
      <c r="G1152" s="3">
        <v>45888.0</v>
      </c>
      <c r="H1152" s="3">
        <v>46049.0</v>
      </c>
      <c r="I1152" s="3">
        <v>46049.0</v>
      </c>
      <c r="J1152" s="1" t="s">
        <v>215</v>
      </c>
      <c r="K1152" s="1" t="s">
        <v>160</v>
      </c>
      <c r="L1152" s="1" t="s">
        <v>216</v>
      </c>
      <c r="M1152" s="1" t="s">
        <v>131</v>
      </c>
      <c r="Q1152" s="1" t="s">
        <v>137</v>
      </c>
      <c r="R1152" s="1" t="s">
        <v>137</v>
      </c>
      <c r="S1152" s="1" t="s">
        <v>47</v>
      </c>
      <c r="T1152" s="1" t="s">
        <v>4301</v>
      </c>
      <c r="U1152" s="1" t="s">
        <v>1577</v>
      </c>
      <c r="V1152" s="1" t="s">
        <v>3858</v>
      </c>
      <c r="W1152" s="3">
        <v>46049.0</v>
      </c>
      <c r="X1152" s="3">
        <v>46049.0</v>
      </c>
    </row>
    <row r="1153">
      <c r="A1153" s="1" t="s">
        <v>15581</v>
      </c>
      <c r="B1153" s="1" t="s">
        <v>10036</v>
      </c>
      <c r="C1153" s="1" t="s">
        <v>10036</v>
      </c>
      <c r="D1153" s="1" t="s">
        <v>4293</v>
      </c>
      <c r="E1153" s="1" t="s">
        <v>10037</v>
      </c>
      <c r="F1153" s="1" t="s">
        <v>15582</v>
      </c>
      <c r="G1153" s="3">
        <v>45229.0</v>
      </c>
      <c r="H1153" s="3">
        <v>45426.0</v>
      </c>
      <c r="I1153" s="3">
        <v>45426.0</v>
      </c>
      <c r="J1153" s="1" t="s">
        <v>215</v>
      </c>
      <c r="K1153" s="1" t="s">
        <v>160</v>
      </c>
      <c r="L1153" s="1" t="s">
        <v>216</v>
      </c>
      <c r="M1153" s="1" t="s">
        <v>131</v>
      </c>
      <c r="Q1153" s="1" t="s">
        <v>137</v>
      </c>
      <c r="R1153" s="1" t="s">
        <v>137</v>
      </c>
      <c r="S1153" s="1" t="s">
        <v>47</v>
      </c>
      <c r="T1153" s="1" t="s">
        <v>4301</v>
      </c>
      <c r="U1153" s="1" t="s">
        <v>1577</v>
      </c>
      <c r="V1153" s="1" t="s">
        <v>3858</v>
      </c>
      <c r="W1153" s="3">
        <v>45426.0</v>
      </c>
      <c r="X1153" s="3">
        <v>45426.0</v>
      </c>
    </row>
    <row r="1154">
      <c r="A1154" s="1" t="s">
        <v>15583</v>
      </c>
      <c r="B1154" s="1" t="s">
        <v>10036</v>
      </c>
      <c r="C1154" s="1" t="s">
        <v>10036</v>
      </c>
      <c r="D1154" s="1" t="s">
        <v>4293</v>
      </c>
      <c r="E1154" s="1" t="s">
        <v>10037</v>
      </c>
      <c r="F1154" s="1" t="s">
        <v>15584</v>
      </c>
      <c r="G1154" s="3">
        <v>45229.0</v>
      </c>
      <c r="H1154" s="3">
        <v>45426.0</v>
      </c>
      <c r="I1154" s="3">
        <v>45426.0</v>
      </c>
      <c r="J1154" s="1" t="s">
        <v>215</v>
      </c>
      <c r="K1154" s="1" t="s">
        <v>160</v>
      </c>
      <c r="L1154" s="1" t="s">
        <v>216</v>
      </c>
      <c r="M1154" s="1" t="s">
        <v>131</v>
      </c>
      <c r="Q1154" s="1" t="s">
        <v>137</v>
      </c>
      <c r="R1154" s="1" t="s">
        <v>137</v>
      </c>
      <c r="S1154" s="1" t="s">
        <v>47</v>
      </c>
      <c r="T1154" s="1" t="s">
        <v>4301</v>
      </c>
      <c r="U1154" s="1" t="s">
        <v>1577</v>
      </c>
      <c r="V1154" s="1" t="s">
        <v>4679</v>
      </c>
      <c r="W1154" s="3">
        <v>45426.0</v>
      </c>
      <c r="X1154" s="3">
        <v>45426.0</v>
      </c>
    </row>
    <row r="1155">
      <c r="A1155" s="1" t="s">
        <v>15585</v>
      </c>
      <c r="B1155" s="1" t="s">
        <v>10036</v>
      </c>
      <c r="C1155" s="1" t="s">
        <v>10036</v>
      </c>
      <c r="D1155" s="1" t="s">
        <v>4293</v>
      </c>
      <c r="E1155" s="1" t="s">
        <v>10037</v>
      </c>
      <c r="F1155" s="1" t="s">
        <v>15586</v>
      </c>
      <c r="G1155" s="3">
        <v>45229.0</v>
      </c>
      <c r="H1155" s="3">
        <v>45426.0</v>
      </c>
      <c r="I1155" s="3">
        <v>45426.0</v>
      </c>
      <c r="J1155" s="1" t="s">
        <v>215</v>
      </c>
      <c r="K1155" s="1" t="s">
        <v>160</v>
      </c>
      <c r="L1155" s="1" t="s">
        <v>216</v>
      </c>
      <c r="M1155" s="1" t="s">
        <v>131</v>
      </c>
      <c r="Q1155" s="1" t="s">
        <v>137</v>
      </c>
      <c r="R1155" s="1" t="s">
        <v>137</v>
      </c>
      <c r="S1155" s="1" t="s">
        <v>47</v>
      </c>
      <c r="T1155" s="1" t="s">
        <v>4301</v>
      </c>
      <c r="U1155" s="1" t="s">
        <v>1577</v>
      </c>
      <c r="V1155" s="1" t="s">
        <v>4950</v>
      </c>
      <c r="W1155" s="3">
        <v>45426.0</v>
      </c>
      <c r="X1155" s="3">
        <v>45426.0</v>
      </c>
    </row>
    <row r="1156">
      <c r="A1156" s="1" t="s">
        <v>15587</v>
      </c>
      <c r="B1156" s="1" t="s">
        <v>10036</v>
      </c>
      <c r="C1156" s="1" t="s">
        <v>10036</v>
      </c>
      <c r="D1156" s="1" t="s">
        <v>4293</v>
      </c>
      <c r="E1156" s="1" t="s">
        <v>10037</v>
      </c>
      <c r="F1156" s="1" t="s">
        <v>15588</v>
      </c>
      <c r="G1156" s="3">
        <v>45229.0</v>
      </c>
      <c r="H1156" s="3">
        <v>45426.0</v>
      </c>
      <c r="I1156" s="3">
        <v>45426.0</v>
      </c>
      <c r="J1156" s="1" t="s">
        <v>215</v>
      </c>
      <c r="K1156" s="1" t="s">
        <v>160</v>
      </c>
      <c r="L1156" s="1" t="s">
        <v>216</v>
      </c>
      <c r="M1156" s="1" t="s">
        <v>131</v>
      </c>
      <c r="Q1156" s="1" t="s">
        <v>137</v>
      </c>
      <c r="R1156" s="1" t="s">
        <v>137</v>
      </c>
      <c r="S1156" s="1" t="s">
        <v>47</v>
      </c>
      <c r="T1156" s="1" t="s">
        <v>4301</v>
      </c>
      <c r="U1156" s="1" t="s">
        <v>1577</v>
      </c>
      <c r="V1156" s="1" t="s">
        <v>5104</v>
      </c>
      <c r="W1156" s="3">
        <v>45426.0</v>
      </c>
      <c r="X1156" s="3">
        <v>45426.0</v>
      </c>
    </row>
    <row r="1157">
      <c r="A1157" s="1" t="s">
        <v>15589</v>
      </c>
      <c r="B1157" s="1" t="s">
        <v>10036</v>
      </c>
      <c r="C1157" s="1" t="s">
        <v>10036</v>
      </c>
      <c r="D1157" s="1" t="s">
        <v>4293</v>
      </c>
      <c r="E1157" s="1" t="s">
        <v>10037</v>
      </c>
      <c r="F1157" s="1" t="s">
        <v>15590</v>
      </c>
      <c r="G1157" s="3">
        <v>45229.0</v>
      </c>
      <c r="H1157" s="3">
        <v>45426.0</v>
      </c>
      <c r="I1157" s="3">
        <v>45426.0</v>
      </c>
      <c r="J1157" s="1" t="s">
        <v>215</v>
      </c>
      <c r="K1157" s="1" t="s">
        <v>160</v>
      </c>
      <c r="L1157" s="1" t="s">
        <v>216</v>
      </c>
      <c r="M1157" s="1" t="s">
        <v>131</v>
      </c>
      <c r="Q1157" s="1" t="s">
        <v>137</v>
      </c>
      <c r="R1157" s="1" t="s">
        <v>137</v>
      </c>
      <c r="S1157" s="1" t="s">
        <v>47</v>
      </c>
      <c r="T1157" s="1" t="s">
        <v>4301</v>
      </c>
      <c r="U1157" s="1" t="s">
        <v>1577</v>
      </c>
      <c r="V1157" s="1" t="s">
        <v>5120</v>
      </c>
      <c r="W1157" s="3">
        <v>45426.0</v>
      </c>
      <c r="X1157" s="3">
        <v>45426.0</v>
      </c>
    </row>
    <row r="1158">
      <c r="A1158" s="1" t="s">
        <v>15591</v>
      </c>
      <c r="B1158" s="1" t="s">
        <v>10044</v>
      </c>
      <c r="C1158" s="1" t="s">
        <v>10044</v>
      </c>
      <c r="D1158" s="1" t="s">
        <v>4293</v>
      </c>
      <c r="E1158" s="1" t="s">
        <v>10046</v>
      </c>
      <c r="F1158" s="1" t="s">
        <v>15592</v>
      </c>
      <c r="G1158" s="3">
        <v>45021.0</v>
      </c>
      <c r="H1158" s="3">
        <v>45201.0</v>
      </c>
      <c r="I1158" s="3">
        <v>45201.0</v>
      </c>
      <c r="J1158" s="1" t="s">
        <v>215</v>
      </c>
      <c r="K1158" s="1" t="s">
        <v>160</v>
      </c>
      <c r="L1158" s="1" t="s">
        <v>216</v>
      </c>
      <c r="M1158" s="1" t="s">
        <v>131</v>
      </c>
      <c r="Q1158" s="1" t="s">
        <v>137</v>
      </c>
      <c r="R1158" s="1" t="s">
        <v>137</v>
      </c>
      <c r="S1158" s="1" t="s">
        <v>47</v>
      </c>
      <c r="T1158" s="1" t="s">
        <v>4301</v>
      </c>
      <c r="U1158" s="1" t="s">
        <v>1577</v>
      </c>
      <c r="V1158" s="1" t="s">
        <v>3858</v>
      </c>
      <c r="W1158" s="3">
        <v>45201.0</v>
      </c>
      <c r="X1158" s="3">
        <v>45201.0</v>
      </c>
    </row>
    <row r="1159">
      <c r="A1159" s="1" t="s">
        <v>15593</v>
      </c>
      <c r="B1159" s="1" t="s">
        <v>10044</v>
      </c>
      <c r="C1159" s="1" t="s">
        <v>10044</v>
      </c>
      <c r="D1159" s="1" t="s">
        <v>4293</v>
      </c>
      <c r="E1159" s="1" t="s">
        <v>10046</v>
      </c>
      <c r="F1159" s="1" t="s">
        <v>15594</v>
      </c>
      <c r="G1159" s="3">
        <v>45021.0</v>
      </c>
      <c r="H1159" s="3">
        <v>45201.0</v>
      </c>
      <c r="I1159" s="3">
        <v>45201.0</v>
      </c>
      <c r="J1159" s="1" t="s">
        <v>215</v>
      </c>
      <c r="K1159" s="1" t="s">
        <v>160</v>
      </c>
      <c r="L1159" s="1" t="s">
        <v>216</v>
      </c>
      <c r="M1159" s="1" t="s">
        <v>131</v>
      </c>
      <c r="Q1159" s="1" t="s">
        <v>137</v>
      </c>
      <c r="R1159" s="1" t="s">
        <v>137</v>
      </c>
      <c r="S1159" s="1" t="s">
        <v>47</v>
      </c>
      <c r="T1159" s="1" t="s">
        <v>4301</v>
      </c>
      <c r="U1159" s="1" t="s">
        <v>1577</v>
      </c>
      <c r="V1159" s="1" t="s">
        <v>4950</v>
      </c>
      <c r="W1159" s="3">
        <v>45201.0</v>
      </c>
      <c r="X1159" s="3">
        <v>45201.0</v>
      </c>
    </row>
    <row r="1160">
      <c r="A1160" s="1" t="s">
        <v>15595</v>
      </c>
      <c r="B1160" s="1" t="s">
        <v>10052</v>
      </c>
      <c r="C1160" s="1" t="s">
        <v>10052</v>
      </c>
      <c r="D1160" s="1" t="s">
        <v>4293</v>
      </c>
      <c r="E1160" s="1" t="s">
        <v>10055</v>
      </c>
      <c r="F1160" s="1" t="s">
        <v>15596</v>
      </c>
      <c r="G1160" s="3">
        <v>45832.0</v>
      </c>
      <c r="H1160" s="3">
        <v>45925.0</v>
      </c>
      <c r="I1160" s="3">
        <v>45925.0</v>
      </c>
      <c r="J1160" s="1" t="s">
        <v>215</v>
      </c>
      <c r="K1160" s="1" t="s">
        <v>160</v>
      </c>
      <c r="L1160" s="1" t="s">
        <v>216</v>
      </c>
      <c r="M1160" s="1" t="s">
        <v>131</v>
      </c>
      <c r="Q1160" s="1" t="s">
        <v>137</v>
      </c>
      <c r="R1160" s="1" t="s">
        <v>137</v>
      </c>
      <c r="S1160" s="1" t="s">
        <v>47</v>
      </c>
      <c r="T1160" s="1" t="s">
        <v>4301</v>
      </c>
      <c r="U1160" s="1" t="s">
        <v>1577</v>
      </c>
      <c r="V1160" s="1" t="s">
        <v>3858</v>
      </c>
      <c r="W1160" s="3">
        <v>45925.0</v>
      </c>
      <c r="X1160" s="3">
        <v>45925.0</v>
      </c>
    </row>
    <row r="1161">
      <c r="A1161" s="1" t="s">
        <v>15597</v>
      </c>
      <c r="B1161" s="1" t="s">
        <v>10052</v>
      </c>
      <c r="C1161" s="1" t="s">
        <v>10052</v>
      </c>
      <c r="D1161" s="1" t="s">
        <v>4293</v>
      </c>
      <c r="E1161" s="1" t="s">
        <v>10055</v>
      </c>
      <c r="F1161" s="1" t="s">
        <v>15598</v>
      </c>
      <c r="G1161" s="3">
        <v>45832.0</v>
      </c>
      <c r="H1161" s="3">
        <v>45925.0</v>
      </c>
      <c r="I1161" s="3">
        <v>45925.0</v>
      </c>
      <c r="J1161" s="1" t="s">
        <v>215</v>
      </c>
      <c r="K1161" s="1" t="s">
        <v>160</v>
      </c>
      <c r="L1161" s="1" t="s">
        <v>216</v>
      </c>
      <c r="M1161" s="1" t="s">
        <v>131</v>
      </c>
      <c r="Q1161" s="1" t="s">
        <v>137</v>
      </c>
      <c r="R1161" s="1" t="s">
        <v>137</v>
      </c>
      <c r="S1161" s="1" t="s">
        <v>47</v>
      </c>
      <c r="T1161" s="1" t="s">
        <v>4301</v>
      </c>
      <c r="U1161" s="1" t="s">
        <v>1577</v>
      </c>
      <c r="V1161" s="1" t="s">
        <v>3865</v>
      </c>
      <c r="W1161" s="3">
        <v>45925.0</v>
      </c>
      <c r="X1161" s="3">
        <v>45925.0</v>
      </c>
    </row>
    <row r="1162">
      <c r="A1162" s="1" t="s">
        <v>15599</v>
      </c>
      <c r="B1162" s="1" t="s">
        <v>10061</v>
      </c>
      <c r="C1162" s="1" t="s">
        <v>10061</v>
      </c>
      <c r="D1162" s="1" t="s">
        <v>4293</v>
      </c>
      <c r="E1162" s="1" t="s">
        <v>10062</v>
      </c>
      <c r="F1162" s="1" t="s">
        <v>15600</v>
      </c>
      <c r="G1162" s="3">
        <v>45267.0</v>
      </c>
      <c r="H1162" s="3">
        <v>45503.0</v>
      </c>
      <c r="I1162" s="3">
        <v>45503.0</v>
      </c>
      <c r="J1162" s="1" t="s">
        <v>215</v>
      </c>
      <c r="K1162" s="1" t="s">
        <v>160</v>
      </c>
      <c r="L1162" s="1" t="s">
        <v>216</v>
      </c>
      <c r="M1162" s="1" t="s">
        <v>131</v>
      </c>
      <c r="Q1162" s="1" t="s">
        <v>137</v>
      </c>
      <c r="R1162" s="1" t="s">
        <v>137</v>
      </c>
      <c r="S1162" s="1" t="s">
        <v>47</v>
      </c>
      <c r="T1162" s="1" t="s">
        <v>4301</v>
      </c>
      <c r="U1162" s="1" t="s">
        <v>1577</v>
      </c>
      <c r="V1162" s="1" t="s">
        <v>4679</v>
      </c>
      <c r="W1162" s="3">
        <v>45503.0</v>
      </c>
      <c r="X1162" s="3">
        <v>45503.0</v>
      </c>
    </row>
    <row r="1163">
      <c r="A1163" s="1" t="s">
        <v>15601</v>
      </c>
      <c r="B1163" s="1" t="s">
        <v>10061</v>
      </c>
      <c r="C1163" s="1" t="s">
        <v>10061</v>
      </c>
      <c r="D1163" s="1" t="s">
        <v>4293</v>
      </c>
      <c r="E1163" s="1" t="s">
        <v>10062</v>
      </c>
      <c r="F1163" s="1" t="s">
        <v>15602</v>
      </c>
      <c r="G1163" s="3">
        <v>45267.0</v>
      </c>
      <c r="H1163" s="3">
        <v>45503.0</v>
      </c>
      <c r="I1163" s="3">
        <v>45503.0</v>
      </c>
      <c r="J1163" s="1" t="s">
        <v>215</v>
      </c>
      <c r="K1163" s="1" t="s">
        <v>160</v>
      </c>
      <c r="L1163" s="1" t="s">
        <v>216</v>
      </c>
      <c r="M1163" s="1" t="s">
        <v>131</v>
      </c>
      <c r="Q1163" s="1" t="s">
        <v>137</v>
      </c>
      <c r="R1163" s="1" t="s">
        <v>137</v>
      </c>
      <c r="S1163" s="1" t="s">
        <v>47</v>
      </c>
      <c r="T1163" s="1" t="s">
        <v>4301</v>
      </c>
      <c r="U1163" s="1" t="s">
        <v>1577</v>
      </c>
      <c r="V1163" s="1" t="s">
        <v>4950</v>
      </c>
      <c r="W1163" s="3">
        <v>45503.0</v>
      </c>
      <c r="X1163" s="3">
        <v>45503.0</v>
      </c>
    </row>
    <row r="1164">
      <c r="A1164" s="1" t="s">
        <v>15603</v>
      </c>
      <c r="B1164" s="1" t="s">
        <v>10061</v>
      </c>
      <c r="C1164" s="1" t="s">
        <v>10061</v>
      </c>
      <c r="D1164" s="1" t="s">
        <v>4293</v>
      </c>
      <c r="E1164" s="1" t="s">
        <v>10062</v>
      </c>
      <c r="F1164" s="1" t="s">
        <v>15604</v>
      </c>
      <c r="G1164" s="3">
        <v>45267.0</v>
      </c>
      <c r="H1164" s="3">
        <v>45503.0</v>
      </c>
      <c r="I1164" s="3">
        <v>45503.0</v>
      </c>
      <c r="J1164" s="1" t="s">
        <v>215</v>
      </c>
      <c r="K1164" s="1" t="s">
        <v>160</v>
      </c>
      <c r="L1164" s="1" t="s">
        <v>216</v>
      </c>
      <c r="M1164" s="1" t="s">
        <v>131</v>
      </c>
      <c r="Q1164" s="1" t="s">
        <v>137</v>
      </c>
      <c r="R1164" s="1" t="s">
        <v>137</v>
      </c>
      <c r="S1164" s="1" t="s">
        <v>47</v>
      </c>
      <c r="T1164" s="1" t="s">
        <v>4301</v>
      </c>
      <c r="U1164" s="1" t="s">
        <v>1577</v>
      </c>
      <c r="V1164" s="1" t="s">
        <v>5104</v>
      </c>
      <c r="W1164" s="3">
        <v>45503.0</v>
      </c>
      <c r="X1164" s="3">
        <v>45503.0</v>
      </c>
    </row>
    <row r="1165">
      <c r="A1165" s="1" t="s">
        <v>15605</v>
      </c>
      <c r="B1165" s="1" t="s">
        <v>10061</v>
      </c>
      <c r="C1165" s="1" t="s">
        <v>10061</v>
      </c>
      <c r="D1165" s="1" t="s">
        <v>4293</v>
      </c>
      <c r="E1165" s="1" t="s">
        <v>10062</v>
      </c>
      <c r="F1165" s="1" t="s">
        <v>15606</v>
      </c>
      <c r="G1165" s="3">
        <v>45267.0</v>
      </c>
      <c r="H1165" s="3">
        <v>45503.0</v>
      </c>
      <c r="I1165" s="3">
        <v>45503.0</v>
      </c>
      <c r="J1165" s="1" t="s">
        <v>215</v>
      </c>
      <c r="K1165" s="1" t="s">
        <v>160</v>
      </c>
      <c r="L1165" s="1" t="s">
        <v>216</v>
      </c>
      <c r="M1165" s="1" t="s">
        <v>131</v>
      </c>
      <c r="Q1165" s="1" t="s">
        <v>137</v>
      </c>
      <c r="R1165" s="1" t="s">
        <v>137</v>
      </c>
      <c r="S1165" s="1" t="s">
        <v>47</v>
      </c>
      <c r="T1165" s="1" t="s">
        <v>4301</v>
      </c>
      <c r="U1165" s="1" t="s">
        <v>1577</v>
      </c>
      <c r="V1165" s="1" t="s">
        <v>5120</v>
      </c>
      <c r="W1165" s="3">
        <v>45503.0</v>
      </c>
      <c r="X1165" s="3">
        <v>45503.0</v>
      </c>
    </row>
    <row r="1166">
      <c r="A1166" s="1" t="s">
        <v>15607</v>
      </c>
      <c r="B1166" s="1" t="s">
        <v>8963</v>
      </c>
      <c r="C1166" s="1" t="s">
        <v>8963</v>
      </c>
      <c r="D1166" s="1" t="s">
        <v>4293</v>
      </c>
      <c r="E1166" s="1" t="s">
        <v>10069</v>
      </c>
      <c r="F1166" s="1" t="s">
        <v>15608</v>
      </c>
      <c r="G1166" s="3">
        <v>45323.0</v>
      </c>
      <c r="H1166" s="3">
        <v>45323.0</v>
      </c>
      <c r="I1166" s="3">
        <v>45323.0</v>
      </c>
      <c r="J1166" s="1" t="s">
        <v>215</v>
      </c>
      <c r="K1166" s="1" t="s">
        <v>160</v>
      </c>
      <c r="L1166" s="1" t="s">
        <v>216</v>
      </c>
      <c r="M1166" s="1" t="s">
        <v>131</v>
      </c>
      <c r="Q1166" s="1" t="s">
        <v>137</v>
      </c>
      <c r="R1166" s="1" t="s">
        <v>137</v>
      </c>
      <c r="S1166" s="1" t="s">
        <v>47</v>
      </c>
      <c r="T1166" s="1" t="s">
        <v>4301</v>
      </c>
      <c r="U1166" s="1" t="s">
        <v>1577</v>
      </c>
      <c r="V1166" s="1" t="s">
        <v>7334</v>
      </c>
      <c r="W1166" s="3">
        <v>45323.0</v>
      </c>
      <c r="X1166" s="3">
        <v>45323.0</v>
      </c>
    </row>
    <row r="1167">
      <c r="A1167" s="1" t="s">
        <v>15609</v>
      </c>
      <c r="B1167" s="1" t="s">
        <v>8753</v>
      </c>
      <c r="C1167" s="1" t="s">
        <v>8753</v>
      </c>
      <c r="D1167" s="1" t="s">
        <v>4293</v>
      </c>
      <c r="E1167" s="1" t="s">
        <v>10077</v>
      </c>
      <c r="F1167" s="1" t="s">
        <v>15610</v>
      </c>
      <c r="G1167" s="3">
        <v>44687.0</v>
      </c>
      <c r="H1167" s="3">
        <v>44959.0</v>
      </c>
      <c r="I1167" s="3">
        <v>44959.0</v>
      </c>
      <c r="J1167" s="1" t="s">
        <v>215</v>
      </c>
      <c r="K1167" s="1" t="s">
        <v>160</v>
      </c>
      <c r="L1167" s="1" t="s">
        <v>216</v>
      </c>
      <c r="M1167" s="1" t="s">
        <v>131</v>
      </c>
      <c r="Q1167" s="1" t="s">
        <v>137</v>
      </c>
      <c r="R1167" s="1" t="s">
        <v>137</v>
      </c>
      <c r="S1167" s="1" t="s">
        <v>47</v>
      </c>
      <c r="T1167" s="1" t="s">
        <v>4301</v>
      </c>
      <c r="U1167" s="1" t="s">
        <v>1577</v>
      </c>
      <c r="V1167" s="1" t="s">
        <v>3858</v>
      </c>
      <c r="W1167" s="3">
        <v>44959.0</v>
      </c>
      <c r="X1167" s="3">
        <v>44959.0</v>
      </c>
    </row>
    <row r="1168">
      <c r="A1168" s="1" t="s">
        <v>15611</v>
      </c>
      <c r="B1168" s="1" t="s">
        <v>7766</v>
      </c>
      <c r="C1168" s="1" t="s">
        <v>7766</v>
      </c>
      <c r="D1168" s="1" t="s">
        <v>4293</v>
      </c>
      <c r="E1168" s="1" t="s">
        <v>15612</v>
      </c>
      <c r="F1168" s="1" t="s">
        <v>15613</v>
      </c>
      <c r="G1168" s="3">
        <v>45602.0</v>
      </c>
      <c r="H1168" s="3"/>
      <c r="I1168" s="3"/>
      <c r="J1168" s="1" t="s">
        <v>124</v>
      </c>
      <c r="K1168" s="1" t="s">
        <v>160</v>
      </c>
      <c r="L1168" s="1" t="s">
        <v>253</v>
      </c>
      <c r="M1168" s="1" t="s">
        <v>131</v>
      </c>
      <c r="Q1168" s="1" t="s">
        <v>137</v>
      </c>
      <c r="R1168" s="1" t="s">
        <v>137</v>
      </c>
      <c r="S1168" s="1" t="s">
        <v>47</v>
      </c>
      <c r="T1168" s="1" t="s">
        <v>4301</v>
      </c>
      <c r="U1168" s="1" t="s">
        <v>1577</v>
      </c>
      <c r="V1168" s="1" t="s">
        <v>3858</v>
      </c>
      <c r="W1168" s="3"/>
      <c r="X1168" s="3"/>
    </row>
    <row r="1169">
      <c r="A1169" s="1" t="s">
        <v>15614</v>
      </c>
      <c r="B1169" s="1" t="s">
        <v>7766</v>
      </c>
      <c r="C1169" s="1" t="s">
        <v>7766</v>
      </c>
      <c r="D1169" s="1" t="s">
        <v>4293</v>
      </c>
      <c r="E1169" s="1" t="s">
        <v>15612</v>
      </c>
      <c r="F1169" s="1" t="s">
        <v>15615</v>
      </c>
      <c r="G1169" s="3">
        <v>45602.0</v>
      </c>
      <c r="H1169" s="3"/>
      <c r="I1169" s="3"/>
      <c r="J1169" s="1" t="s">
        <v>124</v>
      </c>
      <c r="K1169" s="1" t="s">
        <v>160</v>
      </c>
      <c r="L1169" s="1" t="s">
        <v>253</v>
      </c>
      <c r="M1169" s="1" t="s">
        <v>131</v>
      </c>
      <c r="Q1169" s="1" t="s">
        <v>137</v>
      </c>
      <c r="R1169" s="1" t="s">
        <v>137</v>
      </c>
      <c r="S1169" s="1" t="s">
        <v>47</v>
      </c>
      <c r="T1169" s="1" t="s">
        <v>4301</v>
      </c>
      <c r="U1169" s="1" t="s">
        <v>1577</v>
      </c>
      <c r="V1169" s="1" t="s">
        <v>4950</v>
      </c>
      <c r="W1169" s="3"/>
      <c r="X1169" s="3"/>
    </row>
    <row r="1170">
      <c r="A1170" s="1" t="s">
        <v>15616</v>
      </c>
      <c r="B1170" s="1" t="s">
        <v>9974</v>
      </c>
      <c r="C1170" s="1" t="s">
        <v>9974</v>
      </c>
      <c r="D1170" s="1" t="s">
        <v>4293</v>
      </c>
      <c r="E1170" s="1" t="s">
        <v>10083</v>
      </c>
      <c r="F1170" s="1" t="s">
        <v>15617</v>
      </c>
      <c r="G1170" s="3">
        <v>45681.0</v>
      </c>
      <c r="H1170" s="3">
        <v>45867.0</v>
      </c>
      <c r="I1170" s="3">
        <v>45867.0</v>
      </c>
      <c r="J1170" s="1" t="s">
        <v>215</v>
      </c>
      <c r="K1170" s="1" t="s">
        <v>160</v>
      </c>
      <c r="L1170" s="1" t="s">
        <v>216</v>
      </c>
      <c r="M1170" s="1" t="s">
        <v>131</v>
      </c>
      <c r="Q1170" s="1" t="s">
        <v>137</v>
      </c>
      <c r="R1170" s="1" t="s">
        <v>137</v>
      </c>
      <c r="S1170" s="1" t="s">
        <v>47</v>
      </c>
      <c r="T1170" s="1" t="s">
        <v>4301</v>
      </c>
      <c r="U1170" s="1" t="s">
        <v>1577</v>
      </c>
      <c r="V1170" s="1" t="s">
        <v>3858</v>
      </c>
      <c r="W1170" s="3">
        <v>45867.0</v>
      </c>
      <c r="X1170" s="3">
        <v>45867.0</v>
      </c>
    </row>
    <row r="1171">
      <c r="A1171" s="1" t="s">
        <v>15618</v>
      </c>
      <c r="B1171" s="1" t="s">
        <v>9974</v>
      </c>
      <c r="C1171" s="1" t="s">
        <v>9974</v>
      </c>
      <c r="D1171" s="1" t="s">
        <v>4293</v>
      </c>
      <c r="E1171" s="1" t="s">
        <v>10083</v>
      </c>
      <c r="F1171" s="1" t="s">
        <v>15619</v>
      </c>
      <c r="G1171" s="3">
        <v>45681.0</v>
      </c>
      <c r="H1171" s="3">
        <v>45867.0</v>
      </c>
      <c r="I1171" s="3">
        <v>45867.0</v>
      </c>
      <c r="J1171" s="1" t="s">
        <v>215</v>
      </c>
      <c r="K1171" s="1" t="s">
        <v>160</v>
      </c>
      <c r="L1171" s="1" t="s">
        <v>216</v>
      </c>
      <c r="M1171" s="1" t="s">
        <v>131</v>
      </c>
      <c r="Q1171" s="1" t="s">
        <v>137</v>
      </c>
      <c r="R1171" s="1" t="s">
        <v>137</v>
      </c>
      <c r="S1171" s="1" t="s">
        <v>47</v>
      </c>
      <c r="T1171" s="1" t="s">
        <v>4301</v>
      </c>
      <c r="U1171" s="1" t="s">
        <v>1577</v>
      </c>
      <c r="V1171" s="1" t="s">
        <v>4950</v>
      </c>
      <c r="W1171" s="3">
        <v>45867.0</v>
      </c>
      <c r="X1171" s="3">
        <v>45867.0</v>
      </c>
    </row>
    <row r="1172">
      <c r="A1172" s="1" t="s">
        <v>15620</v>
      </c>
      <c r="B1172" s="1" t="s">
        <v>8189</v>
      </c>
      <c r="C1172" s="1" t="s">
        <v>8189</v>
      </c>
      <c r="D1172" s="1" t="s">
        <v>4293</v>
      </c>
      <c r="E1172" s="1" t="s">
        <v>10090</v>
      </c>
      <c r="F1172" s="1" t="s">
        <v>15621</v>
      </c>
      <c r="G1172" s="3">
        <v>44313.0</v>
      </c>
      <c r="H1172" s="3">
        <v>44375.0</v>
      </c>
      <c r="I1172" s="3">
        <v>44375.0</v>
      </c>
      <c r="J1172" s="1" t="s">
        <v>215</v>
      </c>
      <c r="K1172" s="1" t="s">
        <v>160</v>
      </c>
      <c r="L1172" s="1" t="s">
        <v>216</v>
      </c>
      <c r="M1172" s="1" t="s">
        <v>131</v>
      </c>
      <c r="Q1172" s="1" t="s">
        <v>137</v>
      </c>
      <c r="R1172" s="1" t="s">
        <v>137</v>
      </c>
      <c r="S1172" s="1" t="s">
        <v>47</v>
      </c>
      <c r="T1172" s="1" t="s">
        <v>4301</v>
      </c>
      <c r="U1172" s="1" t="s">
        <v>1577</v>
      </c>
      <c r="V1172" s="1" t="s">
        <v>4679</v>
      </c>
      <c r="W1172" s="3">
        <v>44375.0</v>
      </c>
      <c r="X1172" s="3">
        <v>44375.0</v>
      </c>
    </row>
    <row r="1173">
      <c r="A1173" s="1" t="s">
        <v>15622</v>
      </c>
      <c r="B1173" s="1" t="s">
        <v>8189</v>
      </c>
      <c r="C1173" s="1" t="s">
        <v>8189</v>
      </c>
      <c r="D1173" s="1" t="s">
        <v>4293</v>
      </c>
      <c r="E1173" s="1" t="s">
        <v>10090</v>
      </c>
      <c r="F1173" s="1" t="s">
        <v>15623</v>
      </c>
      <c r="G1173" s="3">
        <v>44313.0</v>
      </c>
      <c r="H1173" s="3">
        <v>44375.0</v>
      </c>
      <c r="I1173" s="3">
        <v>44375.0</v>
      </c>
      <c r="J1173" s="1" t="s">
        <v>215</v>
      </c>
      <c r="K1173" s="1" t="s">
        <v>160</v>
      </c>
      <c r="L1173" s="1" t="s">
        <v>216</v>
      </c>
      <c r="M1173" s="1" t="s">
        <v>131</v>
      </c>
      <c r="Q1173" s="1" t="s">
        <v>137</v>
      </c>
      <c r="R1173" s="1" t="s">
        <v>137</v>
      </c>
      <c r="S1173" s="1" t="s">
        <v>47</v>
      </c>
      <c r="T1173" s="1" t="s">
        <v>4301</v>
      </c>
      <c r="U1173" s="1" t="s">
        <v>1577</v>
      </c>
      <c r="V1173" s="1" t="s">
        <v>4950</v>
      </c>
      <c r="W1173" s="3">
        <v>44375.0</v>
      </c>
      <c r="X1173" s="3">
        <v>44375.0</v>
      </c>
    </row>
    <row r="1174">
      <c r="A1174" s="1" t="s">
        <v>15624</v>
      </c>
      <c r="B1174" s="1" t="s">
        <v>8189</v>
      </c>
      <c r="C1174" s="1" t="s">
        <v>8189</v>
      </c>
      <c r="D1174" s="1" t="s">
        <v>4293</v>
      </c>
      <c r="E1174" s="1" t="s">
        <v>10090</v>
      </c>
      <c r="F1174" s="1" t="s">
        <v>15625</v>
      </c>
      <c r="G1174" s="3">
        <v>44313.0</v>
      </c>
      <c r="H1174" s="3">
        <v>44375.0</v>
      </c>
      <c r="I1174" s="3">
        <v>44375.0</v>
      </c>
      <c r="J1174" s="1" t="s">
        <v>215</v>
      </c>
      <c r="K1174" s="1" t="s">
        <v>160</v>
      </c>
      <c r="L1174" s="1" t="s">
        <v>216</v>
      </c>
      <c r="M1174" s="1" t="s">
        <v>131</v>
      </c>
      <c r="Q1174" s="1" t="s">
        <v>137</v>
      </c>
      <c r="R1174" s="1" t="s">
        <v>137</v>
      </c>
      <c r="S1174" s="1" t="s">
        <v>47</v>
      </c>
      <c r="T1174" s="1" t="s">
        <v>4301</v>
      </c>
      <c r="U1174" s="1" t="s">
        <v>1577</v>
      </c>
      <c r="V1174" s="1" t="s">
        <v>5104</v>
      </c>
      <c r="W1174" s="3">
        <v>44375.0</v>
      </c>
      <c r="X1174" s="3">
        <v>44375.0</v>
      </c>
    </row>
    <row r="1175">
      <c r="A1175" s="1" t="s">
        <v>15626</v>
      </c>
      <c r="B1175" s="1" t="s">
        <v>8189</v>
      </c>
      <c r="C1175" s="1" t="s">
        <v>8189</v>
      </c>
      <c r="D1175" s="1" t="s">
        <v>4293</v>
      </c>
      <c r="E1175" s="1" t="s">
        <v>10090</v>
      </c>
      <c r="F1175" s="1" t="s">
        <v>15627</v>
      </c>
      <c r="G1175" s="3">
        <v>44313.0</v>
      </c>
      <c r="H1175" s="3">
        <v>44375.0</v>
      </c>
      <c r="I1175" s="3">
        <v>44375.0</v>
      </c>
      <c r="J1175" s="1" t="s">
        <v>215</v>
      </c>
      <c r="K1175" s="1" t="s">
        <v>160</v>
      </c>
      <c r="L1175" s="1" t="s">
        <v>216</v>
      </c>
      <c r="M1175" s="1" t="s">
        <v>131</v>
      </c>
      <c r="Q1175" s="1" t="s">
        <v>137</v>
      </c>
      <c r="R1175" s="1" t="s">
        <v>137</v>
      </c>
      <c r="S1175" s="1" t="s">
        <v>47</v>
      </c>
      <c r="T1175" s="1" t="s">
        <v>4301</v>
      </c>
      <c r="U1175" s="1" t="s">
        <v>1577</v>
      </c>
      <c r="V1175" s="1" t="s">
        <v>5120</v>
      </c>
      <c r="W1175" s="3">
        <v>44375.0</v>
      </c>
      <c r="X1175" s="3">
        <v>44375.0</v>
      </c>
    </row>
    <row r="1176">
      <c r="A1176" s="1" t="s">
        <v>15628</v>
      </c>
      <c r="B1176" s="1" t="s">
        <v>9008</v>
      </c>
      <c r="C1176" s="1" t="s">
        <v>9008</v>
      </c>
      <c r="D1176" s="1" t="s">
        <v>4293</v>
      </c>
      <c r="E1176" s="1" t="s">
        <v>10097</v>
      </c>
      <c r="F1176" s="1" t="s">
        <v>15629</v>
      </c>
      <c r="G1176" s="3">
        <v>46051.0</v>
      </c>
      <c r="H1176" s="3">
        <v>46056.0</v>
      </c>
      <c r="I1176" s="3">
        <v>46056.0</v>
      </c>
      <c r="J1176" s="1" t="s">
        <v>215</v>
      </c>
      <c r="K1176" s="1" t="s">
        <v>160</v>
      </c>
      <c r="L1176" s="1" t="s">
        <v>216</v>
      </c>
      <c r="M1176" s="1" t="s">
        <v>131</v>
      </c>
      <c r="Q1176" s="1" t="s">
        <v>137</v>
      </c>
      <c r="R1176" s="1" t="s">
        <v>137</v>
      </c>
      <c r="S1176" s="1" t="s">
        <v>47</v>
      </c>
      <c r="T1176" s="1" t="s">
        <v>4301</v>
      </c>
      <c r="U1176" s="1" t="s">
        <v>1577</v>
      </c>
      <c r="V1176" s="1" t="s">
        <v>4679</v>
      </c>
      <c r="W1176" s="3">
        <v>46056.0</v>
      </c>
      <c r="X1176" s="3">
        <v>46056.0</v>
      </c>
    </row>
    <row r="1177">
      <c r="A1177" s="1" t="s">
        <v>15630</v>
      </c>
      <c r="B1177" s="1" t="s">
        <v>9008</v>
      </c>
      <c r="C1177" s="1" t="s">
        <v>9008</v>
      </c>
      <c r="D1177" s="1" t="s">
        <v>4293</v>
      </c>
      <c r="E1177" s="1" t="s">
        <v>10097</v>
      </c>
      <c r="F1177" s="1" t="s">
        <v>15631</v>
      </c>
      <c r="G1177" s="3">
        <v>46051.0</v>
      </c>
      <c r="H1177" s="3">
        <v>46056.0</v>
      </c>
      <c r="I1177" s="3">
        <v>46056.0</v>
      </c>
      <c r="J1177" s="1" t="s">
        <v>215</v>
      </c>
      <c r="K1177" s="1" t="s">
        <v>160</v>
      </c>
      <c r="L1177" s="1" t="s">
        <v>216</v>
      </c>
      <c r="M1177" s="1" t="s">
        <v>131</v>
      </c>
      <c r="Q1177" s="1" t="s">
        <v>137</v>
      </c>
      <c r="R1177" s="1" t="s">
        <v>137</v>
      </c>
      <c r="S1177" s="1" t="s">
        <v>47</v>
      </c>
      <c r="T1177" s="1" t="s">
        <v>4301</v>
      </c>
      <c r="U1177" s="1" t="s">
        <v>1577</v>
      </c>
      <c r="V1177" s="1" t="s">
        <v>4950</v>
      </c>
      <c r="W1177" s="3">
        <v>46056.0</v>
      </c>
      <c r="X1177" s="3">
        <v>46056.0</v>
      </c>
    </row>
    <row r="1178">
      <c r="A1178" s="1" t="s">
        <v>15632</v>
      </c>
      <c r="B1178" s="1" t="s">
        <v>9008</v>
      </c>
      <c r="C1178" s="1" t="s">
        <v>9008</v>
      </c>
      <c r="D1178" s="1" t="s">
        <v>4293</v>
      </c>
      <c r="E1178" s="1" t="s">
        <v>10097</v>
      </c>
      <c r="F1178" s="1" t="s">
        <v>15633</v>
      </c>
      <c r="G1178" s="3">
        <v>46051.0</v>
      </c>
      <c r="H1178" s="3">
        <v>46056.0</v>
      </c>
      <c r="I1178" s="3">
        <v>46056.0</v>
      </c>
      <c r="J1178" s="1" t="s">
        <v>215</v>
      </c>
      <c r="K1178" s="1" t="s">
        <v>160</v>
      </c>
      <c r="L1178" s="1" t="s">
        <v>216</v>
      </c>
      <c r="M1178" s="1" t="s">
        <v>131</v>
      </c>
      <c r="Q1178" s="1" t="s">
        <v>137</v>
      </c>
      <c r="R1178" s="1" t="s">
        <v>137</v>
      </c>
      <c r="S1178" s="1" t="s">
        <v>47</v>
      </c>
      <c r="T1178" s="1" t="s">
        <v>4301</v>
      </c>
      <c r="U1178" s="1" t="s">
        <v>1577</v>
      </c>
      <c r="V1178" s="1" t="s">
        <v>5104</v>
      </c>
      <c r="W1178" s="3">
        <v>46056.0</v>
      </c>
      <c r="X1178" s="3">
        <v>46056.0</v>
      </c>
    </row>
    <row r="1179">
      <c r="A1179" s="1" t="s">
        <v>15634</v>
      </c>
      <c r="B1179" s="1" t="s">
        <v>9008</v>
      </c>
      <c r="C1179" s="1" t="s">
        <v>9008</v>
      </c>
      <c r="D1179" s="1" t="s">
        <v>4293</v>
      </c>
      <c r="E1179" s="1" t="s">
        <v>10097</v>
      </c>
      <c r="F1179" s="1" t="s">
        <v>15635</v>
      </c>
      <c r="G1179" s="3">
        <v>46051.0</v>
      </c>
      <c r="H1179" s="3">
        <v>46056.0</v>
      </c>
      <c r="I1179" s="3">
        <v>46056.0</v>
      </c>
      <c r="J1179" s="1" t="s">
        <v>215</v>
      </c>
      <c r="K1179" s="1" t="s">
        <v>160</v>
      </c>
      <c r="L1179" s="1" t="s">
        <v>216</v>
      </c>
      <c r="M1179" s="1" t="s">
        <v>131</v>
      </c>
      <c r="Q1179" s="1" t="s">
        <v>137</v>
      </c>
      <c r="R1179" s="1" t="s">
        <v>137</v>
      </c>
      <c r="S1179" s="1" t="s">
        <v>47</v>
      </c>
      <c r="T1179" s="1" t="s">
        <v>4301</v>
      </c>
      <c r="U1179" s="1" t="s">
        <v>1577</v>
      </c>
      <c r="V1179" s="1" t="s">
        <v>5120</v>
      </c>
      <c r="W1179" s="3">
        <v>46056.0</v>
      </c>
      <c r="X1179" s="3">
        <v>46056.0</v>
      </c>
    </row>
    <row r="1180">
      <c r="A1180" s="1" t="s">
        <v>15636</v>
      </c>
      <c r="B1180" s="1" t="s">
        <v>10103</v>
      </c>
      <c r="C1180" s="1" t="s">
        <v>10103</v>
      </c>
      <c r="D1180" s="1" t="s">
        <v>4293</v>
      </c>
      <c r="E1180" s="1" t="s">
        <v>10104</v>
      </c>
      <c r="F1180" s="1" t="s">
        <v>15637</v>
      </c>
      <c r="G1180" s="3">
        <v>45883.0</v>
      </c>
      <c r="H1180" s="3">
        <v>45980.0</v>
      </c>
      <c r="I1180" s="3">
        <v>45980.0</v>
      </c>
      <c r="J1180" s="1" t="s">
        <v>215</v>
      </c>
      <c r="K1180" s="1" t="s">
        <v>160</v>
      </c>
      <c r="L1180" s="1" t="s">
        <v>216</v>
      </c>
      <c r="M1180" s="1" t="s">
        <v>131</v>
      </c>
      <c r="Q1180" s="1" t="s">
        <v>137</v>
      </c>
      <c r="R1180" s="1" t="s">
        <v>137</v>
      </c>
      <c r="S1180" s="1" t="s">
        <v>47</v>
      </c>
      <c r="T1180" s="1" t="s">
        <v>4301</v>
      </c>
      <c r="U1180" s="1" t="s">
        <v>1577</v>
      </c>
      <c r="V1180" s="1" t="s">
        <v>4679</v>
      </c>
      <c r="W1180" s="3">
        <v>45980.0</v>
      </c>
      <c r="X1180" s="3">
        <v>45980.0</v>
      </c>
    </row>
    <row r="1181">
      <c r="A1181" s="1" t="s">
        <v>15638</v>
      </c>
      <c r="B1181" s="1" t="s">
        <v>10103</v>
      </c>
      <c r="C1181" s="1" t="s">
        <v>10103</v>
      </c>
      <c r="D1181" s="1" t="s">
        <v>4293</v>
      </c>
      <c r="E1181" s="1" t="s">
        <v>10104</v>
      </c>
      <c r="F1181" s="1" t="s">
        <v>15639</v>
      </c>
      <c r="G1181" s="3">
        <v>45883.0</v>
      </c>
      <c r="H1181" s="3">
        <v>45980.0</v>
      </c>
      <c r="I1181" s="3">
        <v>45980.0</v>
      </c>
      <c r="J1181" s="1" t="s">
        <v>215</v>
      </c>
      <c r="K1181" s="1" t="s">
        <v>160</v>
      </c>
      <c r="L1181" s="1" t="s">
        <v>216</v>
      </c>
      <c r="M1181" s="1" t="s">
        <v>131</v>
      </c>
      <c r="Q1181" s="1" t="s">
        <v>137</v>
      </c>
      <c r="R1181" s="1" t="s">
        <v>137</v>
      </c>
      <c r="S1181" s="1" t="s">
        <v>47</v>
      </c>
      <c r="T1181" s="1" t="s">
        <v>4301</v>
      </c>
      <c r="U1181" s="1" t="s">
        <v>1577</v>
      </c>
      <c r="V1181" s="1" t="s">
        <v>4950</v>
      </c>
      <c r="W1181" s="3">
        <v>45980.0</v>
      </c>
      <c r="X1181" s="3">
        <v>45980.0</v>
      </c>
    </row>
    <row r="1182">
      <c r="A1182" s="1" t="s">
        <v>15640</v>
      </c>
      <c r="B1182" s="1" t="s">
        <v>10103</v>
      </c>
      <c r="C1182" s="1" t="s">
        <v>10103</v>
      </c>
      <c r="D1182" s="1" t="s">
        <v>4293</v>
      </c>
      <c r="E1182" s="1" t="s">
        <v>10104</v>
      </c>
      <c r="F1182" s="1" t="s">
        <v>15641</v>
      </c>
      <c r="G1182" s="3">
        <v>45883.0</v>
      </c>
      <c r="H1182" s="3">
        <v>45980.0</v>
      </c>
      <c r="I1182" s="3">
        <v>45980.0</v>
      </c>
      <c r="J1182" s="1" t="s">
        <v>215</v>
      </c>
      <c r="K1182" s="1" t="s">
        <v>160</v>
      </c>
      <c r="L1182" s="1" t="s">
        <v>216</v>
      </c>
      <c r="M1182" s="1" t="s">
        <v>131</v>
      </c>
      <c r="Q1182" s="1" t="s">
        <v>137</v>
      </c>
      <c r="R1182" s="1" t="s">
        <v>137</v>
      </c>
      <c r="S1182" s="1" t="s">
        <v>47</v>
      </c>
      <c r="T1182" s="1" t="s">
        <v>4301</v>
      </c>
      <c r="U1182" s="1" t="s">
        <v>1577</v>
      </c>
      <c r="V1182" s="1" t="s">
        <v>5104</v>
      </c>
      <c r="W1182" s="3">
        <v>45980.0</v>
      </c>
      <c r="X1182" s="3">
        <v>45980.0</v>
      </c>
    </row>
    <row r="1183">
      <c r="A1183" s="1" t="s">
        <v>15642</v>
      </c>
      <c r="B1183" s="1" t="s">
        <v>10103</v>
      </c>
      <c r="C1183" s="1" t="s">
        <v>10103</v>
      </c>
      <c r="D1183" s="1" t="s">
        <v>4293</v>
      </c>
      <c r="E1183" s="1" t="s">
        <v>10104</v>
      </c>
      <c r="F1183" s="1" t="s">
        <v>15643</v>
      </c>
      <c r="G1183" s="3">
        <v>45883.0</v>
      </c>
      <c r="H1183" s="3">
        <v>45980.0</v>
      </c>
      <c r="I1183" s="3">
        <v>45980.0</v>
      </c>
      <c r="J1183" s="1" t="s">
        <v>215</v>
      </c>
      <c r="K1183" s="1" t="s">
        <v>160</v>
      </c>
      <c r="L1183" s="1" t="s">
        <v>216</v>
      </c>
      <c r="M1183" s="1" t="s">
        <v>131</v>
      </c>
      <c r="Q1183" s="1" t="s">
        <v>137</v>
      </c>
      <c r="R1183" s="1" t="s">
        <v>137</v>
      </c>
      <c r="S1183" s="1" t="s">
        <v>47</v>
      </c>
      <c r="T1183" s="1" t="s">
        <v>4301</v>
      </c>
      <c r="U1183" s="1" t="s">
        <v>1577</v>
      </c>
      <c r="V1183" s="1" t="s">
        <v>5120</v>
      </c>
      <c r="W1183" s="3">
        <v>45980.0</v>
      </c>
      <c r="X1183" s="3">
        <v>45980.0</v>
      </c>
    </row>
    <row r="1184">
      <c r="A1184" s="1" t="s">
        <v>15644</v>
      </c>
      <c r="B1184" s="1" t="s">
        <v>10109</v>
      </c>
      <c r="C1184" s="1" t="s">
        <v>10109</v>
      </c>
      <c r="D1184" s="1" t="s">
        <v>4293</v>
      </c>
      <c r="E1184" s="1" t="s">
        <v>10111</v>
      </c>
      <c r="F1184" s="1" t="s">
        <v>15645</v>
      </c>
      <c r="G1184" s="3">
        <v>44575.0</v>
      </c>
      <c r="H1184" s="3">
        <v>44729.0</v>
      </c>
      <c r="I1184" s="3">
        <v>44729.0</v>
      </c>
      <c r="J1184" s="1" t="s">
        <v>215</v>
      </c>
      <c r="K1184" s="1" t="s">
        <v>160</v>
      </c>
      <c r="L1184" s="1" t="s">
        <v>216</v>
      </c>
      <c r="M1184" s="1" t="s">
        <v>131</v>
      </c>
      <c r="Q1184" s="1" t="s">
        <v>137</v>
      </c>
      <c r="R1184" s="1" t="s">
        <v>137</v>
      </c>
      <c r="S1184" s="1" t="s">
        <v>47</v>
      </c>
      <c r="T1184" s="1" t="s">
        <v>4301</v>
      </c>
      <c r="U1184" s="1" t="s">
        <v>1577</v>
      </c>
      <c r="V1184" s="1" t="s">
        <v>3858</v>
      </c>
      <c r="W1184" s="3">
        <v>44729.0</v>
      </c>
      <c r="X1184" s="3">
        <v>44729.0</v>
      </c>
    </row>
    <row r="1185">
      <c r="A1185" s="1" t="s">
        <v>15646</v>
      </c>
      <c r="B1185" s="1" t="s">
        <v>9056</v>
      </c>
      <c r="C1185" s="1" t="s">
        <v>9056</v>
      </c>
      <c r="D1185" s="1" t="s">
        <v>4293</v>
      </c>
      <c r="E1185" s="1" t="s">
        <v>10121</v>
      </c>
      <c r="F1185" s="1" t="s">
        <v>15647</v>
      </c>
      <c r="G1185" s="3">
        <v>44277.0</v>
      </c>
      <c r="H1185" s="3">
        <v>44277.0</v>
      </c>
      <c r="I1185" s="3">
        <v>44277.0</v>
      </c>
      <c r="J1185" s="1" t="s">
        <v>215</v>
      </c>
      <c r="K1185" s="1" t="s">
        <v>160</v>
      </c>
      <c r="L1185" s="1" t="s">
        <v>216</v>
      </c>
      <c r="M1185" s="1" t="s">
        <v>131</v>
      </c>
      <c r="Q1185" s="1" t="s">
        <v>137</v>
      </c>
      <c r="R1185" s="1" t="s">
        <v>137</v>
      </c>
      <c r="S1185" s="1" t="s">
        <v>47</v>
      </c>
      <c r="T1185" s="1" t="s">
        <v>4301</v>
      </c>
      <c r="U1185" s="1" t="s">
        <v>1577</v>
      </c>
      <c r="V1185" s="1" t="s">
        <v>3858</v>
      </c>
      <c r="W1185" s="3">
        <v>44277.0</v>
      </c>
      <c r="X1185" s="3">
        <v>44277.0</v>
      </c>
    </row>
    <row r="1186">
      <c r="A1186" s="1" t="s">
        <v>15648</v>
      </c>
      <c r="B1186" s="1" t="s">
        <v>10127</v>
      </c>
      <c r="C1186" s="1" t="s">
        <v>10127</v>
      </c>
      <c r="D1186" s="1" t="s">
        <v>4293</v>
      </c>
      <c r="E1186" s="1" t="s">
        <v>10129</v>
      </c>
      <c r="F1186" s="1" t="s">
        <v>15649</v>
      </c>
      <c r="G1186" s="3">
        <v>44378.0</v>
      </c>
      <c r="H1186" s="3">
        <v>44378.0</v>
      </c>
      <c r="I1186" s="3">
        <v>44378.0</v>
      </c>
      <c r="J1186" s="1" t="s">
        <v>215</v>
      </c>
      <c r="K1186" s="1" t="s">
        <v>160</v>
      </c>
      <c r="L1186" s="1" t="s">
        <v>216</v>
      </c>
      <c r="M1186" s="1" t="s">
        <v>131</v>
      </c>
      <c r="Q1186" s="1" t="s">
        <v>137</v>
      </c>
      <c r="R1186" s="1" t="s">
        <v>137</v>
      </c>
      <c r="S1186" s="1" t="s">
        <v>47</v>
      </c>
      <c r="T1186" s="1" t="s">
        <v>4301</v>
      </c>
      <c r="U1186" s="1" t="s">
        <v>1577</v>
      </c>
      <c r="V1186" s="1" t="s">
        <v>4950</v>
      </c>
      <c r="W1186" s="3">
        <v>44378.0</v>
      </c>
      <c r="X1186" s="3">
        <v>44378.0</v>
      </c>
    </row>
    <row r="1187">
      <c r="A1187" s="1" t="s">
        <v>15650</v>
      </c>
      <c r="B1187" s="1" t="s">
        <v>10134</v>
      </c>
      <c r="C1187" s="1" t="s">
        <v>10134</v>
      </c>
      <c r="D1187" s="1" t="s">
        <v>4293</v>
      </c>
      <c r="E1187" s="1" t="s">
        <v>10136</v>
      </c>
      <c r="F1187" s="1" t="s">
        <v>15651</v>
      </c>
      <c r="G1187" s="3">
        <v>44348.0</v>
      </c>
      <c r="H1187" s="3">
        <v>44348.0</v>
      </c>
      <c r="I1187" s="3">
        <v>44348.0</v>
      </c>
      <c r="J1187" s="1" t="s">
        <v>215</v>
      </c>
      <c r="K1187" s="1" t="s">
        <v>160</v>
      </c>
      <c r="L1187" s="1" t="s">
        <v>216</v>
      </c>
      <c r="M1187" s="1" t="s">
        <v>131</v>
      </c>
      <c r="Q1187" s="1" t="s">
        <v>137</v>
      </c>
      <c r="R1187" s="1" t="s">
        <v>137</v>
      </c>
      <c r="S1187" s="1" t="s">
        <v>47</v>
      </c>
      <c r="T1187" s="1" t="s">
        <v>4301</v>
      </c>
      <c r="U1187" s="1" t="s">
        <v>1577</v>
      </c>
      <c r="V1187" s="1" t="s">
        <v>4950</v>
      </c>
      <c r="W1187" s="3">
        <v>44348.0</v>
      </c>
      <c r="X1187" s="3">
        <v>44348.0</v>
      </c>
    </row>
    <row r="1188">
      <c r="A1188" s="1" t="s">
        <v>15652</v>
      </c>
      <c r="B1188" s="1" t="s">
        <v>10144</v>
      </c>
      <c r="C1188" s="1" t="s">
        <v>10144</v>
      </c>
      <c r="D1188" s="1" t="s">
        <v>4293</v>
      </c>
      <c r="E1188" s="1" t="s">
        <v>10146</v>
      </c>
      <c r="F1188" s="1" t="s">
        <v>15653</v>
      </c>
      <c r="G1188" s="3">
        <v>44558.0</v>
      </c>
      <c r="H1188" s="3">
        <v>44520.0</v>
      </c>
      <c r="I1188" s="3">
        <v>44520.0</v>
      </c>
      <c r="J1188" s="1" t="s">
        <v>215</v>
      </c>
      <c r="K1188" s="1" t="s">
        <v>160</v>
      </c>
      <c r="L1188" s="1" t="s">
        <v>216</v>
      </c>
      <c r="M1188" s="1" t="s">
        <v>131</v>
      </c>
      <c r="Q1188" s="1" t="s">
        <v>137</v>
      </c>
      <c r="R1188" s="1" t="s">
        <v>137</v>
      </c>
      <c r="S1188" s="1" t="s">
        <v>47</v>
      </c>
      <c r="T1188" s="1" t="s">
        <v>4301</v>
      </c>
      <c r="U1188" s="1" t="s">
        <v>1577</v>
      </c>
      <c r="V1188" s="1" t="s">
        <v>3858</v>
      </c>
      <c r="W1188" s="3">
        <v>44520.0</v>
      </c>
      <c r="X1188" s="3">
        <v>44520.0</v>
      </c>
    </row>
    <row r="1189">
      <c r="A1189" s="1" t="s">
        <v>15654</v>
      </c>
      <c r="B1189" s="1" t="s">
        <v>6403</v>
      </c>
      <c r="C1189" s="1" t="s">
        <v>6403</v>
      </c>
      <c r="D1189" s="1" t="s">
        <v>4293</v>
      </c>
      <c r="E1189" s="1" t="s">
        <v>10153</v>
      </c>
      <c r="F1189" s="1" t="s">
        <v>15655</v>
      </c>
      <c r="G1189" s="3">
        <v>45954.0</v>
      </c>
      <c r="H1189" s="3">
        <v>45973.0</v>
      </c>
      <c r="I1189" s="3">
        <v>45973.0</v>
      </c>
      <c r="J1189" s="1" t="s">
        <v>215</v>
      </c>
      <c r="K1189" s="1" t="s">
        <v>160</v>
      </c>
      <c r="L1189" s="1" t="s">
        <v>216</v>
      </c>
      <c r="M1189" s="1" t="s">
        <v>131</v>
      </c>
      <c r="Q1189" s="1" t="s">
        <v>137</v>
      </c>
      <c r="R1189" s="1" t="s">
        <v>137</v>
      </c>
      <c r="S1189" s="1" t="s">
        <v>47</v>
      </c>
      <c r="T1189" s="1" t="s">
        <v>4301</v>
      </c>
      <c r="U1189" s="1" t="s">
        <v>1577</v>
      </c>
      <c r="V1189" s="1" t="s">
        <v>4679</v>
      </c>
      <c r="W1189" s="3">
        <v>45973.0</v>
      </c>
      <c r="X1189" s="3">
        <v>45973.0</v>
      </c>
    </row>
    <row r="1190">
      <c r="A1190" s="1" t="s">
        <v>15656</v>
      </c>
      <c r="B1190" s="1" t="s">
        <v>6403</v>
      </c>
      <c r="C1190" s="1" t="s">
        <v>6403</v>
      </c>
      <c r="D1190" s="1" t="s">
        <v>4293</v>
      </c>
      <c r="E1190" s="1" t="s">
        <v>10153</v>
      </c>
      <c r="F1190" s="1" t="s">
        <v>15657</v>
      </c>
      <c r="G1190" s="3">
        <v>45954.0</v>
      </c>
      <c r="H1190" s="3">
        <v>45973.0</v>
      </c>
      <c r="I1190" s="3">
        <v>45973.0</v>
      </c>
      <c r="J1190" s="1" t="s">
        <v>215</v>
      </c>
      <c r="K1190" s="1" t="s">
        <v>160</v>
      </c>
      <c r="L1190" s="1" t="s">
        <v>216</v>
      </c>
      <c r="M1190" s="1" t="s">
        <v>131</v>
      </c>
      <c r="Q1190" s="1" t="s">
        <v>137</v>
      </c>
      <c r="R1190" s="1" t="s">
        <v>137</v>
      </c>
      <c r="S1190" s="1" t="s">
        <v>47</v>
      </c>
      <c r="T1190" s="1" t="s">
        <v>4301</v>
      </c>
      <c r="U1190" s="1" t="s">
        <v>1577</v>
      </c>
      <c r="V1190" s="1" t="s">
        <v>4950</v>
      </c>
      <c r="W1190" s="3">
        <v>45973.0</v>
      </c>
      <c r="X1190" s="3">
        <v>45973.0</v>
      </c>
    </row>
    <row r="1191">
      <c r="A1191" s="1" t="s">
        <v>15658</v>
      </c>
      <c r="B1191" s="1" t="s">
        <v>6403</v>
      </c>
      <c r="C1191" s="1" t="s">
        <v>6403</v>
      </c>
      <c r="D1191" s="1" t="s">
        <v>4293</v>
      </c>
      <c r="E1191" s="1" t="s">
        <v>10153</v>
      </c>
      <c r="F1191" s="1" t="s">
        <v>15659</v>
      </c>
      <c r="G1191" s="3">
        <v>45954.0</v>
      </c>
      <c r="H1191" s="3">
        <v>45973.0</v>
      </c>
      <c r="I1191" s="3">
        <v>45973.0</v>
      </c>
      <c r="J1191" s="1" t="s">
        <v>215</v>
      </c>
      <c r="K1191" s="1" t="s">
        <v>160</v>
      </c>
      <c r="L1191" s="1" t="s">
        <v>216</v>
      </c>
      <c r="M1191" s="1" t="s">
        <v>131</v>
      </c>
      <c r="Q1191" s="1" t="s">
        <v>137</v>
      </c>
      <c r="R1191" s="1" t="s">
        <v>137</v>
      </c>
      <c r="S1191" s="1" t="s">
        <v>47</v>
      </c>
      <c r="T1191" s="1" t="s">
        <v>4301</v>
      </c>
      <c r="U1191" s="1" t="s">
        <v>1577</v>
      </c>
      <c r="V1191" s="1" t="s">
        <v>5104</v>
      </c>
      <c r="W1191" s="3">
        <v>45973.0</v>
      </c>
      <c r="X1191" s="3">
        <v>45973.0</v>
      </c>
    </row>
    <row r="1192">
      <c r="A1192" s="1" t="s">
        <v>15660</v>
      </c>
      <c r="B1192" s="1" t="s">
        <v>6403</v>
      </c>
      <c r="C1192" s="1" t="s">
        <v>6403</v>
      </c>
      <c r="D1192" s="1" t="s">
        <v>4293</v>
      </c>
      <c r="E1192" s="1" t="s">
        <v>10153</v>
      </c>
      <c r="F1192" s="1" t="s">
        <v>15661</v>
      </c>
      <c r="G1192" s="3">
        <v>45954.0</v>
      </c>
      <c r="H1192" s="3">
        <v>45973.0</v>
      </c>
      <c r="I1192" s="3">
        <v>45973.0</v>
      </c>
      <c r="J1192" s="1" t="s">
        <v>215</v>
      </c>
      <c r="K1192" s="1" t="s">
        <v>160</v>
      </c>
      <c r="L1192" s="1" t="s">
        <v>216</v>
      </c>
      <c r="M1192" s="1" t="s">
        <v>131</v>
      </c>
      <c r="Q1192" s="1" t="s">
        <v>137</v>
      </c>
      <c r="R1192" s="1" t="s">
        <v>137</v>
      </c>
      <c r="S1192" s="1" t="s">
        <v>47</v>
      </c>
      <c r="T1192" s="1" t="s">
        <v>4301</v>
      </c>
      <c r="U1192" s="1" t="s">
        <v>1577</v>
      </c>
      <c r="V1192" s="1" t="s">
        <v>5120</v>
      </c>
      <c r="W1192" s="3">
        <v>45973.0</v>
      </c>
      <c r="X1192" s="3">
        <v>45973.0</v>
      </c>
    </row>
    <row r="1193">
      <c r="A1193" s="1" t="s">
        <v>15662</v>
      </c>
      <c r="B1193" s="1" t="s">
        <v>10051</v>
      </c>
      <c r="C1193" s="1" t="s">
        <v>10051</v>
      </c>
      <c r="D1193" s="1" t="s">
        <v>4293</v>
      </c>
      <c r="E1193" s="1" t="s">
        <v>10161</v>
      </c>
      <c r="F1193" s="1" t="s">
        <v>15663</v>
      </c>
      <c r="G1193" s="3">
        <v>45616.0</v>
      </c>
      <c r="H1193" s="3">
        <v>45804.0</v>
      </c>
      <c r="I1193" s="3">
        <v>45804.0</v>
      </c>
      <c r="J1193" s="1" t="s">
        <v>215</v>
      </c>
      <c r="K1193" s="1" t="s">
        <v>160</v>
      </c>
      <c r="L1193" s="1" t="s">
        <v>216</v>
      </c>
      <c r="M1193" s="1" t="s">
        <v>131</v>
      </c>
      <c r="Q1193" s="1" t="s">
        <v>137</v>
      </c>
      <c r="R1193" s="1" t="s">
        <v>137</v>
      </c>
      <c r="S1193" s="1" t="s">
        <v>47</v>
      </c>
      <c r="T1193" s="1" t="s">
        <v>4301</v>
      </c>
      <c r="U1193" s="1" t="s">
        <v>1577</v>
      </c>
      <c r="V1193" s="1" t="s">
        <v>3858</v>
      </c>
      <c r="W1193" s="3">
        <v>45804.0</v>
      </c>
      <c r="X1193" s="3">
        <v>45804.0</v>
      </c>
    </row>
    <row r="1194">
      <c r="A1194" s="1" t="s">
        <v>15664</v>
      </c>
      <c r="B1194" s="1" t="s">
        <v>10051</v>
      </c>
      <c r="C1194" s="1" t="s">
        <v>10051</v>
      </c>
      <c r="D1194" s="1" t="s">
        <v>4293</v>
      </c>
      <c r="E1194" s="1" t="s">
        <v>10161</v>
      </c>
      <c r="F1194" s="1" t="s">
        <v>15665</v>
      </c>
      <c r="G1194" s="3">
        <v>45616.0</v>
      </c>
      <c r="H1194" s="3">
        <v>45804.0</v>
      </c>
      <c r="I1194" s="3">
        <v>45804.0</v>
      </c>
      <c r="J1194" s="1" t="s">
        <v>215</v>
      </c>
      <c r="K1194" s="1" t="s">
        <v>160</v>
      </c>
      <c r="L1194" s="1" t="s">
        <v>216</v>
      </c>
      <c r="M1194" s="1" t="s">
        <v>131</v>
      </c>
      <c r="Q1194" s="1" t="s">
        <v>137</v>
      </c>
      <c r="R1194" s="1" t="s">
        <v>137</v>
      </c>
      <c r="S1194" s="1" t="s">
        <v>47</v>
      </c>
      <c r="T1194" s="1" t="s">
        <v>4301</v>
      </c>
      <c r="U1194" s="1" t="s">
        <v>1577</v>
      </c>
      <c r="V1194" s="1" t="s">
        <v>4950</v>
      </c>
      <c r="W1194" s="3">
        <v>45804.0</v>
      </c>
      <c r="X1194" s="3">
        <v>45804.0</v>
      </c>
    </row>
    <row r="1195">
      <c r="A1195" s="1" t="s">
        <v>15666</v>
      </c>
      <c r="B1195" s="1" t="s">
        <v>10166</v>
      </c>
      <c r="C1195" s="1" t="s">
        <v>10166</v>
      </c>
      <c r="D1195" s="1" t="s">
        <v>4293</v>
      </c>
      <c r="E1195" s="1" t="s">
        <v>10168</v>
      </c>
      <c r="F1195" s="1" t="s">
        <v>15667</v>
      </c>
      <c r="G1195" s="3">
        <v>44341.0</v>
      </c>
      <c r="H1195" s="3">
        <v>44453.0</v>
      </c>
      <c r="I1195" s="3">
        <v>44453.0</v>
      </c>
      <c r="J1195" s="1" t="s">
        <v>215</v>
      </c>
      <c r="K1195" s="1" t="s">
        <v>160</v>
      </c>
      <c r="L1195" s="1" t="s">
        <v>216</v>
      </c>
      <c r="M1195" s="1" t="s">
        <v>131</v>
      </c>
      <c r="Q1195" s="1" t="s">
        <v>137</v>
      </c>
      <c r="R1195" s="1" t="s">
        <v>137</v>
      </c>
      <c r="S1195" s="1" t="s">
        <v>47</v>
      </c>
      <c r="T1195" s="1" t="s">
        <v>4301</v>
      </c>
      <c r="U1195" s="1" t="s">
        <v>1577</v>
      </c>
      <c r="V1195" s="1" t="s">
        <v>3858</v>
      </c>
      <c r="W1195" s="3">
        <v>44453.0</v>
      </c>
      <c r="X1195" s="3">
        <v>44453.0</v>
      </c>
    </row>
    <row r="1196">
      <c r="A1196" s="1" t="s">
        <v>15668</v>
      </c>
      <c r="B1196" s="1" t="s">
        <v>9808</v>
      </c>
      <c r="C1196" s="1" t="s">
        <v>9808</v>
      </c>
      <c r="D1196" s="1" t="s">
        <v>4293</v>
      </c>
      <c r="E1196" s="1" t="s">
        <v>10178</v>
      </c>
      <c r="F1196" s="1" t="s">
        <v>15669</v>
      </c>
      <c r="G1196" s="3">
        <v>44090.0</v>
      </c>
      <c r="H1196" s="3">
        <v>44096.0</v>
      </c>
      <c r="I1196" s="3">
        <v>44096.0</v>
      </c>
      <c r="J1196" s="1" t="s">
        <v>215</v>
      </c>
      <c r="K1196" s="1" t="s">
        <v>160</v>
      </c>
      <c r="L1196" s="1" t="s">
        <v>216</v>
      </c>
      <c r="M1196" s="1" t="s">
        <v>131</v>
      </c>
      <c r="Q1196" s="1" t="s">
        <v>137</v>
      </c>
      <c r="R1196" s="1" t="s">
        <v>137</v>
      </c>
      <c r="S1196" s="1" t="s">
        <v>47</v>
      </c>
      <c r="T1196" s="1" t="s">
        <v>4301</v>
      </c>
      <c r="U1196" s="1" t="s">
        <v>1577</v>
      </c>
      <c r="V1196" s="1" t="s">
        <v>3858</v>
      </c>
      <c r="W1196" s="3">
        <v>44096.0</v>
      </c>
      <c r="X1196" s="3">
        <v>44096.0</v>
      </c>
    </row>
    <row r="1197">
      <c r="A1197" s="1" t="s">
        <v>15670</v>
      </c>
      <c r="B1197" s="1" t="s">
        <v>10184</v>
      </c>
      <c r="C1197" s="1" t="s">
        <v>10184</v>
      </c>
      <c r="D1197" s="1" t="s">
        <v>4293</v>
      </c>
      <c r="E1197" s="1" t="s">
        <v>10186</v>
      </c>
      <c r="F1197" s="1" t="s">
        <v>15671</v>
      </c>
      <c r="G1197" s="3">
        <v>44973.0</v>
      </c>
      <c r="H1197" s="3">
        <v>45015.0</v>
      </c>
      <c r="I1197" s="3">
        <v>45015.0</v>
      </c>
      <c r="J1197" s="1" t="s">
        <v>215</v>
      </c>
      <c r="K1197" s="1" t="s">
        <v>160</v>
      </c>
      <c r="L1197" s="1" t="s">
        <v>216</v>
      </c>
      <c r="M1197" s="1" t="s">
        <v>131</v>
      </c>
      <c r="Q1197" s="1" t="s">
        <v>137</v>
      </c>
      <c r="R1197" s="1" t="s">
        <v>137</v>
      </c>
      <c r="S1197" s="1" t="s">
        <v>47</v>
      </c>
      <c r="T1197" s="1" t="s">
        <v>4301</v>
      </c>
      <c r="U1197" s="1" t="s">
        <v>1577</v>
      </c>
      <c r="V1197" s="1" t="s">
        <v>4679</v>
      </c>
      <c r="W1197" s="3">
        <v>45015.0</v>
      </c>
      <c r="X1197" s="3">
        <v>45015.0</v>
      </c>
    </row>
    <row r="1198">
      <c r="A1198" s="1" t="s">
        <v>15672</v>
      </c>
      <c r="B1198" s="1" t="s">
        <v>10184</v>
      </c>
      <c r="C1198" s="1" t="s">
        <v>10184</v>
      </c>
      <c r="D1198" s="1" t="s">
        <v>4293</v>
      </c>
      <c r="E1198" s="1" t="s">
        <v>10186</v>
      </c>
      <c r="F1198" s="1" t="s">
        <v>15673</v>
      </c>
      <c r="G1198" s="3">
        <v>44973.0</v>
      </c>
      <c r="H1198" s="3">
        <v>45015.0</v>
      </c>
      <c r="I1198" s="3">
        <v>45015.0</v>
      </c>
      <c r="J1198" s="1" t="s">
        <v>215</v>
      </c>
      <c r="K1198" s="1" t="s">
        <v>160</v>
      </c>
      <c r="L1198" s="1" t="s">
        <v>216</v>
      </c>
      <c r="M1198" s="1" t="s">
        <v>131</v>
      </c>
      <c r="Q1198" s="1" t="s">
        <v>137</v>
      </c>
      <c r="R1198" s="1" t="s">
        <v>137</v>
      </c>
      <c r="S1198" s="1" t="s">
        <v>47</v>
      </c>
      <c r="T1198" s="1" t="s">
        <v>4301</v>
      </c>
      <c r="U1198" s="1" t="s">
        <v>1577</v>
      </c>
      <c r="V1198" s="1" t="s">
        <v>4950</v>
      </c>
      <c r="W1198" s="3">
        <v>45015.0</v>
      </c>
      <c r="X1198" s="3">
        <v>45015.0</v>
      </c>
    </row>
    <row r="1199">
      <c r="A1199" s="1" t="s">
        <v>15674</v>
      </c>
      <c r="B1199" s="1" t="s">
        <v>10184</v>
      </c>
      <c r="C1199" s="1" t="s">
        <v>10184</v>
      </c>
      <c r="D1199" s="1" t="s">
        <v>4293</v>
      </c>
      <c r="E1199" s="1" t="s">
        <v>10186</v>
      </c>
      <c r="F1199" s="1" t="s">
        <v>15675</v>
      </c>
      <c r="G1199" s="3">
        <v>44973.0</v>
      </c>
      <c r="H1199" s="3">
        <v>45015.0</v>
      </c>
      <c r="I1199" s="3">
        <v>45015.0</v>
      </c>
      <c r="J1199" s="1" t="s">
        <v>215</v>
      </c>
      <c r="K1199" s="1" t="s">
        <v>160</v>
      </c>
      <c r="L1199" s="1" t="s">
        <v>216</v>
      </c>
      <c r="M1199" s="1" t="s">
        <v>131</v>
      </c>
      <c r="Q1199" s="1" t="s">
        <v>137</v>
      </c>
      <c r="R1199" s="1" t="s">
        <v>137</v>
      </c>
      <c r="S1199" s="1" t="s">
        <v>47</v>
      </c>
      <c r="T1199" s="1" t="s">
        <v>4301</v>
      </c>
      <c r="U1199" s="1" t="s">
        <v>1577</v>
      </c>
      <c r="V1199" s="1" t="s">
        <v>5104</v>
      </c>
      <c r="W1199" s="3">
        <v>45015.0</v>
      </c>
      <c r="X1199" s="3">
        <v>45015.0</v>
      </c>
    </row>
    <row r="1200">
      <c r="A1200" s="1" t="s">
        <v>15676</v>
      </c>
      <c r="B1200" s="1" t="s">
        <v>10184</v>
      </c>
      <c r="C1200" s="1" t="s">
        <v>10184</v>
      </c>
      <c r="D1200" s="1" t="s">
        <v>4293</v>
      </c>
      <c r="E1200" s="1" t="s">
        <v>10186</v>
      </c>
      <c r="F1200" s="1" t="s">
        <v>15677</v>
      </c>
      <c r="G1200" s="3">
        <v>44973.0</v>
      </c>
      <c r="H1200" s="3">
        <v>45015.0</v>
      </c>
      <c r="I1200" s="3">
        <v>45015.0</v>
      </c>
      <c r="J1200" s="1" t="s">
        <v>215</v>
      </c>
      <c r="K1200" s="1" t="s">
        <v>160</v>
      </c>
      <c r="L1200" s="1" t="s">
        <v>216</v>
      </c>
      <c r="M1200" s="1" t="s">
        <v>131</v>
      </c>
      <c r="Q1200" s="1" t="s">
        <v>137</v>
      </c>
      <c r="R1200" s="1" t="s">
        <v>137</v>
      </c>
      <c r="S1200" s="1" t="s">
        <v>47</v>
      </c>
      <c r="T1200" s="1" t="s">
        <v>4301</v>
      </c>
      <c r="U1200" s="1" t="s">
        <v>1577</v>
      </c>
      <c r="V1200" s="1" t="s">
        <v>5120</v>
      </c>
      <c r="W1200" s="3">
        <v>45015.0</v>
      </c>
      <c r="X1200" s="3">
        <v>45015.0</v>
      </c>
    </row>
    <row r="1201">
      <c r="A1201" s="1" t="s">
        <v>15678</v>
      </c>
      <c r="B1201" s="1" t="s">
        <v>5719</v>
      </c>
      <c r="C1201" s="1" t="s">
        <v>5719</v>
      </c>
      <c r="D1201" s="1" t="s">
        <v>4293</v>
      </c>
      <c r="E1201" s="1" t="s">
        <v>10196</v>
      </c>
      <c r="F1201" s="1" t="s">
        <v>15679</v>
      </c>
      <c r="G1201" s="3">
        <v>44558.0</v>
      </c>
      <c r="H1201" s="3">
        <v>44671.0</v>
      </c>
      <c r="I1201" s="3">
        <v>44671.0</v>
      </c>
      <c r="J1201" s="1" t="s">
        <v>215</v>
      </c>
      <c r="K1201" s="1" t="s">
        <v>160</v>
      </c>
      <c r="L1201" s="1" t="s">
        <v>216</v>
      </c>
      <c r="M1201" s="1" t="s">
        <v>131</v>
      </c>
      <c r="Q1201" s="1" t="s">
        <v>137</v>
      </c>
      <c r="R1201" s="1" t="s">
        <v>137</v>
      </c>
      <c r="S1201" s="1" t="s">
        <v>47</v>
      </c>
      <c r="T1201" s="1" t="s">
        <v>4301</v>
      </c>
      <c r="U1201" s="1" t="s">
        <v>1577</v>
      </c>
      <c r="V1201" s="1" t="s">
        <v>3858</v>
      </c>
      <c r="W1201" s="3">
        <v>44671.0</v>
      </c>
      <c r="X1201" s="3">
        <v>44671.0</v>
      </c>
    </row>
    <row r="1202">
      <c r="A1202" s="1" t="s">
        <v>15680</v>
      </c>
      <c r="B1202" s="1" t="s">
        <v>5719</v>
      </c>
      <c r="C1202" s="1" t="s">
        <v>5719</v>
      </c>
      <c r="D1202" s="1" t="s">
        <v>4293</v>
      </c>
      <c r="E1202" s="1" t="s">
        <v>10196</v>
      </c>
      <c r="F1202" s="1" t="s">
        <v>15681</v>
      </c>
      <c r="G1202" s="3">
        <v>44558.0</v>
      </c>
      <c r="H1202" s="3">
        <v>44671.0</v>
      </c>
      <c r="I1202" s="3">
        <v>44671.0</v>
      </c>
      <c r="J1202" s="1" t="s">
        <v>215</v>
      </c>
      <c r="K1202" s="1" t="s">
        <v>160</v>
      </c>
      <c r="L1202" s="1" t="s">
        <v>216</v>
      </c>
      <c r="M1202" s="1" t="s">
        <v>131</v>
      </c>
      <c r="Q1202" s="1" t="s">
        <v>137</v>
      </c>
      <c r="R1202" s="1" t="s">
        <v>137</v>
      </c>
      <c r="S1202" s="1" t="s">
        <v>47</v>
      </c>
      <c r="T1202" s="1" t="s">
        <v>4301</v>
      </c>
      <c r="U1202" s="1" t="s">
        <v>1577</v>
      </c>
      <c r="V1202" s="1" t="s">
        <v>4679</v>
      </c>
      <c r="W1202" s="3">
        <v>44671.0</v>
      </c>
      <c r="X1202" s="3">
        <v>44671.0</v>
      </c>
    </row>
    <row r="1203">
      <c r="A1203" s="1" t="s">
        <v>15682</v>
      </c>
      <c r="B1203" s="1" t="s">
        <v>5719</v>
      </c>
      <c r="C1203" s="1" t="s">
        <v>5719</v>
      </c>
      <c r="D1203" s="1" t="s">
        <v>4293</v>
      </c>
      <c r="E1203" s="1" t="s">
        <v>10196</v>
      </c>
      <c r="F1203" s="1" t="s">
        <v>15683</v>
      </c>
      <c r="G1203" s="3">
        <v>44558.0</v>
      </c>
      <c r="H1203" s="3">
        <v>44671.0</v>
      </c>
      <c r="I1203" s="3">
        <v>44671.0</v>
      </c>
      <c r="J1203" s="1" t="s">
        <v>215</v>
      </c>
      <c r="K1203" s="1" t="s">
        <v>160</v>
      </c>
      <c r="L1203" s="1" t="s">
        <v>216</v>
      </c>
      <c r="M1203" s="1" t="s">
        <v>131</v>
      </c>
      <c r="Q1203" s="1" t="s">
        <v>137</v>
      </c>
      <c r="R1203" s="1" t="s">
        <v>137</v>
      </c>
      <c r="S1203" s="1" t="s">
        <v>47</v>
      </c>
      <c r="T1203" s="1" t="s">
        <v>4301</v>
      </c>
      <c r="U1203" s="1" t="s">
        <v>1577</v>
      </c>
      <c r="V1203" s="1" t="s">
        <v>4950</v>
      </c>
      <c r="W1203" s="3">
        <v>44671.0</v>
      </c>
      <c r="X1203" s="3">
        <v>44671.0</v>
      </c>
    </row>
    <row r="1204">
      <c r="A1204" s="1" t="s">
        <v>15684</v>
      </c>
      <c r="B1204" s="1" t="s">
        <v>5719</v>
      </c>
      <c r="C1204" s="1" t="s">
        <v>5719</v>
      </c>
      <c r="D1204" s="1" t="s">
        <v>4293</v>
      </c>
      <c r="E1204" s="1" t="s">
        <v>10196</v>
      </c>
      <c r="F1204" s="1" t="s">
        <v>15685</v>
      </c>
      <c r="G1204" s="3">
        <v>44558.0</v>
      </c>
      <c r="H1204" s="3">
        <v>44671.0</v>
      </c>
      <c r="I1204" s="3">
        <v>44671.0</v>
      </c>
      <c r="J1204" s="1" t="s">
        <v>215</v>
      </c>
      <c r="K1204" s="1" t="s">
        <v>160</v>
      </c>
      <c r="L1204" s="1" t="s">
        <v>216</v>
      </c>
      <c r="M1204" s="1" t="s">
        <v>131</v>
      </c>
      <c r="Q1204" s="1" t="s">
        <v>137</v>
      </c>
      <c r="R1204" s="1" t="s">
        <v>137</v>
      </c>
      <c r="S1204" s="1" t="s">
        <v>47</v>
      </c>
      <c r="T1204" s="1" t="s">
        <v>4301</v>
      </c>
      <c r="U1204" s="1" t="s">
        <v>1577</v>
      </c>
      <c r="V1204" s="1" t="s">
        <v>5104</v>
      </c>
      <c r="W1204" s="3">
        <v>44671.0</v>
      </c>
      <c r="X1204" s="3">
        <v>44671.0</v>
      </c>
    </row>
    <row r="1205">
      <c r="A1205" s="1" t="s">
        <v>15686</v>
      </c>
      <c r="B1205" s="1" t="s">
        <v>5719</v>
      </c>
      <c r="C1205" s="1" t="s">
        <v>5719</v>
      </c>
      <c r="D1205" s="1" t="s">
        <v>4293</v>
      </c>
      <c r="E1205" s="1" t="s">
        <v>10196</v>
      </c>
      <c r="F1205" s="1" t="s">
        <v>15687</v>
      </c>
      <c r="G1205" s="3">
        <v>44558.0</v>
      </c>
      <c r="H1205" s="3">
        <v>44671.0</v>
      </c>
      <c r="I1205" s="3">
        <v>44671.0</v>
      </c>
      <c r="J1205" s="1" t="s">
        <v>215</v>
      </c>
      <c r="K1205" s="1" t="s">
        <v>160</v>
      </c>
      <c r="L1205" s="1" t="s">
        <v>216</v>
      </c>
      <c r="M1205" s="1" t="s">
        <v>131</v>
      </c>
      <c r="Q1205" s="1" t="s">
        <v>137</v>
      </c>
      <c r="R1205" s="1" t="s">
        <v>137</v>
      </c>
      <c r="S1205" s="1" t="s">
        <v>47</v>
      </c>
      <c r="T1205" s="1" t="s">
        <v>4301</v>
      </c>
      <c r="U1205" s="1" t="s">
        <v>1577</v>
      </c>
      <c r="V1205" s="1" t="s">
        <v>5120</v>
      </c>
      <c r="W1205" s="3">
        <v>44671.0</v>
      </c>
      <c r="X1205" s="3">
        <v>44671.0</v>
      </c>
    </row>
    <row r="1206">
      <c r="A1206" s="1" t="s">
        <v>15688</v>
      </c>
      <c r="B1206" s="1" t="s">
        <v>10203</v>
      </c>
      <c r="C1206" s="1" t="s">
        <v>10203</v>
      </c>
      <c r="D1206" s="1" t="s">
        <v>4293</v>
      </c>
      <c r="E1206" s="1" t="s">
        <v>10205</v>
      </c>
      <c r="F1206" s="1" t="s">
        <v>15689</v>
      </c>
      <c r="G1206" s="3">
        <v>44741.0</v>
      </c>
      <c r="H1206" s="3">
        <v>44866.0</v>
      </c>
      <c r="I1206" s="3">
        <v>44866.0</v>
      </c>
      <c r="J1206" s="1" t="s">
        <v>215</v>
      </c>
      <c r="K1206" s="1" t="s">
        <v>160</v>
      </c>
      <c r="L1206" s="1" t="s">
        <v>216</v>
      </c>
      <c r="M1206" s="1" t="s">
        <v>131</v>
      </c>
      <c r="Q1206" s="1" t="s">
        <v>137</v>
      </c>
      <c r="R1206" s="1" t="s">
        <v>137</v>
      </c>
      <c r="S1206" s="1" t="s">
        <v>47</v>
      </c>
      <c r="T1206" s="1" t="s">
        <v>4301</v>
      </c>
      <c r="U1206" s="1" t="s">
        <v>1577</v>
      </c>
      <c r="V1206" s="1" t="s">
        <v>3858</v>
      </c>
      <c r="W1206" s="3">
        <v>44866.0</v>
      </c>
      <c r="X1206" s="3">
        <v>44866.0</v>
      </c>
    </row>
    <row r="1207">
      <c r="A1207" s="1" t="s">
        <v>15690</v>
      </c>
      <c r="B1207" s="1" t="s">
        <v>10213</v>
      </c>
      <c r="C1207" s="1" t="s">
        <v>10213</v>
      </c>
      <c r="D1207" s="1" t="s">
        <v>4293</v>
      </c>
      <c r="E1207" s="1" t="s">
        <v>10214</v>
      </c>
      <c r="F1207" s="1" t="s">
        <v>15691</v>
      </c>
      <c r="G1207" s="3">
        <v>45107.0</v>
      </c>
      <c r="H1207" s="3">
        <v>45296.0</v>
      </c>
      <c r="I1207" s="3">
        <v>45296.0</v>
      </c>
      <c r="J1207" s="1" t="s">
        <v>215</v>
      </c>
      <c r="K1207" s="1" t="s">
        <v>160</v>
      </c>
      <c r="L1207" s="1" t="s">
        <v>216</v>
      </c>
      <c r="M1207" s="1" t="s">
        <v>131</v>
      </c>
      <c r="Q1207" s="1" t="s">
        <v>137</v>
      </c>
      <c r="R1207" s="1" t="s">
        <v>137</v>
      </c>
      <c r="S1207" s="1" t="s">
        <v>47</v>
      </c>
      <c r="T1207" s="1" t="s">
        <v>4301</v>
      </c>
      <c r="U1207" s="1" t="s">
        <v>1577</v>
      </c>
      <c r="V1207" s="1" t="s">
        <v>4950</v>
      </c>
      <c r="W1207" s="3">
        <v>45296.0</v>
      </c>
      <c r="X1207" s="3">
        <v>45296.0</v>
      </c>
    </row>
    <row r="1208">
      <c r="A1208" s="1" t="s">
        <v>15692</v>
      </c>
      <c r="B1208" s="1" t="s">
        <v>10221</v>
      </c>
      <c r="C1208" s="1" t="s">
        <v>10221</v>
      </c>
      <c r="D1208" s="1" t="s">
        <v>4293</v>
      </c>
      <c r="E1208" s="1" t="s">
        <v>10224</v>
      </c>
      <c r="F1208" s="1" t="s">
        <v>15693</v>
      </c>
      <c r="G1208" s="3">
        <v>45728.0</v>
      </c>
      <c r="H1208" s="3">
        <v>45866.0</v>
      </c>
      <c r="I1208" s="3">
        <v>45866.0</v>
      </c>
      <c r="J1208" s="1" t="s">
        <v>215</v>
      </c>
      <c r="K1208" s="1" t="s">
        <v>160</v>
      </c>
      <c r="L1208" s="1" t="s">
        <v>216</v>
      </c>
      <c r="M1208" s="1" t="s">
        <v>131</v>
      </c>
      <c r="Q1208" s="1" t="s">
        <v>137</v>
      </c>
      <c r="R1208" s="1" t="s">
        <v>137</v>
      </c>
      <c r="S1208" s="1" t="s">
        <v>47</v>
      </c>
      <c r="T1208" s="1" t="s">
        <v>4301</v>
      </c>
      <c r="U1208" s="1" t="s">
        <v>1577</v>
      </c>
      <c r="V1208" s="1" t="s">
        <v>4679</v>
      </c>
      <c r="W1208" s="3">
        <v>45866.0</v>
      </c>
      <c r="X1208" s="3">
        <v>45866.0</v>
      </c>
    </row>
    <row r="1209">
      <c r="A1209" s="1" t="s">
        <v>15694</v>
      </c>
      <c r="B1209" s="1" t="s">
        <v>10221</v>
      </c>
      <c r="C1209" s="1" t="s">
        <v>10221</v>
      </c>
      <c r="D1209" s="1" t="s">
        <v>4293</v>
      </c>
      <c r="E1209" s="1" t="s">
        <v>10224</v>
      </c>
      <c r="F1209" s="1" t="s">
        <v>15695</v>
      </c>
      <c r="G1209" s="3">
        <v>45728.0</v>
      </c>
      <c r="H1209" s="3">
        <v>45866.0</v>
      </c>
      <c r="I1209" s="3">
        <v>45866.0</v>
      </c>
      <c r="J1209" s="1" t="s">
        <v>215</v>
      </c>
      <c r="K1209" s="1" t="s">
        <v>160</v>
      </c>
      <c r="L1209" s="1" t="s">
        <v>216</v>
      </c>
      <c r="M1209" s="1" t="s">
        <v>131</v>
      </c>
      <c r="Q1209" s="1" t="s">
        <v>137</v>
      </c>
      <c r="R1209" s="1" t="s">
        <v>137</v>
      </c>
      <c r="S1209" s="1" t="s">
        <v>47</v>
      </c>
      <c r="T1209" s="1" t="s">
        <v>4301</v>
      </c>
      <c r="U1209" s="1" t="s">
        <v>1577</v>
      </c>
      <c r="V1209" s="1" t="s">
        <v>4950</v>
      </c>
      <c r="W1209" s="3">
        <v>45866.0</v>
      </c>
      <c r="X1209" s="3">
        <v>45866.0</v>
      </c>
    </row>
    <row r="1210">
      <c r="A1210" s="1" t="s">
        <v>15696</v>
      </c>
      <c r="B1210" s="1" t="s">
        <v>10221</v>
      </c>
      <c r="C1210" s="1" t="s">
        <v>10221</v>
      </c>
      <c r="D1210" s="1" t="s">
        <v>4293</v>
      </c>
      <c r="E1210" s="1" t="s">
        <v>10224</v>
      </c>
      <c r="F1210" s="1" t="s">
        <v>15697</v>
      </c>
      <c r="G1210" s="3">
        <v>45728.0</v>
      </c>
      <c r="H1210" s="3">
        <v>45866.0</v>
      </c>
      <c r="I1210" s="3">
        <v>45866.0</v>
      </c>
      <c r="J1210" s="1" t="s">
        <v>215</v>
      </c>
      <c r="K1210" s="1" t="s">
        <v>160</v>
      </c>
      <c r="L1210" s="1" t="s">
        <v>216</v>
      </c>
      <c r="M1210" s="1" t="s">
        <v>131</v>
      </c>
      <c r="Q1210" s="1" t="s">
        <v>137</v>
      </c>
      <c r="R1210" s="1" t="s">
        <v>137</v>
      </c>
      <c r="S1210" s="1" t="s">
        <v>47</v>
      </c>
      <c r="T1210" s="1" t="s">
        <v>4301</v>
      </c>
      <c r="U1210" s="1" t="s">
        <v>1577</v>
      </c>
      <c r="V1210" s="1" t="s">
        <v>5104</v>
      </c>
      <c r="W1210" s="3">
        <v>45866.0</v>
      </c>
      <c r="X1210" s="3">
        <v>45866.0</v>
      </c>
    </row>
    <row r="1211">
      <c r="A1211" s="1" t="s">
        <v>15698</v>
      </c>
      <c r="B1211" s="1" t="s">
        <v>10221</v>
      </c>
      <c r="C1211" s="1" t="s">
        <v>10221</v>
      </c>
      <c r="D1211" s="1" t="s">
        <v>4293</v>
      </c>
      <c r="E1211" s="1" t="s">
        <v>10224</v>
      </c>
      <c r="F1211" s="1" t="s">
        <v>15699</v>
      </c>
      <c r="G1211" s="3">
        <v>45728.0</v>
      </c>
      <c r="H1211" s="3">
        <v>45866.0</v>
      </c>
      <c r="I1211" s="3">
        <v>45866.0</v>
      </c>
      <c r="J1211" s="1" t="s">
        <v>215</v>
      </c>
      <c r="K1211" s="1" t="s">
        <v>160</v>
      </c>
      <c r="L1211" s="1" t="s">
        <v>216</v>
      </c>
      <c r="M1211" s="1" t="s">
        <v>131</v>
      </c>
      <c r="Q1211" s="1" t="s">
        <v>137</v>
      </c>
      <c r="R1211" s="1" t="s">
        <v>137</v>
      </c>
      <c r="S1211" s="1" t="s">
        <v>47</v>
      </c>
      <c r="T1211" s="1" t="s">
        <v>4301</v>
      </c>
      <c r="U1211" s="1" t="s">
        <v>1577</v>
      </c>
      <c r="V1211" s="1" t="s">
        <v>5120</v>
      </c>
      <c r="W1211" s="3">
        <v>45866.0</v>
      </c>
      <c r="X1211" s="3">
        <v>45866.0</v>
      </c>
    </row>
    <row r="1212">
      <c r="A1212" s="1" t="s">
        <v>15700</v>
      </c>
      <c r="B1212" s="1" t="s">
        <v>8226</v>
      </c>
      <c r="C1212" s="1" t="s">
        <v>8226</v>
      </c>
      <c r="D1212" s="1" t="s">
        <v>4293</v>
      </c>
      <c r="E1212" s="1" t="s">
        <v>10231</v>
      </c>
      <c r="F1212" s="1" t="s">
        <v>15701</v>
      </c>
      <c r="G1212" s="3">
        <v>45642.0</v>
      </c>
      <c r="H1212" s="3">
        <v>45896.0</v>
      </c>
      <c r="I1212" s="3">
        <v>45896.0</v>
      </c>
      <c r="J1212" s="1" t="s">
        <v>215</v>
      </c>
      <c r="K1212" s="1" t="s">
        <v>160</v>
      </c>
      <c r="L1212" s="1" t="s">
        <v>216</v>
      </c>
      <c r="M1212" s="1" t="s">
        <v>131</v>
      </c>
      <c r="Q1212" s="1" t="s">
        <v>137</v>
      </c>
      <c r="R1212" s="1" t="s">
        <v>137</v>
      </c>
      <c r="S1212" s="1" t="s">
        <v>47</v>
      </c>
      <c r="T1212" s="1" t="s">
        <v>4301</v>
      </c>
      <c r="U1212" s="1" t="s">
        <v>1577</v>
      </c>
      <c r="V1212" s="1" t="s">
        <v>3858</v>
      </c>
      <c r="W1212" s="3">
        <v>45896.0</v>
      </c>
      <c r="X1212" s="3">
        <v>45896.0</v>
      </c>
    </row>
    <row r="1213">
      <c r="A1213" s="1" t="s">
        <v>15702</v>
      </c>
      <c r="B1213" s="1" t="s">
        <v>5287</v>
      </c>
      <c r="C1213" s="1" t="s">
        <v>5287</v>
      </c>
      <c r="D1213" s="1" t="s">
        <v>4293</v>
      </c>
      <c r="E1213" s="1" t="s">
        <v>10238</v>
      </c>
      <c r="F1213" s="1" t="s">
        <v>15703</v>
      </c>
      <c r="G1213" s="3">
        <v>45447.0</v>
      </c>
      <c r="H1213" s="3">
        <v>45819.0</v>
      </c>
      <c r="I1213" s="3">
        <v>45819.0</v>
      </c>
      <c r="J1213" s="1" t="s">
        <v>215</v>
      </c>
      <c r="K1213" s="1" t="s">
        <v>160</v>
      </c>
      <c r="L1213" s="1" t="s">
        <v>216</v>
      </c>
      <c r="M1213" s="1" t="s">
        <v>131</v>
      </c>
      <c r="Q1213" s="1" t="s">
        <v>137</v>
      </c>
      <c r="R1213" s="1" t="s">
        <v>137</v>
      </c>
      <c r="S1213" s="1" t="s">
        <v>47</v>
      </c>
      <c r="T1213" s="1" t="s">
        <v>4301</v>
      </c>
      <c r="U1213" s="1" t="s">
        <v>1577</v>
      </c>
      <c r="V1213" s="1" t="s">
        <v>3858</v>
      </c>
      <c r="W1213" s="3">
        <v>45819.0</v>
      </c>
      <c r="X1213" s="3">
        <v>45819.0</v>
      </c>
    </row>
    <row r="1214">
      <c r="A1214" s="1" t="s">
        <v>15704</v>
      </c>
      <c r="B1214" s="1" t="s">
        <v>5287</v>
      </c>
      <c r="C1214" s="1" t="s">
        <v>5287</v>
      </c>
      <c r="D1214" s="1" t="s">
        <v>4293</v>
      </c>
      <c r="E1214" s="1" t="s">
        <v>10238</v>
      </c>
      <c r="F1214" s="1" t="s">
        <v>15705</v>
      </c>
      <c r="G1214" s="3">
        <v>45447.0</v>
      </c>
      <c r="H1214" s="3">
        <v>45819.0</v>
      </c>
      <c r="I1214" s="3">
        <v>45819.0</v>
      </c>
      <c r="J1214" s="1" t="s">
        <v>215</v>
      </c>
      <c r="K1214" s="1" t="s">
        <v>160</v>
      </c>
      <c r="L1214" s="1" t="s">
        <v>216</v>
      </c>
      <c r="M1214" s="1" t="s">
        <v>131</v>
      </c>
      <c r="Q1214" s="1" t="s">
        <v>137</v>
      </c>
      <c r="R1214" s="1" t="s">
        <v>137</v>
      </c>
      <c r="S1214" s="1" t="s">
        <v>47</v>
      </c>
      <c r="T1214" s="1" t="s">
        <v>4301</v>
      </c>
      <c r="U1214" s="1" t="s">
        <v>1577</v>
      </c>
      <c r="V1214" s="1" t="s">
        <v>4950</v>
      </c>
      <c r="W1214" s="3">
        <v>45819.0</v>
      </c>
      <c r="X1214" s="3">
        <v>45819.0</v>
      </c>
    </row>
    <row r="1215">
      <c r="A1215" s="1" t="s">
        <v>15706</v>
      </c>
      <c r="B1215" s="1" t="s">
        <v>10245</v>
      </c>
      <c r="C1215" s="1" t="s">
        <v>10245</v>
      </c>
      <c r="D1215" s="1" t="s">
        <v>4293</v>
      </c>
      <c r="E1215" s="1" t="s">
        <v>10246</v>
      </c>
      <c r="F1215" s="1" t="s">
        <v>15707</v>
      </c>
      <c r="G1215" s="3">
        <v>44553.0</v>
      </c>
      <c r="H1215" s="3">
        <v>44446.0</v>
      </c>
      <c r="I1215" s="3">
        <v>44446.0</v>
      </c>
      <c r="J1215" s="1" t="s">
        <v>215</v>
      </c>
      <c r="K1215" s="1" t="s">
        <v>160</v>
      </c>
      <c r="L1215" s="1" t="s">
        <v>216</v>
      </c>
      <c r="M1215" s="1" t="s">
        <v>131</v>
      </c>
      <c r="Q1215" s="1" t="s">
        <v>137</v>
      </c>
      <c r="R1215" s="1" t="s">
        <v>137</v>
      </c>
      <c r="S1215" s="1" t="s">
        <v>47</v>
      </c>
      <c r="T1215" s="1" t="s">
        <v>4301</v>
      </c>
      <c r="U1215" s="1" t="s">
        <v>1577</v>
      </c>
      <c r="V1215" s="1" t="s">
        <v>3858</v>
      </c>
      <c r="W1215" s="3">
        <v>44446.0</v>
      </c>
      <c r="X1215" s="3">
        <v>44446.0</v>
      </c>
    </row>
    <row r="1216">
      <c r="A1216" s="1" t="s">
        <v>15708</v>
      </c>
      <c r="B1216" s="1" t="s">
        <v>10255</v>
      </c>
      <c r="C1216" s="1" t="s">
        <v>10255</v>
      </c>
      <c r="D1216" s="1" t="s">
        <v>4293</v>
      </c>
      <c r="E1216" s="1" t="s">
        <v>10257</v>
      </c>
      <c r="F1216" s="1" t="s">
        <v>15709</v>
      </c>
      <c r="G1216" s="3">
        <v>44761.0</v>
      </c>
      <c r="H1216" s="3">
        <v>45077.0</v>
      </c>
      <c r="I1216" s="3">
        <v>45077.0</v>
      </c>
      <c r="J1216" s="1" t="s">
        <v>215</v>
      </c>
      <c r="K1216" s="1" t="s">
        <v>160</v>
      </c>
      <c r="L1216" s="1" t="s">
        <v>216</v>
      </c>
      <c r="M1216" s="1" t="s">
        <v>131</v>
      </c>
      <c r="Q1216" s="1" t="s">
        <v>137</v>
      </c>
      <c r="R1216" s="1" t="s">
        <v>137</v>
      </c>
      <c r="S1216" s="1" t="s">
        <v>47</v>
      </c>
      <c r="T1216" s="1" t="s">
        <v>4301</v>
      </c>
      <c r="U1216" s="1" t="s">
        <v>1577</v>
      </c>
      <c r="V1216" s="1" t="s">
        <v>3858</v>
      </c>
      <c r="W1216" s="3">
        <v>45077.0</v>
      </c>
      <c r="X1216" s="3">
        <v>45077.0</v>
      </c>
    </row>
    <row r="1217">
      <c r="A1217" s="1" t="s">
        <v>15710</v>
      </c>
      <c r="B1217" s="1" t="s">
        <v>10255</v>
      </c>
      <c r="C1217" s="1" t="s">
        <v>10255</v>
      </c>
      <c r="D1217" s="1" t="s">
        <v>4293</v>
      </c>
      <c r="E1217" s="1" t="s">
        <v>10257</v>
      </c>
      <c r="F1217" s="1" t="s">
        <v>15711</v>
      </c>
      <c r="G1217" s="3">
        <v>44761.0</v>
      </c>
      <c r="H1217" s="3">
        <v>45077.0</v>
      </c>
      <c r="I1217" s="3">
        <v>45077.0</v>
      </c>
      <c r="J1217" s="1" t="s">
        <v>215</v>
      </c>
      <c r="K1217" s="1" t="s">
        <v>160</v>
      </c>
      <c r="L1217" s="1" t="s">
        <v>216</v>
      </c>
      <c r="M1217" s="1" t="s">
        <v>131</v>
      </c>
      <c r="Q1217" s="1" t="s">
        <v>137</v>
      </c>
      <c r="R1217" s="1" t="s">
        <v>137</v>
      </c>
      <c r="S1217" s="1" t="s">
        <v>47</v>
      </c>
      <c r="T1217" s="1" t="s">
        <v>4301</v>
      </c>
      <c r="U1217" s="1" t="s">
        <v>1577</v>
      </c>
      <c r="V1217" s="1" t="s">
        <v>4950</v>
      </c>
      <c r="W1217" s="3">
        <v>45077.0</v>
      </c>
      <c r="X1217" s="3">
        <v>45077.0</v>
      </c>
    </row>
    <row r="1218">
      <c r="A1218" s="1" t="s">
        <v>15712</v>
      </c>
      <c r="B1218" s="1" t="s">
        <v>10264</v>
      </c>
      <c r="C1218" s="1" t="s">
        <v>10264</v>
      </c>
      <c r="D1218" s="1" t="s">
        <v>4293</v>
      </c>
      <c r="E1218" s="1" t="s">
        <v>10266</v>
      </c>
      <c r="F1218" s="1" t="s">
        <v>15713</v>
      </c>
      <c r="G1218" s="3">
        <v>44421.0</v>
      </c>
      <c r="H1218" s="3">
        <v>44490.0</v>
      </c>
      <c r="I1218" s="3">
        <v>44490.0</v>
      </c>
      <c r="J1218" s="1" t="s">
        <v>215</v>
      </c>
      <c r="K1218" s="1" t="s">
        <v>160</v>
      </c>
      <c r="L1218" s="1" t="s">
        <v>216</v>
      </c>
      <c r="M1218" s="1" t="s">
        <v>131</v>
      </c>
      <c r="Q1218" s="1" t="s">
        <v>137</v>
      </c>
      <c r="R1218" s="1" t="s">
        <v>137</v>
      </c>
      <c r="S1218" s="1" t="s">
        <v>47</v>
      </c>
      <c r="T1218" s="1" t="s">
        <v>4301</v>
      </c>
      <c r="U1218" s="1" t="s">
        <v>1577</v>
      </c>
      <c r="V1218" s="1" t="s">
        <v>3858</v>
      </c>
      <c r="W1218" s="3">
        <v>44490.0</v>
      </c>
      <c r="X1218" s="3">
        <v>44490.0</v>
      </c>
    </row>
    <row r="1219">
      <c r="A1219" s="1" t="s">
        <v>15714</v>
      </c>
      <c r="B1219" s="1" t="s">
        <v>10273</v>
      </c>
      <c r="C1219" s="1" t="s">
        <v>10273</v>
      </c>
      <c r="D1219" s="1" t="s">
        <v>4293</v>
      </c>
      <c r="E1219" s="1" t="s">
        <v>10274</v>
      </c>
      <c r="F1219" s="1" t="s">
        <v>15715</v>
      </c>
      <c r="G1219" s="3">
        <v>43790.0</v>
      </c>
      <c r="H1219" s="3">
        <v>43878.0</v>
      </c>
      <c r="I1219" s="3">
        <v>43878.0</v>
      </c>
      <c r="J1219" s="1" t="s">
        <v>215</v>
      </c>
      <c r="K1219" s="1" t="s">
        <v>160</v>
      </c>
      <c r="L1219" s="1" t="s">
        <v>216</v>
      </c>
      <c r="M1219" s="1" t="s">
        <v>131</v>
      </c>
      <c r="Q1219" s="1" t="s">
        <v>137</v>
      </c>
      <c r="R1219" s="1" t="s">
        <v>137</v>
      </c>
      <c r="S1219" s="1" t="s">
        <v>47</v>
      </c>
      <c r="T1219" s="1" t="s">
        <v>4301</v>
      </c>
      <c r="U1219" s="1" t="s">
        <v>1577</v>
      </c>
      <c r="V1219" s="1" t="s">
        <v>3858</v>
      </c>
      <c r="W1219" s="3">
        <v>43878.0</v>
      </c>
      <c r="X1219" s="3">
        <v>43878.0</v>
      </c>
    </row>
    <row r="1220">
      <c r="A1220" s="1" t="s">
        <v>15716</v>
      </c>
      <c r="B1220" s="1" t="s">
        <v>10278</v>
      </c>
      <c r="C1220" s="1" t="s">
        <v>10278</v>
      </c>
      <c r="D1220" s="1" t="s">
        <v>4293</v>
      </c>
      <c r="E1220" s="1" t="s">
        <v>10280</v>
      </c>
      <c r="F1220" s="1" t="s">
        <v>15717</v>
      </c>
      <c r="G1220" s="3">
        <v>45014.0</v>
      </c>
      <c r="H1220" s="3">
        <v>45106.0</v>
      </c>
      <c r="I1220" s="3">
        <v>45106.0</v>
      </c>
      <c r="J1220" s="1" t="s">
        <v>215</v>
      </c>
      <c r="K1220" s="1" t="s">
        <v>160</v>
      </c>
      <c r="L1220" s="1" t="s">
        <v>216</v>
      </c>
      <c r="M1220" s="1" t="s">
        <v>131</v>
      </c>
      <c r="Q1220" s="1" t="s">
        <v>137</v>
      </c>
      <c r="R1220" s="1" t="s">
        <v>137</v>
      </c>
      <c r="S1220" s="1" t="s">
        <v>47</v>
      </c>
      <c r="T1220" s="1" t="s">
        <v>4301</v>
      </c>
      <c r="U1220" s="1" t="s">
        <v>1577</v>
      </c>
      <c r="V1220" s="1" t="s">
        <v>3858</v>
      </c>
      <c r="W1220" s="3">
        <v>45106.0</v>
      </c>
      <c r="X1220" s="3">
        <v>45106.0</v>
      </c>
    </row>
    <row r="1221">
      <c r="A1221" s="1" t="s">
        <v>15718</v>
      </c>
      <c r="B1221" s="1" t="s">
        <v>10278</v>
      </c>
      <c r="C1221" s="1" t="s">
        <v>10278</v>
      </c>
      <c r="D1221" s="1" t="s">
        <v>4293</v>
      </c>
      <c r="E1221" s="1" t="s">
        <v>10280</v>
      </c>
      <c r="F1221" s="1" t="s">
        <v>15719</v>
      </c>
      <c r="G1221" s="3">
        <v>45014.0</v>
      </c>
      <c r="H1221" s="3">
        <v>45106.0</v>
      </c>
      <c r="I1221" s="3">
        <v>45106.0</v>
      </c>
      <c r="J1221" s="1" t="s">
        <v>215</v>
      </c>
      <c r="K1221" s="1" t="s">
        <v>160</v>
      </c>
      <c r="L1221" s="1" t="s">
        <v>216</v>
      </c>
      <c r="M1221" s="1" t="s">
        <v>131</v>
      </c>
      <c r="Q1221" s="1" t="s">
        <v>137</v>
      </c>
      <c r="R1221" s="1" t="s">
        <v>137</v>
      </c>
      <c r="S1221" s="1" t="s">
        <v>47</v>
      </c>
      <c r="T1221" s="1" t="s">
        <v>4301</v>
      </c>
      <c r="U1221" s="1" t="s">
        <v>1577</v>
      </c>
      <c r="V1221" s="1" t="s">
        <v>3865</v>
      </c>
      <c r="W1221" s="3">
        <v>45106.0</v>
      </c>
      <c r="X1221" s="3">
        <v>45106.0</v>
      </c>
    </row>
    <row r="1222">
      <c r="A1222" s="1" t="s">
        <v>15720</v>
      </c>
      <c r="B1222" s="1" t="s">
        <v>10284</v>
      </c>
      <c r="C1222" s="1" t="s">
        <v>10284</v>
      </c>
      <c r="D1222" s="1" t="s">
        <v>4293</v>
      </c>
      <c r="E1222" s="1" t="s">
        <v>10285</v>
      </c>
      <c r="F1222" s="1" t="s">
        <v>15721</v>
      </c>
      <c r="G1222" s="3">
        <v>44876.0</v>
      </c>
      <c r="H1222" s="3">
        <v>45184.0</v>
      </c>
      <c r="I1222" s="3">
        <v>45184.0</v>
      </c>
      <c r="J1222" s="1" t="s">
        <v>215</v>
      </c>
      <c r="K1222" s="1" t="s">
        <v>160</v>
      </c>
      <c r="L1222" s="1" t="s">
        <v>216</v>
      </c>
      <c r="M1222" s="1" t="s">
        <v>131</v>
      </c>
      <c r="Q1222" s="1" t="s">
        <v>137</v>
      </c>
      <c r="R1222" s="1" t="s">
        <v>137</v>
      </c>
      <c r="S1222" s="1" t="s">
        <v>47</v>
      </c>
      <c r="T1222" s="1" t="s">
        <v>4301</v>
      </c>
      <c r="U1222" s="1" t="s">
        <v>1577</v>
      </c>
      <c r="V1222" s="1" t="s">
        <v>3858</v>
      </c>
      <c r="W1222" s="3">
        <v>45184.0</v>
      </c>
      <c r="X1222" s="3">
        <v>45184.0</v>
      </c>
    </row>
    <row r="1223">
      <c r="A1223" s="1" t="s">
        <v>15724</v>
      </c>
      <c r="B1223" s="1" t="s">
        <v>10284</v>
      </c>
      <c r="C1223" s="1" t="s">
        <v>10284</v>
      </c>
      <c r="D1223" s="1" t="s">
        <v>4293</v>
      </c>
      <c r="E1223" s="1" t="s">
        <v>10285</v>
      </c>
      <c r="F1223" s="1" t="s">
        <v>15725</v>
      </c>
      <c r="G1223" s="3">
        <v>44876.0</v>
      </c>
      <c r="H1223" s="3">
        <v>45184.0</v>
      </c>
      <c r="I1223" s="3">
        <v>45184.0</v>
      </c>
      <c r="J1223" s="1" t="s">
        <v>215</v>
      </c>
      <c r="K1223" s="1" t="s">
        <v>160</v>
      </c>
      <c r="L1223" s="1" t="s">
        <v>216</v>
      </c>
      <c r="M1223" s="1" t="s">
        <v>131</v>
      </c>
      <c r="Q1223" s="1" t="s">
        <v>137</v>
      </c>
      <c r="R1223" s="1" t="s">
        <v>137</v>
      </c>
      <c r="S1223" s="1" t="s">
        <v>47</v>
      </c>
      <c r="T1223" s="1" t="s">
        <v>4301</v>
      </c>
      <c r="U1223" s="1" t="s">
        <v>1577</v>
      </c>
      <c r="V1223" s="1" t="s">
        <v>3865</v>
      </c>
      <c r="W1223" s="3">
        <v>45184.0</v>
      </c>
      <c r="X1223" s="3">
        <v>45184.0</v>
      </c>
    </row>
    <row r="1224">
      <c r="A1224" s="1" t="s">
        <v>15727</v>
      </c>
      <c r="B1224" s="1" t="s">
        <v>10291</v>
      </c>
      <c r="C1224" s="1" t="s">
        <v>10291</v>
      </c>
      <c r="D1224" s="1" t="s">
        <v>4293</v>
      </c>
      <c r="E1224" s="1" t="s">
        <v>10292</v>
      </c>
      <c r="F1224" s="1" t="s">
        <v>15728</v>
      </c>
      <c r="G1224" s="3">
        <v>45552.0</v>
      </c>
      <c r="H1224" s="3">
        <v>45749.0</v>
      </c>
      <c r="I1224" s="3">
        <v>45749.0</v>
      </c>
      <c r="J1224" s="1" t="s">
        <v>215</v>
      </c>
      <c r="K1224" s="1" t="s">
        <v>160</v>
      </c>
      <c r="L1224" s="1" t="s">
        <v>216</v>
      </c>
      <c r="M1224" s="1" t="s">
        <v>131</v>
      </c>
      <c r="Q1224" s="1" t="s">
        <v>137</v>
      </c>
      <c r="R1224" s="1" t="s">
        <v>137</v>
      </c>
      <c r="S1224" s="1" t="s">
        <v>47</v>
      </c>
      <c r="T1224" s="1" t="s">
        <v>4301</v>
      </c>
      <c r="U1224" s="1" t="s">
        <v>1577</v>
      </c>
      <c r="V1224" s="1" t="s">
        <v>3858</v>
      </c>
      <c r="W1224" s="3">
        <v>45749.0</v>
      </c>
      <c r="X1224" s="3">
        <v>45749.0</v>
      </c>
    </row>
    <row r="1225">
      <c r="A1225" s="1" t="s">
        <v>15729</v>
      </c>
      <c r="B1225" s="1" t="s">
        <v>4677</v>
      </c>
      <c r="C1225" s="1" t="s">
        <v>4677</v>
      </c>
      <c r="D1225" s="1" t="s">
        <v>4293</v>
      </c>
      <c r="E1225" s="1" t="s">
        <v>10299</v>
      </c>
      <c r="F1225" s="1" t="s">
        <v>15730</v>
      </c>
      <c r="G1225" s="3">
        <v>43829.0</v>
      </c>
      <c r="H1225" s="3">
        <v>44098.0</v>
      </c>
      <c r="I1225" s="3">
        <v>44098.0</v>
      </c>
      <c r="J1225" s="1" t="s">
        <v>215</v>
      </c>
      <c r="K1225" s="1" t="s">
        <v>160</v>
      </c>
      <c r="L1225" s="1" t="s">
        <v>216</v>
      </c>
      <c r="M1225" s="1" t="s">
        <v>131</v>
      </c>
      <c r="Q1225" s="1" t="s">
        <v>137</v>
      </c>
      <c r="R1225" s="1" t="s">
        <v>137</v>
      </c>
      <c r="S1225" s="1" t="s">
        <v>47</v>
      </c>
      <c r="T1225" s="1" t="s">
        <v>4301</v>
      </c>
      <c r="U1225" s="1" t="s">
        <v>1577</v>
      </c>
      <c r="V1225" s="1" t="s">
        <v>3858</v>
      </c>
      <c r="W1225" s="3">
        <v>44098.0</v>
      </c>
      <c r="X1225" s="3">
        <v>44098.0</v>
      </c>
    </row>
    <row r="1226">
      <c r="A1226" s="1" t="s">
        <v>15731</v>
      </c>
      <c r="B1226" s="1" t="s">
        <v>6284</v>
      </c>
      <c r="C1226" s="1" t="s">
        <v>6284</v>
      </c>
      <c r="D1226" s="1" t="s">
        <v>4293</v>
      </c>
      <c r="E1226" s="1" t="s">
        <v>10303</v>
      </c>
      <c r="F1226" s="1" t="s">
        <v>15732</v>
      </c>
      <c r="G1226" s="3">
        <v>44195.0</v>
      </c>
      <c r="H1226" s="3">
        <v>44284.0</v>
      </c>
      <c r="I1226" s="3">
        <v>44284.0</v>
      </c>
      <c r="J1226" s="1" t="s">
        <v>215</v>
      </c>
      <c r="K1226" s="1" t="s">
        <v>160</v>
      </c>
      <c r="L1226" s="1" t="s">
        <v>216</v>
      </c>
      <c r="M1226" s="1" t="s">
        <v>131</v>
      </c>
      <c r="Q1226" s="1" t="s">
        <v>137</v>
      </c>
      <c r="R1226" s="1" t="s">
        <v>137</v>
      </c>
      <c r="S1226" s="1" t="s">
        <v>47</v>
      </c>
      <c r="T1226" s="1" t="s">
        <v>4301</v>
      </c>
      <c r="U1226" s="1" t="s">
        <v>1577</v>
      </c>
      <c r="V1226" s="1" t="s">
        <v>3858</v>
      </c>
      <c r="W1226" s="3">
        <v>44284.0</v>
      </c>
      <c r="X1226" s="3">
        <v>44284.0</v>
      </c>
    </row>
    <row r="1227">
      <c r="A1227" s="1" t="s">
        <v>15734</v>
      </c>
      <c r="B1227" s="1" t="s">
        <v>10307</v>
      </c>
      <c r="C1227" s="1" t="s">
        <v>10307</v>
      </c>
      <c r="D1227" s="1" t="s">
        <v>4293</v>
      </c>
      <c r="E1227" s="1" t="s">
        <v>10310</v>
      </c>
      <c r="F1227" s="1" t="s">
        <v>15736</v>
      </c>
      <c r="G1227" s="3">
        <v>44293.0</v>
      </c>
      <c r="H1227" s="3">
        <v>44293.0</v>
      </c>
      <c r="I1227" s="3">
        <v>44293.0</v>
      </c>
      <c r="J1227" s="1" t="s">
        <v>215</v>
      </c>
      <c r="K1227" s="1" t="s">
        <v>160</v>
      </c>
      <c r="L1227" s="1" t="s">
        <v>216</v>
      </c>
      <c r="M1227" s="1" t="s">
        <v>131</v>
      </c>
      <c r="Q1227" s="1" t="s">
        <v>137</v>
      </c>
      <c r="R1227" s="1" t="s">
        <v>137</v>
      </c>
      <c r="S1227" s="1" t="s">
        <v>47</v>
      </c>
      <c r="T1227" s="1" t="s">
        <v>4301</v>
      </c>
      <c r="U1227" s="1" t="s">
        <v>1577</v>
      </c>
      <c r="V1227" s="1" t="s">
        <v>3858</v>
      </c>
      <c r="W1227" s="3">
        <v>44293.0</v>
      </c>
      <c r="X1227" s="3">
        <v>44293.0</v>
      </c>
    </row>
    <row r="1228">
      <c r="A1228" s="1" t="s">
        <v>15738</v>
      </c>
      <c r="B1228" s="1" t="s">
        <v>10314</v>
      </c>
      <c r="C1228" s="1" t="s">
        <v>10314</v>
      </c>
      <c r="D1228" s="1" t="s">
        <v>4293</v>
      </c>
      <c r="E1228" s="1" t="s">
        <v>10315</v>
      </c>
      <c r="F1228" s="1" t="s">
        <v>15740</v>
      </c>
      <c r="G1228" s="3">
        <v>45784.0</v>
      </c>
      <c r="H1228" s="3">
        <v>46051.0</v>
      </c>
      <c r="I1228" s="3">
        <v>46051.0</v>
      </c>
      <c r="J1228" s="1" t="s">
        <v>215</v>
      </c>
      <c r="K1228" s="1" t="s">
        <v>160</v>
      </c>
      <c r="L1228" s="1" t="s">
        <v>216</v>
      </c>
      <c r="M1228" s="1" t="s">
        <v>131</v>
      </c>
      <c r="Q1228" s="1" t="s">
        <v>137</v>
      </c>
      <c r="R1228" s="1" t="s">
        <v>137</v>
      </c>
      <c r="S1228" s="1" t="s">
        <v>47</v>
      </c>
      <c r="T1228" s="1" t="s">
        <v>4301</v>
      </c>
      <c r="U1228" s="1" t="s">
        <v>1577</v>
      </c>
      <c r="V1228" s="1" t="s">
        <v>3858</v>
      </c>
      <c r="W1228" s="3">
        <v>46051.0</v>
      </c>
      <c r="X1228" s="3">
        <v>46051.0</v>
      </c>
    </row>
    <row r="1229">
      <c r="A1229" s="1" t="s">
        <v>15743</v>
      </c>
      <c r="B1229" s="1" t="s">
        <v>10314</v>
      </c>
      <c r="C1229" s="1" t="s">
        <v>10314</v>
      </c>
      <c r="D1229" s="1" t="s">
        <v>4293</v>
      </c>
      <c r="E1229" s="1" t="s">
        <v>10315</v>
      </c>
      <c r="F1229" s="1" t="s">
        <v>15744</v>
      </c>
      <c r="G1229" s="3">
        <v>45784.0</v>
      </c>
      <c r="H1229" s="3">
        <v>46051.0</v>
      </c>
      <c r="I1229" s="3">
        <v>46051.0</v>
      </c>
      <c r="J1229" s="1" t="s">
        <v>215</v>
      </c>
      <c r="K1229" s="1" t="s">
        <v>160</v>
      </c>
      <c r="L1229" s="1" t="s">
        <v>216</v>
      </c>
      <c r="M1229" s="1" t="s">
        <v>131</v>
      </c>
      <c r="Q1229" s="1" t="s">
        <v>137</v>
      </c>
      <c r="R1229" s="1" t="s">
        <v>137</v>
      </c>
      <c r="S1229" s="1" t="s">
        <v>47</v>
      </c>
      <c r="T1229" s="1" t="s">
        <v>4301</v>
      </c>
      <c r="U1229" s="1" t="s">
        <v>1577</v>
      </c>
      <c r="V1229" s="1" t="s">
        <v>4950</v>
      </c>
      <c r="W1229" s="3">
        <v>46051.0</v>
      </c>
      <c r="X1229" s="3">
        <v>46051.0</v>
      </c>
    </row>
    <row r="1230">
      <c r="A1230" s="1" t="s">
        <v>15748</v>
      </c>
      <c r="B1230" s="1" t="s">
        <v>10321</v>
      </c>
      <c r="C1230" s="1" t="s">
        <v>10321</v>
      </c>
      <c r="D1230" s="1" t="s">
        <v>4293</v>
      </c>
      <c r="E1230" s="1" t="s">
        <v>10322</v>
      </c>
      <c r="F1230" s="1" t="s">
        <v>15749</v>
      </c>
      <c r="G1230" s="3">
        <v>44756.0</v>
      </c>
      <c r="H1230" s="3">
        <v>44910.0</v>
      </c>
      <c r="I1230" s="3">
        <v>44910.0</v>
      </c>
      <c r="J1230" s="1" t="s">
        <v>215</v>
      </c>
      <c r="K1230" s="1" t="s">
        <v>160</v>
      </c>
      <c r="L1230" s="1" t="s">
        <v>216</v>
      </c>
      <c r="M1230" s="1" t="s">
        <v>131</v>
      </c>
      <c r="Q1230" s="1" t="s">
        <v>137</v>
      </c>
      <c r="R1230" s="1" t="s">
        <v>137</v>
      </c>
      <c r="S1230" s="1" t="s">
        <v>47</v>
      </c>
      <c r="T1230" s="1" t="s">
        <v>4301</v>
      </c>
      <c r="U1230" s="1" t="s">
        <v>1577</v>
      </c>
      <c r="V1230" s="1" t="s">
        <v>3858</v>
      </c>
      <c r="W1230" s="3">
        <v>44910.0</v>
      </c>
      <c r="X1230" s="3">
        <v>44910.0</v>
      </c>
    </row>
    <row r="1231">
      <c r="A1231" s="1" t="s">
        <v>15751</v>
      </c>
      <c r="B1231" s="1" t="s">
        <v>10326</v>
      </c>
      <c r="C1231" s="1" t="s">
        <v>10326</v>
      </c>
      <c r="D1231" s="1" t="s">
        <v>4293</v>
      </c>
      <c r="E1231" s="1" t="s">
        <v>10327</v>
      </c>
      <c r="F1231" s="1" t="s">
        <v>15752</v>
      </c>
      <c r="G1231" s="3">
        <v>45792.0</v>
      </c>
      <c r="H1231" s="3">
        <v>46148.0</v>
      </c>
      <c r="I1231" s="3">
        <v>46148.0</v>
      </c>
      <c r="J1231" s="1" t="s">
        <v>215</v>
      </c>
      <c r="K1231" s="1" t="s">
        <v>160</v>
      </c>
      <c r="L1231" s="1" t="s">
        <v>216</v>
      </c>
      <c r="M1231" s="1" t="s">
        <v>131</v>
      </c>
      <c r="Q1231" s="1" t="s">
        <v>137</v>
      </c>
      <c r="R1231" s="1" t="s">
        <v>137</v>
      </c>
      <c r="S1231" s="1" t="s">
        <v>47</v>
      </c>
      <c r="T1231" s="1" t="s">
        <v>4301</v>
      </c>
      <c r="U1231" s="1" t="s">
        <v>1577</v>
      </c>
      <c r="V1231" s="1" t="s">
        <v>3858</v>
      </c>
      <c r="W1231" s="3">
        <v>46148.0</v>
      </c>
      <c r="X1231" s="3">
        <v>46148.0</v>
      </c>
    </row>
    <row r="1232">
      <c r="A1232" s="1" t="s">
        <v>15757</v>
      </c>
      <c r="B1232" s="1" t="s">
        <v>10326</v>
      </c>
      <c r="C1232" s="1" t="s">
        <v>10326</v>
      </c>
      <c r="D1232" s="1" t="s">
        <v>4293</v>
      </c>
      <c r="E1232" s="1" t="s">
        <v>10327</v>
      </c>
      <c r="F1232" s="1" t="s">
        <v>15759</v>
      </c>
      <c r="G1232" s="3">
        <v>45792.0</v>
      </c>
      <c r="H1232" s="3">
        <v>46148.0</v>
      </c>
      <c r="I1232" s="3">
        <v>46148.0</v>
      </c>
      <c r="J1232" s="1" t="s">
        <v>215</v>
      </c>
      <c r="K1232" s="1" t="s">
        <v>160</v>
      </c>
      <c r="L1232" s="1" t="s">
        <v>216</v>
      </c>
      <c r="M1232" s="1" t="s">
        <v>131</v>
      </c>
      <c r="Q1232" s="1" t="s">
        <v>137</v>
      </c>
      <c r="R1232" s="1" t="s">
        <v>137</v>
      </c>
      <c r="S1232" s="1" t="s">
        <v>47</v>
      </c>
      <c r="T1232" s="1" t="s">
        <v>4301</v>
      </c>
      <c r="U1232" s="1" t="s">
        <v>1577</v>
      </c>
      <c r="V1232" s="1" t="s">
        <v>4950</v>
      </c>
      <c r="W1232" s="3">
        <v>46148.0</v>
      </c>
      <c r="X1232" s="3">
        <v>46148.0</v>
      </c>
    </row>
    <row r="1233">
      <c r="A1233" s="1" t="s">
        <v>15761</v>
      </c>
      <c r="B1233" s="1" t="s">
        <v>8812</v>
      </c>
      <c r="C1233" s="1" t="s">
        <v>8812</v>
      </c>
      <c r="D1233" s="1" t="s">
        <v>4293</v>
      </c>
      <c r="E1233" s="1" t="s">
        <v>10332</v>
      </c>
      <c r="F1233" s="1" t="s">
        <v>15762</v>
      </c>
      <c r="G1233" s="3">
        <v>45211.0</v>
      </c>
      <c r="H1233" s="3">
        <v>45520.0</v>
      </c>
      <c r="I1233" s="3">
        <v>45520.0</v>
      </c>
      <c r="J1233" s="1" t="s">
        <v>215</v>
      </c>
      <c r="K1233" s="1" t="s">
        <v>160</v>
      </c>
      <c r="L1233" s="1" t="s">
        <v>216</v>
      </c>
      <c r="M1233" s="1" t="s">
        <v>131</v>
      </c>
      <c r="Q1233" s="1" t="s">
        <v>137</v>
      </c>
      <c r="R1233" s="1" t="s">
        <v>137</v>
      </c>
      <c r="S1233" s="1" t="s">
        <v>47</v>
      </c>
      <c r="T1233" s="1" t="s">
        <v>4301</v>
      </c>
      <c r="U1233" s="1" t="s">
        <v>1577</v>
      </c>
      <c r="V1233" s="1" t="s">
        <v>3858</v>
      </c>
      <c r="W1233" s="3">
        <v>45520.0</v>
      </c>
      <c r="X1233" s="3">
        <v>45520.0</v>
      </c>
    </row>
    <row r="1234">
      <c r="A1234" s="1" t="s">
        <v>15764</v>
      </c>
      <c r="B1234" s="1" t="s">
        <v>10336</v>
      </c>
      <c r="C1234" s="1" t="s">
        <v>10336</v>
      </c>
      <c r="D1234" s="1" t="s">
        <v>4293</v>
      </c>
      <c r="E1234" s="1" t="s">
        <v>10337</v>
      </c>
      <c r="F1234" s="1" t="s">
        <v>15765</v>
      </c>
      <c r="G1234" s="3">
        <v>45288.0</v>
      </c>
      <c r="H1234" s="3">
        <v>45576.0</v>
      </c>
      <c r="I1234" s="3">
        <v>45576.0</v>
      </c>
      <c r="J1234" s="1" t="s">
        <v>215</v>
      </c>
      <c r="K1234" s="1" t="s">
        <v>160</v>
      </c>
      <c r="L1234" s="1" t="s">
        <v>216</v>
      </c>
      <c r="M1234" s="1" t="s">
        <v>131</v>
      </c>
      <c r="Q1234" s="1" t="s">
        <v>137</v>
      </c>
      <c r="R1234" s="1" t="s">
        <v>137</v>
      </c>
      <c r="S1234" s="1" t="s">
        <v>47</v>
      </c>
      <c r="T1234" s="1" t="s">
        <v>4301</v>
      </c>
      <c r="U1234" s="1" t="s">
        <v>1577</v>
      </c>
      <c r="V1234" s="1" t="s">
        <v>3858</v>
      </c>
      <c r="W1234" s="3">
        <v>45576.0</v>
      </c>
      <c r="X1234" s="3">
        <v>45576.0</v>
      </c>
    </row>
    <row r="1235">
      <c r="A1235" s="1" t="s">
        <v>15768</v>
      </c>
      <c r="B1235" s="1" t="s">
        <v>10336</v>
      </c>
      <c r="C1235" s="1" t="s">
        <v>10336</v>
      </c>
      <c r="D1235" s="1" t="s">
        <v>4293</v>
      </c>
      <c r="E1235" s="1" t="s">
        <v>10337</v>
      </c>
      <c r="F1235" s="1" t="s">
        <v>15769</v>
      </c>
      <c r="G1235" s="3">
        <v>45288.0</v>
      </c>
      <c r="H1235" s="3">
        <v>45576.0</v>
      </c>
      <c r="I1235" s="3">
        <v>45576.0</v>
      </c>
      <c r="J1235" s="1" t="s">
        <v>215</v>
      </c>
      <c r="K1235" s="1" t="s">
        <v>160</v>
      </c>
      <c r="L1235" s="1" t="s">
        <v>216</v>
      </c>
      <c r="M1235" s="1" t="s">
        <v>131</v>
      </c>
      <c r="Q1235" s="1" t="s">
        <v>137</v>
      </c>
      <c r="R1235" s="1" t="s">
        <v>137</v>
      </c>
      <c r="S1235" s="1" t="s">
        <v>47</v>
      </c>
      <c r="T1235" s="1" t="s">
        <v>4301</v>
      </c>
      <c r="U1235" s="1" t="s">
        <v>1577</v>
      </c>
      <c r="V1235" s="1" t="s">
        <v>4950</v>
      </c>
      <c r="W1235" s="3">
        <v>45576.0</v>
      </c>
      <c r="X1235" s="3">
        <v>45576.0</v>
      </c>
    </row>
    <row r="1236">
      <c r="A1236" s="1" t="s">
        <v>15771</v>
      </c>
      <c r="B1236" s="1" t="s">
        <v>4866</v>
      </c>
      <c r="C1236" s="1" t="s">
        <v>4866</v>
      </c>
      <c r="D1236" s="1" t="s">
        <v>4293</v>
      </c>
      <c r="E1236" s="1" t="s">
        <v>10340</v>
      </c>
      <c r="F1236" s="1" t="s">
        <v>15772</v>
      </c>
      <c r="G1236" s="3">
        <v>44560.0</v>
      </c>
      <c r="H1236" s="3">
        <v>43981.0</v>
      </c>
      <c r="I1236" s="3">
        <v>43981.0</v>
      </c>
      <c r="J1236" s="1" t="s">
        <v>215</v>
      </c>
      <c r="K1236" s="1" t="s">
        <v>160</v>
      </c>
      <c r="L1236" s="1" t="s">
        <v>216</v>
      </c>
      <c r="M1236" s="1" t="s">
        <v>131</v>
      </c>
      <c r="Q1236" s="1" t="s">
        <v>137</v>
      </c>
      <c r="R1236" s="1" t="s">
        <v>137</v>
      </c>
      <c r="S1236" s="1" t="s">
        <v>47</v>
      </c>
      <c r="T1236" s="1" t="s">
        <v>4301</v>
      </c>
      <c r="U1236" s="1" t="s">
        <v>1577</v>
      </c>
      <c r="V1236" s="1" t="s">
        <v>3858</v>
      </c>
      <c r="W1236" s="3">
        <v>43981.0</v>
      </c>
      <c r="X1236" s="3">
        <v>43981.0</v>
      </c>
    </row>
    <row r="1237">
      <c r="A1237" s="1" t="s">
        <v>15776</v>
      </c>
      <c r="B1237" s="1" t="s">
        <v>8247</v>
      </c>
      <c r="C1237" s="1" t="s">
        <v>8247</v>
      </c>
      <c r="D1237" s="1" t="s">
        <v>4293</v>
      </c>
      <c r="E1237" s="1" t="s">
        <v>10345</v>
      </c>
      <c r="F1237" s="1" t="s">
        <v>15777</v>
      </c>
      <c r="G1237" s="3">
        <v>44500.0</v>
      </c>
      <c r="H1237" s="3">
        <v>44500.0</v>
      </c>
      <c r="I1237" s="3">
        <v>44500.0</v>
      </c>
      <c r="J1237" s="1" t="s">
        <v>215</v>
      </c>
      <c r="K1237" s="1" t="s">
        <v>160</v>
      </c>
      <c r="L1237" s="1" t="s">
        <v>216</v>
      </c>
      <c r="M1237" s="1" t="s">
        <v>131</v>
      </c>
      <c r="Q1237" s="1" t="s">
        <v>137</v>
      </c>
      <c r="R1237" s="1" t="s">
        <v>137</v>
      </c>
      <c r="S1237" s="1" t="s">
        <v>47</v>
      </c>
      <c r="T1237" s="1" t="s">
        <v>4301</v>
      </c>
      <c r="U1237" s="1" t="s">
        <v>1577</v>
      </c>
      <c r="V1237" s="1" t="s">
        <v>3858</v>
      </c>
      <c r="W1237" s="3">
        <v>44500.0</v>
      </c>
      <c r="X1237" s="3">
        <v>44500.0</v>
      </c>
    </row>
    <row r="1238">
      <c r="A1238" s="1" t="s">
        <v>15780</v>
      </c>
      <c r="B1238" s="1" t="s">
        <v>10348</v>
      </c>
      <c r="C1238" s="1" t="s">
        <v>10348</v>
      </c>
      <c r="D1238" s="1" t="s">
        <v>4293</v>
      </c>
      <c r="E1238" s="1" t="s">
        <v>10349</v>
      </c>
      <c r="F1238" s="1" t="s">
        <v>15781</v>
      </c>
      <c r="G1238" s="3">
        <v>45414.0</v>
      </c>
      <c r="H1238" s="3">
        <v>45789.0</v>
      </c>
      <c r="I1238" s="3">
        <v>45789.0</v>
      </c>
      <c r="J1238" s="1" t="s">
        <v>215</v>
      </c>
      <c r="K1238" s="1" t="s">
        <v>160</v>
      </c>
      <c r="L1238" s="1" t="s">
        <v>216</v>
      </c>
      <c r="M1238" s="1" t="s">
        <v>131</v>
      </c>
      <c r="Q1238" s="1" t="s">
        <v>137</v>
      </c>
      <c r="R1238" s="1" t="s">
        <v>137</v>
      </c>
      <c r="S1238" s="1" t="s">
        <v>47</v>
      </c>
      <c r="T1238" s="1" t="s">
        <v>4301</v>
      </c>
      <c r="U1238" s="1" t="s">
        <v>1577</v>
      </c>
      <c r="V1238" s="1" t="s">
        <v>3858</v>
      </c>
      <c r="W1238" s="3">
        <v>45789.0</v>
      </c>
      <c r="X1238" s="3">
        <v>45789.0</v>
      </c>
    </row>
    <row r="1239">
      <c r="A1239" s="1" t="s">
        <v>15783</v>
      </c>
      <c r="B1239" s="1" t="s">
        <v>10348</v>
      </c>
      <c r="C1239" s="1" t="s">
        <v>10348</v>
      </c>
      <c r="D1239" s="1" t="s">
        <v>4293</v>
      </c>
      <c r="E1239" s="1" t="s">
        <v>10349</v>
      </c>
      <c r="F1239" s="1" t="s">
        <v>15784</v>
      </c>
      <c r="G1239" s="3">
        <v>45414.0</v>
      </c>
      <c r="H1239" s="3">
        <v>45789.0</v>
      </c>
      <c r="I1239" s="3">
        <v>45789.0</v>
      </c>
      <c r="J1239" s="1" t="s">
        <v>215</v>
      </c>
      <c r="K1239" s="1" t="s">
        <v>160</v>
      </c>
      <c r="L1239" s="1" t="s">
        <v>216</v>
      </c>
      <c r="M1239" s="1" t="s">
        <v>131</v>
      </c>
      <c r="Q1239" s="1" t="s">
        <v>137</v>
      </c>
      <c r="R1239" s="1" t="s">
        <v>137</v>
      </c>
      <c r="S1239" s="1" t="s">
        <v>47</v>
      </c>
      <c r="T1239" s="1" t="s">
        <v>4301</v>
      </c>
      <c r="U1239" s="1" t="s">
        <v>1577</v>
      </c>
      <c r="V1239" s="1" t="s">
        <v>4950</v>
      </c>
      <c r="W1239" s="3">
        <v>45789.0</v>
      </c>
      <c r="X1239" s="3">
        <v>45789.0</v>
      </c>
    </row>
    <row r="1240">
      <c r="A1240" s="1" t="s">
        <v>15786</v>
      </c>
      <c r="B1240" s="1" t="s">
        <v>10354</v>
      </c>
      <c r="C1240" s="1" t="s">
        <v>10354</v>
      </c>
      <c r="D1240" s="1" t="s">
        <v>4293</v>
      </c>
      <c r="E1240" s="1" t="s">
        <v>10355</v>
      </c>
      <c r="F1240" s="1" t="s">
        <v>15788</v>
      </c>
      <c r="G1240" s="3">
        <v>45307.0</v>
      </c>
      <c r="H1240" s="3">
        <v>45495.0</v>
      </c>
      <c r="I1240" s="3">
        <v>45495.0</v>
      </c>
      <c r="J1240" s="1" t="s">
        <v>215</v>
      </c>
      <c r="K1240" s="1" t="s">
        <v>160</v>
      </c>
      <c r="L1240" s="1" t="s">
        <v>216</v>
      </c>
      <c r="M1240" s="1" t="s">
        <v>131</v>
      </c>
      <c r="Q1240" s="1" t="s">
        <v>137</v>
      </c>
      <c r="R1240" s="1" t="s">
        <v>137</v>
      </c>
      <c r="S1240" s="1" t="s">
        <v>47</v>
      </c>
      <c r="T1240" s="1" t="s">
        <v>4301</v>
      </c>
      <c r="U1240" s="1" t="s">
        <v>1577</v>
      </c>
      <c r="V1240" s="1" t="s">
        <v>3858</v>
      </c>
      <c r="W1240" s="3">
        <v>45495.0</v>
      </c>
      <c r="X1240" s="3">
        <v>45495.0</v>
      </c>
    </row>
    <row r="1241">
      <c r="A1241" s="1" t="s">
        <v>15789</v>
      </c>
      <c r="B1241" s="1" t="s">
        <v>10359</v>
      </c>
      <c r="C1241" s="1" t="s">
        <v>10359</v>
      </c>
      <c r="D1241" s="1" t="s">
        <v>4293</v>
      </c>
      <c r="E1241" s="1" t="s">
        <v>10360</v>
      </c>
      <c r="F1241" s="1" t="s">
        <v>15790</v>
      </c>
      <c r="G1241" s="3">
        <v>44257.0</v>
      </c>
      <c r="H1241" s="3">
        <v>44257.0</v>
      </c>
      <c r="I1241" s="3">
        <v>44257.0</v>
      </c>
      <c r="J1241" s="1" t="s">
        <v>215</v>
      </c>
      <c r="K1241" s="1" t="s">
        <v>160</v>
      </c>
      <c r="L1241" s="1" t="s">
        <v>216</v>
      </c>
      <c r="M1241" s="1" t="s">
        <v>131</v>
      </c>
      <c r="Q1241" s="1" t="s">
        <v>137</v>
      </c>
      <c r="R1241" s="1" t="s">
        <v>137</v>
      </c>
      <c r="S1241" s="1" t="s">
        <v>47</v>
      </c>
      <c r="T1241" s="1" t="s">
        <v>4301</v>
      </c>
      <c r="U1241" s="1" t="s">
        <v>1577</v>
      </c>
      <c r="V1241" s="1" t="s">
        <v>3858</v>
      </c>
      <c r="W1241" s="3">
        <v>44257.0</v>
      </c>
      <c r="X1241" s="3">
        <v>44257.0</v>
      </c>
    </row>
    <row r="1242">
      <c r="A1242" s="1" t="s">
        <v>15792</v>
      </c>
      <c r="B1242" s="1" t="s">
        <v>10359</v>
      </c>
      <c r="C1242" s="1" t="s">
        <v>10359</v>
      </c>
      <c r="D1242" s="1" t="s">
        <v>4293</v>
      </c>
      <c r="E1242" s="1" t="s">
        <v>10360</v>
      </c>
      <c r="F1242" s="1" t="s">
        <v>15794</v>
      </c>
      <c r="G1242" s="3">
        <v>44257.0</v>
      </c>
      <c r="H1242" s="3">
        <v>44257.0</v>
      </c>
      <c r="I1242" s="3">
        <v>44257.0</v>
      </c>
      <c r="J1242" s="1" t="s">
        <v>215</v>
      </c>
      <c r="K1242" s="1" t="s">
        <v>160</v>
      </c>
      <c r="L1242" s="1" t="s">
        <v>216</v>
      </c>
      <c r="M1242" s="1" t="s">
        <v>131</v>
      </c>
      <c r="Q1242" s="1" t="s">
        <v>137</v>
      </c>
      <c r="R1242" s="1" t="s">
        <v>137</v>
      </c>
      <c r="S1242" s="1" t="s">
        <v>47</v>
      </c>
      <c r="T1242" s="1" t="s">
        <v>4301</v>
      </c>
      <c r="U1242" s="1" t="s">
        <v>1577</v>
      </c>
      <c r="V1242" s="1" t="s">
        <v>3865</v>
      </c>
      <c r="W1242" s="3">
        <v>44257.0</v>
      </c>
      <c r="X1242" s="3">
        <v>44257.0</v>
      </c>
    </row>
    <row r="1243">
      <c r="A1243" s="1" t="s">
        <v>15796</v>
      </c>
      <c r="B1243" s="1" t="s">
        <v>10359</v>
      </c>
      <c r="C1243" s="1" t="s">
        <v>10359</v>
      </c>
      <c r="D1243" s="1" t="s">
        <v>4293</v>
      </c>
      <c r="E1243" s="1" t="s">
        <v>10360</v>
      </c>
      <c r="F1243" s="1" t="s">
        <v>15797</v>
      </c>
      <c r="G1243" s="3">
        <v>44257.0</v>
      </c>
      <c r="H1243" s="3">
        <v>44257.0</v>
      </c>
      <c r="I1243" s="3">
        <v>44257.0</v>
      </c>
      <c r="J1243" s="1" t="s">
        <v>215</v>
      </c>
      <c r="K1243" s="1" t="s">
        <v>160</v>
      </c>
      <c r="L1243" s="1" t="s">
        <v>216</v>
      </c>
      <c r="M1243" s="1" t="s">
        <v>131</v>
      </c>
      <c r="Q1243" s="1" t="s">
        <v>137</v>
      </c>
      <c r="R1243" s="1" t="s">
        <v>137</v>
      </c>
      <c r="S1243" s="1" t="s">
        <v>47</v>
      </c>
      <c r="T1243" s="1" t="s">
        <v>4301</v>
      </c>
      <c r="U1243" s="1" t="s">
        <v>1577</v>
      </c>
      <c r="V1243" s="1" t="s">
        <v>4950</v>
      </c>
      <c r="W1243" s="3">
        <v>44257.0</v>
      </c>
      <c r="X1243" s="3">
        <v>44257.0</v>
      </c>
    </row>
    <row r="1244">
      <c r="A1244" s="1" t="s">
        <v>15799</v>
      </c>
      <c r="B1244" s="1" t="s">
        <v>8141</v>
      </c>
      <c r="C1244" s="1" t="s">
        <v>8141</v>
      </c>
      <c r="D1244" s="1" t="s">
        <v>4293</v>
      </c>
      <c r="E1244" s="1" t="s">
        <v>10365</v>
      </c>
      <c r="F1244" s="1" t="s">
        <v>15800</v>
      </c>
      <c r="G1244" s="3">
        <v>44482.0</v>
      </c>
      <c r="H1244" s="3">
        <v>44482.0</v>
      </c>
      <c r="I1244" s="3">
        <v>44482.0</v>
      </c>
      <c r="J1244" s="1" t="s">
        <v>215</v>
      </c>
      <c r="K1244" s="1" t="s">
        <v>160</v>
      </c>
      <c r="L1244" s="1" t="s">
        <v>216</v>
      </c>
      <c r="M1244" s="1" t="s">
        <v>131</v>
      </c>
      <c r="Q1244" s="1" t="s">
        <v>137</v>
      </c>
      <c r="R1244" s="1" t="s">
        <v>137</v>
      </c>
      <c r="S1244" s="1" t="s">
        <v>47</v>
      </c>
      <c r="T1244" s="1" t="s">
        <v>4301</v>
      </c>
      <c r="U1244" s="1" t="s">
        <v>1577</v>
      </c>
      <c r="V1244" s="1" t="s">
        <v>3858</v>
      </c>
      <c r="W1244" s="3">
        <v>44482.0</v>
      </c>
      <c r="X1244" s="3">
        <v>44482.0</v>
      </c>
    </row>
    <row r="1245">
      <c r="A1245" s="1" t="s">
        <v>15802</v>
      </c>
      <c r="B1245" s="1" t="s">
        <v>10370</v>
      </c>
      <c r="C1245" s="1" t="s">
        <v>10370</v>
      </c>
      <c r="D1245" s="1" t="s">
        <v>4293</v>
      </c>
      <c r="E1245" s="1" t="s">
        <v>10371</v>
      </c>
      <c r="F1245" s="1" t="s">
        <v>15803</v>
      </c>
      <c r="G1245" s="3">
        <v>45818.0</v>
      </c>
      <c r="H1245" s="3">
        <v>46020.0</v>
      </c>
      <c r="I1245" s="3">
        <v>46020.0</v>
      </c>
      <c r="J1245" s="1" t="s">
        <v>215</v>
      </c>
      <c r="K1245" s="1" t="s">
        <v>160</v>
      </c>
      <c r="L1245" s="1" t="s">
        <v>216</v>
      </c>
      <c r="M1245" s="1" t="s">
        <v>131</v>
      </c>
      <c r="Q1245" s="1" t="s">
        <v>137</v>
      </c>
      <c r="R1245" s="1" t="s">
        <v>137</v>
      </c>
      <c r="S1245" s="1" t="s">
        <v>47</v>
      </c>
      <c r="T1245" s="1" t="s">
        <v>4301</v>
      </c>
      <c r="U1245" s="1" t="s">
        <v>1577</v>
      </c>
      <c r="V1245" s="1" t="s">
        <v>3963</v>
      </c>
      <c r="W1245" s="3">
        <v>46020.0</v>
      </c>
      <c r="X1245" s="3">
        <v>46020.0</v>
      </c>
    </row>
    <row r="1246">
      <c r="A1246" s="1" t="s">
        <v>15806</v>
      </c>
      <c r="B1246" s="1" t="s">
        <v>10370</v>
      </c>
      <c r="C1246" s="1" t="s">
        <v>10370</v>
      </c>
      <c r="D1246" s="1" t="s">
        <v>4293</v>
      </c>
      <c r="E1246" s="1" t="s">
        <v>10371</v>
      </c>
      <c r="F1246" s="1" t="s">
        <v>15807</v>
      </c>
      <c r="G1246" s="3">
        <v>45818.0</v>
      </c>
      <c r="H1246" s="3">
        <v>46020.0</v>
      </c>
      <c r="I1246" s="3">
        <v>46020.0</v>
      </c>
      <c r="J1246" s="1" t="s">
        <v>215</v>
      </c>
      <c r="K1246" s="1" t="s">
        <v>160</v>
      </c>
      <c r="L1246" s="1" t="s">
        <v>216</v>
      </c>
      <c r="M1246" s="1" t="s">
        <v>131</v>
      </c>
      <c r="Q1246" s="1" t="s">
        <v>137</v>
      </c>
      <c r="R1246" s="1" t="s">
        <v>137</v>
      </c>
      <c r="S1246" s="1" t="s">
        <v>47</v>
      </c>
      <c r="T1246" s="1" t="s">
        <v>4301</v>
      </c>
      <c r="U1246" s="1" t="s">
        <v>1577</v>
      </c>
      <c r="V1246" s="1" t="s">
        <v>4679</v>
      </c>
      <c r="W1246" s="3">
        <v>46020.0</v>
      </c>
      <c r="X1246" s="3">
        <v>46020.0</v>
      </c>
    </row>
    <row r="1247">
      <c r="A1247" s="1" t="s">
        <v>15809</v>
      </c>
      <c r="B1247" s="1" t="s">
        <v>10370</v>
      </c>
      <c r="C1247" s="1" t="s">
        <v>10370</v>
      </c>
      <c r="D1247" s="1" t="s">
        <v>4293</v>
      </c>
      <c r="E1247" s="1" t="s">
        <v>10371</v>
      </c>
      <c r="F1247" s="1" t="s">
        <v>15811</v>
      </c>
      <c r="G1247" s="3">
        <v>45818.0</v>
      </c>
      <c r="H1247" s="3">
        <v>46020.0</v>
      </c>
      <c r="I1247" s="3">
        <v>46020.0</v>
      </c>
      <c r="J1247" s="1" t="s">
        <v>215</v>
      </c>
      <c r="K1247" s="1" t="s">
        <v>160</v>
      </c>
      <c r="L1247" s="1" t="s">
        <v>216</v>
      </c>
      <c r="M1247" s="1" t="s">
        <v>131</v>
      </c>
      <c r="Q1247" s="1" t="s">
        <v>137</v>
      </c>
      <c r="R1247" s="1" t="s">
        <v>137</v>
      </c>
      <c r="S1247" s="1" t="s">
        <v>47</v>
      </c>
      <c r="T1247" s="1" t="s">
        <v>4301</v>
      </c>
      <c r="U1247" s="1" t="s">
        <v>1577</v>
      </c>
      <c r="V1247" s="1" t="s">
        <v>4950</v>
      </c>
      <c r="W1247" s="3">
        <v>46020.0</v>
      </c>
      <c r="X1247" s="3">
        <v>46020.0</v>
      </c>
    </row>
    <row r="1248">
      <c r="A1248" s="1" t="s">
        <v>15812</v>
      </c>
      <c r="B1248" s="1" t="s">
        <v>10370</v>
      </c>
      <c r="C1248" s="1" t="s">
        <v>10370</v>
      </c>
      <c r="D1248" s="1" t="s">
        <v>4293</v>
      </c>
      <c r="E1248" s="1" t="s">
        <v>10371</v>
      </c>
      <c r="F1248" s="1" t="s">
        <v>15813</v>
      </c>
      <c r="G1248" s="3">
        <v>45818.0</v>
      </c>
      <c r="H1248" s="3">
        <v>46020.0</v>
      </c>
      <c r="I1248" s="3">
        <v>46020.0</v>
      </c>
      <c r="J1248" s="1" t="s">
        <v>215</v>
      </c>
      <c r="K1248" s="1" t="s">
        <v>160</v>
      </c>
      <c r="L1248" s="1" t="s">
        <v>216</v>
      </c>
      <c r="M1248" s="1" t="s">
        <v>131</v>
      </c>
      <c r="Q1248" s="1" t="s">
        <v>137</v>
      </c>
      <c r="R1248" s="1" t="s">
        <v>137</v>
      </c>
      <c r="S1248" s="1" t="s">
        <v>47</v>
      </c>
      <c r="T1248" s="1" t="s">
        <v>4301</v>
      </c>
      <c r="U1248" s="1" t="s">
        <v>1577</v>
      </c>
      <c r="V1248" s="1" t="s">
        <v>5104</v>
      </c>
      <c r="W1248" s="3">
        <v>46020.0</v>
      </c>
      <c r="X1248" s="3">
        <v>46020.0</v>
      </c>
    </row>
    <row r="1249">
      <c r="A1249" s="1" t="s">
        <v>15814</v>
      </c>
      <c r="B1249" s="1" t="s">
        <v>10370</v>
      </c>
      <c r="C1249" s="1" t="s">
        <v>10370</v>
      </c>
      <c r="D1249" s="1" t="s">
        <v>4293</v>
      </c>
      <c r="E1249" s="1" t="s">
        <v>10371</v>
      </c>
      <c r="F1249" s="1" t="s">
        <v>15816</v>
      </c>
      <c r="G1249" s="3">
        <v>45818.0</v>
      </c>
      <c r="H1249" s="3">
        <v>46020.0</v>
      </c>
      <c r="I1249" s="3">
        <v>46020.0</v>
      </c>
      <c r="J1249" s="1" t="s">
        <v>215</v>
      </c>
      <c r="K1249" s="1" t="s">
        <v>160</v>
      </c>
      <c r="L1249" s="1" t="s">
        <v>216</v>
      </c>
      <c r="M1249" s="1" t="s">
        <v>131</v>
      </c>
      <c r="Q1249" s="1" t="s">
        <v>137</v>
      </c>
      <c r="R1249" s="1" t="s">
        <v>137</v>
      </c>
      <c r="S1249" s="1" t="s">
        <v>47</v>
      </c>
      <c r="T1249" s="1" t="s">
        <v>4301</v>
      </c>
      <c r="U1249" s="1" t="s">
        <v>1577</v>
      </c>
      <c r="V1249" s="1" t="s">
        <v>5120</v>
      </c>
      <c r="W1249" s="3">
        <v>46020.0</v>
      </c>
      <c r="X1249" s="3">
        <v>46020.0</v>
      </c>
    </row>
    <row r="1250">
      <c r="A1250" s="1" t="s">
        <v>15818</v>
      </c>
      <c r="B1250" s="1" t="s">
        <v>10376</v>
      </c>
      <c r="C1250" s="1" t="s">
        <v>10376</v>
      </c>
      <c r="D1250" s="1" t="s">
        <v>4293</v>
      </c>
      <c r="E1250" s="1" t="s">
        <v>10377</v>
      </c>
      <c r="F1250" s="1" t="s">
        <v>15820</v>
      </c>
      <c r="G1250" s="3">
        <v>44629.0</v>
      </c>
      <c r="H1250" s="3">
        <v>43532.0</v>
      </c>
      <c r="I1250" s="3">
        <v>43532.0</v>
      </c>
      <c r="J1250" s="1" t="s">
        <v>215</v>
      </c>
      <c r="K1250" s="1" t="s">
        <v>160</v>
      </c>
      <c r="L1250" s="1" t="s">
        <v>216</v>
      </c>
      <c r="M1250" s="1" t="s">
        <v>131</v>
      </c>
      <c r="Q1250" s="1" t="s">
        <v>137</v>
      </c>
      <c r="R1250" s="1" t="s">
        <v>137</v>
      </c>
      <c r="S1250" s="1" t="s">
        <v>47</v>
      </c>
      <c r="T1250" s="1" t="s">
        <v>4301</v>
      </c>
      <c r="U1250" s="1" t="s">
        <v>1577</v>
      </c>
      <c r="V1250" s="1" t="s">
        <v>3858</v>
      </c>
      <c r="W1250" s="3">
        <v>43532.0</v>
      </c>
      <c r="X1250" s="3">
        <v>43532.0</v>
      </c>
    </row>
    <row r="1251">
      <c r="A1251" s="1" t="s">
        <v>15824</v>
      </c>
      <c r="B1251" s="1" t="s">
        <v>10382</v>
      </c>
      <c r="C1251" s="1" t="s">
        <v>10382</v>
      </c>
      <c r="D1251" s="1" t="s">
        <v>4293</v>
      </c>
      <c r="E1251" s="1" t="s">
        <v>10383</v>
      </c>
      <c r="F1251" s="1" t="s">
        <v>15825</v>
      </c>
      <c r="G1251" s="3">
        <v>45254.0</v>
      </c>
      <c r="H1251" s="3">
        <v>45387.0</v>
      </c>
      <c r="I1251" s="3">
        <v>45387.0</v>
      </c>
      <c r="J1251" s="1" t="s">
        <v>215</v>
      </c>
      <c r="K1251" s="1" t="s">
        <v>160</v>
      </c>
      <c r="L1251" s="1" t="s">
        <v>216</v>
      </c>
      <c r="M1251" s="1" t="s">
        <v>131</v>
      </c>
      <c r="Q1251" s="1" t="s">
        <v>137</v>
      </c>
      <c r="R1251" s="1" t="s">
        <v>137</v>
      </c>
      <c r="S1251" s="1" t="s">
        <v>47</v>
      </c>
      <c r="T1251" s="1" t="s">
        <v>4301</v>
      </c>
      <c r="U1251" s="1" t="s">
        <v>1577</v>
      </c>
      <c r="V1251" s="1" t="s">
        <v>3858</v>
      </c>
      <c r="W1251" s="3">
        <v>45387.0</v>
      </c>
      <c r="X1251" s="3">
        <v>45387.0</v>
      </c>
    </row>
    <row r="1252">
      <c r="A1252" s="1" t="s">
        <v>15828</v>
      </c>
      <c r="B1252" s="1" t="s">
        <v>10297</v>
      </c>
      <c r="C1252" s="1" t="s">
        <v>10297</v>
      </c>
      <c r="D1252" s="1" t="s">
        <v>4293</v>
      </c>
      <c r="E1252" s="1" t="s">
        <v>10388</v>
      </c>
      <c r="F1252" s="1" t="s">
        <v>15830</v>
      </c>
      <c r="G1252" s="3">
        <v>44935.0</v>
      </c>
      <c r="H1252" s="3">
        <v>45162.0</v>
      </c>
      <c r="I1252" s="3">
        <v>45162.0</v>
      </c>
      <c r="J1252" s="1" t="s">
        <v>215</v>
      </c>
      <c r="K1252" s="1" t="s">
        <v>160</v>
      </c>
      <c r="L1252" s="1" t="s">
        <v>216</v>
      </c>
      <c r="M1252" s="1" t="s">
        <v>131</v>
      </c>
      <c r="Q1252" s="1" t="s">
        <v>137</v>
      </c>
      <c r="R1252" s="1" t="s">
        <v>137</v>
      </c>
      <c r="S1252" s="1" t="s">
        <v>47</v>
      </c>
      <c r="T1252" s="1" t="s">
        <v>4301</v>
      </c>
      <c r="U1252" s="1" t="s">
        <v>1577</v>
      </c>
      <c r="V1252" s="1" t="s">
        <v>3858</v>
      </c>
      <c r="W1252" s="3">
        <v>45162.0</v>
      </c>
      <c r="X1252" s="3">
        <v>45162.0</v>
      </c>
    </row>
    <row r="1253">
      <c r="A1253" s="1" t="s">
        <v>15833</v>
      </c>
      <c r="B1253" s="1" t="s">
        <v>10297</v>
      </c>
      <c r="C1253" s="1" t="s">
        <v>10297</v>
      </c>
      <c r="D1253" s="1" t="s">
        <v>4293</v>
      </c>
      <c r="E1253" s="1" t="s">
        <v>10388</v>
      </c>
      <c r="F1253" s="1" t="s">
        <v>15835</v>
      </c>
      <c r="G1253" s="3">
        <v>44935.0</v>
      </c>
      <c r="H1253" s="3">
        <v>45162.0</v>
      </c>
      <c r="I1253" s="3">
        <v>45162.0</v>
      </c>
      <c r="J1253" s="1" t="s">
        <v>215</v>
      </c>
      <c r="K1253" s="1" t="s">
        <v>160</v>
      </c>
      <c r="L1253" s="1" t="s">
        <v>216</v>
      </c>
      <c r="M1253" s="1" t="s">
        <v>131</v>
      </c>
      <c r="Q1253" s="1" t="s">
        <v>137</v>
      </c>
      <c r="R1253" s="1" t="s">
        <v>137</v>
      </c>
      <c r="S1253" s="1" t="s">
        <v>47</v>
      </c>
      <c r="T1253" s="1" t="s">
        <v>4301</v>
      </c>
      <c r="U1253" s="1" t="s">
        <v>1577</v>
      </c>
      <c r="V1253" s="1" t="s">
        <v>4679</v>
      </c>
      <c r="W1253" s="3">
        <v>45162.0</v>
      </c>
      <c r="X1253" s="3">
        <v>45162.0</v>
      </c>
    </row>
    <row r="1254">
      <c r="A1254" s="1" t="s">
        <v>15838</v>
      </c>
      <c r="B1254" s="1" t="s">
        <v>10297</v>
      </c>
      <c r="C1254" s="1" t="s">
        <v>10297</v>
      </c>
      <c r="D1254" s="1" t="s">
        <v>4293</v>
      </c>
      <c r="E1254" s="1" t="s">
        <v>10388</v>
      </c>
      <c r="F1254" s="1" t="s">
        <v>15840</v>
      </c>
      <c r="G1254" s="3">
        <v>44935.0</v>
      </c>
      <c r="H1254" s="3">
        <v>45162.0</v>
      </c>
      <c r="I1254" s="3">
        <v>45162.0</v>
      </c>
      <c r="J1254" s="1" t="s">
        <v>215</v>
      </c>
      <c r="K1254" s="1" t="s">
        <v>160</v>
      </c>
      <c r="L1254" s="1" t="s">
        <v>216</v>
      </c>
      <c r="M1254" s="1" t="s">
        <v>131</v>
      </c>
      <c r="Q1254" s="1" t="s">
        <v>137</v>
      </c>
      <c r="R1254" s="1" t="s">
        <v>137</v>
      </c>
      <c r="S1254" s="1" t="s">
        <v>47</v>
      </c>
      <c r="T1254" s="1" t="s">
        <v>4301</v>
      </c>
      <c r="U1254" s="1" t="s">
        <v>1577</v>
      </c>
      <c r="V1254" s="1" t="s">
        <v>3865</v>
      </c>
      <c r="W1254" s="3">
        <v>45162.0</v>
      </c>
      <c r="X1254" s="3">
        <v>45162.0</v>
      </c>
    </row>
    <row r="1255">
      <c r="A1255" s="1" t="s">
        <v>15842</v>
      </c>
      <c r="B1255" s="1" t="s">
        <v>10297</v>
      </c>
      <c r="C1255" s="1" t="s">
        <v>10297</v>
      </c>
      <c r="D1255" s="1" t="s">
        <v>4293</v>
      </c>
      <c r="E1255" s="1" t="s">
        <v>10388</v>
      </c>
      <c r="F1255" s="1" t="s">
        <v>15844</v>
      </c>
      <c r="G1255" s="3">
        <v>44935.0</v>
      </c>
      <c r="H1255" s="3">
        <v>45162.0</v>
      </c>
      <c r="I1255" s="3">
        <v>45162.0</v>
      </c>
      <c r="J1255" s="1" t="s">
        <v>215</v>
      </c>
      <c r="K1255" s="1" t="s">
        <v>160</v>
      </c>
      <c r="L1255" s="1" t="s">
        <v>216</v>
      </c>
      <c r="M1255" s="1" t="s">
        <v>131</v>
      </c>
      <c r="Q1255" s="1" t="s">
        <v>137</v>
      </c>
      <c r="R1255" s="1" t="s">
        <v>137</v>
      </c>
      <c r="S1255" s="1" t="s">
        <v>47</v>
      </c>
      <c r="T1255" s="1" t="s">
        <v>4301</v>
      </c>
      <c r="U1255" s="1" t="s">
        <v>1577</v>
      </c>
      <c r="V1255" s="1" t="s">
        <v>4950</v>
      </c>
      <c r="W1255" s="3">
        <v>45162.0</v>
      </c>
      <c r="X1255" s="3">
        <v>45162.0</v>
      </c>
    </row>
    <row r="1256">
      <c r="A1256" s="1" t="s">
        <v>15847</v>
      </c>
      <c r="B1256" s="1" t="s">
        <v>10297</v>
      </c>
      <c r="C1256" s="1" t="s">
        <v>10297</v>
      </c>
      <c r="D1256" s="1" t="s">
        <v>4293</v>
      </c>
      <c r="E1256" s="1" t="s">
        <v>10388</v>
      </c>
      <c r="F1256" s="1" t="s">
        <v>15848</v>
      </c>
      <c r="G1256" s="3">
        <v>44935.0</v>
      </c>
      <c r="H1256" s="3">
        <v>45162.0</v>
      </c>
      <c r="I1256" s="3">
        <v>45162.0</v>
      </c>
      <c r="J1256" s="1" t="s">
        <v>215</v>
      </c>
      <c r="K1256" s="1" t="s">
        <v>160</v>
      </c>
      <c r="L1256" s="1" t="s">
        <v>216</v>
      </c>
      <c r="M1256" s="1" t="s">
        <v>131</v>
      </c>
      <c r="Q1256" s="1" t="s">
        <v>137</v>
      </c>
      <c r="R1256" s="1" t="s">
        <v>137</v>
      </c>
      <c r="S1256" s="1" t="s">
        <v>47</v>
      </c>
      <c r="T1256" s="1" t="s">
        <v>4301</v>
      </c>
      <c r="U1256" s="1" t="s">
        <v>1577</v>
      </c>
      <c r="V1256" s="1" t="s">
        <v>5104</v>
      </c>
      <c r="W1256" s="3">
        <v>45162.0</v>
      </c>
      <c r="X1256" s="3">
        <v>45162.0</v>
      </c>
    </row>
    <row r="1257">
      <c r="A1257" s="1" t="s">
        <v>15850</v>
      </c>
      <c r="B1257" s="1" t="s">
        <v>10297</v>
      </c>
      <c r="C1257" s="1" t="s">
        <v>10297</v>
      </c>
      <c r="D1257" s="1" t="s">
        <v>4293</v>
      </c>
      <c r="E1257" s="1" t="s">
        <v>10388</v>
      </c>
      <c r="F1257" s="1" t="s">
        <v>15853</v>
      </c>
      <c r="G1257" s="3">
        <v>44935.0</v>
      </c>
      <c r="H1257" s="3">
        <v>45162.0</v>
      </c>
      <c r="I1257" s="3">
        <v>45162.0</v>
      </c>
      <c r="J1257" s="1" t="s">
        <v>215</v>
      </c>
      <c r="K1257" s="1" t="s">
        <v>160</v>
      </c>
      <c r="L1257" s="1" t="s">
        <v>216</v>
      </c>
      <c r="M1257" s="1" t="s">
        <v>131</v>
      </c>
      <c r="Q1257" s="1" t="s">
        <v>137</v>
      </c>
      <c r="R1257" s="1" t="s">
        <v>137</v>
      </c>
      <c r="S1257" s="1" t="s">
        <v>47</v>
      </c>
      <c r="T1257" s="1" t="s">
        <v>4301</v>
      </c>
      <c r="U1257" s="1" t="s">
        <v>1577</v>
      </c>
      <c r="V1257" s="1" t="s">
        <v>5120</v>
      </c>
      <c r="W1257" s="3">
        <v>45162.0</v>
      </c>
      <c r="X1257" s="3">
        <v>45162.0</v>
      </c>
    </row>
    <row r="1258">
      <c r="A1258" s="1" t="s">
        <v>15855</v>
      </c>
      <c r="B1258" s="1" t="s">
        <v>10391</v>
      </c>
      <c r="C1258" s="1" t="s">
        <v>10391</v>
      </c>
      <c r="D1258" s="1" t="s">
        <v>4293</v>
      </c>
      <c r="E1258" s="1" t="s">
        <v>10392</v>
      </c>
      <c r="F1258" s="1" t="s">
        <v>15856</v>
      </c>
      <c r="G1258" s="3">
        <v>44560.0</v>
      </c>
      <c r="H1258" s="3">
        <v>44748.0</v>
      </c>
      <c r="I1258" s="3">
        <v>44748.0</v>
      </c>
      <c r="J1258" s="1" t="s">
        <v>215</v>
      </c>
      <c r="K1258" s="1" t="s">
        <v>160</v>
      </c>
      <c r="L1258" s="1" t="s">
        <v>216</v>
      </c>
      <c r="M1258" s="1" t="s">
        <v>131</v>
      </c>
      <c r="Q1258" s="1" t="s">
        <v>137</v>
      </c>
      <c r="R1258" s="1" t="s">
        <v>137</v>
      </c>
      <c r="S1258" s="1" t="s">
        <v>47</v>
      </c>
      <c r="T1258" s="1" t="s">
        <v>4301</v>
      </c>
      <c r="U1258" s="1" t="s">
        <v>1577</v>
      </c>
      <c r="V1258" s="1" t="s">
        <v>3858</v>
      </c>
      <c r="W1258" s="3">
        <v>44748.0</v>
      </c>
      <c r="X1258" s="3">
        <v>44748.0</v>
      </c>
    </row>
    <row r="1259">
      <c r="A1259" s="1" t="s">
        <v>15859</v>
      </c>
      <c r="B1259" s="1" t="s">
        <v>10397</v>
      </c>
      <c r="C1259" s="1" t="s">
        <v>10397</v>
      </c>
      <c r="D1259" s="1" t="s">
        <v>4293</v>
      </c>
      <c r="E1259" s="1" t="s">
        <v>10398</v>
      </c>
      <c r="F1259" s="1" t="s">
        <v>15860</v>
      </c>
      <c r="G1259" s="3">
        <v>44476.0</v>
      </c>
      <c r="H1259" s="3">
        <v>44476.0</v>
      </c>
      <c r="I1259" s="3">
        <v>44476.0</v>
      </c>
      <c r="J1259" s="1" t="s">
        <v>215</v>
      </c>
      <c r="K1259" s="1" t="s">
        <v>160</v>
      </c>
      <c r="L1259" s="1" t="s">
        <v>216</v>
      </c>
      <c r="M1259" s="1" t="s">
        <v>131</v>
      </c>
      <c r="Q1259" s="1" t="s">
        <v>137</v>
      </c>
      <c r="R1259" s="1" t="s">
        <v>137</v>
      </c>
      <c r="S1259" s="1" t="s">
        <v>47</v>
      </c>
      <c r="T1259" s="1" t="s">
        <v>4301</v>
      </c>
      <c r="U1259" s="1" t="s">
        <v>1577</v>
      </c>
      <c r="V1259" s="1" t="s">
        <v>3858</v>
      </c>
      <c r="W1259" s="3">
        <v>44476.0</v>
      </c>
      <c r="X1259" s="3">
        <v>44476.0</v>
      </c>
    </row>
    <row r="1260">
      <c r="A1260" s="1" t="s">
        <v>15862</v>
      </c>
      <c r="B1260" s="1" t="s">
        <v>10402</v>
      </c>
      <c r="C1260" s="1" t="s">
        <v>10402</v>
      </c>
      <c r="D1260" s="1" t="s">
        <v>4293</v>
      </c>
      <c r="E1260" s="1" t="s">
        <v>10403</v>
      </c>
      <c r="F1260" s="1" t="s">
        <v>15864</v>
      </c>
      <c r="G1260" s="3">
        <v>44704.0</v>
      </c>
      <c r="H1260" s="3">
        <v>44840.0</v>
      </c>
      <c r="I1260" s="3">
        <v>44840.0</v>
      </c>
      <c r="J1260" s="1" t="s">
        <v>215</v>
      </c>
      <c r="K1260" s="1" t="s">
        <v>160</v>
      </c>
      <c r="L1260" s="1" t="s">
        <v>216</v>
      </c>
      <c r="M1260" s="1" t="s">
        <v>131</v>
      </c>
      <c r="Q1260" s="1" t="s">
        <v>137</v>
      </c>
      <c r="R1260" s="1" t="s">
        <v>137</v>
      </c>
      <c r="S1260" s="1" t="s">
        <v>47</v>
      </c>
      <c r="T1260" s="1" t="s">
        <v>4301</v>
      </c>
      <c r="U1260" s="1" t="s">
        <v>1577</v>
      </c>
      <c r="V1260" s="1" t="s">
        <v>3858</v>
      </c>
      <c r="W1260" s="3">
        <v>44840.0</v>
      </c>
      <c r="X1260" s="3">
        <v>44840.0</v>
      </c>
    </row>
    <row r="1261">
      <c r="A1261" s="1" t="s">
        <v>15867</v>
      </c>
      <c r="B1261" s="1" t="s">
        <v>10402</v>
      </c>
      <c r="C1261" s="1" t="s">
        <v>10402</v>
      </c>
      <c r="D1261" s="1" t="s">
        <v>4293</v>
      </c>
      <c r="E1261" s="1" t="s">
        <v>10403</v>
      </c>
      <c r="F1261" s="1" t="s">
        <v>15868</v>
      </c>
      <c r="G1261" s="3">
        <v>44704.0</v>
      </c>
      <c r="H1261" s="3">
        <v>44840.0</v>
      </c>
      <c r="I1261" s="3">
        <v>44840.0</v>
      </c>
      <c r="J1261" s="1" t="s">
        <v>215</v>
      </c>
      <c r="K1261" s="1" t="s">
        <v>160</v>
      </c>
      <c r="L1261" s="1" t="s">
        <v>216</v>
      </c>
      <c r="M1261" s="1" t="s">
        <v>131</v>
      </c>
      <c r="Q1261" s="1" t="s">
        <v>137</v>
      </c>
      <c r="R1261" s="1" t="s">
        <v>137</v>
      </c>
      <c r="S1261" s="1" t="s">
        <v>47</v>
      </c>
      <c r="T1261" s="1" t="s">
        <v>4301</v>
      </c>
      <c r="U1261" s="1" t="s">
        <v>1577</v>
      </c>
      <c r="V1261" s="1" t="s">
        <v>4679</v>
      </c>
      <c r="W1261" s="3">
        <v>44840.0</v>
      </c>
      <c r="X1261" s="3">
        <v>44840.0</v>
      </c>
    </row>
    <row r="1262">
      <c r="A1262" s="1" t="s">
        <v>15871</v>
      </c>
      <c r="B1262" s="1" t="s">
        <v>10402</v>
      </c>
      <c r="C1262" s="1" t="s">
        <v>10402</v>
      </c>
      <c r="D1262" s="1" t="s">
        <v>4293</v>
      </c>
      <c r="E1262" s="1" t="s">
        <v>10403</v>
      </c>
      <c r="F1262" s="1" t="s">
        <v>15872</v>
      </c>
      <c r="G1262" s="3">
        <v>44704.0</v>
      </c>
      <c r="H1262" s="3">
        <v>44840.0</v>
      </c>
      <c r="I1262" s="3">
        <v>44840.0</v>
      </c>
      <c r="J1262" s="1" t="s">
        <v>215</v>
      </c>
      <c r="K1262" s="1" t="s">
        <v>160</v>
      </c>
      <c r="L1262" s="1" t="s">
        <v>216</v>
      </c>
      <c r="M1262" s="1" t="s">
        <v>131</v>
      </c>
      <c r="Q1262" s="1" t="s">
        <v>137</v>
      </c>
      <c r="R1262" s="1" t="s">
        <v>137</v>
      </c>
      <c r="S1262" s="1" t="s">
        <v>47</v>
      </c>
      <c r="T1262" s="1" t="s">
        <v>4301</v>
      </c>
      <c r="U1262" s="1" t="s">
        <v>1577</v>
      </c>
      <c r="V1262" s="1" t="s">
        <v>4950</v>
      </c>
      <c r="W1262" s="3">
        <v>44840.0</v>
      </c>
      <c r="X1262" s="3">
        <v>44840.0</v>
      </c>
    </row>
    <row r="1263">
      <c r="A1263" s="1" t="s">
        <v>15875</v>
      </c>
      <c r="B1263" s="1" t="s">
        <v>10402</v>
      </c>
      <c r="C1263" s="1" t="s">
        <v>10402</v>
      </c>
      <c r="D1263" s="1" t="s">
        <v>4293</v>
      </c>
      <c r="E1263" s="1" t="s">
        <v>10403</v>
      </c>
      <c r="F1263" s="1" t="s">
        <v>15877</v>
      </c>
      <c r="G1263" s="3">
        <v>44704.0</v>
      </c>
      <c r="H1263" s="3">
        <v>44840.0</v>
      </c>
      <c r="I1263" s="3">
        <v>44840.0</v>
      </c>
      <c r="J1263" s="1" t="s">
        <v>215</v>
      </c>
      <c r="K1263" s="1" t="s">
        <v>160</v>
      </c>
      <c r="L1263" s="1" t="s">
        <v>216</v>
      </c>
      <c r="M1263" s="1" t="s">
        <v>131</v>
      </c>
      <c r="Q1263" s="1" t="s">
        <v>137</v>
      </c>
      <c r="R1263" s="1" t="s">
        <v>137</v>
      </c>
      <c r="S1263" s="1" t="s">
        <v>47</v>
      </c>
      <c r="T1263" s="1" t="s">
        <v>4301</v>
      </c>
      <c r="U1263" s="1" t="s">
        <v>1577</v>
      </c>
      <c r="V1263" s="1" t="s">
        <v>5104</v>
      </c>
      <c r="W1263" s="3">
        <v>44840.0</v>
      </c>
      <c r="X1263" s="3">
        <v>44840.0</v>
      </c>
    </row>
    <row r="1264">
      <c r="A1264" s="1" t="s">
        <v>15879</v>
      </c>
      <c r="B1264" s="1" t="s">
        <v>10402</v>
      </c>
      <c r="C1264" s="1" t="s">
        <v>10402</v>
      </c>
      <c r="D1264" s="1" t="s">
        <v>4293</v>
      </c>
      <c r="E1264" s="1" t="s">
        <v>10403</v>
      </c>
      <c r="F1264" s="1" t="s">
        <v>15880</v>
      </c>
      <c r="G1264" s="3">
        <v>44704.0</v>
      </c>
      <c r="H1264" s="3">
        <v>44840.0</v>
      </c>
      <c r="I1264" s="3">
        <v>44840.0</v>
      </c>
      <c r="J1264" s="1" t="s">
        <v>215</v>
      </c>
      <c r="K1264" s="1" t="s">
        <v>160</v>
      </c>
      <c r="L1264" s="1" t="s">
        <v>216</v>
      </c>
      <c r="M1264" s="1" t="s">
        <v>131</v>
      </c>
      <c r="Q1264" s="1" t="s">
        <v>137</v>
      </c>
      <c r="R1264" s="1" t="s">
        <v>137</v>
      </c>
      <c r="S1264" s="1" t="s">
        <v>47</v>
      </c>
      <c r="T1264" s="1" t="s">
        <v>4301</v>
      </c>
      <c r="U1264" s="1" t="s">
        <v>1577</v>
      </c>
      <c r="V1264" s="1" t="s">
        <v>5120</v>
      </c>
      <c r="W1264" s="3">
        <v>44840.0</v>
      </c>
      <c r="X1264" s="3">
        <v>44840.0</v>
      </c>
    </row>
    <row r="1265">
      <c r="A1265" s="1" t="s">
        <v>15882</v>
      </c>
      <c r="B1265" s="1" t="s">
        <v>10407</v>
      </c>
      <c r="C1265" s="1" t="s">
        <v>10407</v>
      </c>
      <c r="D1265" s="1" t="s">
        <v>4293</v>
      </c>
      <c r="E1265" s="1" t="s">
        <v>10408</v>
      </c>
      <c r="F1265" s="1" t="s">
        <v>15883</v>
      </c>
      <c r="G1265" s="3">
        <v>45226.0</v>
      </c>
      <c r="H1265" s="3">
        <v>45509.0</v>
      </c>
      <c r="I1265" s="3">
        <v>45509.0</v>
      </c>
      <c r="J1265" s="1" t="s">
        <v>215</v>
      </c>
      <c r="K1265" s="1" t="s">
        <v>160</v>
      </c>
      <c r="L1265" s="1" t="s">
        <v>216</v>
      </c>
      <c r="M1265" s="1" t="s">
        <v>131</v>
      </c>
      <c r="Q1265" s="1" t="s">
        <v>137</v>
      </c>
      <c r="R1265" s="1" t="s">
        <v>137</v>
      </c>
      <c r="S1265" s="1" t="s">
        <v>47</v>
      </c>
      <c r="T1265" s="1" t="s">
        <v>4301</v>
      </c>
      <c r="U1265" s="1" t="s">
        <v>1577</v>
      </c>
      <c r="V1265" s="1" t="s">
        <v>3858</v>
      </c>
      <c r="W1265" s="3">
        <v>45509.0</v>
      </c>
      <c r="X1265" s="3">
        <v>45509.0</v>
      </c>
    </row>
    <row r="1266">
      <c r="A1266" s="1" t="s">
        <v>15887</v>
      </c>
      <c r="B1266" s="1" t="s">
        <v>14024</v>
      </c>
      <c r="C1266" s="1" t="s">
        <v>14024</v>
      </c>
      <c r="D1266" s="1" t="s">
        <v>4293</v>
      </c>
      <c r="E1266" s="1" t="s">
        <v>15888</v>
      </c>
      <c r="F1266" s="1" t="s">
        <v>15889</v>
      </c>
      <c r="G1266" s="3">
        <v>44799.0</v>
      </c>
      <c r="J1266" s="1" t="s">
        <v>124</v>
      </c>
      <c r="K1266" s="1" t="s">
        <v>160</v>
      </c>
      <c r="L1266" s="1" t="s">
        <v>253</v>
      </c>
      <c r="M1266" s="1" t="s">
        <v>131</v>
      </c>
      <c r="Q1266" s="1" t="s">
        <v>137</v>
      </c>
      <c r="R1266" s="1" t="s">
        <v>137</v>
      </c>
      <c r="S1266" s="1" t="s">
        <v>47</v>
      </c>
      <c r="T1266" s="1" t="s">
        <v>4301</v>
      </c>
      <c r="U1266" s="1" t="s">
        <v>1577</v>
      </c>
      <c r="V1266" s="1" t="s">
        <v>3858</v>
      </c>
      <c r="W1266" s="3"/>
    </row>
    <row r="1267">
      <c r="A1267" s="1" t="s">
        <v>15892</v>
      </c>
      <c r="B1267" s="1" t="s">
        <v>8369</v>
      </c>
      <c r="C1267" s="1" t="s">
        <v>8369</v>
      </c>
      <c r="D1267" s="1" t="s">
        <v>4293</v>
      </c>
      <c r="E1267" s="1" t="s">
        <v>15893</v>
      </c>
      <c r="F1267" s="1" t="s">
        <v>15895</v>
      </c>
      <c r="G1267" s="3">
        <v>44909.0</v>
      </c>
      <c r="H1267" s="3"/>
      <c r="I1267" s="3"/>
      <c r="J1267" s="1" t="s">
        <v>124</v>
      </c>
      <c r="K1267" s="1" t="s">
        <v>160</v>
      </c>
      <c r="L1267" s="1" t="s">
        <v>253</v>
      </c>
      <c r="M1267" s="1" t="s">
        <v>131</v>
      </c>
      <c r="Q1267" s="1" t="s">
        <v>137</v>
      </c>
      <c r="R1267" s="1" t="s">
        <v>137</v>
      </c>
      <c r="S1267" s="1" t="s">
        <v>47</v>
      </c>
      <c r="T1267" s="1" t="s">
        <v>4301</v>
      </c>
      <c r="U1267" s="1" t="s">
        <v>1577</v>
      </c>
      <c r="V1267" s="1" t="s">
        <v>3858</v>
      </c>
      <c r="W1267" s="3"/>
      <c r="X1267" s="3"/>
    </row>
    <row r="1268">
      <c r="A1268" s="1" t="s">
        <v>15898</v>
      </c>
      <c r="B1268" s="1" t="s">
        <v>8369</v>
      </c>
      <c r="C1268" s="1" t="s">
        <v>8369</v>
      </c>
      <c r="D1268" s="1" t="s">
        <v>4293</v>
      </c>
      <c r="E1268" s="1" t="s">
        <v>15893</v>
      </c>
      <c r="F1268" s="1" t="s">
        <v>15900</v>
      </c>
      <c r="G1268" s="3">
        <v>44909.0</v>
      </c>
      <c r="H1268" s="3"/>
      <c r="I1268" s="3"/>
      <c r="J1268" s="1" t="s">
        <v>124</v>
      </c>
      <c r="K1268" s="1" t="s">
        <v>160</v>
      </c>
      <c r="L1268" s="1" t="s">
        <v>253</v>
      </c>
      <c r="M1268" s="1" t="s">
        <v>131</v>
      </c>
      <c r="Q1268" s="1" t="s">
        <v>137</v>
      </c>
      <c r="R1268" s="1" t="s">
        <v>137</v>
      </c>
      <c r="S1268" s="1" t="s">
        <v>47</v>
      </c>
      <c r="T1268" s="1" t="s">
        <v>4301</v>
      </c>
      <c r="U1268" s="1" t="s">
        <v>1577</v>
      </c>
      <c r="V1268" s="1" t="s">
        <v>4950</v>
      </c>
      <c r="W1268" s="3"/>
      <c r="X1268" s="3"/>
    </row>
    <row r="1269">
      <c r="A1269" s="1" t="s">
        <v>15902</v>
      </c>
      <c r="B1269" s="1" t="s">
        <v>8882</v>
      </c>
      <c r="C1269" s="1" t="s">
        <v>8882</v>
      </c>
      <c r="D1269" s="1" t="s">
        <v>4293</v>
      </c>
      <c r="E1269" s="1" t="s">
        <v>10412</v>
      </c>
      <c r="F1269" s="1" t="s">
        <v>15904</v>
      </c>
      <c r="G1269" s="3">
        <v>45700.0</v>
      </c>
      <c r="H1269" s="3">
        <v>45840.0</v>
      </c>
      <c r="I1269" s="3">
        <v>45840.0</v>
      </c>
      <c r="J1269" s="1" t="s">
        <v>215</v>
      </c>
      <c r="K1269" s="1" t="s">
        <v>160</v>
      </c>
      <c r="L1269" s="1" t="s">
        <v>216</v>
      </c>
      <c r="M1269" s="1" t="s">
        <v>131</v>
      </c>
      <c r="Q1269" s="1" t="s">
        <v>137</v>
      </c>
      <c r="R1269" s="1" t="s">
        <v>137</v>
      </c>
      <c r="S1269" s="1" t="s">
        <v>47</v>
      </c>
      <c r="T1269" s="1" t="s">
        <v>4301</v>
      </c>
      <c r="U1269" s="1" t="s">
        <v>1577</v>
      </c>
      <c r="V1269" s="1" t="s">
        <v>4679</v>
      </c>
      <c r="W1269" s="3">
        <v>45840.0</v>
      </c>
      <c r="X1269" s="3">
        <v>45840.0</v>
      </c>
    </row>
    <row r="1270">
      <c r="A1270" s="1" t="s">
        <v>15906</v>
      </c>
      <c r="B1270" s="1" t="s">
        <v>8882</v>
      </c>
      <c r="C1270" s="1" t="s">
        <v>8882</v>
      </c>
      <c r="D1270" s="1" t="s">
        <v>4293</v>
      </c>
      <c r="E1270" s="1" t="s">
        <v>10412</v>
      </c>
      <c r="F1270" s="1" t="s">
        <v>15908</v>
      </c>
      <c r="G1270" s="3">
        <v>45700.0</v>
      </c>
      <c r="H1270" s="3">
        <v>45840.0</v>
      </c>
      <c r="I1270" s="3">
        <v>45840.0</v>
      </c>
      <c r="J1270" s="1" t="s">
        <v>215</v>
      </c>
      <c r="K1270" s="1" t="s">
        <v>160</v>
      </c>
      <c r="L1270" s="1" t="s">
        <v>216</v>
      </c>
      <c r="M1270" s="1" t="s">
        <v>131</v>
      </c>
      <c r="Q1270" s="1" t="s">
        <v>137</v>
      </c>
      <c r="R1270" s="1" t="s">
        <v>137</v>
      </c>
      <c r="S1270" s="1" t="s">
        <v>47</v>
      </c>
      <c r="T1270" s="1" t="s">
        <v>4301</v>
      </c>
      <c r="U1270" s="1" t="s">
        <v>1577</v>
      </c>
      <c r="V1270" s="1" t="s">
        <v>4950</v>
      </c>
      <c r="W1270" s="3">
        <v>45840.0</v>
      </c>
      <c r="X1270" s="3">
        <v>45840.0</v>
      </c>
    </row>
    <row r="1271">
      <c r="A1271" s="1" t="s">
        <v>15910</v>
      </c>
      <c r="B1271" s="1" t="s">
        <v>8882</v>
      </c>
      <c r="C1271" s="1" t="s">
        <v>8882</v>
      </c>
      <c r="D1271" s="1" t="s">
        <v>4293</v>
      </c>
      <c r="E1271" s="1" t="s">
        <v>10412</v>
      </c>
      <c r="F1271" s="1" t="s">
        <v>15912</v>
      </c>
      <c r="G1271" s="3">
        <v>45700.0</v>
      </c>
      <c r="H1271" s="3">
        <v>45840.0</v>
      </c>
      <c r="I1271" s="3">
        <v>45840.0</v>
      </c>
      <c r="J1271" s="1" t="s">
        <v>215</v>
      </c>
      <c r="K1271" s="1" t="s">
        <v>160</v>
      </c>
      <c r="L1271" s="1" t="s">
        <v>216</v>
      </c>
      <c r="M1271" s="1" t="s">
        <v>131</v>
      </c>
      <c r="Q1271" s="1" t="s">
        <v>137</v>
      </c>
      <c r="R1271" s="1" t="s">
        <v>137</v>
      </c>
      <c r="S1271" s="1" t="s">
        <v>47</v>
      </c>
      <c r="T1271" s="1" t="s">
        <v>4301</v>
      </c>
      <c r="U1271" s="1" t="s">
        <v>1577</v>
      </c>
      <c r="V1271" s="1" t="s">
        <v>5104</v>
      </c>
      <c r="W1271" s="3">
        <v>45840.0</v>
      </c>
      <c r="X1271" s="3">
        <v>45840.0</v>
      </c>
    </row>
    <row r="1272">
      <c r="A1272" s="1" t="s">
        <v>15914</v>
      </c>
      <c r="B1272" s="1" t="s">
        <v>8882</v>
      </c>
      <c r="C1272" s="1" t="s">
        <v>8882</v>
      </c>
      <c r="D1272" s="1" t="s">
        <v>4293</v>
      </c>
      <c r="E1272" s="1" t="s">
        <v>10412</v>
      </c>
      <c r="F1272" s="1" t="s">
        <v>15916</v>
      </c>
      <c r="G1272" s="3">
        <v>45700.0</v>
      </c>
      <c r="H1272" s="3">
        <v>45840.0</v>
      </c>
      <c r="I1272" s="3">
        <v>45840.0</v>
      </c>
      <c r="J1272" s="1" t="s">
        <v>215</v>
      </c>
      <c r="K1272" s="1" t="s">
        <v>160</v>
      </c>
      <c r="L1272" s="1" t="s">
        <v>216</v>
      </c>
      <c r="M1272" s="1" t="s">
        <v>131</v>
      </c>
      <c r="Q1272" s="1" t="s">
        <v>137</v>
      </c>
      <c r="R1272" s="1" t="s">
        <v>137</v>
      </c>
      <c r="S1272" s="1" t="s">
        <v>47</v>
      </c>
      <c r="T1272" s="1" t="s">
        <v>4301</v>
      </c>
      <c r="U1272" s="1" t="s">
        <v>1577</v>
      </c>
      <c r="V1272" s="1" t="s">
        <v>5120</v>
      </c>
      <c r="W1272" s="3">
        <v>45840.0</v>
      </c>
      <c r="X1272" s="3">
        <v>45840.0</v>
      </c>
    </row>
    <row r="1273">
      <c r="A1273" s="1" t="s">
        <v>15918</v>
      </c>
      <c r="B1273" s="1" t="s">
        <v>10416</v>
      </c>
      <c r="C1273" s="1" t="s">
        <v>10416</v>
      </c>
      <c r="D1273" s="1" t="s">
        <v>4293</v>
      </c>
      <c r="E1273" s="1" t="s">
        <v>10417</v>
      </c>
      <c r="F1273" s="1" t="s">
        <v>15920</v>
      </c>
      <c r="G1273" s="3">
        <v>44321.0</v>
      </c>
      <c r="H1273" s="3">
        <v>44531.0</v>
      </c>
      <c r="I1273" s="3">
        <v>44531.0</v>
      </c>
      <c r="J1273" s="1" t="s">
        <v>215</v>
      </c>
      <c r="K1273" s="1" t="s">
        <v>160</v>
      </c>
      <c r="L1273" s="1" t="s">
        <v>216</v>
      </c>
      <c r="M1273" s="1" t="s">
        <v>131</v>
      </c>
      <c r="Q1273" s="1" t="s">
        <v>137</v>
      </c>
      <c r="R1273" s="1" t="s">
        <v>137</v>
      </c>
      <c r="S1273" s="1" t="s">
        <v>47</v>
      </c>
      <c r="T1273" s="1" t="s">
        <v>4301</v>
      </c>
      <c r="U1273" s="1" t="s">
        <v>1577</v>
      </c>
      <c r="V1273" s="1" t="s">
        <v>3858</v>
      </c>
      <c r="W1273" s="3">
        <v>44531.0</v>
      </c>
      <c r="X1273" s="3">
        <v>44531.0</v>
      </c>
    </row>
    <row r="1274">
      <c r="A1274" s="1" t="s">
        <v>15923</v>
      </c>
      <c r="B1274" s="1" t="s">
        <v>10421</v>
      </c>
      <c r="C1274" s="1" t="s">
        <v>10421</v>
      </c>
      <c r="D1274" s="1" t="s">
        <v>4293</v>
      </c>
      <c r="E1274" s="1" t="s">
        <v>10422</v>
      </c>
      <c r="F1274" s="1" t="s">
        <v>15925</v>
      </c>
      <c r="G1274" s="3">
        <v>44918.0</v>
      </c>
      <c r="H1274" s="3">
        <v>45020.0</v>
      </c>
      <c r="I1274" s="3">
        <v>45020.0</v>
      </c>
      <c r="J1274" s="1" t="s">
        <v>215</v>
      </c>
      <c r="K1274" s="1" t="s">
        <v>160</v>
      </c>
      <c r="L1274" s="1" t="s">
        <v>216</v>
      </c>
      <c r="M1274" s="1" t="s">
        <v>131</v>
      </c>
      <c r="Q1274" s="1" t="s">
        <v>137</v>
      </c>
      <c r="R1274" s="1" t="s">
        <v>137</v>
      </c>
      <c r="S1274" s="1" t="s">
        <v>47</v>
      </c>
      <c r="T1274" s="1" t="s">
        <v>4301</v>
      </c>
      <c r="U1274" s="1" t="s">
        <v>1577</v>
      </c>
      <c r="V1274" s="1" t="s">
        <v>3858</v>
      </c>
      <c r="W1274" s="3">
        <v>45020.0</v>
      </c>
      <c r="X1274" s="3">
        <v>45020.0</v>
      </c>
    </row>
    <row r="1275">
      <c r="A1275" s="1" t="s">
        <v>15928</v>
      </c>
      <c r="B1275" s="1" t="s">
        <v>10426</v>
      </c>
      <c r="C1275" s="1" t="s">
        <v>10426</v>
      </c>
      <c r="D1275" s="1" t="s">
        <v>4293</v>
      </c>
      <c r="E1275" s="1" t="s">
        <v>10427</v>
      </c>
      <c r="F1275" s="1" t="s">
        <v>15929</v>
      </c>
      <c r="G1275" s="3">
        <v>44855.0</v>
      </c>
      <c r="H1275" s="3">
        <v>45056.0</v>
      </c>
      <c r="I1275" s="3">
        <v>45056.0</v>
      </c>
      <c r="J1275" s="1" t="s">
        <v>215</v>
      </c>
      <c r="K1275" s="1" t="s">
        <v>160</v>
      </c>
      <c r="L1275" s="1" t="s">
        <v>216</v>
      </c>
      <c r="M1275" s="1" t="s">
        <v>131</v>
      </c>
      <c r="Q1275" s="1" t="s">
        <v>137</v>
      </c>
      <c r="R1275" s="1" t="s">
        <v>137</v>
      </c>
      <c r="S1275" s="1" t="s">
        <v>47</v>
      </c>
      <c r="T1275" s="1" t="s">
        <v>4301</v>
      </c>
      <c r="U1275" s="1" t="s">
        <v>1577</v>
      </c>
      <c r="V1275" s="1" t="s">
        <v>3858</v>
      </c>
      <c r="W1275" s="3">
        <v>45056.0</v>
      </c>
      <c r="X1275" s="3">
        <v>45056.0</v>
      </c>
    </row>
    <row r="1276">
      <c r="A1276" s="1" t="s">
        <v>15932</v>
      </c>
      <c r="B1276" s="1" t="s">
        <v>6802</v>
      </c>
      <c r="C1276" s="1" t="s">
        <v>6802</v>
      </c>
      <c r="D1276" s="1" t="s">
        <v>4293</v>
      </c>
      <c r="E1276" s="1" t="s">
        <v>10432</v>
      </c>
      <c r="F1276" s="1" t="s">
        <v>15933</v>
      </c>
      <c r="G1276" s="3">
        <v>44316.0</v>
      </c>
      <c r="H1276" s="3">
        <v>44316.0</v>
      </c>
      <c r="I1276" s="3">
        <v>44316.0</v>
      </c>
      <c r="J1276" s="1" t="s">
        <v>215</v>
      </c>
      <c r="K1276" s="1" t="s">
        <v>160</v>
      </c>
      <c r="L1276" s="1" t="s">
        <v>216</v>
      </c>
      <c r="M1276" s="1" t="s">
        <v>131</v>
      </c>
      <c r="Q1276" s="1" t="s">
        <v>137</v>
      </c>
      <c r="R1276" s="1" t="s">
        <v>137</v>
      </c>
      <c r="S1276" s="1" t="s">
        <v>47</v>
      </c>
      <c r="T1276" s="1" t="s">
        <v>4301</v>
      </c>
      <c r="U1276" s="1" t="s">
        <v>1577</v>
      </c>
      <c r="V1276" s="1" t="s">
        <v>3858</v>
      </c>
      <c r="W1276" s="3">
        <v>44316.0</v>
      </c>
      <c r="X1276" s="3">
        <v>44316.0</v>
      </c>
    </row>
    <row r="1277">
      <c r="A1277" s="1" t="s">
        <v>15935</v>
      </c>
      <c r="B1277" s="1" t="s">
        <v>10435</v>
      </c>
      <c r="C1277" s="1" t="s">
        <v>10435</v>
      </c>
      <c r="D1277" s="1" t="s">
        <v>4293</v>
      </c>
      <c r="E1277" s="1" t="s">
        <v>10436</v>
      </c>
      <c r="F1277" s="1" t="s">
        <v>15937</v>
      </c>
      <c r="G1277" s="3">
        <v>45033.0</v>
      </c>
      <c r="H1277" s="3">
        <v>45404.0</v>
      </c>
      <c r="I1277" s="3">
        <v>45404.0</v>
      </c>
      <c r="J1277" s="1" t="s">
        <v>215</v>
      </c>
      <c r="K1277" s="1" t="s">
        <v>160</v>
      </c>
      <c r="L1277" s="1" t="s">
        <v>216</v>
      </c>
      <c r="M1277" s="1" t="s">
        <v>131</v>
      </c>
      <c r="Q1277" s="1" t="s">
        <v>137</v>
      </c>
      <c r="R1277" s="1" t="s">
        <v>137</v>
      </c>
      <c r="S1277" s="1" t="s">
        <v>47</v>
      </c>
      <c r="T1277" s="1" t="s">
        <v>4301</v>
      </c>
      <c r="U1277" s="1" t="s">
        <v>1577</v>
      </c>
      <c r="V1277" s="1" t="s">
        <v>3858</v>
      </c>
      <c r="W1277" s="3">
        <v>45404.0</v>
      </c>
      <c r="X1277" s="3">
        <v>45404.0</v>
      </c>
    </row>
    <row r="1278">
      <c r="A1278" s="1" t="s">
        <v>15940</v>
      </c>
      <c r="B1278" s="1" t="s">
        <v>10435</v>
      </c>
      <c r="C1278" s="1" t="s">
        <v>10435</v>
      </c>
      <c r="D1278" s="1" t="s">
        <v>4293</v>
      </c>
      <c r="E1278" s="1" t="s">
        <v>10436</v>
      </c>
      <c r="F1278" s="1" t="s">
        <v>15941</v>
      </c>
      <c r="G1278" s="3">
        <v>45033.0</v>
      </c>
      <c r="H1278" s="3">
        <v>45404.0</v>
      </c>
      <c r="I1278" s="3">
        <v>45404.0</v>
      </c>
      <c r="J1278" s="1" t="s">
        <v>215</v>
      </c>
      <c r="K1278" s="1" t="s">
        <v>160</v>
      </c>
      <c r="L1278" s="1" t="s">
        <v>216</v>
      </c>
      <c r="M1278" s="1" t="s">
        <v>131</v>
      </c>
      <c r="Q1278" s="1" t="s">
        <v>137</v>
      </c>
      <c r="R1278" s="1" t="s">
        <v>137</v>
      </c>
      <c r="S1278" s="1" t="s">
        <v>47</v>
      </c>
      <c r="T1278" s="1" t="s">
        <v>4301</v>
      </c>
      <c r="U1278" s="1" t="s">
        <v>1577</v>
      </c>
      <c r="V1278" s="1" t="s">
        <v>4950</v>
      </c>
      <c r="W1278" s="3">
        <v>45404.0</v>
      </c>
      <c r="X1278" s="3">
        <v>45404.0</v>
      </c>
    </row>
    <row r="1279">
      <c r="A1279" s="1" t="s">
        <v>15944</v>
      </c>
      <c r="B1279" s="1" t="s">
        <v>10441</v>
      </c>
      <c r="C1279" s="1" t="s">
        <v>10441</v>
      </c>
      <c r="D1279" s="1" t="s">
        <v>4293</v>
      </c>
      <c r="E1279" s="1" t="s">
        <v>10442</v>
      </c>
      <c r="F1279" s="1" t="s">
        <v>15945</v>
      </c>
      <c r="G1279" s="3">
        <v>45765.0</v>
      </c>
      <c r="H1279" s="3">
        <v>45936.0</v>
      </c>
      <c r="I1279" s="3">
        <v>45936.0</v>
      </c>
      <c r="J1279" s="1" t="s">
        <v>215</v>
      </c>
      <c r="K1279" s="1" t="s">
        <v>160</v>
      </c>
      <c r="L1279" s="1" t="s">
        <v>216</v>
      </c>
      <c r="M1279" s="1" t="s">
        <v>131</v>
      </c>
      <c r="Q1279" s="1" t="s">
        <v>137</v>
      </c>
      <c r="R1279" s="1" t="s">
        <v>137</v>
      </c>
      <c r="S1279" s="1" t="s">
        <v>47</v>
      </c>
      <c r="T1279" s="1" t="s">
        <v>4301</v>
      </c>
      <c r="U1279" s="1" t="s">
        <v>1577</v>
      </c>
      <c r="V1279" s="1" t="s">
        <v>4679</v>
      </c>
      <c r="W1279" s="3">
        <v>45936.0</v>
      </c>
      <c r="X1279" s="3">
        <v>45936.0</v>
      </c>
    </row>
    <row r="1280">
      <c r="A1280" s="1" t="s">
        <v>15947</v>
      </c>
      <c r="B1280" s="1" t="s">
        <v>10441</v>
      </c>
      <c r="C1280" s="1" t="s">
        <v>10441</v>
      </c>
      <c r="D1280" s="1" t="s">
        <v>4293</v>
      </c>
      <c r="E1280" s="1" t="s">
        <v>10442</v>
      </c>
      <c r="F1280" s="1" t="s">
        <v>15949</v>
      </c>
      <c r="G1280" s="3">
        <v>45765.0</v>
      </c>
      <c r="H1280" s="3">
        <v>45936.0</v>
      </c>
      <c r="I1280" s="3">
        <v>45936.0</v>
      </c>
      <c r="J1280" s="1" t="s">
        <v>215</v>
      </c>
      <c r="K1280" s="1" t="s">
        <v>160</v>
      </c>
      <c r="L1280" s="1" t="s">
        <v>216</v>
      </c>
      <c r="M1280" s="1" t="s">
        <v>131</v>
      </c>
      <c r="Q1280" s="1" t="s">
        <v>137</v>
      </c>
      <c r="R1280" s="1" t="s">
        <v>137</v>
      </c>
      <c r="S1280" s="1" t="s">
        <v>47</v>
      </c>
      <c r="T1280" s="1" t="s">
        <v>4301</v>
      </c>
      <c r="U1280" s="1" t="s">
        <v>1577</v>
      </c>
      <c r="V1280" s="1" t="s">
        <v>4950</v>
      </c>
      <c r="W1280" s="3">
        <v>45936.0</v>
      </c>
      <c r="X1280" s="3">
        <v>45936.0</v>
      </c>
    </row>
    <row r="1281">
      <c r="A1281" s="1" t="s">
        <v>15951</v>
      </c>
      <c r="B1281" s="1" t="s">
        <v>10441</v>
      </c>
      <c r="C1281" s="1" t="s">
        <v>10441</v>
      </c>
      <c r="D1281" s="1" t="s">
        <v>4293</v>
      </c>
      <c r="E1281" s="1" t="s">
        <v>10442</v>
      </c>
      <c r="F1281" s="1" t="s">
        <v>15953</v>
      </c>
      <c r="G1281" s="3">
        <v>45765.0</v>
      </c>
      <c r="H1281" s="3">
        <v>45936.0</v>
      </c>
      <c r="I1281" s="3">
        <v>45936.0</v>
      </c>
      <c r="J1281" s="1" t="s">
        <v>215</v>
      </c>
      <c r="K1281" s="1" t="s">
        <v>160</v>
      </c>
      <c r="L1281" s="1" t="s">
        <v>216</v>
      </c>
      <c r="M1281" s="1" t="s">
        <v>131</v>
      </c>
      <c r="Q1281" s="1" t="s">
        <v>137</v>
      </c>
      <c r="R1281" s="1" t="s">
        <v>137</v>
      </c>
      <c r="S1281" s="1" t="s">
        <v>47</v>
      </c>
      <c r="T1281" s="1" t="s">
        <v>4301</v>
      </c>
      <c r="U1281" s="1" t="s">
        <v>1577</v>
      </c>
      <c r="V1281" s="1" t="s">
        <v>5104</v>
      </c>
      <c r="W1281" s="3">
        <v>45936.0</v>
      </c>
      <c r="X1281" s="3">
        <v>45936.0</v>
      </c>
    </row>
    <row r="1282">
      <c r="A1282" s="1" t="s">
        <v>15954</v>
      </c>
      <c r="B1282" s="1" t="s">
        <v>10441</v>
      </c>
      <c r="C1282" s="1" t="s">
        <v>10441</v>
      </c>
      <c r="D1282" s="1" t="s">
        <v>4293</v>
      </c>
      <c r="E1282" s="1" t="s">
        <v>10442</v>
      </c>
      <c r="F1282" s="1" t="s">
        <v>15956</v>
      </c>
      <c r="G1282" s="3">
        <v>45765.0</v>
      </c>
      <c r="H1282" s="3">
        <v>45936.0</v>
      </c>
      <c r="I1282" s="3">
        <v>45936.0</v>
      </c>
      <c r="J1282" s="1" t="s">
        <v>215</v>
      </c>
      <c r="K1282" s="1" t="s">
        <v>160</v>
      </c>
      <c r="L1282" s="1" t="s">
        <v>216</v>
      </c>
      <c r="M1282" s="1" t="s">
        <v>131</v>
      </c>
      <c r="Q1282" s="1" t="s">
        <v>137</v>
      </c>
      <c r="R1282" s="1" t="s">
        <v>137</v>
      </c>
      <c r="S1282" s="1" t="s">
        <v>47</v>
      </c>
      <c r="T1282" s="1" t="s">
        <v>4301</v>
      </c>
      <c r="U1282" s="1" t="s">
        <v>1577</v>
      </c>
      <c r="V1282" s="1" t="s">
        <v>5120</v>
      </c>
      <c r="W1282" s="3">
        <v>45936.0</v>
      </c>
      <c r="X1282" s="3">
        <v>45936.0</v>
      </c>
    </row>
    <row r="1283">
      <c r="A1283" s="1" t="s">
        <v>15958</v>
      </c>
      <c r="B1283" s="1" t="s">
        <v>8427</v>
      </c>
      <c r="C1283" s="1" t="s">
        <v>8427</v>
      </c>
      <c r="D1283" s="1" t="s">
        <v>4293</v>
      </c>
      <c r="E1283" s="1" t="s">
        <v>10446</v>
      </c>
      <c r="F1283" s="1" t="s">
        <v>15960</v>
      </c>
      <c r="G1283" s="3">
        <v>46027.0</v>
      </c>
      <c r="H1283" s="3">
        <v>45616.0</v>
      </c>
      <c r="I1283" s="3">
        <v>45616.0</v>
      </c>
      <c r="J1283" s="1" t="s">
        <v>215</v>
      </c>
      <c r="K1283" s="1" t="s">
        <v>160</v>
      </c>
      <c r="L1283" s="1" t="s">
        <v>216</v>
      </c>
      <c r="M1283" s="1" t="s">
        <v>131</v>
      </c>
      <c r="Q1283" s="1" t="s">
        <v>137</v>
      </c>
      <c r="R1283" s="1" t="s">
        <v>137</v>
      </c>
      <c r="S1283" s="1" t="s">
        <v>47</v>
      </c>
      <c r="T1283" s="1" t="s">
        <v>4301</v>
      </c>
      <c r="U1283" s="1" t="s">
        <v>1577</v>
      </c>
      <c r="V1283" s="1" t="s">
        <v>4679</v>
      </c>
      <c r="W1283" s="3">
        <v>45616.0</v>
      </c>
      <c r="X1283" s="3">
        <v>45616.0</v>
      </c>
    </row>
    <row r="1284">
      <c r="A1284" s="1" t="s">
        <v>15962</v>
      </c>
      <c r="B1284" s="1" t="s">
        <v>8427</v>
      </c>
      <c r="C1284" s="1" t="s">
        <v>8427</v>
      </c>
      <c r="D1284" s="1" t="s">
        <v>4293</v>
      </c>
      <c r="E1284" s="1" t="s">
        <v>10446</v>
      </c>
      <c r="F1284" s="1" t="s">
        <v>15964</v>
      </c>
      <c r="G1284" s="3">
        <v>46027.0</v>
      </c>
      <c r="H1284" s="3">
        <v>45616.0</v>
      </c>
      <c r="I1284" s="3">
        <v>45616.0</v>
      </c>
      <c r="J1284" s="1" t="s">
        <v>215</v>
      </c>
      <c r="K1284" s="1" t="s">
        <v>160</v>
      </c>
      <c r="L1284" s="1" t="s">
        <v>216</v>
      </c>
      <c r="M1284" s="1" t="s">
        <v>131</v>
      </c>
      <c r="Q1284" s="1" t="s">
        <v>137</v>
      </c>
      <c r="R1284" s="1" t="s">
        <v>137</v>
      </c>
      <c r="S1284" s="1" t="s">
        <v>47</v>
      </c>
      <c r="T1284" s="1" t="s">
        <v>4301</v>
      </c>
      <c r="U1284" s="1" t="s">
        <v>1577</v>
      </c>
      <c r="V1284" s="1" t="s">
        <v>4950</v>
      </c>
      <c r="W1284" s="3">
        <v>45616.0</v>
      </c>
      <c r="X1284" s="3">
        <v>45616.0</v>
      </c>
    </row>
    <row r="1285">
      <c r="A1285" s="1" t="s">
        <v>15966</v>
      </c>
      <c r="B1285" s="1" t="s">
        <v>8427</v>
      </c>
      <c r="C1285" s="1" t="s">
        <v>8427</v>
      </c>
      <c r="D1285" s="1" t="s">
        <v>4293</v>
      </c>
      <c r="E1285" s="1" t="s">
        <v>10446</v>
      </c>
      <c r="F1285" s="1" t="s">
        <v>15968</v>
      </c>
      <c r="G1285" s="3">
        <v>46027.0</v>
      </c>
      <c r="H1285" s="3">
        <v>45616.0</v>
      </c>
      <c r="I1285" s="3">
        <v>45616.0</v>
      </c>
      <c r="J1285" s="1" t="s">
        <v>215</v>
      </c>
      <c r="K1285" s="1" t="s">
        <v>160</v>
      </c>
      <c r="L1285" s="1" t="s">
        <v>216</v>
      </c>
      <c r="M1285" s="1" t="s">
        <v>131</v>
      </c>
      <c r="Q1285" s="1" t="s">
        <v>137</v>
      </c>
      <c r="R1285" s="1" t="s">
        <v>137</v>
      </c>
      <c r="S1285" s="1" t="s">
        <v>47</v>
      </c>
      <c r="T1285" s="1" t="s">
        <v>4301</v>
      </c>
      <c r="U1285" s="1" t="s">
        <v>1577</v>
      </c>
      <c r="V1285" s="1" t="s">
        <v>5104</v>
      </c>
      <c r="W1285" s="3">
        <v>45616.0</v>
      </c>
      <c r="X1285" s="3">
        <v>45616.0</v>
      </c>
    </row>
    <row r="1286">
      <c r="A1286" s="1" t="s">
        <v>15970</v>
      </c>
      <c r="B1286" s="1" t="s">
        <v>8427</v>
      </c>
      <c r="C1286" s="1" t="s">
        <v>8427</v>
      </c>
      <c r="D1286" s="1" t="s">
        <v>4293</v>
      </c>
      <c r="E1286" s="1" t="s">
        <v>10446</v>
      </c>
      <c r="F1286" s="1" t="s">
        <v>15971</v>
      </c>
      <c r="G1286" s="3">
        <v>46027.0</v>
      </c>
      <c r="H1286" s="3">
        <v>45616.0</v>
      </c>
      <c r="I1286" s="3">
        <v>45616.0</v>
      </c>
      <c r="J1286" s="1" t="s">
        <v>215</v>
      </c>
      <c r="K1286" s="1" t="s">
        <v>160</v>
      </c>
      <c r="L1286" s="1" t="s">
        <v>216</v>
      </c>
      <c r="M1286" s="1" t="s">
        <v>131</v>
      </c>
      <c r="Q1286" s="1" t="s">
        <v>137</v>
      </c>
      <c r="R1286" s="1" t="s">
        <v>137</v>
      </c>
      <c r="S1286" s="1" t="s">
        <v>47</v>
      </c>
      <c r="T1286" s="1" t="s">
        <v>4301</v>
      </c>
      <c r="U1286" s="1" t="s">
        <v>1577</v>
      </c>
      <c r="V1286" s="1" t="s">
        <v>5120</v>
      </c>
      <c r="W1286" s="3">
        <v>45616.0</v>
      </c>
      <c r="X1286" s="3">
        <v>45616.0</v>
      </c>
    </row>
    <row r="1287">
      <c r="A1287" s="1" t="s">
        <v>15974</v>
      </c>
      <c r="B1287" s="1" t="s">
        <v>10453</v>
      </c>
      <c r="C1287" s="1" t="s">
        <v>10453</v>
      </c>
      <c r="D1287" s="1" t="s">
        <v>4293</v>
      </c>
      <c r="E1287" s="1" t="s">
        <v>10455</v>
      </c>
      <c r="F1287" s="1" t="s">
        <v>15975</v>
      </c>
      <c r="G1287" s="3">
        <v>45240.0</v>
      </c>
      <c r="H1287" s="3">
        <v>45376.0</v>
      </c>
      <c r="I1287" s="3">
        <v>45376.0</v>
      </c>
      <c r="J1287" s="1" t="s">
        <v>215</v>
      </c>
      <c r="K1287" s="1" t="s">
        <v>160</v>
      </c>
      <c r="L1287" s="1" t="s">
        <v>216</v>
      </c>
      <c r="M1287" s="1" t="s">
        <v>131</v>
      </c>
      <c r="Q1287" s="1" t="s">
        <v>137</v>
      </c>
      <c r="R1287" s="1" t="s">
        <v>137</v>
      </c>
      <c r="S1287" s="1" t="s">
        <v>47</v>
      </c>
      <c r="T1287" s="1" t="s">
        <v>4301</v>
      </c>
      <c r="U1287" s="1" t="s">
        <v>1577</v>
      </c>
      <c r="V1287" s="1" t="s">
        <v>3963</v>
      </c>
      <c r="W1287" s="3">
        <v>45376.0</v>
      </c>
      <c r="X1287" s="3">
        <v>45376.0</v>
      </c>
    </row>
    <row r="1288">
      <c r="A1288" s="1" t="s">
        <v>15977</v>
      </c>
      <c r="B1288" s="1" t="s">
        <v>10453</v>
      </c>
      <c r="C1288" s="1" t="s">
        <v>10453</v>
      </c>
      <c r="D1288" s="1" t="s">
        <v>4293</v>
      </c>
      <c r="E1288" s="1" t="s">
        <v>10455</v>
      </c>
      <c r="F1288" s="1" t="s">
        <v>15978</v>
      </c>
      <c r="G1288" s="3">
        <v>45240.0</v>
      </c>
      <c r="H1288" s="3">
        <v>45376.0</v>
      </c>
      <c r="I1288" s="3">
        <v>45376.0</v>
      </c>
      <c r="J1288" s="1" t="s">
        <v>215</v>
      </c>
      <c r="K1288" s="1" t="s">
        <v>160</v>
      </c>
      <c r="L1288" s="1" t="s">
        <v>216</v>
      </c>
      <c r="M1288" s="1" t="s">
        <v>131</v>
      </c>
      <c r="Q1288" s="1" t="s">
        <v>137</v>
      </c>
      <c r="R1288" s="1" t="s">
        <v>137</v>
      </c>
      <c r="S1288" s="1" t="s">
        <v>47</v>
      </c>
      <c r="T1288" s="1" t="s">
        <v>4301</v>
      </c>
      <c r="U1288" s="1" t="s">
        <v>1577</v>
      </c>
      <c r="V1288" s="1" t="s">
        <v>4679</v>
      </c>
      <c r="W1288" s="3">
        <v>45376.0</v>
      </c>
      <c r="X1288" s="3">
        <v>45376.0</v>
      </c>
    </row>
    <row r="1289">
      <c r="A1289" s="1" t="s">
        <v>15980</v>
      </c>
      <c r="B1289" s="1" t="s">
        <v>10453</v>
      </c>
      <c r="C1289" s="1" t="s">
        <v>10453</v>
      </c>
      <c r="D1289" s="1" t="s">
        <v>4293</v>
      </c>
      <c r="E1289" s="1" t="s">
        <v>10455</v>
      </c>
      <c r="F1289" s="1" t="s">
        <v>15983</v>
      </c>
      <c r="G1289" s="3">
        <v>45240.0</v>
      </c>
      <c r="H1289" s="3">
        <v>45376.0</v>
      </c>
      <c r="I1289" s="3">
        <v>45376.0</v>
      </c>
      <c r="J1289" s="1" t="s">
        <v>215</v>
      </c>
      <c r="K1289" s="1" t="s">
        <v>160</v>
      </c>
      <c r="L1289" s="1" t="s">
        <v>216</v>
      </c>
      <c r="M1289" s="1" t="s">
        <v>131</v>
      </c>
      <c r="Q1289" s="1" t="s">
        <v>137</v>
      </c>
      <c r="R1289" s="1" t="s">
        <v>137</v>
      </c>
      <c r="S1289" s="1" t="s">
        <v>47</v>
      </c>
      <c r="T1289" s="1" t="s">
        <v>4301</v>
      </c>
      <c r="U1289" s="1" t="s">
        <v>1577</v>
      </c>
      <c r="V1289" s="1" t="s">
        <v>4054</v>
      </c>
      <c r="W1289" s="3">
        <v>45376.0</v>
      </c>
      <c r="X1289" s="3">
        <v>45376.0</v>
      </c>
    </row>
    <row r="1290">
      <c r="A1290" s="1" t="s">
        <v>15985</v>
      </c>
      <c r="B1290" s="1" t="s">
        <v>10453</v>
      </c>
      <c r="C1290" s="1" t="s">
        <v>10453</v>
      </c>
      <c r="D1290" s="1" t="s">
        <v>4293</v>
      </c>
      <c r="E1290" s="1" t="s">
        <v>10455</v>
      </c>
      <c r="F1290" s="1" t="s">
        <v>15986</v>
      </c>
      <c r="G1290" s="3">
        <v>45240.0</v>
      </c>
      <c r="H1290" s="3">
        <v>45376.0</v>
      </c>
      <c r="I1290" s="3">
        <v>45376.0</v>
      </c>
      <c r="J1290" s="1" t="s">
        <v>215</v>
      </c>
      <c r="K1290" s="1" t="s">
        <v>160</v>
      </c>
      <c r="L1290" s="1" t="s">
        <v>216</v>
      </c>
      <c r="M1290" s="1" t="s">
        <v>131</v>
      </c>
      <c r="Q1290" s="1" t="s">
        <v>137</v>
      </c>
      <c r="R1290" s="1" t="s">
        <v>137</v>
      </c>
      <c r="S1290" s="1" t="s">
        <v>47</v>
      </c>
      <c r="T1290" s="1" t="s">
        <v>4301</v>
      </c>
      <c r="U1290" s="1" t="s">
        <v>1577</v>
      </c>
      <c r="V1290" s="1" t="s">
        <v>4950</v>
      </c>
      <c r="W1290" s="3">
        <v>45376.0</v>
      </c>
      <c r="X1290" s="3">
        <v>45376.0</v>
      </c>
    </row>
    <row r="1291">
      <c r="A1291" s="1" t="s">
        <v>15988</v>
      </c>
      <c r="B1291" s="1" t="s">
        <v>10453</v>
      </c>
      <c r="C1291" s="1" t="s">
        <v>10453</v>
      </c>
      <c r="D1291" s="1" t="s">
        <v>4293</v>
      </c>
      <c r="E1291" s="1" t="s">
        <v>10455</v>
      </c>
      <c r="F1291" s="1" t="s">
        <v>15990</v>
      </c>
      <c r="G1291" s="3">
        <v>45240.0</v>
      </c>
      <c r="H1291" s="3">
        <v>45376.0</v>
      </c>
      <c r="I1291" s="3">
        <v>45376.0</v>
      </c>
      <c r="J1291" s="1" t="s">
        <v>215</v>
      </c>
      <c r="K1291" s="1" t="s">
        <v>160</v>
      </c>
      <c r="L1291" s="1" t="s">
        <v>216</v>
      </c>
      <c r="M1291" s="1" t="s">
        <v>131</v>
      </c>
      <c r="Q1291" s="1" t="s">
        <v>137</v>
      </c>
      <c r="R1291" s="1" t="s">
        <v>137</v>
      </c>
      <c r="S1291" s="1" t="s">
        <v>47</v>
      </c>
      <c r="T1291" s="1" t="s">
        <v>4301</v>
      </c>
      <c r="U1291" s="1" t="s">
        <v>1577</v>
      </c>
      <c r="V1291" s="1" t="s">
        <v>5104</v>
      </c>
      <c r="W1291" s="3">
        <v>45376.0</v>
      </c>
      <c r="X1291" s="3">
        <v>45376.0</v>
      </c>
    </row>
    <row r="1292">
      <c r="A1292" s="1" t="s">
        <v>15992</v>
      </c>
      <c r="B1292" s="1" t="s">
        <v>10453</v>
      </c>
      <c r="C1292" s="1" t="s">
        <v>10453</v>
      </c>
      <c r="D1292" s="1" t="s">
        <v>4293</v>
      </c>
      <c r="E1292" s="1" t="s">
        <v>10455</v>
      </c>
      <c r="F1292" s="1" t="s">
        <v>15994</v>
      </c>
      <c r="G1292" s="3">
        <v>45240.0</v>
      </c>
      <c r="H1292" s="3">
        <v>45376.0</v>
      </c>
      <c r="I1292" s="3">
        <v>45376.0</v>
      </c>
      <c r="J1292" s="1" t="s">
        <v>215</v>
      </c>
      <c r="K1292" s="1" t="s">
        <v>160</v>
      </c>
      <c r="L1292" s="1" t="s">
        <v>216</v>
      </c>
      <c r="M1292" s="1" t="s">
        <v>131</v>
      </c>
      <c r="Q1292" s="1" t="s">
        <v>137</v>
      </c>
      <c r="R1292" s="1" t="s">
        <v>137</v>
      </c>
      <c r="S1292" s="1" t="s">
        <v>47</v>
      </c>
      <c r="T1292" s="1" t="s">
        <v>4301</v>
      </c>
      <c r="U1292" s="1" t="s">
        <v>1577</v>
      </c>
      <c r="V1292" s="1" t="s">
        <v>5120</v>
      </c>
      <c r="W1292" s="3">
        <v>45376.0</v>
      </c>
      <c r="X1292" s="3">
        <v>45376.0</v>
      </c>
    </row>
    <row r="1293">
      <c r="A1293" s="1" t="s">
        <v>15995</v>
      </c>
      <c r="B1293" s="1" t="s">
        <v>5537</v>
      </c>
      <c r="C1293" s="1" t="s">
        <v>5537</v>
      </c>
      <c r="D1293" s="1" t="s">
        <v>4293</v>
      </c>
      <c r="E1293" s="1" t="s">
        <v>15996</v>
      </c>
      <c r="F1293" s="1" t="s">
        <v>15997</v>
      </c>
      <c r="G1293" s="3">
        <v>44825.0</v>
      </c>
      <c r="H1293" s="3"/>
      <c r="I1293" s="3"/>
      <c r="J1293" s="1" t="s">
        <v>124</v>
      </c>
      <c r="K1293" s="1" t="s">
        <v>160</v>
      </c>
      <c r="L1293" s="1" t="s">
        <v>253</v>
      </c>
      <c r="M1293" s="1" t="s">
        <v>131</v>
      </c>
      <c r="Q1293" s="1" t="s">
        <v>137</v>
      </c>
      <c r="R1293" s="1" t="s">
        <v>137</v>
      </c>
      <c r="S1293" s="1" t="s">
        <v>47</v>
      </c>
      <c r="T1293" s="1" t="s">
        <v>4301</v>
      </c>
      <c r="U1293" s="1" t="s">
        <v>1577</v>
      </c>
      <c r="V1293" s="1" t="s">
        <v>7334</v>
      </c>
      <c r="W1293" s="3"/>
      <c r="X1293" s="3"/>
    </row>
    <row r="1294">
      <c r="A1294" s="1" t="s">
        <v>15999</v>
      </c>
      <c r="B1294" s="1" t="s">
        <v>10458</v>
      </c>
      <c r="C1294" s="1" t="s">
        <v>10458</v>
      </c>
      <c r="D1294" s="1" t="s">
        <v>4293</v>
      </c>
      <c r="E1294" s="1" t="s">
        <v>10459</v>
      </c>
      <c r="F1294" s="1" t="s">
        <v>16001</v>
      </c>
      <c r="G1294" s="3">
        <v>45140.0</v>
      </c>
      <c r="H1294" s="3">
        <v>45355.0</v>
      </c>
      <c r="I1294" s="3">
        <v>45355.0</v>
      </c>
      <c r="J1294" s="1" t="s">
        <v>215</v>
      </c>
      <c r="K1294" s="1" t="s">
        <v>160</v>
      </c>
      <c r="L1294" s="1" t="s">
        <v>216</v>
      </c>
      <c r="M1294" s="1" t="s">
        <v>131</v>
      </c>
      <c r="Q1294" s="1" t="s">
        <v>137</v>
      </c>
      <c r="R1294" s="1" t="s">
        <v>137</v>
      </c>
      <c r="S1294" s="1" t="s">
        <v>47</v>
      </c>
      <c r="T1294" s="1" t="s">
        <v>4301</v>
      </c>
      <c r="U1294" s="1" t="s">
        <v>1577</v>
      </c>
      <c r="V1294" s="1" t="s">
        <v>4679</v>
      </c>
      <c r="W1294" s="3">
        <v>45355.0</v>
      </c>
      <c r="X1294" s="3">
        <v>45355.0</v>
      </c>
    </row>
    <row r="1295">
      <c r="A1295" s="1" t="s">
        <v>16002</v>
      </c>
      <c r="B1295" s="1" t="s">
        <v>10458</v>
      </c>
      <c r="C1295" s="1" t="s">
        <v>10458</v>
      </c>
      <c r="D1295" s="1" t="s">
        <v>4293</v>
      </c>
      <c r="E1295" s="1" t="s">
        <v>10459</v>
      </c>
      <c r="F1295" s="1" t="s">
        <v>16003</v>
      </c>
      <c r="G1295" s="3">
        <v>45140.0</v>
      </c>
      <c r="H1295" s="3">
        <v>45355.0</v>
      </c>
      <c r="I1295" s="3">
        <v>45355.0</v>
      </c>
      <c r="J1295" s="1" t="s">
        <v>215</v>
      </c>
      <c r="K1295" s="1" t="s">
        <v>160</v>
      </c>
      <c r="L1295" s="1" t="s">
        <v>216</v>
      </c>
      <c r="M1295" s="1" t="s">
        <v>131</v>
      </c>
      <c r="Q1295" s="1" t="s">
        <v>137</v>
      </c>
      <c r="R1295" s="1" t="s">
        <v>137</v>
      </c>
      <c r="S1295" s="1" t="s">
        <v>47</v>
      </c>
      <c r="T1295" s="1" t="s">
        <v>4301</v>
      </c>
      <c r="U1295" s="1" t="s">
        <v>1577</v>
      </c>
      <c r="V1295" s="1" t="s">
        <v>4950</v>
      </c>
      <c r="W1295" s="3">
        <v>45355.0</v>
      </c>
      <c r="X1295" s="3">
        <v>45355.0</v>
      </c>
    </row>
    <row r="1296">
      <c r="A1296" s="1" t="s">
        <v>16005</v>
      </c>
      <c r="B1296" s="1" t="s">
        <v>10458</v>
      </c>
      <c r="C1296" s="1" t="s">
        <v>10458</v>
      </c>
      <c r="D1296" s="1" t="s">
        <v>4293</v>
      </c>
      <c r="E1296" s="1" t="s">
        <v>10459</v>
      </c>
      <c r="F1296" s="1" t="s">
        <v>16007</v>
      </c>
      <c r="G1296" s="3">
        <v>45140.0</v>
      </c>
      <c r="H1296" s="3">
        <v>45355.0</v>
      </c>
      <c r="I1296" s="3">
        <v>45355.0</v>
      </c>
      <c r="J1296" s="1" t="s">
        <v>215</v>
      </c>
      <c r="K1296" s="1" t="s">
        <v>160</v>
      </c>
      <c r="L1296" s="1" t="s">
        <v>216</v>
      </c>
      <c r="M1296" s="1" t="s">
        <v>131</v>
      </c>
      <c r="Q1296" s="1" t="s">
        <v>137</v>
      </c>
      <c r="R1296" s="1" t="s">
        <v>137</v>
      </c>
      <c r="S1296" s="1" t="s">
        <v>47</v>
      </c>
      <c r="T1296" s="1" t="s">
        <v>4301</v>
      </c>
      <c r="U1296" s="1" t="s">
        <v>1577</v>
      </c>
      <c r="V1296" s="1" t="s">
        <v>5104</v>
      </c>
      <c r="W1296" s="3">
        <v>45355.0</v>
      </c>
      <c r="X1296" s="3">
        <v>45355.0</v>
      </c>
    </row>
    <row r="1297">
      <c r="A1297" s="1" t="s">
        <v>16008</v>
      </c>
      <c r="B1297" s="1" t="s">
        <v>10458</v>
      </c>
      <c r="C1297" s="1" t="s">
        <v>10458</v>
      </c>
      <c r="D1297" s="1" t="s">
        <v>4293</v>
      </c>
      <c r="E1297" s="1" t="s">
        <v>10459</v>
      </c>
      <c r="F1297" s="1" t="s">
        <v>16010</v>
      </c>
      <c r="G1297" s="3">
        <v>45140.0</v>
      </c>
      <c r="H1297" s="3">
        <v>45355.0</v>
      </c>
      <c r="I1297" s="3">
        <v>45355.0</v>
      </c>
      <c r="J1297" s="1" t="s">
        <v>215</v>
      </c>
      <c r="K1297" s="1" t="s">
        <v>160</v>
      </c>
      <c r="L1297" s="1" t="s">
        <v>216</v>
      </c>
      <c r="M1297" s="1" t="s">
        <v>131</v>
      </c>
      <c r="Q1297" s="1" t="s">
        <v>137</v>
      </c>
      <c r="R1297" s="1" t="s">
        <v>137</v>
      </c>
      <c r="S1297" s="1" t="s">
        <v>47</v>
      </c>
      <c r="T1297" s="1" t="s">
        <v>4301</v>
      </c>
      <c r="U1297" s="1" t="s">
        <v>1577</v>
      </c>
      <c r="V1297" s="1" t="s">
        <v>5120</v>
      </c>
      <c r="W1297" s="3">
        <v>45355.0</v>
      </c>
      <c r="X1297" s="3">
        <v>45355.0</v>
      </c>
    </row>
    <row r="1298">
      <c r="A1298" s="1" t="s">
        <v>16012</v>
      </c>
      <c r="B1298" s="1" t="s">
        <v>10462</v>
      </c>
      <c r="C1298" s="1" t="s">
        <v>10462</v>
      </c>
      <c r="D1298" s="1" t="s">
        <v>4293</v>
      </c>
      <c r="E1298" s="1" t="s">
        <v>10464</v>
      </c>
      <c r="F1298" s="1" t="s">
        <v>16014</v>
      </c>
      <c r="G1298" s="3">
        <v>45644.0</v>
      </c>
      <c r="H1298" s="3">
        <v>45967.0</v>
      </c>
      <c r="I1298" s="3">
        <v>45967.0</v>
      </c>
      <c r="J1298" s="1" t="s">
        <v>215</v>
      </c>
      <c r="K1298" s="1" t="s">
        <v>160</v>
      </c>
      <c r="L1298" s="1" t="s">
        <v>216</v>
      </c>
      <c r="M1298" s="1" t="s">
        <v>131</v>
      </c>
      <c r="Q1298" s="1" t="s">
        <v>137</v>
      </c>
      <c r="R1298" s="1" t="s">
        <v>137</v>
      </c>
      <c r="S1298" s="1" t="s">
        <v>47</v>
      </c>
      <c r="T1298" s="1" t="s">
        <v>4301</v>
      </c>
      <c r="U1298" s="1" t="s">
        <v>1577</v>
      </c>
      <c r="V1298" s="1" t="s">
        <v>3858</v>
      </c>
      <c r="W1298" s="3">
        <v>45967.0</v>
      </c>
      <c r="X1298" s="3">
        <v>45967.0</v>
      </c>
    </row>
    <row r="1299">
      <c r="A1299" s="1" t="s">
        <v>16015</v>
      </c>
      <c r="B1299" s="1" t="s">
        <v>10462</v>
      </c>
      <c r="C1299" s="1" t="s">
        <v>10462</v>
      </c>
      <c r="D1299" s="1" t="s">
        <v>4293</v>
      </c>
      <c r="E1299" s="1" t="s">
        <v>10464</v>
      </c>
      <c r="F1299" s="1" t="s">
        <v>16016</v>
      </c>
      <c r="G1299" s="3">
        <v>45644.0</v>
      </c>
      <c r="H1299" s="3">
        <v>45967.0</v>
      </c>
      <c r="I1299" s="3">
        <v>45967.0</v>
      </c>
      <c r="J1299" s="1" t="s">
        <v>215</v>
      </c>
      <c r="K1299" s="1" t="s">
        <v>160</v>
      </c>
      <c r="L1299" s="1" t="s">
        <v>216</v>
      </c>
      <c r="M1299" s="1" t="s">
        <v>131</v>
      </c>
      <c r="Q1299" s="1" t="s">
        <v>137</v>
      </c>
      <c r="R1299" s="1" t="s">
        <v>137</v>
      </c>
      <c r="S1299" s="1" t="s">
        <v>47</v>
      </c>
      <c r="T1299" s="1" t="s">
        <v>4301</v>
      </c>
      <c r="U1299" s="1" t="s">
        <v>1577</v>
      </c>
      <c r="V1299" s="1" t="s">
        <v>4950</v>
      </c>
      <c r="W1299" s="3">
        <v>45967.0</v>
      </c>
      <c r="X1299" s="3">
        <v>45967.0</v>
      </c>
    </row>
    <row r="1300">
      <c r="A1300" s="1" t="s">
        <v>16018</v>
      </c>
      <c r="B1300" s="1" t="s">
        <v>6154</v>
      </c>
      <c r="C1300" s="1" t="s">
        <v>6154</v>
      </c>
      <c r="D1300" s="1" t="s">
        <v>4293</v>
      </c>
      <c r="E1300" s="1" t="s">
        <v>10469</v>
      </c>
      <c r="F1300" s="1" t="s">
        <v>16020</v>
      </c>
      <c r="G1300" s="3">
        <v>43242.0</v>
      </c>
      <c r="H1300" s="3">
        <v>43273.0</v>
      </c>
      <c r="I1300" s="3">
        <v>43273.0</v>
      </c>
      <c r="J1300" s="1" t="s">
        <v>215</v>
      </c>
      <c r="K1300" s="1" t="s">
        <v>160</v>
      </c>
      <c r="L1300" s="1" t="s">
        <v>216</v>
      </c>
      <c r="M1300" s="1" t="s">
        <v>131</v>
      </c>
      <c r="Q1300" s="1" t="s">
        <v>137</v>
      </c>
      <c r="R1300" s="1" t="s">
        <v>137</v>
      </c>
      <c r="S1300" s="1" t="s">
        <v>47</v>
      </c>
      <c r="T1300" s="1" t="s">
        <v>4301</v>
      </c>
      <c r="U1300" s="1" t="s">
        <v>1577</v>
      </c>
      <c r="V1300" s="1" t="s">
        <v>3858</v>
      </c>
      <c r="W1300" s="3">
        <v>43273.0</v>
      </c>
      <c r="X1300" s="3">
        <v>43273.0</v>
      </c>
    </row>
    <row r="1301">
      <c r="A1301" s="1" t="s">
        <v>16022</v>
      </c>
      <c r="B1301" s="1" t="s">
        <v>10472</v>
      </c>
      <c r="C1301" s="1" t="s">
        <v>10472</v>
      </c>
      <c r="D1301" s="1" t="s">
        <v>4293</v>
      </c>
      <c r="E1301" s="1" t="s">
        <v>10474</v>
      </c>
      <c r="F1301" s="1" t="s">
        <v>16024</v>
      </c>
      <c r="G1301" s="3">
        <v>44593.0</v>
      </c>
      <c r="H1301" s="3">
        <v>44725.0</v>
      </c>
      <c r="I1301" s="3">
        <v>44725.0</v>
      </c>
      <c r="J1301" s="1" t="s">
        <v>215</v>
      </c>
      <c r="K1301" s="1" t="s">
        <v>160</v>
      </c>
      <c r="L1301" s="1" t="s">
        <v>216</v>
      </c>
      <c r="M1301" s="1" t="s">
        <v>131</v>
      </c>
      <c r="Q1301" s="1" t="s">
        <v>137</v>
      </c>
      <c r="R1301" s="1" t="s">
        <v>137</v>
      </c>
      <c r="S1301" s="1" t="s">
        <v>47</v>
      </c>
      <c r="T1301" s="1" t="s">
        <v>4301</v>
      </c>
      <c r="U1301" s="1" t="s">
        <v>1577</v>
      </c>
      <c r="V1301" s="1" t="s">
        <v>3858</v>
      </c>
      <c r="W1301" s="3">
        <v>44725.0</v>
      </c>
      <c r="X1301" s="3">
        <v>44725.0</v>
      </c>
    </row>
    <row r="1302">
      <c r="A1302" s="1" t="s">
        <v>16026</v>
      </c>
      <c r="B1302" s="1" t="s">
        <v>5486</v>
      </c>
      <c r="C1302" s="1" t="s">
        <v>5486</v>
      </c>
      <c r="D1302" s="1" t="s">
        <v>4293</v>
      </c>
      <c r="E1302" s="1" t="s">
        <v>10479</v>
      </c>
      <c r="F1302" s="1" t="s">
        <v>16028</v>
      </c>
      <c r="G1302" s="3">
        <v>45245.0</v>
      </c>
      <c r="H1302" s="3">
        <v>45740.0</v>
      </c>
      <c r="I1302" s="3">
        <v>45740.0</v>
      </c>
      <c r="J1302" s="1" t="s">
        <v>215</v>
      </c>
      <c r="K1302" s="1" t="s">
        <v>160</v>
      </c>
      <c r="L1302" s="1" t="s">
        <v>216</v>
      </c>
      <c r="M1302" s="1" t="s">
        <v>131</v>
      </c>
      <c r="Q1302" s="1" t="s">
        <v>137</v>
      </c>
      <c r="R1302" s="1" t="s">
        <v>137</v>
      </c>
      <c r="S1302" s="1" t="s">
        <v>47</v>
      </c>
      <c r="T1302" s="1" t="s">
        <v>4301</v>
      </c>
      <c r="U1302" s="1" t="s">
        <v>1577</v>
      </c>
      <c r="V1302" s="1" t="s">
        <v>4679</v>
      </c>
      <c r="W1302" s="3">
        <v>45740.0</v>
      </c>
      <c r="X1302" s="3">
        <v>45740.0</v>
      </c>
    </row>
    <row r="1303">
      <c r="A1303" s="1" t="s">
        <v>16030</v>
      </c>
      <c r="B1303" s="1" t="s">
        <v>5486</v>
      </c>
      <c r="C1303" s="1" t="s">
        <v>5486</v>
      </c>
      <c r="D1303" s="1" t="s">
        <v>4293</v>
      </c>
      <c r="E1303" s="1" t="s">
        <v>10479</v>
      </c>
      <c r="F1303" s="1" t="s">
        <v>16032</v>
      </c>
      <c r="G1303" s="3">
        <v>45245.0</v>
      </c>
      <c r="H1303" s="3">
        <v>45740.0</v>
      </c>
      <c r="I1303" s="3">
        <v>45740.0</v>
      </c>
      <c r="J1303" s="1" t="s">
        <v>215</v>
      </c>
      <c r="K1303" s="1" t="s">
        <v>160</v>
      </c>
      <c r="L1303" s="1" t="s">
        <v>216</v>
      </c>
      <c r="M1303" s="1" t="s">
        <v>131</v>
      </c>
      <c r="Q1303" s="1" t="s">
        <v>137</v>
      </c>
      <c r="R1303" s="1" t="s">
        <v>137</v>
      </c>
      <c r="S1303" s="1" t="s">
        <v>47</v>
      </c>
      <c r="T1303" s="1" t="s">
        <v>4301</v>
      </c>
      <c r="U1303" s="1" t="s">
        <v>1577</v>
      </c>
      <c r="V1303" s="1" t="s">
        <v>4950</v>
      </c>
      <c r="W1303" s="3">
        <v>45740.0</v>
      </c>
      <c r="X1303" s="3">
        <v>45740.0</v>
      </c>
    </row>
    <row r="1304">
      <c r="A1304" s="1" t="s">
        <v>16033</v>
      </c>
      <c r="B1304" s="1" t="s">
        <v>5486</v>
      </c>
      <c r="C1304" s="1" t="s">
        <v>5486</v>
      </c>
      <c r="D1304" s="1" t="s">
        <v>4293</v>
      </c>
      <c r="E1304" s="1" t="s">
        <v>10479</v>
      </c>
      <c r="F1304" s="1" t="s">
        <v>16035</v>
      </c>
      <c r="G1304" s="3">
        <v>45245.0</v>
      </c>
      <c r="H1304" s="3">
        <v>45740.0</v>
      </c>
      <c r="I1304" s="3">
        <v>45740.0</v>
      </c>
      <c r="J1304" s="1" t="s">
        <v>215</v>
      </c>
      <c r="K1304" s="1" t="s">
        <v>160</v>
      </c>
      <c r="L1304" s="1" t="s">
        <v>216</v>
      </c>
      <c r="M1304" s="1" t="s">
        <v>131</v>
      </c>
      <c r="Q1304" s="1" t="s">
        <v>137</v>
      </c>
      <c r="R1304" s="1" t="s">
        <v>137</v>
      </c>
      <c r="S1304" s="1" t="s">
        <v>47</v>
      </c>
      <c r="T1304" s="1" t="s">
        <v>4301</v>
      </c>
      <c r="U1304" s="1" t="s">
        <v>1577</v>
      </c>
      <c r="V1304" s="1" t="s">
        <v>5104</v>
      </c>
      <c r="W1304" s="3">
        <v>45740.0</v>
      </c>
      <c r="X1304" s="3">
        <v>45740.0</v>
      </c>
    </row>
    <row r="1305">
      <c r="A1305" s="1" t="s">
        <v>16037</v>
      </c>
      <c r="B1305" s="1" t="s">
        <v>5486</v>
      </c>
      <c r="C1305" s="1" t="s">
        <v>5486</v>
      </c>
      <c r="D1305" s="1" t="s">
        <v>4293</v>
      </c>
      <c r="E1305" s="1" t="s">
        <v>10479</v>
      </c>
      <c r="F1305" s="1" t="s">
        <v>16038</v>
      </c>
      <c r="G1305" s="3">
        <v>45245.0</v>
      </c>
      <c r="H1305" s="3">
        <v>45740.0</v>
      </c>
      <c r="I1305" s="3">
        <v>45740.0</v>
      </c>
      <c r="J1305" s="1" t="s">
        <v>215</v>
      </c>
      <c r="K1305" s="1" t="s">
        <v>160</v>
      </c>
      <c r="L1305" s="1" t="s">
        <v>216</v>
      </c>
      <c r="M1305" s="1" t="s">
        <v>131</v>
      </c>
      <c r="Q1305" s="1" t="s">
        <v>137</v>
      </c>
      <c r="R1305" s="1" t="s">
        <v>137</v>
      </c>
      <c r="S1305" s="1" t="s">
        <v>47</v>
      </c>
      <c r="T1305" s="1" t="s">
        <v>4301</v>
      </c>
      <c r="U1305" s="1" t="s">
        <v>1577</v>
      </c>
      <c r="V1305" s="1" t="s">
        <v>5120</v>
      </c>
      <c r="W1305" s="3">
        <v>45740.0</v>
      </c>
      <c r="X1305" s="3">
        <v>45740.0</v>
      </c>
    </row>
    <row r="1306">
      <c r="A1306" s="1" t="s">
        <v>16042</v>
      </c>
      <c r="B1306" s="1" t="s">
        <v>9913</v>
      </c>
      <c r="C1306" s="1" t="s">
        <v>9913</v>
      </c>
      <c r="D1306" s="1" t="s">
        <v>4293</v>
      </c>
      <c r="E1306" s="1" t="s">
        <v>10490</v>
      </c>
      <c r="F1306" s="1" t="s">
        <v>16043</v>
      </c>
      <c r="G1306" s="3">
        <v>44749.0</v>
      </c>
      <c r="H1306" s="3">
        <v>44867.0</v>
      </c>
      <c r="I1306" s="3">
        <v>44867.0</v>
      </c>
      <c r="J1306" s="1" t="s">
        <v>215</v>
      </c>
      <c r="K1306" s="1" t="s">
        <v>160</v>
      </c>
      <c r="L1306" s="1" t="s">
        <v>216</v>
      </c>
      <c r="M1306" s="1" t="s">
        <v>131</v>
      </c>
      <c r="Q1306" s="1" t="s">
        <v>137</v>
      </c>
      <c r="R1306" s="1" t="s">
        <v>137</v>
      </c>
      <c r="S1306" s="1" t="s">
        <v>47</v>
      </c>
      <c r="T1306" s="1" t="s">
        <v>4301</v>
      </c>
      <c r="U1306" s="1" t="s">
        <v>1577</v>
      </c>
      <c r="V1306" s="1" t="s">
        <v>3858</v>
      </c>
      <c r="W1306" s="3">
        <v>44867.0</v>
      </c>
      <c r="X1306" s="3">
        <v>44867.0</v>
      </c>
    </row>
    <row r="1307">
      <c r="A1307" s="1" t="s">
        <v>16045</v>
      </c>
      <c r="B1307" s="1" t="s">
        <v>10498</v>
      </c>
      <c r="C1307" s="1" t="s">
        <v>10498</v>
      </c>
      <c r="D1307" s="1" t="s">
        <v>4293</v>
      </c>
      <c r="E1307" s="1" t="s">
        <v>10501</v>
      </c>
      <c r="F1307" s="1" t="s">
        <v>16046</v>
      </c>
      <c r="G1307" s="3">
        <v>44562.0</v>
      </c>
      <c r="H1307" s="3">
        <v>44562.0</v>
      </c>
      <c r="I1307" s="3">
        <v>44562.0</v>
      </c>
      <c r="J1307" s="1" t="s">
        <v>215</v>
      </c>
      <c r="K1307" s="1" t="s">
        <v>160</v>
      </c>
      <c r="L1307" s="1" t="s">
        <v>216</v>
      </c>
      <c r="M1307" s="1" t="s">
        <v>131</v>
      </c>
      <c r="Q1307" s="1" t="s">
        <v>137</v>
      </c>
      <c r="R1307" s="1" t="s">
        <v>137</v>
      </c>
      <c r="S1307" s="1" t="s">
        <v>47</v>
      </c>
      <c r="T1307" s="1" t="s">
        <v>4301</v>
      </c>
      <c r="U1307" s="1" t="s">
        <v>1577</v>
      </c>
      <c r="V1307" s="1" t="s">
        <v>3858</v>
      </c>
      <c r="W1307" s="3">
        <v>44562.0</v>
      </c>
      <c r="X1307" s="3">
        <v>44562.0</v>
      </c>
    </row>
    <row r="1308">
      <c r="A1308" s="1" t="s">
        <v>16048</v>
      </c>
      <c r="B1308" s="1" t="s">
        <v>7391</v>
      </c>
      <c r="C1308" s="1" t="s">
        <v>7391</v>
      </c>
      <c r="D1308" s="1" t="s">
        <v>4293</v>
      </c>
      <c r="E1308" s="1" t="s">
        <v>10511</v>
      </c>
      <c r="F1308" s="1" t="s">
        <v>16050</v>
      </c>
      <c r="G1308" s="3">
        <v>45142.0</v>
      </c>
      <c r="H1308" s="3">
        <v>45301.0</v>
      </c>
      <c r="I1308" s="3">
        <v>45301.0</v>
      </c>
      <c r="J1308" s="1" t="s">
        <v>215</v>
      </c>
      <c r="K1308" s="1" t="s">
        <v>160</v>
      </c>
      <c r="L1308" s="1" t="s">
        <v>216</v>
      </c>
      <c r="M1308" s="1" t="s">
        <v>131</v>
      </c>
      <c r="Q1308" s="1" t="s">
        <v>137</v>
      </c>
      <c r="R1308" s="1" t="s">
        <v>137</v>
      </c>
      <c r="S1308" s="1" t="s">
        <v>47</v>
      </c>
      <c r="T1308" s="1" t="s">
        <v>4301</v>
      </c>
      <c r="U1308" s="1" t="s">
        <v>1577</v>
      </c>
      <c r="V1308" s="1" t="s">
        <v>4679</v>
      </c>
      <c r="W1308" s="3">
        <v>45301.0</v>
      </c>
      <c r="X1308" s="3">
        <v>45301.0</v>
      </c>
    </row>
    <row r="1309">
      <c r="A1309" s="1" t="s">
        <v>16052</v>
      </c>
      <c r="B1309" s="1" t="s">
        <v>7391</v>
      </c>
      <c r="C1309" s="1" t="s">
        <v>7391</v>
      </c>
      <c r="D1309" s="1" t="s">
        <v>4293</v>
      </c>
      <c r="E1309" s="1" t="s">
        <v>10511</v>
      </c>
      <c r="F1309" s="1" t="s">
        <v>16053</v>
      </c>
      <c r="G1309" s="3">
        <v>45142.0</v>
      </c>
      <c r="H1309" s="3">
        <v>45301.0</v>
      </c>
      <c r="I1309" s="3">
        <v>45301.0</v>
      </c>
      <c r="J1309" s="1" t="s">
        <v>215</v>
      </c>
      <c r="K1309" s="1" t="s">
        <v>160</v>
      </c>
      <c r="L1309" s="1" t="s">
        <v>216</v>
      </c>
      <c r="M1309" s="1" t="s">
        <v>131</v>
      </c>
      <c r="Q1309" s="1" t="s">
        <v>137</v>
      </c>
      <c r="R1309" s="1" t="s">
        <v>137</v>
      </c>
      <c r="S1309" s="1" t="s">
        <v>47</v>
      </c>
      <c r="T1309" s="1" t="s">
        <v>4301</v>
      </c>
      <c r="U1309" s="1" t="s">
        <v>1577</v>
      </c>
      <c r="V1309" s="1" t="s">
        <v>4950</v>
      </c>
      <c r="W1309" s="3">
        <v>45301.0</v>
      </c>
      <c r="X1309" s="3">
        <v>45301.0</v>
      </c>
    </row>
    <row r="1310">
      <c r="A1310" s="1" t="s">
        <v>16056</v>
      </c>
      <c r="B1310" s="1" t="s">
        <v>7391</v>
      </c>
      <c r="C1310" s="1" t="s">
        <v>7391</v>
      </c>
      <c r="D1310" s="1" t="s">
        <v>4293</v>
      </c>
      <c r="E1310" s="1" t="s">
        <v>10511</v>
      </c>
      <c r="F1310" s="1" t="s">
        <v>16057</v>
      </c>
      <c r="G1310" s="3">
        <v>45142.0</v>
      </c>
      <c r="H1310" s="3">
        <v>45301.0</v>
      </c>
      <c r="I1310" s="3">
        <v>45301.0</v>
      </c>
      <c r="J1310" s="1" t="s">
        <v>215</v>
      </c>
      <c r="K1310" s="1" t="s">
        <v>160</v>
      </c>
      <c r="L1310" s="1" t="s">
        <v>216</v>
      </c>
      <c r="M1310" s="1" t="s">
        <v>131</v>
      </c>
      <c r="Q1310" s="1" t="s">
        <v>137</v>
      </c>
      <c r="R1310" s="1" t="s">
        <v>137</v>
      </c>
      <c r="S1310" s="1" t="s">
        <v>47</v>
      </c>
      <c r="T1310" s="1" t="s">
        <v>4301</v>
      </c>
      <c r="U1310" s="1" t="s">
        <v>1577</v>
      </c>
      <c r="V1310" s="1" t="s">
        <v>5104</v>
      </c>
      <c r="W1310" s="3">
        <v>45301.0</v>
      </c>
      <c r="X1310" s="3">
        <v>45301.0</v>
      </c>
    </row>
    <row r="1311">
      <c r="A1311" s="1" t="s">
        <v>16060</v>
      </c>
      <c r="B1311" s="1" t="s">
        <v>7391</v>
      </c>
      <c r="C1311" s="1" t="s">
        <v>7391</v>
      </c>
      <c r="D1311" s="1" t="s">
        <v>4293</v>
      </c>
      <c r="E1311" s="1" t="s">
        <v>10511</v>
      </c>
      <c r="F1311" s="1" t="s">
        <v>16061</v>
      </c>
      <c r="G1311" s="3">
        <v>45142.0</v>
      </c>
      <c r="H1311" s="3">
        <v>45301.0</v>
      </c>
      <c r="I1311" s="3">
        <v>45301.0</v>
      </c>
      <c r="J1311" s="1" t="s">
        <v>215</v>
      </c>
      <c r="K1311" s="1" t="s">
        <v>160</v>
      </c>
      <c r="L1311" s="1" t="s">
        <v>216</v>
      </c>
      <c r="M1311" s="1" t="s">
        <v>131</v>
      </c>
      <c r="Q1311" s="1" t="s">
        <v>137</v>
      </c>
      <c r="R1311" s="1" t="s">
        <v>137</v>
      </c>
      <c r="S1311" s="1" t="s">
        <v>47</v>
      </c>
      <c r="T1311" s="1" t="s">
        <v>4301</v>
      </c>
      <c r="U1311" s="1" t="s">
        <v>1577</v>
      </c>
      <c r="V1311" s="1" t="s">
        <v>5120</v>
      </c>
      <c r="W1311" s="3">
        <v>45301.0</v>
      </c>
      <c r="X1311" s="3">
        <v>45301.0</v>
      </c>
    </row>
    <row r="1312">
      <c r="A1312" s="1" t="s">
        <v>16063</v>
      </c>
      <c r="B1312" s="1" t="s">
        <v>4387</v>
      </c>
      <c r="C1312" s="1" t="s">
        <v>4387</v>
      </c>
      <c r="D1312" s="1" t="s">
        <v>4293</v>
      </c>
      <c r="E1312" s="1" t="s">
        <v>10521</v>
      </c>
      <c r="F1312" s="1" t="s">
        <v>16065</v>
      </c>
      <c r="G1312" s="3">
        <v>45329.0</v>
      </c>
      <c r="H1312" s="3">
        <v>45498.0</v>
      </c>
      <c r="I1312" s="3">
        <v>45498.0</v>
      </c>
      <c r="J1312" s="1" t="s">
        <v>215</v>
      </c>
      <c r="K1312" s="1" t="s">
        <v>160</v>
      </c>
      <c r="L1312" s="1" t="s">
        <v>216</v>
      </c>
      <c r="M1312" s="1" t="s">
        <v>131</v>
      </c>
      <c r="Q1312" s="1" t="s">
        <v>137</v>
      </c>
      <c r="R1312" s="1" t="s">
        <v>137</v>
      </c>
      <c r="S1312" s="1" t="s">
        <v>47</v>
      </c>
      <c r="T1312" s="1" t="s">
        <v>4301</v>
      </c>
      <c r="U1312" s="1" t="s">
        <v>1577</v>
      </c>
      <c r="V1312" s="1" t="s">
        <v>3858</v>
      </c>
      <c r="W1312" s="3">
        <v>45498.0</v>
      </c>
      <c r="X1312" s="3">
        <v>45498.0</v>
      </c>
    </row>
    <row r="1313">
      <c r="A1313" s="1" t="s">
        <v>16067</v>
      </c>
      <c r="B1313" s="1" t="s">
        <v>4387</v>
      </c>
      <c r="C1313" s="1" t="s">
        <v>4387</v>
      </c>
      <c r="D1313" s="1" t="s">
        <v>4293</v>
      </c>
      <c r="E1313" s="1" t="s">
        <v>10521</v>
      </c>
      <c r="F1313" s="1" t="s">
        <v>16068</v>
      </c>
      <c r="G1313" s="3">
        <v>45329.0</v>
      </c>
      <c r="H1313" s="3">
        <v>45498.0</v>
      </c>
      <c r="I1313" s="3">
        <v>45498.0</v>
      </c>
      <c r="J1313" s="1" t="s">
        <v>215</v>
      </c>
      <c r="K1313" s="1" t="s">
        <v>160</v>
      </c>
      <c r="L1313" s="1" t="s">
        <v>216</v>
      </c>
      <c r="M1313" s="1" t="s">
        <v>131</v>
      </c>
      <c r="Q1313" s="1" t="s">
        <v>137</v>
      </c>
      <c r="R1313" s="1" t="s">
        <v>137</v>
      </c>
      <c r="S1313" s="1" t="s">
        <v>47</v>
      </c>
      <c r="T1313" s="1" t="s">
        <v>4301</v>
      </c>
      <c r="U1313" s="1" t="s">
        <v>1577</v>
      </c>
      <c r="V1313" s="1" t="s">
        <v>4679</v>
      </c>
      <c r="W1313" s="3">
        <v>45498.0</v>
      </c>
      <c r="X1313" s="3">
        <v>45498.0</v>
      </c>
    </row>
    <row r="1314">
      <c r="A1314" s="1" t="s">
        <v>16071</v>
      </c>
      <c r="B1314" s="1" t="s">
        <v>4387</v>
      </c>
      <c r="C1314" s="1" t="s">
        <v>4387</v>
      </c>
      <c r="D1314" s="1" t="s">
        <v>4293</v>
      </c>
      <c r="E1314" s="1" t="s">
        <v>10521</v>
      </c>
      <c r="F1314" s="1" t="s">
        <v>16072</v>
      </c>
      <c r="G1314" s="3">
        <v>45329.0</v>
      </c>
      <c r="H1314" s="3">
        <v>45498.0</v>
      </c>
      <c r="I1314" s="3">
        <v>45498.0</v>
      </c>
      <c r="J1314" s="1" t="s">
        <v>215</v>
      </c>
      <c r="K1314" s="1" t="s">
        <v>160</v>
      </c>
      <c r="L1314" s="1" t="s">
        <v>216</v>
      </c>
      <c r="M1314" s="1" t="s">
        <v>131</v>
      </c>
      <c r="Q1314" s="1" t="s">
        <v>137</v>
      </c>
      <c r="R1314" s="1" t="s">
        <v>137</v>
      </c>
      <c r="S1314" s="1" t="s">
        <v>47</v>
      </c>
      <c r="T1314" s="1" t="s">
        <v>4301</v>
      </c>
      <c r="U1314" s="1" t="s">
        <v>1577</v>
      </c>
      <c r="V1314" s="1" t="s">
        <v>4950</v>
      </c>
      <c r="W1314" s="3">
        <v>45498.0</v>
      </c>
      <c r="X1314" s="3">
        <v>45498.0</v>
      </c>
    </row>
    <row r="1315">
      <c r="A1315" s="1" t="s">
        <v>16074</v>
      </c>
      <c r="B1315" s="1" t="s">
        <v>4387</v>
      </c>
      <c r="C1315" s="1" t="s">
        <v>4387</v>
      </c>
      <c r="D1315" s="1" t="s">
        <v>4293</v>
      </c>
      <c r="E1315" s="1" t="s">
        <v>10521</v>
      </c>
      <c r="F1315" s="1" t="s">
        <v>16075</v>
      </c>
      <c r="G1315" s="3">
        <v>45329.0</v>
      </c>
      <c r="H1315" s="3">
        <v>45498.0</v>
      </c>
      <c r="I1315" s="3">
        <v>45498.0</v>
      </c>
      <c r="J1315" s="1" t="s">
        <v>215</v>
      </c>
      <c r="K1315" s="1" t="s">
        <v>160</v>
      </c>
      <c r="L1315" s="1" t="s">
        <v>216</v>
      </c>
      <c r="M1315" s="1" t="s">
        <v>131</v>
      </c>
      <c r="Q1315" s="1" t="s">
        <v>137</v>
      </c>
      <c r="R1315" s="1" t="s">
        <v>137</v>
      </c>
      <c r="S1315" s="1" t="s">
        <v>47</v>
      </c>
      <c r="T1315" s="1" t="s">
        <v>4301</v>
      </c>
      <c r="U1315" s="1" t="s">
        <v>1577</v>
      </c>
      <c r="V1315" s="1" t="s">
        <v>5104</v>
      </c>
      <c r="W1315" s="3">
        <v>45498.0</v>
      </c>
      <c r="X1315" s="3">
        <v>45498.0</v>
      </c>
    </row>
    <row r="1316">
      <c r="A1316" s="1" t="s">
        <v>16077</v>
      </c>
      <c r="B1316" s="1" t="s">
        <v>4387</v>
      </c>
      <c r="C1316" s="1" t="s">
        <v>4387</v>
      </c>
      <c r="D1316" s="1" t="s">
        <v>4293</v>
      </c>
      <c r="E1316" s="1" t="s">
        <v>10521</v>
      </c>
      <c r="F1316" s="1" t="s">
        <v>16078</v>
      </c>
      <c r="G1316" s="3">
        <v>45329.0</v>
      </c>
      <c r="H1316" s="3">
        <v>45498.0</v>
      </c>
      <c r="I1316" s="3">
        <v>45498.0</v>
      </c>
      <c r="J1316" s="1" t="s">
        <v>215</v>
      </c>
      <c r="K1316" s="1" t="s">
        <v>160</v>
      </c>
      <c r="L1316" s="1" t="s">
        <v>216</v>
      </c>
      <c r="M1316" s="1" t="s">
        <v>131</v>
      </c>
      <c r="Q1316" s="1" t="s">
        <v>137</v>
      </c>
      <c r="R1316" s="1" t="s">
        <v>137</v>
      </c>
      <c r="S1316" s="1" t="s">
        <v>47</v>
      </c>
      <c r="T1316" s="1" t="s">
        <v>4301</v>
      </c>
      <c r="U1316" s="1" t="s">
        <v>1577</v>
      </c>
      <c r="V1316" s="1" t="s">
        <v>5120</v>
      </c>
      <c r="W1316" s="3">
        <v>45498.0</v>
      </c>
      <c r="X1316" s="3">
        <v>45498.0</v>
      </c>
    </row>
    <row r="1317">
      <c r="A1317" s="1" t="s">
        <v>16080</v>
      </c>
      <c r="B1317" s="1" t="s">
        <v>10527</v>
      </c>
      <c r="C1317" s="1" t="s">
        <v>10527</v>
      </c>
      <c r="D1317" s="1" t="s">
        <v>4293</v>
      </c>
      <c r="E1317" s="1" t="s">
        <v>10529</v>
      </c>
      <c r="F1317" s="1" t="s">
        <v>16081</v>
      </c>
      <c r="G1317" s="3">
        <v>44986.0</v>
      </c>
      <c r="H1317" s="3">
        <v>45154.0</v>
      </c>
      <c r="I1317" s="3">
        <v>45154.0</v>
      </c>
      <c r="J1317" s="1" t="s">
        <v>215</v>
      </c>
      <c r="K1317" s="1" t="s">
        <v>160</v>
      </c>
      <c r="L1317" s="1" t="s">
        <v>216</v>
      </c>
      <c r="M1317" s="1" t="s">
        <v>131</v>
      </c>
      <c r="Q1317" s="1" t="s">
        <v>137</v>
      </c>
      <c r="R1317" s="1" t="s">
        <v>137</v>
      </c>
      <c r="S1317" s="1" t="s">
        <v>47</v>
      </c>
      <c r="T1317" s="1" t="s">
        <v>4301</v>
      </c>
      <c r="U1317" s="1" t="s">
        <v>1577</v>
      </c>
      <c r="V1317" s="1" t="s">
        <v>3858</v>
      </c>
      <c r="W1317" s="3">
        <v>45154.0</v>
      </c>
      <c r="X1317" s="3">
        <v>45154.0</v>
      </c>
    </row>
    <row r="1318">
      <c r="A1318" s="1" t="s">
        <v>16082</v>
      </c>
      <c r="B1318" s="1" t="s">
        <v>10537</v>
      </c>
      <c r="C1318" s="1" t="s">
        <v>10537</v>
      </c>
      <c r="D1318" s="1" t="s">
        <v>4293</v>
      </c>
      <c r="E1318" s="1" t="s">
        <v>10540</v>
      </c>
      <c r="F1318" s="1" t="s">
        <v>16084</v>
      </c>
      <c r="G1318" s="3">
        <v>44560.0</v>
      </c>
      <c r="H1318" s="3">
        <v>43964.0</v>
      </c>
      <c r="I1318" s="3">
        <v>43964.0</v>
      </c>
      <c r="J1318" s="1" t="s">
        <v>215</v>
      </c>
      <c r="K1318" s="1" t="s">
        <v>160</v>
      </c>
      <c r="L1318" s="1" t="s">
        <v>216</v>
      </c>
      <c r="M1318" s="1" t="s">
        <v>131</v>
      </c>
      <c r="Q1318" s="1" t="s">
        <v>137</v>
      </c>
      <c r="R1318" s="1" t="s">
        <v>137</v>
      </c>
      <c r="S1318" s="1" t="s">
        <v>47</v>
      </c>
      <c r="T1318" s="1" t="s">
        <v>4301</v>
      </c>
      <c r="U1318" s="1" t="s">
        <v>1577</v>
      </c>
      <c r="V1318" s="1" t="s">
        <v>3858</v>
      </c>
      <c r="W1318" s="3">
        <v>43964.0</v>
      </c>
      <c r="X1318" s="3">
        <v>43964.0</v>
      </c>
    </row>
    <row r="1319">
      <c r="A1319" s="1" t="s">
        <v>16086</v>
      </c>
      <c r="B1319" s="1" t="s">
        <v>10550</v>
      </c>
      <c r="C1319" s="1" t="s">
        <v>10550</v>
      </c>
      <c r="D1319" s="1" t="s">
        <v>4293</v>
      </c>
      <c r="E1319" s="1" t="s">
        <v>10100</v>
      </c>
      <c r="F1319" s="1" t="s">
        <v>16087</v>
      </c>
      <c r="G1319" s="3">
        <v>44195.0</v>
      </c>
      <c r="H1319" s="3">
        <v>44238.0</v>
      </c>
      <c r="I1319" s="3">
        <v>44238.0</v>
      </c>
      <c r="J1319" s="1" t="s">
        <v>215</v>
      </c>
      <c r="K1319" s="1" t="s">
        <v>160</v>
      </c>
      <c r="L1319" s="1" t="s">
        <v>216</v>
      </c>
      <c r="M1319" s="1" t="s">
        <v>131</v>
      </c>
      <c r="Q1319" s="1" t="s">
        <v>137</v>
      </c>
      <c r="R1319" s="1" t="s">
        <v>137</v>
      </c>
      <c r="S1319" s="1" t="s">
        <v>47</v>
      </c>
      <c r="T1319" s="1" t="s">
        <v>4301</v>
      </c>
      <c r="U1319" s="1" t="s">
        <v>1577</v>
      </c>
      <c r="V1319" s="1" t="s">
        <v>3858</v>
      </c>
      <c r="W1319" s="3">
        <v>44238.0</v>
      </c>
      <c r="X1319" s="3">
        <v>44238.0</v>
      </c>
    </row>
    <row r="1320">
      <c r="A1320" s="1" t="s">
        <v>16090</v>
      </c>
      <c r="B1320" s="1" t="s">
        <v>10550</v>
      </c>
      <c r="C1320" s="1" t="s">
        <v>10550</v>
      </c>
      <c r="D1320" s="1" t="s">
        <v>4293</v>
      </c>
      <c r="E1320" s="1" t="s">
        <v>10100</v>
      </c>
      <c r="F1320" s="1" t="s">
        <v>16091</v>
      </c>
      <c r="G1320" s="3">
        <v>44195.0</v>
      </c>
      <c r="H1320" s="3">
        <v>44238.0</v>
      </c>
      <c r="I1320" s="3">
        <v>44238.0</v>
      </c>
      <c r="J1320" s="1" t="s">
        <v>215</v>
      </c>
      <c r="K1320" s="1" t="s">
        <v>160</v>
      </c>
      <c r="L1320" s="1" t="s">
        <v>216</v>
      </c>
      <c r="M1320" s="1" t="s">
        <v>131</v>
      </c>
      <c r="Q1320" s="1" t="s">
        <v>137</v>
      </c>
      <c r="R1320" s="1" t="s">
        <v>137</v>
      </c>
      <c r="S1320" s="1" t="s">
        <v>47</v>
      </c>
      <c r="T1320" s="1" t="s">
        <v>4301</v>
      </c>
      <c r="U1320" s="1" t="s">
        <v>1577</v>
      </c>
      <c r="V1320" s="1" t="s">
        <v>3865</v>
      </c>
      <c r="W1320" s="3">
        <v>44238.0</v>
      </c>
      <c r="X1320" s="3">
        <v>44238.0</v>
      </c>
    </row>
    <row r="1321">
      <c r="A1321" s="1" t="s">
        <v>16093</v>
      </c>
      <c r="B1321" s="1" t="s">
        <v>10550</v>
      </c>
      <c r="C1321" s="1" t="s">
        <v>10550</v>
      </c>
      <c r="D1321" s="1" t="s">
        <v>4293</v>
      </c>
      <c r="E1321" s="1" t="s">
        <v>10100</v>
      </c>
      <c r="F1321" s="1" t="s">
        <v>16096</v>
      </c>
      <c r="G1321" s="3">
        <v>44195.0</v>
      </c>
      <c r="H1321" s="3">
        <v>44238.0</v>
      </c>
      <c r="I1321" s="3">
        <v>44238.0</v>
      </c>
      <c r="J1321" s="1" t="s">
        <v>215</v>
      </c>
      <c r="K1321" s="1" t="s">
        <v>160</v>
      </c>
      <c r="L1321" s="1" t="s">
        <v>216</v>
      </c>
      <c r="M1321" s="1" t="s">
        <v>131</v>
      </c>
      <c r="Q1321" s="1" t="s">
        <v>137</v>
      </c>
      <c r="R1321" s="1" t="s">
        <v>137</v>
      </c>
      <c r="S1321" s="1" t="s">
        <v>47</v>
      </c>
      <c r="T1321" s="1" t="s">
        <v>4301</v>
      </c>
      <c r="U1321" s="1" t="s">
        <v>1577</v>
      </c>
      <c r="V1321" s="1" t="s">
        <v>4950</v>
      </c>
      <c r="W1321" s="3">
        <v>44238.0</v>
      </c>
      <c r="X1321" s="3">
        <v>44238.0</v>
      </c>
    </row>
    <row r="1322">
      <c r="A1322" s="1" t="s">
        <v>16098</v>
      </c>
      <c r="B1322" s="1" t="s">
        <v>10560</v>
      </c>
      <c r="C1322" s="1" t="s">
        <v>10560</v>
      </c>
      <c r="D1322" s="1" t="s">
        <v>4293</v>
      </c>
      <c r="E1322" s="1" t="s">
        <v>10561</v>
      </c>
      <c r="F1322" s="1" t="s">
        <v>16099</v>
      </c>
      <c r="G1322" s="3">
        <v>44297.0</v>
      </c>
      <c r="H1322" s="3">
        <v>44297.0</v>
      </c>
      <c r="I1322" s="3">
        <v>44297.0</v>
      </c>
      <c r="J1322" s="1" t="s">
        <v>215</v>
      </c>
      <c r="K1322" s="1" t="s">
        <v>160</v>
      </c>
      <c r="L1322" s="1" t="s">
        <v>216</v>
      </c>
      <c r="M1322" s="1" t="s">
        <v>131</v>
      </c>
      <c r="Q1322" s="1" t="s">
        <v>137</v>
      </c>
      <c r="R1322" s="1" t="s">
        <v>137</v>
      </c>
      <c r="S1322" s="1" t="s">
        <v>47</v>
      </c>
      <c r="T1322" s="1" t="s">
        <v>4301</v>
      </c>
      <c r="U1322" s="1" t="s">
        <v>1577</v>
      </c>
      <c r="V1322" s="1" t="s">
        <v>3858</v>
      </c>
      <c r="W1322" s="3">
        <v>44297.0</v>
      </c>
      <c r="X1322" s="3">
        <v>44297.0</v>
      </c>
    </row>
    <row r="1323">
      <c r="A1323" s="1" t="s">
        <v>16101</v>
      </c>
      <c r="B1323" s="1" t="s">
        <v>10569</v>
      </c>
      <c r="C1323" s="1" t="s">
        <v>10569</v>
      </c>
      <c r="D1323" s="1" t="s">
        <v>4293</v>
      </c>
      <c r="E1323" s="1" t="s">
        <v>10571</v>
      </c>
      <c r="F1323" s="1" t="s">
        <v>16103</v>
      </c>
      <c r="G1323" s="3">
        <v>44133.0</v>
      </c>
      <c r="H1323" s="3">
        <v>44400.0</v>
      </c>
      <c r="I1323" s="3">
        <v>44400.0</v>
      </c>
      <c r="J1323" s="1" t="s">
        <v>215</v>
      </c>
      <c r="K1323" s="1" t="s">
        <v>160</v>
      </c>
      <c r="L1323" s="1" t="s">
        <v>216</v>
      </c>
      <c r="M1323" s="1" t="s">
        <v>131</v>
      </c>
      <c r="Q1323" s="1" t="s">
        <v>137</v>
      </c>
      <c r="R1323" s="1" t="s">
        <v>137</v>
      </c>
      <c r="S1323" s="1" t="s">
        <v>47</v>
      </c>
      <c r="T1323" s="1" t="s">
        <v>4301</v>
      </c>
      <c r="U1323" s="1" t="s">
        <v>1577</v>
      </c>
      <c r="V1323" s="1" t="s">
        <v>3858</v>
      </c>
      <c r="W1323" s="3">
        <v>44400.0</v>
      </c>
      <c r="X1323" s="3">
        <v>44400.0</v>
      </c>
    </row>
    <row r="1324">
      <c r="A1324" s="1" t="s">
        <v>16104</v>
      </c>
      <c r="B1324" s="1" t="s">
        <v>10578</v>
      </c>
      <c r="C1324" s="1" t="s">
        <v>10578</v>
      </c>
      <c r="D1324" s="1" t="s">
        <v>4293</v>
      </c>
      <c r="E1324" s="1" t="s">
        <v>10580</v>
      </c>
      <c r="F1324" s="1" t="s">
        <v>16106</v>
      </c>
      <c r="G1324" s="3">
        <v>44216.0</v>
      </c>
      <c r="H1324" s="3">
        <v>44225.0</v>
      </c>
      <c r="I1324" s="3">
        <v>44225.0</v>
      </c>
      <c r="J1324" s="1" t="s">
        <v>215</v>
      </c>
      <c r="K1324" s="1" t="s">
        <v>160</v>
      </c>
      <c r="L1324" s="1" t="s">
        <v>216</v>
      </c>
      <c r="M1324" s="1" t="s">
        <v>131</v>
      </c>
      <c r="Q1324" s="1" t="s">
        <v>137</v>
      </c>
      <c r="R1324" s="1" t="s">
        <v>137</v>
      </c>
      <c r="S1324" s="1" t="s">
        <v>47</v>
      </c>
      <c r="T1324" s="1" t="s">
        <v>4301</v>
      </c>
      <c r="U1324" s="1" t="s">
        <v>1577</v>
      </c>
      <c r="V1324" s="1" t="s">
        <v>3858</v>
      </c>
      <c r="W1324" s="3">
        <v>44225.0</v>
      </c>
      <c r="X1324" s="3">
        <v>44225.0</v>
      </c>
    </row>
    <row r="1325">
      <c r="A1325" s="1" t="s">
        <v>16108</v>
      </c>
      <c r="B1325" s="1" t="s">
        <v>10588</v>
      </c>
      <c r="C1325" s="1" t="s">
        <v>10588</v>
      </c>
      <c r="D1325" s="1" t="s">
        <v>4293</v>
      </c>
      <c r="E1325" s="1" t="s">
        <v>10590</v>
      </c>
      <c r="F1325" s="1" t="s">
        <v>16109</v>
      </c>
      <c r="G1325" s="3">
        <v>44500.0</v>
      </c>
      <c r="H1325" s="3">
        <v>44499.0</v>
      </c>
      <c r="I1325" s="3">
        <v>44499.0</v>
      </c>
      <c r="J1325" s="1" t="s">
        <v>215</v>
      </c>
      <c r="K1325" s="1" t="s">
        <v>160</v>
      </c>
      <c r="L1325" s="1" t="s">
        <v>216</v>
      </c>
      <c r="M1325" s="1" t="s">
        <v>131</v>
      </c>
      <c r="Q1325" s="1" t="s">
        <v>137</v>
      </c>
      <c r="R1325" s="1" t="s">
        <v>137</v>
      </c>
      <c r="S1325" s="1" t="s">
        <v>47</v>
      </c>
      <c r="T1325" s="1" t="s">
        <v>4301</v>
      </c>
      <c r="U1325" s="1" t="s">
        <v>1577</v>
      </c>
      <c r="V1325" s="1" t="s">
        <v>3858</v>
      </c>
      <c r="W1325" s="3">
        <v>44499.0</v>
      </c>
      <c r="X1325" s="3">
        <v>44499.0</v>
      </c>
    </row>
    <row r="1326">
      <c r="A1326" s="1" t="s">
        <v>16112</v>
      </c>
      <c r="B1326" s="1" t="s">
        <v>10595</v>
      </c>
      <c r="C1326" s="1" t="s">
        <v>10595</v>
      </c>
      <c r="D1326" s="1" t="s">
        <v>4293</v>
      </c>
      <c r="E1326" s="1" t="s">
        <v>10598</v>
      </c>
      <c r="F1326" s="1" t="s">
        <v>16113</v>
      </c>
      <c r="G1326" s="3">
        <v>44553.0</v>
      </c>
      <c r="H1326" s="3">
        <v>44790.0</v>
      </c>
      <c r="I1326" s="3">
        <v>44790.0</v>
      </c>
      <c r="J1326" s="1" t="s">
        <v>215</v>
      </c>
      <c r="K1326" s="1" t="s">
        <v>160</v>
      </c>
      <c r="L1326" s="1" t="s">
        <v>216</v>
      </c>
      <c r="M1326" s="1" t="s">
        <v>131</v>
      </c>
      <c r="Q1326" s="1" t="s">
        <v>137</v>
      </c>
      <c r="R1326" s="1" t="s">
        <v>137</v>
      </c>
      <c r="S1326" s="1" t="s">
        <v>47</v>
      </c>
      <c r="T1326" s="1" t="s">
        <v>4301</v>
      </c>
      <c r="U1326" s="1" t="s">
        <v>1577</v>
      </c>
      <c r="V1326" s="1" t="s">
        <v>3858</v>
      </c>
      <c r="W1326" s="3">
        <v>44790.0</v>
      </c>
      <c r="X1326" s="3">
        <v>44790.0</v>
      </c>
    </row>
    <row r="1327">
      <c r="A1327" s="1" t="s">
        <v>16115</v>
      </c>
      <c r="B1327" s="1" t="s">
        <v>10595</v>
      </c>
      <c r="C1327" s="1" t="s">
        <v>10595</v>
      </c>
      <c r="D1327" s="1" t="s">
        <v>4293</v>
      </c>
      <c r="E1327" s="1" t="s">
        <v>10598</v>
      </c>
      <c r="F1327" s="1" t="s">
        <v>16117</v>
      </c>
      <c r="G1327" s="3">
        <v>44553.0</v>
      </c>
      <c r="H1327" s="3">
        <v>44790.0</v>
      </c>
      <c r="I1327" s="3">
        <v>44790.0</v>
      </c>
      <c r="J1327" s="1" t="s">
        <v>215</v>
      </c>
      <c r="K1327" s="1" t="s">
        <v>160</v>
      </c>
      <c r="L1327" s="1" t="s">
        <v>216</v>
      </c>
      <c r="M1327" s="1" t="s">
        <v>131</v>
      </c>
      <c r="Q1327" s="1" t="s">
        <v>137</v>
      </c>
      <c r="R1327" s="1" t="s">
        <v>137</v>
      </c>
      <c r="S1327" s="1" t="s">
        <v>47</v>
      </c>
      <c r="T1327" s="1" t="s">
        <v>4301</v>
      </c>
      <c r="U1327" s="1" t="s">
        <v>1577</v>
      </c>
      <c r="V1327" s="1" t="s">
        <v>4950</v>
      </c>
      <c r="W1327" s="3">
        <v>44790.0</v>
      </c>
      <c r="X1327" s="3">
        <v>44790.0</v>
      </c>
    </row>
    <row r="1328">
      <c r="A1328" s="1" t="s">
        <v>16118</v>
      </c>
      <c r="B1328" s="1" t="s">
        <v>10609</v>
      </c>
      <c r="C1328" s="1" t="s">
        <v>10609</v>
      </c>
      <c r="D1328" s="1" t="s">
        <v>4293</v>
      </c>
      <c r="E1328" s="1" t="s">
        <v>10611</v>
      </c>
      <c r="F1328" s="1" t="s">
        <v>16119</v>
      </c>
      <c r="G1328" s="3">
        <v>45812.0</v>
      </c>
      <c r="H1328" s="3">
        <v>45966.0</v>
      </c>
      <c r="I1328" s="3">
        <v>45966.0</v>
      </c>
      <c r="J1328" s="1" t="s">
        <v>215</v>
      </c>
      <c r="K1328" s="1" t="s">
        <v>160</v>
      </c>
      <c r="L1328" s="1" t="s">
        <v>216</v>
      </c>
      <c r="M1328" s="1" t="s">
        <v>131</v>
      </c>
      <c r="Q1328" s="1" t="s">
        <v>137</v>
      </c>
      <c r="R1328" s="1" t="s">
        <v>137</v>
      </c>
      <c r="S1328" s="1" t="s">
        <v>47</v>
      </c>
      <c r="T1328" s="1" t="s">
        <v>4301</v>
      </c>
      <c r="U1328" s="1" t="s">
        <v>1577</v>
      </c>
      <c r="V1328" s="1" t="s">
        <v>4679</v>
      </c>
      <c r="W1328" s="3">
        <v>45966.0</v>
      </c>
      <c r="X1328" s="3">
        <v>45966.0</v>
      </c>
    </row>
    <row r="1329">
      <c r="A1329" s="1" t="s">
        <v>16120</v>
      </c>
      <c r="B1329" s="1" t="s">
        <v>10609</v>
      </c>
      <c r="C1329" s="1" t="s">
        <v>10609</v>
      </c>
      <c r="D1329" s="1" t="s">
        <v>4293</v>
      </c>
      <c r="E1329" s="1" t="s">
        <v>10611</v>
      </c>
      <c r="F1329" s="1" t="s">
        <v>16121</v>
      </c>
      <c r="G1329" s="3">
        <v>45812.0</v>
      </c>
      <c r="H1329" s="3">
        <v>45966.0</v>
      </c>
      <c r="I1329" s="3">
        <v>45966.0</v>
      </c>
      <c r="J1329" s="1" t="s">
        <v>215</v>
      </c>
      <c r="K1329" s="1" t="s">
        <v>160</v>
      </c>
      <c r="L1329" s="1" t="s">
        <v>216</v>
      </c>
      <c r="M1329" s="1" t="s">
        <v>131</v>
      </c>
      <c r="Q1329" s="1" t="s">
        <v>137</v>
      </c>
      <c r="R1329" s="1" t="s">
        <v>137</v>
      </c>
      <c r="S1329" s="1" t="s">
        <v>47</v>
      </c>
      <c r="T1329" s="1" t="s">
        <v>4301</v>
      </c>
      <c r="U1329" s="1" t="s">
        <v>1577</v>
      </c>
      <c r="V1329" s="1" t="s">
        <v>4950</v>
      </c>
      <c r="W1329" s="3">
        <v>45966.0</v>
      </c>
      <c r="X1329" s="3">
        <v>45966.0</v>
      </c>
    </row>
    <row r="1330">
      <c r="A1330" s="1" t="s">
        <v>16122</v>
      </c>
      <c r="B1330" s="1" t="s">
        <v>10609</v>
      </c>
      <c r="C1330" s="1" t="s">
        <v>10609</v>
      </c>
      <c r="D1330" s="1" t="s">
        <v>4293</v>
      </c>
      <c r="E1330" s="1" t="s">
        <v>10611</v>
      </c>
      <c r="F1330" s="1" t="s">
        <v>16123</v>
      </c>
      <c r="G1330" s="3">
        <v>45812.0</v>
      </c>
      <c r="H1330" s="3">
        <v>45966.0</v>
      </c>
      <c r="I1330" s="3">
        <v>45966.0</v>
      </c>
      <c r="J1330" s="1" t="s">
        <v>215</v>
      </c>
      <c r="K1330" s="1" t="s">
        <v>160</v>
      </c>
      <c r="L1330" s="1" t="s">
        <v>216</v>
      </c>
      <c r="M1330" s="1" t="s">
        <v>131</v>
      </c>
      <c r="Q1330" s="1" t="s">
        <v>137</v>
      </c>
      <c r="R1330" s="1" t="s">
        <v>137</v>
      </c>
      <c r="S1330" s="1" t="s">
        <v>47</v>
      </c>
      <c r="T1330" s="1" t="s">
        <v>4301</v>
      </c>
      <c r="U1330" s="1" t="s">
        <v>1577</v>
      </c>
      <c r="V1330" s="1" t="s">
        <v>5104</v>
      </c>
      <c r="W1330" s="3">
        <v>45966.0</v>
      </c>
      <c r="X1330" s="3">
        <v>45966.0</v>
      </c>
    </row>
    <row r="1331">
      <c r="A1331" s="1" t="s">
        <v>16124</v>
      </c>
      <c r="B1331" s="1" t="s">
        <v>10609</v>
      </c>
      <c r="C1331" s="1" t="s">
        <v>10609</v>
      </c>
      <c r="D1331" s="1" t="s">
        <v>4293</v>
      </c>
      <c r="E1331" s="1" t="s">
        <v>10611</v>
      </c>
      <c r="F1331" s="1" t="s">
        <v>16125</v>
      </c>
      <c r="G1331" s="3">
        <v>45812.0</v>
      </c>
      <c r="H1331" s="3">
        <v>45966.0</v>
      </c>
      <c r="I1331" s="3">
        <v>45966.0</v>
      </c>
      <c r="J1331" s="1" t="s">
        <v>215</v>
      </c>
      <c r="K1331" s="1" t="s">
        <v>160</v>
      </c>
      <c r="L1331" s="1" t="s">
        <v>216</v>
      </c>
      <c r="M1331" s="1" t="s">
        <v>131</v>
      </c>
      <c r="Q1331" s="1" t="s">
        <v>137</v>
      </c>
      <c r="R1331" s="1" t="s">
        <v>137</v>
      </c>
      <c r="S1331" s="1" t="s">
        <v>47</v>
      </c>
      <c r="T1331" s="1" t="s">
        <v>4301</v>
      </c>
      <c r="U1331" s="1" t="s">
        <v>1577</v>
      </c>
      <c r="V1331" s="1" t="s">
        <v>5120</v>
      </c>
      <c r="W1331" s="3">
        <v>45966.0</v>
      </c>
      <c r="X1331" s="3">
        <v>45966.0</v>
      </c>
    </row>
    <row r="1332">
      <c r="A1332" s="1" t="s">
        <v>16126</v>
      </c>
      <c r="B1332" s="1" t="s">
        <v>8592</v>
      </c>
      <c r="C1332" s="1" t="s">
        <v>8592</v>
      </c>
      <c r="D1332" s="1" t="s">
        <v>4293</v>
      </c>
      <c r="E1332" s="1" t="s">
        <v>10620</v>
      </c>
      <c r="F1332" s="1" t="s">
        <v>16127</v>
      </c>
      <c r="G1332" s="3">
        <v>45455.0</v>
      </c>
      <c r="H1332" s="3">
        <v>45652.0</v>
      </c>
      <c r="I1332" s="3">
        <v>45652.0</v>
      </c>
      <c r="J1332" s="1" t="s">
        <v>215</v>
      </c>
      <c r="K1332" s="1" t="s">
        <v>160</v>
      </c>
      <c r="L1332" s="1" t="s">
        <v>216</v>
      </c>
      <c r="M1332" s="1" t="s">
        <v>131</v>
      </c>
      <c r="Q1332" s="1" t="s">
        <v>137</v>
      </c>
      <c r="R1332" s="1" t="s">
        <v>137</v>
      </c>
      <c r="S1332" s="1" t="s">
        <v>47</v>
      </c>
      <c r="T1332" s="1" t="s">
        <v>4301</v>
      </c>
      <c r="U1332" s="1" t="s">
        <v>1577</v>
      </c>
      <c r="V1332" s="1" t="s">
        <v>4679</v>
      </c>
      <c r="W1332" s="3">
        <v>45652.0</v>
      </c>
      <c r="X1332" s="3">
        <v>45652.0</v>
      </c>
    </row>
    <row r="1333">
      <c r="A1333" s="1" t="s">
        <v>16128</v>
      </c>
      <c r="B1333" s="1" t="s">
        <v>8592</v>
      </c>
      <c r="C1333" s="1" t="s">
        <v>8592</v>
      </c>
      <c r="D1333" s="1" t="s">
        <v>4293</v>
      </c>
      <c r="E1333" s="1" t="s">
        <v>10620</v>
      </c>
      <c r="F1333" s="1" t="s">
        <v>16129</v>
      </c>
      <c r="G1333" s="3">
        <v>45455.0</v>
      </c>
      <c r="H1333" s="3">
        <v>45652.0</v>
      </c>
      <c r="I1333" s="3">
        <v>45652.0</v>
      </c>
      <c r="J1333" s="1" t="s">
        <v>215</v>
      </c>
      <c r="K1333" s="1" t="s">
        <v>160</v>
      </c>
      <c r="L1333" s="1" t="s">
        <v>216</v>
      </c>
      <c r="M1333" s="1" t="s">
        <v>131</v>
      </c>
      <c r="Q1333" s="1" t="s">
        <v>137</v>
      </c>
      <c r="R1333" s="1" t="s">
        <v>137</v>
      </c>
      <c r="S1333" s="1" t="s">
        <v>47</v>
      </c>
      <c r="T1333" s="1" t="s">
        <v>4301</v>
      </c>
      <c r="U1333" s="1" t="s">
        <v>1577</v>
      </c>
      <c r="V1333" s="1" t="s">
        <v>4950</v>
      </c>
      <c r="W1333" s="3">
        <v>45652.0</v>
      </c>
      <c r="X1333" s="3">
        <v>45652.0</v>
      </c>
    </row>
    <row r="1334">
      <c r="A1334" s="1" t="s">
        <v>16130</v>
      </c>
      <c r="B1334" s="1" t="s">
        <v>8592</v>
      </c>
      <c r="C1334" s="1" t="s">
        <v>8592</v>
      </c>
      <c r="D1334" s="1" t="s">
        <v>4293</v>
      </c>
      <c r="E1334" s="1" t="s">
        <v>10620</v>
      </c>
      <c r="F1334" s="1" t="s">
        <v>16131</v>
      </c>
      <c r="G1334" s="3">
        <v>45455.0</v>
      </c>
      <c r="H1334" s="3">
        <v>45652.0</v>
      </c>
      <c r="I1334" s="3">
        <v>45652.0</v>
      </c>
      <c r="J1334" s="1" t="s">
        <v>215</v>
      </c>
      <c r="K1334" s="1" t="s">
        <v>160</v>
      </c>
      <c r="L1334" s="1" t="s">
        <v>216</v>
      </c>
      <c r="M1334" s="1" t="s">
        <v>131</v>
      </c>
      <c r="Q1334" s="1" t="s">
        <v>137</v>
      </c>
      <c r="R1334" s="1" t="s">
        <v>137</v>
      </c>
      <c r="S1334" s="1" t="s">
        <v>47</v>
      </c>
      <c r="T1334" s="1" t="s">
        <v>4301</v>
      </c>
      <c r="U1334" s="1" t="s">
        <v>1577</v>
      </c>
      <c r="V1334" s="1" t="s">
        <v>5104</v>
      </c>
      <c r="W1334" s="3">
        <v>45652.0</v>
      </c>
      <c r="X1334" s="3">
        <v>45652.0</v>
      </c>
    </row>
    <row r="1335">
      <c r="A1335" s="1" t="s">
        <v>16132</v>
      </c>
      <c r="B1335" s="1" t="s">
        <v>8592</v>
      </c>
      <c r="C1335" s="1" t="s">
        <v>8592</v>
      </c>
      <c r="D1335" s="1" t="s">
        <v>4293</v>
      </c>
      <c r="E1335" s="1" t="s">
        <v>10620</v>
      </c>
      <c r="F1335" s="1" t="s">
        <v>16133</v>
      </c>
      <c r="G1335" s="3">
        <v>45455.0</v>
      </c>
      <c r="H1335" s="3">
        <v>45652.0</v>
      </c>
      <c r="I1335" s="3">
        <v>45652.0</v>
      </c>
      <c r="J1335" s="1" t="s">
        <v>215</v>
      </c>
      <c r="K1335" s="1" t="s">
        <v>160</v>
      </c>
      <c r="L1335" s="1" t="s">
        <v>216</v>
      </c>
      <c r="M1335" s="1" t="s">
        <v>131</v>
      </c>
      <c r="Q1335" s="1" t="s">
        <v>137</v>
      </c>
      <c r="R1335" s="1" t="s">
        <v>137</v>
      </c>
      <c r="S1335" s="1" t="s">
        <v>47</v>
      </c>
      <c r="T1335" s="1" t="s">
        <v>4301</v>
      </c>
      <c r="U1335" s="1" t="s">
        <v>1577</v>
      </c>
      <c r="V1335" s="1" t="s">
        <v>5120</v>
      </c>
      <c r="W1335" s="3">
        <v>45652.0</v>
      </c>
      <c r="X1335" s="3">
        <v>45652.0</v>
      </c>
    </row>
    <row r="1336">
      <c r="A1336" s="1" t="s">
        <v>16134</v>
      </c>
      <c r="B1336" s="1" t="s">
        <v>10628</v>
      </c>
      <c r="C1336" s="1" t="s">
        <v>10628</v>
      </c>
      <c r="D1336" s="1" t="s">
        <v>4293</v>
      </c>
      <c r="E1336" s="1" t="s">
        <v>10630</v>
      </c>
      <c r="F1336" s="1" t="s">
        <v>16135</v>
      </c>
      <c r="G1336" s="3">
        <v>44469.0</v>
      </c>
      <c r="H1336" s="3">
        <v>44623.0</v>
      </c>
      <c r="I1336" s="3">
        <v>44623.0</v>
      </c>
      <c r="J1336" s="1" t="s">
        <v>215</v>
      </c>
      <c r="K1336" s="1" t="s">
        <v>160</v>
      </c>
      <c r="L1336" s="1" t="s">
        <v>216</v>
      </c>
      <c r="M1336" s="1" t="s">
        <v>131</v>
      </c>
      <c r="Q1336" s="1" t="s">
        <v>137</v>
      </c>
      <c r="R1336" s="1" t="s">
        <v>137</v>
      </c>
      <c r="S1336" s="1" t="s">
        <v>47</v>
      </c>
      <c r="T1336" s="1" t="s">
        <v>4301</v>
      </c>
      <c r="U1336" s="1" t="s">
        <v>1577</v>
      </c>
      <c r="V1336" s="1" t="s">
        <v>3858</v>
      </c>
      <c r="W1336" s="3">
        <v>44623.0</v>
      </c>
      <c r="X1336" s="3">
        <v>44623.0</v>
      </c>
    </row>
    <row r="1337">
      <c r="A1337" s="1" t="s">
        <v>16136</v>
      </c>
      <c r="B1337" s="1" t="s">
        <v>10637</v>
      </c>
      <c r="C1337" s="1" t="s">
        <v>10637</v>
      </c>
      <c r="D1337" s="1" t="s">
        <v>4293</v>
      </c>
      <c r="E1337" s="1" t="s">
        <v>10638</v>
      </c>
      <c r="F1337" s="1" t="s">
        <v>16137</v>
      </c>
      <c r="G1337" s="3">
        <v>44154.0</v>
      </c>
      <c r="H1337" s="3">
        <v>44209.0</v>
      </c>
      <c r="I1337" s="3">
        <v>44209.0</v>
      </c>
      <c r="J1337" s="1" t="s">
        <v>215</v>
      </c>
      <c r="K1337" s="1" t="s">
        <v>160</v>
      </c>
      <c r="L1337" s="1" t="s">
        <v>216</v>
      </c>
      <c r="M1337" s="1" t="s">
        <v>131</v>
      </c>
      <c r="Q1337" s="1" t="s">
        <v>137</v>
      </c>
      <c r="R1337" s="1" t="s">
        <v>137</v>
      </c>
      <c r="S1337" s="1" t="s">
        <v>47</v>
      </c>
      <c r="T1337" s="1" t="s">
        <v>4301</v>
      </c>
      <c r="U1337" s="1" t="s">
        <v>1577</v>
      </c>
      <c r="V1337" s="1" t="s">
        <v>3858</v>
      </c>
      <c r="W1337" s="3">
        <v>44209.0</v>
      </c>
      <c r="X1337" s="3">
        <v>44209.0</v>
      </c>
    </row>
    <row r="1338">
      <c r="A1338" s="1" t="s">
        <v>16138</v>
      </c>
      <c r="B1338" s="1" t="s">
        <v>10641</v>
      </c>
      <c r="C1338" s="1" t="s">
        <v>10641</v>
      </c>
      <c r="D1338" s="1" t="s">
        <v>4293</v>
      </c>
      <c r="E1338" s="1" t="s">
        <v>10642</v>
      </c>
      <c r="F1338" s="1" t="s">
        <v>16139</v>
      </c>
      <c r="G1338" s="3">
        <v>44726.0</v>
      </c>
      <c r="H1338" s="3">
        <v>44783.0</v>
      </c>
      <c r="I1338" s="3">
        <v>44783.0</v>
      </c>
      <c r="J1338" s="1" t="s">
        <v>215</v>
      </c>
      <c r="K1338" s="1" t="s">
        <v>160</v>
      </c>
      <c r="L1338" s="1" t="s">
        <v>216</v>
      </c>
      <c r="M1338" s="1" t="s">
        <v>131</v>
      </c>
      <c r="Q1338" s="1" t="s">
        <v>137</v>
      </c>
      <c r="R1338" s="1" t="s">
        <v>137</v>
      </c>
      <c r="S1338" s="1" t="s">
        <v>47</v>
      </c>
      <c r="T1338" s="1" t="s">
        <v>4301</v>
      </c>
      <c r="U1338" s="1" t="s">
        <v>1577</v>
      </c>
      <c r="V1338" s="1" t="s">
        <v>3858</v>
      </c>
      <c r="W1338" s="3">
        <v>44783.0</v>
      </c>
      <c r="X1338" s="3">
        <v>44783.0</v>
      </c>
    </row>
    <row r="1339">
      <c r="A1339" s="1" t="s">
        <v>16140</v>
      </c>
      <c r="B1339" s="1" t="s">
        <v>10641</v>
      </c>
      <c r="C1339" s="1" t="s">
        <v>10641</v>
      </c>
      <c r="D1339" s="1" t="s">
        <v>4293</v>
      </c>
      <c r="E1339" s="1" t="s">
        <v>10642</v>
      </c>
      <c r="F1339" s="1" t="s">
        <v>16141</v>
      </c>
      <c r="G1339" s="3">
        <v>44726.0</v>
      </c>
      <c r="H1339" s="3">
        <v>44783.0</v>
      </c>
      <c r="I1339" s="3">
        <v>44783.0</v>
      </c>
      <c r="J1339" s="1" t="s">
        <v>215</v>
      </c>
      <c r="K1339" s="1" t="s">
        <v>160</v>
      </c>
      <c r="L1339" s="1" t="s">
        <v>216</v>
      </c>
      <c r="M1339" s="1" t="s">
        <v>131</v>
      </c>
      <c r="Q1339" s="1" t="s">
        <v>137</v>
      </c>
      <c r="R1339" s="1" t="s">
        <v>137</v>
      </c>
      <c r="S1339" s="1" t="s">
        <v>47</v>
      </c>
      <c r="T1339" s="1" t="s">
        <v>4301</v>
      </c>
      <c r="U1339" s="1" t="s">
        <v>1577</v>
      </c>
      <c r="V1339" s="1" t="s">
        <v>4679</v>
      </c>
      <c r="W1339" s="3">
        <v>44783.0</v>
      </c>
      <c r="X1339" s="3">
        <v>44783.0</v>
      </c>
    </row>
    <row r="1340">
      <c r="A1340" s="1" t="s">
        <v>16142</v>
      </c>
      <c r="B1340" s="1" t="s">
        <v>10641</v>
      </c>
      <c r="C1340" s="1" t="s">
        <v>10641</v>
      </c>
      <c r="D1340" s="1" t="s">
        <v>4293</v>
      </c>
      <c r="E1340" s="1" t="s">
        <v>10642</v>
      </c>
      <c r="F1340" s="1" t="s">
        <v>16143</v>
      </c>
      <c r="G1340" s="3">
        <v>44726.0</v>
      </c>
      <c r="H1340" s="3">
        <v>44783.0</v>
      </c>
      <c r="I1340" s="3">
        <v>44783.0</v>
      </c>
      <c r="J1340" s="1" t="s">
        <v>215</v>
      </c>
      <c r="K1340" s="1" t="s">
        <v>160</v>
      </c>
      <c r="L1340" s="1" t="s">
        <v>216</v>
      </c>
      <c r="M1340" s="1" t="s">
        <v>131</v>
      </c>
      <c r="Q1340" s="1" t="s">
        <v>137</v>
      </c>
      <c r="R1340" s="1" t="s">
        <v>137</v>
      </c>
      <c r="S1340" s="1" t="s">
        <v>47</v>
      </c>
      <c r="T1340" s="1" t="s">
        <v>4301</v>
      </c>
      <c r="U1340" s="1" t="s">
        <v>1577</v>
      </c>
      <c r="V1340" s="1" t="s">
        <v>4950</v>
      </c>
      <c r="W1340" s="3">
        <v>44783.0</v>
      </c>
      <c r="X1340" s="3">
        <v>44783.0</v>
      </c>
    </row>
    <row r="1341">
      <c r="A1341" s="1" t="s">
        <v>16144</v>
      </c>
      <c r="B1341" s="1" t="s">
        <v>10641</v>
      </c>
      <c r="C1341" s="1" t="s">
        <v>10641</v>
      </c>
      <c r="D1341" s="1" t="s">
        <v>4293</v>
      </c>
      <c r="E1341" s="1" t="s">
        <v>10642</v>
      </c>
      <c r="F1341" s="1" t="s">
        <v>16145</v>
      </c>
      <c r="G1341" s="3">
        <v>44726.0</v>
      </c>
      <c r="H1341" s="3">
        <v>44783.0</v>
      </c>
      <c r="I1341" s="3">
        <v>44783.0</v>
      </c>
      <c r="J1341" s="1" t="s">
        <v>215</v>
      </c>
      <c r="K1341" s="1" t="s">
        <v>160</v>
      </c>
      <c r="L1341" s="1" t="s">
        <v>216</v>
      </c>
      <c r="M1341" s="1" t="s">
        <v>131</v>
      </c>
      <c r="Q1341" s="1" t="s">
        <v>137</v>
      </c>
      <c r="R1341" s="1" t="s">
        <v>137</v>
      </c>
      <c r="S1341" s="1" t="s">
        <v>47</v>
      </c>
      <c r="T1341" s="1" t="s">
        <v>4301</v>
      </c>
      <c r="U1341" s="1" t="s">
        <v>1577</v>
      </c>
      <c r="V1341" s="1" t="s">
        <v>5104</v>
      </c>
      <c r="W1341" s="3">
        <v>44783.0</v>
      </c>
      <c r="X1341" s="3">
        <v>44783.0</v>
      </c>
    </row>
    <row r="1342">
      <c r="A1342" s="1" t="s">
        <v>16146</v>
      </c>
      <c r="B1342" s="1" t="s">
        <v>10641</v>
      </c>
      <c r="C1342" s="1" t="s">
        <v>10641</v>
      </c>
      <c r="D1342" s="1" t="s">
        <v>4293</v>
      </c>
      <c r="E1342" s="1" t="s">
        <v>10642</v>
      </c>
      <c r="F1342" s="1" t="s">
        <v>16147</v>
      </c>
      <c r="G1342" s="3">
        <v>44726.0</v>
      </c>
      <c r="H1342" s="3">
        <v>44783.0</v>
      </c>
      <c r="I1342" s="3">
        <v>44783.0</v>
      </c>
      <c r="J1342" s="1" t="s">
        <v>215</v>
      </c>
      <c r="K1342" s="1" t="s">
        <v>160</v>
      </c>
      <c r="L1342" s="1" t="s">
        <v>216</v>
      </c>
      <c r="M1342" s="1" t="s">
        <v>131</v>
      </c>
      <c r="Q1342" s="1" t="s">
        <v>137</v>
      </c>
      <c r="R1342" s="1" t="s">
        <v>137</v>
      </c>
      <c r="S1342" s="1" t="s">
        <v>47</v>
      </c>
      <c r="T1342" s="1" t="s">
        <v>4301</v>
      </c>
      <c r="U1342" s="1" t="s">
        <v>1577</v>
      </c>
      <c r="V1342" s="1" t="s">
        <v>5120</v>
      </c>
      <c r="W1342" s="3">
        <v>44783.0</v>
      </c>
      <c r="X1342" s="3">
        <v>44783.0</v>
      </c>
    </row>
    <row r="1343">
      <c r="A1343" s="1" t="s">
        <v>16148</v>
      </c>
      <c r="B1343" s="1" t="s">
        <v>10649</v>
      </c>
      <c r="C1343" s="1" t="s">
        <v>10649</v>
      </c>
      <c r="D1343" s="1" t="s">
        <v>4293</v>
      </c>
      <c r="E1343" s="1" t="s">
        <v>10654</v>
      </c>
      <c r="F1343" s="1" t="s">
        <v>16149</v>
      </c>
      <c r="G1343" s="3">
        <v>45826.0</v>
      </c>
      <c r="H1343" s="3">
        <v>45903.0</v>
      </c>
      <c r="I1343" s="3">
        <v>45903.0</v>
      </c>
      <c r="J1343" s="1" t="s">
        <v>215</v>
      </c>
      <c r="K1343" s="1" t="s">
        <v>160</v>
      </c>
      <c r="L1343" s="1" t="s">
        <v>216</v>
      </c>
      <c r="M1343" s="1" t="s">
        <v>131</v>
      </c>
      <c r="Q1343" s="1" t="s">
        <v>137</v>
      </c>
      <c r="R1343" s="1" t="s">
        <v>137</v>
      </c>
      <c r="S1343" s="1" t="s">
        <v>47</v>
      </c>
      <c r="T1343" s="1" t="s">
        <v>4301</v>
      </c>
      <c r="U1343" s="1" t="s">
        <v>1577</v>
      </c>
      <c r="V1343" s="1" t="s">
        <v>3865</v>
      </c>
      <c r="W1343" s="3">
        <v>45903.0</v>
      </c>
      <c r="X1343" s="3">
        <v>45903.0</v>
      </c>
    </row>
    <row r="1344">
      <c r="A1344" s="1" t="s">
        <v>16150</v>
      </c>
      <c r="B1344" s="1" t="s">
        <v>10664</v>
      </c>
      <c r="C1344" s="1" t="s">
        <v>10664</v>
      </c>
      <c r="D1344" s="1" t="s">
        <v>4293</v>
      </c>
      <c r="E1344" s="1" t="s">
        <v>10667</v>
      </c>
      <c r="F1344" s="1" t="s">
        <v>16151</v>
      </c>
      <c r="G1344" s="3">
        <v>44243.0</v>
      </c>
      <c r="H1344" s="3">
        <v>44253.0</v>
      </c>
      <c r="I1344" s="3">
        <v>44253.0</v>
      </c>
      <c r="J1344" s="1" t="s">
        <v>215</v>
      </c>
      <c r="K1344" s="1" t="s">
        <v>160</v>
      </c>
      <c r="L1344" s="1" t="s">
        <v>216</v>
      </c>
      <c r="M1344" s="1" t="s">
        <v>131</v>
      </c>
      <c r="Q1344" s="1" t="s">
        <v>137</v>
      </c>
      <c r="R1344" s="1" t="s">
        <v>137</v>
      </c>
      <c r="S1344" s="1" t="s">
        <v>47</v>
      </c>
      <c r="T1344" s="1" t="s">
        <v>4301</v>
      </c>
      <c r="U1344" s="1" t="s">
        <v>1577</v>
      </c>
      <c r="V1344" s="1" t="s">
        <v>4679</v>
      </c>
      <c r="W1344" s="3">
        <v>44253.0</v>
      </c>
      <c r="X1344" s="3">
        <v>44253.0</v>
      </c>
    </row>
    <row r="1345">
      <c r="A1345" s="1" t="s">
        <v>16152</v>
      </c>
      <c r="B1345" s="1" t="s">
        <v>10664</v>
      </c>
      <c r="C1345" s="1" t="s">
        <v>10664</v>
      </c>
      <c r="D1345" s="1" t="s">
        <v>4293</v>
      </c>
      <c r="E1345" s="1" t="s">
        <v>10667</v>
      </c>
      <c r="F1345" s="1" t="s">
        <v>16153</v>
      </c>
      <c r="G1345" s="3">
        <v>44243.0</v>
      </c>
      <c r="H1345" s="3">
        <v>44253.0</v>
      </c>
      <c r="I1345" s="3">
        <v>44253.0</v>
      </c>
      <c r="J1345" s="1" t="s">
        <v>215</v>
      </c>
      <c r="K1345" s="1" t="s">
        <v>160</v>
      </c>
      <c r="L1345" s="1" t="s">
        <v>216</v>
      </c>
      <c r="M1345" s="1" t="s">
        <v>131</v>
      </c>
      <c r="Q1345" s="1" t="s">
        <v>137</v>
      </c>
      <c r="R1345" s="1" t="s">
        <v>137</v>
      </c>
      <c r="S1345" s="1" t="s">
        <v>47</v>
      </c>
      <c r="T1345" s="1" t="s">
        <v>4301</v>
      </c>
      <c r="U1345" s="1" t="s">
        <v>1577</v>
      </c>
      <c r="V1345" s="1" t="s">
        <v>4950</v>
      </c>
      <c r="W1345" s="3">
        <v>44253.0</v>
      </c>
      <c r="X1345" s="3">
        <v>44253.0</v>
      </c>
    </row>
    <row r="1346">
      <c r="A1346" s="1" t="s">
        <v>16154</v>
      </c>
      <c r="B1346" s="1" t="s">
        <v>10664</v>
      </c>
      <c r="C1346" s="1" t="s">
        <v>10664</v>
      </c>
      <c r="D1346" s="1" t="s">
        <v>4293</v>
      </c>
      <c r="E1346" s="1" t="s">
        <v>10667</v>
      </c>
      <c r="F1346" s="1" t="s">
        <v>16155</v>
      </c>
      <c r="G1346" s="3">
        <v>44243.0</v>
      </c>
      <c r="H1346" s="3">
        <v>44253.0</v>
      </c>
      <c r="I1346" s="3">
        <v>44253.0</v>
      </c>
      <c r="J1346" s="1" t="s">
        <v>215</v>
      </c>
      <c r="K1346" s="1" t="s">
        <v>160</v>
      </c>
      <c r="L1346" s="1" t="s">
        <v>216</v>
      </c>
      <c r="M1346" s="1" t="s">
        <v>131</v>
      </c>
      <c r="Q1346" s="1" t="s">
        <v>137</v>
      </c>
      <c r="R1346" s="1" t="s">
        <v>137</v>
      </c>
      <c r="S1346" s="1" t="s">
        <v>47</v>
      </c>
      <c r="T1346" s="1" t="s">
        <v>4301</v>
      </c>
      <c r="U1346" s="1" t="s">
        <v>1577</v>
      </c>
      <c r="V1346" s="1" t="s">
        <v>5104</v>
      </c>
      <c r="W1346" s="3">
        <v>44253.0</v>
      </c>
      <c r="X1346" s="3">
        <v>44253.0</v>
      </c>
    </row>
    <row r="1347">
      <c r="A1347" s="1" t="s">
        <v>16156</v>
      </c>
      <c r="B1347" s="1" t="s">
        <v>10664</v>
      </c>
      <c r="C1347" s="1" t="s">
        <v>10664</v>
      </c>
      <c r="D1347" s="1" t="s">
        <v>4293</v>
      </c>
      <c r="E1347" s="1" t="s">
        <v>10667</v>
      </c>
      <c r="F1347" s="1" t="s">
        <v>16157</v>
      </c>
      <c r="G1347" s="3">
        <v>44243.0</v>
      </c>
      <c r="H1347" s="3">
        <v>44253.0</v>
      </c>
      <c r="I1347" s="3">
        <v>44253.0</v>
      </c>
      <c r="J1347" s="1" t="s">
        <v>215</v>
      </c>
      <c r="K1347" s="1" t="s">
        <v>160</v>
      </c>
      <c r="L1347" s="1" t="s">
        <v>216</v>
      </c>
      <c r="M1347" s="1" t="s">
        <v>131</v>
      </c>
      <c r="Q1347" s="1" t="s">
        <v>137</v>
      </c>
      <c r="R1347" s="1" t="s">
        <v>137</v>
      </c>
      <c r="S1347" s="1" t="s">
        <v>47</v>
      </c>
      <c r="T1347" s="1" t="s">
        <v>4301</v>
      </c>
      <c r="U1347" s="1" t="s">
        <v>1577</v>
      </c>
      <c r="V1347" s="1" t="s">
        <v>5120</v>
      </c>
      <c r="W1347" s="3">
        <v>44253.0</v>
      </c>
      <c r="X1347" s="3">
        <v>44253.0</v>
      </c>
    </row>
    <row r="1348">
      <c r="A1348" s="1" t="s">
        <v>16158</v>
      </c>
      <c r="B1348" s="1" t="s">
        <v>10671</v>
      </c>
      <c r="C1348" s="1" t="s">
        <v>10671</v>
      </c>
      <c r="D1348" s="1" t="s">
        <v>4293</v>
      </c>
      <c r="E1348" s="1" t="s">
        <v>10672</v>
      </c>
      <c r="F1348" s="1" t="s">
        <v>16159</v>
      </c>
      <c r="G1348" s="3">
        <v>44314.0</v>
      </c>
      <c r="H1348" s="3">
        <v>44376.0</v>
      </c>
      <c r="I1348" s="3">
        <v>44376.0</v>
      </c>
      <c r="J1348" s="1" t="s">
        <v>215</v>
      </c>
      <c r="K1348" s="1" t="s">
        <v>160</v>
      </c>
      <c r="L1348" s="1" t="s">
        <v>216</v>
      </c>
      <c r="M1348" s="1" t="s">
        <v>131</v>
      </c>
      <c r="Q1348" s="1" t="s">
        <v>137</v>
      </c>
      <c r="R1348" s="1" t="s">
        <v>137</v>
      </c>
      <c r="S1348" s="1" t="s">
        <v>47</v>
      </c>
      <c r="T1348" s="1" t="s">
        <v>4301</v>
      </c>
      <c r="U1348" s="1" t="s">
        <v>1577</v>
      </c>
      <c r="V1348" s="1" t="s">
        <v>3858</v>
      </c>
      <c r="W1348" s="3">
        <v>44376.0</v>
      </c>
      <c r="X1348" s="3">
        <v>44376.0</v>
      </c>
    </row>
    <row r="1349">
      <c r="A1349" s="1" t="s">
        <v>16160</v>
      </c>
      <c r="B1349" s="1" t="s">
        <v>10677</v>
      </c>
      <c r="C1349" s="1" t="s">
        <v>10677</v>
      </c>
      <c r="D1349" s="1" t="s">
        <v>4293</v>
      </c>
      <c r="E1349" s="1" t="s">
        <v>10681</v>
      </c>
      <c r="F1349" s="1" t="s">
        <v>16161</v>
      </c>
      <c r="G1349" s="3">
        <v>44971.0</v>
      </c>
      <c r="H1349" s="3">
        <v>45112.0</v>
      </c>
      <c r="I1349" s="3">
        <v>45112.0</v>
      </c>
      <c r="J1349" s="1" t="s">
        <v>215</v>
      </c>
      <c r="K1349" s="1" t="s">
        <v>160</v>
      </c>
      <c r="L1349" s="1" t="s">
        <v>216</v>
      </c>
      <c r="M1349" s="1" t="s">
        <v>131</v>
      </c>
      <c r="Q1349" s="1" t="s">
        <v>137</v>
      </c>
      <c r="R1349" s="1" t="s">
        <v>137</v>
      </c>
      <c r="S1349" s="1" t="s">
        <v>47</v>
      </c>
      <c r="T1349" s="1" t="s">
        <v>4301</v>
      </c>
      <c r="U1349" s="1" t="s">
        <v>1577</v>
      </c>
      <c r="V1349" s="1" t="s">
        <v>3858</v>
      </c>
      <c r="W1349" s="3">
        <v>45112.0</v>
      </c>
      <c r="X1349" s="3">
        <v>45112.0</v>
      </c>
    </row>
    <row r="1350">
      <c r="A1350" s="1" t="s">
        <v>16162</v>
      </c>
      <c r="B1350" s="1" t="s">
        <v>10677</v>
      </c>
      <c r="C1350" s="1" t="s">
        <v>10677</v>
      </c>
      <c r="D1350" s="1" t="s">
        <v>4293</v>
      </c>
      <c r="E1350" s="1" t="s">
        <v>10681</v>
      </c>
      <c r="F1350" s="1" t="s">
        <v>16163</v>
      </c>
      <c r="G1350" s="3">
        <v>44971.0</v>
      </c>
      <c r="H1350" s="3">
        <v>45112.0</v>
      </c>
      <c r="I1350" s="3">
        <v>45112.0</v>
      </c>
      <c r="J1350" s="1" t="s">
        <v>215</v>
      </c>
      <c r="K1350" s="1" t="s">
        <v>160</v>
      </c>
      <c r="L1350" s="1" t="s">
        <v>216</v>
      </c>
      <c r="M1350" s="1" t="s">
        <v>131</v>
      </c>
      <c r="Q1350" s="1" t="s">
        <v>137</v>
      </c>
      <c r="R1350" s="1" t="s">
        <v>137</v>
      </c>
      <c r="S1350" s="1" t="s">
        <v>47</v>
      </c>
      <c r="T1350" s="1" t="s">
        <v>4301</v>
      </c>
      <c r="U1350" s="1" t="s">
        <v>1577</v>
      </c>
      <c r="V1350" s="1" t="s">
        <v>4950</v>
      </c>
      <c r="W1350" s="3">
        <v>45112.0</v>
      </c>
      <c r="X1350" s="3">
        <v>45112.0</v>
      </c>
    </row>
    <row r="1351">
      <c r="A1351" s="1" t="s">
        <v>16164</v>
      </c>
      <c r="B1351" s="1" t="s">
        <v>6730</v>
      </c>
      <c r="C1351" s="1" t="s">
        <v>6730</v>
      </c>
      <c r="D1351" s="1" t="s">
        <v>4293</v>
      </c>
      <c r="E1351" s="1" t="s">
        <v>10685</v>
      </c>
      <c r="F1351" s="1" t="s">
        <v>16165</v>
      </c>
      <c r="G1351" s="3">
        <v>43906.0</v>
      </c>
      <c r="H1351" s="3">
        <v>43994.0</v>
      </c>
      <c r="I1351" s="3">
        <v>43994.0</v>
      </c>
      <c r="J1351" s="1" t="s">
        <v>215</v>
      </c>
      <c r="K1351" s="1" t="s">
        <v>160</v>
      </c>
      <c r="L1351" s="1" t="s">
        <v>216</v>
      </c>
      <c r="M1351" s="1" t="s">
        <v>131</v>
      </c>
      <c r="Q1351" s="1" t="s">
        <v>137</v>
      </c>
      <c r="R1351" s="1" t="s">
        <v>137</v>
      </c>
      <c r="S1351" s="1" t="s">
        <v>47</v>
      </c>
      <c r="T1351" s="1" t="s">
        <v>4301</v>
      </c>
      <c r="U1351" s="1" t="s">
        <v>1577</v>
      </c>
      <c r="V1351" s="1" t="s">
        <v>3858</v>
      </c>
      <c r="W1351" s="3">
        <v>43994.0</v>
      </c>
      <c r="X1351" s="3">
        <v>43994.0</v>
      </c>
    </row>
    <row r="1352">
      <c r="A1352" s="1" t="s">
        <v>16166</v>
      </c>
      <c r="B1352" s="1" t="s">
        <v>10317</v>
      </c>
      <c r="C1352" s="1" t="s">
        <v>10317</v>
      </c>
      <c r="D1352" s="1" t="s">
        <v>4293</v>
      </c>
      <c r="E1352" s="1" t="s">
        <v>10689</v>
      </c>
      <c r="F1352" s="1" t="s">
        <v>16167</v>
      </c>
      <c r="G1352" s="3">
        <v>45286.0</v>
      </c>
      <c r="H1352" s="3">
        <v>45289.0</v>
      </c>
      <c r="I1352" s="3">
        <v>45289.0</v>
      </c>
      <c r="J1352" s="1" t="s">
        <v>215</v>
      </c>
      <c r="K1352" s="1" t="s">
        <v>160</v>
      </c>
      <c r="L1352" s="1" t="s">
        <v>216</v>
      </c>
      <c r="M1352" s="1" t="s">
        <v>131</v>
      </c>
      <c r="Q1352" s="1" t="s">
        <v>137</v>
      </c>
      <c r="R1352" s="1" t="s">
        <v>137</v>
      </c>
      <c r="S1352" s="1" t="s">
        <v>47</v>
      </c>
      <c r="T1352" s="1" t="s">
        <v>4301</v>
      </c>
      <c r="U1352" s="1" t="s">
        <v>1577</v>
      </c>
      <c r="V1352" s="1" t="s">
        <v>3858</v>
      </c>
      <c r="W1352" s="3">
        <v>45289.0</v>
      </c>
      <c r="X1352" s="3">
        <v>45289.0</v>
      </c>
    </row>
    <row r="1353">
      <c r="A1353" s="1" t="s">
        <v>16168</v>
      </c>
      <c r="B1353" s="1" t="s">
        <v>10696</v>
      </c>
      <c r="C1353" s="1" t="s">
        <v>10696</v>
      </c>
      <c r="D1353" s="1" t="s">
        <v>4293</v>
      </c>
      <c r="E1353" s="1" t="s">
        <v>3742</v>
      </c>
      <c r="F1353" s="1" t="s">
        <v>16169</v>
      </c>
      <c r="G1353" s="3">
        <v>43956.0</v>
      </c>
      <c r="H1353" s="3">
        <v>44012.0</v>
      </c>
      <c r="I1353" s="3">
        <v>44012.0</v>
      </c>
      <c r="J1353" s="1" t="s">
        <v>215</v>
      </c>
      <c r="K1353" s="1" t="s">
        <v>160</v>
      </c>
      <c r="L1353" s="1" t="s">
        <v>216</v>
      </c>
      <c r="M1353" s="1" t="s">
        <v>131</v>
      </c>
      <c r="Q1353" s="1" t="s">
        <v>137</v>
      </c>
      <c r="R1353" s="1" t="s">
        <v>137</v>
      </c>
      <c r="S1353" s="1" t="s">
        <v>47</v>
      </c>
      <c r="T1353" s="1" t="s">
        <v>4301</v>
      </c>
      <c r="U1353" s="1" t="s">
        <v>1577</v>
      </c>
      <c r="V1353" s="1" t="s">
        <v>3858</v>
      </c>
      <c r="W1353" s="3">
        <v>44012.0</v>
      </c>
      <c r="X1353" s="3">
        <v>44012.0</v>
      </c>
    </row>
    <row r="1354">
      <c r="A1354" s="1" t="s">
        <v>16170</v>
      </c>
      <c r="B1354" s="1" t="s">
        <v>10703</v>
      </c>
      <c r="C1354" s="1" t="s">
        <v>10703</v>
      </c>
      <c r="D1354" s="1" t="s">
        <v>4293</v>
      </c>
      <c r="E1354" s="1" t="s">
        <v>10706</v>
      </c>
      <c r="F1354" s="1" t="s">
        <v>16171</v>
      </c>
      <c r="G1354" s="3">
        <v>44895.0</v>
      </c>
      <c r="H1354" s="3">
        <v>45033.0</v>
      </c>
      <c r="I1354" s="3">
        <v>45033.0</v>
      </c>
      <c r="J1354" s="1" t="s">
        <v>215</v>
      </c>
      <c r="K1354" s="1" t="s">
        <v>160</v>
      </c>
      <c r="L1354" s="1" t="s">
        <v>216</v>
      </c>
      <c r="M1354" s="1" t="s">
        <v>131</v>
      </c>
      <c r="Q1354" s="1" t="s">
        <v>137</v>
      </c>
      <c r="R1354" s="1" t="s">
        <v>137</v>
      </c>
      <c r="S1354" s="1" t="s">
        <v>47</v>
      </c>
      <c r="T1354" s="1" t="s">
        <v>4301</v>
      </c>
      <c r="U1354" s="1" t="s">
        <v>1577</v>
      </c>
      <c r="V1354" s="1" t="s">
        <v>3858</v>
      </c>
      <c r="W1354" s="3">
        <v>45033.0</v>
      </c>
      <c r="X1354" s="3">
        <v>45033.0</v>
      </c>
    </row>
    <row r="1355">
      <c r="A1355" s="1" t="s">
        <v>16172</v>
      </c>
      <c r="B1355" s="1" t="s">
        <v>10713</v>
      </c>
      <c r="C1355" s="1" t="s">
        <v>10713</v>
      </c>
      <c r="D1355" s="1" t="s">
        <v>4293</v>
      </c>
      <c r="E1355" s="1" t="s">
        <v>10716</v>
      </c>
      <c r="F1355" s="1" t="s">
        <v>16173</v>
      </c>
      <c r="G1355" s="3">
        <v>44314.0</v>
      </c>
      <c r="H1355" s="3">
        <v>44241.0</v>
      </c>
      <c r="I1355" s="3">
        <v>44241.0</v>
      </c>
      <c r="J1355" s="1" t="s">
        <v>215</v>
      </c>
      <c r="K1355" s="1" t="s">
        <v>160</v>
      </c>
      <c r="L1355" s="1" t="s">
        <v>216</v>
      </c>
      <c r="M1355" s="1" t="s">
        <v>131</v>
      </c>
      <c r="Q1355" s="1" t="s">
        <v>137</v>
      </c>
      <c r="R1355" s="1" t="s">
        <v>137</v>
      </c>
      <c r="S1355" s="1" t="s">
        <v>47</v>
      </c>
      <c r="T1355" s="1" t="s">
        <v>4301</v>
      </c>
      <c r="U1355" s="1" t="s">
        <v>1577</v>
      </c>
      <c r="V1355" s="1" t="s">
        <v>3858</v>
      </c>
      <c r="W1355" s="3">
        <v>44241.0</v>
      </c>
      <c r="X1355" s="3">
        <v>44241.0</v>
      </c>
    </row>
    <row r="1356">
      <c r="A1356" s="1" t="s">
        <v>16174</v>
      </c>
      <c r="B1356" s="1" t="s">
        <v>10705</v>
      </c>
      <c r="C1356" s="1" t="s">
        <v>10705</v>
      </c>
      <c r="D1356" s="1" t="s">
        <v>4293</v>
      </c>
      <c r="E1356" s="1" t="s">
        <v>16175</v>
      </c>
      <c r="F1356" s="1" t="s">
        <v>16176</v>
      </c>
      <c r="G1356" s="3">
        <v>45281.0</v>
      </c>
      <c r="J1356" s="1" t="s">
        <v>124</v>
      </c>
      <c r="K1356" s="1" t="s">
        <v>160</v>
      </c>
      <c r="L1356" s="1" t="s">
        <v>253</v>
      </c>
      <c r="M1356" s="1" t="s">
        <v>131</v>
      </c>
      <c r="Q1356" s="1" t="s">
        <v>137</v>
      </c>
      <c r="R1356" s="1" t="s">
        <v>137</v>
      </c>
      <c r="S1356" s="1" t="s">
        <v>47</v>
      </c>
      <c r="T1356" s="1" t="s">
        <v>4301</v>
      </c>
      <c r="U1356" s="1" t="s">
        <v>1577</v>
      </c>
      <c r="V1356" s="1" t="s">
        <v>3858</v>
      </c>
      <c r="W1356" s="3"/>
    </row>
    <row r="1357">
      <c r="A1357" s="1" t="s">
        <v>16177</v>
      </c>
      <c r="B1357" s="1" t="s">
        <v>10705</v>
      </c>
      <c r="C1357" s="1" t="s">
        <v>10705</v>
      </c>
      <c r="D1357" s="1" t="s">
        <v>4293</v>
      </c>
      <c r="E1357" s="1" t="s">
        <v>16175</v>
      </c>
      <c r="F1357" s="1" t="s">
        <v>16178</v>
      </c>
      <c r="G1357" s="3">
        <v>45281.0</v>
      </c>
      <c r="H1357" s="3"/>
      <c r="I1357" s="3"/>
      <c r="J1357" s="1" t="s">
        <v>124</v>
      </c>
      <c r="K1357" s="1" t="s">
        <v>160</v>
      </c>
      <c r="L1357" s="1" t="s">
        <v>253</v>
      </c>
      <c r="M1357" s="1" t="s">
        <v>131</v>
      </c>
      <c r="Q1357" s="1" t="s">
        <v>137</v>
      </c>
      <c r="R1357" s="1" t="s">
        <v>137</v>
      </c>
      <c r="S1357" s="1" t="s">
        <v>47</v>
      </c>
      <c r="T1357" s="1" t="s">
        <v>4301</v>
      </c>
      <c r="U1357" s="1" t="s">
        <v>1577</v>
      </c>
      <c r="V1357" s="1" t="s">
        <v>4950</v>
      </c>
      <c r="W1357" s="3"/>
      <c r="X1357" s="3"/>
    </row>
    <row r="1358">
      <c r="A1358" s="1" t="s">
        <v>16179</v>
      </c>
      <c r="B1358" s="1" t="s">
        <v>9753</v>
      </c>
      <c r="C1358" s="1" t="s">
        <v>9753</v>
      </c>
      <c r="D1358" s="1" t="s">
        <v>4293</v>
      </c>
      <c r="E1358" s="1" t="s">
        <v>16180</v>
      </c>
      <c r="F1358" s="1" t="s">
        <v>16181</v>
      </c>
      <c r="G1358" s="3">
        <v>45891.0</v>
      </c>
      <c r="H1358" s="3"/>
      <c r="I1358" s="3"/>
      <c r="J1358" s="1" t="s">
        <v>124</v>
      </c>
      <c r="K1358" s="1" t="s">
        <v>160</v>
      </c>
      <c r="L1358" s="1" t="s">
        <v>253</v>
      </c>
      <c r="M1358" s="1" t="s">
        <v>131</v>
      </c>
      <c r="Q1358" s="1" t="s">
        <v>137</v>
      </c>
      <c r="R1358" s="1" t="s">
        <v>137</v>
      </c>
      <c r="S1358" s="1" t="s">
        <v>47</v>
      </c>
      <c r="T1358" s="1" t="s">
        <v>4301</v>
      </c>
      <c r="U1358" s="1" t="s">
        <v>1577</v>
      </c>
      <c r="V1358" s="1" t="s">
        <v>4679</v>
      </c>
      <c r="W1358" s="3"/>
      <c r="X1358" s="3"/>
    </row>
    <row r="1359">
      <c r="A1359" s="1" t="s">
        <v>16182</v>
      </c>
      <c r="B1359" s="1" t="s">
        <v>9753</v>
      </c>
      <c r="C1359" s="1" t="s">
        <v>9753</v>
      </c>
      <c r="D1359" s="1" t="s">
        <v>4293</v>
      </c>
      <c r="E1359" s="1" t="s">
        <v>16180</v>
      </c>
      <c r="F1359" s="1" t="s">
        <v>16183</v>
      </c>
      <c r="G1359" s="3">
        <v>45891.0</v>
      </c>
      <c r="H1359" s="3"/>
      <c r="I1359" s="3"/>
      <c r="J1359" s="1" t="s">
        <v>124</v>
      </c>
      <c r="K1359" s="1" t="s">
        <v>160</v>
      </c>
      <c r="L1359" s="1" t="s">
        <v>253</v>
      </c>
      <c r="M1359" s="1" t="s">
        <v>131</v>
      </c>
      <c r="Q1359" s="1" t="s">
        <v>137</v>
      </c>
      <c r="R1359" s="1" t="s">
        <v>137</v>
      </c>
      <c r="S1359" s="1" t="s">
        <v>47</v>
      </c>
      <c r="T1359" s="1" t="s">
        <v>4301</v>
      </c>
      <c r="U1359" s="1" t="s">
        <v>1577</v>
      </c>
      <c r="V1359" s="1" t="s">
        <v>4950</v>
      </c>
      <c r="W1359" s="3"/>
      <c r="X1359" s="3"/>
    </row>
    <row r="1360">
      <c r="A1360" s="1" t="s">
        <v>16184</v>
      </c>
      <c r="B1360" s="1" t="s">
        <v>9753</v>
      </c>
      <c r="C1360" s="1" t="s">
        <v>9753</v>
      </c>
      <c r="D1360" s="1" t="s">
        <v>4293</v>
      </c>
      <c r="E1360" s="1" t="s">
        <v>16180</v>
      </c>
      <c r="F1360" s="1" t="s">
        <v>16185</v>
      </c>
      <c r="G1360" s="3">
        <v>45891.0</v>
      </c>
      <c r="H1360" s="3"/>
      <c r="I1360" s="3"/>
      <c r="J1360" s="1" t="s">
        <v>124</v>
      </c>
      <c r="K1360" s="1" t="s">
        <v>160</v>
      </c>
      <c r="L1360" s="1" t="s">
        <v>253</v>
      </c>
      <c r="M1360" s="1" t="s">
        <v>131</v>
      </c>
      <c r="Q1360" s="1" t="s">
        <v>137</v>
      </c>
      <c r="R1360" s="1" t="s">
        <v>137</v>
      </c>
      <c r="S1360" s="1" t="s">
        <v>47</v>
      </c>
      <c r="T1360" s="1" t="s">
        <v>4301</v>
      </c>
      <c r="U1360" s="1" t="s">
        <v>1577</v>
      </c>
      <c r="V1360" s="1" t="s">
        <v>5104</v>
      </c>
      <c r="W1360" s="3"/>
      <c r="X1360" s="3"/>
    </row>
    <row r="1361">
      <c r="A1361" s="1" t="s">
        <v>16186</v>
      </c>
      <c r="B1361" s="1" t="s">
        <v>9753</v>
      </c>
      <c r="C1361" s="1" t="s">
        <v>9753</v>
      </c>
      <c r="D1361" s="1" t="s">
        <v>4293</v>
      </c>
      <c r="E1361" s="1" t="s">
        <v>16180</v>
      </c>
      <c r="F1361" s="1" t="s">
        <v>16187</v>
      </c>
      <c r="G1361" s="3">
        <v>45891.0</v>
      </c>
      <c r="H1361" s="13"/>
      <c r="I1361" s="13"/>
      <c r="J1361" s="1" t="s">
        <v>124</v>
      </c>
      <c r="K1361" s="1" t="s">
        <v>160</v>
      </c>
      <c r="L1361" s="1" t="s">
        <v>253</v>
      </c>
      <c r="M1361" s="1" t="s">
        <v>131</v>
      </c>
      <c r="Q1361" s="1" t="s">
        <v>137</v>
      </c>
      <c r="R1361" s="1" t="s">
        <v>137</v>
      </c>
      <c r="S1361" s="1" t="s">
        <v>47</v>
      </c>
      <c r="T1361" s="1" t="s">
        <v>4301</v>
      </c>
      <c r="U1361" s="1" t="s">
        <v>1577</v>
      </c>
      <c r="V1361" s="1" t="s">
        <v>5120</v>
      </c>
      <c r="W1361" s="3"/>
      <c r="X1361" s="13"/>
    </row>
    <row r="1362">
      <c r="A1362" s="1" t="s">
        <v>16188</v>
      </c>
      <c r="B1362" s="1" t="s">
        <v>10724</v>
      </c>
      <c r="C1362" s="1" t="s">
        <v>10724</v>
      </c>
      <c r="D1362" s="1" t="s">
        <v>4293</v>
      </c>
      <c r="E1362" s="1" t="s">
        <v>10726</v>
      </c>
      <c r="F1362" s="1" t="s">
        <v>16189</v>
      </c>
      <c r="G1362" s="3">
        <v>44922.0</v>
      </c>
      <c r="H1362" s="3">
        <v>44922.0</v>
      </c>
      <c r="I1362" s="3">
        <v>44922.0</v>
      </c>
      <c r="J1362" s="1" t="s">
        <v>215</v>
      </c>
      <c r="K1362" s="1" t="s">
        <v>160</v>
      </c>
      <c r="L1362" s="1" t="s">
        <v>216</v>
      </c>
      <c r="M1362" s="1" t="s">
        <v>131</v>
      </c>
      <c r="Q1362" s="1" t="s">
        <v>137</v>
      </c>
      <c r="R1362" s="1" t="s">
        <v>137</v>
      </c>
      <c r="S1362" s="1" t="s">
        <v>47</v>
      </c>
      <c r="T1362" s="1" t="s">
        <v>4301</v>
      </c>
      <c r="U1362" s="1" t="s">
        <v>1577</v>
      </c>
      <c r="V1362" s="1" t="s">
        <v>7334</v>
      </c>
      <c r="W1362" s="3">
        <v>44922.0</v>
      </c>
      <c r="X1362" s="3">
        <v>44922.0</v>
      </c>
    </row>
    <row r="1363">
      <c r="A1363" s="1" t="s">
        <v>16190</v>
      </c>
      <c r="B1363" s="1" t="s">
        <v>10734</v>
      </c>
      <c r="C1363" s="1" t="s">
        <v>10734</v>
      </c>
      <c r="D1363" s="1" t="s">
        <v>4293</v>
      </c>
      <c r="E1363" s="1" t="s">
        <v>10736</v>
      </c>
      <c r="F1363" s="1" t="s">
        <v>16191</v>
      </c>
      <c r="G1363" s="3">
        <v>45492.0</v>
      </c>
      <c r="H1363" s="3">
        <v>45727.0</v>
      </c>
      <c r="I1363" s="3">
        <v>45727.0</v>
      </c>
      <c r="J1363" s="1" t="s">
        <v>215</v>
      </c>
      <c r="K1363" s="1" t="s">
        <v>160</v>
      </c>
      <c r="L1363" s="1" t="s">
        <v>216</v>
      </c>
      <c r="M1363" s="1" t="s">
        <v>131</v>
      </c>
      <c r="Q1363" s="1" t="s">
        <v>137</v>
      </c>
      <c r="R1363" s="1" t="s">
        <v>137</v>
      </c>
      <c r="S1363" s="1" t="s">
        <v>47</v>
      </c>
      <c r="T1363" s="1" t="s">
        <v>4301</v>
      </c>
      <c r="U1363" s="1" t="s">
        <v>1577</v>
      </c>
      <c r="V1363" s="1" t="s">
        <v>3858</v>
      </c>
      <c r="W1363" s="3">
        <v>45727.0</v>
      </c>
      <c r="X1363" s="3">
        <v>45727.0</v>
      </c>
    </row>
    <row r="1364">
      <c r="A1364" s="1" t="s">
        <v>16192</v>
      </c>
      <c r="B1364" s="1" t="s">
        <v>10734</v>
      </c>
      <c r="C1364" s="1" t="s">
        <v>10734</v>
      </c>
      <c r="D1364" s="1" t="s">
        <v>4293</v>
      </c>
      <c r="E1364" s="1" t="s">
        <v>10736</v>
      </c>
      <c r="F1364" s="1" t="s">
        <v>16193</v>
      </c>
      <c r="G1364" s="3">
        <v>45492.0</v>
      </c>
      <c r="H1364" s="3">
        <v>45727.0</v>
      </c>
      <c r="I1364" s="3">
        <v>45727.0</v>
      </c>
      <c r="J1364" s="1" t="s">
        <v>215</v>
      </c>
      <c r="K1364" s="1" t="s">
        <v>160</v>
      </c>
      <c r="L1364" s="1" t="s">
        <v>216</v>
      </c>
      <c r="M1364" s="1" t="s">
        <v>131</v>
      </c>
      <c r="Q1364" s="1" t="s">
        <v>137</v>
      </c>
      <c r="R1364" s="1" t="s">
        <v>137</v>
      </c>
      <c r="S1364" s="1" t="s">
        <v>47</v>
      </c>
      <c r="T1364" s="1" t="s">
        <v>4301</v>
      </c>
      <c r="U1364" s="1" t="s">
        <v>1577</v>
      </c>
      <c r="V1364" s="1" t="s">
        <v>4950</v>
      </c>
      <c r="W1364" s="3">
        <v>45727.0</v>
      </c>
      <c r="X1364" s="3">
        <v>45727.0</v>
      </c>
    </row>
    <row r="1365">
      <c r="A1365" s="1" t="s">
        <v>16194</v>
      </c>
      <c r="B1365" s="1" t="s">
        <v>6548</v>
      </c>
      <c r="C1365" s="1" t="s">
        <v>6548</v>
      </c>
      <c r="D1365" s="1" t="s">
        <v>4293</v>
      </c>
      <c r="E1365" s="1" t="s">
        <v>16195</v>
      </c>
      <c r="F1365" s="1" t="s">
        <v>16196</v>
      </c>
      <c r="G1365" s="3">
        <v>45742.0</v>
      </c>
      <c r="H1365" s="3"/>
      <c r="I1365" s="3"/>
      <c r="J1365" s="1" t="s">
        <v>124</v>
      </c>
      <c r="K1365" s="1" t="s">
        <v>160</v>
      </c>
      <c r="L1365" s="1" t="s">
        <v>253</v>
      </c>
      <c r="M1365" s="1" t="s">
        <v>131</v>
      </c>
      <c r="Q1365" s="1" t="s">
        <v>137</v>
      </c>
      <c r="R1365" s="1" t="s">
        <v>137</v>
      </c>
      <c r="S1365" s="1" t="s">
        <v>47</v>
      </c>
      <c r="T1365" s="1" t="s">
        <v>4301</v>
      </c>
      <c r="U1365" s="1" t="s">
        <v>1577</v>
      </c>
      <c r="V1365" s="1" t="s">
        <v>3858</v>
      </c>
      <c r="W1365" s="3"/>
      <c r="X1365" s="3"/>
    </row>
    <row r="1366">
      <c r="A1366" s="1" t="s">
        <v>16197</v>
      </c>
      <c r="B1366" s="1" t="s">
        <v>10741</v>
      </c>
      <c r="C1366" s="1" t="s">
        <v>10741</v>
      </c>
      <c r="D1366" s="1" t="s">
        <v>4293</v>
      </c>
      <c r="E1366" s="1" t="s">
        <v>10744</v>
      </c>
      <c r="F1366" s="1" t="s">
        <v>16198</v>
      </c>
      <c r="G1366" s="3">
        <v>44286.0</v>
      </c>
      <c r="H1366" s="3">
        <v>44356.0</v>
      </c>
      <c r="I1366" s="3">
        <v>44356.0</v>
      </c>
      <c r="J1366" s="1" t="s">
        <v>215</v>
      </c>
      <c r="K1366" s="1" t="s">
        <v>160</v>
      </c>
      <c r="L1366" s="1" t="s">
        <v>216</v>
      </c>
      <c r="M1366" s="1" t="s">
        <v>131</v>
      </c>
      <c r="Q1366" s="1" t="s">
        <v>137</v>
      </c>
      <c r="R1366" s="1" t="s">
        <v>137</v>
      </c>
      <c r="S1366" s="1" t="s">
        <v>47</v>
      </c>
      <c r="T1366" s="1" t="s">
        <v>4301</v>
      </c>
      <c r="U1366" s="1" t="s">
        <v>1577</v>
      </c>
      <c r="V1366" s="1" t="s">
        <v>3858</v>
      </c>
      <c r="W1366" s="3">
        <v>44356.0</v>
      </c>
      <c r="X1366" s="3">
        <v>44356.0</v>
      </c>
    </row>
    <row r="1367">
      <c r="A1367" s="1" t="s">
        <v>16199</v>
      </c>
      <c r="B1367" s="1" t="s">
        <v>10741</v>
      </c>
      <c r="C1367" s="1" t="s">
        <v>10741</v>
      </c>
      <c r="D1367" s="1" t="s">
        <v>4293</v>
      </c>
      <c r="E1367" s="1" t="s">
        <v>10744</v>
      </c>
      <c r="F1367" s="1" t="s">
        <v>16200</v>
      </c>
      <c r="G1367" s="3">
        <v>44286.0</v>
      </c>
      <c r="H1367" s="3">
        <v>44356.0</v>
      </c>
      <c r="I1367" s="3">
        <v>44356.0</v>
      </c>
      <c r="J1367" s="1" t="s">
        <v>215</v>
      </c>
      <c r="K1367" s="1" t="s">
        <v>160</v>
      </c>
      <c r="L1367" s="1" t="s">
        <v>216</v>
      </c>
      <c r="M1367" s="1" t="s">
        <v>131</v>
      </c>
      <c r="Q1367" s="1" t="s">
        <v>137</v>
      </c>
      <c r="R1367" s="1" t="s">
        <v>137</v>
      </c>
      <c r="S1367" s="1" t="s">
        <v>47</v>
      </c>
      <c r="T1367" s="1" t="s">
        <v>4301</v>
      </c>
      <c r="U1367" s="1" t="s">
        <v>1577</v>
      </c>
      <c r="V1367" s="1" t="s">
        <v>3865</v>
      </c>
      <c r="W1367" s="3">
        <v>44356.0</v>
      </c>
      <c r="X1367" s="3">
        <v>44356.0</v>
      </c>
    </row>
    <row r="1368">
      <c r="A1368" s="1" t="s">
        <v>16201</v>
      </c>
      <c r="B1368" s="1" t="s">
        <v>6367</v>
      </c>
      <c r="C1368" s="1" t="s">
        <v>6367</v>
      </c>
      <c r="D1368" s="1" t="s">
        <v>4293</v>
      </c>
      <c r="E1368" s="1" t="s">
        <v>10751</v>
      </c>
      <c r="F1368" s="1" t="s">
        <v>16202</v>
      </c>
      <c r="G1368" s="3">
        <v>44559.0</v>
      </c>
      <c r="H1368" s="3">
        <v>44517.0</v>
      </c>
      <c r="I1368" s="3">
        <v>44517.0</v>
      </c>
      <c r="J1368" s="1" t="s">
        <v>215</v>
      </c>
      <c r="K1368" s="1" t="s">
        <v>160</v>
      </c>
      <c r="L1368" s="1" t="s">
        <v>216</v>
      </c>
      <c r="M1368" s="1" t="s">
        <v>131</v>
      </c>
      <c r="Q1368" s="1" t="s">
        <v>137</v>
      </c>
      <c r="R1368" s="1" t="s">
        <v>137</v>
      </c>
      <c r="S1368" s="1" t="s">
        <v>47</v>
      </c>
      <c r="T1368" s="1" t="s">
        <v>4301</v>
      </c>
      <c r="U1368" s="1" t="s">
        <v>1577</v>
      </c>
      <c r="V1368" s="1" t="s">
        <v>3858</v>
      </c>
      <c r="W1368" s="3">
        <v>44517.0</v>
      </c>
      <c r="X1368" s="3">
        <v>44517.0</v>
      </c>
    </row>
    <row r="1369">
      <c r="A1369" s="1" t="s">
        <v>16203</v>
      </c>
      <c r="B1369" s="1" t="s">
        <v>10759</v>
      </c>
      <c r="C1369" s="1" t="s">
        <v>10759</v>
      </c>
      <c r="D1369" s="1" t="s">
        <v>4293</v>
      </c>
      <c r="E1369" s="1" t="s">
        <v>10762</v>
      </c>
      <c r="F1369" s="1" t="s">
        <v>16204</v>
      </c>
      <c r="G1369" s="3">
        <v>44588.0</v>
      </c>
      <c r="H1369" s="3">
        <v>44727.0</v>
      </c>
      <c r="I1369" s="3">
        <v>44727.0</v>
      </c>
      <c r="J1369" s="1" t="s">
        <v>215</v>
      </c>
      <c r="K1369" s="1" t="s">
        <v>160</v>
      </c>
      <c r="L1369" s="1" t="s">
        <v>216</v>
      </c>
      <c r="M1369" s="1" t="s">
        <v>131</v>
      </c>
      <c r="Q1369" s="1" t="s">
        <v>137</v>
      </c>
      <c r="R1369" s="1" t="s">
        <v>137</v>
      </c>
      <c r="S1369" s="1" t="s">
        <v>47</v>
      </c>
      <c r="T1369" s="1" t="s">
        <v>4301</v>
      </c>
      <c r="U1369" s="1" t="s">
        <v>1577</v>
      </c>
      <c r="V1369" s="1" t="s">
        <v>3858</v>
      </c>
      <c r="W1369" s="3">
        <v>44727.0</v>
      </c>
      <c r="X1369" s="3">
        <v>44727.0</v>
      </c>
    </row>
    <row r="1370">
      <c r="A1370" s="1" t="s">
        <v>16205</v>
      </c>
      <c r="B1370" s="1" t="s">
        <v>8578</v>
      </c>
      <c r="C1370" s="1" t="s">
        <v>8578</v>
      </c>
      <c r="D1370" s="1" t="s">
        <v>4293</v>
      </c>
      <c r="E1370" s="1" t="s">
        <v>10772</v>
      </c>
      <c r="F1370" s="1" t="s">
        <v>16206</v>
      </c>
      <c r="G1370" s="3">
        <v>44020.0</v>
      </c>
      <c r="H1370" s="3">
        <v>44215.0</v>
      </c>
      <c r="I1370" s="3">
        <v>44215.0</v>
      </c>
      <c r="J1370" s="1" t="s">
        <v>215</v>
      </c>
      <c r="K1370" s="1" t="s">
        <v>160</v>
      </c>
      <c r="L1370" s="1" t="s">
        <v>216</v>
      </c>
      <c r="M1370" s="1" t="s">
        <v>131</v>
      </c>
      <c r="Q1370" s="1" t="s">
        <v>137</v>
      </c>
      <c r="R1370" s="1" t="s">
        <v>137</v>
      </c>
      <c r="S1370" s="1" t="s">
        <v>47</v>
      </c>
      <c r="T1370" s="1" t="s">
        <v>4301</v>
      </c>
      <c r="U1370" s="1" t="s">
        <v>1577</v>
      </c>
      <c r="V1370" s="1" t="s">
        <v>3858</v>
      </c>
      <c r="W1370" s="3">
        <v>44215.0</v>
      </c>
      <c r="X1370" s="3">
        <v>44215.0</v>
      </c>
    </row>
    <row r="1371">
      <c r="A1371" s="1" t="s">
        <v>16207</v>
      </c>
      <c r="B1371" s="1" t="s">
        <v>8578</v>
      </c>
      <c r="C1371" s="1" t="s">
        <v>8578</v>
      </c>
      <c r="D1371" s="1" t="s">
        <v>4293</v>
      </c>
      <c r="E1371" s="1" t="s">
        <v>10772</v>
      </c>
      <c r="F1371" s="1" t="s">
        <v>16208</v>
      </c>
      <c r="G1371" s="3">
        <v>44020.0</v>
      </c>
      <c r="H1371" s="3">
        <v>44215.0</v>
      </c>
      <c r="I1371" s="3">
        <v>44215.0</v>
      </c>
      <c r="J1371" s="1" t="s">
        <v>215</v>
      </c>
      <c r="K1371" s="1" t="s">
        <v>160</v>
      </c>
      <c r="L1371" s="1" t="s">
        <v>216</v>
      </c>
      <c r="M1371" s="1" t="s">
        <v>131</v>
      </c>
      <c r="Q1371" s="1" t="s">
        <v>137</v>
      </c>
      <c r="R1371" s="1" t="s">
        <v>137</v>
      </c>
      <c r="S1371" s="1" t="s">
        <v>47</v>
      </c>
      <c r="T1371" s="1" t="s">
        <v>4301</v>
      </c>
      <c r="U1371" s="1" t="s">
        <v>1577</v>
      </c>
      <c r="V1371" s="1" t="s">
        <v>4950</v>
      </c>
      <c r="W1371" s="3">
        <v>44215.0</v>
      </c>
      <c r="X1371" s="3">
        <v>44215.0</v>
      </c>
    </row>
    <row r="1372">
      <c r="A1372" s="1" t="s">
        <v>16209</v>
      </c>
      <c r="B1372" s="1" t="s">
        <v>8408</v>
      </c>
      <c r="C1372" s="1" t="s">
        <v>8408</v>
      </c>
      <c r="D1372" s="1" t="s">
        <v>4293</v>
      </c>
      <c r="E1372" s="1" t="s">
        <v>10779</v>
      </c>
      <c r="F1372" s="1" t="s">
        <v>16210</v>
      </c>
      <c r="G1372" s="3">
        <v>44049.0</v>
      </c>
      <c r="H1372" s="3">
        <v>44172.0</v>
      </c>
      <c r="I1372" s="3">
        <v>44172.0</v>
      </c>
      <c r="J1372" s="1" t="s">
        <v>215</v>
      </c>
      <c r="K1372" s="1" t="s">
        <v>160</v>
      </c>
      <c r="L1372" s="1" t="s">
        <v>216</v>
      </c>
      <c r="M1372" s="1" t="s">
        <v>131</v>
      </c>
      <c r="Q1372" s="1" t="s">
        <v>137</v>
      </c>
      <c r="R1372" s="1" t="s">
        <v>137</v>
      </c>
      <c r="S1372" s="1" t="s">
        <v>47</v>
      </c>
      <c r="T1372" s="1" t="s">
        <v>4301</v>
      </c>
      <c r="U1372" s="1" t="s">
        <v>1577</v>
      </c>
      <c r="V1372" s="1" t="s">
        <v>3858</v>
      </c>
      <c r="W1372" s="3">
        <v>44172.0</v>
      </c>
      <c r="X1372" s="3">
        <v>44172.0</v>
      </c>
    </row>
    <row r="1373">
      <c r="A1373" s="1" t="s">
        <v>16211</v>
      </c>
      <c r="B1373" s="1" t="s">
        <v>10786</v>
      </c>
      <c r="C1373" s="1" t="s">
        <v>10786</v>
      </c>
      <c r="D1373" s="1" t="s">
        <v>4293</v>
      </c>
      <c r="E1373" s="1" t="s">
        <v>10788</v>
      </c>
      <c r="F1373" s="1" t="s">
        <v>16212</v>
      </c>
      <c r="G1373" s="3">
        <v>44317.0</v>
      </c>
      <c r="H1373" s="3">
        <v>44317.0</v>
      </c>
      <c r="I1373" s="3">
        <v>44317.0</v>
      </c>
      <c r="J1373" s="1" t="s">
        <v>215</v>
      </c>
      <c r="K1373" s="1" t="s">
        <v>160</v>
      </c>
      <c r="L1373" s="1" t="s">
        <v>216</v>
      </c>
      <c r="M1373" s="1" t="s">
        <v>131</v>
      </c>
      <c r="Q1373" s="1" t="s">
        <v>137</v>
      </c>
      <c r="R1373" s="1" t="s">
        <v>137</v>
      </c>
      <c r="S1373" s="1" t="s">
        <v>47</v>
      </c>
      <c r="T1373" s="1" t="s">
        <v>4301</v>
      </c>
      <c r="U1373" s="1" t="s">
        <v>1577</v>
      </c>
      <c r="V1373" s="1" t="s">
        <v>4950</v>
      </c>
      <c r="W1373" s="3">
        <v>44317.0</v>
      </c>
      <c r="X1373" s="3">
        <v>44317.0</v>
      </c>
    </row>
    <row r="1374">
      <c r="A1374" s="1" t="s">
        <v>16213</v>
      </c>
      <c r="B1374" s="1" t="s">
        <v>14037</v>
      </c>
      <c r="C1374" s="1" t="s">
        <v>14037</v>
      </c>
      <c r="D1374" s="1" t="s">
        <v>4293</v>
      </c>
      <c r="E1374" s="1" t="s">
        <v>10066</v>
      </c>
      <c r="F1374" s="1" t="s">
        <v>16214</v>
      </c>
      <c r="G1374" s="3">
        <v>45772.0</v>
      </c>
      <c r="H1374" s="3"/>
      <c r="I1374" s="3"/>
      <c r="J1374" s="1" t="s">
        <v>124</v>
      </c>
      <c r="K1374" s="1" t="s">
        <v>160</v>
      </c>
      <c r="L1374" s="1" t="s">
        <v>253</v>
      </c>
      <c r="M1374" s="1" t="s">
        <v>131</v>
      </c>
      <c r="Q1374" s="1" t="s">
        <v>137</v>
      </c>
      <c r="R1374" s="1" t="s">
        <v>137</v>
      </c>
      <c r="S1374" s="1" t="s">
        <v>47</v>
      </c>
      <c r="T1374" s="1" t="s">
        <v>4301</v>
      </c>
      <c r="U1374" s="1" t="s">
        <v>1577</v>
      </c>
      <c r="V1374" s="1" t="s">
        <v>3858</v>
      </c>
      <c r="W1374" s="3"/>
      <c r="X1374" s="3"/>
    </row>
    <row r="1375">
      <c r="A1375" s="1" t="s">
        <v>16215</v>
      </c>
      <c r="B1375" s="1" t="s">
        <v>14037</v>
      </c>
      <c r="C1375" s="1" t="s">
        <v>14037</v>
      </c>
      <c r="D1375" s="1" t="s">
        <v>4293</v>
      </c>
      <c r="E1375" s="1" t="s">
        <v>10066</v>
      </c>
      <c r="F1375" s="1" t="s">
        <v>16216</v>
      </c>
      <c r="G1375" s="3">
        <v>45772.0</v>
      </c>
      <c r="H1375" s="3"/>
      <c r="I1375" s="3"/>
      <c r="J1375" s="1" t="s">
        <v>124</v>
      </c>
      <c r="K1375" s="1" t="s">
        <v>160</v>
      </c>
      <c r="L1375" s="1" t="s">
        <v>253</v>
      </c>
      <c r="M1375" s="1" t="s">
        <v>131</v>
      </c>
      <c r="Q1375" s="1" t="s">
        <v>137</v>
      </c>
      <c r="R1375" s="1" t="s">
        <v>137</v>
      </c>
      <c r="S1375" s="1" t="s">
        <v>47</v>
      </c>
      <c r="T1375" s="1" t="s">
        <v>4301</v>
      </c>
      <c r="U1375" s="1" t="s">
        <v>1577</v>
      </c>
      <c r="V1375" s="1" t="s">
        <v>4950</v>
      </c>
      <c r="W1375" s="3"/>
      <c r="X1375" s="3"/>
    </row>
    <row r="1376">
      <c r="A1376" s="1" t="s">
        <v>16217</v>
      </c>
      <c r="B1376" s="1" t="s">
        <v>10791</v>
      </c>
      <c r="C1376" s="1" t="s">
        <v>10791</v>
      </c>
      <c r="D1376" s="1" t="s">
        <v>4293</v>
      </c>
      <c r="E1376" s="1" t="s">
        <v>10793</v>
      </c>
      <c r="F1376" s="1" t="s">
        <v>16218</v>
      </c>
      <c r="G1376" s="3">
        <v>44742.0</v>
      </c>
      <c r="H1376" s="3">
        <v>44896.0</v>
      </c>
      <c r="I1376" s="3">
        <v>44896.0</v>
      </c>
      <c r="J1376" s="1" t="s">
        <v>215</v>
      </c>
      <c r="K1376" s="1" t="s">
        <v>160</v>
      </c>
      <c r="L1376" s="1" t="s">
        <v>216</v>
      </c>
      <c r="M1376" s="1" t="s">
        <v>131</v>
      </c>
      <c r="Q1376" s="1" t="s">
        <v>137</v>
      </c>
      <c r="R1376" s="1" t="s">
        <v>137</v>
      </c>
      <c r="S1376" s="1" t="s">
        <v>47</v>
      </c>
      <c r="T1376" s="1" t="s">
        <v>4301</v>
      </c>
      <c r="U1376" s="1" t="s">
        <v>1577</v>
      </c>
      <c r="V1376" s="1" t="s">
        <v>3858</v>
      </c>
      <c r="W1376" s="3">
        <v>44896.0</v>
      </c>
      <c r="X1376" s="3">
        <v>44896.0</v>
      </c>
    </row>
    <row r="1377">
      <c r="A1377" s="1" t="s">
        <v>16219</v>
      </c>
      <c r="B1377" s="1" t="s">
        <v>4325</v>
      </c>
      <c r="C1377" s="1" t="s">
        <v>4325</v>
      </c>
      <c r="D1377" s="1" t="s">
        <v>4293</v>
      </c>
      <c r="E1377" s="1" t="s">
        <v>10801</v>
      </c>
      <c r="F1377" s="1" t="s">
        <v>16220</v>
      </c>
      <c r="G1377" s="3">
        <v>44798.0</v>
      </c>
      <c r="H1377" s="3">
        <v>45063.0</v>
      </c>
      <c r="I1377" s="3">
        <v>45063.0</v>
      </c>
      <c r="J1377" s="1" t="s">
        <v>215</v>
      </c>
      <c r="K1377" s="1" t="s">
        <v>160</v>
      </c>
      <c r="L1377" s="1" t="s">
        <v>216</v>
      </c>
      <c r="M1377" s="1" t="s">
        <v>131</v>
      </c>
      <c r="Q1377" s="1" t="s">
        <v>137</v>
      </c>
      <c r="R1377" s="1" t="s">
        <v>137</v>
      </c>
      <c r="S1377" s="1" t="s">
        <v>47</v>
      </c>
      <c r="T1377" s="1" t="s">
        <v>4301</v>
      </c>
      <c r="U1377" s="1" t="s">
        <v>1577</v>
      </c>
      <c r="V1377" s="1" t="s">
        <v>3858</v>
      </c>
      <c r="W1377" s="3">
        <v>45063.0</v>
      </c>
      <c r="X1377" s="3">
        <v>45063.0</v>
      </c>
    </row>
    <row r="1378">
      <c r="A1378" s="1" t="s">
        <v>16221</v>
      </c>
      <c r="B1378" s="1" t="s">
        <v>4325</v>
      </c>
      <c r="C1378" s="1" t="s">
        <v>4325</v>
      </c>
      <c r="D1378" s="1" t="s">
        <v>4293</v>
      </c>
      <c r="E1378" s="1" t="s">
        <v>10801</v>
      </c>
      <c r="F1378" s="1" t="s">
        <v>16222</v>
      </c>
      <c r="G1378" s="3">
        <v>44798.0</v>
      </c>
      <c r="H1378" s="3">
        <v>45063.0</v>
      </c>
      <c r="I1378" s="3">
        <v>45063.0</v>
      </c>
      <c r="J1378" s="1" t="s">
        <v>215</v>
      </c>
      <c r="K1378" s="1" t="s">
        <v>160</v>
      </c>
      <c r="L1378" s="1" t="s">
        <v>216</v>
      </c>
      <c r="M1378" s="1" t="s">
        <v>131</v>
      </c>
      <c r="Q1378" s="1" t="s">
        <v>137</v>
      </c>
      <c r="R1378" s="1" t="s">
        <v>137</v>
      </c>
      <c r="S1378" s="1" t="s">
        <v>47</v>
      </c>
      <c r="T1378" s="1" t="s">
        <v>4301</v>
      </c>
      <c r="U1378" s="1" t="s">
        <v>1577</v>
      </c>
      <c r="V1378" s="1" t="s">
        <v>3963</v>
      </c>
      <c r="W1378" s="3">
        <v>45063.0</v>
      </c>
      <c r="X1378" s="3">
        <v>45063.0</v>
      </c>
    </row>
    <row r="1379">
      <c r="A1379" s="1" t="s">
        <v>16223</v>
      </c>
      <c r="B1379" s="1" t="s">
        <v>4325</v>
      </c>
      <c r="C1379" s="1" t="s">
        <v>4325</v>
      </c>
      <c r="D1379" s="1" t="s">
        <v>4293</v>
      </c>
      <c r="E1379" s="1" t="s">
        <v>10801</v>
      </c>
      <c r="F1379" s="1" t="s">
        <v>16224</v>
      </c>
      <c r="G1379" s="3">
        <v>44798.0</v>
      </c>
      <c r="H1379" s="3">
        <v>45063.0</v>
      </c>
      <c r="I1379" s="3">
        <v>45063.0</v>
      </c>
      <c r="J1379" s="1" t="s">
        <v>215</v>
      </c>
      <c r="K1379" s="1" t="s">
        <v>160</v>
      </c>
      <c r="L1379" s="1" t="s">
        <v>216</v>
      </c>
      <c r="M1379" s="1" t="s">
        <v>131</v>
      </c>
      <c r="Q1379" s="1" t="s">
        <v>137</v>
      </c>
      <c r="R1379" s="1" t="s">
        <v>137</v>
      </c>
      <c r="S1379" s="1" t="s">
        <v>47</v>
      </c>
      <c r="T1379" s="1" t="s">
        <v>4301</v>
      </c>
      <c r="U1379" s="1" t="s">
        <v>1577</v>
      </c>
      <c r="V1379" s="1" t="s">
        <v>4679</v>
      </c>
      <c r="W1379" s="3">
        <v>45063.0</v>
      </c>
      <c r="X1379" s="3">
        <v>45063.0</v>
      </c>
    </row>
    <row r="1380">
      <c r="A1380" s="1" t="s">
        <v>16225</v>
      </c>
      <c r="B1380" s="1" t="s">
        <v>4325</v>
      </c>
      <c r="C1380" s="1" t="s">
        <v>4325</v>
      </c>
      <c r="D1380" s="1" t="s">
        <v>4293</v>
      </c>
      <c r="E1380" s="1" t="s">
        <v>10801</v>
      </c>
      <c r="F1380" s="1" t="s">
        <v>16226</v>
      </c>
      <c r="G1380" s="3">
        <v>44798.0</v>
      </c>
      <c r="H1380" s="3">
        <v>45063.0</v>
      </c>
      <c r="I1380" s="3">
        <v>45063.0</v>
      </c>
      <c r="J1380" s="1" t="s">
        <v>215</v>
      </c>
      <c r="K1380" s="1" t="s">
        <v>160</v>
      </c>
      <c r="L1380" s="1" t="s">
        <v>216</v>
      </c>
      <c r="M1380" s="1" t="s">
        <v>131</v>
      </c>
      <c r="Q1380" s="1" t="s">
        <v>137</v>
      </c>
      <c r="R1380" s="1" t="s">
        <v>137</v>
      </c>
      <c r="S1380" s="1" t="s">
        <v>47</v>
      </c>
      <c r="T1380" s="1" t="s">
        <v>4301</v>
      </c>
      <c r="U1380" s="1" t="s">
        <v>1577</v>
      </c>
      <c r="V1380" s="1" t="s">
        <v>4950</v>
      </c>
      <c r="W1380" s="3">
        <v>45063.0</v>
      </c>
      <c r="X1380" s="3">
        <v>45063.0</v>
      </c>
    </row>
    <row r="1381">
      <c r="A1381" s="1" t="s">
        <v>16227</v>
      </c>
      <c r="B1381" s="1" t="s">
        <v>4325</v>
      </c>
      <c r="C1381" s="1" t="s">
        <v>4325</v>
      </c>
      <c r="D1381" s="1" t="s">
        <v>4293</v>
      </c>
      <c r="E1381" s="1" t="s">
        <v>10801</v>
      </c>
      <c r="F1381" s="1" t="s">
        <v>16228</v>
      </c>
      <c r="G1381" s="3">
        <v>44798.0</v>
      </c>
      <c r="H1381" s="3">
        <v>45063.0</v>
      </c>
      <c r="I1381" s="3">
        <v>45063.0</v>
      </c>
      <c r="J1381" s="1" t="s">
        <v>215</v>
      </c>
      <c r="K1381" s="1" t="s">
        <v>160</v>
      </c>
      <c r="L1381" s="1" t="s">
        <v>216</v>
      </c>
      <c r="M1381" s="1" t="s">
        <v>131</v>
      </c>
      <c r="Q1381" s="1" t="s">
        <v>137</v>
      </c>
      <c r="R1381" s="1" t="s">
        <v>137</v>
      </c>
      <c r="S1381" s="1" t="s">
        <v>47</v>
      </c>
      <c r="T1381" s="1" t="s">
        <v>4301</v>
      </c>
      <c r="U1381" s="1" t="s">
        <v>1577</v>
      </c>
      <c r="V1381" s="1" t="s">
        <v>5104</v>
      </c>
      <c r="W1381" s="3">
        <v>45063.0</v>
      </c>
      <c r="X1381" s="3">
        <v>45063.0</v>
      </c>
    </row>
    <row r="1382">
      <c r="A1382" s="1" t="s">
        <v>16229</v>
      </c>
      <c r="B1382" s="1" t="s">
        <v>4325</v>
      </c>
      <c r="C1382" s="1" t="s">
        <v>4325</v>
      </c>
      <c r="D1382" s="1" t="s">
        <v>4293</v>
      </c>
      <c r="E1382" s="1" t="s">
        <v>10801</v>
      </c>
      <c r="F1382" s="1" t="s">
        <v>16230</v>
      </c>
      <c r="G1382" s="3">
        <v>44798.0</v>
      </c>
      <c r="H1382" s="3">
        <v>45063.0</v>
      </c>
      <c r="I1382" s="3">
        <v>45063.0</v>
      </c>
      <c r="J1382" s="1" t="s">
        <v>215</v>
      </c>
      <c r="K1382" s="1" t="s">
        <v>160</v>
      </c>
      <c r="L1382" s="1" t="s">
        <v>216</v>
      </c>
      <c r="M1382" s="1" t="s">
        <v>131</v>
      </c>
      <c r="Q1382" s="1" t="s">
        <v>137</v>
      </c>
      <c r="R1382" s="1" t="s">
        <v>137</v>
      </c>
      <c r="S1382" s="1" t="s">
        <v>47</v>
      </c>
      <c r="T1382" s="1" t="s">
        <v>4301</v>
      </c>
      <c r="U1382" s="1" t="s">
        <v>1577</v>
      </c>
      <c r="V1382" s="1" t="s">
        <v>5120</v>
      </c>
      <c r="W1382" s="3">
        <v>45063.0</v>
      </c>
      <c r="X1382" s="3">
        <v>45063.0</v>
      </c>
    </row>
    <row r="1383">
      <c r="A1383" s="1" t="s">
        <v>16231</v>
      </c>
      <c r="B1383" s="1" t="s">
        <v>10810</v>
      </c>
      <c r="C1383" s="1" t="s">
        <v>10810</v>
      </c>
      <c r="D1383" s="1" t="s">
        <v>4293</v>
      </c>
      <c r="E1383" s="1" t="s">
        <v>10812</v>
      </c>
      <c r="F1383" s="1" t="s">
        <v>16232</v>
      </c>
      <c r="G1383" s="3">
        <v>43374.0</v>
      </c>
      <c r="H1383" s="3">
        <v>44805.0</v>
      </c>
      <c r="I1383" s="3">
        <v>44805.0</v>
      </c>
      <c r="J1383" s="1" t="s">
        <v>215</v>
      </c>
      <c r="K1383" s="1" t="s">
        <v>160</v>
      </c>
      <c r="L1383" s="1" t="s">
        <v>216</v>
      </c>
      <c r="M1383" s="1" t="s">
        <v>131</v>
      </c>
      <c r="Q1383" s="1" t="s">
        <v>137</v>
      </c>
      <c r="R1383" s="1" t="s">
        <v>137</v>
      </c>
      <c r="S1383" s="1" t="s">
        <v>47</v>
      </c>
      <c r="T1383" s="1" t="s">
        <v>4301</v>
      </c>
      <c r="U1383" s="1" t="s">
        <v>1577</v>
      </c>
      <c r="V1383" s="1" t="s">
        <v>3858</v>
      </c>
      <c r="W1383" s="3">
        <v>44805.0</v>
      </c>
      <c r="X1383" s="3">
        <v>44805.0</v>
      </c>
    </row>
    <row r="1384">
      <c r="A1384" s="1" t="s">
        <v>16233</v>
      </c>
      <c r="B1384" s="1" t="s">
        <v>9328</v>
      </c>
      <c r="C1384" s="1" t="s">
        <v>9328</v>
      </c>
      <c r="D1384" s="1" t="s">
        <v>4293</v>
      </c>
      <c r="E1384" s="1" t="s">
        <v>10822</v>
      </c>
      <c r="F1384" s="1" t="s">
        <v>16234</v>
      </c>
      <c r="G1384" s="3">
        <v>44560.0</v>
      </c>
      <c r="H1384" s="3">
        <v>44252.0</v>
      </c>
      <c r="I1384" s="3">
        <v>44252.0</v>
      </c>
      <c r="J1384" s="1" t="s">
        <v>215</v>
      </c>
      <c r="K1384" s="1" t="s">
        <v>160</v>
      </c>
      <c r="L1384" s="1" t="s">
        <v>216</v>
      </c>
      <c r="M1384" s="1" t="s">
        <v>131</v>
      </c>
      <c r="Q1384" s="1" t="s">
        <v>137</v>
      </c>
      <c r="R1384" s="1" t="s">
        <v>137</v>
      </c>
      <c r="S1384" s="1" t="s">
        <v>47</v>
      </c>
      <c r="T1384" s="1" t="s">
        <v>4301</v>
      </c>
      <c r="U1384" s="1" t="s">
        <v>1577</v>
      </c>
      <c r="V1384" s="1" t="s">
        <v>3858</v>
      </c>
      <c r="W1384" s="3">
        <v>44252.0</v>
      </c>
      <c r="X1384" s="3">
        <v>44252.0</v>
      </c>
    </row>
    <row r="1385">
      <c r="A1385" s="1" t="s">
        <v>16235</v>
      </c>
      <c r="B1385" s="1" t="s">
        <v>9181</v>
      </c>
      <c r="C1385" s="1" t="s">
        <v>9181</v>
      </c>
      <c r="D1385" s="1" t="s">
        <v>4293</v>
      </c>
      <c r="E1385" s="1" t="s">
        <v>10832</v>
      </c>
      <c r="F1385" s="1" t="s">
        <v>16236</v>
      </c>
      <c r="G1385" s="3">
        <v>45398.0</v>
      </c>
      <c r="H1385" s="3">
        <v>45636.0</v>
      </c>
      <c r="I1385" s="3">
        <v>45636.0</v>
      </c>
      <c r="J1385" s="1" t="s">
        <v>215</v>
      </c>
      <c r="K1385" s="1" t="s">
        <v>160</v>
      </c>
      <c r="L1385" s="1" t="s">
        <v>216</v>
      </c>
      <c r="M1385" s="1" t="s">
        <v>131</v>
      </c>
      <c r="Q1385" s="1" t="s">
        <v>137</v>
      </c>
      <c r="R1385" s="1" t="s">
        <v>137</v>
      </c>
      <c r="S1385" s="1" t="s">
        <v>47</v>
      </c>
      <c r="T1385" s="1" t="s">
        <v>4301</v>
      </c>
      <c r="U1385" s="1" t="s">
        <v>1577</v>
      </c>
      <c r="V1385" s="1" t="s">
        <v>3858</v>
      </c>
      <c r="W1385" s="3">
        <v>45636.0</v>
      </c>
      <c r="X1385" s="3">
        <v>45636.0</v>
      </c>
    </row>
    <row r="1386">
      <c r="A1386" s="1" t="s">
        <v>16237</v>
      </c>
      <c r="B1386" s="1" t="s">
        <v>9181</v>
      </c>
      <c r="C1386" s="1" t="s">
        <v>9181</v>
      </c>
      <c r="D1386" s="1" t="s">
        <v>4293</v>
      </c>
      <c r="E1386" s="1" t="s">
        <v>10832</v>
      </c>
      <c r="F1386" s="1" t="s">
        <v>16238</v>
      </c>
      <c r="G1386" s="3">
        <v>45398.0</v>
      </c>
      <c r="H1386" s="3">
        <v>45636.0</v>
      </c>
      <c r="I1386" s="3">
        <v>45636.0</v>
      </c>
      <c r="J1386" s="1" t="s">
        <v>215</v>
      </c>
      <c r="K1386" s="1" t="s">
        <v>160</v>
      </c>
      <c r="L1386" s="1" t="s">
        <v>216</v>
      </c>
      <c r="M1386" s="1" t="s">
        <v>131</v>
      </c>
      <c r="Q1386" s="1" t="s">
        <v>137</v>
      </c>
      <c r="R1386" s="1" t="s">
        <v>137</v>
      </c>
      <c r="S1386" s="1" t="s">
        <v>47</v>
      </c>
      <c r="T1386" s="1" t="s">
        <v>4301</v>
      </c>
      <c r="U1386" s="1" t="s">
        <v>1577</v>
      </c>
      <c r="V1386" s="1" t="s">
        <v>4950</v>
      </c>
      <c r="W1386" s="3">
        <v>45636.0</v>
      </c>
      <c r="X1386" s="3">
        <v>45636.0</v>
      </c>
    </row>
    <row r="1387">
      <c r="A1387" s="1" t="s">
        <v>16239</v>
      </c>
      <c r="B1387" s="1" t="s">
        <v>9347</v>
      </c>
      <c r="C1387" s="1" t="s">
        <v>9347</v>
      </c>
      <c r="D1387" s="1" t="s">
        <v>4293</v>
      </c>
      <c r="E1387" s="1" t="s">
        <v>10842</v>
      </c>
      <c r="F1387" s="1" t="s">
        <v>16240</v>
      </c>
      <c r="G1387" s="3">
        <v>44385.0</v>
      </c>
      <c r="H1387" s="3">
        <v>44376.0</v>
      </c>
      <c r="I1387" s="3">
        <v>44376.0</v>
      </c>
      <c r="J1387" s="1" t="s">
        <v>215</v>
      </c>
      <c r="K1387" s="1" t="s">
        <v>160</v>
      </c>
      <c r="L1387" s="1" t="s">
        <v>216</v>
      </c>
      <c r="M1387" s="1" t="s">
        <v>131</v>
      </c>
      <c r="Q1387" s="1" t="s">
        <v>137</v>
      </c>
      <c r="R1387" s="1" t="s">
        <v>137</v>
      </c>
      <c r="S1387" s="1" t="s">
        <v>47</v>
      </c>
      <c r="T1387" s="1" t="s">
        <v>4301</v>
      </c>
      <c r="U1387" s="1" t="s">
        <v>1577</v>
      </c>
      <c r="V1387" s="1" t="s">
        <v>3858</v>
      </c>
      <c r="W1387" s="3">
        <v>44376.0</v>
      </c>
      <c r="X1387" s="3">
        <v>44376.0</v>
      </c>
    </row>
    <row r="1388">
      <c r="A1388" s="1" t="s">
        <v>16241</v>
      </c>
      <c r="B1388" s="1" t="s">
        <v>10849</v>
      </c>
      <c r="C1388" s="1" t="s">
        <v>10849</v>
      </c>
      <c r="D1388" s="1" t="s">
        <v>4293</v>
      </c>
      <c r="E1388" s="1" t="s">
        <v>10851</v>
      </c>
      <c r="F1388" s="1" t="s">
        <v>16242</v>
      </c>
      <c r="G1388" s="3">
        <v>45642.0</v>
      </c>
      <c r="H1388" s="3">
        <v>45832.0</v>
      </c>
      <c r="I1388" s="3">
        <v>45832.0</v>
      </c>
      <c r="J1388" s="1" t="s">
        <v>215</v>
      </c>
      <c r="K1388" s="1" t="s">
        <v>160</v>
      </c>
      <c r="L1388" s="1" t="s">
        <v>216</v>
      </c>
      <c r="M1388" s="1" t="s">
        <v>131</v>
      </c>
      <c r="Q1388" s="1" t="s">
        <v>137</v>
      </c>
      <c r="R1388" s="1" t="s">
        <v>137</v>
      </c>
      <c r="S1388" s="1" t="s">
        <v>47</v>
      </c>
      <c r="T1388" s="1" t="s">
        <v>4301</v>
      </c>
      <c r="U1388" s="1" t="s">
        <v>1577</v>
      </c>
      <c r="V1388" s="1" t="s">
        <v>3858</v>
      </c>
      <c r="W1388" s="3">
        <v>45832.0</v>
      </c>
      <c r="X1388" s="3">
        <v>45832.0</v>
      </c>
    </row>
    <row r="1389">
      <c r="A1389" s="1" t="s">
        <v>16243</v>
      </c>
      <c r="B1389" s="1" t="s">
        <v>10849</v>
      </c>
      <c r="C1389" s="1" t="s">
        <v>10849</v>
      </c>
      <c r="D1389" s="1" t="s">
        <v>4293</v>
      </c>
      <c r="E1389" s="1" t="s">
        <v>10851</v>
      </c>
      <c r="F1389" s="1" t="s">
        <v>16244</v>
      </c>
      <c r="G1389" s="3">
        <v>45642.0</v>
      </c>
      <c r="H1389" s="3">
        <v>45832.0</v>
      </c>
      <c r="I1389" s="3">
        <v>45832.0</v>
      </c>
      <c r="J1389" s="1" t="s">
        <v>215</v>
      </c>
      <c r="K1389" s="1" t="s">
        <v>160</v>
      </c>
      <c r="L1389" s="1" t="s">
        <v>216</v>
      </c>
      <c r="M1389" s="1" t="s">
        <v>131</v>
      </c>
      <c r="Q1389" s="1" t="s">
        <v>137</v>
      </c>
      <c r="R1389" s="1" t="s">
        <v>137</v>
      </c>
      <c r="S1389" s="1" t="s">
        <v>47</v>
      </c>
      <c r="T1389" s="1" t="s">
        <v>4301</v>
      </c>
      <c r="U1389" s="1" t="s">
        <v>1577</v>
      </c>
      <c r="V1389" s="1" t="s">
        <v>3963</v>
      </c>
      <c r="W1389" s="3">
        <v>45832.0</v>
      </c>
      <c r="X1389" s="3">
        <v>45832.0</v>
      </c>
    </row>
    <row r="1390">
      <c r="A1390" s="1" t="s">
        <v>16245</v>
      </c>
      <c r="B1390" s="1" t="s">
        <v>14039</v>
      </c>
      <c r="C1390" s="1" t="s">
        <v>14039</v>
      </c>
      <c r="D1390" s="1" t="s">
        <v>4293</v>
      </c>
      <c r="E1390" s="1" t="s">
        <v>16246</v>
      </c>
      <c r="F1390" s="1" t="s">
        <v>16247</v>
      </c>
      <c r="G1390" s="3">
        <v>45065.0</v>
      </c>
      <c r="H1390" s="3"/>
      <c r="I1390" s="3"/>
      <c r="J1390" s="1" t="s">
        <v>124</v>
      </c>
      <c r="K1390" s="1" t="s">
        <v>160</v>
      </c>
      <c r="L1390" s="1" t="s">
        <v>253</v>
      </c>
      <c r="M1390" s="1" t="s">
        <v>131</v>
      </c>
      <c r="Q1390" s="1" t="s">
        <v>137</v>
      </c>
      <c r="R1390" s="1" t="s">
        <v>137</v>
      </c>
      <c r="S1390" s="1" t="s">
        <v>47</v>
      </c>
      <c r="T1390" s="1" t="s">
        <v>4301</v>
      </c>
      <c r="U1390" s="1" t="s">
        <v>1577</v>
      </c>
      <c r="V1390" s="1" t="s">
        <v>3858</v>
      </c>
      <c r="W1390" s="3"/>
      <c r="X1390" s="3"/>
    </row>
    <row r="1391">
      <c r="A1391" s="1" t="s">
        <v>16248</v>
      </c>
      <c r="B1391" s="1" t="s">
        <v>9714</v>
      </c>
      <c r="C1391" s="1" t="s">
        <v>9714</v>
      </c>
      <c r="D1391" s="1" t="s">
        <v>4293</v>
      </c>
      <c r="E1391" s="1" t="s">
        <v>10854</v>
      </c>
      <c r="F1391" s="1" t="s">
        <v>16249</v>
      </c>
      <c r="G1391" s="3">
        <v>43843.0</v>
      </c>
      <c r="H1391" s="3">
        <v>44026.0</v>
      </c>
      <c r="I1391" s="3">
        <v>44026.0</v>
      </c>
      <c r="J1391" s="1" t="s">
        <v>215</v>
      </c>
      <c r="K1391" s="1" t="s">
        <v>160</v>
      </c>
      <c r="L1391" s="1" t="s">
        <v>216</v>
      </c>
      <c r="M1391" s="1" t="s">
        <v>131</v>
      </c>
      <c r="Q1391" s="1" t="s">
        <v>137</v>
      </c>
      <c r="R1391" s="1" t="s">
        <v>137</v>
      </c>
      <c r="S1391" s="1" t="s">
        <v>47</v>
      </c>
      <c r="T1391" s="1" t="s">
        <v>4301</v>
      </c>
      <c r="U1391" s="1" t="s">
        <v>1577</v>
      </c>
      <c r="V1391" s="1" t="s">
        <v>3858</v>
      </c>
      <c r="W1391" s="3">
        <v>44026.0</v>
      </c>
      <c r="X1391" s="3">
        <v>44026.0</v>
      </c>
    </row>
    <row r="1392">
      <c r="A1392" s="1" t="s">
        <v>16250</v>
      </c>
      <c r="B1392" s="1" t="s">
        <v>10865</v>
      </c>
      <c r="C1392" s="1" t="s">
        <v>10865</v>
      </c>
      <c r="D1392" s="1" t="s">
        <v>4293</v>
      </c>
      <c r="E1392" s="1" t="s">
        <v>8791</v>
      </c>
      <c r="F1392" s="1" t="s">
        <v>16251</v>
      </c>
      <c r="G1392" s="3">
        <v>43866.0</v>
      </c>
      <c r="H1392" s="3">
        <v>44041.0</v>
      </c>
      <c r="I1392" s="3">
        <v>44041.0</v>
      </c>
      <c r="J1392" s="1" t="s">
        <v>215</v>
      </c>
      <c r="K1392" s="1" t="s">
        <v>160</v>
      </c>
      <c r="L1392" s="1" t="s">
        <v>216</v>
      </c>
      <c r="M1392" s="1" t="s">
        <v>131</v>
      </c>
      <c r="Q1392" s="1" t="s">
        <v>137</v>
      </c>
      <c r="R1392" s="1" t="s">
        <v>137</v>
      </c>
      <c r="S1392" s="1" t="s">
        <v>47</v>
      </c>
      <c r="T1392" s="1" t="s">
        <v>4301</v>
      </c>
      <c r="U1392" s="1" t="s">
        <v>1577</v>
      </c>
      <c r="V1392" s="1" t="s">
        <v>3858</v>
      </c>
      <c r="W1392" s="3">
        <v>44041.0</v>
      </c>
      <c r="X1392" s="3">
        <v>44041.0</v>
      </c>
    </row>
    <row r="1393">
      <c r="A1393" s="1" t="s">
        <v>16252</v>
      </c>
      <c r="B1393" s="1" t="s">
        <v>10865</v>
      </c>
      <c r="C1393" s="1" t="s">
        <v>10865</v>
      </c>
      <c r="D1393" s="1" t="s">
        <v>4293</v>
      </c>
      <c r="E1393" s="1" t="s">
        <v>8791</v>
      </c>
      <c r="F1393" s="1" t="s">
        <v>16253</v>
      </c>
      <c r="G1393" s="3">
        <v>43866.0</v>
      </c>
      <c r="H1393" s="3">
        <v>44041.0</v>
      </c>
      <c r="I1393" s="3">
        <v>44041.0</v>
      </c>
      <c r="J1393" s="1" t="s">
        <v>215</v>
      </c>
      <c r="K1393" s="1" t="s">
        <v>160</v>
      </c>
      <c r="L1393" s="1" t="s">
        <v>216</v>
      </c>
      <c r="M1393" s="1" t="s">
        <v>131</v>
      </c>
      <c r="Q1393" s="1" t="s">
        <v>137</v>
      </c>
      <c r="R1393" s="1" t="s">
        <v>137</v>
      </c>
      <c r="S1393" s="1" t="s">
        <v>47</v>
      </c>
      <c r="T1393" s="1" t="s">
        <v>4301</v>
      </c>
      <c r="U1393" s="1" t="s">
        <v>1577</v>
      </c>
      <c r="V1393" s="1" t="s">
        <v>4950</v>
      </c>
      <c r="W1393" s="3">
        <v>44041.0</v>
      </c>
      <c r="X1393" s="3">
        <v>44041.0</v>
      </c>
    </row>
    <row r="1394">
      <c r="A1394" s="1" t="s">
        <v>16254</v>
      </c>
      <c r="B1394" s="1" t="s">
        <v>4637</v>
      </c>
      <c r="C1394" s="1" t="s">
        <v>4637</v>
      </c>
      <c r="D1394" s="1" t="s">
        <v>4293</v>
      </c>
      <c r="E1394" s="1" t="s">
        <v>10871</v>
      </c>
      <c r="F1394" s="1" t="s">
        <v>16255</v>
      </c>
      <c r="G1394" s="3">
        <v>44872.0</v>
      </c>
      <c r="H1394" s="3">
        <v>44904.0</v>
      </c>
      <c r="I1394" s="3">
        <v>44904.0</v>
      </c>
      <c r="J1394" s="1" t="s">
        <v>215</v>
      </c>
      <c r="K1394" s="1" t="s">
        <v>160</v>
      </c>
      <c r="L1394" s="1" t="s">
        <v>216</v>
      </c>
      <c r="M1394" s="1" t="s">
        <v>131</v>
      </c>
      <c r="Q1394" s="1" t="s">
        <v>137</v>
      </c>
      <c r="R1394" s="1" t="s">
        <v>137</v>
      </c>
      <c r="S1394" s="1" t="s">
        <v>47</v>
      </c>
      <c r="T1394" s="1" t="s">
        <v>4301</v>
      </c>
      <c r="U1394" s="1" t="s">
        <v>1577</v>
      </c>
      <c r="V1394" s="1" t="s">
        <v>3858</v>
      </c>
      <c r="W1394" s="3">
        <v>44904.0</v>
      </c>
      <c r="X1394" s="3">
        <v>44904.0</v>
      </c>
    </row>
    <row r="1395">
      <c r="A1395" s="1" t="s">
        <v>16256</v>
      </c>
      <c r="B1395" s="1" t="s">
        <v>10876</v>
      </c>
      <c r="C1395" s="1" t="s">
        <v>10876</v>
      </c>
      <c r="D1395" s="1" t="s">
        <v>4293</v>
      </c>
      <c r="E1395" s="1" t="s">
        <v>10877</v>
      </c>
      <c r="F1395" s="1" t="s">
        <v>16257</v>
      </c>
      <c r="G1395" s="3">
        <v>44343.0</v>
      </c>
      <c r="H1395" s="3">
        <v>44587.0</v>
      </c>
      <c r="I1395" s="3">
        <v>44587.0</v>
      </c>
      <c r="J1395" s="1" t="s">
        <v>215</v>
      </c>
      <c r="K1395" s="1" t="s">
        <v>160</v>
      </c>
      <c r="L1395" s="1" t="s">
        <v>216</v>
      </c>
      <c r="M1395" s="1" t="s">
        <v>131</v>
      </c>
      <c r="Q1395" s="1" t="s">
        <v>137</v>
      </c>
      <c r="R1395" s="1" t="s">
        <v>137</v>
      </c>
      <c r="S1395" s="1" t="s">
        <v>47</v>
      </c>
      <c r="T1395" s="1" t="s">
        <v>4301</v>
      </c>
      <c r="U1395" s="1" t="s">
        <v>1577</v>
      </c>
      <c r="V1395" s="1" t="s">
        <v>3858</v>
      </c>
      <c r="W1395" s="3">
        <v>44587.0</v>
      </c>
      <c r="X1395" s="3">
        <v>44587.0</v>
      </c>
    </row>
    <row r="1396">
      <c r="A1396" s="1" t="s">
        <v>16258</v>
      </c>
      <c r="B1396" s="1" t="s">
        <v>10881</v>
      </c>
      <c r="C1396" s="1" t="s">
        <v>10881</v>
      </c>
      <c r="D1396" s="1" t="s">
        <v>4293</v>
      </c>
      <c r="E1396" s="1" t="s">
        <v>4496</v>
      </c>
      <c r="F1396" s="1" t="s">
        <v>16259</v>
      </c>
      <c r="G1396" s="3">
        <v>45107.0</v>
      </c>
      <c r="H1396" s="3">
        <v>45372.0</v>
      </c>
      <c r="I1396" s="3">
        <v>45372.0</v>
      </c>
      <c r="J1396" s="1" t="s">
        <v>215</v>
      </c>
      <c r="K1396" s="1" t="s">
        <v>160</v>
      </c>
      <c r="L1396" s="1" t="s">
        <v>216</v>
      </c>
      <c r="M1396" s="1" t="s">
        <v>131</v>
      </c>
      <c r="O1396" s="1"/>
      <c r="Q1396" s="1" t="s">
        <v>137</v>
      </c>
      <c r="R1396" s="1" t="s">
        <v>137</v>
      </c>
      <c r="S1396" s="1" t="s">
        <v>47</v>
      </c>
      <c r="T1396" s="1" t="s">
        <v>4301</v>
      </c>
      <c r="U1396" s="1" t="s">
        <v>1577</v>
      </c>
      <c r="V1396" s="1" t="s">
        <v>3858</v>
      </c>
      <c r="W1396" s="3">
        <v>45372.0</v>
      </c>
      <c r="X1396" s="3">
        <v>45372.0</v>
      </c>
    </row>
    <row r="1397">
      <c r="A1397" s="1" t="s">
        <v>16260</v>
      </c>
      <c r="B1397" s="1" t="s">
        <v>10883</v>
      </c>
      <c r="C1397" s="1" t="s">
        <v>10883</v>
      </c>
      <c r="D1397" s="1" t="s">
        <v>4293</v>
      </c>
      <c r="E1397" s="1" t="s">
        <v>10891</v>
      </c>
      <c r="F1397" s="1" t="s">
        <v>16261</v>
      </c>
      <c r="G1397" s="3">
        <v>44553.0</v>
      </c>
      <c r="H1397" s="3">
        <v>44378.0</v>
      </c>
      <c r="I1397" s="3">
        <v>44378.0</v>
      </c>
      <c r="J1397" s="1" t="s">
        <v>215</v>
      </c>
      <c r="K1397" s="1" t="s">
        <v>160</v>
      </c>
      <c r="L1397" s="1" t="s">
        <v>216</v>
      </c>
      <c r="M1397" s="1" t="s">
        <v>131</v>
      </c>
      <c r="O1397" s="1"/>
      <c r="Q1397" s="1" t="s">
        <v>137</v>
      </c>
      <c r="R1397" s="1" t="s">
        <v>137</v>
      </c>
      <c r="S1397" s="1" t="s">
        <v>47</v>
      </c>
      <c r="T1397" s="1" t="s">
        <v>4301</v>
      </c>
      <c r="U1397" s="1" t="s">
        <v>1577</v>
      </c>
      <c r="V1397" s="1" t="s">
        <v>3858</v>
      </c>
      <c r="W1397" s="3">
        <v>44378.0</v>
      </c>
      <c r="X1397" s="3">
        <v>44378.0</v>
      </c>
    </row>
    <row r="1398">
      <c r="A1398" s="1" t="s">
        <v>16262</v>
      </c>
      <c r="B1398" s="1" t="s">
        <v>10897</v>
      </c>
      <c r="C1398" s="1" t="s">
        <v>10897</v>
      </c>
      <c r="D1398" s="1" t="s">
        <v>4293</v>
      </c>
      <c r="E1398" s="1" t="s">
        <v>10899</v>
      </c>
      <c r="F1398" s="1" t="s">
        <v>16263</v>
      </c>
      <c r="G1398" s="3">
        <v>43662.0</v>
      </c>
      <c r="H1398" s="3">
        <v>43872.0</v>
      </c>
      <c r="I1398" s="3">
        <v>43872.0</v>
      </c>
      <c r="J1398" s="1" t="s">
        <v>215</v>
      </c>
      <c r="K1398" s="1" t="s">
        <v>160</v>
      </c>
      <c r="L1398" s="1" t="s">
        <v>216</v>
      </c>
      <c r="M1398" s="1" t="s">
        <v>131</v>
      </c>
      <c r="O1398" s="1"/>
      <c r="Q1398" s="1" t="s">
        <v>137</v>
      </c>
      <c r="R1398" s="1" t="s">
        <v>137</v>
      </c>
      <c r="S1398" s="1" t="s">
        <v>47</v>
      </c>
      <c r="T1398" s="1" t="s">
        <v>4301</v>
      </c>
      <c r="U1398" s="1" t="s">
        <v>1577</v>
      </c>
      <c r="V1398" s="1" t="s">
        <v>3858</v>
      </c>
      <c r="W1398" s="3">
        <v>43872.0</v>
      </c>
      <c r="X1398" s="3">
        <v>43872.0</v>
      </c>
    </row>
    <row r="1399">
      <c r="A1399" s="1" t="s">
        <v>16264</v>
      </c>
      <c r="B1399" s="1" t="s">
        <v>10907</v>
      </c>
      <c r="C1399" s="1" t="s">
        <v>10907</v>
      </c>
      <c r="D1399" s="1" t="s">
        <v>4293</v>
      </c>
      <c r="E1399" s="1" t="s">
        <v>10909</v>
      </c>
      <c r="F1399" s="1" t="s">
        <v>16265</v>
      </c>
      <c r="G1399" s="3">
        <v>45517.0</v>
      </c>
      <c r="H1399" s="3">
        <v>45734.0</v>
      </c>
      <c r="I1399" s="3">
        <v>45734.0</v>
      </c>
      <c r="J1399" s="1" t="s">
        <v>215</v>
      </c>
      <c r="K1399" s="1" t="s">
        <v>160</v>
      </c>
      <c r="L1399" s="1" t="s">
        <v>216</v>
      </c>
      <c r="M1399" s="1" t="s">
        <v>131</v>
      </c>
      <c r="O1399" s="1"/>
      <c r="Q1399" s="1" t="s">
        <v>137</v>
      </c>
      <c r="R1399" s="1" t="s">
        <v>137</v>
      </c>
      <c r="S1399" s="1" t="s">
        <v>47</v>
      </c>
      <c r="T1399" s="1" t="s">
        <v>4301</v>
      </c>
      <c r="U1399" s="1" t="s">
        <v>1577</v>
      </c>
      <c r="V1399" s="1" t="s">
        <v>3858</v>
      </c>
      <c r="W1399" s="3">
        <v>45734.0</v>
      </c>
      <c r="X1399" s="3">
        <v>45734.0</v>
      </c>
    </row>
    <row r="1400">
      <c r="A1400" s="1" t="s">
        <v>16266</v>
      </c>
      <c r="B1400" s="1" t="s">
        <v>10912</v>
      </c>
      <c r="C1400" s="1" t="s">
        <v>10912</v>
      </c>
      <c r="D1400" s="1" t="s">
        <v>4293</v>
      </c>
      <c r="E1400" s="1" t="s">
        <v>10914</v>
      </c>
      <c r="F1400" s="1" t="s">
        <v>16267</v>
      </c>
      <c r="G1400" s="3">
        <v>44536.0</v>
      </c>
      <c r="H1400" s="3">
        <v>44545.0</v>
      </c>
      <c r="I1400" s="3">
        <v>44545.0</v>
      </c>
      <c r="J1400" s="1" t="s">
        <v>215</v>
      </c>
      <c r="K1400" s="1" t="s">
        <v>160</v>
      </c>
      <c r="L1400" s="1" t="s">
        <v>216</v>
      </c>
      <c r="M1400" s="1" t="s">
        <v>131</v>
      </c>
      <c r="Q1400" s="1" t="s">
        <v>137</v>
      </c>
      <c r="R1400" s="1" t="s">
        <v>137</v>
      </c>
      <c r="S1400" s="1" t="s">
        <v>47</v>
      </c>
      <c r="T1400" s="1" t="s">
        <v>4301</v>
      </c>
      <c r="U1400" s="1" t="s">
        <v>1577</v>
      </c>
      <c r="V1400" s="1" t="s">
        <v>3858</v>
      </c>
      <c r="W1400" s="3">
        <v>44545.0</v>
      </c>
      <c r="X1400" s="3">
        <v>44545.0</v>
      </c>
    </row>
    <row r="1401">
      <c r="A1401" s="1" t="s">
        <v>16268</v>
      </c>
      <c r="B1401" s="1" t="s">
        <v>10918</v>
      </c>
      <c r="C1401" s="1" t="s">
        <v>10918</v>
      </c>
      <c r="D1401" s="1" t="s">
        <v>4293</v>
      </c>
      <c r="E1401" s="1" t="s">
        <v>10919</v>
      </c>
      <c r="F1401" s="1" t="s">
        <v>16269</v>
      </c>
      <c r="G1401" s="3">
        <v>46160.0</v>
      </c>
      <c r="H1401" s="3">
        <v>46338.0</v>
      </c>
      <c r="I1401" s="13"/>
      <c r="J1401" s="1" t="s">
        <v>124</v>
      </c>
      <c r="K1401" s="1" t="s">
        <v>160</v>
      </c>
      <c r="L1401" s="1" t="s">
        <v>363</v>
      </c>
      <c r="M1401" s="1" t="s">
        <v>131</v>
      </c>
      <c r="O1401" s="1" t="s">
        <v>3947</v>
      </c>
      <c r="Q1401" s="1" t="s">
        <v>137</v>
      </c>
      <c r="R1401" s="1" t="s">
        <v>137</v>
      </c>
      <c r="S1401" s="1" t="s">
        <v>47</v>
      </c>
      <c r="T1401" s="1" t="s">
        <v>14813</v>
      </c>
      <c r="U1401" s="1" t="s">
        <v>1577</v>
      </c>
      <c r="V1401" s="1" t="s">
        <v>3858</v>
      </c>
      <c r="W1401" s="3">
        <v>46338.0</v>
      </c>
      <c r="X1401" s="13"/>
    </row>
    <row r="1402">
      <c r="A1402" s="1" t="s">
        <v>16270</v>
      </c>
      <c r="B1402" s="1" t="s">
        <v>10930</v>
      </c>
      <c r="C1402" s="1" t="s">
        <v>10930</v>
      </c>
      <c r="D1402" s="1" t="s">
        <v>4293</v>
      </c>
      <c r="E1402" s="1" t="s">
        <v>10933</v>
      </c>
      <c r="F1402" s="1" t="s">
        <v>16271</v>
      </c>
      <c r="G1402" s="3">
        <v>45581.0</v>
      </c>
      <c r="H1402" s="3">
        <v>45709.0</v>
      </c>
      <c r="I1402" s="3">
        <v>45709.0</v>
      </c>
      <c r="J1402" s="1" t="s">
        <v>215</v>
      </c>
      <c r="K1402" s="1" t="s">
        <v>160</v>
      </c>
      <c r="L1402" s="1" t="s">
        <v>216</v>
      </c>
      <c r="M1402" s="1" t="s">
        <v>131</v>
      </c>
      <c r="Q1402" s="1" t="s">
        <v>137</v>
      </c>
      <c r="R1402" s="1" t="s">
        <v>137</v>
      </c>
      <c r="S1402" s="1" t="s">
        <v>47</v>
      </c>
      <c r="T1402" s="1" t="s">
        <v>4301</v>
      </c>
      <c r="U1402" s="1" t="s">
        <v>1577</v>
      </c>
      <c r="V1402" s="1" t="s">
        <v>4679</v>
      </c>
      <c r="W1402" s="3">
        <v>45709.0</v>
      </c>
      <c r="X1402" s="3">
        <v>45709.0</v>
      </c>
    </row>
    <row r="1403">
      <c r="A1403" s="1" t="s">
        <v>16272</v>
      </c>
      <c r="B1403" s="1" t="s">
        <v>10930</v>
      </c>
      <c r="C1403" s="1" t="s">
        <v>10930</v>
      </c>
      <c r="D1403" s="1" t="s">
        <v>4293</v>
      </c>
      <c r="E1403" s="1" t="s">
        <v>10933</v>
      </c>
      <c r="F1403" s="1" t="s">
        <v>16273</v>
      </c>
      <c r="G1403" s="3">
        <v>45581.0</v>
      </c>
      <c r="H1403" s="3">
        <v>45709.0</v>
      </c>
      <c r="I1403" s="3">
        <v>45709.0</v>
      </c>
      <c r="J1403" s="1" t="s">
        <v>215</v>
      </c>
      <c r="K1403" s="1" t="s">
        <v>160</v>
      </c>
      <c r="L1403" s="1" t="s">
        <v>216</v>
      </c>
      <c r="M1403" s="1" t="s">
        <v>131</v>
      </c>
      <c r="Q1403" s="1" t="s">
        <v>137</v>
      </c>
      <c r="R1403" s="1" t="s">
        <v>137</v>
      </c>
      <c r="S1403" s="1" t="s">
        <v>47</v>
      </c>
      <c r="T1403" s="1" t="s">
        <v>4301</v>
      </c>
      <c r="U1403" s="1" t="s">
        <v>1577</v>
      </c>
      <c r="V1403" s="1" t="s">
        <v>4950</v>
      </c>
      <c r="W1403" s="3">
        <v>45709.0</v>
      </c>
      <c r="X1403" s="3">
        <v>45709.0</v>
      </c>
    </row>
    <row r="1404">
      <c r="A1404" s="1" t="s">
        <v>16274</v>
      </c>
      <c r="B1404" s="1" t="s">
        <v>10930</v>
      </c>
      <c r="C1404" s="1" t="s">
        <v>10930</v>
      </c>
      <c r="D1404" s="1" t="s">
        <v>4293</v>
      </c>
      <c r="E1404" s="1" t="s">
        <v>10933</v>
      </c>
      <c r="F1404" s="1" t="s">
        <v>16275</v>
      </c>
      <c r="G1404" s="3">
        <v>45581.0</v>
      </c>
      <c r="H1404" s="3">
        <v>45709.0</v>
      </c>
      <c r="I1404" s="3">
        <v>45709.0</v>
      </c>
      <c r="J1404" s="1" t="s">
        <v>215</v>
      </c>
      <c r="K1404" s="1" t="s">
        <v>160</v>
      </c>
      <c r="L1404" s="1" t="s">
        <v>216</v>
      </c>
      <c r="M1404" s="1" t="s">
        <v>131</v>
      </c>
      <c r="Q1404" s="1" t="s">
        <v>137</v>
      </c>
      <c r="R1404" s="1" t="s">
        <v>137</v>
      </c>
      <c r="S1404" s="1" t="s">
        <v>47</v>
      </c>
      <c r="T1404" s="1" t="s">
        <v>4301</v>
      </c>
      <c r="U1404" s="1" t="s">
        <v>1577</v>
      </c>
      <c r="V1404" s="1" t="s">
        <v>5104</v>
      </c>
      <c r="W1404" s="3">
        <v>45709.0</v>
      </c>
      <c r="X1404" s="3">
        <v>45709.0</v>
      </c>
    </row>
    <row r="1405">
      <c r="A1405" s="1" t="s">
        <v>16276</v>
      </c>
      <c r="B1405" s="1" t="s">
        <v>10930</v>
      </c>
      <c r="C1405" s="1" t="s">
        <v>10930</v>
      </c>
      <c r="D1405" s="1" t="s">
        <v>4293</v>
      </c>
      <c r="E1405" s="1" t="s">
        <v>10933</v>
      </c>
      <c r="F1405" s="1" t="s">
        <v>16277</v>
      </c>
      <c r="G1405" s="3">
        <v>45581.0</v>
      </c>
      <c r="H1405" s="3">
        <v>45709.0</v>
      </c>
      <c r="I1405" s="3">
        <v>45709.0</v>
      </c>
      <c r="J1405" s="1" t="s">
        <v>215</v>
      </c>
      <c r="K1405" s="1" t="s">
        <v>160</v>
      </c>
      <c r="L1405" s="1" t="s">
        <v>216</v>
      </c>
      <c r="M1405" s="1" t="s">
        <v>131</v>
      </c>
      <c r="Q1405" s="1" t="s">
        <v>137</v>
      </c>
      <c r="R1405" s="1" t="s">
        <v>137</v>
      </c>
      <c r="S1405" s="1" t="s">
        <v>47</v>
      </c>
      <c r="T1405" s="1" t="s">
        <v>4301</v>
      </c>
      <c r="U1405" s="1" t="s">
        <v>1577</v>
      </c>
      <c r="V1405" s="1" t="s">
        <v>5120</v>
      </c>
      <c r="W1405" s="3">
        <v>45709.0</v>
      </c>
      <c r="X1405" s="3">
        <v>45709.0</v>
      </c>
    </row>
    <row r="1406">
      <c r="A1406" s="1" t="s">
        <v>16278</v>
      </c>
      <c r="B1406" s="1" t="s">
        <v>4923</v>
      </c>
      <c r="C1406" s="1" t="s">
        <v>4923</v>
      </c>
      <c r="D1406" s="1" t="s">
        <v>4293</v>
      </c>
      <c r="E1406" s="1" t="s">
        <v>16279</v>
      </c>
      <c r="F1406" s="1" t="s">
        <v>16280</v>
      </c>
      <c r="G1406" s="3">
        <v>45525.0</v>
      </c>
      <c r="H1406" s="13"/>
      <c r="I1406" s="13"/>
      <c r="J1406" s="1" t="s">
        <v>124</v>
      </c>
      <c r="K1406" s="1" t="s">
        <v>160</v>
      </c>
      <c r="L1406" s="1" t="s">
        <v>253</v>
      </c>
      <c r="M1406" s="1" t="s">
        <v>131</v>
      </c>
      <c r="Q1406" s="1" t="s">
        <v>137</v>
      </c>
      <c r="R1406" s="1" t="s">
        <v>137</v>
      </c>
      <c r="S1406" s="1" t="s">
        <v>47</v>
      </c>
      <c r="T1406" s="1" t="s">
        <v>4301</v>
      </c>
      <c r="U1406" s="1" t="s">
        <v>1577</v>
      </c>
      <c r="V1406" s="1" t="s">
        <v>3858</v>
      </c>
      <c r="W1406" s="3"/>
    </row>
    <row r="1407">
      <c r="A1407" s="1" t="s">
        <v>16281</v>
      </c>
      <c r="B1407" s="1" t="s">
        <v>4923</v>
      </c>
      <c r="C1407" s="1" t="s">
        <v>4923</v>
      </c>
      <c r="D1407" s="1" t="s">
        <v>4293</v>
      </c>
      <c r="E1407" s="1" t="s">
        <v>16279</v>
      </c>
      <c r="F1407" s="1" t="s">
        <v>16282</v>
      </c>
      <c r="G1407" s="3">
        <v>45525.0</v>
      </c>
      <c r="J1407" s="1" t="s">
        <v>124</v>
      </c>
      <c r="K1407" s="1" t="s">
        <v>160</v>
      </c>
      <c r="L1407" s="1" t="s">
        <v>253</v>
      </c>
      <c r="M1407" s="1" t="s">
        <v>131</v>
      </c>
      <c r="Q1407" s="1" t="s">
        <v>137</v>
      </c>
      <c r="R1407" s="1" t="s">
        <v>137</v>
      </c>
      <c r="S1407" s="1" t="s">
        <v>47</v>
      </c>
      <c r="T1407" s="1" t="s">
        <v>4301</v>
      </c>
      <c r="U1407" s="1" t="s">
        <v>1577</v>
      </c>
      <c r="V1407" s="1" t="s">
        <v>4950</v>
      </c>
      <c r="W1407" s="13"/>
    </row>
    <row r="1408">
      <c r="A1408" s="1" t="s">
        <v>16283</v>
      </c>
      <c r="B1408" s="1" t="s">
        <v>9602</v>
      </c>
      <c r="C1408" s="1" t="s">
        <v>9602</v>
      </c>
      <c r="D1408" s="1" t="s">
        <v>4293</v>
      </c>
      <c r="E1408" s="1" t="s">
        <v>10941</v>
      </c>
      <c r="F1408" s="1" t="s">
        <v>16284</v>
      </c>
      <c r="G1408" s="3">
        <v>43773.0</v>
      </c>
      <c r="H1408" s="3">
        <v>44012.0</v>
      </c>
      <c r="I1408" s="3">
        <v>44012.0</v>
      </c>
      <c r="J1408" s="1" t="s">
        <v>215</v>
      </c>
      <c r="K1408" s="1" t="s">
        <v>160</v>
      </c>
      <c r="L1408" s="1" t="s">
        <v>216</v>
      </c>
      <c r="M1408" s="1" t="s">
        <v>131</v>
      </c>
      <c r="Q1408" s="1" t="s">
        <v>137</v>
      </c>
      <c r="R1408" s="1" t="s">
        <v>137</v>
      </c>
      <c r="S1408" s="1" t="s">
        <v>47</v>
      </c>
      <c r="T1408" s="1" t="s">
        <v>4301</v>
      </c>
      <c r="U1408" s="1" t="s">
        <v>1577</v>
      </c>
      <c r="V1408" s="1" t="s">
        <v>3858</v>
      </c>
      <c r="W1408" s="3">
        <v>44012.0</v>
      </c>
      <c r="X1408" s="3">
        <v>44012.0</v>
      </c>
    </row>
    <row r="1409">
      <c r="A1409" s="1" t="s">
        <v>16285</v>
      </c>
      <c r="B1409" s="1" t="s">
        <v>9501</v>
      </c>
      <c r="C1409" s="1" t="s">
        <v>9501</v>
      </c>
      <c r="D1409" s="1" t="s">
        <v>4293</v>
      </c>
      <c r="E1409" s="1" t="s">
        <v>16286</v>
      </c>
      <c r="F1409" s="1" t="s">
        <v>16287</v>
      </c>
      <c r="G1409" s="3">
        <v>45541.0</v>
      </c>
      <c r="H1409" s="3"/>
      <c r="I1409" s="3"/>
      <c r="J1409" s="1" t="s">
        <v>124</v>
      </c>
      <c r="K1409" s="1" t="s">
        <v>160</v>
      </c>
      <c r="L1409" s="1" t="s">
        <v>253</v>
      </c>
      <c r="M1409" s="1" t="s">
        <v>131</v>
      </c>
      <c r="Q1409" s="1" t="s">
        <v>137</v>
      </c>
      <c r="R1409" s="1" t="s">
        <v>137</v>
      </c>
      <c r="S1409" s="1" t="s">
        <v>47</v>
      </c>
      <c r="T1409" s="1" t="s">
        <v>4301</v>
      </c>
      <c r="U1409" s="1" t="s">
        <v>1577</v>
      </c>
      <c r="V1409" s="1" t="s">
        <v>3858</v>
      </c>
      <c r="W1409" s="3"/>
      <c r="X1409" s="3"/>
    </row>
    <row r="1410">
      <c r="A1410" s="1" t="s">
        <v>16288</v>
      </c>
      <c r="B1410" s="1" t="s">
        <v>9501</v>
      </c>
      <c r="C1410" s="1" t="s">
        <v>9501</v>
      </c>
      <c r="D1410" s="1" t="s">
        <v>4293</v>
      </c>
      <c r="E1410" s="1" t="s">
        <v>16286</v>
      </c>
      <c r="F1410" s="1" t="s">
        <v>16289</v>
      </c>
      <c r="G1410" s="3">
        <v>45541.0</v>
      </c>
      <c r="H1410" s="3"/>
      <c r="I1410" s="3"/>
      <c r="J1410" s="1" t="s">
        <v>124</v>
      </c>
      <c r="K1410" s="1" t="s">
        <v>160</v>
      </c>
      <c r="L1410" s="1" t="s">
        <v>253</v>
      </c>
      <c r="M1410" s="1" t="s">
        <v>131</v>
      </c>
      <c r="Q1410" s="1" t="s">
        <v>137</v>
      </c>
      <c r="R1410" s="1" t="s">
        <v>137</v>
      </c>
      <c r="S1410" s="1" t="s">
        <v>47</v>
      </c>
      <c r="T1410" s="1" t="s">
        <v>4301</v>
      </c>
      <c r="U1410" s="1" t="s">
        <v>1577</v>
      </c>
      <c r="V1410" s="1" t="s">
        <v>4950</v>
      </c>
      <c r="W1410" s="3"/>
    </row>
    <row r="1411">
      <c r="A1411" s="1" t="s">
        <v>16290</v>
      </c>
      <c r="B1411" s="1" t="s">
        <v>13351</v>
      </c>
      <c r="C1411" s="1" t="s">
        <v>13351</v>
      </c>
      <c r="D1411" s="1" t="s">
        <v>4293</v>
      </c>
      <c r="E1411" s="1" t="s">
        <v>16291</v>
      </c>
      <c r="F1411" s="1" t="s">
        <v>16292</v>
      </c>
      <c r="G1411" s="3">
        <v>45936.0</v>
      </c>
      <c r="H1411" s="3"/>
      <c r="I1411" s="3"/>
      <c r="J1411" s="1" t="s">
        <v>124</v>
      </c>
      <c r="K1411" s="1" t="s">
        <v>160</v>
      </c>
      <c r="L1411" s="1" t="s">
        <v>253</v>
      </c>
      <c r="M1411" s="1" t="s">
        <v>131</v>
      </c>
      <c r="Q1411" s="1" t="s">
        <v>137</v>
      </c>
      <c r="R1411" s="1" t="s">
        <v>137</v>
      </c>
      <c r="S1411" s="1" t="s">
        <v>47</v>
      </c>
      <c r="T1411" s="1" t="s">
        <v>4301</v>
      </c>
      <c r="U1411" s="1" t="s">
        <v>1577</v>
      </c>
      <c r="V1411" s="1" t="s">
        <v>3858</v>
      </c>
      <c r="W1411" s="3"/>
      <c r="X1411" s="3"/>
    </row>
    <row r="1412">
      <c r="A1412" s="1" t="s">
        <v>16293</v>
      </c>
      <c r="B1412" s="1" t="s">
        <v>13351</v>
      </c>
      <c r="C1412" s="1" t="s">
        <v>13351</v>
      </c>
      <c r="D1412" s="1" t="s">
        <v>4293</v>
      </c>
      <c r="E1412" s="1" t="s">
        <v>16291</v>
      </c>
      <c r="F1412" s="1" t="s">
        <v>16294</v>
      </c>
      <c r="G1412" s="3">
        <v>45936.0</v>
      </c>
      <c r="H1412" s="3"/>
      <c r="I1412" s="3"/>
      <c r="J1412" s="1" t="s">
        <v>124</v>
      </c>
      <c r="K1412" s="1" t="s">
        <v>160</v>
      </c>
      <c r="L1412" s="1" t="s">
        <v>253</v>
      </c>
      <c r="M1412" s="1" t="s">
        <v>131</v>
      </c>
      <c r="Q1412" s="1" t="s">
        <v>137</v>
      </c>
      <c r="R1412" s="1" t="s">
        <v>137</v>
      </c>
      <c r="S1412" s="1" t="s">
        <v>47</v>
      </c>
      <c r="T1412" s="1" t="s">
        <v>4301</v>
      </c>
      <c r="U1412" s="1" t="s">
        <v>1577</v>
      </c>
      <c r="V1412" s="1" t="s">
        <v>4950</v>
      </c>
      <c r="W1412" s="3"/>
      <c r="X1412" s="3"/>
    </row>
    <row r="1413">
      <c r="A1413" s="1" t="s">
        <v>16295</v>
      </c>
      <c r="B1413" s="1" t="s">
        <v>10950</v>
      </c>
      <c r="C1413" s="1" t="s">
        <v>10950</v>
      </c>
      <c r="D1413" s="1" t="s">
        <v>4293</v>
      </c>
      <c r="E1413" s="1" t="s">
        <v>10951</v>
      </c>
      <c r="F1413" s="1" t="s">
        <v>16296</v>
      </c>
      <c r="G1413" s="3">
        <v>45166.0</v>
      </c>
      <c r="H1413" s="3">
        <v>45298.0</v>
      </c>
      <c r="I1413" s="3">
        <v>45298.0</v>
      </c>
      <c r="J1413" s="1" t="s">
        <v>215</v>
      </c>
      <c r="K1413" s="1" t="s">
        <v>160</v>
      </c>
      <c r="L1413" s="1" t="s">
        <v>216</v>
      </c>
      <c r="M1413" s="1" t="s">
        <v>131</v>
      </c>
      <c r="Q1413" s="1" t="s">
        <v>137</v>
      </c>
      <c r="R1413" s="1" t="s">
        <v>137</v>
      </c>
      <c r="S1413" s="1" t="s">
        <v>47</v>
      </c>
      <c r="T1413" s="1" t="s">
        <v>4301</v>
      </c>
      <c r="U1413" s="1" t="s">
        <v>1577</v>
      </c>
      <c r="V1413" s="1" t="s">
        <v>3858</v>
      </c>
      <c r="W1413" s="3">
        <v>45298.0</v>
      </c>
      <c r="X1413" s="3">
        <v>45298.0</v>
      </c>
    </row>
    <row r="1414">
      <c r="A1414" s="1" t="s">
        <v>16297</v>
      </c>
      <c r="B1414" s="1" t="s">
        <v>14056</v>
      </c>
      <c r="C1414" s="1" t="s">
        <v>14056</v>
      </c>
      <c r="D1414" s="1" t="s">
        <v>4293</v>
      </c>
      <c r="E1414" s="1" t="s">
        <v>9793</v>
      </c>
      <c r="F1414" s="1" t="s">
        <v>16298</v>
      </c>
      <c r="G1414" s="3">
        <v>45945.0</v>
      </c>
      <c r="H1414" s="3"/>
      <c r="I1414" s="3"/>
      <c r="J1414" s="1" t="s">
        <v>124</v>
      </c>
      <c r="K1414" s="1" t="s">
        <v>160</v>
      </c>
      <c r="L1414" s="1" t="s">
        <v>253</v>
      </c>
      <c r="M1414" s="1" t="s">
        <v>131</v>
      </c>
      <c r="Q1414" s="1" t="s">
        <v>137</v>
      </c>
      <c r="R1414" s="1" t="s">
        <v>137</v>
      </c>
      <c r="S1414" s="1" t="s">
        <v>47</v>
      </c>
      <c r="T1414" s="1" t="s">
        <v>4301</v>
      </c>
      <c r="U1414" s="1" t="s">
        <v>1577</v>
      </c>
      <c r="V1414" s="1" t="s">
        <v>3858</v>
      </c>
      <c r="W1414" s="3"/>
      <c r="X1414" s="3"/>
    </row>
    <row r="1415">
      <c r="A1415" s="1" t="s">
        <v>16299</v>
      </c>
      <c r="B1415" s="1" t="s">
        <v>14056</v>
      </c>
      <c r="C1415" s="1" t="s">
        <v>14056</v>
      </c>
      <c r="D1415" s="1" t="s">
        <v>4293</v>
      </c>
      <c r="E1415" s="1" t="s">
        <v>9793</v>
      </c>
      <c r="F1415" s="1" t="s">
        <v>16300</v>
      </c>
      <c r="G1415" s="3">
        <v>45945.0</v>
      </c>
      <c r="H1415" s="3"/>
      <c r="I1415" s="3"/>
      <c r="J1415" s="1" t="s">
        <v>124</v>
      </c>
      <c r="K1415" s="1" t="s">
        <v>160</v>
      </c>
      <c r="L1415" s="1" t="s">
        <v>253</v>
      </c>
      <c r="M1415" s="1" t="s">
        <v>131</v>
      </c>
      <c r="Q1415" s="1" t="s">
        <v>137</v>
      </c>
      <c r="R1415" s="1" t="s">
        <v>137</v>
      </c>
      <c r="S1415" s="1" t="s">
        <v>47</v>
      </c>
      <c r="T1415" s="1" t="s">
        <v>4301</v>
      </c>
      <c r="U1415" s="1" t="s">
        <v>1577</v>
      </c>
      <c r="V1415" s="1" t="s">
        <v>4950</v>
      </c>
      <c r="W1415" s="3"/>
      <c r="X1415" s="3"/>
    </row>
    <row r="1416">
      <c r="A1416" s="1" t="s">
        <v>16301</v>
      </c>
      <c r="B1416" s="1" t="s">
        <v>10955</v>
      </c>
      <c r="C1416" s="1" t="s">
        <v>10955</v>
      </c>
      <c r="D1416" s="1" t="s">
        <v>4293</v>
      </c>
      <c r="E1416" s="1" t="s">
        <v>10956</v>
      </c>
      <c r="F1416" s="1" t="s">
        <v>16302</v>
      </c>
      <c r="G1416" s="3">
        <v>45190.0</v>
      </c>
      <c r="H1416" s="3">
        <v>45427.0</v>
      </c>
      <c r="I1416" s="3">
        <v>45427.0</v>
      </c>
      <c r="J1416" s="1" t="s">
        <v>215</v>
      </c>
      <c r="K1416" s="1" t="s">
        <v>160</v>
      </c>
      <c r="L1416" s="1" t="s">
        <v>216</v>
      </c>
      <c r="M1416" s="1" t="s">
        <v>131</v>
      </c>
      <c r="Q1416" s="1" t="s">
        <v>137</v>
      </c>
      <c r="R1416" s="1" t="s">
        <v>137</v>
      </c>
      <c r="S1416" s="1" t="s">
        <v>47</v>
      </c>
      <c r="T1416" s="1" t="s">
        <v>4301</v>
      </c>
      <c r="U1416" s="1" t="s">
        <v>1577</v>
      </c>
      <c r="V1416" s="1" t="s">
        <v>3858</v>
      </c>
      <c r="W1416" s="3">
        <v>45427.0</v>
      </c>
      <c r="X1416" s="3">
        <v>45427.0</v>
      </c>
    </row>
    <row r="1417">
      <c r="A1417" s="1" t="s">
        <v>16303</v>
      </c>
      <c r="B1417" s="1" t="s">
        <v>6747</v>
      </c>
      <c r="C1417" s="1" t="s">
        <v>6747</v>
      </c>
      <c r="D1417" s="1" t="s">
        <v>4293</v>
      </c>
      <c r="E1417" s="1" t="s">
        <v>3786</v>
      </c>
      <c r="F1417" s="1" t="s">
        <v>16304</v>
      </c>
      <c r="G1417" s="3">
        <v>45064.0</v>
      </c>
      <c r="H1417" s="3">
        <v>45334.0</v>
      </c>
      <c r="I1417" s="3">
        <v>45334.0</v>
      </c>
      <c r="J1417" s="1" t="s">
        <v>215</v>
      </c>
      <c r="K1417" s="1" t="s">
        <v>160</v>
      </c>
      <c r="L1417" s="1" t="s">
        <v>216</v>
      </c>
      <c r="M1417" s="1" t="s">
        <v>131</v>
      </c>
      <c r="Q1417" s="1" t="s">
        <v>137</v>
      </c>
      <c r="R1417" s="1" t="s">
        <v>137</v>
      </c>
      <c r="S1417" s="1" t="s">
        <v>47</v>
      </c>
      <c r="T1417" s="1" t="s">
        <v>4301</v>
      </c>
      <c r="U1417" s="1" t="s">
        <v>1577</v>
      </c>
      <c r="V1417" s="1" t="s">
        <v>3858</v>
      </c>
      <c r="W1417" s="3">
        <v>45334.0</v>
      </c>
      <c r="X1417" s="3">
        <v>45334.0</v>
      </c>
    </row>
    <row r="1418">
      <c r="A1418" s="1" t="s">
        <v>16305</v>
      </c>
      <c r="B1418" s="1" t="s">
        <v>8073</v>
      </c>
      <c r="C1418" s="1" t="s">
        <v>8073</v>
      </c>
      <c r="D1418" s="1" t="s">
        <v>4293</v>
      </c>
      <c r="E1418" s="1" t="s">
        <v>10974</v>
      </c>
      <c r="F1418" s="1" t="s">
        <v>16306</v>
      </c>
      <c r="G1418" s="3">
        <v>44742.0</v>
      </c>
      <c r="H1418" s="3">
        <v>44979.0</v>
      </c>
      <c r="I1418" s="3">
        <v>44979.0</v>
      </c>
      <c r="J1418" s="1" t="s">
        <v>215</v>
      </c>
      <c r="K1418" s="1" t="s">
        <v>160</v>
      </c>
      <c r="L1418" s="1" t="s">
        <v>216</v>
      </c>
      <c r="M1418" s="1" t="s">
        <v>131</v>
      </c>
      <c r="Q1418" s="1" t="s">
        <v>137</v>
      </c>
      <c r="R1418" s="1" t="s">
        <v>137</v>
      </c>
      <c r="S1418" s="1" t="s">
        <v>47</v>
      </c>
      <c r="T1418" s="1" t="s">
        <v>4301</v>
      </c>
      <c r="U1418" s="1" t="s">
        <v>1577</v>
      </c>
      <c r="V1418" s="1" t="s">
        <v>3858</v>
      </c>
      <c r="W1418" s="3">
        <v>44979.0</v>
      </c>
      <c r="X1418" s="3">
        <v>44979.0</v>
      </c>
    </row>
    <row r="1419">
      <c r="A1419" s="1" t="s">
        <v>16307</v>
      </c>
      <c r="B1419" s="1" t="s">
        <v>8073</v>
      </c>
      <c r="C1419" s="1" t="s">
        <v>8073</v>
      </c>
      <c r="D1419" s="1" t="s">
        <v>4293</v>
      </c>
      <c r="E1419" s="1" t="s">
        <v>10974</v>
      </c>
      <c r="F1419" s="1" t="s">
        <v>16308</v>
      </c>
      <c r="G1419" s="3">
        <v>44742.0</v>
      </c>
      <c r="H1419" s="3">
        <v>44979.0</v>
      </c>
      <c r="I1419" s="3">
        <v>44979.0</v>
      </c>
      <c r="J1419" s="1" t="s">
        <v>215</v>
      </c>
      <c r="K1419" s="1" t="s">
        <v>160</v>
      </c>
      <c r="L1419" s="1" t="s">
        <v>216</v>
      </c>
      <c r="M1419" s="1" t="s">
        <v>131</v>
      </c>
      <c r="Q1419" s="1" t="s">
        <v>137</v>
      </c>
      <c r="R1419" s="1" t="s">
        <v>137</v>
      </c>
      <c r="S1419" s="1" t="s">
        <v>47</v>
      </c>
      <c r="T1419" s="1" t="s">
        <v>4301</v>
      </c>
      <c r="U1419" s="1" t="s">
        <v>1577</v>
      </c>
      <c r="V1419" s="1" t="s">
        <v>4054</v>
      </c>
      <c r="W1419" s="3">
        <v>44979.0</v>
      </c>
      <c r="X1419" s="3">
        <v>44979.0</v>
      </c>
    </row>
    <row r="1420">
      <c r="A1420" s="1" t="s">
        <v>16309</v>
      </c>
      <c r="B1420" s="1" t="s">
        <v>8073</v>
      </c>
      <c r="C1420" s="1" t="s">
        <v>8073</v>
      </c>
      <c r="D1420" s="1" t="s">
        <v>4293</v>
      </c>
      <c r="E1420" s="1" t="s">
        <v>10974</v>
      </c>
      <c r="F1420" s="1" t="s">
        <v>16310</v>
      </c>
      <c r="G1420" s="3">
        <v>44742.0</v>
      </c>
      <c r="H1420" s="3">
        <v>44979.0</v>
      </c>
      <c r="I1420" s="3">
        <v>44979.0</v>
      </c>
      <c r="J1420" s="1" t="s">
        <v>215</v>
      </c>
      <c r="K1420" s="1" t="s">
        <v>160</v>
      </c>
      <c r="L1420" s="1" t="s">
        <v>216</v>
      </c>
      <c r="M1420" s="1" t="s">
        <v>131</v>
      </c>
      <c r="Q1420" s="1" t="s">
        <v>137</v>
      </c>
      <c r="R1420" s="1" t="s">
        <v>137</v>
      </c>
      <c r="S1420" s="1" t="s">
        <v>47</v>
      </c>
      <c r="T1420" s="1" t="s">
        <v>4301</v>
      </c>
      <c r="U1420" s="1" t="s">
        <v>1577</v>
      </c>
      <c r="V1420" s="1" t="s">
        <v>4950</v>
      </c>
      <c r="W1420" s="3">
        <v>44979.0</v>
      </c>
      <c r="X1420" s="3">
        <v>44979.0</v>
      </c>
    </row>
    <row r="1421">
      <c r="A1421" s="1" t="s">
        <v>16311</v>
      </c>
      <c r="B1421" s="1" t="s">
        <v>7819</v>
      </c>
      <c r="C1421" s="1" t="s">
        <v>7819</v>
      </c>
      <c r="D1421" s="1" t="s">
        <v>4293</v>
      </c>
      <c r="E1421" s="1" t="s">
        <v>10981</v>
      </c>
      <c r="F1421" s="1" t="s">
        <v>16312</v>
      </c>
      <c r="G1421" s="3">
        <v>44496.0</v>
      </c>
      <c r="H1421" s="3">
        <v>44623.0</v>
      </c>
      <c r="I1421" s="3">
        <v>44623.0</v>
      </c>
      <c r="J1421" s="1" t="s">
        <v>215</v>
      </c>
      <c r="K1421" s="1" t="s">
        <v>160</v>
      </c>
      <c r="L1421" s="1" t="s">
        <v>216</v>
      </c>
      <c r="M1421" s="1" t="s">
        <v>131</v>
      </c>
      <c r="Q1421" s="1" t="s">
        <v>137</v>
      </c>
      <c r="R1421" s="1" t="s">
        <v>137</v>
      </c>
      <c r="S1421" s="1" t="s">
        <v>47</v>
      </c>
      <c r="T1421" s="1" t="s">
        <v>4301</v>
      </c>
      <c r="U1421" s="1" t="s">
        <v>1577</v>
      </c>
      <c r="V1421" s="1" t="s">
        <v>3858</v>
      </c>
      <c r="W1421" s="3">
        <v>44623.0</v>
      </c>
      <c r="X1421" s="3">
        <v>44623.0</v>
      </c>
    </row>
    <row r="1422">
      <c r="A1422" s="1" t="s">
        <v>16313</v>
      </c>
      <c r="B1422" s="1" t="s">
        <v>10986</v>
      </c>
      <c r="C1422" s="1" t="s">
        <v>10986</v>
      </c>
      <c r="D1422" s="1" t="s">
        <v>4293</v>
      </c>
      <c r="E1422" s="1" t="s">
        <v>10988</v>
      </c>
      <c r="F1422" s="1" t="s">
        <v>16314</v>
      </c>
      <c r="G1422" s="3">
        <v>44348.0</v>
      </c>
      <c r="H1422" s="3">
        <v>44348.0</v>
      </c>
      <c r="I1422" s="3">
        <v>44348.0</v>
      </c>
      <c r="J1422" s="1" t="s">
        <v>215</v>
      </c>
      <c r="K1422" s="1" t="s">
        <v>160</v>
      </c>
      <c r="L1422" s="1" t="s">
        <v>216</v>
      </c>
      <c r="M1422" s="1" t="s">
        <v>131</v>
      </c>
      <c r="Q1422" s="1" t="s">
        <v>137</v>
      </c>
      <c r="R1422" s="1" t="s">
        <v>137</v>
      </c>
      <c r="S1422" s="1" t="s">
        <v>47</v>
      </c>
      <c r="T1422" s="1" t="s">
        <v>4301</v>
      </c>
      <c r="U1422" s="1" t="s">
        <v>1577</v>
      </c>
      <c r="V1422" s="1" t="s">
        <v>3858</v>
      </c>
      <c r="W1422" s="3">
        <v>44348.0</v>
      </c>
      <c r="X1422" s="3">
        <v>44348.0</v>
      </c>
    </row>
    <row r="1423">
      <c r="A1423" s="1" t="s">
        <v>16315</v>
      </c>
      <c r="B1423" s="1" t="s">
        <v>10986</v>
      </c>
      <c r="C1423" s="1" t="s">
        <v>10986</v>
      </c>
      <c r="D1423" s="1" t="s">
        <v>4293</v>
      </c>
      <c r="E1423" s="1" t="s">
        <v>10988</v>
      </c>
      <c r="F1423" s="1" t="s">
        <v>16316</v>
      </c>
      <c r="G1423" s="3">
        <v>44348.0</v>
      </c>
      <c r="H1423" s="3">
        <v>44348.0</v>
      </c>
      <c r="I1423" s="3">
        <v>44348.0</v>
      </c>
      <c r="J1423" s="1" t="s">
        <v>215</v>
      </c>
      <c r="K1423" s="1" t="s">
        <v>160</v>
      </c>
      <c r="L1423" s="1" t="s">
        <v>216</v>
      </c>
      <c r="M1423" s="1" t="s">
        <v>131</v>
      </c>
      <c r="Q1423" s="1" t="s">
        <v>137</v>
      </c>
      <c r="R1423" s="1" t="s">
        <v>137</v>
      </c>
      <c r="S1423" s="1" t="s">
        <v>47</v>
      </c>
      <c r="T1423" s="1" t="s">
        <v>4301</v>
      </c>
      <c r="U1423" s="1" t="s">
        <v>1577</v>
      </c>
      <c r="V1423" s="1" t="s">
        <v>4950</v>
      </c>
      <c r="W1423" s="3">
        <v>44348.0</v>
      </c>
      <c r="X1423" s="3">
        <v>44348.0</v>
      </c>
    </row>
    <row r="1424">
      <c r="A1424" s="1" t="s">
        <v>16317</v>
      </c>
      <c r="B1424" s="1" t="s">
        <v>10994</v>
      </c>
      <c r="C1424" s="1" t="s">
        <v>10994</v>
      </c>
      <c r="D1424" s="1" t="s">
        <v>4293</v>
      </c>
      <c r="E1424" s="1" t="s">
        <v>10995</v>
      </c>
      <c r="F1424" s="1" t="s">
        <v>16318</v>
      </c>
      <c r="G1424" s="3">
        <v>44307.0</v>
      </c>
      <c r="H1424" s="3">
        <v>43993.0</v>
      </c>
      <c r="I1424" s="3">
        <v>43993.0</v>
      </c>
      <c r="J1424" s="1" t="s">
        <v>215</v>
      </c>
      <c r="K1424" s="1" t="s">
        <v>160</v>
      </c>
      <c r="L1424" s="1" t="s">
        <v>216</v>
      </c>
      <c r="M1424" s="1" t="s">
        <v>131</v>
      </c>
      <c r="Q1424" s="1" t="s">
        <v>137</v>
      </c>
      <c r="R1424" s="1" t="s">
        <v>137</v>
      </c>
      <c r="S1424" s="1" t="s">
        <v>47</v>
      </c>
      <c r="T1424" s="1" t="s">
        <v>4301</v>
      </c>
      <c r="U1424" s="1" t="s">
        <v>1577</v>
      </c>
      <c r="V1424" s="1" t="s">
        <v>3858</v>
      </c>
      <c r="W1424" s="3">
        <v>43993.0</v>
      </c>
      <c r="X1424" s="3">
        <v>43993.0</v>
      </c>
    </row>
    <row r="1425">
      <c r="A1425" s="1" t="s">
        <v>16319</v>
      </c>
      <c r="B1425" s="1" t="s">
        <v>10994</v>
      </c>
      <c r="C1425" s="1" t="s">
        <v>10994</v>
      </c>
      <c r="D1425" s="1" t="s">
        <v>4293</v>
      </c>
      <c r="E1425" s="1" t="s">
        <v>10995</v>
      </c>
      <c r="F1425" s="1" t="s">
        <v>16320</v>
      </c>
      <c r="G1425" s="3">
        <v>44307.0</v>
      </c>
      <c r="H1425" s="3">
        <v>43993.0</v>
      </c>
      <c r="I1425" s="3">
        <v>43993.0</v>
      </c>
      <c r="J1425" s="1" t="s">
        <v>215</v>
      </c>
      <c r="K1425" s="1" t="s">
        <v>160</v>
      </c>
      <c r="L1425" s="1" t="s">
        <v>216</v>
      </c>
      <c r="M1425" s="1" t="s">
        <v>131</v>
      </c>
      <c r="Q1425" s="1" t="s">
        <v>137</v>
      </c>
      <c r="R1425" s="1" t="s">
        <v>137</v>
      </c>
      <c r="S1425" s="1" t="s">
        <v>47</v>
      </c>
      <c r="T1425" s="1" t="s">
        <v>4301</v>
      </c>
      <c r="U1425" s="1" t="s">
        <v>1577</v>
      </c>
      <c r="V1425" s="1" t="s">
        <v>7314</v>
      </c>
      <c r="W1425" s="3">
        <v>43993.0</v>
      </c>
      <c r="X1425" s="3">
        <v>43993.0</v>
      </c>
    </row>
    <row r="1426">
      <c r="A1426" s="1" t="s">
        <v>16321</v>
      </c>
      <c r="B1426" s="1" t="s">
        <v>10994</v>
      </c>
      <c r="C1426" s="1" t="s">
        <v>10994</v>
      </c>
      <c r="D1426" s="1" t="s">
        <v>4293</v>
      </c>
      <c r="E1426" s="1" t="s">
        <v>10995</v>
      </c>
      <c r="F1426" s="1" t="s">
        <v>16322</v>
      </c>
      <c r="G1426" s="3">
        <v>44307.0</v>
      </c>
      <c r="H1426" s="3">
        <v>43993.0</v>
      </c>
      <c r="I1426" s="3">
        <v>43993.0</v>
      </c>
      <c r="J1426" s="1" t="s">
        <v>215</v>
      </c>
      <c r="K1426" s="1" t="s">
        <v>160</v>
      </c>
      <c r="L1426" s="1" t="s">
        <v>216</v>
      </c>
      <c r="M1426" s="1" t="s">
        <v>131</v>
      </c>
      <c r="Q1426" s="1" t="s">
        <v>137</v>
      </c>
      <c r="R1426" s="1" t="s">
        <v>137</v>
      </c>
      <c r="S1426" s="1" t="s">
        <v>47</v>
      </c>
      <c r="T1426" s="1" t="s">
        <v>4301</v>
      </c>
      <c r="U1426" s="1" t="s">
        <v>1577</v>
      </c>
      <c r="V1426" s="1" t="s">
        <v>4950</v>
      </c>
      <c r="W1426" s="3">
        <v>43993.0</v>
      </c>
      <c r="X1426" s="3">
        <v>43993.0</v>
      </c>
    </row>
    <row r="1427">
      <c r="A1427" s="1" t="s">
        <v>16323</v>
      </c>
      <c r="B1427" s="1" t="s">
        <v>11001</v>
      </c>
      <c r="C1427" s="1" t="s">
        <v>11001</v>
      </c>
      <c r="D1427" s="1" t="s">
        <v>4293</v>
      </c>
      <c r="E1427" s="1" t="s">
        <v>11003</v>
      </c>
      <c r="F1427" s="1" t="s">
        <v>16324</v>
      </c>
      <c r="G1427" s="3">
        <v>44329.0</v>
      </c>
      <c r="H1427" s="3">
        <v>44560.0</v>
      </c>
      <c r="I1427" s="3">
        <v>44560.0</v>
      </c>
      <c r="J1427" s="1" t="s">
        <v>215</v>
      </c>
      <c r="K1427" s="1" t="s">
        <v>160</v>
      </c>
      <c r="L1427" s="1" t="s">
        <v>216</v>
      </c>
      <c r="M1427" s="1" t="s">
        <v>131</v>
      </c>
      <c r="Q1427" s="1" t="s">
        <v>137</v>
      </c>
      <c r="R1427" s="1" t="s">
        <v>137</v>
      </c>
      <c r="S1427" s="1" t="s">
        <v>47</v>
      </c>
      <c r="T1427" s="1" t="s">
        <v>4301</v>
      </c>
      <c r="U1427" s="1" t="s">
        <v>1577</v>
      </c>
      <c r="V1427" s="1" t="s">
        <v>3858</v>
      </c>
      <c r="W1427" s="3">
        <v>44560.0</v>
      </c>
      <c r="X1427" s="3">
        <v>44560.0</v>
      </c>
    </row>
    <row r="1428">
      <c r="A1428" s="1" t="s">
        <v>16325</v>
      </c>
      <c r="B1428" s="1" t="s">
        <v>11001</v>
      </c>
      <c r="C1428" s="1" t="s">
        <v>11001</v>
      </c>
      <c r="D1428" s="1" t="s">
        <v>4293</v>
      </c>
      <c r="E1428" s="1" t="s">
        <v>11003</v>
      </c>
      <c r="F1428" s="1" t="s">
        <v>16326</v>
      </c>
      <c r="G1428" s="3">
        <v>44329.0</v>
      </c>
      <c r="H1428" s="3">
        <v>44560.0</v>
      </c>
      <c r="I1428" s="3">
        <v>44560.0</v>
      </c>
      <c r="J1428" s="1" t="s">
        <v>215</v>
      </c>
      <c r="K1428" s="1" t="s">
        <v>160</v>
      </c>
      <c r="L1428" s="1" t="s">
        <v>216</v>
      </c>
      <c r="M1428" s="1" t="s">
        <v>131</v>
      </c>
      <c r="Q1428" s="1" t="s">
        <v>137</v>
      </c>
      <c r="R1428" s="1" t="s">
        <v>137</v>
      </c>
      <c r="S1428" s="1" t="s">
        <v>47</v>
      </c>
      <c r="T1428" s="1" t="s">
        <v>4301</v>
      </c>
      <c r="U1428" s="1" t="s">
        <v>1577</v>
      </c>
      <c r="V1428" s="1" t="s">
        <v>3865</v>
      </c>
      <c r="W1428" s="3">
        <v>44560.0</v>
      </c>
      <c r="X1428" s="3">
        <v>44560.0</v>
      </c>
    </row>
    <row r="1429">
      <c r="A1429" s="1" t="s">
        <v>16327</v>
      </c>
      <c r="B1429" s="1" t="s">
        <v>11001</v>
      </c>
      <c r="C1429" s="1" t="s">
        <v>11001</v>
      </c>
      <c r="D1429" s="1" t="s">
        <v>4293</v>
      </c>
      <c r="E1429" s="1" t="s">
        <v>11003</v>
      </c>
      <c r="F1429" s="1" t="s">
        <v>16328</v>
      </c>
      <c r="G1429" s="3">
        <v>44329.0</v>
      </c>
      <c r="H1429" s="3">
        <v>44560.0</v>
      </c>
      <c r="I1429" s="3">
        <v>44560.0</v>
      </c>
      <c r="J1429" s="1" t="s">
        <v>215</v>
      </c>
      <c r="K1429" s="1" t="s">
        <v>160</v>
      </c>
      <c r="L1429" s="1" t="s">
        <v>216</v>
      </c>
      <c r="M1429" s="1" t="s">
        <v>131</v>
      </c>
      <c r="Q1429" s="1" t="s">
        <v>137</v>
      </c>
      <c r="R1429" s="1" t="s">
        <v>137</v>
      </c>
      <c r="S1429" s="1" t="s">
        <v>47</v>
      </c>
      <c r="T1429" s="1" t="s">
        <v>4301</v>
      </c>
      <c r="U1429" s="1" t="s">
        <v>1577</v>
      </c>
      <c r="V1429" s="1" t="s">
        <v>4950</v>
      </c>
      <c r="W1429" s="3">
        <v>44560.0</v>
      </c>
      <c r="X1429" s="3">
        <v>44560.0</v>
      </c>
    </row>
    <row r="1430">
      <c r="A1430" s="1" t="s">
        <v>16329</v>
      </c>
      <c r="B1430" s="1" t="s">
        <v>11009</v>
      </c>
      <c r="C1430" s="1" t="s">
        <v>11009</v>
      </c>
      <c r="D1430" s="1" t="s">
        <v>4293</v>
      </c>
      <c r="E1430" s="1" t="s">
        <v>11011</v>
      </c>
      <c r="F1430" s="1" t="s">
        <v>16330</v>
      </c>
      <c r="G1430" s="3">
        <v>44148.0</v>
      </c>
      <c r="H1430" s="3">
        <v>44301.0</v>
      </c>
      <c r="I1430" s="3">
        <v>44301.0</v>
      </c>
      <c r="J1430" s="1" t="s">
        <v>215</v>
      </c>
      <c r="K1430" s="1" t="s">
        <v>160</v>
      </c>
      <c r="L1430" s="1" t="s">
        <v>216</v>
      </c>
      <c r="M1430" s="1" t="s">
        <v>131</v>
      </c>
      <c r="Q1430" s="1" t="s">
        <v>137</v>
      </c>
      <c r="R1430" s="1" t="s">
        <v>137</v>
      </c>
      <c r="S1430" s="1" t="s">
        <v>47</v>
      </c>
      <c r="T1430" s="1" t="s">
        <v>4301</v>
      </c>
      <c r="U1430" s="1" t="s">
        <v>1577</v>
      </c>
      <c r="V1430" s="1" t="s">
        <v>3858</v>
      </c>
      <c r="W1430" s="3">
        <v>44301.0</v>
      </c>
      <c r="X1430" s="3">
        <v>44301.0</v>
      </c>
    </row>
    <row r="1431">
      <c r="A1431" s="1" t="s">
        <v>16331</v>
      </c>
      <c r="B1431" s="1" t="s">
        <v>11009</v>
      </c>
      <c r="C1431" s="1" t="s">
        <v>11009</v>
      </c>
      <c r="D1431" s="1" t="s">
        <v>4293</v>
      </c>
      <c r="E1431" s="1" t="s">
        <v>11011</v>
      </c>
      <c r="F1431" s="1" t="s">
        <v>16332</v>
      </c>
      <c r="G1431" s="3">
        <v>44148.0</v>
      </c>
      <c r="H1431" s="3">
        <v>44301.0</v>
      </c>
      <c r="I1431" s="3">
        <v>44301.0</v>
      </c>
      <c r="J1431" s="1" t="s">
        <v>215</v>
      </c>
      <c r="K1431" s="1" t="s">
        <v>160</v>
      </c>
      <c r="L1431" s="1" t="s">
        <v>216</v>
      </c>
      <c r="M1431" s="1" t="s">
        <v>131</v>
      </c>
      <c r="Q1431" s="1" t="s">
        <v>137</v>
      </c>
      <c r="R1431" s="1" t="s">
        <v>137</v>
      </c>
      <c r="S1431" s="1" t="s">
        <v>47</v>
      </c>
      <c r="T1431" s="1" t="s">
        <v>4301</v>
      </c>
      <c r="U1431" s="1" t="s">
        <v>1577</v>
      </c>
      <c r="V1431" s="1" t="s">
        <v>3865</v>
      </c>
      <c r="W1431" s="3">
        <v>44301.0</v>
      </c>
      <c r="X1431" s="3">
        <v>44301.0</v>
      </c>
    </row>
    <row r="1432">
      <c r="A1432" s="1" t="s">
        <v>16333</v>
      </c>
      <c r="B1432" s="1" t="s">
        <v>11020</v>
      </c>
      <c r="C1432" s="1" t="s">
        <v>11020</v>
      </c>
      <c r="D1432" s="1" t="s">
        <v>4293</v>
      </c>
      <c r="E1432" s="1" t="s">
        <v>9249</v>
      </c>
      <c r="F1432" s="1" t="s">
        <v>16334</v>
      </c>
      <c r="G1432" s="3">
        <v>45628.0</v>
      </c>
      <c r="H1432" s="3">
        <v>45761.0</v>
      </c>
      <c r="I1432" s="3">
        <v>45761.0</v>
      </c>
      <c r="J1432" s="1" t="s">
        <v>215</v>
      </c>
      <c r="K1432" s="1" t="s">
        <v>160</v>
      </c>
      <c r="L1432" s="1" t="s">
        <v>216</v>
      </c>
      <c r="M1432" s="1" t="s">
        <v>131</v>
      </c>
      <c r="Q1432" s="1" t="s">
        <v>137</v>
      </c>
      <c r="R1432" s="1" t="s">
        <v>137</v>
      </c>
      <c r="S1432" s="1" t="s">
        <v>47</v>
      </c>
      <c r="T1432" s="1" t="s">
        <v>4301</v>
      </c>
      <c r="U1432" s="1" t="s">
        <v>1577</v>
      </c>
      <c r="V1432" s="1" t="s">
        <v>3858</v>
      </c>
      <c r="W1432" s="3">
        <v>45761.0</v>
      </c>
      <c r="X1432" s="3">
        <v>45761.0</v>
      </c>
    </row>
    <row r="1433">
      <c r="A1433" s="1" t="s">
        <v>16335</v>
      </c>
      <c r="B1433" s="1" t="s">
        <v>11020</v>
      </c>
      <c r="C1433" s="1" t="s">
        <v>11020</v>
      </c>
      <c r="D1433" s="1" t="s">
        <v>4293</v>
      </c>
      <c r="E1433" s="1" t="s">
        <v>9249</v>
      </c>
      <c r="F1433" s="1" t="s">
        <v>16336</v>
      </c>
      <c r="G1433" s="3">
        <v>45628.0</v>
      </c>
      <c r="H1433" s="3">
        <v>45761.0</v>
      </c>
      <c r="I1433" s="3">
        <v>45761.0</v>
      </c>
      <c r="J1433" s="1" t="s">
        <v>215</v>
      </c>
      <c r="K1433" s="1" t="s">
        <v>160</v>
      </c>
      <c r="L1433" s="1" t="s">
        <v>216</v>
      </c>
      <c r="M1433" s="1" t="s">
        <v>131</v>
      </c>
      <c r="Q1433" s="1" t="s">
        <v>137</v>
      </c>
      <c r="R1433" s="1" t="s">
        <v>137</v>
      </c>
      <c r="S1433" s="1" t="s">
        <v>47</v>
      </c>
      <c r="T1433" s="1" t="s">
        <v>4301</v>
      </c>
      <c r="U1433" s="1" t="s">
        <v>1577</v>
      </c>
      <c r="V1433" s="1" t="s">
        <v>3963</v>
      </c>
      <c r="W1433" s="3">
        <v>45761.0</v>
      </c>
      <c r="X1433" s="3">
        <v>45761.0</v>
      </c>
    </row>
    <row r="1434">
      <c r="A1434" s="1" t="s">
        <v>16337</v>
      </c>
      <c r="B1434" s="1" t="s">
        <v>11020</v>
      </c>
      <c r="C1434" s="1" t="s">
        <v>11020</v>
      </c>
      <c r="D1434" s="1" t="s">
        <v>4293</v>
      </c>
      <c r="E1434" s="1" t="s">
        <v>9249</v>
      </c>
      <c r="F1434" s="1" t="s">
        <v>16338</v>
      </c>
      <c r="G1434" s="3">
        <v>45628.0</v>
      </c>
      <c r="H1434" s="3">
        <v>45761.0</v>
      </c>
      <c r="I1434" s="3">
        <v>45761.0</v>
      </c>
      <c r="J1434" s="1" t="s">
        <v>215</v>
      </c>
      <c r="K1434" s="1" t="s">
        <v>160</v>
      </c>
      <c r="L1434" s="1" t="s">
        <v>216</v>
      </c>
      <c r="M1434" s="1" t="s">
        <v>131</v>
      </c>
      <c r="Q1434" s="1" t="s">
        <v>137</v>
      </c>
      <c r="R1434" s="1" t="s">
        <v>137</v>
      </c>
      <c r="S1434" s="1" t="s">
        <v>47</v>
      </c>
      <c r="T1434" s="1" t="s">
        <v>4301</v>
      </c>
      <c r="U1434" s="1" t="s">
        <v>1577</v>
      </c>
      <c r="V1434" s="1" t="s">
        <v>3865</v>
      </c>
      <c r="W1434" s="3">
        <v>45761.0</v>
      </c>
      <c r="X1434" s="3">
        <v>45761.0</v>
      </c>
    </row>
    <row r="1435">
      <c r="A1435" s="1" t="s">
        <v>16339</v>
      </c>
      <c r="B1435" s="1" t="s">
        <v>4563</v>
      </c>
      <c r="C1435" s="1" t="s">
        <v>4563</v>
      </c>
      <c r="D1435" s="1" t="s">
        <v>4293</v>
      </c>
      <c r="E1435" s="1" t="s">
        <v>11024</v>
      </c>
      <c r="F1435" s="1" t="s">
        <v>16340</v>
      </c>
      <c r="G1435" s="3">
        <v>44638.0</v>
      </c>
      <c r="H1435" s="3">
        <v>44887.0</v>
      </c>
      <c r="I1435" s="3">
        <v>44887.0</v>
      </c>
      <c r="J1435" s="1" t="s">
        <v>215</v>
      </c>
      <c r="K1435" s="1" t="s">
        <v>160</v>
      </c>
      <c r="L1435" s="1" t="s">
        <v>216</v>
      </c>
      <c r="M1435" s="1" t="s">
        <v>131</v>
      </c>
      <c r="Q1435" s="1" t="s">
        <v>137</v>
      </c>
      <c r="R1435" s="1" t="s">
        <v>137</v>
      </c>
      <c r="S1435" s="1" t="s">
        <v>47</v>
      </c>
      <c r="T1435" s="1" t="s">
        <v>4301</v>
      </c>
      <c r="U1435" s="1" t="s">
        <v>1577</v>
      </c>
      <c r="V1435" s="1" t="s">
        <v>3858</v>
      </c>
      <c r="W1435" s="3">
        <v>44887.0</v>
      </c>
      <c r="X1435" s="3">
        <v>44887.0</v>
      </c>
    </row>
    <row r="1436">
      <c r="A1436" s="1" t="s">
        <v>16341</v>
      </c>
      <c r="B1436" s="1" t="s">
        <v>6094</v>
      </c>
      <c r="C1436" s="1" t="s">
        <v>6094</v>
      </c>
      <c r="D1436" s="1" t="s">
        <v>4293</v>
      </c>
      <c r="E1436" s="1" t="s">
        <v>16342</v>
      </c>
      <c r="F1436" s="1" t="s">
        <v>16343</v>
      </c>
      <c r="G1436" s="3">
        <v>45950.0</v>
      </c>
      <c r="H1436" s="3"/>
      <c r="I1436" s="3"/>
      <c r="J1436" s="1" t="s">
        <v>124</v>
      </c>
      <c r="K1436" s="1" t="s">
        <v>160</v>
      </c>
      <c r="L1436" s="1" t="s">
        <v>253</v>
      </c>
      <c r="M1436" s="1" t="s">
        <v>131</v>
      </c>
      <c r="Q1436" s="1" t="s">
        <v>137</v>
      </c>
      <c r="R1436" s="1" t="s">
        <v>137</v>
      </c>
      <c r="S1436" s="1" t="s">
        <v>47</v>
      </c>
      <c r="T1436" s="1" t="s">
        <v>4301</v>
      </c>
      <c r="U1436" s="1" t="s">
        <v>1577</v>
      </c>
      <c r="V1436" s="1" t="s">
        <v>3858</v>
      </c>
      <c r="W1436" s="3"/>
      <c r="X1436" s="3"/>
    </row>
    <row r="1437">
      <c r="A1437" s="1" t="s">
        <v>16344</v>
      </c>
      <c r="B1437" s="1" t="s">
        <v>6094</v>
      </c>
      <c r="C1437" s="1" t="s">
        <v>6094</v>
      </c>
      <c r="D1437" s="1" t="s">
        <v>4293</v>
      </c>
      <c r="E1437" s="1" t="s">
        <v>16342</v>
      </c>
      <c r="F1437" s="1" t="s">
        <v>16345</v>
      </c>
      <c r="G1437" s="3">
        <v>45950.0</v>
      </c>
      <c r="H1437" s="3"/>
      <c r="I1437" s="3"/>
      <c r="J1437" s="1" t="s">
        <v>124</v>
      </c>
      <c r="K1437" s="1" t="s">
        <v>160</v>
      </c>
      <c r="L1437" s="1" t="s">
        <v>253</v>
      </c>
      <c r="M1437" s="1" t="s">
        <v>131</v>
      </c>
      <c r="Q1437" s="1" t="s">
        <v>137</v>
      </c>
      <c r="R1437" s="1" t="s">
        <v>137</v>
      </c>
      <c r="S1437" s="1" t="s">
        <v>47</v>
      </c>
      <c r="T1437" s="1" t="s">
        <v>4301</v>
      </c>
      <c r="U1437" s="1" t="s">
        <v>1577</v>
      </c>
      <c r="V1437" s="1" t="s">
        <v>4950</v>
      </c>
      <c r="W1437" s="3"/>
      <c r="X1437" s="13"/>
    </row>
    <row r="1438">
      <c r="A1438" s="1" t="s">
        <v>16346</v>
      </c>
      <c r="B1438" s="1" t="s">
        <v>8235</v>
      </c>
      <c r="C1438" s="1" t="s">
        <v>8235</v>
      </c>
      <c r="D1438" s="1" t="s">
        <v>4293</v>
      </c>
      <c r="E1438" s="1" t="s">
        <v>6911</v>
      </c>
      <c r="F1438" s="1" t="s">
        <v>16347</v>
      </c>
      <c r="G1438" s="3">
        <v>45618.0</v>
      </c>
      <c r="H1438" s="3">
        <v>45881.0</v>
      </c>
      <c r="I1438" s="3">
        <v>45881.0</v>
      </c>
      <c r="J1438" s="1" t="s">
        <v>215</v>
      </c>
      <c r="K1438" s="1" t="s">
        <v>160</v>
      </c>
      <c r="L1438" s="1" t="s">
        <v>216</v>
      </c>
      <c r="M1438" s="1" t="s">
        <v>131</v>
      </c>
      <c r="Q1438" s="1" t="s">
        <v>137</v>
      </c>
      <c r="R1438" s="1" t="s">
        <v>137</v>
      </c>
      <c r="S1438" s="1" t="s">
        <v>47</v>
      </c>
      <c r="T1438" s="1" t="s">
        <v>4301</v>
      </c>
      <c r="U1438" s="1" t="s">
        <v>1577</v>
      </c>
      <c r="V1438" s="1" t="s">
        <v>3858</v>
      </c>
      <c r="W1438" s="3">
        <v>45881.0</v>
      </c>
      <c r="X1438" s="3">
        <v>45881.0</v>
      </c>
    </row>
    <row r="1439">
      <c r="A1439" s="1" t="s">
        <v>16348</v>
      </c>
      <c r="B1439" s="1" t="s">
        <v>8235</v>
      </c>
      <c r="C1439" s="1" t="s">
        <v>8235</v>
      </c>
      <c r="D1439" s="1" t="s">
        <v>4293</v>
      </c>
      <c r="E1439" s="1" t="s">
        <v>6911</v>
      </c>
      <c r="F1439" s="1" t="s">
        <v>16349</v>
      </c>
      <c r="G1439" s="3">
        <v>45618.0</v>
      </c>
      <c r="H1439" s="3">
        <v>45881.0</v>
      </c>
      <c r="I1439" s="3">
        <v>45881.0</v>
      </c>
      <c r="J1439" s="1" t="s">
        <v>215</v>
      </c>
      <c r="K1439" s="1" t="s">
        <v>160</v>
      </c>
      <c r="L1439" s="1" t="s">
        <v>216</v>
      </c>
      <c r="M1439" s="1" t="s">
        <v>131</v>
      </c>
      <c r="Q1439" s="1" t="s">
        <v>137</v>
      </c>
      <c r="R1439" s="1" t="s">
        <v>137</v>
      </c>
      <c r="S1439" s="1" t="s">
        <v>47</v>
      </c>
      <c r="T1439" s="1" t="s">
        <v>4301</v>
      </c>
      <c r="U1439" s="1" t="s">
        <v>1577</v>
      </c>
      <c r="V1439" s="1" t="s">
        <v>4950</v>
      </c>
      <c r="W1439" s="3">
        <v>45881.0</v>
      </c>
      <c r="X1439" s="3">
        <v>45881.0</v>
      </c>
    </row>
    <row r="1440">
      <c r="A1440" s="1" t="s">
        <v>16350</v>
      </c>
      <c r="B1440" s="1" t="s">
        <v>10190</v>
      </c>
      <c r="C1440" s="1" t="s">
        <v>10190</v>
      </c>
      <c r="D1440" s="1" t="s">
        <v>4293</v>
      </c>
      <c r="E1440" s="1" t="s">
        <v>11036</v>
      </c>
      <c r="F1440" s="1" t="s">
        <v>16351</v>
      </c>
      <c r="G1440" s="3">
        <v>44552.0</v>
      </c>
      <c r="H1440" s="3">
        <v>44552.0</v>
      </c>
      <c r="I1440" s="3">
        <v>44552.0</v>
      </c>
      <c r="J1440" s="1" t="s">
        <v>215</v>
      </c>
      <c r="K1440" s="1" t="s">
        <v>160</v>
      </c>
      <c r="L1440" s="1" t="s">
        <v>216</v>
      </c>
      <c r="M1440" s="1" t="s">
        <v>131</v>
      </c>
      <c r="Q1440" s="1" t="s">
        <v>137</v>
      </c>
      <c r="R1440" s="1" t="s">
        <v>137</v>
      </c>
      <c r="S1440" s="1" t="s">
        <v>47</v>
      </c>
      <c r="T1440" s="1" t="s">
        <v>4301</v>
      </c>
      <c r="U1440" s="1" t="s">
        <v>1577</v>
      </c>
      <c r="V1440" s="1" t="s">
        <v>3858</v>
      </c>
      <c r="W1440" s="3">
        <v>44552.0</v>
      </c>
      <c r="X1440" s="3">
        <v>44552.0</v>
      </c>
    </row>
    <row r="1441">
      <c r="A1441" s="1" t="s">
        <v>16352</v>
      </c>
      <c r="B1441" s="1" t="s">
        <v>5592</v>
      </c>
      <c r="C1441" s="1" t="s">
        <v>5592</v>
      </c>
      <c r="D1441" s="1" t="s">
        <v>4293</v>
      </c>
      <c r="E1441" s="1" t="s">
        <v>11043</v>
      </c>
      <c r="F1441" s="1" t="s">
        <v>16353</v>
      </c>
      <c r="G1441" s="3">
        <v>45071.0</v>
      </c>
      <c r="H1441" s="3">
        <v>45180.0</v>
      </c>
      <c r="I1441" s="3">
        <v>45180.0</v>
      </c>
      <c r="J1441" s="1" t="s">
        <v>215</v>
      </c>
      <c r="K1441" s="1" t="s">
        <v>160</v>
      </c>
      <c r="L1441" s="1" t="s">
        <v>216</v>
      </c>
      <c r="M1441" s="1" t="s">
        <v>131</v>
      </c>
      <c r="Q1441" s="1" t="s">
        <v>137</v>
      </c>
      <c r="R1441" s="1" t="s">
        <v>137</v>
      </c>
      <c r="S1441" s="1" t="s">
        <v>47</v>
      </c>
      <c r="T1441" s="1" t="s">
        <v>4301</v>
      </c>
      <c r="U1441" s="1" t="s">
        <v>1577</v>
      </c>
      <c r="V1441" s="1" t="s">
        <v>3865</v>
      </c>
      <c r="W1441" s="3">
        <v>45180.0</v>
      </c>
      <c r="X1441" s="3">
        <v>45180.0</v>
      </c>
    </row>
    <row r="1442">
      <c r="A1442" s="1" t="s">
        <v>16354</v>
      </c>
      <c r="B1442" s="1" t="s">
        <v>5592</v>
      </c>
      <c r="C1442" s="1" t="s">
        <v>5592</v>
      </c>
      <c r="D1442" s="1" t="s">
        <v>4293</v>
      </c>
      <c r="E1442" s="1" t="s">
        <v>11043</v>
      </c>
      <c r="F1442" s="1" t="s">
        <v>16355</v>
      </c>
      <c r="G1442" s="3">
        <v>45071.0</v>
      </c>
      <c r="H1442" s="3">
        <v>45180.0</v>
      </c>
      <c r="I1442" s="3">
        <v>45180.0</v>
      </c>
      <c r="J1442" s="1" t="s">
        <v>215</v>
      </c>
      <c r="K1442" s="1" t="s">
        <v>160</v>
      </c>
      <c r="L1442" s="1" t="s">
        <v>216</v>
      </c>
      <c r="M1442" s="1" t="s">
        <v>131</v>
      </c>
      <c r="Q1442" s="1" t="s">
        <v>137</v>
      </c>
      <c r="R1442" s="1" t="s">
        <v>137</v>
      </c>
      <c r="S1442" s="1" t="s">
        <v>47</v>
      </c>
      <c r="T1442" s="1" t="s">
        <v>4301</v>
      </c>
      <c r="U1442" s="1" t="s">
        <v>1577</v>
      </c>
      <c r="V1442" s="1" t="s">
        <v>4950</v>
      </c>
      <c r="W1442" s="3">
        <v>45180.0</v>
      </c>
      <c r="X1442" s="3">
        <v>45180.0</v>
      </c>
    </row>
    <row r="1443">
      <c r="A1443" s="1" t="s">
        <v>16356</v>
      </c>
      <c r="B1443" s="1" t="s">
        <v>11047</v>
      </c>
      <c r="C1443" s="1" t="s">
        <v>11047</v>
      </c>
      <c r="D1443" s="1" t="s">
        <v>4293</v>
      </c>
      <c r="E1443" s="1" t="s">
        <v>11049</v>
      </c>
      <c r="F1443" s="1" t="s">
        <v>16357</v>
      </c>
      <c r="G1443" s="3">
        <v>45358.0</v>
      </c>
      <c r="H1443" s="3">
        <v>45471.0</v>
      </c>
      <c r="I1443" s="3">
        <v>45471.0</v>
      </c>
      <c r="J1443" s="1" t="s">
        <v>215</v>
      </c>
      <c r="K1443" s="1" t="s">
        <v>160</v>
      </c>
      <c r="L1443" s="1" t="s">
        <v>216</v>
      </c>
      <c r="M1443" s="1" t="s">
        <v>131</v>
      </c>
      <c r="Q1443" s="1" t="s">
        <v>137</v>
      </c>
      <c r="R1443" s="1" t="s">
        <v>137</v>
      </c>
      <c r="S1443" s="1" t="s">
        <v>47</v>
      </c>
      <c r="T1443" s="1" t="s">
        <v>4301</v>
      </c>
      <c r="U1443" s="1" t="s">
        <v>1577</v>
      </c>
      <c r="V1443" s="1" t="s">
        <v>3858</v>
      </c>
      <c r="W1443" s="3">
        <v>45471.0</v>
      </c>
      <c r="X1443" s="3">
        <v>45471.0</v>
      </c>
    </row>
    <row r="1444">
      <c r="A1444" s="1" t="s">
        <v>16358</v>
      </c>
      <c r="B1444" s="1" t="s">
        <v>11047</v>
      </c>
      <c r="C1444" s="1" t="s">
        <v>11047</v>
      </c>
      <c r="D1444" s="1" t="s">
        <v>4293</v>
      </c>
      <c r="E1444" s="1" t="s">
        <v>11049</v>
      </c>
      <c r="F1444" s="1" t="s">
        <v>16359</v>
      </c>
      <c r="G1444" s="3">
        <v>45358.0</v>
      </c>
      <c r="H1444" s="3">
        <v>45471.0</v>
      </c>
      <c r="I1444" s="3">
        <v>45471.0</v>
      </c>
      <c r="J1444" s="1" t="s">
        <v>215</v>
      </c>
      <c r="K1444" s="1" t="s">
        <v>160</v>
      </c>
      <c r="L1444" s="1" t="s">
        <v>216</v>
      </c>
      <c r="M1444" s="1" t="s">
        <v>131</v>
      </c>
      <c r="Q1444" s="1" t="s">
        <v>137</v>
      </c>
      <c r="R1444" s="1" t="s">
        <v>137</v>
      </c>
      <c r="S1444" s="1" t="s">
        <v>47</v>
      </c>
      <c r="T1444" s="1" t="s">
        <v>4301</v>
      </c>
      <c r="U1444" s="1" t="s">
        <v>1577</v>
      </c>
      <c r="V1444" s="1" t="s">
        <v>4950</v>
      </c>
      <c r="W1444" s="3">
        <v>45471.0</v>
      </c>
      <c r="X1444" s="3">
        <v>45471.0</v>
      </c>
    </row>
    <row r="1445">
      <c r="A1445" s="1" t="s">
        <v>16360</v>
      </c>
      <c r="B1445" s="1" t="s">
        <v>11052</v>
      </c>
      <c r="C1445" s="1" t="s">
        <v>11052</v>
      </c>
      <c r="D1445" s="1" t="s">
        <v>4293</v>
      </c>
      <c r="E1445" s="1" t="s">
        <v>11053</v>
      </c>
      <c r="F1445" s="1" t="s">
        <v>16361</v>
      </c>
      <c r="G1445" s="3">
        <v>43817.0</v>
      </c>
      <c r="H1445" s="3">
        <v>43836.0</v>
      </c>
      <c r="I1445" s="3">
        <v>43836.0</v>
      </c>
      <c r="J1445" s="1" t="s">
        <v>215</v>
      </c>
      <c r="K1445" s="1" t="s">
        <v>160</v>
      </c>
      <c r="L1445" s="1" t="s">
        <v>216</v>
      </c>
      <c r="M1445" s="1" t="s">
        <v>131</v>
      </c>
      <c r="Q1445" s="1" t="s">
        <v>137</v>
      </c>
      <c r="R1445" s="1" t="s">
        <v>137</v>
      </c>
      <c r="S1445" s="1" t="s">
        <v>47</v>
      </c>
      <c r="T1445" s="1" t="s">
        <v>4301</v>
      </c>
      <c r="U1445" s="1" t="s">
        <v>1577</v>
      </c>
      <c r="V1445" s="1" t="s">
        <v>3858</v>
      </c>
      <c r="W1445" s="3">
        <v>43836.0</v>
      </c>
      <c r="X1445" s="3">
        <v>43836.0</v>
      </c>
    </row>
    <row r="1446">
      <c r="A1446" s="1" t="s">
        <v>16362</v>
      </c>
      <c r="B1446" s="1" t="s">
        <v>10030</v>
      </c>
      <c r="C1446" s="1" t="s">
        <v>10030</v>
      </c>
      <c r="D1446" s="1" t="s">
        <v>4293</v>
      </c>
      <c r="E1446" s="1" t="s">
        <v>11061</v>
      </c>
      <c r="F1446" s="1" t="s">
        <v>16363</v>
      </c>
      <c r="G1446" s="3">
        <v>44371.0</v>
      </c>
      <c r="H1446" s="3">
        <v>44476.0</v>
      </c>
      <c r="I1446" s="3">
        <v>44476.0</v>
      </c>
      <c r="J1446" s="1" t="s">
        <v>215</v>
      </c>
      <c r="K1446" s="1" t="s">
        <v>160</v>
      </c>
      <c r="L1446" s="1" t="s">
        <v>216</v>
      </c>
      <c r="M1446" s="1" t="s">
        <v>131</v>
      </c>
      <c r="Q1446" s="1" t="s">
        <v>137</v>
      </c>
      <c r="R1446" s="1" t="s">
        <v>137</v>
      </c>
      <c r="S1446" s="1" t="s">
        <v>47</v>
      </c>
      <c r="T1446" s="1" t="s">
        <v>4301</v>
      </c>
      <c r="U1446" s="1" t="s">
        <v>1577</v>
      </c>
      <c r="V1446" s="1" t="s">
        <v>3858</v>
      </c>
      <c r="W1446" s="3">
        <v>44476.0</v>
      </c>
      <c r="X1446" s="3">
        <v>44476.0</v>
      </c>
    </row>
    <row r="1447">
      <c r="A1447" s="1" t="s">
        <v>16364</v>
      </c>
      <c r="B1447" s="1" t="s">
        <v>10030</v>
      </c>
      <c r="C1447" s="1" t="s">
        <v>10030</v>
      </c>
      <c r="D1447" s="1" t="s">
        <v>4293</v>
      </c>
      <c r="E1447" s="1" t="s">
        <v>11061</v>
      </c>
      <c r="F1447" s="1" t="s">
        <v>16365</v>
      </c>
      <c r="G1447" s="3">
        <v>44371.0</v>
      </c>
      <c r="H1447" s="3">
        <v>44476.0</v>
      </c>
      <c r="I1447" s="3">
        <v>44476.0</v>
      </c>
      <c r="J1447" s="1" t="s">
        <v>215</v>
      </c>
      <c r="K1447" s="1" t="s">
        <v>160</v>
      </c>
      <c r="L1447" s="1" t="s">
        <v>216</v>
      </c>
      <c r="M1447" s="1" t="s">
        <v>131</v>
      </c>
      <c r="Q1447" s="1" t="s">
        <v>137</v>
      </c>
      <c r="R1447" s="1" t="s">
        <v>137</v>
      </c>
      <c r="S1447" s="1" t="s">
        <v>47</v>
      </c>
      <c r="T1447" s="1" t="s">
        <v>4301</v>
      </c>
      <c r="U1447" s="1" t="s">
        <v>1577</v>
      </c>
      <c r="V1447" s="1" t="s">
        <v>4950</v>
      </c>
      <c r="W1447" s="3">
        <v>44476.0</v>
      </c>
      <c r="X1447" s="3">
        <v>44476.0</v>
      </c>
    </row>
    <row r="1448">
      <c r="A1448" s="1" t="s">
        <v>16366</v>
      </c>
      <c r="B1448" s="1" t="s">
        <v>5247</v>
      </c>
      <c r="C1448" s="1" t="s">
        <v>5247</v>
      </c>
      <c r="D1448" s="1" t="s">
        <v>4293</v>
      </c>
      <c r="E1448" s="1" t="s">
        <v>16367</v>
      </c>
      <c r="F1448" s="1" t="s">
        <v>16368</v>
      </c>
      <c r="G1448" s="3">
        <v>45449.0</v>
      </c>
      <c r="H1448" s="3"/>
      <c r="I1448" s="3"/>
      <c r="J1448" s="1" t="s">
        <v>124</v>
      </c>
      <c r="K1448" s="1" t="s">
        <v>160</v>
      </c>
      <c r="L1448" s="1" t="s">
        <v>253</v>
      </c>
      <c r="M1448" s="1" t="s">
        <v>131</v>
      </c>
      <c r="Q1448" s="1" t="s">
        <v>137</v>
      </c>
      <c r="R1448" s="1" t="s">
        <v>137</v>
      </c>
      <c r="S1448" s="1" t="s">
        <v>47</v>
      </c>
      <c r="T1448" s="1" t="s">
        <v>4301</v>
      </c>
      <c r="U1448" s="1" t="s">
        <v>1577</v>
      </c>
      <c r="V1448" s="1" t="s">
        <v>3858</v>
      </c>
      <c r="W1448" s="3"/>
      <c r="X1448" s="3"/>
    </row>
    <row r="1449">
      <c r="A1449" s="1" t="s">
        <v>16369</v>
      </c>
      <c r="B1449" s="1" t="s">
        <v>4464</v>
      </c>
      <c r="C1449" s="1" t="s">
        <v>4464</v>
      </c>
      <c r="D1449" s="1" t="s">
        <v>4293</v>
      </c>
      <c r="E1449" s="1" t="s">
        <v>11064</v>
      </c>
      <c r="F1449" s="1" t="s">
        <v>16370</v>
      </c>
      <c r="G1449" s="3">
        <v>45859.0</v>
      </c>
      <c r="H1449" s="3">
        <v>46162.0</v>
      </c>
      <c r="I1449" s="3">
        <v>46162.0</v>
      </c>
      <c r="J1449" s="1" t="s">
        <v>215</v>
      </c>
      <c r="K1449" s="1" t="s">
        <v>160</v>
      </c>
      <c r="L1449" s="1" t="s">
        <v>216</v>
      </c>
      <c r="M1449" s="1" t="s">
        <v>131</v>
      </c>
      <c r="Q1449" s="1" t="s">
        <v>137</v>
      </c>
      <c r="R1449" s="1" t="s">
        <v>137</v>
      </c>
      <c r="S1449" s="1" t="s">
        <v>47</v>
      </c>
      <c r="T1449" s="1" t="s">
        <v>4301</v>
      </c>
      <c r="U1449" s="1" t="s">
        <v>1577</v>
      </c>
      <c r="V1449" s="1" t="s">
        <v>3858</v>
      </c>
      <c r="W1449" s="3">
        <v>46162.0</v>
      </c>
      <c r="X1449" s="3">
        <v>46162.0</v>
      </c>
    </row>
    <row r="1450">
      <c r="A1450" s="1" t="s">
        <v>16371</v>
      </c>
      <c r="B1450" s="1" t="s">
        <v>4464</v>
      </c>
      <c r="C1450" s="1" t="s">
        <v>4464</v>
      </c>
      <c r="D1450" s="1" t="s">
        <v>4293</v>
      </c>
      <c r="E1450" s="1" t="s">
        <v>11064</v>
      </c>
      <c r="F1450" s="1" t="s">
        <v>16372</v>
      </c>
      <c r="G1450" s="3">
        <v>45859.0</v>
      </c>
      <c r="H1450" s="3">
        <v>46162.0</v>
      </c>
      <c r="I1450" s="3">
        <v>46162.0</v>
      </c>
      <c r="J1450" s="1" t="s">
        <v>215</v>
      </c>
      <c r="K1450" s="1" t="s">
        <v>160</v>
      </c>
      <c r="L1450" s="1" t="s">
        <v>216</v>
      </c>
      <c r="M1450" s="1" t="s">
        <v>131</v>
      </c>
      <c r="Q1450" s="1" t="s">
        <v>137</v>
      </c>
      <c r="R1450" s="1" t="s">
        <v>137</v>
      </c>
      <c r="S1450" s="1" t="s">
        <v>47</v>
      </c>
      <c r="T1450" s="1" t="s">
        <v>4301</v>
      </c>
      <c r="U1450" s="1" t="s">
        <v>1577</v>
      </c>
      <c r="V1450" s="1" t="s">
        <v>4950</v>
      </c>
      <c r="W1450" s="3">
        <v>46162.0</v>
      </c>
      <c r="X1450" s="3">
        <v>46162.0</v>
      </c>
    </row>
    <row r="1451">
      <c r="A1451" s="1" t="s">
        <v>16373</v>
      </c>
      <c r="B1451" s="1" t="s">
        <v>11071</v>
      </c>
      <c r="C1451" s="1" t="s">
        <v>11071</v>
      </c>
      <c r="D1451" s="1" t="s">
        <v>4293</v>
      </c>
      <c r="E1451" s="1" t="s">
        <v>11073</v>
      </c>
      <c r="F1451" s="1" t="s">
        <v>16374</v>
      </c>
      <c r="G1451" s="3">
        <v>45190.0</v>
      </c>
      <c r="H1451" s="3">
        <v>45746.0</v>
      </c>
      <c r="I1451" s="3">
        <v>45746.0</v>
      </c>
      <c r="J1451" s="1" t="s">
        <v>215</v>
      </c>
      <c r="K1451" s="1" t="s">
        <v>160</v>
      </c>
      <c r="L1451" s="1" t="s">
        <v>216</v>
      </c>
      <c r="M1451" s="1" t="s">
        <v>131</v>
      </c>
      <c r="Q1451" s="1" t="s">
        <v>137</v>
      </c>
      <c r="R1451" s="1" t="s">
        <v>137</v>
      </c>
      <c r="S1451" s="1" t="s">
        <v>47</v>
      </c>
      <c r="T1451" s="1" t="s">
        <v>4301</v>
      </c>
      <c r="U1451" s="1" t="s">
        <v>1577</v>
      </c>
      <c r="V1451" s="1" t="s">
        <v>3858</v>
      </c>
      <c r="W1451" s="3">
        <v>45746.0</v>
      </c>
      <c r="X1451" s="3">
        <v>45746.0</v>
      </c>
    </row>
    <row r="1452">
      <c r="A1452" s="1" t="s">
        <v>16375</v>
      </c>
      <c r="B1452" s="1" t="s">
        <v>11079</v>
      </c>
      <c r="C1452" s="1" t="s">
        <v>11079</v>
      </c>
      <c r="D1452" s="1" t="s">
        <v>4293</v>
      </c>
      <c r="E1452" s="1" t="s">
        <v>11080</v>
      </c>
      <c r="F1452" s="1" t="s">
        <v>16376</v>
      </c>
      <c r="G1452" s="3">
        <v>44785.0</v>
      </c>
      <c r="H1452" s="3">
        <v>44935.0</v>
      </c>
      <c r="I1452" s="3">
        <v>44935.0</v>
      </c>
      <c r="J1452" s="1" t="s">
        <v>215</v>
      </c>
      <c r="K1452" s="1" t="s">
        <v>160</v>
      </c>
      <c r="L1452" s="1" t="s">
        <v>216</v>
      </c>
      <c r="M1452" s="1" t="s">
        <v>131</v>
      </c>
      <c r="Q1452" s="1" t="s">
        <v>137</v>
      </c>
      <c r="R1452" s="1" t="s">
        <v>137</v>
      </c>
      <c r="S1452" s="1" t="s">
        <v>47</v>
      </c>
      <c r="T1452" s="1" t="s">
        <v>4301</v>
      </c>
      <c r="U1452" s="1" t="s">
        <v>1577</v>
      </c>
      <c r="V1452" s="1" t="s">
        <v>3858</v>
      </c>
      <c r="W1452" s="3">
        <v>44935.0</v>
      </c>
      <c r="X1452" s="3">
        <v>44935.0</v>
      </c>
    </row>
    <row r="1453">
      <c r="A1453" s="1" t="s">
        <v>16377</v>
      </c>
      <c r="B1453" s="1" t="s">
        <v>11085</v>
      </c>
      <c r="C1453" s="1" t="s">
        <v>11085</v>
      </c>
      <c r="D1453" s="1" t="s">
        <v>4293</v>
      </c>
      <c r="E1453" s="1" t="s">
        <v>11086</v>
      </c>
      <c r="F1453" s="1" t="s">
        <v>16378</v>
      </c>
      <c r="G1453" s="3">
        <v>43742.0</v>
      </c>
      <c r="H1453" s="3">
        <v>43787.0</v>
      </c>
      <c r="I1453" s="3">
        <v>43787.0</v>
      </c>
      <c r="J1453" s="1" t="s">
        <v>215</v>
      </c>
      <c r="K1453" s="1" t="s">
        <v>160</v>
      </c>
      <c r="L1453" s="1" t="s">
        <v>216</v>
      </c>
      <c r="M1453" s="1" t="s">
        <v>131</v>
      </c>
      <c r="Q1453" s="1" t="s">
        <v>137</v>
      </c>
      <c r="R1453" s="1" t="s">
        <v>137</v>
      </c>
      <c r="S1453" s="1" t="s">
        <v>47</v>
      </c>
      <c r="T1453" s="1" t="s">
        <v>4301</v>
      </c>
      <c r="U1453" s="1" t="s">
        <v>1577</v>
      </c>
      <c r="V1453" s="1" t="s">
        <v>3858</v>
      </c>
      <c r="W1453" s="3">
        <v>43787.0</v>
      </c>
      <c r="X1453" s="3">
        <v>43787.0</v>
      </c>
    </row>
    <row r="1454">
      <c r="A1454" s="1" t="s">
        <v>16379</v>
      </c>
      <c r="B1454" s="1" t="s">
        <v>8546</v>
      </c>
      <c r="C1454" s="1" t="s">
        <v>8546</v>
      </c>
      <c r="D1454" s="1" t="s">
        <v>4293</v>
      </c>
      <c r="E1454" s="1" t="s">
        <v>11093</v>
      </c>
      <c r="F1454" s="1" t="s">
        <v>16380</v>
      </c>
      <c r="G1454" s="3">
        <v>44935.0</v>
      </c>
      <c r="H1454" s="3">
        <v>44940.0</v>
      </c>
      <c r="I1454" s="3">
        <v>44940.0</v>
      </c>
      <c r="J1454" s="1" t="s">
        <v>215</v>
      </c>
      <c r="K1454" s="1" t="s">
        <v>160</v>
      </c>
      <c r="L1454" s="1" t="s">
        <v>216</v>
      </c>
      <c r="M1454" s="1" t="s">
        <v>131</v>
      </c>
      <c r="Q1454" s="1" t="s">
        <v>137</v>
      </c>
      <c r="R1454" s="1" t="s">
        <v>137</v>
      </c>
      <c r="S1454" s="1" t="s">
        <v>47</v>
      </c>
      <c r="T1454" s="1" t="s">
        <v>4301</v>
      </c>
      <c r="U1454" s="1" t="s">
        <v>1577</v>
      </c>
      <c r="V1454" s="1" t="s">
        <v>3858</v>
      </c>
      <c r="W1454" s="3">
        <v>44940.0</v>
      </c>
      <c r="X1454" s="3">
        <v>44940.0</v>
      </c>
    </row>
    <row r="1455">
      <c r="A1455" s="1" t="s">
        <v>16381</v>
      </c>
      <c r="B1455" s="1" t="s">
        <v>11100</v>
      </c>
      <c r="C1455" s="1" t="s">
        <v>11100</v>
      </c>
      <c r="D1455" s="1" t="s">
        <v>4293</v>
      </c>
      <c r="E1455" s="1" t="s">
        <v>11103</v>
      </c>
      <c r="F1455" s="1" t="s">
        <v>16382</v>
      </c>
      <c r="G1455" s="3">
        <v>44314.0</v>
      </c>
      <c r="H1455" s="3">
        <v>44255.0</v>
      </c>
      <c r="I1455" s="3">
        <v>44255.0</v>
      </c>
      <c r="J1455" s="1" t="s">
        <v>215</v>
      </c>
      <c r="K1455" s="1" t="s">
        <v>160</v>
      </c>
      <c r="L1455" s="1" t="s">
        <v>216</v>
      </c>
      <c r="M1455" s="1" t="s">
        <v>131</v>
      </c>
      <c r="Q1455" s="1" t="s">
        <v>137</v>
      </c>
      <c r="R1455" s="1" t="s">
        <v>137</v>
      </c>
      <c r="S1455" s="1" t="s">
        <v>47</v>
      </c>
      <c r="T1455" s="1" t="s">
        <v>4301</v>
      </c>
      <c r="U1455" s="1" t="s">
        <v>1577</v>
      </c>
      <c r="V1455" s="1" t="s">
        <v>3858</v>
      </c>
      <c r="W1455" s="3">
        <v>44255.0</v>
      </c>
      <c r="X1455" s="3">
        <v>44255.0</v>
      </c>
    </row>
    <row r="1456">
      <c r="A1456" s="1" t="s">
        <v>16383</v>
      </c>
      <c r="B1456" s="1" t="s">
        <v>11108</v>
      </c>
      <c r="C1456" s="1" t="s">
        <v>11108</v>
      </c>
      <c r="D1456" s="1" t="s">
        <v>4293</v>
      </c>
      <c r="E1456" s="1" t="s">
        <v>11110</v>
      </c>
      <c r="F1456" s="1" t="s">
        <v>16384</v>
      </c>
      <c r="G1456" s="3">
        <v>44901.0</v>
      </c>
      <c r="H1456" s="3">
        <v>45035.0</v>
      </c>
      <c r="I1456" s="3">
        <v>45035.0</v>
      </c>
      <c r="J1456" s="1" t="s">
        <v>215</v>
      </c>
      <c r="K1456" s="1" t="s">
        <v>160</v>
      </c>
      <c r="L1456" s="1" t="s">
        <v>216</v>
      </c>
      <c r="M1456" s="1" t="s">
        <v>131</v>
      </c>
      <c r="Q1456" s="1" t="s">
        <v>137</v>
      </c>
      <c r="R1456" s="1" t="s">
        <v>137</v>
      </c>
      <c r="S1456" s="1" t="s">
        <v>47</v>
      </c>
      <c r="T1456" s="1" t="s">
        <v>4301</v>
      </c>
      <c r="U1456" s="1" t="s">
        <v>1577</v>
      </c>
      <c r="V1456" s="1" t="s">
        <v>3858</v>
      </c>
      <c r="W1456" s="3">
        <v>45035.0</v>
      </c>
      <c r="X1456" s="3">
        <v>45035.0</v>
      </c>
    </row>
    <row r="1457">
      <c r="A1457" s="1" t="s">
        <v>16387</v>
      </c>
      <c r="B1457" s="1" t="s">
        <v>4962</v>
      </c>
      <c r="C1457" s="1" t="s">
        <v>4962</v>
      </c>
      <c r="D1457" s="1" t="s">
        <v>4293</v>
      </c>
      <c r="E1457" s="1" t="s">
        <v>11117</v>
      </c>
      <c r="F1457" s="1" t="s">
        <v>16392</v>
      </c>
      <c r="G1457" s="3">
        <v>44803.0</v>
      </c>
      <c r="H1457" s="3">
        <v>45019.0</v>
      </c>
      <c r="I1457" s="3">
        <v>45019.0</v>
      </c>
      <c r="J1457" s="1" t="s">
        <v>215</v>
      </c>
      <c r="K1457" s="1" t="s">
        <v>160</v>
      </c>
      <c r="L1457" s="1" t="s">
        <v>216</v>
      </c>
      <c r="M1457" s="1" t="s">
        <v>131</v>
      </c>
      <c r="Q1457" s="1" t="s">
        <v>137</v>
      </c>
      <c r="R1457" s="1" t="s">
        <v>137</v>
      </c>
      <c r="S1457" s="1" t="s">
        <v>47</v>
      </c>
      <c r="T1457" s="1" t="s">
        <v>4301</v>
      </c>
      <c r="U1457" s="1" t="s">
        <v>1577</v>
      </c>
      <c r="V1457" s="1" t="s">
        <v>3858</v>
      </c>
      <c r="W1457" s="3">
        <v>45019.0</v>
      </c>
      <c r="X1457" s="3">
        <v>45019.0</v>
      </c>
    </row>
    <row r="1458">
      <c r="A1458" s="1" t="s">
        <v>16397</v>
      </c>
      <c r="B1458" s="1" t="s">
        <v>4962</v>
      </c>
      <c r="C1458" s="1" t="s">
        <v>4962</v>
      </c>
      <c r="D1458" s="1" t="s">
        <v>4293</v>
      </c>
      <c r="E1458" s="1" t="s">
        <v>11117</v>
      </c>
      <c r="F1458" s="1" t="s">
        <v>16399</v>
      </c>
      <c r="G1458" s="3">
        <v>44803.0</v>
      </c>
      <c r="H1458" s="3">
        <v>45019.0</v>
      </c>
      <c r="I1458" s="3">
        <v>45019.0</v>
      </c>
      <c r="J1458" s="1" t="s">
        <v>215</v>
      </c>
      <c r="K1458" s="1" t="s">
        <v>160</v>
      </c>
      <c r="L1458" s="1" t="s">
        <v>216</v>
      </c>
      <c r="M1458" s="1" t="s">
        <v>131</v>
      </c>
      <c r="Q1458" s="1" t="s">
        <v>137</v>
      </c>
      <c r="R1458" s="1" t="s">
        <v>137</v>
      </c>
      <c r="S1458" s="1" t="s">
        <v>47</v>
      </c>
      <c r="T1458" s="1" t="s">
        <v>4301</v>
      </c>
      <c r="U1458" s="1" t="s">
        <v>1577</v>
      </c>
      <c r="V1458" s="1" t="s">
        <v>4679</v>
      </c>
      <c r="W1458" s="3">
        <v>45019.0</v>
      </c>
      <c r="X1458" s="3">
        <v>45019.0</v>
      </c>
    </row>
    <row r="1459">
      <c r="A1459" s="1" t="s">
        <v>16403</v>
      </c>
      <c r="B1459" s="1" t="s">
        <v>4962</v>
      </c>
      <c r="C1459" s="1" t="s">
        <v>4962</v>
      </c>
      <c r="D1459" s="1" t="s">
        <v>4293</v>
      </c>
      <c r="E1459" s="1" t="s">
        <v>11117</v>
      </c>
      <c r="F1459" s="1" t="s">
        <v>16405</v>
      </c>
      <c r="G1459" s="3">
        <v>44803.0</v>
      </c>
      <c r="H1459" s="3">
        <v>45019.0</v>
      </c>
      <c r="I1459" s="3">
        <v>45019.0</v>
      </c>
      <c r="J1459" s="1" t="s">
        <v>215</v>
      </c>
      <c r="K1459" s="1" t="s">
        <v>160</v>
      </c>
      <c r="L1459" s="1" t="s">
        <v>216</v>
      </c>
      <c r="M1459" s="1" t="s">
        <v>131</v>
      </c>
      <c r="Q1459" s="1" t="s">
        <v>137</v>
      </c>
      <c r="R1459" s="1" t="s">
        <v>137</v>
      </c>
      <c r="S1459" s="1" t="s">
        <v>47</v>
      </c>
      <c r="T1459" s="1" t="s">
        <v>4301</v>
      </c>
      <c r="U1459" s="1" t="s">
        <v>1577</v>
      </c>
      <c r="V1459" s="1" t="s">
        <v>4054</v>
      </c>
      <c r="W1459" s="3">
        <v>45019.0</v>
      </c>
      <c r="X1459" s="3">
        <v>45019.0</v>
      </c>
    </row>
    <row r="1460">
      <c r="A1460" s="1" t="s">
        <v>16410</v>
      </c>
      <c r="B1460" s="1" t="s">
        <v>4962</v>
      </c>
      <c r="C1460" s="1" t="s">
        <v>4962</v>
      </c>
      <c r="D1460" s="1" t="s">
        <v>4293</v>
      </c>
      <c r="E1460" s="1" t="s">
        <v>11117</v>
      </c>
      <c r="F1460" s="1" t="s">
        <v>16412</v>
      </c>
      <c r="G1460" s="3">
        <v>44803.0</v>
      </c>
      <c r="H1460" s="3">
        <v>45019.0</v>
      </c>
      <c r="I1460" s="3">
        <v>45019.0</v>
      </c>
      <c r="J1460" s="1" t="s">
        <v>215</v>
      </c>
      <c r="K1460" s="1" t="s">
        <v>160</v>
      </c>
      <c r="L1460" s="1" t="s">
        <v>216</v>
      </c>
      <c r="M1460" s="1" t="s">
        <v>131</v>
      </c>
      <c r="Q1460" s="1" t="s">
        <v>137</v>
      </c>
      <c r="R1460" s="1" t="s">
        <v>137</v>
      </c>
      <c r="S1460" s="1" t="s">
        <v>47</v>
      </c>
      <c r="T1460" s="1" t="s">
        <v>4301</v>
      </c>
      <c r="U1460" s="1" t="s">
        <v>1577</v>
      </c>
      <c r="V1460" s="1" t="s">
        <v>4950</v>
      </c>
      <c r="W1460" s="3">
        <v>45019.0</v>
      </c>
      <c r="X1460" s="3">
        <v>45019.0</v>
      </c>
    </row>
    <row r="1461">
      <c r="A1461" s="1" t="s">
        <v>16415</v>
      </c>
      <c r="B1461" s="1" t="s">
        <v>4962</v>
      </c>
      <c r="C1461" s="1" t="s">
        <v>4962</v>
      </c>
      <c r="D1461" s="1" t="s">
        <v>4293</v>
      </c>
      <c r="E1461" s="1" t="s">
        <v>11117</v>
      </c>
      <c r="F1461" s="1" t="s">
        <v>16417</v>
      </c>
      <c r="G1461" s="3">
        <v>44803.0</v>
      </c>
      <c r="H1461" s="3">
        <v>45019.0</v>
      </c>
      <c r="I1461" s="3">
        <v>45019.0</v>
      </c>
      <c r="J1461" s="1" t="s">
        <v>215</v>
      </c>
      <c r="K1461" s="1" t="s">
        <v>160</v>
      </c>
      <c r="L1461" s="1" t="s">
        <v>216</v>
      </c>
      <c r="M1461" s="1" t="s">
        <v>131</v>
      </c>
      <c r="Q1461" s="1" t="s">
        <v>137</v>
      </c>
      <c r="R1461" s="1" t="s">
        <v>137</v>
      </c>
      <c r="S1461" s="1" t="s">
        <v>47</v>
      </c>
      <c r="T1461" s="1" t="s">
        <v>4301</v>
      </c>
      <c r="U1461" s="1" t="s">
        <v>1577</v>
      </c>
      <c r="V1461" s="1" t="s">
        <v>5104</v>
      </c>
      <c r="W1461" s="3">
        <v>45019.0</v>
      </c>
      <c r="X1461" s="3">
        <v>45019.0</v>
      </c>
    </row>
    <row r="1462">
      <c r="A1462" s="1" t="s">
        <v>16421</v>
      </c>
      <c r="B1462" s="1" t="s">
        <v>4962</v>
      </c>
      <c r="C1462" s="1" t="s">
        <v>4962</v>
      </c>
      <c r="D1462" s="1" t="s">
        <v>4293</v>
      </c>
      <c r="E1462" s="1" t="s">
        <v>11117</v>
      </c>
      <c r="F1462" s="1" t="s">
        <v>16424</v>
      </c>
      <c r="G1462" s="3">
        <v>44803.0</v>
      </c>
      <c r="H1462" s="3">
        <v>45019.0</v>
      </c>
      <c r="I1462" s="3">
        <v>45019.0</v>
      </c>
      <c r="J1462" s="1" t="s">
        <v>215</v>
      </c>
      <c r="K1462" s="1" t="s">
        <v>160</v>
      </c>
      <c r="L1462" s="1" t="s">
        <v>216</v>
      </c>
      <c r="M1462" s="1" t="s">
        <v>131</v>
      </c>
      <c r="Q1462" s="1" t="s">
        <v>137</v>
      </c>
      <c r="R1462" s="1" t="s">
        <v>137</v>
      </c>
      <c r="S1462" s="1" t="s">
        <v>47</v>
      </c>
      <c r="T1462" s="1" t="s">
        <v>4301</v>
      </c>
      <c r="U1462" s="1" t="s">
        <v>1577</v>
      </c>
      <c r="V1462" s="1" t="s">
        <v>5120</v>
      </c>
      <c r="W1462" s="3">
        <v>45019.0</v>
      </c>
      <c r="X1462" s="3">
        <v>45019.0</v>
      </c>
    </row>
    <row r="1463">
      <c r="A1463" s="1" t="s">
        <v>16427</v>
      </c>
      <c r="B1463" s="1" t="s">
        <v>9789</v>
      </c>
      <c r="C1463" s="1" t="s">
        <v>9789</v>
      </c>
      <c r="D1463" s="1" t="s">
        <v>4293</v>
      </c>
      <c r="E1463" s="1" t="s">
        <v>11124</v>
      </c>
      <c r="F1463" s="1" t="s">
        <v>16428</v>
      </c>
      <c r="G1463" s="3">
        <v>44529.0</v>
      </c>
      <c r="H1463" s="3">
        <v>44830.0</v>
      </c>
      <c r="I1463" s="3">
        <v>44830.0</v>
      </c>
      <c r="J1463" s="1" t="s">
        <v>215</v>
      </c>
      <c r="K1463" s="1" t="s">
        <v>160</v>
      </c>
      <c r="L1463" s="1" t="s">
        <v>216</v>
      </c>
      <c r="M1463" s="1" t="s">
        <v>131</v>
      </c>
      <c r="Q1463" s="1" t="s">
        <v>137</v>
      </c>
      <c r="R1463" s="1" t="s">
        <v>137</v>
      </c>
      <c r="S1463" s="1" t="s">
        <v>47</v>
      </c>
      <c r="T1463" s="1" t="s">
        <v>4301</v>
      </c>
      <c r="U1463" s="1" t="s">
        <v>1577</v>
      </c>
      <c r="V1463" s="1" t="s">
        <v>3858</v>
      </c>
      <c r="W1463" s="3">
        <v>44830.0</v>
      </c>
      <c r="X1463" s="3">
        <v>44830.0</v>
      </c>
    </row>
    <row r="1464">
      <c r="A1464" s="1" t="s">
        <v>16429</v>
      </c>
      <c r="B1464" s="1" t="s">
        <v>11130</v>
      </c>
      <c r="C1464" s="1" t="s">
        <v>11130</v>
      </c>
      <c r="D1464" s="1" t="s">
        <v>4293</v>
      </c>
      <c r="E1464" s="1" t="s">
        <v>11131</v>
      </c>
      <c r="F1464" s="1" t="s">
        <v>16430</v>
      </c>
      <c r="G1464" s="3">
        <v>45849.0</v>
      </c>
      <c r="H1464" s="3">
        <v>45908.0</v>
      </c>
      <c r="I1464" s="3">
        <v>45908.0</v>
      </c>
      <c r="J1464" s="1" t="s">
        <v>215</v>
      </c>
      <c r="K1464" s="1" t="s">
        <v>160</v>
      </c>
      <c r="L1464" s="1" t="s">
        <v>216</v>
      </c>
      <c r="M1464" s="1" t="s">
        <v>131</v>
      </c>
      <c r="Q1464" s="1" t="s">
        <v>137</v>
      </c>
      <c r="R1464" s="1" t="s">
        <v>137</v>
      </c>
      <c r="S1464" s="1" t="s">
        <v>47</v>
      </c>
      <c r="T1464" s="1" t="s">
        <v>4301</v>
      </c>
      <c r="U1464" s="1" t="s">
        <v>1577</v>
      </c>
      <c r="V1464" s="1" t="s">
        <v>3858</v>
      </c>
      <c r="W1464" s="3">
        <v>45908.0</v>
      </c>
      <c r="X1464" s="3">
        <v>45908.0</v>
      </c>
    </row>
    <row r="1465">
      <c r="A1465" s="1" t="s">
        <v>16431</v>
      </c>
      <c r="B1465" s="1" t="s">
        <v>11130</v>
      </c>
      <c r="C1465" s="1" t="s">
        <v>11130</v>
      </c>
      <c r="D1465" s="1" t="s">
        <v>4293</v>
      </c>
      <c r="E1465" s="1" t="s">
        <v>11131</v>
      </c>
      <c r="F1465" s="1" t="s">
        <v>16432</v>
      </c>
      <c r="G1465" s="3">
        <v>45849.0</v>
      </c>
      <c r="H1465" s="3">
        <v>45908.0</v>
      </c>
      <c r="I1465" s="3">
        <v>45908.0</v>
      </c>
      <c r="J1465" s="1" t="s">
        <v>215</v>
      </c>
      <c r="K1465" s="1" t="s">
        <v>160</v>
      </c>
      <c r="L1465" s="1" t="s">
        <v>216</v>
      </c>
      <c r="M1465" s="1" t="s">
        <v>131</v>
      </c>
      <c r="Q1465" s="1" t="s">
        <v>137</v>
      </c>
      <c r="R1465" s="1" t="s">
        <v>137</v>
      </c>
      <c r="S1465" s="1" t="s">
        <v>47</v>
      </c>
      <c r="T1465" s="1" t="s">
        <v>4301</v>
      </c>
      <c r="U1465" s="1" t="s">
        <v>1577</v>
      </c>
      <c r="V1465" s="1" t="s">
        <v>4950</v>
      </c>
      <c r="W1465" s="3">
        <v>45908.0</v>
      </c>
      <c r="X1465" s="3">
        <v>45908.0</v>
      </c>
    </row>
    <row r="1466">
      <c r="A1466" s="1" t="s">
        <v>16433</v>
      </c>
      <c r="B1466" s="1" t="s">
        <v>11135</v>
      </c>
      <c r="C1466" s="1" t="s">
        <v>11135</v>
      </c>
      <c r="D1466" s="1" t="s">
        <v>4293</v>
      </c>
      <c r="E1466" s="1" t="s">
        <v>11136</v>
      </c>
      <c r="F1466" s="1" t="s">
        <v>16434</v>
      </c>
      <c r="G1466" s="3">
        <v>44501.0</v>
      </c>
      <c r="H1466" s="3">
        <v>44699.0</v>
      </c>
      <c r="I1466" s="3">
        <v>44699.0</v>
      </c>
      <c r="J1466" s="1" t="s">
        <v>215</v>
      </c>
      <c r="K1466" s="1" t="s">
        <v>160</v>
      </c>
      <c r="L1466" s="1" t="s">
        <v>216</v>
      </c>
      <c r="M1466" s="1" t="s">
        <v>131</v>
      </c>
      <c r="Q1466" s="1" t="s">
        <v>137</v>
      </c>
      <c r="R1466" s="1" t="s">
        <v>137</v>
      </c>
      <c r="S1466" s="1" t="s">
        <v>47</v>
      </c>
      <c r="T1466" s="1" t="s">
        <v>4301</v>
      </c>
      <c r="U1466" s="1" t="s">
        <v>1577</v>
      </c>
      <c r="V1466" s="1" t="s">
        <v>3858</v>
      </c>
      <c r="W1466" s="3">
        <v>44699.0</v>
      </c>
      <c r="X1466" s="3">
        <v>44699.0</v>
      </c>
    </row>
    <row r="1467">
      <c r="A1467" s="1" t="s">
        <v>16435</v>
      </c>
      <c r="B1467" s="1" t="s">
        <v>4358</v>
      </c>
      <c r="C1467" s="1" t="s">
        <v>4358</v>
      </c>
      <c r="D1467" s="1" t="s">
        <v>4293</v>
      </c>
      <c r="E1467" s="1" t="s">
        <v>11145</v>
      </c>
      <c r="F1467" s="1" t="s">
        <v>16436</v>
      </c>
      <c r="G1467" s="3">
        <v>43770.0</v>
      </c>
      <c r="H1467" s="3">
        <v>43770.0</v>
      </c>
      <c r="I1467" s="3">
        <v>43770.0</v>
      </c>
      <c r="J1467" s="1" t="s">
        <v>215</v>
      </c>
      <c r="K1467" s="1" t="s">
        <v>160</v>
      </c>
      <c r="L1467" s="1" t="s">
        <v>216</v>
      </c>
      <c r="M1467" s="1" t="s">
        <v>131</v>
      </c>
      <c r="Q1467" s="1" t="s">
        <v>137</v>
      </c>
      <c r="R1467" s="1" t="s">
        <v>137</v>
      </c>
      <c r="S1467" s="1" t="s">
        <v>47</v>
      </c>
      <c r="T1467" s="1" t="s">
        <v>4301</v>
      </c>
      <c r="U1467" s="1" t="s">
        <v>1577</v>
      </c>
      <c r="V1467" s="1" t="s">
        <v>4950</v>
      </c>
      <c r="W1467" s="3">
        <v>43770.0</v>
      </c>
      <c r="X1467" s="3">
        <v>43770.0</v>
      </c>
    </row>
    <row r="1468">
      <c r="A1468" s="1" t="s">
        <v>16437</v>
      </c>
      <c r="B1468" s="1" t="s">
        <v>6439</v>
      </c>
      <c r="C1468" s="1" t="s">
        <v>6439</v>
      </c>
      <c r="D1468" s="1" t="s">
        <v>4293</v>
      </c>
      <c r="E1468" s="1" t="s">
        <v>16438</v>
      </c>
      <c r="F1468" s="1" t="s">
        <v>16439</v>
      </c>
      <c r="G1468" s="3">
        <v>45728.0</v>
      </c>
      <c r="H1468" s="3"/>
      <c r="I1468" s="3"/>
      <c r="J1468" s="1" t="s">
        <v>124</v>
      </c>
      <c r="K1468" s="1" t="s">
        <v>160</v>
      </c>
      <c r="L1468" s="1" t="s">
        <v>253</v>
      </c>
      <c r="M1468" s="1" t="s">
        <v>131</v>
      </c>
      <c r="Q1468" s="1" t="s">
        <v>137</v>
      </c>
      <c r="R1468" s="1" t="s">
        <v>137</v>
      </c>
      <c r="S1468" s="1" t="s">
        <v>47</v>
      </c>
      <c r="T1468" s="1" t="s">
        <v>4301</v>
      </c>
      <c r="U1468" s="1" t="s">
        <v>1577</v>
      </c>
      <c r="V1468" s="1" t="s">
        <v>3858</v>
      </c>
      <c r="W1468" s="3"/>
      <c r="X1468" s="3"/>
    </row>
    <row r="1469">
      <c r="A1469" s="1" t="s">
        <v>16440</v>
      </c>
      <c r="B1469" s="1" t="s">
        <v>6439</v>
      </c>
      <c r="C1469" s="1" t="s">
        <v>6439</v>
      </c>
      <c r="D1469" s="1" t="s">
        <v>4293</v>
      </c>
      <c r="E1469" s="1" t="s">
        <v>16438</v>
      </c>
      <c r="F1469" s="1" t="s">
        <v>16441</v>
      </c>
      <c r="G1469" s="3">
        <v>45728.0</v>
      </c>
      <c r="H1469" s="3"/>
      <c r="I1469" s="3"/>
      <c r="J1469" s="1" t="s">
        <v>124</v>
      </c>
      <c r="K1469" s="1" t="s">
        <v>160</v>
      </c>
      <c r="L1469" s="1" t="s">
        <v>253</v>
      </c>
      <c r="M1469" s="1" t="s">
        <v>131</v>
      </c>
      <c r="Q1469" s="1" t="s">
        <v>137</v>
      </c>
      <c r="R1469" s="1" t="s">
        <v>137</v>
      </c>
      <c r="S1469" s="1" t="s">
        <v>47</v>
      </c>
      <c r="T1469" s="1" t="s">
        <v>4301</v>
      </c>
      <c r="U1469" s="1" t="s">
        <v>1577</v>
      </c>
      <c r="V1469" s="1" t="s">
        <v>4950</v>
      </c>
      <c r="W1469" s="3"/>
      <c r="X1469" s="3"/>
    </row>
    <row r="1470">
      <c r="A1470" s="1" t="s">
        <v>16442</v>
      </c>
      <c r="B1470" s="1" t="s">
        <v>11152</v>
      </c>
      <c r="C1470" s="1" t="s">
        <v>11152</v>
      </c>
      <c r="D1470" s="1" t="s">
        <v>4293</v>
      </c>
      <c r="E1470" s="1" t="s">
        <v>11155</v>
      </c>
      <c r="F1470" s="1" t="s">
        <v>16443</v>
      </c>
      <c r="G1470" s="3">
        <v>44328.0</v>
      </c>
      <c r="H1470" s="3">
        <v>44329.0</v>
      </c>
      <c r="I1470" s="3">
        <v>44329.0</v>
      </c>
      <c r="J1470" s="1" t="s">
        <v>215</v>
      </c>
      <c r="K1470" s="1" t="s">
        <v>160</v>
      </c>
      <c r="L1470" s="1" t="s">
        <v>216</v>
      </c>
      <c r="M1470" s="1" t="s">
        <v>131</v>
      </c>
      <c r="Q1470" s="1" t="s">
        <v>137</v>
      </c>
      <c r="R1470" s="1" t="s">
        <v>137</v>
      </c>
      <c r="S1470" s="1" t="s">
        <v>47</v>
      </c>
      <c r="T1470" s="1" t="s">
        <v>4301</v>
      </c>
      <c r="U1470" s="1" t="s">
        <v>1577</v>
      </c>
      <c r="V1470" s="1" t="s">
        <v>3858</v>
      </c>
      <c r="W1470" s="3">
        <v>44329.0</v>
      </c>
      <c r="X1470" s="3">
        <v>44329.0</v>
      </c>
    </row>
    <row r="1471">
      <c r="A1471" s="1" t="s">
        <v>16444</v>
      </c>
      <c r="B1471" s="1" t="s">
        <v>6867</v>
      </c>
      <c r="C1471" s="1" t="s">
        <v>6867</v>
      </c>
      <c r="D1471" s="1" t="s">
        <v>4293</v>
      </c>
      <c r="E1471" s="1" t="s">
        <v>16445</v>
      </c>
      <c r="F1471" s="1" t="s">
        <v>16446</v>
      </c>
      <c r="G1471" s="3">
        <v>45016.0</v>
      </c>
      <c r="H1471" s="3"/>
      <c r="I1471" s="3"/>
      <c r="J1471" s="1" t="s">
        <v>124</v>
      </c>
      <c r="K1471" s="1" t="s">
        <v>160</v>
      </c>
      <c r="L1471" s="1" t="s">
        <v>253</v>
      </c>
      <c r="M1471" s="1" t="s">
        <v>131</v>
      </c>
      <c r="Q1471" s="1" t="s">
        <v>137</v>
      </c>
      <c r="R1471" s="1" t="s">
        <v>137</v>
      </c>
      <c r="S1471" s="1" t="s">
        <v>47</v>
      </c>
      <c r="T1471" s="1" t="s">
        <v>4301</v>
      </c>
      <c r="U1471" s="1" t="s">
        <v>1577</v>
      </c>
      <c r="V1471" s="1" t="s">
        <v>3858</v>
      </c>
      <c r="W1471" s="3"/>
      <c r="X1471" s="3"/>
    </row>
    <row r="1472">
      <c r="A1472" s="1" t="s">
        <v>16447</v>
      </c>
      <c r="B1472" s="1" t="s">
        <v>7038</v>
      </c>
      <c r="C1472" s="1" t="s">
        <v>7038</v>
      </c>
      <c r="D1472" s="1" t="s">
        <v>4293</v>
      </c>
      <c r="E1472" s="1" t="s">
        <v>11163</v>
      </c>
      <c r="F1472" s="1" t="s">
        <v>16448</v>
      </c>
      <c r="G1472" s="3">
        <v>44813.0</v>
      </c>
      <c r="H1472" s="3">
        <v>45097.0</v>
      </c>
      <c r="I1472" s="3">
        <v>45097.0</v>
      </c>
      <c r="J1472" s="1" t="s">
        <v>215</v>
      </c>
      <c r="K1472" s="1" t="s">
        <v>160</v>
      </c>
      <c r="L1472" s="1" t="s">
        <v>216</v>
      </c>
      <c r="M1472" s="1" t="s">
        <v>131</v>
      </c>
      <c r="Q1472" s="1" t="s">
        <v>137</v>
      </c>
      <c r="R1472" s="1" t="s">
        <v>137</v>
      </c>
      <c r="S1472" s="1" t="s">
        <v>47</v>
      </c>
      <c r="T1472" s="1" t="s">
        <v>4301</v>
      </c>
      <c r="U1472" s="1" t="s">
        <v>1577</v>
      </c>
      <c r="V1472" s="1" t="s">
        <v>3858</v>
      </c>
      <c r="W1472" s="3">
        <v>45097.0</v>
      </c>
      <c r="X1472" s="3">
        <v>45097.0</v>
      </c>
    </row>
    <row r="1473">
      <c r="A1473" s="1" t="s">
        <v>16449</v>
      </c>
      <c r="B1473" s="1" t="s">
        <v>6850</v>
      </c>
      <c r="C1473" s="1" t="s">
        <v>6850</v>
      </c>
      <c r="D1473" s="1" t="s">
        <v>4293</v>
      </c>
      <c r="E1473" s="1" t="s">
        <v>11174</v>
      </c>
      <c r="F1473" s="1" t="s">
        <v>16450</v>
      </c>
      <c r="G1473" s="3">
        <v>44314.0</v>
      </c>
      <c r="H1473" s="3">
        <v>44308.0</v>
      </c>
      <c r="I1473" s="3">
        <v>44308.0</v>
      </c>
      <c r="J1473" s="1" t="s">
        <v>215</v>
      </c>
      <c r="K1473" s="1" t="s">
        <v>160</v>
      </c>
      <c r="L1473" s="1" t="s">
        <v>216</v>
      </c>
      <c r="M1473" s="1" t="s">
        <v>131</v>
      </c>
      <c r="Q1473" s="1" t="s">
        <v>137</v>
      </c>
      <c r="R1473" s="1" t="s">
        <v>137</v>
      </c>
      <c r="S1473" s="1" t="s">
        <v>47</v>
      </c>
      <c r="T1473" s="1" t="s">
        <v>4301</v>
      </c>
      <c r="U1473" s="1" t="s">
        <v>1577</v>
      </c>
      <c r="V1473" s="1" t="s">
        <v>3858</v>
      </c>
      <c r="W1473" s="3">
        <v>44308.0</v>
      </c>
      <c r="X1473" s="3">
        <v>44308.0</v>
      </c>
    </row>
    <row r="1474">
      <c r="A1474" s="1" t="s">
        <v>16451</v>
      </c>
      <c r="B1474" s="1" t="s">
        <v>11184</v>
      </c>
      <c r="C1474" s="1" t="s">
        <v>11184</v>
      </c>
      <c r="D1474" s="1" t="s">
        <v>4293</v>
      </c>
      <c r="E1474" s="1" t="s">
        <v>11185</v>
      </c>
      <c r="F1474" s="1" t="s">
        <v>16452</v>
      </c>
      <c r="G1474" s="3">
        <v>44495.0</v>
      </c>
      <c r="H1474" s="3">
        <v>44726.0</v>
      </c>
      <c r="I1474" s="3">
        <v>44726.0</v>
      </c>
      <c r="J1474" s="1" t="s">
        <v>215</v>
      </c>
      <c r="K1474" s="1" t="s">
        <v>160</v>
      </c>
      <c r="L1474" s="1" t="s">
        <v>216</v>
      </c>
      <c r="M1474" s="1" t="s">
        <v>131</v>
      </c>
      <c r="Q1474" s="1" t="s">
        <v>137</v>
      </c>
      <c r="R1474" s="1" t="s">
        <v>137</v>
      </c>
      <c r="S1474" s="1" t="s">
        <v>47</v>
      </c>
      <c r="T1474" s="1" t="s">
        <v>4301</v>
      </c>
      <c r="U1474" s="1" t="s">
        <v>1577</v>
      </c>
      <c r="V1474" s="1" t="s">
        <v>3858</v>
      </c>
      <c r="W1474" s="3">
        <v>44726.0</v>
      </c>
      <c r="X1474" s="3">
        <v>44726.0</v>
      </c>
    </row>
    <row r="1475">
      <c r="A1475" s="1" t="s">
        <v>16453</v>
      </c>
      <c r="B1475" s="1" t="s">
        <v>8930</v>
      </c>
      <c r="C1475" s="1" t="s">
        <v>8930</v>
      </c>
      <c r="D1475" s="1" t="s">
        <v>4293</v>
      </c>
      <c r="E1475" s="1" t="s">
        <v>16454</v>
      </c>
      <c r="F1475" s="1" t="s">
        <v>16455</v>
      </c>
      <c r="G1475" s="3">
        <v>45834.0</v>
      </c>
      <c r="H1475" s="3"/>
      <c r="I1475" s="3"/>
      <c r="J1475" s="1" t="s">
        <v>124</v>
      </c>
      <c r="K1475" s="1" t="s">
        <v>160</v>
      </c>
      <c r="L1475" s="1" t="s">
        <v>253</v>
      </c>
      <c r="M1475" s="1" t="s">
        <v>131</v>
      </c>
      <c r="Q1475" s="1" t="s">
        <v>137</v>
      </c>
      <c r="R1475" s="1" t="s">
        <v>137</v>
      </c>
      <c r="S1475" s="1" t="s">
        <v>47</v>
      </c>
      <c r="T1475" s="1" t="s">
        <v>4301</v>
      </c>
      <c r="U1475" s="1" t="s">
        <v>1577</v>
      </c>
      <c r="V1475" s="1" t="s">
        <v>3858</v>
      </c>
      <c r="W1475" s="3"/>
      <c r="X1475" s="3"/>
    </row>
    <row r="1476">
      <c r="A1476" s="1" t="s">
        <v>16456</v>
      </c>
      <c r="B1476" s="1" t="s">
        <v>8930</v>
      </c>
      <c r="C1476" s="1" t="s">
        <v>8930</v>
      </c>
      <c r="D1476" s="1" t="s">
        <v>4293</v>
      </c>
      <c r="E1476" s="1" t="s">
        <v>16454</v>
      </c>
      <c r="F1476" s="1" t="s">
        <v>16457</v>
      </c>
      <c r="G1476" s="3">
        <v>45834.0</v>
      </c>
      <c r="H1476" s="3"/>
      <c r="I1476" s="3"/>
      <c r="J1476" s="1" t="s">
        <v>124</v>
      </c>
      <c r="K1476" s="1" t="s">
        <v>160</v>
      </c>
      <c r="L1476" s="1" t="s">
        <v>253</v>
      </c>
      <c r="M1476" s="1" t="s">
        <v>131</v>
      </c>
      <c r="Q1476" s="1" t="s">
        <v>137</v>
      </c>
      <c r="R1476" s="1" t="s">
        <v>137</v>
      </c>
      <c r="S1476" s="1" t="s">
        <v>47</v>
      </c>
      <c r="T1476" s="1" t="s">
        <v>4301</v>
      </c>
      <c r="U1476" s="1" t="s">
        <v>1577</v>
      </c>
      <c r="V1476" s="1" t="s">
        <v>4950</v>
      </c>
      <c r="W1476" s="3"/>
      <c r="X1476" s="3"/>
    </row>
    <row r="1477">
      <c r="A1477" s="1" t="s">
        <v>16458</v>
      </c>
      <c r="B1477" s="1" t="s">
        <v>10248</v>
      </c>
      <c r="C1477" s="1" t="s">
        <v>10248</v>
      </c>
      <c r="D1477" s="1" t="s">
        <v>4293</v>
      </c>
      <c r="E1477" s="1" t="s">
        <v>16459</v>
      </c>
      <c r="F1477" s="1" t="s">
        <v>16460</v>
      </c>
      <c r="G1477" s="3">
        <v>45824.0</v>
      </c>
      <c r="H1477" s="3"/>
      <c r="I1477" s="3"/>
      <c r="J1477" s="1" t="s">
        <v>124</v>
      </c>
      <c r="K1477" s="1" t="s">
        <v>160</v>
      </c>
      <c r="L1477" s="1" t="s">
        <v>253</v>
      </c>
      <c r="M1477" s="1" t="s">
        <v>131</v>
      </c>
      <c r="Q1477" s="1" t="s">
        <v>137</v>
      </c>
      <c r="R1477" s="1" t="s">
        <v>137</v>
      </c>
      <c r="S1477" s="1" t="s">
        <v>47</v>
      </c>
      <c r="T1477" s="1" t="s">
        <v>4301</v>
      </c>
      <c r="U1477" s="1" t="s">
        <v>1577</v>
      </c>
      <c r="V1477" s="1" t="s">
        <v>3858</v>
      </c>
      <c r="W1477" s="3"/>
      <c r="X1477" s="3"/>
    </row>
    <row r="1478">
      <c r="A1478" s="1" t="s">
        <v>16465</v>
      </c>
      <c r="B1478" s="1" t="s">
        <v>10248</v>
      </c>
      <c r="C1478" s="1" t="s">
        <v>10248</v>
      </c>
      <c r="D1478" s="1" t="s">
        <v>4293</v>
      </c>
      <c r="E1478" s="1" t="s">
        <v>16459</v>
      </c>
      <c r="F1478" s="1" t="s">
        <v>16471</v>
      </c>
      <c r="G1478" s="3">
        <v>45824.0</v>
      </c>
      <c r="H1478" s="3"/>
      <c r="I1478" s="3"/>
      <c r="J1478" s="1" t="s">
        <v>124</v>
      </c>
      <c r="K1478" s="1" t="s">
        <v>160</v>
      </c>
      <c r="L1478" s="1" t="s">
        <v>253</v>
      </c>
      <c r="M1478" s="1" t="s">
        <v>131</v>
      </c>
      <c r="Q1478" s="1" t="s">
        <v>137</v>
      </c>
      <c r="R1478" s="1" t="s">
        <v>137</v>
      </c>
      <c r="S1478" s="1" t="s">
        <v>47</v>
      </c>
      <c r="T1478" s="1" t="s">
        <v>4301</v>
      </c>
      <c r="U1478" s="1" t="s">
        <v>1577</v>
      </c>
      <c r="V1478" s="1" t="s">
        <v>4950</v>
      </c>
      <c r="W1478" s="3"/>
      <c r="X1478" s="3"/>
    </row>
    <row r="1479">
      <c r="A1479" s="1" t="s">
        <v>16474</v>
      </c>
      <c r="B1479" s="1" t="s">
        <v>11189</v>
      </c>
      <c r="C1479" s="1" t="s">
        <v>11189</v>
      </c>
      <c r="D1479" s="1" t="s">
        <v>4293</v>
      </c>
      <c r="E1479" s="1" t="s">
        <v>11190</v>
      </c>
      <c r="F1479" s="1" t="s">
        <v>16475</v>
      </c>
      <c r="G1479" s="3">
        <v>44323.0</v>
      </c>
      <c r="H1479" s="3">
        <v>45196.0</v>
      </c>
      <c r="I1479" s="3">
        <v>45196.0</v>
      </c>
      <c r="J1479" s="1" t="s">
        <v>215</v>
      </c>
      <c r="K1479" s="1" t="s">
        <v>160</v>
      </c>
      <c r="L1479" s="1" t="s">
        <v>216</v>
      </c>
      <c r="M1479" s="1" t="s">
        <v>131</v>
      </c>
      <c r="Q1479" s="1" t="s">
        <v>137</v>
      </c>
      <c r="R1479" s="1" t="s">
        <v>137</v>
      </c>
      <c r="S1479" s="1" t="s">
        <v>47</v>
      </c>
      <c r="T1479" s="1" t="s">
        <v>4301</v>
      </c>
      <c r="U1479" s="1" t="s">
        <v>1577</v>
      </c>
      <c r="V1479" s="1" t="s">
        <v>3858</v>
      </c>
      <c r="W1479" s="3">
        <v>45196.0</v>
      </c>
      <c r="X1479" s="3">
        <v>45196.0</v>
      </c>
    </row>
    <row r="1480">
      <c r="A1480" s="1" t="s">
        <v>16476</v>
      </c>
      <c r="B1480" s="1" t="s">
        <v>11189</v>
      </c>
      <c r="C1480" s="1" t="s">
        <v>11189</v>
      </c>
      <c r="D1480" s="1" t="s">
        <v>4293</v>
      </c>
      <c r="E1480" s="1" t="s">
        <v>11190</v>
      </c>
      <c r="F1480" s="1" t="s">
        <v>16477</v>
      </c>
      <c r="G1480" s="3">
        <v>44323.0</v>
      </c>
      <c r="H1480" s="3">
        <v>45196.0</v>
      </c>
      <c r="I1480" s="3">
        <v>45196.0</v>
      </c>
      <c r="J1480" s="1" t="s">
        <v>215</v>
      </c>
      <c r="K1480" s="1" t="s">
        <v>160</v>
      </c>
      <c r="L1480" s="1" t="s">
        <v>216</v>
      </c>
      <c r="M1480" s="1" t="s">
        <v>131</v>
      </c>
      <c r="Q1480" s="1" t="s">
        <v>137</v>
      </c>
      <c r="R1480" s="1" t="s">
        <v>137</v>
      </c>
      <c r="S1480" s="1" t="s">
        <v>47</v>
      </c>
      <c r="T1480" s="1" t="s">
        <v>4301</v>
      </c>
      <c r="U1480" s="1" t="s">
        <v>1577</v>
      </c>
      <c r="V1480" s="1" t="s">
        <v>4054</v>
      </c>
      <c r="W1480" s="3">
        <v>45196.0</v>
      </c>
      <c r="X1480" s="3">
        <v>45196.0</v>
      </c>
    </row>
    <row r="1481">
      <c r="A1481" s="1" t="s">
        <v>16478</v>
      </c>
      <c r="B1481" s="1" t="s">
        <v>11189</v>
      </c>
      <c r="C1481" s="1" t="s">
        <v>11189</v>
      </c>
      <c r="D1481" s="1" t="s">
        <v>4293</v>
      </c>
      <c r="E1481" s="1" t="s">
        <v>11190</v>
      </c>
      <c r="F1481" s="1" t="s">
        <v>16479</v>
      </c>
      <c r="G1481" s="3">
        <v>44323.0</v>
      </c>
      <c r="H1481" s="3">
        <v>45196.0</v>
      </c>
      <c r="I1481" s="3">
        <v>45196.0</v>
      </c>
      <c r="J1481" s="1" t="s">
        <v>215</v>
      </c>
      <c r="K1481" s="1" t="s">
        <v>160</v>
      </c>
      <c r="L1481" s="1" t="s">
        <v>216</v>
      </c>
      <c r="M1481" s="1" t="s">
        <v>131</v>
      </c>
      <c r="Q1481" s="1" t="s">
        <v>137</v>
      </c>
      <c r="R1481" s="1" t="s">
        <v>137</v>
      </c>
      <c r="S1481" s="1" t="s">
        <v>47</v>
      </c>
      <c r="T1481" s="1" t="s">
        <v>4301</v>
      </c>
      <c r="U1481" s="1" t="s">
        <v>1577</v>
      </c>
      <c r="V1481" s="1" t="s">
        <v>3865</v>
      </c>
      <c r="W1481" s="3">
        <v>45196.0</v>
      </c>
      <c r="X1481" s="3">
        <v>45196.0</v>
      </c>
    </row>
    <row r="1482">
      <c r="A1482" s="1" t="s">
        <v>16480</v>
      </c>
      <c r="B1482" s="1" t="s">
        <v>11189</v>
      </c>
      <c r="C1482" s="1" t="s">
        <v>11189</v>
      </c>
      <c r="D1482" s="1" t="s">
        <v>4293</v>
      </c>
      <c r="E1482" s="1" t="s">
        <v>11190</v>
      </c>
      <c r="F1482" s="1" t="s">
        <v>16481</v>
      </c>
      <c r="G1482" s="3">
        <v>44323.0</v>
      </c>
      <c r="H1482" s="3">
        <v>45196.0</v>
      </c>
      <c r="I1482" s="3">
        <v>45196.0</v>
      </c>
      <c r="J1482" s="1" t="s">
        <v>215</v>
      </c>
      <c r="K1482" s="1" t="s">
        <v>160</v>
      </c>
      <c r="L1482" s="1" t="s">
        <v>216</v>
      </c>
      <c r="M1482" s="1" t="s">
        <v>131</v>
      </c>
      <c r="Q1482" s="1" t="s">
        <v>137</v>
      </c>
      <c r="R1482" s="1" t="s">
        <v>137</v>
      </c>
      <c r="S1482" s="1" t="s">
        <v>47</v>
      </c>
      <c r="T1482" s="1" t="s">
        <v>4301</v>
      </c>
      <c r="U1482" s="1" t="s">
        <v>1577</v>
      </c>
      <c r="V1482" s="1" t="s">
        <v>4950</v>
      </c>
      <c r="W1482" s="3">
        <v>45196.0</v>
      </c>
      <c r="X1482" s="3">
        <v>45196.0</v>
      </c>
    </row>
    <row r="1483">
      <c r="A1483" s="1" t="s">
        <v>16482</v>
      </c>
      <c r="B1483" s="1" t="s">
        <v>10729</v>
      </c>
      <c r="C1483" s="1" t="s">
        <v>10729</v>
      </c>
      <c r="D1483" s="1" t="s">
        <v>4293</v>
      </c>
      <c r="E1483" s="1" t="s">
        <v>11202</v>
      </c>
      <c r="F1483" s="1" t="s">
        <v>16483</v>
      </c>
      <c r="G1483" s="3">
        <v>45769.0</v>
      </c>
      <c r="H1483" s="3">
        <v>46002.0</v>
      </c>
      <c r="I1483" s="3">
        <v>46002.0</v>
      </c>
      <c r="J1483" s="1" t="s">
        <v>215</v>
      </c>
      <c r="K1483" s="1" t="s">
        <v>160</v>
      </c>
      <c r="L1483" s="1" t="s">
        <v>216</v>
      </c>
      <c r="M1483" s="1" t="s">
        <v>131</v>
      </c>
      <c r="Q1483" s="1" t="s">
        <v>137</v>
      </c>
      <c r="R1483" s="1" t="s">
        <v>137</v>
      </c>
      <c r="S1483" s="1" t="s">
        <v>47</v>
      </c>
      <c r="T1483" s="1" t="s">
        <v>4301</v>
      </c>
      <c r="U1483" s="1" t="s">
        <v>1577</v>
      </c>
      <c r="V1483" s="1" t="s">
        <v>3963</v>
      </c>
      <c r="W1483" s="3">
        <v>46002.0</v>
      </c>
      <c r="X1483" s="3">
        <v>46002.0</v>
      </c>
    </row>
    <row r="1484">
      <c r="A1484" s="1" t="s">
        <v>16484</v>
      </c>
      <c r="B1484" s="1" t="s">
        <v>10729</v>
      </c>
      <c r="C1484" s="1" t="s">
        <v>10729</v>
      </c>
      <c r="D1484" s="1" t="s">
        <v>4293</v>
      </c>
      <c r="E1484" s="1" t="s">
        <v>11202</v>
      </c>
      <c r="F1484" s="1" t="s">
        <v>16485</v>
      </c>
      <c r="G1484" s="3">
        <v>45769.0</v>
      </c>
      <c r="H1484" s="3">
        <v>46002.0</v>
      </c>
      <c r="I1484" s="3">
        <v>46002.0</v>
      </c>
      <c r="J1484" s="1" t="s">
        <v>215</v>
      </c>
      <c r="K1484" s="1" t="s">
        <v>160</v>
      </c>
      <c r="L1484" s="1" t="s">
        <v>216</v>
      </c>
      <c r="M1484" s="1" t="s">
        <v>131</v>
      </c>
      <c r="Q1484" s="1" t="s">
        <v>137</v>
      </c>
      <c r="R1484" s="1" t="s">
        <v>137</v>
      </c>
      <c r="S1484" s="1" t="s">
        <v>47</v>
      </c>
      <c r="T1484" s="1" t="s">
        <v>4301</v>
      </c>
      <c r="U1484" s="1" t="s">
        <v>1577</v>
      </c>
      <c r="V1484" s="1" t="s">
        <v>3865</v>
      </c>
      <c r="W1484" s="3">
        <v>46002.0</v>
      </c>
      <c r="X1484" s="3">
        <v>46002.0</v>
      </c>
    </row>
    <row r="1485">
      <c r="A1485" s="1" t="s">
        <v>16486</v>
      </c>
      <c r="B1485" s="1" t="s">
        <v>10729</v>
      </c>
      <c r="C1485" s="1" t="s">
        <v>10729</v>
      </c>
      <c r="D1485" s="1" t="s">
        <v>4293</v>
      </c>
      <c r="E1485" s="1" t="s">
        <v>11202</v>
      </c>
      <c r="F1485" s="1" t="s">
        <v>16487</v>
      </c>
      <c r="G1485" s="3">
        <v>45769.0</v>
      </c>
      <c r="H1485" s="3">
        <v>46002.0</v>
      </c>
      <c r="I1485" s="3">
        <v>46002.0</v>
      </c>
      <c r="J1485" s="1" t="s">
        <v>215</v>
      </c>
      <c r="K1485" s="1" t="s">
        <v>160</v>
      </c>
      <c r="L1485" s="1" t="s">
        <v>216</v>
      </c>
      <c r="M1485" s="1" t="s">
        <v>131</v>
      </c>
      <c r="Q1485" s="1" t="s">
        <v>137</v>
      </c>
      <c r="R1485" s="1" t="s">
        <v>137</v>
      </c>
      <c r="S1485" s="1" t="s">
        <v>47</v>
      </c>
      <c r="T1485" s="1" t="s">
        <v>4301</v>
      </c>
      <c r="U1485" s="1" t="s">
        <v>1577</v>
      </c>
      <c r="V1485" s="1" t="s">
        <v>4950</v>
      </c>
      <c r="W1485" s="3">
        <v>46002.0</v>
      </c>
      <c r="X1485" s="3">
        <v>46002.0</v>
      </c>
    </row>
    <row r="1486">
      <c r="A1486" s="1" t="s">
        <v>16488</v>
      </c>
      <c r="B1486" s="1" t="s">
        <v>11211</v>
      </c>
      <c r="C1486" s="1" t="s">
        <v>11211</v>
      </c>
      <c r="D1486" s="1" t="s">
        <v>4293</v>
      </c>
      <c r="E1486" s="1" t="s">
        <v>11213</v>
      </c>
      <c r="F1486" s="1" t="s">
        <v>16489</v>
      </c>
      <c r="G1486" s="3">
        <v>44986.0</v>
      </c>
      <c r="H1486" s="3">
        <v>45188.0</v>
      </c>
      <c r="I1486" s="3">
        <v>45188.0</v>
      </c>
      <c r="J1486" s="1" t="s">
        <v>215</v>
      </c>
      <c r="K1486" s="1" t="s">
        <v>160</v>
      </c>
      <c r="L1486" s="1" t="s">
        <v>216</v>
      </c>
      <c r="M1486" s="1" t="s">
        <v>131</v>
      </c>
      <c r="Q1486" s="1" t="s">
        <v>137</v>
      </c>
      <c r="R1486" s="1" t="s">
        <v>137</v>
      </c>
      <c r="S1486" s="1" t="s">
        <v>47</v>
      </c>
      <c r="T1486" s="1" t="s">
        <v>4301</v>
      </c>
      <c r="U1486" s="1" t="s">
        <v>1577</v>
      </c>
      <c r="V1486" s="1" t="s">
        <v>4679</v>
      </c>
      <c r="W1486" s="3">
        <v>45188.0</v>
      </c>
      <c r="X1486" s="3">
        <v>45188.0</v>
      </c>
    </row>
    <row r="1487">
      <c r="A1487" s="1" t="s">
        <v>16490</v>
      </c>
      <c r="B1487" s="1" t="s">
        <v>11211</v>
      </c>
      <c r="C1487" s="1" t="s">
        <v>11211</v>
      </c>
      <c r="D1487" s="1" t="s">
        <v>4293</v>
      </c>
      <c r="E1487" s="1" t="s">
        <v>11213</v>
      </c>
      <c r="F1487" s="1" t="s">
        <v>16491</v>
      </c>
      <c r="G1487" s="3">
        <v>44986.0</v>
      </c>
      <c r="H1487" s="3">
        <v>45188.0</v>
      </c>
      <c r="I1487" s="3">
        <v>45188.0</v>
      </c>
      <c r="J1487" s="1" t="s">
        <v>215</v>
      </c>
      <c r="K1487" s="1" t="s">
        <v>160</v>
      </c>
      <c r="L1487" s="1" t="s">
        <v>216</v>
      </c>
      <c r="M1487" s="1" t="s">
        <v>131</v>
      </c>
      <c r="Q1487" s="1" t="s">
        <v>137</v>
      </c>
      <c r="R1487" s="1" t="s">
        <v>137</v>
      </c>
      <c r="S1487" s="1" t="s">
        <v>47</v>
      </c>
      <c r="T1487" s="1" t="s">
        <v>4301</v>
      </c>
      <c r="U1487" s="1" t="s">
        <v>1577</v>
      </c>
      <c r="V1487" s="1" t="s">
        <v>4950</v>
      </c>
      <c r="W1487" s="3">
        <v>45188.0</v>
      </c>
      <c r="X1487" s="3">
        <v>45188.0</v>
      </c>
    </row>
    <row r="1488">
      <c r="A1488" s="1" t="s">
        <v>16492</v>
      </c>
      <c r="B1488" s="1" t="s">
        <v>11211</v>
      </c>
      <c r="C1488" s="1" t="s">
        <v>11211</v>
      </c>
      <c r="D1488" s="1" t="s">
        <v>4293</v>
      </c>
      <c r="E1488" s="1" t="s">
        <v>11213</v>
      </c>
      <c r="F1488" s="1" t="s">
        <v>16493</v>
      </c>
      <c r="G1488" s="3">
        <v>44986.0</v>
      </c>
      <c r="H1488" s="3">
        <v>45188.0</v>
      </c>
      <c r="I1488" s="3">
        <v>45188.0</v>
      </c>
      <c r="J1488" s="1" t="s">
        <v>215</v>
      </c>
      <c r="K1488" s="1" t="s">
        <v>160</v>
      </c>
      <c r="L1488" s="1" t="s">
        <v>216</v>
      </c>
      <c r="M1488" s="1" t="s">
        <v>131</v>
      </c>
      <c r="Q1488" s="1" t="s">
        <v>137</v>
      </c>
      <c r="R1488" s="1" t="s">
        <v>137</v>
      </c>
      <c r="S1488" s="1" t="s">
        <v>47</v>
      </c>
      <c r="T1488" s="1" t="s">
        <v>4301</v>
      </c>
      <c r="U1488" s="1" t="s">
        <v>1577</v>
      </c>
      <c r="V1488" s="1" t="s">
        <v>5104</v>
      </c>
      <c r="W1488" s="3">
        <v>45188.0</v>
      </c>
      <c r="X1488" s="3">
        <v>45188.0</v>
      </c>
    </row>
    <row r="1489">
      <c r="A1489" s="1" t="s">
        <v>16494</v>
      </c>
      <c r="B1489" s="1" t="s">
        <v>11211</v>
      </c>
      <c r="C1489" s="1" t="s">
        <v>11211</v>
      </c>
      <c r="D1489" s="1" t="s">
        <v>4293</v>
      </c>
      <c r="E1489" s="1" t="s">
        <v>11213</v>
      </c>
      <c r="F1489" s="1" t="s">
        <v>16495</v>
      </c>
      <c r="G1489" s="3">
        <v>44986.0</v>
      </c>
      <c r="H1489" s="3">
        <v>45188.0</v>
      </c>
      <c r="I1489" s="3">
        <v>45188.0</v>
      </c>
      <c r="J1489" s="1" t="s">
        <v>215</v>
      </c>
      <c r="K1489" s="1" t="s">
        <v>160</v>
      </c>
      <c r="L1489" s="1" t="s">
        <v>216</v>
      </c>
      <c r="M1489" s="1" t="s">
        <v>131</v>
      </c>
      <c r="Q1489" s="1" t="s">
        <v>137</v>
      </c>
      <c r="R1489" s="1" t="s">
        <v>137</v>
      </c>
      <c r="S1489" s="1" t="s">
        <v>47</v>
      </c>
      <c r="T1489" s="1" t="s">
        <v>4301</v>
      </c>
      <c r="U1489" s="1" t="s">
        <v>1577</v>
      </c>
      <c r="V1489" s="1" t="s">
        <v>5120</v>
      </c>
      <c r="W1489" s="3">
        <v>45188.0</v>
      </c>
      <c r="X1489" s="3">
        <v>45188.0</v>
      </c>
    </row>
    <row r="1490">
      <c r="A1490" s="1" t="s">
        <v>16496</v>
      </c>
      <c r="B1490" s="1" t="s">
        <v>7897</v>
      </c>
      <c r="C1490" s="1" t="s">
        <v>7897</v>
      </c>
      <c r="D1490" s="1" t="s">
        <v>4293</v>
      </c>
      <c r="E1490" s="1" t="s">
        <v>11221</v>
      </c>
      <c r="F1490" s="1" t="s">
        <v>16497</v>
      </c>
      <c r="G1490" s="3">
        <v>44560.0</v>
      </c>
      <c r="H1490" s="3">
        <v>44217.0</v>
      </c>
      <c r="I1490" s="3">
        <v>44217.0</v>
      </c>
      <c r="J1490" s="1" t="s">
        <v>215</v>
      </c>
      <c r="K1490" s="1" t="s">
        <v>160</v>
      </c>
      <c r="L1490" s="1" t="s">
        <v>216</v>
      </c>
      <c r="M1490" s="1" t="s">
        <v>131</v>
      </c>
      <c r="Q1490" s="1" t="s">
        <v>137</v>
      </c>
      <c r="R1490" s="1" t="s">
        <v>137</v>
      </c>
      <c r="S1490" s="1" t="s">
        <v>47</v>
      </c>
      <c r="T1490" s="1" t="s">
        <v>4301</v>
      </c>
      <c r="U1490" s="1" t="s">
        <v>1577</v>
      </c>
      <c r="V1490" s="1" t="s">
        <v>3858</v>
      </c>
      <c r="W1490" s="3">
        <v>44217.0</v>
      </c>
      <c r="X1490" s="3">
        <v>44217.0</v>
      </c>
    </row>
    <row r="1491">
      <c r="A1491" s="1" t="s">
        <v>16498</v>
      </c>
      <c r="B1491" s="1" t="s">
        <v>11228</v>
      </c>
      <c r="C1491" s="1" t="s">
        <v>11228</v>
      </c>
      <c r="D1491" s="1" t="s">
        <v>4293</v>
      </c>
      <c r="E1491" s="1" t="s">
        <v>11230</v>
      </c>
      <c r="F1491" s="1" t="s">
        <v>16499</v>
      </c>
      <c r="G1491" s="3">
        <v>44378.0</v>
      </c>
      <c r="H1491" s="3">
        <v>44378.0</v>
      </c>
      <c r="I1491" s="3">
        <v>44378.0</v>
      </c>
      <c r="J1491" s="1" t="s">
        <v>215</v>
      </c>
      <c r="K1491" s="1" t="s">
        <v>160</v>
      </c>
      <c r="L1491" s="1" t="s">
        <v>216</v>
      </c>
      <c r="M1491" s="1" t="s">
        <v>131</v>
      </c>
      <c r="Q1491" s="1" t="s">
        <v>137</v>
      </c>
      <c r="R1491" s="1" t="s">
        <v>137</v>
      </c>
      <c r="S1491" s="1" t="s">
        <v>47</v>
      </c>
      <c r="T1491" s="1" t="s">
        <v>4301</v>
      </c>
      <c r="U1491" s="1" t="s">
        <v>1577</v>
      </c>
      <c r="V1491" s="1" t="s">
        <v>4950</v>
      </c>
      <c r="W1491" s="3">
        <v>44378.0</v>
      </c>
      <c r="X1491" s="3">
        <v>44378.0</v>
      </c>
    </row>
    <row r="1492">
      <c r="A1492" s="1" t="s">
        <v>16500</v>
      </c>
      <c r="B1492" s="1" t="s">
        <v>11234</v>
      </c>
      <c r="C1492" s="1" t="s">
        <v>11234</v>
      </c>
      <c r="D1492" s="1" t="s">
        <v>4293</v>
      </c>
      <c r="E1492" s="1" t="s">
        <v>11236</v>
      </c>
      <c r="F1492" s="1" t="s">
        <v>16501</v>
      </c>
      <c r="G1492" s="3">
        <v>44292.0</v>
      </c>
      <c r="H1492" s="3">
        <v>44371.0</v>
      </c>
      <c r="I1492" s="3">
        <v>44371.0</v>
      </c>
      <c r="J1492" s="1" t="s">
        <v>215</v>
      </c>
      <c r="K1492" s="1" t="s">
        <v>160</v>
      </c>
      <c r="L1492" s="1" t="s">
        <v>216</v>
      </c>
      <c r="M1492" s="1" t="s">
        <v>131</v>
      </c>
      <c r="Q1492" s="1" t="s">
        <v>137</v>
      </c>
      <c r="R1492" s="1" t="s">
        <v>137</v>
      </c>
      <c r="S1492" s="1" t="s">
        <v>47</v>
      </c>
      <c r="T1492" s="1" t="s">
        <v>4301</v>
      </c>
      <c r="U1492" s="1" t="s">
        <v>1577</v>
      </c>
      <c r="V1492" s="1" t="s">
        <v>3858</v>
      </c>
      <c r="W1492" s="3">
        <v>44371.0</v>
      </c>
      <c r="X1492" s="3">
        <v>44371.0</v>
      </c>
    </row>
    <row r="1493">
      <c r="A1493" s="1" t="s">
        <v>16502</v>
      </c>
      <c r="B1493" s="1" t="s">
        <v>11251</v>
      </c>
      <c r="C1493" s="1" t="s">
        <v>11251</v>
      </c>
      <c r="D1493" s="1" t="s">
        <v>4293</v>
      </c>
      <c r="E1493" s="1" t="s">
        <v>11253</v>
      </c>
      <c r="F1493" s="1" t="s">
        <v>16503</v>
      </c>
      <c r="G1493" s="3">
        <v>44471.0</v>
      </c>
      <c r="H1493" s="3">
        <v>44471.0</v>
      </c>
      <c r="I1493" s="3">
        <v>44471.0</v>
      </c>
      <c r="J1493" s="1" t="s">
        <v>215</v>
      </c>
      <c r="K1493" s="1" t="s">
        <v>160</v>
      </c>
      <c r="L1493" s="1" t="s">
        <v>216</v>
      </c>
      <c r="M1493" s="1" t="s">
        <v>131</v>
      </c>
      <c r="Q1493" s="1" t="s">
        <v>137</v>
      </c>
      <c r="R1493" s="1" t="s">
        <v>137</v>
      </c>
      <c r="S1493" s="1" t="s">
        <v>47</v>
      </c>
      <c r="T1493" s="1" t="s">
        <v>4301</v>
      </c>
      <c r="U1493" s="1" t="s">
        <v>1577</v>
      </c>
      <c r="V1493" s="1" t="s">
        <v>3858</v>
      </c>
      <c r="W1493" s="3">
        <v>44471.0</v>
      </c>
      <c r="X1493" s="3">
        <v>44471.0</v>
      </c>
    </row>
    <row r="1494">
      <c r="A1494" s="1" t="s">
        <v>16504</v>
      </c>
      <c r="B1494" s="1" t="s">
        <v>11260</v>
      </c>
      <c r="C1494" s="1" t="s">
        <v>11260</v>
      </c>
      <c r="D1494" s="1" t="s">
        <v>4293</v>
      </c>
      <c r="E1494" s="1" t="s">
        <v>11262</v>
      </c>
      <c r="F1494" s="1" t="s">
        <v>16505</v>
      </c>
      <c r="G1494" s="3">
        <v>44136.0</v>
      </c>
      <c r="H1494" s="3">
        <v>44136.0</v>
      </c>
      <c r="I1494" s="3">
        <v>44136.0</v>
      </c>
      <c r="J1494" s="1" t="s">
        <v>215</v>
      </c>
      <c r="K1494" s="1" t="s">
        <v>160</v>
      </c>
      <c r="L1494" s="1" t="s">
        <v>216</v>
      </c>
      <c r="M1494" s="1" t="s">
        <v>131</v>
      </c>
      <c r="Q1494" s="1" t="s">
        <v>137</v>
      </c>
      <c r="R1494" s="1" t="s">
        <v>137</v>
      </c>
      <c r="S1494" s="1" t="s">
        <v>47</v>
      </c>
      <c r="T1494" s="1" t="s">
        <v>4301</v>
      </c>
      <c r="U1494" s="1" t="s">
        <v>1577</v>
      </c>
      <c r="V1494" s="1" t="s">
        <v>4950</v>
      </c>
      <c r="W1494" s="3">
        <v>44136.0</v>
      </c>
      <c r="X1494" s="3">
        <v>44136.0</v>
      </c>
    </row>
    <row r="1495">
      <c r="A1495" s="1" t="s">
        <v>16506</v>
      </c>
      <c r="B1495" s="1" t="s">
        <v>11284</v>
      </c>
      <c r="C1495" s="1" t="s">
        <v>11284</v>
      </c>
      <c r="D1495" s="1" t="s">
        <v>4293</v>
      </c>
      <c r="E1495" s="1" t="s">
        <v>11287</v>
      </c>
      <c r="F1495" s="1" t="s">
        <v>16507</v>
      </c>
      <c r="G1495" s="3">
        <v>44378.0</v>
      </c>
      <c r="H1495" s="3">
        <v>44378.0</v>
      </c>
      <c r="I1495" s="3">
        <v>44378.0</v>
      </c>
      <c r="J1495" s="1" t="s">
        <v>215</v>
      </c>
      <c r="K1495" s="1" t="s">
        <v>160</v>
      </c>
      <c r="L1495" s="1" t="s">
        <v>216</v>
      </c>
      <c r="M1495" s="1" t="s">
        <v>131</v>
      </c>
      <c r="Q1495" s="1" t="s">
        <v>137</v>
      </c>
      <c r="R1495" s="1" t="s">
        <v>137</v>
      </c>
      <c r="S1495" s="1" t="s">
        <v>47</v>
      </c>
      <c r="T1495" s="1" t="s">
        <v>4301</v>
      </c>
      <c r="U1495" s="1" t="s">
        <v>1577</v>
      </c>
      <c r="V1495" s="1" t="s">
        <v>4950</v>
      </c>
      <c r="W1495" s="3">
        <v>44378.0</v>
      </c>
      <c r="X1495" s="3">
        <v>44378.0</v>
      </c>
    </row>
    <row r="1496">
      <c r="A1496" s="1" t="s">
        <v>16508</v>
      </c>
      <c r="B1496" s="1" t="s">
        <v>11297</v>
      </c>
      <c r="C1496" s="1" t="s">
        <v>11297</v>
      </c>
      <c r="D1496" s="1" t="s">
        <v>4293</v>
      </c>
      <c r="E1496" s="1" t="s">
        <v>11300</v>
      </c>
      <c r="F1496" s="1" t="s">
        <v>16509</v>
      </c>
      <c r="G1496" s="3">
        <v>44242.0</v>
      </c>
      <c r="H1496" s="3">
        <v>44255.0</v>
      </c>
      <c r="I1496" s="3">
        <v>44255.0</v>
      </c>
      <c r="J1496" s="1" t="s">
        <v>215</v>
      </c>
      <c r="K1496" s="1" t="s">
        <v>160</v>
      </c>
      <c r="L1496" s="1" t="s">
        <v>216</v>
      </c>
      <c r="M1496" s="1" t="s">
        <v>131</v>
      </c>
      <c r="Q1496" s="1" t="s">
        <v>137</v>
      </c>
      <c r="R1496" s="1" t="s">
        <v>137</v>
      </c>
      <c r="S1496" s="1" t="s">
        <v>47</v>
      </c>
      <c r="T1496" s="1" t="s">
        <v>4301</v>
      </c>
      <c r="U1496" s="1" t="s">
        <v>1577</v>
      </c>
      <c r="V1496" s="1" t="s">
        <v>3858</v>
      </c>
      <c r="W1496" s="3">
        <v>44255.0</v>
      </c>
      <c r="X1496" s="3">
        <v>44255.0</v>
      </c>
    </row>
    <row r="1497">
      <c r="A1497" s="1" t="s">
        <v>16510</v>
      </c>
      <c r="B1497" s="1" t="s">
        <v>11312</v>
      </c>
      <c r="C1497" s="1" t="s">
        <v>11312</v>
      </c>
      <c r="D1497" s="1" t="s">
        <v>4293</v>
      </c>
      <c r="E1497" s="1" t="s">
        <v>11314</v>
      </c>
      <c r="F1497" s="1" t="s">
        <v>16511</v>
      </c>
      <c r="G1497" s="3">
        <v>44405.0</v>
      </c>
      <c r="H1497" s="3">
        <v>44377.0</v>
      </c>
      <c r="I1497" s="3">
        <v>44377.0</v>
      </c>
      <c r="J1497" s="1" t="s">
        <v>215</v>
      </c>
      <c r="K1497" s="1" t="s">
        <v>160</v>
      </c>
      <c r="L1497" s="1" t="s">
        <v>216</v>
      </c>
      <c r="M1497" s="1" t="s">
        <v>131</v>
      </c>
      <c r="Q1497" s="1" t="s">
        <v>137</v>
      </c>
      <c r="R1497" s="1" t="s">
        <v>137</v>
      </c>
      <c r="S1497" s="1" t="s">
        <v>47</v>
      </c>
      <c r="T1497" s="1" t="s">
        <v>4301</v>
      </c>
      <c r="U1497" s="1" t="s">
        <v>1577</v>
      </c>
      <c r="V1497" s="1" t="s">
        <v>3858</v>
      </c>
      <c r="W1497" s="3">
        <v>44377.0</v>
      </c>
      <c r="X1497" s="3">
        <v>44377.0</v>
      </c>
    </row>
    <row r="1498">
      <c r="A1498" s="1" t="s">
        <v>16512</v>
      </c>
      <c r="B1498" s="1" t="s">
        <v>4547</v>
      </c>
      <c r="C1498" s="1" t="s">
        <v>4547</v>
      </c>
      <c r="D1498" s="1" t="s">
        <v>4293</v>
      </c>
      <c r="E1498" s="1" t="s">
        <v>11319</v>
      </c>
      <c r="F1498" s="1" t="s">
        <v>16513</v>
      </c>
      <c r="G1498" s="3">
        <v>45538.0</v>
      </c>
      <c r="H1498" s="3">
        <v>45894.0</v>
      </c>
      <c r="I1498" s="3">
        <v>45894.0</v>
      </c>
      <c r="J1498" s="1" t="s">
        <v>215</v>
      </c>
      <c r="K1498" s="1" t="s">
        <v>160</v>
      </c>
      <c r="L1498" s="1" t="s">
        <v>216</v>
      </c>
      <c r="M1498" s="1" t="s">
        <v>131</v>
      </c>
      <c r="Q1498" s="1" t="s">
        <v>137</v>
      </c>
      <c r="R1498" s="1" t="s">
        <v>137</v>
      </c>
      <c r="S1498" s="1" t="s">
        <v>47</v>
      </c>
      <c r="T1498" s="1" t="s">
        <v>4301</v>
      </c>
      <c r="U1498" s="1" t="s">
        <v>1577</v>
      </c>
      <c r="V1498" s="1" t="s">
        <v>3858</v>
      </c>
      <c r="W1498" s="3">
        <v>45894.0</v>
      </c>
      <c r="X1498" s="3">
        <v>45894.0</v>
      </c>
    </row>
    <row r="1499">
      <c r="A1499" s="1" t="s">
        <v>16514</v>
      </c>
      <c r="B1499" s="1" t="s">
        <v>11329</v>
      </c>
      <c r="C1499" s="1" t="s">
        <v>11329</v>
      </c>
      <c r="D1499" s="1" t="s">
        <v>4293</v>
      </c>
      <c r="E1499" s="1" t="s">
        <v>11332</v>
      </c>
      <c r="F1499" s="1" t="s">
        <v>16515</v>
      </c>
      <c r="G1499" s="3">
        <v>45575.0</v>
      </c>
      <c r="H1499" s="3">
        <v>45754.0</v>
      </c>
      <c r="I1499" s="3">
        <v>45754.0</v>
      </c>
      <c r="J1499" s="1" t="s">
        <v>215</v>
      </c>
      <c r="K1499" s="1" t="s">
        <v>160</v>
      </c>
      <c r="L1499" s="1" t="s">
        <v>216</v>
      </c>
      <c r="M1499" s="1" t="s">
        <v>131</v>
      </c>
      <c r="Q1499" s="1" t="s">
        <v>137</v>
      </c>
      <c r="R1499" s="1" t="s">
        <v>137</v>
      </c>
      <c r="S1499" s="1" t="s">
        <v>47</v>
      </c>
      <c r="T1499" s="1" t="s">
        <v>4301</v>
      </c>
      <c r="U1499" s="1" t="s">
        <v>1577</v>
      </c>
      <c r="V1499" s="1" t="s">
        <v>3858</v>
      </c>
      <c r="W1499" s="3">
        <v>45754.0</v>
      </c>
      <c r="X1499" s="3">
        <v>45754.0</v>
      </c>
    </row>
    <row r="1500">
      <c r="A1500" s="1" t="s">
        <v>16516</v>
      </c>
      <c r="B1500" s="1" t="s">
        <v>11329</v>
      </c>
      <c r="C1500" s="1" t="s">
        <v>11329</v>
      </c>
      <c r="D1500" s="1" t="s">
        <v>4293</v>
      </c>
      <c r="E1500" s="1" t="s">
        <v>11332</v>
      </c>
      <c r="F1500" s="1" t="s">
        <v>16517</v>
      </c>
      <c r="G1500" s="3">
        <v>45575.0</v>
      </c>
      <c r="H1500" s="3">
        <v>45754.0</v>
      </c>
      <c r="I1500" s="3">
        <v>45754.0</v>
      </c>
      <c r="J1500" s="1" t="s">
        <v>215</v>
      </c>
      <c r="K1500" s="1" t="s">
        <v>160</v>
      </c>
      <c r="L1500" s="1" t="s">
        <v>216</v>
      </c>
      <c r="M1500" s="1" t="s">
        <v>131</v>
      </c>
      <c r="Q1500" s="1" t="s">
        <v>137</v>
      </c>
      <c r="R1500" s="1" t="s">
        <v>137</v>
      </c>
      <c r="S1500" s="1" t="s">
        <v>47</v>
      </c>
      <c r="T1500" s="1" t="s">
        <v>4301</v>
      </c>
      <c r="U1500" s="1" t="s">
        <v>1577</v>
      </c>
      <c r="V1500" s="1" t="s">
        <v>4950</v>
      </c>
      <c r="W1500" s="3">
        <v>45754.0</v>
      </c>
      <c r="X1500" s="3">
        <v>45754.0</v>
      </c>
    </row>
    <row r="1501">
      <c r="A1501" s="1" t="s">
        <v>16518</v>
      </c>
      <c r="B1501" s="1" t="s">
        <v>10367</v>
      </c>
      <c r="C1501" s="1" t="s">
        <v>10367</v>
      </c>
      <c r="D1501" s="1" t="s">
        <v>4293</v>
      </c>
      <c r="E1501" s="1" t="s">
        <v>11341</v>
      </c>
      <c r="F1501" s="1" t="s">
        <v>16519</v>
      </c>
      <c r="G1501" s="3">
        <v>43983.0</v>
      </c>
      <c r="H1501" s="3">
        <v>43983.0</v>
      </c>
      <c r="I1501" s="3">
        <v>43983.0</v>
      </c>
      <c r="J1501" s="1" t="s">
        <v>215</v>
      </c>
      <c r="K1501" s="1" t="s">
        <v>160</v>
      </c>
      <c r="L1501" s="1" t="s">
        <v>216</v>
      </c>
      <c r="M1501" s="1" t="s">
        <v>131</v>
      </c>
      <c r="Q1501" s="1" t="s">
        <v>137</v>
      </c>
      <c r="R1501" s="1" t="s">
        <v>137</v>
      </c>
      <c r="S1501" s="1" t="s">
        <v>47</v>
      </c>
      <c r="T1501" s="1" t="s">
        <v>4301</v>
      </c>
      <c r="U1501" s="1" t="s">
        <v>1577</v>
      </c>
      <c r="V1501" s="1" t="s">
        <v>4950</v>
      </c>
      <c r="W1501" s="3">
        <v>43983.0</v>
      </c>
      <c r="X1501" s="3">
        <v>43983.0</v>
      </c>
    </row>
    <row r="1502">
      <c r="A1502" s="1" t="s">
        <v>16520</v>
      </c>
      <c r="B1502" s="1" t="s">
        <v>5504</v>
      </c>
      <c r="C1502" s="1" t="s">
        <v>5504</v>
      </c>
      <c r="D1502" s="1" t="s">
        <v>4293</v>
      </c>
      <c r="E1502" s="1" t="s">
        <v>11357</v>
      </c>
      <c r="F1502" s="1" t="s">
        <v>16521</v>
      </c>
      <c r="G1502" s="3">
        <v>45194.0</v>
      </c>
      <c r="H1502" s="3">
        <v>45505.0</v>
      </c>
      <c r="I1502" s="3">
        <v>45505.0</v>
      </c>
      <c r="J1502" s="1" t="s">
        <v>215</v>
      </c>
      <c r="K1502" s="1" t="s">
        <v>160</v>
      </c>
      <c r="L1502" s="1" t="s">
        <v>216</v>
      </c>
      <c r="M1502" s="1" t="s">
        <v>131</v>
      </c>
      <c r="Q1502" s="1" t="s">
        <v>137</v>
      </c>
      <c r="R1502" s="1" t="s">
        <v>137</v>
      </c>
      <c r="S1502" s="1" t="s">
        <v>47</v>
      </c>
      <c r="T1502" s="1" t="s">
        <v>4301</v>
      </c>
      <c r="U1502" s="1" t="s">
        <v>1577</v>
      </c>
      <c r="V1502" s="1" t="s">
        <v>3858</v>
      </c>
      <c r="W1502" s="3">
        <v>45505.0</v>
      </c>
      <c r="X1502" s="3">
        <v>45505.0</v>
      </c>
    </row>
    <row r="1503">
      <c r="A1503" s="1" t="s">
        <v>16522</v>
      </c>
      <c r="B1503" s="1" t="s">
        <v>5504</v>
      </c>
      <c r="C1503" s="1" t="s">
        <v>5504</v>
      </c>
      <c r="D1503" s="1" t="s">
        <v>4293</v>
      </c>
      <c r="E1503" s="1" t="s">
        <v>11357</v>
      </c>
      <c r="F1503" s="1" t="s">
        <v>16523</v>
      </c>
      <c r="G1503" s="3">
        <v>45194.0</v>
      </c>
      <c r="H1503" s="3">
        <v>45505.0</v>
      </c>
      <c r="I1503" s="3">
        <v>45505.0</v>
      </c>
      <c r="J1503" s="1" t="s">
        <v>215</v>
      </c>
      <c r="K1503" s="1" t="s">
        <v>160</v>
      </c>
      <c r="L1503" s="1" t="s">
        <v>216</v>
      </c>
      <c r="M1503" s="1" t="s">
        <v>131</v>
      </c>
      <c r="Q1503" s="1" t="s">
        <v>137</v>
      </c>
      <c r="R1503" s="1" t="s">
        <v>137</v>
      </c>
      <c r="S1503" s="1" t="s">
        <v>47</v>
      </c>
      <c r="T1503" s="1" t="s">
        <v>4301</v>
      </c>
      <c r="U1503" s="1" t="s">
        <v>1577</v>
      </c>
      <c r="V1503" s="1" t="s">
        <v>3865</v>
      </c>
      <c r="W1503" s="3">
        <v>45505.0</v>
      </c>
      <c r="X1503" s="3">
        <v>45505.0</v>
      </c>
    </row>
    <row r="1504">
      <c r="A1504" s="1" t="s">
        <v>16524</v>
      </c>
      <c r="B1504" s="1" t="s">
        <v>5504</v>
      </c>
      <c r="C1504" s="1" t="s">
        <v>5504</v>
      </c>
      <c r="D1504" s="1" t="s">
        <v>4293</v>
      </c>
      <c r="E1504" s="1" t="s">
        <v>11357</v>
      </c>
      <c r="F1504" s="1" t="s">
        <v>16525</v>
      </c>
      <c r="G1504" s="3">
        <v>45194.0</v>
      </c>
      <c r="H1504" s="3">
        <v>45505.0</v>
      </c>
      <c r="I1504" s="3">
        <v>45505.0</v>
      </c>
      <c r="J1504" s="1" t="s">
        <v>215</v>
      </c>
      <c r="K1504" s="1" t="s">
        <v>160</v>
      </c>
      <c r="L1504" s="1" t="s">
        <v>216</v>
      </c>
      <c r="M1504" s="1" t="s">
        <v>131</v>
      </c>
      <c r="Q1504" s="1" t="s">
        <v>137</v>
      </c>
      <c r="R1504" s="1" t="s">
        <v>137</v>
      </c>
      <c r="S1504" s="1" t="s">
        <v>47</v>
      </c>
      <c r="T1504" s="1" t="s">
        <v>4301</v>
      </c>
      <c r="U1504" s="1" t="s">
        <v>1577</v>
      </c>
      <c r="V1504" s="1" t="s">
        <v>4950</v>
      </c>
      <c r="W1504" s="3">
        <v>45505.0</v>
      </c>
      <c r="X1504" s="3">
        <v>45505.0</v>
      </c>
    </row>
    <row r="1505">
      <c r="A1505" s="1" t="s">
        <v>16526</v>
      </c>
      <c r="B1505" s="1" t="s">
        <v>11376</v>
      </c>
      <c r="C1505" s="1" t="s">
        <v>11376</v>
      </c>
      <c r="D1505" s="1" t="s">
        <v>4293</v>
      </c>
      <c r="E1505" s="1" t="s">
        <v>11378</v>
      </c>
      <c r="F1505" s="1" t="s">
        <v>16527</v>
      </c>
      <c r="G1505" s="3">
        <v>44992.0</v>
      </c>
      <c r="H1505" s="3">
        <v>45163.0</v>
      </c>
      <c r="I1505" s="3">
        <v>45163.0</v>
      </c>
      <c r="J1505" s="1" t="s">
        <v>215</v>
      </c>
      <c r="K1505" s="1" t="s">
        <v>160</v>
      </c>
      <c r="L1505" s="1" t="s">
        <v>216</v>
      </c>
      <c r="M1505" s="1" t="s">
        <v>131</v>
      </c>
      <c r="Q1505" s="1" t="s">
        <v>137</v>
      </c>
      <c r="R1505" s="1" t="s">
        <v>137</v>
      </c>
      <c r="S1505" s="1" t="s">
        <v>47</v>
      </c>
      <c r="T1505" s="1" t="s">
        <v>4301</v>
      </c>
      <c r="U1505" s="1" t="s">
        <v>1577</v>
      </c>
      <c r="V1505" s="1" t="s">
        <v>3858</v>
      </c>
      <c r="W1505" s="3">
        <v>45163.0</v>
      </c>
      <c r="X1505" s="3">
        <v>45163.0</v>
      </c>
    </row>
    <row r="1506">
      <c r="A1506" s="1" t="s">
        <v>16528</v>
      </c>
      <c r="B1506" s="1" t="s">
        <v>11376</v>
      </c>
      <c r="C1506" s="1" t="s">
        <v>11376</v>
      </c>
      <c r="D1506" s="1" t="s">
        <v>4293</v>
      </c>
      <c r="E1506" s="1" t="s">
        <v>11378</v>
      </c>
      <c r="F1506" s="1" t="s">
        <v>16529</v>
      </c>
      <c r="G1506" s="3">
        <v>44992.0</v>
      </c>
      <c r="H1506" s="3">
        <v>45163.0</v>
      </c>
      <c r="I1506" s="3">
        <v>45163.0</v>
      </c>
      <c r="J1506" s="1" t="s">
        <v>215</v>
      </c>
      <c r="K1506" s="1" t="s">
        <v>160</v>
      </c>
      <c r="L1506" s="1" t="s">
        <v>216</v>
      </c>
      <c r="M1506" s="1" t="s">
        <v>131</v>
      </c>
      <c r="Q1506" s="1" t="s">
        <v>137</v>
      </c>
      <c r="R1506" s="1" t="s">
        <v>137</v>
      </c>
      <c r="S1506" s="1" t="s">
        <v>47</v>
      </c>
      <c r="T1506" s="1" t="s">
        <v>4301</v>
      </c>
      <c r="U1506" s="1" t="s">
        <v>1577</v>
      </c>
      <c r="V1506" s="1" t="s">
        <v>4950</v>
      </c>
      <c r="W1506" s="3">
        <v>45163.0</v>
      </c>
      <c r="X1506" s="3">
        <v>45163.0</v>
      </c>
    </row>
    <row r="1507">
      <c r="A1507" s="1" t="s">
        <v>16530</v>
      </c>
      <c r="B1507" s="1" t="s">
        <v>9250</v>
      </c>
      <c r="C1507" s="1" t="s">
        <v>9250</v>
      </c>
      <c r="D1507" s="1" t="s">
        <v>4293</v>
      </c>
      <c r="E1507" s="1" t="s">
        <v>11390</v>
      </c>
      <c r="F1507" s="1" t="s">
        <v>16531</v>
      </c>
      <c r="G1507" s="3">
        <v>45562.0</v>
      </c>
      <c r="H1507" s="3">
        <v>45707.0</v>
      </c>
      <c r="I1507" s="3">
        <v>45707.0</v>
      </c>
      <c r="J1507" s="1" t="s">
        <v>215</v>
      </c>
      <c r="K1507" s="1" t="s">
        <v>160</v>
      </c>
      <c r="L1507" s="1" t="s">
        <v>216</v>
      </c>
      <c r="M1507" s="1" t="s">
        <v>131</v>
      </c>
      <c r="Q1507" s="1" t="s">
        <v>137</v>
      </c>
      <c r="R1507" s="1" t="s">
        <v>137</v>
      </c>
      <c r="S1507" s="1" t="s">
        <v>47</v>
      </c>
      <c r="T1507" s="1" t="s">
        <v>4301</v>
      </c>
      <c r="U1507" s="1" t="s">
        <v>1577</v>
      </c>
      <c r="V1507" s="1" t="s">
        <v>3858</v>
      </c>
      <c r="W1507" s="3">
        <v>45707.0</v>
      </c>
      <c r="X1507" s="3">
        <v>45707.0</v>
      </c>
    </row>
    <row r="1508">
      <c r="A1508" s="1" t="s">
        <v>16532</v>
      </c>
      <c r="B1508" s="1" t="s">
        <v>9250</v>
      </c>
      <c r="C1508" s="1" t="s">
        <v>9250</v>
      </c>
      <c r="D1508" s="1" t="s">
        <v>4293</v>
      </c>
      <c r="E1508" s="1" t="s">
        <v>11390</v>
      </c>
      <c r="F1508" s="1" t="s">
        <v>16533</v>
      </c>
      <c r="G1508" s="3">
        <v>45562.0</v>
      </c>
      <c r="H1508" s="3">
        <v>45707.0</v>
      </c>
      <c r="I1508" s="3">
        <v>45707.0</v>
      </c>
      <c r="J1508" s="1" t="s">
        <v>215</v>
      </c>
      <c r="K1508" s="1" t="s">
        <v>160</v>
      </c>
      <c r="L1508" s="1" t="s">
        <v>216</v>
      </c>
      <c r="M1508" s="1" t="s">
        <v>131</v>
      </c>
      <c r="Q1508" s="1" t="s">
        <v>137</v>
      </c>
      <c r="R1508" s="1" t="s">
        <v>137</v>
      </c>
      <c r="S1508" s="1" t="s">
        <v>47</v>
      </c>
      <c r="T1508" s="1" t="s">
        <v>4301</v>
      </c>
      <c r="U1508" s="1" t="s">
        <v>1577</v>
      </c>
      <c r="V1508" s="1" t="s">
        <v>4950</v>
      </c>
      <c r="W1508" s="3">
        <v>45707.0</v>
      </c>
      <c r="X1508" s="3">
        <v>45707.0</v>
      </c>
    </row>
    <row r="1509">
      <c r="A1509" s="1" t="s">
        <v>16534</v>
      </c>
      <c r="B1509" s="1" t="s">
        <v>10014</v>
      </c>
      <c r="C1509" s="1" t="s">
        <v>10014</v>
      </c>
      <c r="D1509" s="1" t="s">
        <v>4293</v>
      </c>
      <c r="E1509" s="1" t="s">
        <v>11401</v>
      </c>
      <c r="F1509" s="1" t="s">
        <v>16535</v>
      </c>
      <c r="G1509" s="3">
        <v>45539.0</v>
      </c>
      <c r="H1509" s="3">
        <v>45635.0</v>
      </c>
      <c r="I1509" s="3">
        <v>45635.0</v>
      </c>
      <c r="J1509" s="1" t="s">
        <v>215</v>
      </c>
      <c r="K1509" s="1" t="s">
        <v>160</v>
      </c>
      <c r="L1509" s="1" t="s">
        <v>216</v>
      </c>
      <c r="M1509" s="1" t="s">
        <v>131</v>
      </c>
      <c r="Q1509" s="1" t="s">
        <v>137</v>
      </c>
      <c r="R1509" s="1" t="s">
        <v>137</v>
      </c>
      <c r="S1509" s="1" t="s">
        <v>47</v>
      </c>
      <c r="T1509" s="1" t="s">
        <v>4301</v>
      </c>
      <c r="U1509" s="1" t="s">
        <v>1577</v>
      </c>
      <c r="V1509" s="1" t="s">
        <v>3858</v>
      </c>
      <c r="W1509" s="3">
        <v>45635.0</v>
      </c>
      <c r="X1509" s="3">
        <v>45635.0</v>
      </c>
    </row>
    <row r="1510">
      <c r="A1510" s="1" t="s">
        <v>16536</v>
      </c>
      <c r="B1510" s="1" t="s">
        <v>10014</v>
      </c>
      <c r="C1510" s="1" t="s">
        <v>10014</v>
      </c>
      <c r="D1510" s="1" t="s">
        <v>4293</v>
      </c>
      <c r="E1510" s="1" t="s">
        <v>11401</v>
      </c>
      <c r="F1510" s="1" t="s">
        <v>16537</v>
      </c>
      <c r="G1510" s="3">
        <v>45539.0</v>
      </c>
      <c r="H1510" s="3">
        <v>45635.0</v>
      </c>
      <c r="I1510" s="3">
        <v>45635.0</v>
      </c>
      <c r="J1510" s="1" t="s">
        <v>215</v>
      </c>
      <c r="K1510" s="1" t="s">
        <v>160</v>
      </c>
      <c r="L1510" s="1" t="s">
        <v>216</v>
      </c>
      <c r="M1510" s="1" t="s">
        <v>131</v>
      </c>
      <c r="Q1510" s="1" t="s">
        <v>137</v>
      </c>
      <c r="R1510" s="1" t="s">
        <v>137</v>
      </c>
      <c r="S1510" s="1" t="s">
        <v>47</v>
      </c>
      <c r="T1510" s="1" t="s">
        <v>4301</v>
      </c>
      <c r="U1510" s="1" t="s">
        <v>1577</v>
      </c>
      <c r="V1510" s="1" t="s">
        <v>4950</v>
      </c>
      <c r="W1510" s="3">
        <v>45635.0</v>
      </c>
      <c r="X1510" s="3">
        <v>45635.0</v>
      </c>
    </row>
    <row r="1511">
      <c r="A1511" s="1" t="s">
        <v>16538</v>
      </c>
      <c r="B1511" s="1" t="s">
        <v>11410</v>
      </c>
      <c r="C1511" s="1" t="s">
        <v>11410</v>
      </c>
      <c r="D1511" s="1" t="s">
        <v>4293</v>
      </c>
      <c r="E1511" s="1" t="s">
        <v>11411</v>
      </c>
      <c r="F1511" s="1" t="s">
        <v>16539</v>
      </c>
      <c r="G1511" s="3">
        <v>44165.0</v>
      </c>
      <c r="H1511" s="3">
        <v>44503.0</v>
      </c>
      <c r="I1511" s="3">
        <v>44503.0</v>
      </c>
      <c r="J1511" s="1" t="s">
        <v>215</v>
      </c>
      <c r="K1511" s="1" t="s">
        <v>160</v>
      </c>
      <c r="L1511" s="1" t="s">
        <v>216</v>
      </c>
      <c r="M1511" s="1" t="s">
        <v>131</v>
      </c>
      <c r="Q1511" s="1" t="s">
        <v>137</v>
      </c>
      <c r="R1511" s="1" t="s">
        <v>137</v>
      </c>
      <c r="S1511" s="1" t="s">
        <v>47</v>
      </c>
      <c r="T1511" s="1" t="s">
        <v>4301</v>
      </c>
      <c r="U1511" s="1" t="s">
        <v>1577</v>
      </c>
      <c r="V1511" s="1" t="s">
        <v>3858</v>
      </c>
      <c r="W1511" s="3">
        <v>44503.0</v>
      </c>
      <c r="X1511" s="3">
        <v>44503.0</v>
      </c>
    </row>
    <row r="1512">
      <c r="A1512" s="1" t="s">
        <v>16540</v>
      </c>
      <c r="B1512" s="1" t="s">
        <v>11410</v>
      </c>
      <c r="C1512" s="1" t="s">
        <v>11410</v>
      </c>
      <c r="D1512" s="1" t="s">
        <v>4293</v>
      </c>
      <c r="E1512" s="1" t="s">
        <v>11411</v>
      </c>
      <c r="F1512" s="1" t="s">
        <v>16541</v>
      </c>
      <c r="G1512" s="3">
        <v>44165.0</v>
      </c>
      <c r="H1512" s="3">
        <v>44503.0</v>
      </c>
      <c r="I1512" s="3">
        <v>44503.0</v>
      </c>
      <c r="J1512" s="1" t="s">
        <v>215</v>
      </c>
      <c r="K1512" s="1" t="s">
        <v>160</v>
      </c>
      <c r="L1512" s="1" t="s">
        <v>216</v>
      </c>
      <c r="M1512" s="1" t="s">
        <v>131</v>
      </c>
      <c r="Q1512" s="1" t="s">
        <v>137</v>
      </c>
      <c r="R1512" s="1" t="s">
        <v>137</v>
      </c>
      <c r="S1512" s="1" t="s">
        <v>47</v>
      </c>
      <c r="T1512" s="1" t="s">
        <v>4301</v>
      </c>
      <c r="U1512" s="1" t="s">
        <v>1577</v>
      </c>
      <c r="V1512" s="1" t="s">
        <v>3865</v>
      </c>
      <c r="W1512" s="3">
        <v>44503.0</v>
      </c>
      <c r="X1512" s="3">
        <v>44503.0</v>
      </c>
    </row>
    <row r="1513">
      <c r="A1513" s="1" t="s">
        <v>16542</v>
      </c>
      <c r="B1513" s="1" t="s">
        <v>11419</v>
      </c>
      <c r="C1513" s="1" t="s">
        <v>11419</v>
      </c>
      <c r="D1513" s="1" t="s">
        <v>4293</v>
      </c>
      <c r="E1513" s="1" t="s">
        <v>11421</v>
      </c>
      <c r="F1513" s="1" t="s">
        <v>16543</v>
      </c>
      <c r="G1513" s="3">
        <v>45357.0</v>
      </c>
      <c r="H1513" s="3">
        <v>45677.0</v>
      </c>
      <c r="I1513" s="3">
        <v>45677.0</v>
      </c>
      <c r="J1513" s="1" t="s">
        <v>215</v>
      </c>
      <c r="K1513" s="1" t="s">
        <v>160</v>
      </c>
      <c r="L1513" s="1" t="s">
        <v>216</v>
      </c>
      <c r="M1513" s="1" t="s">
        <v>131</v>
      </c>
      <c r="Q1513" s="1" t="s">
        <v>137</v>
      </c>
      <c r="R1513" s="1" t="s">
        <v>137</v>
      </c>
      <c r="S1513" s="1" t="s">
        <v>47</v>
      </c>
      <c r="T1513" s="1" t="s">
        <v>4301</v>
      </c>
      <c r="U1513" s="1" t="s">
        <v>1577</v>
      </c>
      <c r="V1513" s="1" t="s">
        <v>3858</v>
      </c>
      <c r="W1513" s="3">
        <v>45677.0</v>
      </c>
      <c r="X1513" s="3">
        <v>45677.0</v>
      </c>
    </row>
    <row r="1514">
      <c r="A1514" s="1" t="s">
        <v>16544</v>
      </c>
      <c r="B1514" s="1" t="s">
        <v>11419</v>
      </c>
      <c r="C1514" s="1" t="s">
        <v>11419</v>
      </c>
      <c r="D1514" s="1" t="s">
        <v>4293</v>
      </c>
      <c r="E1514" s="1" t="s">
        <v>11421</v>
      </c>
      <c r="F1514" s="1" t="s">
        <v>16545</v>
      </c>
      <c r="G1514" s="3">
        <v>45357.0</v>
      </c>
      <c r="H1514" s="3">
        <v>45677.0</v>
      </c>
      <c r="I1514" s="3">
        <v>45677.0</v>
      </c>
      <c r="J1514" s="1" t="s">
        <v>215</v>
      </c>
      <c r="K1514" s="1" t="s">
        <v>160</v>
      </c>
      <c r="L1514" s="1" t="s">
        <v>216</v>
      </c>
      <c r="M1514" s="1" t="s">
        <v>131</v>
      </c>
      <c r="Q1514" s="1" t="s">
        <v>137</v>
      </c>
      <c r="R1514" s="1" t="s">
        <v>137</v>
      </c>
      <c r="S1514" s="1" t="s">
        <v>47</v>
      </c>
      <c r="T1514" s="1" t="s">
        <v>4301</v>
      </c>
      <c r="U1514" s="1" t="s">
        <v>1577</v>
      </c>
      <c r="V1514" s="1" t="s">
        <v>4950</v>
      </c>
      <c r="W1514" s="3">
        <v>45677.0</v>
      </c>
      <c r="X1514" s="3">
        <v>45677.0</v>
      </c>
    </row>
    <row r="1515">
      <c r="A1515" s="1" t="s">
        <v>16546</v>
      </c>
      <c r="B1515" s="1" t="s">
        <v>6136</v>
      </c>
      <c r="C1515" s="1" t="s">
        <v>6136</v>
      </c>
      <c r="D1515" s="1" t="s">
        <v>4293</v>
      </c>
      <c r="E1515" s="1" t="s">
        <v>11434</v>
      </c>
      <c r="F1515" s="1" t="s">
        <v>16547</v>
      </c>
      <c r="G1515" s="3">
        <v>45756.0</v>
      </c>
      <c r="H1515" s="3">
        <v>45836.0</v>
      </c>
      <c r="I1515" s="3">
        <v>45836.0</v>
      </c>
      <c r="J1515" s="1" t="s">
        <v>215</v>
      </c>
      <c r="K1515" s="1" t="s">
        <v>160</v>
      </c>
      <c r="L1515" s="1" t="s">
        <v>216</v>
      </c>
      <c r="M1515" s="1" t="s">
        <v>131</v>
      </c>
      <c r="Q1515" s="1" t="s">
        <v>137</v>
      </c>
      <c r="R1515" s="1" t="s">
        <v>137</v>
      </c>
      <c r="S1515" s="1" t="s">
        <v>47</v>
      </c>
      <c r="T1515" s="1" t="s">
        <v>4301</v>
      </c>
      <c r="U1515" s="1" t="s">
        <v>1577</v>
      </c>
      <c r="V1515" s="1" t="s">
        <v>3858</v>
      </c>
      <c r="W1515" s="3">
        <v>45836.0</v>
      </c>
      <c r="X1515" s="3">
        <v>45836.0</v>
      </c>
    </row>
    <row r="1516">
      <c r="A1516" s="1" t="s">
        <v>16548</v>
      </c>
      <c r="B1516" s="1" t="s">
        <v>11443</v>
      </c>
      <c r="C1516" s="1" t="s">
        <v>11443</v>
      </c>
      <c r="D1516" s="1" t="s">
        <v>4293</v>
      </c>
      <c r="E1516" s="1" t="s">
        <v>11444</v>
      </c>
      <c r="F1516" s="1" t="s">
        <v>16549</v>
      </c>
      <c r="G1516" s="3">
        <v>45650.0</v>
      </c>
      <c r="H1516" s="3">
        <v>45882.0</v>
      </c>
      <c r="I1516" s="3">
        <v>45882.0</v>
      </c>
      <c r="J1516" s="1" t="s">
        <v>215</v>
      </c>
      <c r="K1516" s="1" t="s">
        <v>160</v>
      </c>
      <c r="L1516" s="1" t="s">
        <v>216</v>
      </c>
      <c r="M1516" s="1" t="s">
        <v>131</v>
      </c>
      <c r="Q1516" s="1" t="s">
        <v>137</v>
      </c>
      <c r="R1516" s="1" t="s">
        <v>137</v>
      </c>
      <c r="S1516" s="1" t="s">
        <v>47</v>
      </c>
      <c r="T1516" s="1" t="s">
        <v>4301</v>
      </c>
      <c r="U1516" s="1" t="s">
        <v>1577</v>
      </c>
      <c r="V1516" s="1" t="s">
        <v>3858</v>
      </c>
      <c r="W1516" s="3">
        <v>45882.0</v>
      </c>
      <c r="X1516" s="3">
        <v>45882.0</v>
      </c>
    </row>
    <row r="1517">
      <c r="A1517" s="1" t="s">
        <v>16550</v>
      </c>
      <c r="B1517" s="1" t="s">
        <v>8036</v>
      </c>
      <c r="C1517" s="1" t="s">
        <v>8036</v>
      </c>
      <c r="D1517" s="1" t="s">
        <v>4293</v>
      </c>
      <c r="E1517" s="1" t="s">
        <v>11454</v>
      </c>
      <c r="F1517" s="1" t="s">
        <v>16551</v>
      </c>
      <c r="G1517" s="3">
        <v>44804.0</v>
      </c>
      <c r="H1517" s="3">
        <v>45140.0</v>
      </c>
      <c r="I1517" s="3">
        <v>45140.0</v>
      </c>
      <c r="J1517" s="1" t="s">
        <v>215</v>
      </c>
      <c r="K1517" s="1" t="s">
        <v>160</v>
      </c>
      <c r="L1517" s="1" t="s">
        <v>216</v>
      </c>
      <c r="M1517" s="1" t="s">
        <v>131</v>
      </c>
      <c r="Q1517" s="1" t="s">
        <v>137</v>
      </c>
      <c r="R1517" s="1" t="s">
        <v>137</v>
      </c>
      <c r="S1517" s="1" t="s">
        <v>47</v>
      </c>
      <c r="T1517" s="1" t="s">
        <v>4301</v>
      </c>
      <c r="U1517" s="1" t="s">
        <v>1577</v>
      </c>
      <c r="V1517" s="1" t="s">
        <v>3858</v>
      </c>
      <c r="W1517" s="3">
        <v>45140.0</v>
      </c>
      <c r="X1517" s="3">
        <v>45140.0</v>
      </c>
    </row>
    <row r="1518">
      <c r="A1518" s="1" t="s">
        <v>16554</v>
      </c>
      <c r="B1518" s="1" t="s">
        <v>11465</v>
      </c>
      <c r="C1518" s="1" t="s">
        <v>11465</v>
      </c>
      <c r="D1518" s="1" t="s">
        <v>4293</v>
      </c>
      <c r="E1518" s="1" t="s">
        <v>11468</v>
      </c>
      <c r="F1518" s="1" t="s">
        <v>16555</v>
      </c>
      <c r="G1518" s="3">
        <v>44272.0</v>
      </c>
      <c r="H1518" s="3">
        <v>44545.0</v>
      </c>
      <c r="I1518" s="3">
        <v>44545.0</v>
      </c>
      <c r="J1518" s="1" t="s">
        <v>215</v>
      </c>
      <c r="K1518" s="1" t="s">
        <v>160</v>
      </c>
      <c r="L1518" s="1" t="s">
        <v>216</v>
      </c>
      <c r="M1518" s="1" t="s">
        <v>131</v>
      </c>
      <c r="Q1518" s="1" t="s">
        <v>137</v>
      </c>
      <c r="R1518" s="1" t="s">
        <v>137</v>
      </c>
      <c r="S1518" s="1" t="s">
        <v>47</v>
      </c>
      <c r="T1518" s="1" t="s">
        <v>4301</v>
      </c>
      <c r="U1518" s="1" t="s">
        <v>1577</v>
      </c>
      <c r="V1518" s="1" t="s">
        <v>3858</v>
      </c>
      <c r="W1518" s="3">
        <v>44545.0</v>
      </c>
      <c r="X1518" s="3">
        <v>44545.0</v>
      </c>
    </row>
    <row r="1519">
      <c r="A1519" s="1" t="s">
        <v>16558</v>
      </c>
      <c r="B1519" s="1" t="s">
        <v>8157</v>
      </c>
      <c r="C1519" s="1" t="s">
        <v>8157</v>
      </c>
      <c r="D1519" s="1" t="s">
        <v>4293</v>
      </c>
      <c r="E1519" s="1" t="s">
        <v>11478</v>
      </c>
      <c r="F1519" s="1" t="s">
        <v>16559</v>
      </c>
      <c r="G1519" s="3">
        <v>45405.0</v>
      </c>
      <c r="H1519" s="3">
        <v>45897.0</v>
      </c>
      <c r="I1519" s="3">
        <v>45897.0</v>
      </c>
      <c r="J1519" s="1" t="s">
        <v>215</v>
      </c>
      <c r="K1519" s="1" t="s">
        <v>160</v>
      </c>
      <c r="L1519" s="1" t="s">
        <v>216</v>
      </c>
      <c r="M1519" s="1" t="s">
        <v>131</v>
      </c>
      <c r="Q1519" s="1" t="s">
        <v>137</v>
      </c>
      <c r="R1519" s="1" t="s">
        <v>137</v>
      </c>
      <c r="S1519" s="1" t="s">
        <v>47</v>
      </c>
      <c r="T1519" s="1" t="s">
        <v>4301</v>
      </c>
      <c r="U1519" s="1" t="s">
        <v>1577</v>
      </c>
      <c r="V1519" s="1" t="s">
        <v>3858</v>
      </c>
      <c r="W1519" s="3">
        <v>45897.0</v>
      </c>
      <c r="X1519" s="3">
        <v>45897.0</v>
      </c>
    </row>
    <row r="1520">
      <c r="A1520" s="1" t="s">
        <v>16560</v>
      </c>
      <c r="B1520" s="1" t="s">
        <v>8157</v>
      </c>
      <c r="C1520" s="1" t="s">
        <v>8157</v>
      </c>
      <c r="D1520" s="1" t="s">
        <v>4293</v>
      </c>
      <c r="E1520" s="1" t="s">
        <v>11478</v>
      </c>
      <c r="F1520" s="1" t="s">
        <v>16561</v>
      </c>
      <c r="G1520" s="3">
        <v>45405.0</v>
      </c>
      <c r="H1520" s="3">
        <v>45897.0</v>
      </c>
      <c r="I1520" s="3">
        <v>45897.0</v>
      </c>
      <c r="J1520" s="1" t="s">
        <v>215</v>
      </c>
      <c r="K1520" s="1" t="s">
        <v>160</v>
      </c>
      <c r="L1520" s="1" t="s">
        <v>216</v>
      </c>
      <c r="M1520" s="1" t="s">
        <v>131</v>
      </c>
      <c r="Q1520" s="1" t="s">
        <v>137</v>
      </c>
      <c r="R1520" s="1" t="s">
        <v>137</v>
      </c>
      <c r="S1520" s="1" t="s">
        <v>47</v>
      </c>
      <c r="T1520" s="1" t="s">
        <v>4301</v>
      </c>
      <c r="U1520" s="1" t="s">
        <v>1577</v>
      </c>
      <c r="V1520" s="1" t="s">
        <v>3963</v>
      </c>
      <c r="W1520" s="3">
        <v>45897.0</v>
      </c>
      <c r="X1520" s="3">
        <v>45897.0</v>
      </c>
    </row>
    <row r="1521">
      <c r="A1521" s="1" t="s">
        <v>16562</v>
      </c>
      <c r="B1521" s="1" t="s">
        <v>8157</v>
      </c>
      <c r="C1521" s="1" t="s">
        <v>8157</v>
      </c>
      <c r="D1521" s="1" t="s">
        <v>4293</v>
      </c>
      <c r="E1521" s="1" t="s">
        <v>11478</v>
      </c>
      <c r="F1521" s="1" t="s">
        <v>16563</v>
      </c>
      <c r="G1521" s="3">
        <v>45405.0</v>
      </c>
      <c r="H1521" s="3">
        <v>45897.0</v>
      </c>
      <c r="I1521" s="3">
        <v>45897.0</v>
      </c>
      <c r="J1521" s="1" t="s">
        <v>215</v>
      </c>
      <c r="K1521" s="1" t="s">
        <v>160</v>
      </c>
      <c r="L1521" s="1" t="s">
        <v>216</v>
      </c>
      <c r="M1521" s="1" t="s">
        <v>131</v>
      </c>
      <c r="Q1521" s="1" t="s">
        <v>137</v>
      </c>
      <c r="R1521" s="1" t="s">
        <v>137</v>
      </c>
      <c r="S1521" s="1" t="s">
        <v>47</v>
      </c>
      <c r="T1521" s="1" t="s">
        <v>4301</v>
      </c>
      <c r="U1521" s="1" t="s">
        <v>1577</v>
      </c>
      <c r="V1521" s="1" t="s">
        <v>3865</v>
      </c>
      <c r="W1521" s="3">
        <v>45897.0</v>
      </c>
      <c r="X1521" s="3">
        <v>45897.0</v>
      </c>
    </row>
    <row r="1522">
      <c r="A1522" s="1" t="s">
        <v>16564</v>
      </c>
      <c r="B1522" s="1" t="s">
        <v>8157</v>
      </c>
      <c r="C1522" s="1" t="s">
        <v>8157</v>
      </c>
      <c r="D1522" s="1" t="s">
        <v>4293</v>
      </c>
      <c r="E1522" s="1" t="s">
        <v>11478</v>
      </c>
      <c r="F1522" s="1" t="s">
        <v>16565</v>
      </c>
      <c r="G1522" s="3">
        <v>45405.0</v>
      </c>
      <c r="H1522" s="3">
        <v>45897.0</v>
      </c>
      <c r="I1522" s="3">
        <v>45897.0</v>
      </c>
      <c r="J1522" s="1" t="s">
        <v>215</v>
      </c>
      <c r="K1522" s="1" t="s">
        <v>160</v>
      </c>
      <c r="L1522" s="1" t="s">
        <v>216</v>
      </c>
      <c r="M1522" s="1" t="s">
        <v>131</v>
      </c>
      <c r="Q1522" s="1" t="s">
        <v>137</v>
      </c>
      <c r="R1522" s="1" t="s">
        <v>137</v>
      </c>
      <c r="S1522" s="1" t="s">
        <v>47</v>
      </c>
      <c r="T1522" s="1" t="s">
        <v>4301</v>
      </c>
      <c r="U1522" s="1" t="s">
        <v>1577</v>
      </c>
      <c r="V1522" s="1" t="s">
        <v>7314</v>
      </c>
      <c r="W1522" s="3">
        <v>45897.0</v>
      </c>
      <c r="X1522" s="3">
        <v>45897.0</v>
      </c>
    </row>
    <row r="1523">
      <c r="A1523" s="1" t="s">
        <v>16566</v>
      </c>
      <c r="B1523" s="1" t="s">
        <v>8157</v>
      </c>
      <c r="C1523" s="1" t="s">
        <v>8157</v>
      </c>
      <c r="D1523" s="1" t="s">
        <v>4293</v>
      </c>
      <c r="E1523" s="1" t="s">
        <v>11478</v>
      </c>
      <c r="F1523" s="1" t="s">
        <v>16567</v>
      </c>
      <c r="G1523" s="3">
        <v>45405.0</v>
      </c>
      <c r="H1523" s="3">
        <v>45897.0</v>
      </c>
      <c r="I1523" s="3">
        <v>45897.0</v>
      </c>
      <c r="J1523" s="1" t="s">
        <v>215</v>
      </c>
      <c r="K1523" s="1" t="s">
        <v>160</v>
      </c>
      <c r="L1523" s="1" t="s">
        <v>216</v>
      </c>
      <c r="M1523" s="1" t="s">
        <v>131</v>
      </c>
      <c r="Q1523" s="1" t="s">
        <v>137</v>
      </c>
      <c r="R1523" s="1" t="s">
        <v>137</v>
      </c>
      <c r="S1523" s="1" t="s">
        <v>47</v>
      </c>
      <c r="T1523" s="1" t="s">
        <v>4301</v>
      </c>
      <c r="U1523" s="1" t="s">
        <v>1577</v>
      </c>
      <c r="V1523" s="1" t="s">
        <v>4950</v>
      </c>
      <c r="W1523" s="3">
        <v>45897.0</v>
      </c>
      <c r="X1523" s="3">
        <v>45897.0</v>
      </c>
    </row>
    <row r="1524">
      <c r="A1524" s="1" t="s">
        <v>16568</v>
      </c>
      <c r="B1524" s="1" t="s">
        <v>4592</v>
      </c>
      <c r="C1524" s="1" t="s">
        <v>4592</v>
      </c>
      <c r="D1524" s="1" t="s">
        <v>4293</v>
      </c>
      <c r="E1524" s="1" t="s">
        <v>9586</v>
      </c>
      <c r="F1524" s="1" t="s">
        <v>16569</v>
      </c>
      <c r="G1524" s="3">
        <v>43962.0</v>
      </c>
      <c r="H1524" s="3">
        <v>43978.0</v>
      </c>
      <c r="I1524" s="3">
        <v>43978.0</v>
      </c>
      <c r="J1524" s="1" t="s">
        <v>215</v>
      </c>
      <c r="K1524" s="1" t="s">
        <v>160</v>
      </c>
      <c r="L1524" s="1" t="s">
        <v>216</v>
      </c>
      <c r="M1524" s="1" t="s">
        <v>131</v>
      </c>
      <c r="Q1524" s="1" t="s">
        <v>137</v>
      </c>
      <c r="R1524" s="1" t="s">
        <v>137</v>
      </c>
      <c r="S1524" s="1" t="s">
        <v>47</v>
      </c>
      <c r="T1524" s="1" t="s">
        <v>4301</v>
      </c>
      <c r="U1524" s="1" t="s">
        <v>1577</v>
      </c>
      <c r="V1524" s="1" t="s">
        <v>3865</v>
      </c>
      <c r="W1524" s="3">
        <v>43978.0</v>
      </c>
      <c r="X1524" s="3">
        <v>43978.0</v>
      </c>
    </row>
    <row r="1525">
      <c r="A1525" s="1" t="s">
        <v>16570</v>
      </c>
      <c r="B1525" s="1" t="s">
        <v>5402</v>
      </c>
      <c r="C1525" s="1" t="s">
        <v>5402</v>
      </c>
      <c r="D1525" s="1" t="s">
        <v>4293</v>
      </c>
      <c r="E1525" s="1" t="s">
        <v>11512</v>
      </c>
      <c r="F1525" s="1" t="s">
        <v>16571</v>
      </c>
      <c r="G1525" s="3">
        <v>45784.0</v>
      </c>
      <c r="H1525" s="3">
        <v>46076.0</v>
      </c>
      <c r="I1525" s="3">
        <v>46076.0</v>
      </c>
      <c r="J1525" s="1" t="s">
        <v>215</v>
      </c>
      <c r="K1525" s="1" t="s">
        <v>160</v>
      </c>
      <c r="L1525" s="1" t="s">
        <v>216</v>
      </c>
      <c r="M1525" s="1" t="s">
        <v>131</v>
      </c>
      <c r="Q1525" s="1" t="s">
        <v>137</v>
      </c>
      <c r="R1525" s="1" t="s">
        <v>137</v>
      </c>
      <c r="S1525" s="1" t="s">
        <v>47</v>
      </c>
      <c r="T1525" s="1" t="s">
        <v>4301</v>
      </c>
      <c r="U1525" s="1" t="s">
        <v>1577</v>
      </c>
      <c r="V1525" s="1" t="s">
        <v>3858</v>
      </c>
      <c r="W1525" s="3">
        <v>46076.0</v>
      </c>
      <c r="X1525" s="3">
        <v>46076.0</v>
      </c>
    </row>
    <row r="1526">
      <c r="A1526" s="1" t="s">
        <v>16572</v>
      </c>
      <c r="B1526" s="1" t="s">
        <v>8614</v>
      </c>
      <c r="C1526" s="1" t="s">
        <v>8614</v>
      </c>
      <c r="D1526" s="1" t="s">
        <v>4293</v>
      </c>
      <c r="E1526" s="1" t="s">
        <v>11523</v>
      </c>
      <c r="F1526" s="1" t="s">
        <v>16573</v>
      </c>
      <c r="G1526" s="3">
        <v>44638.0</v>
      </c>
      <c r="H1526" s="3">
        <v>45086.0</v>
      </c>
      <c r="I1526" s="3">
        <v>45086.0</v>
      </c>
      <c r="J1526" s="1" t="s">
        <v>215</v>
      </c>
      <c r="K1526" s="1" t="s">
        <v>160</v>
      </c>
      <c r="L1526" s="1" t="s">
        <v>216</v>
      </c>
      <c r="M1526" s="1" t="s">
        <v>131</v>
      </c>
      <c r="Q1526" s="1" t="s">
        <v>137</v>
      </c>
      <c r="R1526" s="1" t="s">
        <v>137</v>
      </c>
      <c r="S1526" s="1" t="s">
        <v>47</v>
      </c>
      <c r="T1526" s="1" t="s">
        <v>4301</v>
      </c>
      <c r="U1526" s="1" t="s">
        <v>1577</v>
      </c>
      <c r="V1526" s="1" t="s">
        <v>3858</v>
      </c>
      <c r="W1526" s="3">
        <v>45086.0</v>
      </c>
      <c r="X1526" s="3">
        <v>45086.0</v>
      </c>
    </row>
    <row r="1527">
      <c r="A1527" s="1" t="s">
        <v>16574</v>
      </c>
      <c r="B1527" s="1" t="s">
        <v>7862</v>
      </c>
      <c r="C1527" s="1" t="s">
        <v>7862</v>
      </c>
      <c r="D1527" s="1" t="s">
        <v>4293</v>
      </c>
      <c r="E1527" s="1" t="s">
        <v>16575</v>
      </c>
      <c r="F1527" s="1" t="s">
        <v>16576</v>
      </c>
      <c r="G1527" s="3">
        <v>45610.0</v>
      </c>
      <c r="H1527" s="3"/>
      <c r="I1527" s="3"/>
      <c r="J1527" s="1" t="s">
        <v>124</v>
      </c>
      <c r="K1527" s="1" t="s">
        <v>160</v>
      </c>
      <c r="L1527" s="1" t="s">
        <v>253</v>
      </c>
      <c r="M1527" s="1" t="s">
        <v>131</v>
      </c>
      <c r="Q1527" s="1" t="s">
        <v>137</v>
      </c>
      <c r="R1527" s="1" t="s">
        <v>137</v>
      </c>
      <c r="S1527" s="1" t="s">
        <v>47</v>
      </c>
      <c r="T1527" s="1" t="s">
        <v>4301</v>
      </c>
      <c r="U1527" s="1" t="s">
        <v>1577</v>
      </c>
      <c r="V1527" s="1" t="s">
        <v>3858</v>
      </c>
      <c r="W1527" s="3"/>
      <c r="X1527" s="3"/>
    </row>
    <row r="1528">
      <c r="A1528" s="1" t="s">
        <v>16577</v>
      </c>
      <c r="B1528" s="1" t="s">
        <v>11534</v>
      </c>
      <c r="C1528" s="1" t="s">
        <v>11534</v>
      </c>
      <c r="D1528" s="1" t="s">
        <v>4293</v>
      </c>
      <c r="E1528" s="1" t="s">
        <v>11536</v>
      </c>
      <c r="F1528" s="1" t="s">
        <v>16578</v>
      </c>
      <c r="G1528" s="3">
        <v>45730.0</v>
      </c>
      <c r="H1528" s="3">
        <v>45825.0</v>
      </c>
      <c r="I1528" s="3">
        <v>45825.0</v>
      </c>
      <c r="J1528" s="1" t="s">
        <v>215</v>
      </c>
      <c r="K1528" s="1" t="s">
        <v>160</v>
      </c>
      <c r="L1528" s="1" t="s">
        <v>216</v>
      </c>
      <c r="M1528" s="1" t="s">
        <v>131</v>
      </c>
      <c r="Q1528" s="1" t="s">
        <v>137</v>
      </c>
      <c r="R1528" s="1" t="s">
        <v>137</v>
      </c>
      <c r="S1528" s="1" t="s">
        <v>47</v>
      </c>
      <c r="T1528" s="1" t="s">
        <v>4301</v>
      </c>
      <c r="U1528" s="1" t="s">
        <v>1577</v>
      </c>
      <c r="V1528" s="1" t="s">
        <v>3858</v>
      </c>
      <c r="W1528" s="3">
        <v>45825.0</v>
      </c>
      <c r="X1528" s="3">
        <v>45825.0</v>
      </c>
    </row>
    <row r="1529">
      <c r="A1529" s="1" t="s">
        <v>16579</v>
      </c>
      <c r="B1529" s="1" t="s">
        <v>11534</v>
      </c>
      <c r="C1529" s="1" t="s">
        <v>11534</v>
      </c>
      <c r="D1529" s="1" t="s">
        <v>4293</v>
      </c>
      <c r="E1529" s="1" t="s">
        <v>11536</v>
      </c>
      <c r="F1529" s="1" t="s">
        <v>16580</v>
      </c>
      <c r="G1529" s="3">
        <v>45730.0</v>
      </c>
      <c r="H1529" s="3">
        <v>45825.0</v>
      </c>
      <c r="I1529" s="3">
        <v>45825.0</v>
      </c>
      <c r="J1529" s="1" t="s">
        <v>215</v>
      </c>
      <c r="K1529" s="1" t="s">
        <v>160</v>
      </c>
      <c r="L1529" s="1" t="s">
        <v>216</v>
      </c>
      <c r="M1529" s="1" t="s">
        <v>131</v>
      </c>
      <c r="Q1529" s="1" t="s">
        <v>137</v>
      </c>
      <c r="R1529" s="1" t="s">
        <v>137</v>
      </c>
      <c r="S1529" s="1" t="s">
        <v>47</v>
      </c>
      <c r="T1529" s="1" t="s">
        <v>4301</v>
      </c>
      <c r="U1529" s="1" t="s">
        <v>1577</v>
      </c>
      <c r="V1529" s="1" t="s">
        <v>4950</v>
      </c>
      <c r="W1529" s="3">
        <v>45825.0</v>
      </c>
      <c r="X1529" s="3">
        <v>45825.0</v>
      </c>
    </row>
    <row r="1530">
      <c r="A1530" s="1" t="s">
        <v>16581</v>
      </c>
      <c r="B1530" s="1" t="s">
        <v>11546</v>
      </c>
      <c r="C1530" s="1" t="s">
        <v>11546</v>
      </c>
      <c r="D1530" s="1" t="s">
        <v>4293</v>
      </c>
      <c r="E1530" s="1" t="s">
        <v>11549</v>
      </c>
      <c r="F1530" s="1" t="s">
        <v>16582</v>
      </c>
      <c r="G1530" s="3">
        <v>44560.0</v>
      </c>
      <c r="H1530" s="3">
        <v>43905.0</v>
      </c>
      <c r="I1530" s="3">
        <v>43905.0</v>
      </c>
      <c r="J1530" s="1" t="s">
        <v>215</v>
      </c>
      <c r="K1530" s="1" t="s">
        <v>160</v>
      </c>
      <c r="L1530" s="1" t="s">
        <v>216</v>
      </c>
      <c r="M1530" s="1" t="s">
        <v>131</v>
      </c>
      <c r="Q1530" s="1" t="s">
        <v>137</v>
      </c>
      <c r="R1530" s="1" t="s">
        <v>137</v>
      </c>
      <c r="S1530" s="1" t="s">
        <v>47</v>
      </c>
      <c r="T1530" s="1" t="s">
        <v>4301</v>
      </c>
      <c r="U1530" s="1" t="s">
        <v>1577</v>
      </c>
      <c r="V1530" s="1" t="s">
        <v>3858</v>
      </c>
      <c r="W1530" s="3">
        <v>43905.0</v>
      </c>
      <c r="X1530" s="3">
        <v>43905.0</v>
      </c>
    </row>
    <row r="1531">
      <c r="A1531" s="1" t="s">
        <v>16583</v>
      </c>
      <c r="B1531" s="1" t="s">
        <v>7722</v>
      </c>
      <c r="C1531" s="1" t="s">
        <v>7722</v>
      </c>
      <c r="D1531" s="1" t="s">
        <v>4293</v>
      </c>
      <c r="E1531" s="1" t="s">
        <v>11557</v>
      </c>
      <c r="F1531" s="1" t="s">
        <v>16584</v>
      </c>
      <c r="G1531" s="3">
        <v>44470.0</v>
      </c>
      <c r="H1531" s="3">
        <v>44756.0</v>
      </c>
      <c r="I1531" s="3">
        <v>44756.0</v>
      </c>
      <c r="J1531" s="1" t="s">
        <v>215</v>
      </c>
      <c r="K1531" s="1" t="s">
        <v>160</v>
      </c>
      <c r="L1531" s="1" t="s">
        <v>216</v>
      </c>
      <c r="M1531" s="1" t="s">
        <v>131</v>
      </c>
      <c r="Q1531" s="1" t="s">
        <v>137</v>
      </c>
      <c r="R1531" s="1" t="s">
        <v>137</v>
      </c>
      <c r="S1531" s="1" t="s">
        <v>47</v>
      </c>
      <c r="T1531" s="1" t="s">
        <v>4301</v>
      </c>
      <c r="U1531" s="1" t="s">
        <v>1577</v>
      </c>
      <c r="V1531" s="1" t="s">
        <v>3858</v>
      </c>
      <c r="W1531" s="3">
        <v>44756.0</v>
      </c>
      <c r="X1531" s="3">
        <v>44756.0</v>
      </c>
    </row>
    <row r="1532">
      <c r="A1532" s="1" t="s">
        <v>16585</v>
      </c>
      <c r="B1532" s="1" t="s">
        <v>7722</v>
      </c>
      <c r="C1532" s="1" t="s">
        <v>7722</v>
      </c>
      <c r="D1532" s="1" t="s">
        <v>4293</v>
      </c>
      <c r="E1532" s="1" t="s">
        <v>11557</v>
      </c>
      <c r="F1532" s="1" t="s">
        <v>16586</v>
      </c>
      <c r="G1532" s="3">
        <v>44470.0</v>
      </c>
      <c r="H1532" s="3">
        <v>44756.0</v>
      </c>
      <c r="I1532" s="3">
        <v>44756.0</v>
      </c>
      <c r="J1532" s="1" t="s">
        <v>215</v>
      </c>
      <c r="K1532" s="1" t="s">
        <v>160</v>
      </c>
      <c r="L1532" s="1" t="s">
        <v>216</v>
      </c>
      <c r="M1532" s="1" t="s">
        <v>131</v>
      </c>
      <c r="Q1532" s="1" t="s">
        <v>137</v>
      </c>
      <c r="R1532" s="1" t="s">
        <v>137</v>
      </c>
      <c r="S1532" s="1" t="s">
        <v>47</v>
      </c>
      <c r="T1532" s="1" t="s">
        <v>4301</v>
      </c>
      <c r="U1532" s="1" t="s">
        <v>1577</v>
      </c>
      <c r="V1532" s="1" t="s">
        <v>4950</v>
      </c>
      <c r="W1532" s="3">
        <v>44756.0</v>
      </c>
      <c r="X1532" s="3">
        <v>44756.0</v>
      </c>
    </row>
    <row r="1533">
      <c r="A1533" s="1" t="s">
        <v>16587</v>
      </c>
      <c r="B1533" s="1" t="s">
        <v>11564</v>
      </c>
      <c r="C1533" s="1" t="s">
        <v>11564</v>
      </c>
      <c r="D1533" s="1" t="s">
        <v>4293</v>
      </c>
      <c r="E1533" s="1" t="s">
        <v>8203</v>
      </c>
      <c r="F1533" s="1" t="s">
        <v>16588</v>
      </c>
      <c r="G1533" s="3">
        <v>44553.0</v>
      </c>
      <c r="H1533" s="3">
        <v>44734.0</v>
      </c>
      <c r="I1533" s="3">
        <v>44734.0</v>
      </c>
      <c r="J1533" s="1" t="s">
        <v>215</v>
      </c>
      <c r="K1533" s="1" t="s">
        <v>160</v>
      </c>
      <c r="L1533" s="1" t="s">
        <v>216</v>
      </c>
      <c r="M1533" s="1" t="s">
        <v>131</v>
      </c>
      <c r="Q1533" s="1" t="s">
        <v>137</v>
      </c>
      <c r="R1533" s="1" t="s">
        <v>137</v>
      </c>
      <c r="S1533" s="1" t="s">
        <v>47</v>
      </c>
      <c r="T1533" s="1" t="s">
        <v>4301</v>
      </c>
      <c r="U1533" s="1" t="s">
        <v>1577</v>
      </c>
      <c r="V1533" s="1" t="s">
        <v>3858</v>
      </c>
      <c r="W1533" s="3">
        <v>44734.0</v>
      </c>
      <c r="X1533" s="3">
        <v>44734.0</v>
      </c>
    </row>
    <row r="1534">
      <c r="A1534" s="1" t="s">
        <v>16589</v>
      </c>
      <c r="B1534" s="1" t="s">
        <v>11577</v>
      </c>
      <c r="C1534" s="1" t="s">
        <v>11577</v>
      </c>
      <c r="D1534" s="1" t="s">
        <v>4293</v>
      </c>
      <c r="E1534" s="1" t="s">
        <v>9740</v>
      </c>
      <c r="F1534" s="1" t="s">
        <v>16590</v>
      </c>
      <c r="G1534" s="3">
        <v>44974.0</v>
      </c>
      <c r="H1534" s="3">
        <v>45369.0</v>
      </c>
      <c r="I1534" s="3">
        <v>45369.0</v>
      </c>
      <c r="J1534" s="1" t="s">
        <v>215</v>
      </c>
      <c r="K1534" s="1" t="s">
        <v>160</v>
      </c>
      <c r="L1534" s="1" t="s">
        <v>216</v>
      </c>
      <c r="M1534" s="1" t="s">
        <v>131</v>
      </c>
      <c r="Q1534" s="1" t="s">
        <v>137</v>
      </c>
      <c r="R1534" s="1" t="s">
        <v>137</v>
      </c>
      <c r="S1534" s="1" t="s">
        <v>47</v>
      </c>
      <c r="T1534" s="1" t="s">
        <v>4301</v>
      </c>
      <c r="U1534" s="1" t="s">
        <v>1577</v>
      </c>
      <c r="V1534" s="1" t="s">
        <v>3858</v>
      </c>
      <c r="W1534" s="3">
        <v>45369.0</v>
      </c>
      <c r="X1534" s="3">
        <v>45369.0</v>
      </c>
    </row>
    <row r="1535">
      <c r="A1535" s="1" t="s">
        <v>16591</v>
      </c>
      <c r="B1535" s="1" t="s">
        <v>11577</v>
      </c>
      <c r="C1535" s="1" t="s">
        <v>11577</v>
      </c>
      <c r="D1535" s="1" t="s">
        <v>4293</v>
      </c>
      <c r="E1535" s="1" t="s">
        <v>9740</v>
      </c>
      <c r="F1535" s="1" t="s">
        <v>16592</v>
      </c>
      <c r="G1535" s="3">
        <v>44974.0</v>
      </c>
      <c r="H1535" s="3">
        <v>45369.0</v>
      </c>
      <c r="I1535" s="3">
        <v>45369.0</v>
      </c>
      <c r="J1535" s="1" t="s">
        <v>215</v>
      </c>
      <c r="K1535" s="1" t="s">
        <v>160</v>
      </c>
      <c r="L1535" s="1" t="s">
        <v>216</v>
      </c>
      <c r="M1535" s="1" t="s">
        <v>131</v>
      </c>
      <c r="Q1535" s="1" t="s">
        <v>137</v>
      </c>
      <c r="R1535" s="1" t="s">
        <v>137</v>
      </c>
      <c r="S1535" s="1" t="s">
        <v>47</v>
      </c>
      <c r="T1535" s="1" t="s">
        <v>4301</v>
      </c>
      <c r="U1535" s="1" t="s">
        <v>1577</v>
      </c>
      <c r="V1535" s="1" t="s">
        <v>4950</v>
      </c>
      <c r="W1535" s="3">
        <v>45369.0</v>
      </c>
      <c r="X1535" s="3">
        <v>45369.0</v>
      </c>
    </row>
    <row r="1536">
      <c r="A1536" s="1" t="s">
        <v>16593</v>
      </c>
      <c r="B1536" s="1" t="s">
        <v>9897</v>
      </c>
      <c r="C1536" s="1" t="s">
        <v>9897</v>
      </c>
      <c r="D1536" s="1" t="s">
        <v>4293</v>
      </c>
      <c r="E1536" s="1" t="s">
        <v>9752</v>
      </c>
      <c r="F1536" s="1" t="s">
        <v>16594</v>
      </c>
      <c r="G1536" s="3">
        <v>43648.0</v>
      </c>
      <c r="H1536" s="3">
        <v>43815.0</v>
      </c>
      <c r="I1536" s="3">
        <v>43815.0</v>
      </c>
      <c r="J1536" s="1" t="s">
        <v>215</v>
      </c>
      <c r="K1536" s="1" t="s">
        <v>160</v>
      </c>
      <c r="L1536" s="1" t="s">
        <v>216</v>
      </c>
      <c r="M1536" s="1" t="s">
        <v>131</v>
      </c>
      <c r="Q1536" s="1" t="s">
        <v>137</v>
      </c>
      <c r="R1536" s="1" t="s">
        <v>137</v>
      </c>
      <c r="S1536" s="1" t="s">
        <v>47</v>
      </c>
      <c r="T1536" s="1" t="s">
        <v>4301</v>
      </c>
      <c r="U1536" s="1" t="s">
        <v>1577</v>
      </c>
      <c r="V1536" s="1" t="s">
        <v>3858</v>
      </c>
      <c r="W1536" s="3">
        <v>43815.0</v>
      </c>
      <c r="X1536" s="3">
        <v>43815.0</v>
      </c>
    </row>
    <row r="1537">
      <c r="A1537" s="1" t="s">
        <v>16595</v>
      </c>
      <c r="B1537" s="1" t="s">
        <v>9897</v>
      </c>
      <c r="C1537" s="1" t="s">
        <v>9897</v>
      </c>
      <c r="D1537" s="1" t="s">
        <v>4293</v>
      </c>
      <c r="E1537" s="1" t="s">
        <v>9752</v>
      </c>
      <c r="F1537" s="1" t="s">
        <v>16596</v>
      </c>
      <c r="G1537" s="3">
        <v>43648.0</v>
      </c>
      <c r="H1537" s="3">
        <v>43815.0</v>
      </c>
      <c r="I1537" s="3">
        <v>43815.0</v>
      </c>
      <c r="J1537" s="1" t="s">
        <v>215</v>
      </c>
      <c r="K1537" s="1" t="s">
        <v>160</v>
      </c>
      <c r="L1537" s="1" t="s">
        <v>216</v>
      </c>
      <c r="M1537" s="1" t="s">
        <v>131</v>
      </c>
      <c r="Q1537" s="1" t="s">
        <v>137</v>
      </c>
      <c r="R1537" s="1" t="s">
        <v>137</v>
      </c>
      <c r="S1537" s="1" t="s">
        <v>47</v>
      </c>
      <c r="T1537" s="1" t="s">
        <v>4301</v>
      </c>
      <c r="U1537" s="1" t="s">
        <v>1577</v>
      </c>
      <c r="V1537" s="1" t="s">
        <v>3865</v>
      </c>
      <c r="W1537" s="3">
        <v>43815.0</v>
      </c>
      <c r="X1537" s="3">
        <v>43815.0</v>
      </c>
    </row>
    <row r="1538">
      <c r="A1538" s="1" t="s">
        <v>16597</v>
      </c>
      <c r="B1538" s="1" t="s">
        <v>9897</v>
      </c>
      <c r="C1538" s="1" t="s">
        <v>9897</v>
      </c>
      <c r="D1538" s="1" t="s">
        <v>4293</v>
      </c>
      <c r="E1538" s="1" t="s">
        <v>9752</v>
      </c>
      <c r="F1538" s="1" t="s">
        <v>16598</v>
      </c>
      <c r="G1538" s="3">
        <v>43648.0</v>
      </c>
      <c r="H1538" s="3">
        <v>43815.0</v>
      </c>
      <c r="I1538" s="3">
        <v>43815.0</v>
      </c>
      <c r="J1538" s="1" t="s">
        <v>215</v>
      </c>
      <c r="K1538" s="1" t="s">
        <v>160</v>
      </c>
      <c r="L1538" s="1" t="s">
        <v>216</v>
      </c>
      <c r="M1538" s="1" t="s">
        <v>131</v>
      </c>
      <c r="Q1538" s="1" t="s">
        <v>137</v>
      </c>
      <c r="R1538" s="1" t="s">
        <v>137</v>
      </c>
      <c r="S1538" s="1" t="s">
        <v>47</v>
      </c>
      <c r="T1538" s="1" t="s">
        <v>4301</v>
      </c>
      <c r="U1538" s="1" t="s">
        <v>1577</v>
      </c>
      <c r="V1538" s="1" t="s">
        <v>4950</v>
      </c>
      <c r="W1538" s="3">
        <v>43815.0</v>
      </c>
      <c r="X1538" s="3">
        <v>43815.0</v>
      </c>
    </row>
    <row r="1539">
      <c r="A1539" s="1" t="s">
        <v>16599</v>
      </c>
      <c r="B1539" s="1" t="s">
        <v>14075</v>
      </c>
      <c r="C1539" s="1" t="s">
        <v>14075</v>
      </c>
      <c r="D1539" s="1" t="s">
        <v>4293</v>
      </c>
      <c r="E1539" s="1" t="s">
        <v>16600</v>
      </c>
      <c r="F1539" s="1" t="s">
        <v>16601</v>
      </c>
      <c r="G1539" s="3">
        <v>45980.0</v>
      </c>
      <c r="H1539" s="3"/>
      <c r="I1539" s="3"/>
      <c r="J1539" s="1" t="s">
        <v>124</v>
      </c>
      <c r="K1539" s="1" t="s">
        <v>160</v>
      </c>
      <c r="L1539" s="1" t="s">
        <v>253</v>
      </c>
      <c r="M1539" s="1" t="s">
        <v>131</v>
      </c>
      <c r="Q1539" s="1" t="s">
        <v>137</v>
      </c>
      <c r="R1539" s="1" t="s">
        <v>137</v>
      </c>
      <c r="S1539" s="1" t="s">
        <v>47</v>
      </c>
      <c r="T1539" s="1" t="s">
        <v>4301</v>
      </c>
      <c r="U1539" s="1" t="s">
        <v>1577</v>
      </c>
      <c r="V1539" s="1" t="s">
        <v>4679</v>
      </c>
      <c r="W1539" s="3"/>
      <c r="X1539" s="3"/>
    </row>
    <row r="1540">
      <c r="A1540" s="1" t="s">
        <v>16602</v>
      </c>
      <c r="B1540" s="1" t="s">
        <v>14075</v>
      </c>
      <c r="C1540" s="1" t="s">
        <v>14075</v>
      </c>
      <c r="D1540" s="1" t="s">
        <v>4293</v>
      </c>
      <c r="E1540" s="1" t="s">
        <v>16600</v>
      </c>
      <c r="F1540" s="1" t="s">
        <v>16603</v>
      </c>
      <c r="G1540" s="3">
        <v>45980.0</v>
      </c>
      <c r="H1540" s="3"/>
      <c r="I1540" s="3"/>
      <c r="J1540" s="1" t="s">
        <v>124</v>
      </c>
      <c r="K1540" s="1" t="s">
        <v>160</v>
      </c>
      <c r="L1540" s="1" t="s">
        <v>253</v>
      </c>
      <c r="M1540" s="1" t="s">
        <v>131</v>
      </c>
      <c r="Q1540" s="1" t="s">
        <v>137</v>
      </c>
      <c r="R1540" s="1" t="s">
        <v>137</v>
      </c>
      <c r="S1540" s="1" t="s">
        <v>47</v>
      </c>
      <c r="T1540" s="1" t="s">
        <v>4301</v>
      </c>
      <c r="U1540" s="1" t="s">
        <v>1577</v>
      </c>
      <c r="V1540" s="1" t="s">
        <v>4950</v>
      </c>
      <c r="W1540" s="3"/>
      <c r="X1540" s="3"/>
    </row>
    <row r="1541">
      <c r="A1541" s="1" t="s">
        <v>16604</v>
      </c>
      <c r="B1541" s="1" t="s">
        <v>14075</v>
      </c>
      <c r="C1541" s="1" t="s">
        <v>14075</v>
      </c>
      <c r="D1541" s="1" t="s">
        <v>4293</v>
      </c>
      <c r="E1541" s="1" t="s">
        <v>16600</v>
      </c>
      <c r="F1541" s="1" t="s">
        <v>16605</v>
      </c>
      <c r="G1541" s="3">
        <v>45980.0</v>
      </c>
      <c r="H1541" s="3"/>
      <c r="I1541" s="3"/>
      <c r="J1541" s="1" t="s">
        <v>124</v>
      </c>
      <c r="K1541" s="1" t="s">
        <v>160</v>
      </c>
      <c r="L1541" s="1" t="s">
        <v>253</v>
      </c>
      <c r="M1541" s="1" t="s">
        <v>131</v>
      </c>
      <c r="Q1541" s="1" t="s">
        <v>137</v>
      </c>
      <c r="R1541" s="1" t="s">
        <v>137</v>
      </c>
      <c r="S1541" s="1" t="s">
        <v>47</v>
      </c>
      <c r="T1541" s="1" t="s">
        <v>4301</v>
      </c>
      <c r="U1541" s="1" t="s">
        <v>1577</v>
      </c>
      <c r="V1541" s="1" t="s">
        <v>5104</v>
      </c>
      <c r="W1541" s="3"/>
      <c r="X1541" s="3"/>
    </row>
    <row r="1542">
      <c r="A1542" s="1" t="s">
        <v>16606</v>
      </c>
      <c r="B1542" s="1" t="s">
        <v>14075</v>
      </c>
      <c r="C1542" s="1" t="s">
        <v>14075</v>
      </c>
      <c r="D1542" s="1" t="s">
        <v>4293</v>
      </c>
      <c r="E1542" s="1" t="s">
        <v>16600</v>
      </c>
      <c r="F1542" s="1" t="s">
        <v>16607</v>
      </c>
      <c r="G1542" s="3">
        <v>45980.0</v>
      </c>
      <c r="H1542" s="3"/>
      <c r="I1542" s="3"/>
      <c r="J1542" s="1" t="s">
        <v>124</v>
      </c>
      <c r="K1542" s="1" t="s">
        <v>160</v>
      </c>
      <c r="L1542" s="1" t="s">
        <v>253</v>
      </c>
      <c r="M1542" s="1" t="s">
        <v>131</v>
      </c>
      <c r="Q1542" s="1" t="s">
        <v>137</v>
      </c>
      <c r="R1542" s="1" t="s">
        <v>137</v>
      </c>
      <c r="S1542" s="1" t="s">
        <v>47</v>
      </c>
      <c r="T1542" s="1" t="s">
        <v>4301</v>
      </c>
      <c r="U1542" s="1" t="s">
        <v>1577</v>
      </c>
      <c r="V1542" s="1" t="s">
        <v>5120</v>
      </c>
      <c r="W1542" s="3"/>
      <c r="X1542" s="3"/>
    </row>
    <row r="1543">
      <c r="A1543" s="1" t="s">
        <v>16608</v>
      </c>
      <c r="B1543" s="1" t="s">
        <v>8394</v>
      </c>
      <c r="C1543" s="1" t="s">
        <v>8394</v>
      </c>
      <c r="D1543" s="1" t="s">
        <v>4293</v>
      </c>
      <c r="E1543" s="1" t="s">
        <v>11592</v>
      </c>
      <c r="F1543" s="1" t="s">
        <v>16609</v>
      </c>
      <c r="G1543" s="3">
        <v>45505.0</v>
      </c>
      <c r="H1543" s="3">
        <v>45769.0</v>
      </c>
      <c r="I1543" s="3">
        <v>45769.0</v>
      </c>
      <c r="J1543" s="1" t="s">
        <v>215</v>
      </c>
      <c r="K1543" s="1" t="s">
        <v>160</v>
      </c>
      <c r="L1543" s="1" t="s">
        <v>216</v>
      </c>
      <c r="M1543" s="1" t="s">
        <v>131</v>
      </c>
      <c r="Q1543" s="1" t="s">
        <v>137</v>
      </c>
      <c r="R1543" s="1" t="s">
        <v>137</v>
      </c>
      <c r="S1543" s="1" t="s">
        <v>47</v>
      </c>
      <c r="T1543" s="1" t="s">
        <v>4301</v>
      </c>
      <c r="U1543" s="1" t="s">
        <v>1577</v>
      </c>
      <c r="V1543" s="1" t="s">
        <v>3858</v>
      </c>
      <c r="W1543" s="3">
        <v>45769.0</v>
      </c>
      <c r="X1543" s="3">
        <v>45769.0</v>
      </c>
    </row>
    <row r="1544">
      <c r="A1544" s="1" t="s">
        <v>16610</v>
      </c>
      <c r="B1544" s="1" t="s">
        <v>11602</v>
      </c>
      <c r="C1544" s="1" t="s">
        <v>11602</v>
      </c>
      <c r="D1544" s="1" t="s">
        <v>4293</v>
      </c>
      <c r="E1544" s="1" t="s">
        <v>9688</v>
      </c>
      <c r="F1544" s="1" t="s">
        <v>16611</v>
      </c>
      <c r="G1544" s="3">
        <v>43686.0</v>
      </c>
      <c r="H1544" s="3">
        <v>43934.0</v>
      </c>
      <c r="I1544" s="3">
        <v>43934.0</v>
      </c>
      <c r="J1544" s="1" t="s">
        <v>215</v>
      </c>
      <c r="K1544" s="1" t="s">
        <v>160</v>
      </c>
      <c r="L1544" s="1" t="s">
        <v>216</v>
      </c>
      <c r="M1544" s="1" t="s">
        <v>131</v>
      </c>
      <c r="Q1544" s="1" t="s">
        <v>137</v>
      </c>
      <c r="R1544" s="1" t="s">
        <v>137</v>
      </c>
      <c r="S1544" s="1" t="s">
        <v>47</v>
      </c>
      <c r="T1544" s="1" t="s">
        <v>4301</v>
      </c>
      <c r="U1544" s="1" t="s">
        <v>1577</v>
      </c>
      <c r="V1544" s="1" t="s">
        <v>3858</v>
      </c>
      <c r="W1544" s="3">
        <v>43934.0</v>
      </c>
      <c r="X1544" s="3">
        <v>43934.0</v>
      </c>
    </row>
    <row r="1545">
      <c r="A1545" s="1" t="s">
        <v>16612</v>
      </c>
      <c r="B1545" s="1" t="s">
        <v>14077</v>
      </c>
      <c r="C1545" s="1" t="s">
        <v>14077</v>
      </c>
      <c r="D1545" s="1" t="s">
        <v>4293</v>
      </c>
      <c r="E1545" s="1" t="s">
        <v>16613</v>
      </c>
      <c r="F1545" s="1" t="s">
        <v>16614</v>
      </c>
      <c r="G1545" s="3">
        <v>45685.0</v>
      </c>
      <c r="H1545" s="3"/>
      <c r="I1545" s="3"/>
      <c r="J1545" s="1" t="s">
        <v>124</v>
      </c>
      <c r="K1545" s="1" t="s">
        <v>160</v>
      </c>
      <c r="L1545" s="1" t="s">
        <v>253</v>
      </c>
      <c r="M1545" s="1" t="s">
        <v>131</v>
      </c>
      <c r="Q1545" s="1" t="s">
        <v>137</v>
      </c>
      <c r="R1545" s="1" t="s">
        <v>137</v>
      </c>
      <c r="S1545" s="1" t="s">
        <v>47</v>
      </c>
      <c r="T1545" s="1" t="s">
        <v>4301</v>
      </c>
      <c r="U1545" s="1" t="s">
        <v>1577</v>
      </c>
      <c r="V1545" s="1" t="s">
        <v>3858</v>
      </c>
      <c r="W1545" s="3"/>
      <c r="X1545" s="3"/>
    </row>
    <row r="1546">
      <c r="A1546" s="1" t="s">
        <v>16615</v>
      </c>
      <c r="B1546" s="1" t="s">
        <v>11610</v>
      </c>
      <c r="C1546" s="1" t="s">
        <v>11610</v>
      </c>
      <c r="D1546" s="1" t="s">
        <v>4293</v>
      </c>
      <c r="E1546" s="1" t="s">
        <v>11613</v>
      </c>
      <c r="F1546" s="1" t="s">
        <v>16616</v>
      </c>
      <c r="G1546" s="3">
        <v>45475.0</v>
      </c>
      <c r="H1546" s="3">
        <v>45701.0</v>
      </c>
      <c r="I1546" s="3">
        <v>45701.0</v>
      </c>
      <c r="J1546" s="1" t="s">
        <v>215</v>
      </c>
      <c r="K1546" s="1" t="s">
        <v>160</v>
      </c>
      <c r="L1546" s="1" t="s">
        <v>216</v>
      </c>
      <c r="M1546" s="1" t="s">
        <v>131</v>
      </c>
      <c r="Q1546" s="1" t="s">
        <v>137</v>
      </c>
      <c r="R1546" s="1" t="s">
        <v>137</v>
      </c>
      <c r="S1546" s="1" t="s">
        <v>47</v>
      </c>
      <c r="T1546" s="1" t="s">
        <v>4301</v>
      </c>
      <c r="U1546" s="1" t="s">
        <v>1577</v>
      </c>
      <c r="V1546" s="1" t="s">
        <v>3858</v>
      </c>
      <c r="W1546" s="3">
        <v>45701.0</v>
      </c>
      <c r="X1546" s="3">
        <v>45701.0</v>
      </c>
    </row>
    <row r="1547">
      <c r="A1547" s="1" t="s">
        <v>16617</v>
      </c>
      <c r="B1547" s="1" t="s">
        <v>11610</v>
      </c>
      <c r="C1547" s="1" t="s">
        <v>11610</v>
      </c>
      <c r="D1547" s="1" t="s">
        <v>4293</v>
      </c>
      <c r="E1547" s="1" t="s">
        <v>11613</v>
      </c>
      <c r="F1547" s="1" t="s">
        <v>16618</v>
      </c>
      <c r="G1547" s="3">
        <v>45475.0</v>
      </c>
      <c r="H1547" s="3">
        <v>45701.0</v>
      </c>
      <c r="I1547" s="3">
        <v>45701.0</v>
      </c>
      <c r="J1547" s="1" t="s">
        <v>215</v>
      </c>
      <c r="K1547" s="1" t="s">
        <v>160</v>
      </c>
      <c r="L1547" s="1" t="s">
        <v>216</v>
      </c>
      <c r="M1547" s="1" t="s">
        <v>131</v>
      </c>
      <c r="Q1547" s="1" t="s">
        <v>137</v>
      </c>
      <c r="R1547" s="1" t="s">
        <v>137</v>
      </c>
      <c r="S1547" s="1" t="s">
        <v>47</v>
      </c>
      <c r="T1547" s="1" t="s">
        <v>4301</v>
      </c>
      <c r="U1547" s="1" t="s">
        <v>1577</v>
      </c>
      <c r="V1547" s="1" t="s">
        <v>4950</v>
      </c>
      <c r="W1547" s="3">
        <v>45701.0</v>
      </c>
      <c r="X1547" s="3">
        <v>45701.0</v>
      </c>
    </row>
    <row r="1548">
      <c r="A1548" s="1" t="s">
        <v>16619</v>
      </c>
      <c r="B1548" s="1" t="s">
        <v>8357</v>
      </c>
      <c r="C1548" s="1" t="s">
        <v>8357</v>
      </c>
      <c r="D1548" s="1" t="s">
        <v>4293</v>
      </c>
      <c r="E1548" s="1" t="s">
        <v>11623</v>
      </c>
      <c r="F1548" s="1" t="s">
        <v>16620</v>
      </c>
      <c r="G1548" s="3">
        <v>43698.0</v>
      </c>
      <c r="H1548" s="3">
        <v>43720.0</v>
      </c>
      <c r="I1548" s="3">
        <v>43720.0</v>
      </c>
      <c r="J1548" s="1" t="s">
        <v>215</v>
      </c>
      <c r="K1548" s="1" t="s">
        <v>160</v>
      </c>
      <c r="L1548" s="1" t="s">
        <v>216</v>
      </c>
      <c r="M1548" s="1" t="s">
        <v>131</v>
      </c>
      <c r="Q1548" s="1" t="s">
        <v>137</v>
      </c>
      <c r="R1548" s="1" t="s">
        <v>137</v>
      </c>
      <c r="S1548" s="1" t="s">
        <v>47</v>
      </c>
      <c r="T1548" s="1" t="s">
        <v>4301</v>
      </c>
      <c r="U1548" s="1" t="s">
        <v>1577</v>
      </c>
      <c r="V1548" s="1" t="s">
        <v>3858</v>
      </c>
      <c r="W1548" s="3">
        <v>43720.0</v>
      </c>
      <c r="X1548" s="3">
        <v>43720.0</v>
      </c>
    </row>
    <row r="1549">
      <c r="A1549" s="1" t="s">
        <v>16621</v>
      </c>
      <c r="B1549" s="1" t="s">
        <v>11631</v>
      </c>
      <c r="C1549" s="1" t="s">
        <v>11631</v>
      </c>
      <c r="D1549" s="1" t="s">
        <v>4293</v>
      </c>
      <c r="E1549" s="1" t="s">
        <v>11634</v>
      </c>
      <c r="F1549" s="1" t="s">
        <v>16622</v>
      </c>
      <c r="G1549" s="3">
        <v>44348.0</v>
      </c>
      <c r="H1549" s="3">
        <v>44348.0</v>
      </c>
      <c r="I1549" s="3">
        <v>44348.0</v>
      </c>
      <c r="J1549" s="1" t="s">
        <v>215</v>
      </c>
      <c r="K1549" s="1" t="s">
        <v>160</v>
      </c>
      <c r="L1549" s="1" t="s">
        <v>216</v>
      </c>
      <c r="M1549" s="1" t="s">
        <v>131</v>
      </c>
      <c r="Q1549" s="1" t="s">
        <v>137</v>
      </c>
      <c r="R1549" s="1" t="s">
        <v>137</v>
      </c>
      <c r="S1549" s="1" t="s">
        <v>47</v>
      </c>
      <c r="T1549" s="1" t="s">
        <v>4301</v>
      </c>
      <c r="U1549" s="1" t="s">
        <v>1577</v>
      </c>
      <c r="V1549" s="1" t="s">
        <v>4950</v>
      </c>
      <c r="W1549" s="3">
        <v>44348.0</v>
      </c>
      <c r="X1549" s="3">
        <v>44348.0</v>
      </c>
    </row>
    <row r="1550">
      <c r="A1550" s="1" t="s">
        <v>16623</v>
      </c>
      <c r="B1550" s="1" t="s">
        <v>11644</v>
      </c>
      <c r="C1550" s="1" t="s">
        <v>11644</v>
      </c>
      <c r="D1550" s="1" t="s">
        <v>4293</v>
      </c>
      <c r="E1550" s="1" t="s">
        <v>11648</v>
      </c>
      <c r="F1550" s="1" t="s">
        <v>16624</v>
      </c>
      <c r="G1550" s="3">
        <v>44316.0</v>
      </c>
      <c r="H1550" s="3">
        <v>44347.0</v>
      </c>
      <c r="I1550" s="3">
        <v>44347.0</v>
      </c>
      <c r="J1550" s="1" t="s">
        <v>215</v>
      </c>
      <c r="K1550" s="1" t="s">
        <v>160</v>
      </c>
      <c r="L1550" s="1" t="s">
        <v>216</v>
      </c>
      <c r="M1550" s="1" t="s">
        <v>131</v>
      </c>
      <c r="Q1550" s="1" t="s">
        <v>137</v>
      </c>
      <c r="R1550" s="1" t="s">
        <v>137</v>
      </c>
      <c r="S1550" s="1" t="s">
        <v>47</v>
      </c>
      <c r="T1550" s="1" t="s">
        <v>4301</v>
      </c>
      <c r="U1550" s="1" t="s">
        <v>1577</v>
      </c>
      <c r="V1550" s="1" t="s">
        <v>3865</v>
      </c>
      <c r="W1550" s="3">
        <v>44347.0</v>
      </c>
      <c r="X1550" s="3">
        <v>44347.0</v>
      </c>
    </row>
    <row r="1551">
      <c r="A1551" s="1" t="s">
        <v>16625</v>
      </c>
      <c r="B1551" s="1" t="s">
        <v>11659</v>
      </c>
      <c r="C1551" s="1" t="s">
        <v>11659</v>
      </c>
      <c r="D1551" s="1" t="s">
        <v>4293</v>
      </c>
      <c r="E1551" s="1" t="s">
        <v>11661</v>
      </c>
      <c r="F1551" s="1" t="s">
        <v>16626</v>
      </c>
      <c r="G1551" s="3">
        <v>43952.0</v>
      </c>
      <c r="H1551" s="3">
        <v>43952.0</v>
      </c>
      <c r="I1551" s="3">
        <v>43952.0</v>
      </c>
      <c r="J1551" s="1" t="s">
        <v>215</v>
      </c>
      <c r="K1551" s="1" t="s">
        <v>160</v>
      </c>
      <c r="L1551" s="1" t="s">
        <v>216</v>
      </c>
      <c r="M1551" s="1" t="s">
        <v>131</v>
      </c>
      <c r="Q1551" s="1" t="s">
        <v>137</v>
      </c>
      <c r="R1551" s="1" t="s">
        <v>137</v>
      </c>
      <c r="S1551" s="1" t="s">
        <v>47</v>
      </c>
      <c r="T1551" s="1" t="s">
        <v>4301</v>
      </c>
      <c r="U1551" s="1" t="s">
        <v>1577</v>
      </c>
      <c r="V1551" s="1" t="s">
        <v>4679</v>
      </c>
      <c r="W1551" s="3">
        <v>43952.0</v>
      </c>
      <c r="X1551" s="3">
        <v>43952.0</v>
      </c>
    </row>
    <row r="1552">
      <c r="A1552" s="1" t="s">
        <v>16627</v>
      </c>
      <c r="B1552" s="1" t="s">
        <v>11659</v>
      </c>
      <c r="C1552" s="1" t="s">
        <v>11659</v>
      </c>
      <c r="D1552" s="1" t="s">
        <v>4293</v>
      </c>
      <c r="E1552" s="1" t="s">
        <v>11661</v>
      </c>
      <c r="F1552" s="1" t="s">
        <v>16628</v>
      </c>
      <c r="G1552" s="3">
        <v>43952.0</v>
      </c>
      <c r="H1552" s="3">
        <v>43952.0</v>
      </c>
      <c r="I1552" s="3">
        <v>43952.0</v>
      </c>
      <c r="J1552" s="1" t="s">
        <v>215</v>
      </c>
      <c r="K1552" s="1" t="s">
        <v>160</v>
      </c>
      <c r="L1552" s="1" t="s">
        <v>216</v>
      </c>
      <c r="M1552" s="1" t="s">
        <v>131</v>
      </c>
      <c r="Q1552" s="1" t="s">
        <v>137</v>
      </c>
      <c r="R1552" s="1" t="s">
        <v>137</v>
      </c>
      <c r="S1552" s="1" t="s">
        <v>47</v>
      </c>
      <c r="T1552" s="1" t="s">
        <v>4301</v>
      </c>
      <c r="U1552" s="1" t="s">
        <v>1577</v>
      </c>
      <c r="V1552" s="1" t="s">
        <v>4950</v>
      </c>
      <c r="W1552" s="3">
        <v>43952.0</v>
      </c>
      <c r="X1552" s="3">
        <v>43952.0</v>
      </c>
    </row>
    <row r="1553">
      <c r="A1553" s="1" t="s">
        <v>16629</v>
      </c>
      <c r="B1553" s="1" t="s">
        <v>11659</v>
      </c>
      <c r="C1553" s="1" t="s">
        <v>11659</v>
      </c>
      <c r="D1553" s="1" t="s">
        <v>4293</v>
      </c>
      <c r="E1553" s="1" t="s">
        <v>11661</v>
      </c>
      <c r="F1553" s="1" t="s">
        <v>16630</v>
      </c>
      <c r="G1553" s="3">
        <v>43952.0</v>
      </c>
      <c r="H1553" s="3">
        <v>43952.0</v>
      </c>
      <c r="I1553" s="3">
        <v>43952.0</v>
      </c>
      <c r="J1553" s="1" t="s">
        <v>215</v>
      </c>
      <c r="K1553" s="1" t="s">
        <v>160</v>
      </c>
      <c r="L1553" s="1" t="s">
        <v>216</v>
      </c>
      <c r="M1553" s="1" t="s">
        <v>131</v>
      </c>
      <c r="Q1553" s="1" t="s">
        <v>137</v>
      </c>
      <c r="R1553" s="1" t="s">
        <v>137</v>
      </c>
      <c r="S1553" s="1" t="s">
        <v>47</v>
      </c>
      <c r="T1553" s="1" t="s">
        <v>4301</v>
      </c>
      <c r="U1553" s="1" t="s">
        <v>1577</v>
      </c>
      <c r="V1553" s="1" t="s">
        <v>5104</v>
      </c>
      <c r="W1553" s="3">
        <v>43952.0</v>
      </c>
      <c r="X1553" s="3">
        <v>43952.0</v>
      </c>
    </row>
    <row r="1554">
      <c r="A1554" s="1" t="s">
        <v>16632</v>
      </c>
      <c r="B1554" s="1" t="s">
        <v>11659</v>
      </c>
      <c r="C1554" s="1" t="s">
        <v>11659</v>
      </c>
      <c r="D1554" s="1" t="s">
        <v>4293</v>
      </c>
      <c r="E1554" s="1" t="s">
        <v>11661</v>
      </c>
      <c r="F1554" s="1" t="s">
        <v>16635</v>
      </c>
      <c r="G1554" s="3">
        <v>43952.0</v>
      </c>
      <c r="H1554" s="3">
        <v>43952.0</v>
      </c>
      <c r="I1554" s="3">
        <v>43952.0</v>
      </c>
      <c r="J1554" s="1" t="s">
        <v>215</v>
      </c>
      <c r="K1554" s="1" t="s">
        <v>160</v>
      </c>
      <c r="L1554" s="1" t="s">
        <v>216</v>
      </c>
      <c r="M1554" s="1" t="s">
        <v>131</v>
      </c>
      <c r="Q1554" s="1" t="s">
        <v>137</v>
      </c>
      <c r="R1554" s="1" t="s">
        <v>137</v>
      </c>
      <c r="S1554" s="1" t="s">
        <v>47</v>
      </c>
      <c r="T1554" s="1" t="s">
        <v>4301</v>
      </c>
      <c r="U1554" s="1" t="s">
        <v>1577</v>
      </c>
      <c r="V1554" s="1" t="s">
        <v>5120</v>
      </c>
      <c r="W1554" s="3">
        <v>43952.0</v>
      </c>
      <c r="X1554" s="3">
        <v>43952.0</v>
      </c>
    </row>
    <row r="1555">
      <c r="A1555" s="1" t="s">
        <v>16636</v>
      </c>
      <c r="B1555" s="1" t="s">
        <v>5913</v>
      </c>
      <c r="C1555" s="1" t="s">
        <v>5913</v>
      </c>
      <c r="D1555" s="1" t="s">
        <v>4293</v>
      </c>
      <c r="E1555" s="1" t="s">
        <v>11671</v>
      </c>
      <c r="F1555" s="1" t="s">
        <v>16637</v>
      </c>
      <c r="G1555" s="3">
        <v>45194.0</v>
      </c>
      <c r="H1555" s="3">
        <v>45545.0</v>
      </c>
      <c r="I1555" s="3">
        <v>45545.0</v>
      </c>
      <c r="J1555" s="1" t="s">
        <v>215</v>
      </c>
      <c r="K1555" s="1" t="s">
        <v>160</v>
      </c>
      <c r="L1555" s="1" t="s">
        <v>216</v>
      </c>
      <c r="M1555" s="1" t="s">
        <v>131</v>
      </c>
      <c r="Q1555" s="1" t="s">
        <v>137</v>
      </c>
      <c r="R1555" s="1" t="s">
        <v>137</v>
      </c>
      <c r="S1555" s="1" t="s">
        <v>47</v>
      </c>
      <c r="T1555" s="1" t="s">
        <v>4301</v>
      </c>
      <c r="U1555" s="1" t="s">
        <v>1577</v>
      </c>
      <c r="V1555" s="1" t="s">
        <v>4679</v>
      </c>
      <c r="W1555" s="3">
        <v>45545.0</v>
      </c>
      <c r="X1555" s="3">
        <v>45545.0</v>
      </c>
    </row>
    <row r="1556">
      <c r="A1556" s="1" t="s">
        <v>16638</v>
      </c>
      <c r="B1556" s="1" t="s">
        <v>5913</v>
      </c>
      <c r="C1556" s="1" t="s">
        <v>5913</v>
      </c>
      <c r="D1556" s="1" t="s">
        <v>4293</v>
      </c>
      <c r="E1556" s="1" t="s">
        <v>11671</v>
      </c>
      <c r="F1556" s="1" t="s">
        <v>16639</v>
      </c>
      <c r="G1556" s="3">
        <v>45194.0</v>
      </c>
      <c r="H1556" s="3">
        <v>45545.0</v>
      </c>
      <c r="I1556" s="3">
        <v>45545.0</v>
      </c>
      <c r="J1556" s="1" t="s">
        <v>215</v>
      </c>
      <c r="K1556" s="1" t="s">
        <v>160</v>
      </c>
      <c r="L1556" s="1" t="s">
        <v>216</v>
      </c>
      <c r="M1556" s="1" t="s">
        <v>131</v>
      </c>
      <c r="Q1556" s="1" t="s">
        <v>137</v>
      </c>
      <c r="R1556" s="1" t="s">
        <v>137</v>
      </c>
      <c r="S1556" s="1" t="s">
        <v>47</v>
      </c>
      <c r="T1556" s="1" t="s">
        <v>4301</v>
      </c>
      <c r="U1556" s="1" t="s">
        <v>1577</v>
      </c>
      <c r="V1556" s="1" t="s">
        <v>3865</v>
      </c>
      <c r="W1556" s="3">
        <v>45545.0</v>
      </c>
      <c r="X1556" s="3">
        <v>45545.0</v>
      </c>
    </row>
    <row r="1557">
      <c r="A1557" s="1" t="s">
        <v>16640</v>
      </c>
      <c r="B1557" s="1" t="s">
        <v>5913</v>
      </c>
      <c r="C1557" s="1" t="s">
        <v>5913</v>
      </c>
      <c r="D1557" s="1" t="s">
        <v>4293</v>
      </c>
      <c r="E1557" s="1" t="s">
        <v>11671</v>
      </c>
      <c r="F1557" s="1" t="s">
        <v>16642</v>
      </c>
      <c r="G1557" s="3">
        <v>45194.0</v>
      </c>
      <c r="H1557" s="3">
        <v>45545.0</v>
      </c>
      <c r="I1557" s="3">
        <v>45545.0</v>
      </c>
      <c r="J1557" s="1" t="s">
        <v>215</v>
      </c>
      <c r="K1557" s="1" t="s">
        <v>160</v>
      </c>
      <c r="L1557" s="1" t="s">
        <v>216</v>
      </c>
      <c r="M1557" s="1" t="s">
        <v>131</v>
      </c>
      <c r="Q1557" s="1" t="s">
        <v>137</v>
      </c>
      <c r="R1557" s="1" t="s">
        <v>137</v>
      </c>
      <c r="S1557" s="1" t="s">
        <v>47</v>
      </c>
      <c r="T1557" s="1" t="s">
        <v>4301</v>
      </c>
      <c r="U1557" s="1" t="s">
        <v>1577</v>
      </c>
      <c r="V1557" s="1" t="s">
        <v>4950</v>
      </c>
      <c r="W1557" s="3">
        <v>45545.0</v>
      </c>
      <c r="X1557" s="3">
        <v>45545.0</v>
      </c>
    </row>
    <row r="1558">
      <c r="A1558" s="1" t="s">
        <v>16645</v>
      </c>
      <c r="B1558" s="1" t="s">
        <v>5913</v>
      </c>
      <c r="C1558" s="1" t="s">
        <v>5913</v>
      </c>
      <c r="D1558" s="1" t="s">
        <v>4293</v>
      </c>
      <c r="E1558" s="1" t="s">
        <v>11671</v>
      </c>
      <c r="F1558" s="1" t="s">
        <v>16646</v>
      </c>
      <c r="G1558" s="3">
        <v>45194.0</v>
      </c>
      <c r="H1558" s="3">
        <v>45545.0</v>
      </c>
      <c r="I1558" s="3">
        <v>45545.0</v>
      </c>
      <c r="J1558" s="1" t="s">
        <v>215</v>
      </c>
      <c r="K1558" s="1" t="s">
        <v>160</v>
      </c>
      <c r="L1558" s="1" t="s">
        <v>216</v>
      </c>
      <c r="M1558" s="1" t="s">
        <v>131</v>
      </c>
      <c r="Q1558" s="1" t="s">
        <v>137</v>
      </c>
      <c r="R1558" s="1" t="s">
        <v>137</v>
      </c>
      <c r="S1558" s="1" t="s">
        <v>47</v>
      </c>
      <c r="T1558" s="1" t="s">
        <v>4301</v>
      </c>
      <c r="U1558" s="1" t="s">
        <v>1577</v>
      </c>
      <c r="V1558" s="1" t="s">
        <v>5104</v>
      </c>
      <c r="W1558" s="3">
        <v>45545.0</v>
      </c>
      <c r="X1558" s="3">
        <v>45545.0</v>
      </c>
    </row>
    <row r="1559">
      <c r="A1559" s="1" t="s">
        <v>16647</v>
      </c>
      <c r="B1559" s="1" t="s">
        <v>5913</v>
      </c>
      <c r="C1559" s="1" t="s">
        <v>5913</v>
      </c>
      <c r="D1559" s="1" t="s">
        <v>4293</v>
      </c>
      <c r="E1559" s="1" t="s">
        <v>11671</v>
      </c>
      <c r="F1559" s="1" t="s">
        <v>16648</v>
      </c>
      <c r="G1559" s="3">
        <v>45194.0</v>
      </c>
      <c r="H1559" s="3">
        <v>45545.0</v>
      </c>
      <c r="I1559" s="3">
        <v>45545.0</v>
      </c>
      <c r="J1559" s="1" t="s">
        <v>215</v>
      </c>
      <c r="K1559" s="1" t="s">
        <v>160</v>
      </c>
      <c r="L1559" s="1" t="s">
        <v>216</v>
      </c>
      <c r="M1559" s="1" t="s">
        <v>131</v>
      </c>
      <c r="Q1559" s="1" t="s">
        <v>137</v>
      </c>
      <c r="R1559" s="1" t="s">
        <v>137</v>
      </c>
      <c r="S1559" s="1" t="s">
        <v>47</v>
      </c>
      <c r="T1559" s="1" t="s">
        <v>4301</v>
      </c>
      <c r="U1559" s="1" t="s">
        <v>1577</v>
      </c>
      <c r="V1559" s="1" t="s">
        <v>5120</v>
      </c>
      <c r="W1559" s="3">
        <v>45545.0</v>
      </c>
      <c r="X1559" s="3">
        <v>45545.0</v>
      </c>
    </row>
    <row r="1560">
      <c r="A1560" s="1" t="s">
        <v>16649</v>
      </c>
      <c r="B1560" s="1" t="s">
        <v>11681</v>
      </c>
      <c r="C1560" s="1" t="s">
        <v>11681</v>
      </c>
      <c r="D1560" s="1" t="s">
        <v>4293</v>
      </c>
      <c r="E1560" s="1" t="s">
        <v>11684</v>
      </c>
      <c r="F1560" s="1" t="s">
        <v>16650</v>
      </c>
      <c r="G1560" s="3">
        <v>45562.0</v>
      </c>
      <c r="H1560" s="3">
        <v>45908.0</v>
      </c>
      <c r="I1560" s="3">
        <v>45908.0</v>
      </c>
      <c r="J1560" s="1" t="s">
        <v>215</v>
      </c>
      <c r="K1560" s="1" t="s">
        <v>160</v>
      </c>
      <c r="L1560" s="1" t="s">
        <v>216</v>
      </c>
      <c r="M1560" s="1" t="s">
        <v>131</v>
      </c>
      <c r="Q1560" s="1" t="s">
        <v>137</v>
      </c>
      <c r="R1560" s="1" t="s">
        <v>137</v>
      </c>
      <c r="S1560" s="1" t="s">
        <v>47</v>
      </c>
      <c r="T1560" s="1" t="s">
        <v>4301</v>
      </c>
      <c r="U1560" s="1" t="s">
        <v>1577</v>
      </c>
      <c r="V1560" s="1" t="s">
        <v>3858</v>
      </c>
      <c r="W1560" s="3">
        <v>45908.0</v>
      </c>
      <c r="X1560" s="3">
        <v>45908.0</v>
      </c>
    </row>
    <row r="1561">
      <c r="A1561" s="1" t="s">
        <v>16651</v>
      </c>
      <c r="B1561" s="1" t="s">
        <v>11681</v>
      </c>
      <c r="C1561" s="1" t="s">
        <v>11681</v>
      </c>
      <c r="D1561" s="1" t="s">
        <v>4293</v>
      </c>
      <c r="E1561" s="1" t="s">
        <v>11684</v>
      </c>
      <c r="F1561" s="1" t="s">
        <v>16652</v>
      </c>
      <c r="G1561" s="3">
        <v>45562.0</v>
      </c>
      <c r="H1561" s="3">
        <v>45908.0</v>
      </c>
      <c r="I1561" s="3">
        <v>45908.0</v>
      </c>
      <c r="J1561" s="1" t="s">
        <v>215</v>
      </c>
      <c r="K1561" s="1" t="s">
        <v>160</v>
      </c>
      <c r="L1561" s="1" t="s">
        <v>216</v>
      </c>
      <c r="M1561" s="1" t="s">
        <v>131</v>
      </c>
      <c r="Q1561" s="1" t="s">
        <v>137</v>
      </c>
      <c r="R1561" s="1" t="s">
        <v>137</v>
      </c>
      <c r="S1561" s="1" t="s">
        <v>47</v>
      </c>
      <c r="T1561" s="1" t="s">
        <v>4301</v>
      </c>
      <c r="U1561" s="1" t="s">
        <v>1577</v>
      </c>
      <c r="V1561" s="1" t="s">
        <v>3865</v>
      </c>
      <c r="W1561" s="3">
        <v>45908.0</v>
      </c>
      <c r="X1561" s="3">
        <v>45908.0</v>
      </c>
    </row>
    <row r="1562">
      <c r="A1562" s="1" t="s">
        <v>16653</v>
      </c>
      <c r="B1562" s="1" t="s">
        <v>11681</v>
      </c>
      <c r="C1562" s="1" t="s">
        <v>11681</v>
      </c>
      <c r="D1562" s="1" t="s">
        <v>4293</v>
      </c>
      <c r="E1562" s="1" t="s">
        <v>11684</v>
      </c>
      <c r="F1562" s="1" t="s">
        <v>16654</v>
      </c>
      <c r="G1562" s="3">
        <v>45562.0</v>
      </c>
      <c r="H1562" s="3">
        <v>45908.0</v>
      </c>
      <c r="I1562" s="3">
        <v>45908.0</v>
      </c>
      <c r="J1562" s="1" t="s">
        <v>215</v>
      </c>
      <c r="K1562" s="1" t="s">
        <v>160</v>
      </c>
      <c r="L1562" s="1" t="s">
        <v>216</v>
      </c>
      <c r="M1562" s="1" t="s">
        <v>131</v>
      </c>
      <c r="Q1562" s="1" t="s">
        <v>137</v>
      </c>
      <c r="R1562" s="1" t="s">
        <v>137</v>
      </c>
      <c r="S1562" s="1" t="s">
        <v>47</v>
      </c>
      <c r="T1562" s="1" t="s">
        <v>4301</v>
      </c>
      <c r="U1562" s="1" t="s">
        <v>1577</v>
      </c>
      <c r="V1562" s="1" t="s">
        <v>4950</v>
      </c>
      <c r="W1562" s="3">
        <v>45908.0</v>
      </c>
      <c r="X1562" s="3">
        <v>45908.0</v>
      </c>
    </row>
    <row r="1563">
      <c r="A1563" s="1" t="s">
        <v>16655</v>
      </c>
      <c r="B1563" s="1" t="s">
        <v>14081</v>
      </c>
      <c r="C1563" s="1" t="s">
        <v>14081</v>
      </c>
      <c r="D1563" s="1" t="s">
        <v>4293</v>
      </c>
      <c r="E1563" s="1" t="s">
        <v>16656</v>
      </c>
      <c r="F1563" s="1" t="s">
        <v>16657</v>
      </c>
      <c r="G1563" s="3">
        <v>44622.0</v>
      </c>
      <c r="H1563" s="3"/>
      <c r="I1563" s="3"/>
      <c r="J1563" s="1" t="s">
        <v>124</v>
      </c>
      <c r="K1563" s="1" t="s">
        <v>160</v>
      </c>
      <c r="L1563" s="1" t="s">
        <v>253</v>
      </c>
      <c r="M1563" s="1" t="s">
        <v>131</v>
      </c>
      <c r="Q1563" s="1" t="s">
        <v>137</v>
      </c>
      <c r="R1563" s="1" t="s">
        <v>137</v>
      </c>
      <c r="S1563" s="1" t="s">
        <v>47</v>
      </c>
      <c r="T1563" s="1" t="s">
        <v>4301</v>
      </c>
      <c r="U1563" s="1" t="s">
        <v>1577</v>
      </c>
      <c r="V1563" s="1" t="s">
        <v>3858</v>
      </c>
      <c r="W1563" s="3"/>
      <c r="X1563" s="3"/>
    </row>
    <row r="1564">
      <c r="A1564" s="1" t="s">
        <v>16658</v>
      </c>
      <c r="B1564" s="1" t="s">
        <v>11690</v>
      </c>
      <c r="C1564" s="1" t="s">
        <v>11690</v>
      </c>
      <c r="D1564" s="1" t="s">
        <v>4293</v>
      </c>
      <c r="E1564" s="1" t="s">
        <v>11692</v>
      </c>
      <c r="F1564" s="1" t="s">
        <v>16659</v>
      </c>
      <c r="G1564" s="3">
        <v>45106.0</v>
      </c>
      <c r="H1564" s="3">
        <v>45233.0</v>
      </c>
      <c r="I1564" s="3">
        <v>45233.0</v>
      </c>
      <c r="J1564" s="1" t="s">
        <v>215</v>
      </c>
      <c r="K1564" s="1" t="s">
        <v>160</v>
      </c>
      <c r="L1564" s="1" t="s">
        <v>216</v>
      </c>
      <c r="M1564" s="1" t="s">
        <v>131</v>
      </c>
      <c r="Q1564" s="1" t="s">
        <v>137</v>
      </c>
      <c r="R1564" s="1" t="s">
        <v>137</v>
      </c>
      <c r="S1564" s="1" t="s">
        <v>47</v>
      </c>
      <c r="T1564" s="1" t="s">
        <v>4301</v>
      </c>
      <c r="U1564" s="1" t="s">
        <v>1577</v>
      </c>
      <c r="V1564" s="1" t="s">
        <v>3858</v>
      </c>
      <c r="W1564" s="3">
        <v>45233.0</v>
      </c>
      <c r="X1564" s="3">
        <v>45233.0</v>
      </c>
    </row>
    <row r="1565">
      <c r="A1565" s="1" t="s">
        <v>16660</v>
      </c>
      <c r="B1565" s="1" t="s">
        <v>11698</v>
      </c>
      <c r="C1565" s="1" t="s">
        <v>11698</v>
      </c>
      <c r="D1565" s="1" t="s">
        <v>4293</v>
      </c>
      <c r="E1565" s="1" t="s">
        <v>11700</v>
      </c>
      <c r="F1565" s="1" t="s">
        <v>16661</v>
      </c>
      <c r="G1565" s="3">
        <v>45198.0</v>
      </c>
      <c r="H1565" s="3">
        <v>45789.0</v>
      </c>
      <c r="I1565" s="3">
        <v>45789.0</v>
      </c>
      <c r="J1565" s="1" t="s">
        <v>215</v>
      </c>
      <c r="K1565" s="1" t="s">
        <v>160</v>
      </c>
      <c r="L1565" s="1" t="s">
        <v>216</v>
      </c>
      <c r="M1565" s="1" t="s">
        <v>131</v>
      </c>
      <c r="Q1565" s="1" t="s">
        <v>137</v>
      </c>
      <c r="R1565" s="1" t="s">
        <v>137</v>
      </c>
      <c r="S1565" s="1" t="s">
        <v>47</v>
      </c>
      <c r="T1565" s="1" t="s">
        <v>4301</v>
      </c>
      <c r="U1565" s="1" t="s">
        <v>1577</v>
      </c>
      <c r="V1565" s="1" t="s">
        <v>3858</v>
      </c>
      <c r="W1565" s="3">
        <v>45789.0</v>
      </c>
      <c r="X1565" s="3">
        <v>45789.0</v>
      </c>
    </row>
    <row r="1566">
      <c r="A1566" s="1" t="s">
        <v>16662</v>
      </c>
      <c r="B1566" s="1" t="s">
        <v>6616</v>
      </c>
      <c r="C1566" s="1" t="s">
        <v>6616</v>
      </c>
      <c r="D1566" s="1" t="s">
        <v>4293</v>
      </c>
      <c r="E1566" s="1" t="s">
        <v>11710</v>
      </c>
      <c r="F1566" s="1" t="s">
        <v>16663</v>
      </c>
      <c r="G1566" s="3">
        <v>45950.0</v>
      </c>
      <c r="H1566" s="3">
        <v>45950.0</v>
      </c>
      <c r="I1566" s="3">
        <v>45950.0</v>
      </c>
      <c r="J1566" s="1" t="s">
        <v>215</v>
      </c>
      <c r="K1566" s="1" t="s">
        <v>160</v>
      </c>
      <c r="L1566" s="1" t="s">
        <v>216</v>
      </c>
      <c r="M1566" s="1" t="s">
        <v>131</v>
      </c>
      <c r="Q1566" s="1" t="s">
        <v>137</v>
      </c>
      <c r="R1566" s="1" t="s">
        <v>137</v>
      </c>
      <c r="S1566" s="1" t="s">
        <v>47</v>
      </c>
      <c r="T1566" s="1" t="s">
        <v>4301</v>
      </c>
      <c r="U1566" s="1" t="s">
        <v>1577</v>
      </c>
      <c r="V1566" s="1" t="s">
        <v>4679</v>
      </c>
      <c r="W1566" s="3">
        <v>45950.0</v>
      </c>
      <c r="X1566" s="3">
        <v>45950.0</v>
      </c>
    </row>
    <row r="1567">
      <c r="A1567" s="1" t="s">
        <v>16667</v>
      </c>
      <c r="B1567" s="1" t="s">
        <v>6616</v>
      </c>
      <c r="C1567" s="1" t="s">
        <v>6616</v>
      </c>
      <c r="D1567" s="1" t="s">
        <v>4293</v>
      </c>
      <c r="E1567" s="1" t="s">
        <v>11710</v>
      </c>
      <c r="F1567" s="1" t="s">
        <v>16672</v>
      </c>
      <c r="G1567" s="3">
        <v>45950.0</v>
      </c>
      <c r="H1567" s="3">
        <v>45950.0</v>
      </c>
      <c r="I1567" s="3">
        <v>45950.0</v>
      </c>
      <c r="J1567" s="1" t="s">
        <v>215</v>
      </c>
      <c r="K1567" s="1" t="s">
        <v>160</v>
      </c>
      <c r="L1567" s="1" t="s">
        <v>216</v>
      </c>
      <c r="M1567" s="1" t="s">
        <v>131</v>
      </c>
      <c r="Q1567" s="1" t="s">
        <v>137</v>
      </c>
      <c r="R1567" s="1" t="s">
        <v>137</v>
      </c>
      <c r="S1567" s="1" t="s">
        <v>47</v>
      </c>
      <c r="T1567" s="1" t="s">
        <v>4301</v>
      </c>
      <c r="U1567" s="1" t="s">
        <v>1577</v>
      </c>
      <c r="V1567" s="1" t="s">
        <v>4950</v>
      </c>
      <c r="W1567" s="3">
        <v>45950.0</v>
      </c>
      <c r="X1567" s="3">
        <v>45950.0</v>
      </c>
    </row>
    <row r="1568">
      <c r="A1568" s="1" t="s">
        <v>16678</v>
      </c>
      <c r="B1568" s="1" t="s">
        <v>6616</v>
      </c>
      <c r="C1568" s="1" t="s">
        <v>6616</v>
      </c>
      <c r="D1568" s="1" t="s">
        <v>4293</v>
      </c>
      <c r="E1568" s="1" t="s">
        <v>11710</v>
      </c>
      <c r="F1568" s="1" t="s">
        <v>16679</v>
      </c>
      <c r="G1568" s="3">
        <v>45950.0</v>
      </c>
      <c r="H1568" s="3">
        <v>45950.0</v>
      </c>
      <c r="I1568" s="3">
        <v>45950.0</v>
      </c>
      <c r="J1568" s="1" t="s">
        <v>215</v>
      </c>
      <c r="K1568" s="1" t="s">
        <v>160</v>
      </c>
      <c r="L1568" s="1" t="s">
        <v>216</v>
      </c>
      <c r="M1568" s="1" t="s">
        <v>131</v>
      </c>
      <c r="Q1568" s="1" t="s">
        <v>137</v>
      </c>
      <c r="R1568" s="1" t="s">
        <v>137</v>
      </c>
      <c r="S1568" s="1" t="s">
        <v>47</v>
      </c>
      <c r="T1568" s="1" t="s">
        <v>4301</v>
      </c>
      <c r="U1568" s="1" t="s">
        <v>1577</v>
      </c>
      <c r="V1568" s="1" t="s">
        <v>5104</v>
      </c>
      <c r="W1568" s="3">
        <v>45950.0</v>
      </c>
      <c r="X1568" s="3">
        <v>45950.0</v>
      </c>
    </row>
    <row r="1569">
      <c r="A1569" s="1" t="s">
        <v>16681</v>
      </c>
      <c r="B1569" s="1" t="s">
        <v>6616</v>
      </c>
      <c r="C1569" s="1" t="s">
        <v>6616</v>
      </c>
      <c r="D1569" s="1" t="s">
        <v>4293</v>
      </c>
      <c r="E1569" s="1" t="s">
        <v>11710</v>
      </c>
      <c r="F1569" s="1" t="s">
        <v>16682</v>
      </c>
      <c r="G1569" s="3">
        <v>45950.0</v>
      </c>
      <c r="H1569" s="3">
        <v>45950.0</v>
      </c>
      <c r="I1569" s="3">
        <v>45950.0</v>
      </c>
      <c r="J1569" s="1" t="s">
        <v>215</v>
      </c>
      <c r="K1569" s="1" t="s">
        <v>160</v>
      </c>
      <c r="L1569" s="1" t="s">
        <v>216</v>
      </c>
      <c r="M1569" s="1" t="s">
        <v>131</v>
      </c>
      <c r="Q1569" s="1" t="s">
        <v>137</v>
      </c>
      <c r="R1569" s="1" t="s">
        <v>137</v>
      </c>
      <c r="S1569" s="1" t="s">
        <v>47</v>
      </c>
      <c r="T1569" s="1" t="s">
        <v>4301</v>
      </c>
      <c r="U1569" s="1" t="s">
        <v>1577</v>
      </c>
      <c r="V1569" s="1" t="s">
        <v>5120</v>
      </c>
      <c r="W1569" s="3">
        <v>45950.0</v>
      </c>
      <c r="X1569" s="3">
        <v>45950.0</v>
      </c>
    </row>
    <row r="1570">
      <c r="A1570" s="1" t="s">
        <v>16683</v>
      </c>
      <c r="B1570" s="1" t="s">
        <v>11718</v>
      </c>
      <c r="C1570" s="1" t="s">
        <v>11718</v>
      </c>
      <c r="D1570" s="1" t="s">
        <v>4293</v>
      </c>
      <c r="E1570" s="1" t="s">
        <v>11720</v>
      </c>
      <c r="F1570" s="1" t="s">
        <v>16684</v>
      </c>
      <c r="G1570" s="3">
        <v>44826.0</v>
      </c>
      <c r="H1570" s="3">
        <v>45022.0</v>
      </c>
      <c r="I1570" s="3">
        <v>45022.0</v>
      </c>
      <c r="J1570" s="1" t="s">
        <v>215</v>
      </c>
      <c r="K1570" s="1" t="s">
        <v>160</v>
      </c>
      <c r="L1570" s="1" t="s">
        <v>216</v>
      </c>
      <c r="M1570" s="1" t="s">
        <v>131</v>
      </c>
      <c r="Q1570" s="1" t="s">
        <v>137</v>
      </c>
      <c r="R1570" s="1" t="s">
        <v>137</v>
      </c>
      <c r="S1570" s="1" t="s">
        <v>47</v>
      </c>
      <c r="T1570" s="1" t="s">
        <v>4301</v>
      </c>
      <c r="U1570" s="1" t="s">
        <v>1577</v>
      </c>
      <c r="V1570" s="1" t="s">
        <v>3858</v>
      </c>
      <c r="W1570" s="3">
        <v>45022.0</v>
      </c>
      <c r="X1570" s="3">
        <v>45022.0</v>
      </c>
    </row>
    <row r="1571">
      <c r="A1571" s="1" t="s">
        <v>16685</v>
      </c>
      <c r="B1571" s="1" t="s">
        <v>14084</v>
      </c>
      <c r="C1571" s="1" t="s">
        <v>14084</v>
      </c>
      <c r="D1571" s="1" t="s">
        <v>4293</v>
      </c>
      <c r="E1571" s="1" t="s">
        <v>16686</v>
      </c>
      <c r="F1571" s="1" t="s">
        <v>16687</v>
      </c>
      <c r="G1571" s="3">
        <v>45804.0</v>
      </c>
      <c r="H1571" s="3"/>
      <c r="I1571" s="3"/>
      <c r="J1571" s="1" t="s">
        <v>124</v>
      </c>
      <c r="K1571" s="1" t="s">
        <v>160</v>
      </c>
      <c r="L1571" s="1" t="s">
        <v>253</v>
      </c>
      <c r="M1571" s="1" t="s">
        <v>131</v>
      </c>
      <c r="Q1571" s="1" t="s">
        <v>137</v>
      </c>
      <c r="R1571" s="1" t="s">
        <v>137</v>
      </c>
      <c r="S1571" s="1" t="s">
        <v>47</v>
      </c>
      <c r="T1571" s="1" t="s">
        <v>4301</v>
      </c>
      <c r="U1571" s="1" t="s">
        <v>1577</v>
      </c>
      <c r="V1571" s="1" t="s">
        <v>3858</v>
      </c>
      <c r="W1571" s="3"/>
      <c r="X1571" s="3"/>
    </row>
    <row r="1572">
      <c r="A1572" s="1" t="s">
        <v>16688</v>
      </c>
      <c r="B1572" s="1" t="s">
        <v>14084</v>
      </c>
      <c r="C1572" s="1" t="s">
        <v>14084</v>
      </c>
      <c r="D1572" s="1" t="s">
        <v>4293</v>
      </c>
      <c r="E1572" s="1" t="s">
        <v>16686</v>
      </c>
      <c r="F1572" s="1" t="s">
        <v>16689</v>
      </c>
      <c r="G1572" s="3">
        <v>45804.0</v>
      </c>
      <c r="H1572" s="3"/>
      <c r="I1572" s="3"/>
      <c r="J1572" s="1" t="s">
        <v>124</v>
      </c>
      <c r="K1572" s="1" t="s">
        <v>160</v>
      </c>
      <c r="L1572" s="1" t="s">
        <v>253</v>
      </c>
      <c r="M1572" s="1" t="s">
        <v>131</v>
      </c>
      <c r="Q1572" s="1" t="s">
        <v>137</v>
      </c>
      <c r="R1572" s="1" t="s">
        <v>137</v>
      </c>
      <c r="S1572" s="1" t="s">
        <v>47</v>
      </c>
      <c r="T1572" s="1" t="s">
        <v>4301</v>
      </c>
      <c r="U1572" s="1" t="s">
        <v>1577</v>
      </c>
      <c r="V1572" s="1" t="s">
        <v>4950</v>
      </c>
      <c r="W1572" s="3"/>
      <c r="X1572" s="3"/>
    </row>
    <row r="1573">
      <c r="A1573" s="1" t="s">
        <v>16690</v>
      </c>
      <c r="B1573" s="1" t="s">
        <v>5185</v>
      </c>
      <c r="C1573" s="1" t="s">
        <v>5185</v>
      </c>
      <c r="D1573" s="1" t="s">
        <v>4293</v>
      </c>
      <c r="E1573" s="1" t="s">
        <v>11731</v>
      </c>
      <c r="F1573" s="1" t="s">
        <v>16691</v>
      </c>
      <c r="G1573" s="3">
        <v>44677.0</v>
      </c>
      <c r="H1573" s="3">
        <v>44958.0</v>
      </c>
      <c r="I1573" s="3">
        <v>44958.0</v>
      </c>
      <c r="J1573" s="1" t="s">
        <v>215</v>
      </c>
      <c r="K1573" s="1" t="s">
        <v>160</v>
      </c>
      <c r="L1573" s="1" t="s">
        <v>216</v>
      </c>
      <c r="M1573" s="1" t="s">
        <v>131</v>
      </c>
      <c r="Q1573" s="1" t="s">
        <v>137</v>
      </c>
      <c r="R1573" s="1" t="s">
        <v>137</v>
      </c>
      <c r="S1573" s="1" t="s">
        <v>47</v>
      </c>
      <c r="T1573" s="1" t="s">
        <v>4301</v>
      </c>
      <c r="U1573" s="1" t="s">
        <v>1577</v>
      </c>
      <c r="V1573" s="1" t="s">
        <v>3858</v>
      </c>
      <c r="W1573" s="3">
        <v>44958.0</v>
      </c>
      <c r="X1573" s="3">
        <v>44958.0</v>
      </c>
    </row>
    <row r="1574">
      <c r="A1574" s="1" t="s">
        <v>16692</v>
      </c>
      <c r="B1574" s="1" t="s">
        <v>5185</v>
      </c>
      <c r="C1574" s="1" t="s">
        <v>5185</v>
      </c>
      <c r="D1574" s="1" t="s">
        <v>4293</v>
      </c>
      <c r="E1574" s="1" t="s">
        <v>11731</v>
      </c>
      <c r="F1574" s="1" t="s">
        <v>16693</v>
      </c>
      <c r="G1574" s="3">
        <v>44677.0</v>
      </c>
      <c r="H1574" s="3">
        <v>44958.0</v>
      </c>
      <c r="I1574" s="3">
        <v>44958.0</v>
      </c>
      <c r="J1574" s="1" t="s">
        <v>215</v>
      </c>
      <c r="K1574" s="1" t="s">
        <v>160</v>
      </c>
      <c r="L1574" s="1" t="s">
        <v>216</v>
      </c>
      <c r="M1574" s="1" t="s">
        <v>131</v>
      </c>
      <c r="Q1574" s="1" t="s">
        <v>137</v>
      </c>
      <c r="R1574" s="1" t="s">
        <v>137</v>
      </c>
      <c r="S1574" s="1" t="s">
        <v>47</v>
      </c>
      <c r="T1574" s="1" t="s">
        <v>4301</v>
      </c>
      <c r="U1574" s="1" t="s">
        <v>1577</v>
      </c>
      <c r="V1574" s="1" t="s">
        <v>4679</v>
      </c>
      <c r="W1574" s="3">
        <v>44958.0</v>
      </c>
      <c r="X1574" s="3">
        <v>44958.0</v>
      </c>
    </row>
    <row r="1575">
      <c r="A1575" s="1" t="s">
        <v>16694</v>
      </c>
      <c r="B1575" s="1" t="s">
        <v>5185</v>
      </c>
      <c r="C1575" s="1" t="s">
        <v>5185</v>
      </c>
      <c r="D1575" s="1" t="s">
        <v>4293</v>
      </c>
      <c r="E1575" s="1" t="s">
        <v>11731</v>
      </c>
      <c r="F1575" s="1" t="s">
        <v>16695</v>
      </c>
      <c r="G1575" s="3">
        <v>44677.0</v>
      </c>
      <c r="H1575" s="3">
        <v>44958.0</v>
      </c>
      <c r="I1575" s="3">
        <v>44958.0</v>
      </c>
      <c r="J1575" s="1" t="s">
        <v>215</v>
      </c>
      <c r="K1575" s="1" t="s">
        <v>160</v>
      </c>
      <c r="L1575" s="1" t="s">
        <v>216</v>
      </c>
      <c r="M1575" s="1" t="s">
        <v>131</v>
      </c>
      <c r="Q1575" s="1" t="s">
        <v>137</v>
      </c>
      <c r="R1575" s="1" t="s">
        <v>137</v>
      </c>
      <c r="S1575" s="1" t="s">
        <v>47</v>
      </c>
      <c r="T1575" s="1" t="s">
        <v>4301</v>
      </c>
      <c r="U1575" s="1" t="s">
        <v>1577</v>
      </c>
      <c r="V1575" s="1" t="s">
        <v>3865</v>
      </c>
      <c r="W1575" s="3">
        <v>44958.0</v>
      </c>
      <c r="X1575" s="3">
        <v>44958.0</v>
      </c>
    </row>
    <row r="1576">
      <c r="A1576" s="1" t="s">
        <v>16696</v>
      </c>
      <c r="B1576" s="1" t="s">
        <v>5185</v>
      </c>
      <c r="C1576" s="1" t="s">
        <v>5185</v>
      </c>
      <c r="D1576" s="1" t="s">
        <v>4293</v>
      </c>
      <c r="E1576" s="1" t="s">
        <v>11731</v>
      </c>
      <c r="F1576" s="1" t="s">
        <v>16697</v>
      </c>
      <c r="G1576" s="3">
        <v>44677.0</v>
      </c>
      <c r="H1576" s="3">
        <v>44958.0</v>
      </c>
      <c r="I1576" s="3">
        <v>44958.0</v>
      </c>
      <c r="J1576" s="1" t="s">
        <v>215</v>
      </c>
      <c r="K1576" s="1" t="s">
        <v>160</v>
      </c>
      <c r="L1576" s="1" t="s">
        <v>216</v>
      </c>
      <c r="M1576" s="1" t="s">
        <v>131</v>
      </c>
      <c r="Q1576" s="1" t="s">
        <v>137</v>
      </c>
      <c r="R1576" s="1" t="s">
        <v>137</v>
      </c>
      <c r="S1576" s="1" t="s">
        <v>47</v>
      </c>
      <c r="T1576" s="1" t="s">
        <v>4301</v>
      </c>
      <c r="U1576" s="1" t="s">
        <v>1577</v>
      </c>
      <c r="V1576" s="1" t="s">
        <v>4950</v>
      </c>
      <c r="W1576" s="3">
        <v>44958.0</v>
      </c>
      <c r="X1576" s="3">
        <v>44958.0</v>
      </c>
    </row>
    <row r="1577">
      <c r="A1577" s="1" t="s">
        <v>16698</v>
      </c>
      <c r="B1577" s="1" t="s">
        <v>5185</v>
      </c>
      <c r="C1577" s="1" t="s">
        <v>5185</v>
      </c>
      <c r="D1577" s="1" t="s">
        <v>4293</v>
      </c>
      <c r="E1577" s="1" t="s">
        <v>11731</v>
      </c>
      <c r="F1577" s="1" t="s">
        <v>16699</v>
      </c>
      <c r="G1577" s="3">
        <v>44677.0</v>
      </c>
      <c r="H1577" s="3">
        <v>44958.0</v>
      </c>
      <c r="I1577" s="3">
        <v>44958.0</v>
      </c>
      <c r="J1577" s="1" t="s">
        <v>215</v>
      </c>
      <c r="K1577" s="1" t="s">
        <v>160</v>
      </c>
      <c r="L1577" s="1" t="s">
        <v>216</v>
      </c>
      <c r="M1577" s="1" t="s">
        <v>131</v>
      </c>
      <c r="Q1577" s="1" t="s">
        <v>137</v>
      </c>
      <c r="R1577" s="1" t="s">
        <v>137</v>
      </c>
      <c r="S1577" s="1" t="s">
        <v>47</v>
      </c>
      <c r="T1577" s="1" t="s">
        <v>4301</v>
      </c>
      <c r="U1577" s="1" t="s">
        <v>1577</v>
      </c>
      <c r="V1577" s="1" t="s">
        <v>5104</v>
      </c>
      <c r="W1577" s="3">
        <v>44958.0</v>
      </c>
      <c r="X1577" s="3">
        <v>44958.0</v>
      </c>
    </row>
    <row r="1578">
      <c r="A1578" s="1" t="s">
        <v>16701</v>
      </c>
      <c r="B1578" s="1" t="s">
        <v>5185</v>
      </c>
      <c r="C1578" s="1" t="s">
        <v>5185</v>
      </c>
      <c r="D1578" s="1" t="s">
        <v>4293</v>
      </c>
      <c r="E1578" s="1" t="s">
        <v>11731</v>
      </c>
      <c r="F1578" s="1" t="s">
        <v>16702</v>
      </c>
      <c r="G1578" s="3">
        <v>44677.0</v>
      </c>
      <c r="H1578" s="3">
        <v>44958.0</v>
      </c>
      <c r="I1578" s="3">
        <v>44958.0</v>
      </c>
      <c r="J1578" s="1" t="s">
        <v>215</v>
      </c>
      <c r="K1578" s="1" t="s">
        <v>160</v>
      </c>
      <c r="L1578" s="1" t="s">
        <v>216</v>
      </c>
      <c r="M1578" s="1" t="s">
        <v>131</v>
      </c>
      <c r="Q1578" s="1" t="s">
        <v>137</v>
      </c>
      <c r="R1578" s="1" t="s">
        <v>137</v>
      </c>
      <c r="S1578" s="1" t="s">
        <v>47</v>
      </c>
      <c r="T1578" s="1" t="s">
        <v>4301</v>
      </c>
      <c r="U1578" s="1" t="s">
        <v>1577</v>
      </c>
      <c r="V1578" s="1" t="s">
        <v>5120</v>
      </c>
      <c r="W1578" s="3">
        <v>44958.0</v>
      </c>
      <c r="X1578" s="3">
        <v>44958.0</v>
      </c>
    </row>
    <row r="1579">
      <c r="A1579" s="1" t="s">
        <v>16703</v>
      </c>
      <c r="B1579" s="1" t="s">
        <v>4411</v>
      </c>
      <c r="C1579" s="1" t="s">
        <v>4411</v>
      </c>
      <c r="D1579" s="1" t="s">
        <v>4293</v>
      </c>
      <c r="E1579" s="1" t="s">
        <v>11737</v>
      </c>
      <c r="F1579" s="1" t="s">
        <v>16704</v>
      </c>
      <c r="G1579" s="3">
        <v>45565.0</v>
      </c>
      <c r="H1579" s="3">
        <v>45770.0</v>
      </c>
      <c r="I1579" s="3">
        <v>45770.0</v>
      </c>
      <c r="J1579" s="1" t="s">
        <v>215</v>
      </c>
      <c r="K1579" s="1" t="s">
        <v>160</v>
      </c>
      <c r="L1579" s="1" t="s">
        <v>216</v>
      </c>
      <c r="M1579" s="1" t="s">
        <v>131</v>
      </c>
      <c r="Q1579" s="1" t="s">
        <v>137</v>
      </c>
      <c r="R1579" s="1" t="s">
        <v>137</v>
      </c>
      <c r="S1579" s="1" t="s">
        <v>47</v>
      </c>
      <c r="T1579" s="1" t="s">
        <v>4301</v>
      </c>
      <c r="U1579" s="1" t="s">
        <v>1577</v>
      </c>
      <c r="V1579" s="1" t="s">
        <v>3858</v>
      </c>
      <c r="W1579" s="3">
        <v>45770.0</v>
      </c>
      <c r="X1579" s="3">
        <v>45770.0</v>
      </c>
    </row>
    <row r="1580">
      <c r="A1580" s="1" t="s">
        <v>16705</v>
      </c>
      <c r="B1580" s="1" t="s">
        <v>4411</v>
      </c>
      <c r="C1580" s="1" t="s">
        <v>4411</v>
      </c>
      <c r="D1580" s="1" t="s">
        <v>4293</v>
      </c>
      <c r="E1580" s="1" t="s">
        <v>11737</v>
      </c>
      <c r="F1580" s="1" t="s">
        <v>16707</v>
      </c>
      <c r="G1580" s="3">
        <v>45565.0</v>
      </c>
      <c r="H1580" s="3">
        <v>45770.0</v>
      </c>
      <c r="I1580" s="3">
        <v>45770.0</v>
      </c>
      <c r="J1580" s="1" t="s">
        <v>215</v>
      </c>
      <c r="K1580" s="1" t="s">
        <v>160</v>
      </c>
      <c r="L1580" s="1" t="s">
        <v>216</v>
      </c>
      <c r="M1580" s="1" t="s">
        <v>131</v>
      </c>
      <c r="Q1580" s="1" t="s">
        <v>137</v>
      </c>
      <c r="R1580" s="1" t="s">
        <v>137</v>
      </c>
      <c r="S1580" s="1" t="s">
        <v>47</v>
      </c>
      <c r="T1580" s="1" t="s">
        <v>4301</v>
      </c>
      <c r="U1580" s="1" t="s">
        <v>1577</v>
      </c>
      <c r="V1580" s="1" t="s">
        <v>4950</v>
      </c>
      <c r="W1580" s="3">
        <v>45770.0</v>
      </c>
      <c r="X1580" s="3">
        <v>45770.0</v>
      </c>
    </row>
    <row r="1581">
      <c r="A1581" s="1" t="s">
        <v>16708</v>
      </c>
      <c r="B1581" s="1" t="s">
        <v>11747</v>
      </c>
      <c r="C1581" s="1" t="s">
        <v>11747</v>
      </c>
      <c r="D1581" s="1" t="s">
        <v>4293</v>
      </c>
      <c r="E1581" s="1" t="s">
        <v>11750</v>
      </c>
      <c r="F1581" s="1" t="s">
        <v>16709</v>
      </c>
      <c r="G1581" s="3">
        <v>44267.0</v>
      </c>
      <c r="H1581" s="3">
        <v>44581.0</v>
      </c>
      <c r="I1581" s="3">
        <v>44581.0</v>
      </c>
      <c r="J1581" s="1" t="s">
        <v>215</v>
      </c>
      <c r="K1581" s="1" t="s">
        <v>160</v>
      </c>
      <c r="L1581" s="1" t="s">
        <v>216</v>
      </c>
      <c r="M1581" s="1" t="s">
        <v>131</v>
      </c>
      <c r="Q1581" s="1" t="s">
        <v>137</v>
      </c>
      <c r="R1581" s="1" t="s">
        <v>137</v>
      </c>
      <c r="S1581" s="1" t="s">
        <v>47</v>
      </c>
      <c r="T1581" s="1" t="s">
        <v>4301</v>
      </c>
      <c r="U1581" s="1" t="s">
        <v>1577</v>
      </c>
      <c r="V1581" s="1" t="s">
        <v>3858</v>
      </c>
      <c r="W1581" s="3">
        <v>44581.0</v>
      </c>
      <c r="X1581" s="3">
        <v>44581.0</v>
      </c>
    </row>
    <row r="1582">
      <c r="A1582" s="1" t="s">
        <v>16710</v>
      </c>
      <c r="B1582" s="1" t="s">
        <v>11757</v>
      </c>
      <c r="C1582" s="1" t="s">
        <v>11757</v>
      </c>
      <c r="D1582" s="1" t="s">
        <v>4293</v>
      </c>
      <c r="E1582" s="1" t="s">
        <v>11759</v>
      </c>
      <c r="F1582" s="1" t="s">
        <v>16711</v>
      </c>
      <c r="G1582" s="3">
        <v>44560.0</v>
      </c>
      <c r="H1582" s="3">
        <v>43923.0</v>
      </c>
      <c r="I1582" s="3">
        <v>43923.0</v>
      </c>
      <c r="J1582" s="1" t="s">
        <v>215</v>
      </c>
      <c r="K1582" s="1" t="s">
        <v>160</v>
      </c>
      <c r="L1582" s="1" t="s">
        <v>216</v>
      </c>
      <c r="M1582" s="1" t="s">
        <v>131</v>
      </c>
      <c r="Q1582" s="1" t="s">
        <v>137</v>
      </c>
      <c r="R1582" s="1" t="s">
        <v>137</v>
      </c>
      <c r="S1582" s="1" t="s">
        <v>47</v>
      </c>
      <c r="T1582" s="1" t="s">
        <v>4301</v>
      </c>
      <c r="U1582" s="1" t="s">
        <v>1577</v>
      </c>
      <c r="V1582" s="1" t="s">
        <v>3858</v>
      </c>
      <c r="W1582" s="3">
        <v>43923.0</v>
      </c>
      <c r="X1582" s="3">
        <v>43923.0</v>
      </c>
    </row>
    <row r="1583">
      <c r="A1583" s="1" t="s">
        <v>16712</v>
      </c>
      <c r="B1583" s="1" t="s">
        <v>11770</v>
      </c>
      <c r="C1583" s="1" t="s">
        <v>11770</v>
      </c>
      <c r="D1583" s="1" t="s">
        <v>4293</v>
      </c>
      <c r="E1583" s="1" t="s">
        <v>11772</v>
      </c>
      <c r="F1583" s="1" t="s">
        <v>16713</v>
      </c>
      <c r="G1583" s="3">
        <v>44833.0</v>
      </c>
      <c r="H1583" s="3">
        <v>45138.0</v>
      </c>
      <c r="I1583" s="3">
        <v>45138.0</v>
      </c>
      <c r="J1583" s="1" t="s">
        <v>215</v>
      </c>
      <c r="K1583" s="1" t="s">
        <v>160</v>
      </c>
      <c r="L1583" s="1" t="s">
        <v>216</v>
      </c>
      <c r="M1583" s="1" t="s">
        <v>131</v>
      </c>
      <c r="Q1583" s="1" t="s">
        <v>137</v>
      </c>
      <c r="R1583" s="1" t="s">
        <v>137</v>
      </c>
      <c r="S1583" s="1" t="s">
        <v>47</v>
      </c>
      <c r="T1583" s="1" t="s">
        <v>4301</v>
      </c>
      <c r="U1583" s="1" t="s">
        <v>1577</v>
      </c>
      <c r="V1583" s="1" t="s">
        <v>3858</v>
      </c>
      <c r="W1583" s="3">
        <v>45138.0</v>
      </c>
      <c r="X1583" s="3">
        <v>45138.0</v>
      </c>
    </row>
    <row r="1584">
      <c r="A1584" s="1" t="s">
        <v>16714</v>
      </c>
      <c r="B1584" s="1" t="s">
        <v>11783</v>
      </c>
      <c r="C1584" s="1" t="s">
        <v>11783</v>
      </c>
      <c r="D1584" s="1" t="s">
        <v>4293</v>
      </c>
      <c r="E1584" s="1" t="s">
        <v>11784</v>
      </c>
      <c r="F1584" s="1" t="s">
        <v>16715</v>
      </c>
      <c r="G1584" s="3">
        <v>45636.0</v>
      </c>
      <c r="H1584" s="3">
        <v>45636.0</v>
      </c>
      <c r="I1584" s="3">
        <v>45636.0</v>
      </c>
      <c r="J1584" s="1" t="s">
        <v>215</v>
      </c>
      <c r="K1584" s="1" t="s">
        <v>160</v>
      </c>
      <c r="L1584" s="1" t="s">
        <v>216</v>
      </c>
      <c r="M1584" s="1" t="s">
        <v>131</v>
      </c>
      <c r="Q1584" s="1" t="s">
        <v>137</v>
      </c>
      <c r="R1584" s="1" t="s">
        <v>137</v>
      </c>
      <c r="S1584" s="1" t="s">
        <v>47</v>
      </c>
      <c r="T1584" s="1" t="s">
        <v>4301</v>
      </c>
      <c r="U1584" s="1" t="s">
        <v>1577</v>
      </c>
      <c r="V1584" s="1" t="s">
        <v>3963</v>
      </c>
      <c r="W1584" s="3">
        <v>45636.0</v>
      </c>
      <c r="X1584" s="3">
        <v>45636.0</v>
      </c>
    </row>
    <row r="1585">
      <c r="A1585" s="1" t="s">
        <v>16716</v>
      </c>
      <c r="B1585" s="1" t="s">
        <v>11783</v>
      </c>
      <c r="C1585" s="1" t="s">
        <v>11783</v>
      </c>
      <c r="D1585" s="1" t="s">
        <v>4293</v>
      </c>
      <c r="E1585" s="1" t="s">
        <v>11784</v>
      </c>
      <c r="F1585" s="1" t="s">
        <v>16717</v>
      </c>
      <c r="G1585" s="3">
        <v>45636.0</v>
      </c>
      <c r="H1585" s="3">
        <v>45636.0</v>
      </c>
      <c r="I1585" s="3">
        <v>45636.0</v>
      </c>
      <c r="J1585" s="1" t="s">
        <v>215</v>
      </c>
      <c r="K1585" s="1" t="s">
        <v>160</v>
      </c>
      <c r="L1585" s="1" t="s">
        <v>216</v>
      </c>
      <c r="M1585" s="1" t="s">
        <v>131</v>
      </c>
      <c r="Q1585" s="1" t="s">
        <v>137</v>
      </c>
      <c r="R1585" s="1" t="s">
        <v>137</v>
      </c>
      <c r="S1585" s="1" t="s">
        <v>47</v>
      </c>
      <c r="T1585" s="1" t="s">
        <v>4301</v>
      </c>
      <c r="U1585" s="1" t="s">
        <v>1577</v>
      </c>
      <c r="V1585" s="1" t="s">
        <v>4679</v>
      </c>
      <c r="W1585" s="3">
        <v>45636.0</v>
      </c>
      <c r="X1585" s="3">
        <v>45636.0</v>
      </c>
    </row>
    <row r="1586">
      <c r="A1586" s="1" t="s">
        <v>16718</v>
      </c>
      <c r="B1586" s="1" t="s">
        <v>11783</v>
      </c>
      <c r="C1586" s="1" t="s">
        <v>11783</v>
      </c>
      <c r="D1586" s="1" t="s">
        <v>4293</v>
      </c>
      <c r="E1586" s="1" t="s">
        <v>11784</v>
      </c>
      <c r="F1586" s="1" t="s">
        <v>16719</v>
      </c>
      <c r="G1586" s="3">
        <v>45636.0</v>
      </c>
      <c r="H1586" s="3">
        <v>45636.0</v>
      </c>
      <c r="I1586" s="3">
        <v>45636.0</v>
      </c>
      <c r="J1586" s="1" t="s">
        <v>215</v>
      </c>
      <c r="K1586" s="1" t="s">
        <v>160</v>
      </c>
      <c r="L1586" s="1" t="s">
        <v>216</v>
      </c>
      <c r="M1586" s="1" t="s">
        <v>131</v>
      </c>
      <c r="Q1586" s="1" t="s">
        <v>137</v>
      </c>
      <c r="R1586" s="1" t="s">
        <v>137</v>
      </c>
      <c r="S1586" s="1" t="s">
        <v>47</v>
      </c>
      <c r="T1586" s="1" t="s">
        <v>4301</v>
      </c>
      <c r="U1586" s="1" t="s">
        <v>1577</v>
      </c>
      <c r="V1586" s="1" t="s">
        <v>4950</v>
      </c>
      <c r="W1586" s="3">
        <v>45636.0</v>
      </c>
      <c r="X1586" s="3">
        <v>45636.0</v>
      </c>
    </row>
    <row r="1587">
      <c r="A1587" s="1" t="s">
        <v>16720</v>
      </c>
      <c r="B1587" s="1" t="s">
        <v>11783</v>
      </c>
      <c r="C1587" s="1" t="s">
        <v>11783</v>
      </c>
      <c r="D1587" s="1" t="s">
        <v>4293</v>
      </c>
      <c r="E1587" s="1" t="s">
        <v>11784</v>
      </c>
      <c r="F1587" s="1" t="s">
        <v>16721</v>
      </c>
      <c r="G1587" s="3">
        <v>45636.0</v>
      </c>
      <c r="H1587" s="3">
        <v>45636.0</v>
      </c>
      <c r="I1587" s="3">
        <v>45636.0</v>
      </c>
      <c r="J1587" s="1" t="s">
        <v>215</v>
      </c>
      <c r="K1587" s="1" t="s">
        <v>160</v>
      </c>
      <c r="L1587" s="1" t="s">
        <v>216</v>
      </c>
      <c r="M1587" s="1" t="s">
        <v>131</v>
      </c>
      <c r="Q1587" s="1" t="s">
        <v>137</v>
      </c>
      <c r="R1587" s="1" t="s">
        <v>137</v>
      </c>
      <c r="S1587" s="1" t="s">
        <v>47</v>
      </c>
      <c r="T1587" s="1" t="s">
        <v>4301</v>
      </c>
      <c r="U1587" s="1" t="s">
        <v>1577</v>
      </c>
      <c r="V1587" s="1" t="s">
        <v>5104</v>
      </c>
      <c r="W1587" s="3">
        <v>45636.0</v>
      </c>
      <c r="X1587" s="3">
        <v>45636.0</v>
      </c>
    </row>
    <row r="1588">
      <c r="A1588" s="1" t="s">
        <v>16722</v>
      </c>
      <c r="B1588" s="1" t="s">
        <v>11783</v>
      </c>
      <c r="C1588" s="1" t="s">
        <v>11783</v>
      </c>
      <c r="D1588" s="1" t="s">
        <v>4293</v>
      </c>
      <c r="E1588" s="1" t="s">
        <v>11784</v>
      </c>
      <c r="F1588" s="1" t="s">
        <v>16723</v>
      </c>
      <c r="G1588" s="3">
        <v>45636.0</v>
      </c>
      <c r="H1588" s="3">
        <v>45636.0</v>
      </c>
      <c r="I1588" s="3">
        <v>45636.0</v>
      </c>
      <c r="J1588" s="1" t="s">
        <v>215</v>
      </c>
      <c r="K1588" s="1" t="s">
        <v>160</v>
      </c>
      <c r="L1588" s="1" t="s">
        <v>216</v>
      </c>
      <c r="M1588" s="1" t="s">
        <v>131</v>
      </c>
      <c r="Q1588" s="1" t="s">
        <v>137</v>
      </c>
      <c r="R1588" s="1" t="s">
        <v>137</v>
      </c>
      <c r="S1588" s="1" t="s">
        <v>47</v>
      </c>
      <c r="T1588" s="1" t="s">
        <v>4301</v>
      </c>
      <c r="U1588" s="1" t="s">
        <v>1577</v>
      </c>
      <c r="V1588" s="1" t="s">
        <v>5120</v>
      </c>
      <c r="W1588" s="3">
        <v>45636.0</v>
      </c>
      <c r="X1588" s="3">
        <v>45636.0</v>
      </c>
    </row>
    <row r="1589">
      <c r="A1589" s="1" t="s">
        <v>16724</v>
      </c>
      <c r="B1589" s="1" t="s">
        <v>4494</v>
      </c>
      <c r="C1589" s="1" t="s">
        <v>4494</v>
      </c>
      <c r="D1589" s="1" t="s">
        <v>4293</v>
      </c>
      <c r="E1589" s="1" t="s">
        <v>6447</v>
      </c>
      <c r="F1589" s="1" t="s">
        <v>16725</v>
      </c>
      <c r="G1589" s="3">
        <v>45919.0</v>
      </c>
      <c r="H1589" s="13"/>
      <c r="I1589" s="13"/>
      <c r="J1589" s="1" t="s">
        <v>124</v>
      </c>
      <c r="K1589" s="1" t="s">
        <v>160</v>
      </c>
      <c r="L1589" s="1" t="s">
        <v>253</v>
      </c>
      <c r="M1589" s="1" t="s">
        <v>131</v>
      </c>
      <c r="Q1589" s="1" t="s">
        <v>137</v>
      </c>
      <c r="R1589" s="1" t="s">
        <v>137</v>
      </c>
      <c r="S1589" s="1" t="s">
        <v>47</v>
      </c>
      <c r="T1589" s="1" t="s">
        <v>4301</v>
      </c>
      <c r="U1589" s="1" t="s">
        <v>1577</v>
      </c>
      <c r="V1589" s="1" t="s">
        <v>3858</v>
      </c>
      <c r="W1589" s="3"/>
      <c r="X1589" s="13"/>
    </row>
    <row r="1590">
      <c r="A1590" s="1" t="s">
        <v>16726</v>
      </c>
      <c r="B1590" s="1" t="s">
        <v>4494</v>
      </c>
      <c r="C1590" s="1" t="s">
        <v>4494</v>
      </c>
      <c r="D1590" s="1" t="s">
        <v>4293</v>
      </c>
      <c r="E1590" s="1" t="s">
        <v>6447</v>
      </c>
      <c r="F1590" s="1" t="s">
        <v>16727</v>
      </c>
      <c r="G1590" s="3">
        <v>45919.0</v>
      </c>
      <c r="H1590" s="13"/>
      <c r="I1590" s="13"/>
      <c r="J1590" s="1" t="s">
        <v>124</v>
      </c>
      <c r="K1590" s="1" t="s">
        <v>160</v>
      </c>
      <c r="L1590" s="1" t="s">
        <v>253</v>
      </c>
      <c r="M1590" s="1" t="s">
        <v>131</v>
      </c>
      <c r="Q1590" s="1" t="s">
        <v>137</v>
      </c>
      <c r="R1590" s="1" t="s">
        <v>137</v>
      </c>
      <c r="S1590" s="1" t="s">
        <v>47</v>
      </c>
      <c r="T1590" s="1" t="s">
        <v>4301</v>
      </c>
      <c r="U1590" s="1" t="s">
        <v>1577</v>
      </c>
      <c r="V1590" s="1" t="s">
        <v>4950</v>
      </c>
      <c r="W1590" s="3"/>
      <c r="X1590" s="13"/>
    </row>
    <row r="1591">
      <c r="A1591" s="1" t="s">
        <v>16728</v>
      </c>
      <c r="B1591" s="1" t="s">
        <v>11792</v>
      </c>
      <c r="C1591" s="1" t="s">
        <v>11792</v>
      </c>
      <c r="D1591" s="1" t="s">
        <v>4293</v>
      </c>
      <c r="E1591" s="1" t="s">
        <v>11795</v>
      </c>
      <c r="F1591" s="1" t="s">
        <v>16729</v>
      </c>
      <c r="G1591" s="3">
        <v>45177.0</v>
      </c>
      <c r="H1591" s="3">
        <v>45181.0</v>
      </c>
      <c r="I1591" s="3">
        <v>45181.0</v>
      </c>
      <c r="J1591" s="1" t="s">
        <v>215</v>
      </c>
      <c r="K1591" s="1" t="s">
        <v>160</v>
      </c>
      <c r="L1591" s="1" t="s">
        <v>216</v>
      </c>
      <c r="M1591" s="1" t="s">
        <v>131</v>
      </c>
      <c r="Q1591" s="1" t="s">
        <v>137</v>
      </c>
      <c r="R1591" s="1" t="s">
        <v>137</v>
      </c>
      <c r="S1591" s="1" t="s">
        <v>47</v>
      </c>
      <c r="T1591" s="1" t="s">
        <v>4301</v>
      </c>
      <c r="U1591" s="1" t="s">
        <v>1577</v>
      </c>
      <c r="V1591" s="1" t="s">
        <v>3858</v>
      </c>
      <c r="W1591" s="3">
        <v>45181.0</v>
      </c>
      <c r="X1591" s="3">
        <v>45181.0</v>
      </c>
    </row>
    <row r="1592">
      <c r="A1592" s="1" t="s">
        <v>16730</v>
      </c>
      <c r="B1592" s="1" t="s">
        <v>5574</v>
      </c>
      <c r="C1592" s="1" t="s">
        <v>5574</v>
      </c>
      <c r="D1592" s="1" t="s">
        <v>4293</v>
      </c>
      <c r="E1592" s="1" t="s">
        <v>11805</v>
      </c>
      <c r="F1592" s="1" t="s">
        <v>16731</v>
      </c>
      <c r="G1592" s="3">
        <v>45426.0</v>
      </c>
      <c r="H1592" s="3">
        <v>45677.0</v>
      </c>
      <c r="I1592" s="3">
        <v>45677.0</v>
      </c>
      <c r="J1592" s="1" t="s">
        <v>215</v>
      </c>
      <c r="K1592" s="1" t="s">
        <v>160</v>
      </c>
      <c r="L1592" s="1" t="s">
        <v>216</v>
      </c>
      <c r="M1592" s="1" t="s">
        <v>131</v>
      </c>
      <c r="Q1592" s="1" t="s">
        <v>137</v>
      </c>
      <c r="R1592" s="1" t="s">
        <v>137</v>
      </c>
      <c r="S1592" s="1" t="s">
        <v>47</v>
      </c>
      <c r="T1592" s="1" t="s">
        <v>4301</v>
      </c>
      <c r="U1592" s="1" t="s">
        <v>1577</v>
      </c>
      <c r="V1592" s="1" t="s">
        <v>3858</v>
      </c>
      <c r="W1592" s="3">
        <v>45677.0</v>
      </c>
      <c r="X1592" s="3">
        <v>45677.0</v>
      </c>
    </row>
    <row r="1593">
      <c r="A1593" s="1" t="s">
        <v>16732</v>
      </c>
      <c r="B1593" s="1" t="s">
        <v>5574</v>
      </c>
      <c r="C1593" s="1" t="s">
        <v>5574</v>
      </c>
      <c r="D1593" s="1" t="s">
        <v>4293</v>
      </c>
      <c r="E1593" s="1" t="s">
        <v>11805</v>
      </c>
      <c r="F1593" s="1" t="s">
        <v>16733</v>
      </c>
      <c r="G1593" s="3">
        <v>45426.0</v>
      </c>
      <c r="H1593" s="3">
        <v>45677.0</v>
      </c>
      <c r="I1593" s="3">
        <v>45677.0</v>
      </c>
      <c r="J1593" s="1" t="s">
        <v>215</v>
      </c>
      <c r="K1593" s="1" t="s">
        <v>160</v>
      </c>
      <c r="L1593" s="1" t="s">
        <v>216</v>
      </c>
      <c r="M1593" s="1" t="s">
        <v>131</v>
      </c>
      <c r="Q1593" s="1" t="s">
        <v>137</v>
      </c>
      <c r="R1593" s="1" t="s">
        <v>137</v>
      </c>
      <c r="S1593" s="1" t="s">
        <v>47</v>
      </c>
      <c r="T1593" s="1" t="s">
        <v>4301</v>
      </c>
      <c r="U1593" s="1" t="s">
        <v>1577</v>
      </c>
      <c r="V1593" s="1" t="s">
        <v>3865</v>
      </c>
      <c r="W1593" s="3">
        <v>45677.0</v>
      </c>
      <c r="X1593" s="3">
        <v>45677.0</v>
      </c>
    </row>
    <row r="1594">
      <c r="A1594" s="1" t="s">
        <v>16734</v>
      </c>
      <c r="B1594" s="1" t="s">
        <v>5574</v>
      </c>
      <c r="C1594" s="1" t="s">
        <v>5574</v>
      </c>
      <c r="D1594" s="1" t="s">
        <v>4293</v>
      </c>
      <c r="E1594" s="1" t="s">
        <v>11805</v>
      </c>
      <c r="F1594" s="1" t="s">
        <v>16735</v>
      </c>
      <c r="G1594" s="3">
        <v>45426.0</v>
      </c>
      <c r="H1594" s="3">
        <v>45677.0</v>
      </c>
      <c r="I1594" s="3">
        <v>45677.0</v>
      </c>
      <c r="J1594" s="1" t="s">
        <v>215</v>
      </c>
      <c r="K1594" s="1" t="s">
        <v>160</v>
      </c>
      <c r="L1594" s="1" t="s">
        <v>216</v>
      </c>
      <c r="M1594" s="1" t="s">
        <v>131</v>
      </c>
      <c r="Q1594" s="1" t="s">
        <v>137</v>
      </c>
      <c r="R1594" s="1" t="s">
        <v>137</v>
      </c>
      <c r="S1594" s="1" t="s">
        <v>47</v>
      </c>
      <c r="T1594" s="1" t="s">
        <v>4301</v>
      </c>
      <c r="U1594" s="1" t="s">
        <v>1577</v>
      </c>
      <c r="V1594" s="1" t="s">
        <v>4950</v>
      </c>
      <c r="W1594" s="3">
        <v>45677.0</v>
      </c>
      <c r="X1594" s="3">
        <v>45677.0</v>
      </c>
    </row>
    <row r="1595">
      <c r="A1595" s="1" t="s">
        <v>16736</v>
      </c>
      <c r="B1595" s="1" t="s">
        <v>7025</v>
      </c>
      <c r="C1595" s="1" t="s">
        <v>7025</v>
      </c>
      <c r="D1595" s="1" t="s">
        <v>4293</v>
      </c>
      <c r="E1595" s="1" t="s">
        <v>16737</v>
      </c>
      <c r="F1595" s="1" t="s">
        <v>16738</v>
      </c>
      <c r="G1595" s="3">
        <v>45954.0</v>
      </c>
      <c r="J1595" s="1" t="s">
        <v>124</v>
      </c>
      <c r="K1595" s="1" t="s">
        <v>160</v>
      </c>
      <c r="L1595" s="1" t="s">
        <v>253</v>
      </c>
      <c r="M1595" s="1" t="s">
        <v>131</v>
      </c>
      <c r="Q1595" s="1" t="s">
        <v>137</v>
      </c>
      <c r="R1595" s="1" t="s">
        <v>137</v>
      </c>
      <c r="S1595" s="1" t="s">
        <v>47</v>
      </c>
      <c r="T1595" s="1" t="s">
        <v>4301</v>
      </c>
      <c r="U1595" s="1" t="s">
        <v>1577</v>
      </c>
      <c r="V1595" s="1" t="s">
        <v>3858</v>
      </c>
      <c r="W1595" s="3"/>
    </row>
    <row r="1596">
      <c r="A1596" s="1" t="s">
        <v>16739</v>
      </c>
      <c r="B1596" s="1" t="s">
        <v>7025</v>
      </c>
      <c r="C1596" s="1" t="s">
        <v>7025</v>
      </c>
      <c r="D1596" s="1" t="s">
        <v>4293</v>
      </c>
      <c r="E1596" s="1" t="s">
        <v>16737</v>
      </c>
      <c r="F1596" s="1" t="s">
        <v>16740</v>
      </c>
      <c r="G1596" s="3">
        <v>45954.0</v>
      </c>
      <c r="H1596" s="13"/>
      <c r="I1596" s="13"/>
      <c r="J1596" s="1" t="s">
        <v>124</v>
      </c>
      <c r="K1596" s="1" t="s">
        <v>160</v>
      </c>
      <c r="L1596" s="1" t="s">
        <v>253</v>
      </c>
      <c r="M1596" s="1" t="s">
        <v>131</v>
      </c>
      <c r="Q1596" s="1" t="s">
        <v>137</v>
      </c>
      <c r="R1596" s="1" t="s">
        <v>137</v>
      </c>
      <c r="S1596" s="1" t="s">
        <v>47</v>
      </c>
      <c r="T1596" s="1" t="s">
        <v>4301</v>
      </c>
      <c r="U1596" s="1" t="s">
        <v>1577</v>
      </c>
      <c r="V1596" s="1" t="s">
        <v>3865</v>
      </c>
      <c r="W1596" s="3"/>
    </row>
    <row r="1597">
      <c r="A1597" s="1" t="s">
        <v>16741</v>
      </c>
      <c r="B1597" s="1" t="s">
        <v>7025</v>
      </c>
      <c r="C1597" s="1" t="s">
        <v>7025</v>
      </c>
      <c r="D1597" s="1" t="s">
        <v>4293</v>
      </c>
      <c r="E1597" s="1" t="s">
        <v>16737</v>
      </c>
      <c r="F1597" s="1" t="s">
        <v>16742</v>
      </c>
      <c r="G1597" s="3">
        <v>45954.0</v>
      </c>
      <c r="H1597" s="3"/>
      <c r="I1597" s="3"/>
      <c r="J1597" s="1" t="s">
        <v>124</v>
      </c>
      <c r="K1597" s="1" t="s">
        <v>160</v>
      </c>
      <c r="L1597" s="1" t="s">
        <v>253</v>
      </c>
      <c r="M1597" s="1" t="s">
        <v>131</v>
      </c>
      <c r="Q1597" s="1" t="s">
        <v>137</v>
      </c>
      <c r="R1597" s="1" t="s">
        <v>137</v>
      </c>
      <c r="S1597" s="1" t="s">
        <v>47</v>
      </c>
      <c r="T1597" s="1" t="s">
        <v>4301</v>
      </c>
      <c r="U1597" s="1" t="s">
        <v>1577</v>
      </c>
      <c r="V1597" s="1" t="s">
        <v>4950</v>
      </c>
      <c r="W1597" s="3"/>
      <c r="X1597" s="13"/>
    </row>
    <row r="1598">
      <c r="A1598" s="1" t="s">
        <v>16743</v>
      </c>
      <c r="B1598" s="1" t="s">
        <v>11813</v>
      </c>
      <c r="C1598" s="1" t="s">
        <v>11813</v>
      </c>
      <c r="D1598" s="1" t="s">
        <v>4293</v>
      </c>
      <c r="E1598" s="1" t="s">
        <v>11815</v>
      </c>
      <c r="F1598" s="1" t="s">
        <v>16744</v>
      </c>
      <c r="G1598" s="3">
        <v>43570.0</v>
      </c>
      <c r="H1598" s="3">
        <v>43599.0</v>
      </c>
      <c r="I1598" s="3">
        <v>43599.0</v>
      </c>
      <c r="J1598" s="1" t="s">
        <v>215</v>
      </c>
      <c r="K1598" s="1" t="s">
        <v>160</v>
      </c>
      <c r="L1598" s="1" t="s">
        <v>216</v>
      </c>
      <c r="M1598" s="1" t="s">
        <v>131</v>
      </c>
      <c r="Q1598" s="1" t="s">
        <v>137</v>
      </c>
      <c r="R1598" s="1" t="s">
        <v>137</v>
      </c>
      <c r="S1598" s="1" t="s">
        <v>47</v>
      </c>
      <c r="T1598" s="1" t="s">
        <v>4301</v>
      </c>
      <c r="U1598" s="1" t="s">
        <v>1577</v>
      </c>
      <c r="V1598" s="1" t="s">
        <v>3858</v>
      </c>
      <c r="W1598" s="3">
        <v>43599.0</v>
      </c>
      <c r="X1598" s="3">
        <v>43599.0</v>
      </c>
    </row>
    <row r="1599">
      <c r="A1599" s="1" t="s">
        <v>16745</v>
      </c>
      <c r="B1599" s="1" t="s">
        <v>11823</v>
      </c>
      <c r="C1599" s="1" t="s">
        <v>11823</v>
      </c>
      <c r="D1599" s="1" t="s">
        <v>4293</v>
      </c>
      <c r="E1599" s="1" t="s">
        <v>11826</v>
      </c>
      <c r="F1599" s="1" t="s">
        <v>16746</v>
      </c>
      <c r="G1599" s="3">
        <v>45558.0</v>
      </c>
      <c r="H1599" s="3">
        <v>45558.0</v>
      </c>
      <c r="I1599" s="3">
        <v>45558.0</v>
      </c>
      <c r="J1599" s="1" t="s">
        <v>215</v>
      </c>
      <c r="K1599" s="1" t="s">
        <v>160</v>
      </c>
      <c r="L1599" s="1" t="s">
        <v>216</v>
      </c>
      <c r="M1599" s="1" t="s">
        <v>131</v>
      </c>
      <c r="Q1599" s="1" t="s">
        <v>137</v>
      </c>
      <c r="R1599" s="1" t="s">
        <v>137</v>
      </c>
      <c r="S1599" s="1" t="s">
        <v>47</v>
      </c>
      <c r="T1599" s="1" t="s">
        <v>4301</v>
      </c>
      <c r="U1599" s="1" t="s">
        <v>1577</v>
      </c>
      <c r="V1599" s="1" t="s">
        <v>3963</v>
      </c>
      <c r="W1599" s="3">
        <v>45558.0</v>
      </c>
      <c r="X1599" s="3">
        <v>45558.0</v>
      </c>
    </row>
    <row r="1600">
      <c r="A1600" s="1" t="s">
        <v>16747</v>
      </c>
      <c r="B1600" s="1" t="s">
        <v>11823</v>
      </c>
      <c r="C1600" s="1" t="s">
        <v>11823</v>
      </c>
      <c r="D1600" s="1" t="s">
        <v>4293</v>
      </c>
      <c r="E1600" s="1" t="s">
        <v>11826</v>
      </c>
      <c r="F1600" s="1" t="s">
        <v>16748</v>
      </c>
      <c r="G1600" s="3">
        <v>45558.0</v>
      </c>
      <c r="H1600" s="3">
        <v>45558.0</v>
      </c>
      <c r="I1600" s="3">
        <v>45558.0</v>
      </c>
      <c r="J1600" s="1" t="s">
        <v>215</v>
      </c>
      <c r="K1600" s="1" t="s">
        <v>160</v>
      </c>
      <c r="L1600" s="1" t="s">
        <v>216</v>
      </c>
      <c r="M1600" s="1" t="s">
        <v>131</v>
      </c>
      <c r="Q1600" s="1" t="s">
        <v>137</v>
      </c>
      <c r="R1600" s="1" t="s">
        <v>137</v>
      </c>
      <c r="S1600" s="1" t="s">
        <v>47</v>
      </c>
      <c r="T1600" s="1" t="s">
        <v>4301</v>
      </c>
      <c r="U1600" s="1" t="s">
        <v>1577</v>
      </c>
      <c r="V1600" s="1" t="s">
        <v>4679</v>
      </c>
      <c r="W1600" s="3">
        <v>45558.0</v>
      </c>
      <c r="X1600" s="3">
        <v>45558.0</v>
      </c>
    </row>
    <row r="1601">
      <c r="A1601" s="1" t="s">
        <v>16749</v>
      </c>
      <c r="B1601" s="1" t="s">
        <v>11823</v>
      </c>
      <c r="C1601" s="1" t="s">
        <v>11823</v>
      </c>
      <c r="D1601" s="1" t="s">
        <v>4293</v>
      </c>
      <c r="E1601" s="1" t="s">
        <v>11826</v>
      </c>
      <c r="F1601" s="1" t="s">
        <v>16750</v>
      </c>
      <c r="G1601" s="3">
        <v>45558.0</v>
      </c>
      <c r="H1601" s="3">
        <v>45558.0</v>
      </c>
      <c r="I1601" s="3">
        <v>45558.0</v>
      </c>
      <c r="J1601" s="1" t="s">
        <v>215</v>
      </c>
      <c r="K1601" s="1" t="s">
        <v>160</v>
      </c>
      <c r="L1601" s="1" t="s">
        <v>216</v>
      </c>
      <c r="M1601" s="1" t="s">
        <v>131</v>
      </c>
      <c r="Q1601" s="1" t="s">
        <v>137</v>
      </c>
      <c r="R1601" s="1" t="s">
        <v>137</v>
      </c>
      <c r="S1601" s="1" t="s">
        <v>47</v>
      </c>
      <c r="T1601" s="1" t="s">
        <v>4301</v>
      </c>
      <c r="U1601" s="1" t="s">
        <v>1577</v>
      </c>
      <c r="V1601" s="1" t="s">
        <v>4950</v>
      </c>
      <c r="W1601" s="3">
        <v>45558.0</v>
      </c>
      <c r="X1601" s="3">
        <v>45558.0</v>
      </c>
    </row>
    <row r="1602">
      <c r="A1602" s="1" t="s">
        <v>16751</v>
      </c>
      <c r="B1602" s="1" t="s">
        <v>11823</v>
      </c>
      <c r="C1602" s="1" t="s">
        <v>11823</v>
      </c>
      <c r="D1602" s="1" t="s">
        <v>4293</v>
      </c>
      <c r="E1602" s="1" t="s">
        <v>11826</v>
      </c>
      <c r="F1602" s="1" t="s">
        <v>16752</v>
      </c>
      <c r="G1602" s="3">
        <v>45558.0</v>
      </c>
      <c r="H1602" s="3">
        <v>45558.0</v>
      </c>
      <c r="I1602" s="3">
        <v>45558.0</v>
      </c>
      <c r="J1602" s="1" t="s">
        <v>215</v>
      </c>
      <c r="K1602" s="1" t="s">
        <v>160</v>
      </c>
      <c r="L1602" s="1" t="s">
        <v>216</v>
      </c>
      <c r="M1602" s="1" t="s">
        <v>131</v>
      </c>
      <c r="Q1602" s="1" t="s">
        <v>137</v>
      </c>
      <c r="R1602" s="1" t="s">
        <v>137</v>
      </c>
      <c r="S1602" s="1" t="s">
        <v>47</v>
      </c>
      <c r="T1602" s="1" t="s">
        <v>4301</v>
      </c>
      <c r="U1602" s="1" t="s">
        <v>1577</v>
      </c>
      <c r="V1602" s="1" t="s">
        <v>5104</v>
      </c>
      <c r="W1602" s="3">
        <v>45558.0</v>
      </c>
      <c r="X1602" s="3">
        <v>45558.0</v>
      </c>
    </row>
    <row r="1603">
      <c r="A1603" s="1" t="s">
        <v>16753</v>
      </c>
      <c r="B1603" s="1" t="s">
        <v>11823</v>
      </c>
      <c r="C1603" s="1" t="s">
        <v>11823</v>
      </c>
      <c r="D1603" s="1" t="s">
        <v>4293</v>
      </c>
      <c r="E1603" s="1" t="s">
        <v>11826</v>
      </c>
      <c r="F1603" s="1" t="s">
        <v>16754</v>
      </c>
      <c r="G1603" s="3">
        <v>45558.0</v>
      </c>
      <c r="H1603" s="3">
        <v>45558.0</v>
      </c>
      <c r="I1603" s="3">
        <v>45558.0</v>
      </c>
      <c r="J1603" s="1" t="s">
        <v>215</v>
      </c>
      <c r="K1603" s="1" t="s">
        <v>160</v>
      </c>
      <c r="L1603" s="1" t="s">
        <v>216</v>
      </c>
      <c r="M1603" s="1" t="s">
        <v>131</v>
      </c>
      <c r="Q1603" s="1" t="s">
        <v>137</v>
      </c>
      <c r="R1603" s="1" t="s">
        <v>137</v>
      </c>
      <c r="S1603" s="1" t="s">
        <v>47</v>
      </c>
      <c r="T1603" s="1" t="s">
        <v>4301</v>
      </c>
      <c r="U1603" s="1" t="s">
        <v>1577</v>
      </c>
      <c r="V1603" s="1" t="s">
        <v>5120</v>
      </c>
      <c r="W1603" s="3">
        <v>45558.0</v>
      </c>
      <c r="X1603" s="3">
        <v>45558.0</v>
      </c>
    </row>
    <row r="1604">
      <c r="A1604" s="1" t="s">
        <v>16755</v>
      </c>
      <c r="B1604" s="1" t="s">
        <v>5989</v>
      </c>
      <c r="C1604" s="1" t="s">
        <v>5989</v>
      </c>
      <c r="D1604" s="1" t="s">
        <v>4293</v>
      </c>
      <c r="E1604" s="1" t="s">
        <v>11835</v>
      </c>
      <c r="F1604" s="1" t="s">
        <v>16756</v>
      </c>
      <c r="G1604" s="3">
        <v>44636.0</v>
      </c>
      <c r="H1604" s="3">
        <v>44753.0</v>
      </c>
      <c r="I1604" s="3">
        <v>44753.0</v>
      </c>
      <c r="J1604" s="1" t="s">
        <v>215</v>
      </c>
      <c r="K1604" s="1" t="s">
        <v>160</v>
      </c>
      <c r="L1604" s="1" t="s">
        <v>216</v>
      </c>
      <c r="M1604" s="1" t="s">
        <v>131</v>
      </c>
      <c r="Q1604" s="1" t="s">
        <v>137</v>
      </c>
      <c r="R1604" s="1" t="s">
        <v>137</v>
      </c>
      <c r="S1604" s="1" t="s">
        <v>47</v>
      </c>
      <c r="T1604" s="1" t="s">
        <v>4301</v>
      </c>
      <c r="U1604" s="1" t="s">
        <v>1577</v>
      </c>
      <c r="V1604" s="1" t="s">
        <v>3858</v>
      </c>
      <c r="W1604" s="3">
        <v>44753.0</v>
      </c>
      <c r="X1604" s="3">
        <v>44753.0</v>
      </c>
    </row>
    <row r="1605">
      <c r="A1605" s="1" t="s">
        <v>16757</v>
      </c>
      <c r="B1605" s="1" t="s">
        <v>11311</v>
      </c>
      <c r="C1605" s="1" t="s">
        <v>11311</v>
      </c>
      <c r="D1605" s="1" t="s">
        <v>4293</v>
      </c>
      <c r="E1605" s="1" t="s">
        <v>11845</v>
      </c>
      <c r="F1605" s="1" t="s">
        <v>16758</v>
      </c>
      <c r="G1605" s="3">
        <v>45744.0</v>
      </c>
      <c r="H1605" s="3">
        <v>45744.0</v>
      </c>
      <c r="I1605" s="3">
        <v>45744.0</v>
      </c>
      <c r="J1605" s="1" t="s">
        <v>215</v>
      </c>
      <c r="K1605" s="1" t="s">
        <v>160</v>
      </c>
      <c r="L1605" s="1" t="s">
        <v>216</v>
      </c>
      <c r="M1605" s="1" t="s">
        <v>131</v>
      </c>
      <c r="Q1605" s="1" t="s">
        <v>137</v>
      </c>
      <c r="R1605" s="1" t="s">
        <v>137</v>
      </c>
      <c r="S1605" s="1" t="s">
        <v>47</v>
      </c>
      <c r="T1605" s="1" t="s">
        <v>4301</v>
      </c>
      <c r="U1605" s="1" t="s">
        <v>1577</v>
      </c>
      <c r="V1605" s="1" t="s">
        <v>4679</v>
      </c>
      <c r="W1605" s="3">
        <v>45744.0</v>
      </c>
      <c r="X1605" s="3">
        <v>45744.0</v>
      </c>
    </row>
    <row r="1606">
      <c r="A1606" s="1" t="s">
        <v>16759</v>
      </c>
      <c r="B1606" s="1" t="s">
        <v>11311</v>
      </c>
      <c r="C1606" s="1" t="s">
        <v>11311</v>
      </c>
      <c r="D1606" s="1" t="s">
        <v>4293</v>
      </c>
      <c r="E1606" s="1" t="s">
        <v>11845</v>
      </c>
      <c r="F1606" s="1" t="s">
        <v>16760</v>
      </c>
      <c r="G1606" s="3">
        <v>45744.0</v>
      </c>
      <c r="H1606" s="3">
        <v>45744.0</v>
      </c>
      <c r="I1606" s="3">
        <v>45744.0</v>
      </c>
      <c r="J1606" s="1" t="s">
        <v>215</v>
      </c>
      <c r="K1606" s="1" t="s">
        <v>160</v>
      </c>
      <c r="L1606" s="1" t="s">
        <v>216</v>
      </c>
      <c r="M1606" s="1" t="s">
        <v>131</v>
      </c>
      <c r="Q1606" s="1" t="s">
        <v>137</v>
      </c>
      <c r="R1606" s="1" t="s">
        <v>137</v>
      </c>
      <c r="S1606" s="1" t="s">
        <v>47</v>
      </c>
      <c r="T1606" s="1" t="s">
        <v>4301</v>
      </c>
      <c r="U1606" s="1" t="s">
        <v>1577</v>
      </c>
      <c r="V1606" s="1" t="s">
        <v>4950</v>
      </c>
      <c r="W1606" s="3">
        <v>45744.0</v>
      </c>
      <c r="X1606" s="3">
        <v>45744.0</v>
      </c>
    </row>
    <row r="1607">
      <c r="A1607" s="1" t="s">
        <v>16761</v>
      </c>
      <c r="B1607" s="1" t="s">
        <v>11311</v>
      </c>
      <c r="C1607" s="1" t="s">
        <v>11311</v>
      </c>
      <c r="D1607" s="1" t="s">
        <v>4293</v>
      </c>
      <c r="E1607" s="1" t="s">
        <v>11845</v>
      </c>
      <c r="F1607" s="1" t="s">
        <v>16762</v>
      </c>
      <c r="G1607" s="3">
        <v>45744.0</v>
      </c>
      <c r="H1607" s="3">
        <v>45744.0</v>
      </c>
      <c r="I1607" s="3">
        <v>45744.0</v>
      </c>
      <c r="J1607" s="1" t="s">
        <v>215</v>
      </c>
      <c r="K1607" s="1" t="s">
        <v>160</v>
      </c>
      <c r="L1607" s="1" t="s">
        <v>216</v>
      </c>
      <c r="M1607" s="1" t="s">
        <v>131</v>
      </c>
      <c r="Q1607" s="1" t="s">
        <v>137</v>
      </c>
      <c r="R1607" s="1" t="s">
        <v>137</v>
      </c>
      <c r="S1607" s="1" t="s">
        <v>47</v>
      </c>
      <c r="T1607" s="1" t="s">
        <v>4301</v>
      </c>
      <c r="U1607" s="1" t="s">
        <v>1577</v>
      </c>
      <c r="V1607" s="1" t="s">
        <v>5104</v>
      </c>
      <c r="W1607" s="3">
        <v>45744.0</v>
      </c>
      <c r="X1607" s="3">
        <v>45744.0</v>
      </c>
    </row>
    <row r="1608">
      <c r="A1608" s="1" t="s">
        <v>16763</v>
      </c>
      <c r="B1608" s="1" t="s">
        <v>11311</v>
      </c>
      <c r="C1608" s="1" t="s">
        <v>11311</v>
      </c>
      <c r="D1608" s="1" t="s">
        <v>4293</v>
      </c>
      <c r="E1608" s="1" t="s">
        <v>11845</v>
      </c>
      <c r="F1608" s="1" t="s">
        <v>16764</v>
      </c>
      <c r="G1608" s="3">
        <v>45744.0</v>
      </c>
      <c r="H1608" s="3">
        <v>45744.0</v>
      </c>
      <c r="I1608" s="3">
        <v>45744.0</v>
      </c>
      <c r="J1608" s="1" t="s">
        <v>215</v>
      </c>
      <c r="K1608" s="1" t="s">
        <v>160</v>
      </c>
      <c r="L1608" s="1" t="s">
        <v>216</v>
      </c>
      <c r="M1608" s="1" t="s">
        <v>131</v>
      </c>
      <c r="Q1608" s="1" t="s">
        <v>137</v>
      </c>
      <c r="R1608" s="1" t="s">
        <v>137</v>
      </c>
      <c r="S1608" s="1" t="s">
        <v>47</v>
      </c>
      <c r="T1608" s="1" t="s">
        <v>4301</v>
      </c>
      <c r="U1608" s="1" t="s">
        <v>1577</v>
      </c>
      <c r="V1608" s="1" t="s">
        <v>5120</v>
      </c>
      <c r="W1608" s="3">
        <v>45744.0</v>
      </c>
      <c r="X1608" s="3">
        <v>45744.0</v>
      </c>
    </row>
    <row r="1609">
      <c r="A1609" s="1" t="s">
        <v>16765</v>
      </c>
      <c r="B1609" s="1" t="s">
        <v>5700</v>
      </c>
      <c r="C1609" s="1" t="s">
        <v>5700</v>
      </c>
      <c r="D1609" s="1" t="s">
        <v>4293</v>
      </c>
      <c r="E1609" s="1" t="s">
        <v>11855</v>
      </c>
      <c r="F1609" s="1" t="s">
        <v>16766</v>
      </c>
      <c r="G1609" s="3">
        <v>45195.0</v>
      </c>
      <c r="H1609" s="3">
        <v>45322.0</v>
      </c>
      <c r="I1609" s="3">
        <v>45322.0</v>
      </c>
      <c r="J1609" s="1" t="s">
        <v>215</v>
      </c>
      <c r="K1609" s="1" t="s">
        <v>160</v>
      </c>
      <c r="L1609" s="1" t="s">
        <v>216</v>
      </c>
      <c r="M1609" s="1" t="s">
        <v>131</v>
      </c>
      <c r="Q1609" s="1" t="s">
        <v>137</v>
      </c>
      <c r="R1609" s="1" t="s">
        <v>137</v>
      </c>
      <c r="S1609" s="1" t="s">
        <v>47</v>
      </c>
      <c r="T1609" s="1" t="s">
        <v>4301</v>
      </c>
      <c r="U1609" s="1" t="s">
        <v>1577</v>
      </c>
      <c r="V1609" s="1" t="s">
        <v>3858</v>
      </c>
      <c r="W1609" s="3">
        <v>45322.0</v>
      </c>
      <c r="X1609" s="3">
        <v>45322.0</v>
      </c>
    </row>
    <row r="1610">
      <c r="A1610" s="1" t="s">
        <v>16767</v>
      </c>
      <c r="B1610" s="1" t="s">
        <v>5700</v>
      </c>
      <c r="C1610" s="1" t="s">
        <v>5700</v>
      </c>
      <c r="D1610" s="1" t="s">
        <v>4293</v>
      </c>
      <c r="E1610" s="1" t="s">
        <v>11855</v>
      </c>
      <c r="F1610" s="1" t="s">
        <v>16768</v>
      </c>
      <c r="G1610" s="3">
        <v>45195.0</v>
      </c>
      <c r="H1610" s="3">
        <v>45322.0</v>
      </c>
      <c r="I1610" s="3">
        <v>45322.0</v>
      </c>
      <c r="J1610" s="1" t="s">
        <v>215</v>
      </c>
      <c r="K1610" s="1" t="s">
        <v>160</v>
      </c>
      <c r="L1610" s="1" t="s">
        <v>216</v>
      </c>
      <c r="M1610" s="1" t="s">
        <v>131</v>
      </c>
      <c r="Q1610" s="1" t="s">
        <v>137</v>
      </c>
      <c r="R1610" s="1" t="s">
        <v>137</v>
      </c>
      <c r="S1610" s="1" t="s">
        <v>47</v>
      </c>
      <c r="T1610" s="1" t="s">
        <v>4301</v>
      </c>
      <c r="U1610" s="1" t="s">
        <v>1577</v>
      </c>
      <c r="V1610" s="1" t="s">
        <v>4950</v>
      </c>
      <c r="W1610" s="3">
        <v>45322.0</v>
      </c>
      <c r="X1610" s="3">
        <v>45322.0</v>
      </c>
    </row>
    <row r="1611">
      <c r="A1611" s="1" t="s">
        <v>16769</v>
      </c>
      <c r="B1611" s="1" t="s">
        <v>11865</v>
      </c>
      <c r="C1611" s="1" t="s">
        <v>11865</v>
      </c>
      <c r="D1611" s="1" t="s">
        <v>4293</v>
      </c>
      <c r="E1611" s="1" t="s">
        <v>11867</v>
      </c>
      <c r="F1611" s="1" t="s">
        <v>16770</v>
      </c>
      <c r="G1611" s="3">
        <v>44270.0</v>
      </c>
      <c r="H1611" s="3">
        <v>44305.0</v>
      </c>
      <c r="I1611" s="3">
        <v>44305.0</v>
      </c>
      <c r="J1611" s="1" t="s">
        <v>215</v>
      </c>
      <c r="K1611" s="1" t="s">
        <v>160</v>
      </c>
      <c r="L1611" s="1" t="s">
        <v>216</v>
      </c>
      <c r="M1611" s="1" t="s">
        <v>131</v>
      </c>
      <c r="Q1611" s="1" t="s">
        <v>137</v>
      </c>
      <c r="R1611" s="1" t="s">
        <v>137</v>
      </c>
      <c r="S1611" s="1" t="s">
        <v>47</v>
      </c>
      <c r="T1611" s="1" t="s">
        <v>4301</v>
      </c>
      <c r="U1611" s="1" t="s">
        <v>1577</v>
      </c>
      <c r="V1611" s="1" t="s">
        <v>3858</v>
      </c>
      <c r="W1611" s="3">
        <v>44305.0</v>
      </c>
      <c r="X1611" s="3">
        <v>44305.0</v>
      </c>
    </row>
    <row r="1612">
      <c r="A1612" s="1" t="s">
        <v>16771</v>
      </c>
      <c r="B1612" s="1" t="s">
        <v>14090</v>
      </c>
      <c r="C1612" s="1" t="s">
        <v>14090</v>
      </c>
      <c r="D1612" s="1" t="s">
        <v>4293</v>
      </c>
      <c r="E1612" s="1" t="s">
        <v>16772</v>
      </c>
      <c r="F1612" s="1" t="s">
        <v>16773</v>
      </c>
      <c r="G1612" s="3">
        <v>45981.0</v>
      </c>
      <c r="J1612" s="1" t="s">
        <v>124</v>
      </c>
      <c r="K1612" s="1" t="s">
        <v>160</v>
      </c>
      <c r="L1612" s="1" t="s">
        <v>253</v>
      </c>
      <c r="M1612" s="1" t="s">
        <v>131</v>
      </c>
      <c r="Q1612" s="1" t="s">
        <v>137</v>
      </c>
      <c r="R1612" s="1" t="s">
        <v>137</v>
      </c>
      <c r="S1612" s="1" t="s">
        <v>47</v>
      </c>
      <c r="T1612" s="1" t="s">
        <v>4301</v>
      </c>
      <c r="U1612" s="1" t="s">
        <v>1577</v>
      </c>
      <c r="V1612" s="1" t="s">
        <v>3858</v>
      </c>
      <c r="W1612" s="3"/>
    </row>
    <row r="1613">
      <c r="A1613" s="1" t="s">
        <v>16774</v>
      </c>
      <c r="B1613" s="1" t="s">
        <v>11876</v>
      </c>
      <c r="C1613" s="1" t="s">
        <v>11876</v>
      </c>
      <c r="D1613" s="1" t="s">
        <v>4293</v>
      </c>
      <c r="E1613" s="1" t="s">
        <v>11878</v>
      </c>
      <c r="F1613" s="1" t="s">
        <v>16775</v>
      </c>
      <c r="G1613" s="3">
        <v>44348.0</v>
      </c>
      <c r="H1613" s="3">
        <v>44428.0</v>
      </c>
      <c r="I1613" s="3">
        <v>44428.0</v>
      </c>
      <c r="J1613" s="1" t="s">
        <v>215</v>
      </c>
      <c r="K1613" s="1" t="s">
        <v>160</v>
      </c>
      <c r="L1613" s="1" t="s">
        <v>216</v>
      </c>
      <c r="M1613" s="1" t="s">
        <v>131</v>
      </c>
      <c r="Q1613" s="1" t="s">
        <v>137</v>
      </c>
      <c r="R1613" s="1" t="s">
        <v>137</v>
      </c>
      <c r="S1613" s="1" t="s">
        <v>47</v>
      </c>
      <c r="T1613" s="1" t="s">
        <v>4301</v>
      </c>
      <c r="U1613" s="1" t="s">
        <v>1577</v>
      </c>
      <c r="V1613" s="1" t="s">
        <v>4950</v>
      </c>
      <c r="W1613" s="3">
        <v>44428.0</v>
      </c>
      <c r="X1613" s="3">
        <v>44428.0</v>
      </c>
    </row>
    <row r="1614">
      <c r="A1614" s="1" t="s">
        <v>16776</v>
      </c>
      <c r="B1614" s="1" t="s">
        <v>14092</v>
      </c>
      <c r="C1614" s="1" t="s">
        <v>14092</v>
      </c>
      <c r="D1614" s="1" t="s">
        <v>4293</v>
      </c>
      <c r="E1614" s="1" t="s">
        <v>16777</v>
      </c>
      <c r="F1614" s="1" t="s">
        <v>16778</v>
      </c>
      <c r="G1614" s="3">
        <v>45919.0</v>
      </c>
      <c r="J1614" s="1" t="s">
        <v>124</v>
      </c>
      <c r="K1614" s="1" t="s">
        <v>160</v>
      </c>
      <c r="L1614" s="1" t="s">
        <v>253</v>
      </c>
      <c r="M1614" s="1" t="s">
        <v>131</v>
      </c>
      <c r="Q1614" s="1" t="s">
        <v>137</v>
      </c>
      <c r="R1614" s="1" t="s">
        <v>137</v>
      </c>
      <c r="S1614" s="1" t="s">
        <v>47</v>
      </c>
      <c r="T1614" s="1" t="s">
        <v>4301</v>
      </c>
      <c r="U1614" s="1" t="s">
        <v>1577</v>
      </c>
      <c r="V1614" s="1" t="s">
        <v>3858</v>
      </c>
      <c r="W1614" s="3"/>
    </row>
    <row r="1615">
      <c r="A1615" s="1" t="s">
        <v>16779</v>
      </c>
      <c r="B1615" s="1" t="s">
        <v>14092</v>
      </c>
      <c r="C1615" s="1" t="s">
        <v>14092</v>
      </c>
      <c r="D1615" s="1" t="s">
        <v>4293</v>
      </c>
      <c r="E1615" s="1" t="s">
        <v>16777</v>
      </c>
      <c r="F1615" s="1" t="s">
        <v>16780</v>
      </c>
      <c r="G1615" s="3">
        <v>45919.0</v>
      </c>
      <c r="J1615" s="1" t="s">
        <v>124</v>
      </c>
      <c r="K1615" s="1" t="s">
        <v>160</v>
      </c>
      <c r="L1615" s="1" t="s">
        <v>253</v>
      </c>
      <c r="M1615" s="1" t="s">
        <v>131</v>
      </c>
      <c r="Q1615" s="1" t="s">
        <v>137</v>
      </c>
      <c r="R1615" s="1" t="s">
        <v>137</v>
      </c>
      <c r="S1615" s="1" t="s">
        <v>47</v>
      </c>
      <c r="T1615" s="1" t="s">
        <v>4301</v>
      </c>
      <c r="U1615" s="1" t="s">
        <v>1577</v>
      </c>
      <c r="V1615" s="1" t="s">
        <v>3963</v>
      </c>
      <c r="W1615" s="3"/>
    </row>
    <row r="1616">
      <c r="A1616" s="1" t="s">
        <v>16781</v>
      </c>
      <c r="B1616" s="1" t="s">
        <v>14092</v>
      </c>
      <c r="C1616" s="1" t="s">
        <v>14092</v>
      </c>
      <c r="D1616" s="1" t="s">
        <v>4293</v>
      </c>
      <c r="E1616" s="1" t="s">
        <v>16777</v>
      </c>
      <c r="F1616" s="1" t="s">
        <v>16782</v>
      </c>
      <c r="G1616" s="3">
        <v>45919.0</v>
      </c>
      <c r="H1616" s="3"/>
      <c r="I1616" s="3"/>
      <c r="J1616" s="1" t="s">
        <v>124</v>
      </c>
      <c r="K1616" s="1" t="s">
        <v>160</v>
      </c>
      <c r="L1616" s="1" t="s">
        <v>253</v>
      </c>
      <c r="M1616" s="1" t="s">
        <v>131</v>
      </c>
      <c r="Q1616" s="1" t="s">
        <v>137</v>
      </c>
      <c r="R1616" s="1" t="s">
        <v>137</v>
      </c>
      <c r="S1616" s="1" t="s">
        <v>47</v>
      </c>
      <c r="T1616" s="1" t="s">
        <v>4301</v>
      </c>
      <c r="U1616" s="1" t="s">
        <v>1577</v>
      </c>
      <c r="V1616" s="1" t="s">
        <v>4950</v>
      </c>
      <c r="W1616" s="3"/>
    </row>
    <row r="1617">
      <c r="A1617" s="1" t="s">
        <v>16783</v>
      </c>
      <c r="B1617" s="1" t="s">
        <v>8088</v>
      </c>
      <c r="C1617" s="1" t="s">
        <v>8088</v>
      </c>
      <c r="D1617" s="1" t="s">
        <v>4293</v>
      </c>
      <c r="E1617" s="1" t="s">
        <v>11891</v>
      </c>
      <c r="F1617" s="1" t="s">
        <v>16784</v>
      </c>
      <c r="G1617" s="3">
        <v>45830.0</v>
      </c>
      <c r="H1617" s="3">
        <v>45891.0</v>
      </c>
      <c r="I1617" s="3">
        <v>45891.0</v>
      </c>
      <c r="J1617" s="1" t="s">
        <v>215</v>
      </c>
      <c r="K1617" s="1" t="s">
        <v>160</v>
      </c>
      <c r="L1617" s="1" t="s">
        <v>216</v>
      </c>
      <c r="M1617" s="1" t="s">
        <v>131</v>
      </c>
      <c r="Q1617" s="1" t="s">
        <v>137</v>
      </c>
      <c r="R1617" s="1" t="s">
        <v>137</v>
      </c>
      <c r="S1617" s="1" t="s">
        <v>47</v>
      </c>
      <c r="T1617" s="1" t="s">
        <v>4301</v>
      </c>
      <c r="U1617" s="1" t="s">
        <v>1577</v>
      </c>
      <c r="V1617" s="1" t="s">
        <v>4950</v>
      </c>
      <c r="W1617" s="3">
        <v>45891.0</v>
      </c>
      <c r="X1617" s="3">
        <v>45891.0</v>
      </c>
    </row>
    <row r="1618">
      <c r="A1618" s="1" t="s">
        <v>16785</v>
      </c>
      <c r="B1618" s="1" t="s">
        <v>11900</v>
      </c>
      <c r="C1618" s="1" t="s">
        <v>11900</v>
      </c>
      <c r="D1618" s="1" t="s">
        <v>4293</v>
      </c>
      <c r="E1618" s="1" t="s">
        <v>11903</v>
      </c>
      <c r="F1618" s="1" t="s">
        <v>16786</v>
      </c>
      <c r="G1618" s="3">
        <v>45737.0</v>
      </c>
      <c r="H1618" s="3">
        <v>45910.0</v>
      </c>
      <c r="I1618" s="3">
        <v>45910.0</v>
      </c>
      <c r="J1618" s="1" t="s">
        <v>215</v>
      </c>
      <c r="K1618" s="1" t="s">
        <v>160</v>
      </c>
      <c r="L1618" s="1" t="s">
        <v>216</v>
      </c>
      <c r="M1618" s="1" t="s">
        <v>131</v>
      </c>
      <c r="Q1618" s="1" t="s">
        <v>137</v>
      </c>
      <c r="R1618" s="1" t="s">
        <v>137</v>
      </c>
      <c r="S1618" s="1" t="s">
        <v>47</v>
      </c>
      <c r="T1618" s="1" t="s">
        <v>4301</v>
      </c>
      <c r="U1618" s="1" t="s">
        <v>1577</v>
      </c>
      <c r="V1618" s="1" t="s">
        <v>4679</v>
      </c>
      <c r="W1618" s="3">
        <v>45910.0</v>
      </c>
      <c r="X1618" s="3">
        <v>45910.0</v>
      </c>
    </row>
    <row r="1619">
      <c r="A1619" s="1" t="s">
        <v>16787</v>
      </c>
      <c r="B1619" s="1" t="s">
        <v>11900</v>
      </c>
      <c r="C1619" s="1" t="s">
        <v>11900</v>
      </c>
      <c r="D1619" s="1" t="s">
        <v>4293</v>
      </c>
      <c r="E1619" s="1" t="s">
        <v>11903</v>
      </c>
      <c r="F1619" s="1" t="s">
        <v>16788</v>
      </c>
      <c r="G1619" s="3">
        <v>45737.0</v>
      </c>
      <c r="H1619" s="3">
        <v>45910.0</v>
      </c>
      <c r="I1619" s="3">
        <v>45910.0</v>
      </c>
      <c r="J1619" s="1" t="s">
        <v>215</v>
      </c>
      <c r="K1619" s="1" t="s">
        <v>160</v>
      </c>
      <c r="L1619" s="1" t="s">
        <v>216</v>
      </c>
      <c r="M1619" s="1" t="s">
        <v>131</v>
      </c>
      <c r="Q1619" s="1" t="s">
        <v>137</v>
      </c>
      <c r="R1619" s="1" t="s">
        <v>137</v>
      </c>
      <c r="S1619" s="1" t="s">
        <v>47</v>
      </c>
      <c r="T1619" s="1" t="s">
        <v>4301</v>
      </c>
      <c r="U1619" s="1" t="s">
        <v>1577</v>
      </c>
      <c r="V1619" s="1" t="s">
        <v>4950</v>
      </c>
      <c r="W1619" s="3">
        <v>45910.0</v>
      </c>
      <c r="X1619" s="3">
        <v>45910.0</v>
      </c>
    </row>
    <row r="1620">
      <c r="A1620" s="1" t="s">
        <v>16789</v>
      </c>
      <c r="B1620" s="1" t="s">
        <v>11900</v>
      </c>
      <c r="C1620" s="1" t="s">
        <v>11900</v>
      </c>
      <c r="D1620" s="1" t="s">
        <v>4293</v>
      </c>
      <c r="E1620" s="1" t="s">
        <v>11903</v>
      </c>
      <c r="F1620" s="1" t="s">
        <v>16790</v>
      </c>
      <c r="G1620" s="3">
        <v>45737.0</v>
      </c>
      <c r="H1620" s="3">
        <v>45910.0</v>
      </c>
      <c r="I1620" s="3">
        <v>45910.0</v>
      </c>
      <c r="J1620" s="1" t="s">
        <v>215</v>
      </c>
      <c r="K1620" s="1" t="s">
        <v>160</v>
      </c>
      <c r="L1620" s="1" t="s">
        <v>216</v>
      </c>
      <c r="M1620" s="1" t="s">
        <v>131</v>
      </c>
      <c r="Q1620" s="1" t="s">
        <v>137</v>
      </c>
      <c r="R1620" s="1" t="s">
        <v>137</v>
      </c>
      <c r="S1620" s="1" t="s">
        <v>47</v>
      </c>
      <c r="T1620" s="1" t="s">
        <v>4301</v>
      </c>
      <c r="U1620" s="1" t="s">
        <v>1577</v>
      </c>
      <c r="V1620" s="1" t="s">
        <v>5104</v>
      </c>
      <c r="W1620" s="3">
        <v>45910.0</v>
      </c>
      <c r="X1620" s="3">
        <v>45910.0</v>
      </c>
    </row>
    <row r="1621">
      <c r="A1621" s="1" t="s">
        <v>16791</v>
      </c>
      <c r="B1621" s="1" t="s">
        <v>11900</v>
      </c>
      <c r="C1621" s="1" t="s">
        <v>11900</v>
      </c>
      <c r="D1621" s="1" t="s">
        <v>4293</v>
      </c>
      <c r="E1621" s="1" t="s">
        <v>11903</v>
      </c>
      <c r="F1621" s="1" t="s">
        <v>16792</v>
      </c>
      <c r="G1621" s="3">
        <v>45737.0</v>
      </c>
      <c r="H1621" s="3">
        <v>45910.0</v>
      </c>
      <c r="I1621" s="3">
        <v>45910.0</v>
      </c>
      <c r="J1621" s="1" t="s">
        <v>215</v>
      </c>
      <c r="K1621" s="1" t="s">
        <v>160</v>
      </c>
      <c r="L1621" s="1" t="s">
        <v>216</v>
      </c>
      <c r="M1621" s="1" t="s">
        <v>131</v>
      </c>
      <c r="Q1621" s="1" t="s">
        <v>137</v>
      </c>
      <c r="R1621" s="1" t="s">
        <v>137</v>
      </c>
      <c r="S1621" s="1" t="s">
        <v>47</v>
      </c>
      <c r="T1621" s="1" t="s">
        <v>4301</v>
      </c>
      <c r="U1621" s="1" t="s">
        <v>1577</v>
      </c>
      <c r="V1621" s="1" t="s">
        <v>5120</v>
      </c>
      <c r="W1621" s="3">
        <v>45910.0</v>
      </c>
      <c r="X1621" s="3">
        <v>45910.0</v>
      </c>
    </row>
    <row r="1622">
      <c r="A1622" s="1" t="s">
        <v>16793</v>
      </c>
      <c r="B1622" s="1" t="s">
        <v>11913</v>
      </c>
      <c r="C1622" s="1" t="s">
        <v>11913</v>
      </c>
      <c r="D1622" s="1" t="s">
        <v>4293</v>
      </c>
      <c r="E1622" s="1" t="s">
        <v>11917</v>
      </c>
      <c r="F1622" s="1" t="s">
        <v>16794</v>
      </c>
      <c r="G1622" s="3">
        <v>44985.0</v>
      </c>
      <c r="H1622" s="3">
        <v>45196.0</v>
      </c>
      <c r="I1622" s="3">
        <v>45196.0</v>
      </c>
      <c r="J1622" s="1" t="s">
        <v>215</v>
      </c>
      <c r="K1622" s="1" t="s">
        <v>160</v>
      </c>
      <c r="L1622" s="1" t="s">
        <v>216</v>
      </c>
      <c r="M1622" s="1" t="s">
        <v>131</v>
      </c>
      <c r="Q1622" s="1" t="s">
        <v>137</v>
      </c>
      <c r="R1622" s="1" t="s">
        <v>137</v>
      </c>
      <c r="S1622" s="1" t="s">
        <v>47</v>
      </c>
      <c r="T1622" s="1" t="s">
        <v>4301</v>
      </c>
      <c r="U1622" s="1" t="s">
        <v>1577</v>
      </c>
      <c r="V1622" s="1" t="s">
        <v>3858</v>
      </c>
      <c r="W1622" s="3">
        <v>45196.0</v>
      </c>
      <c r="X1622" s="3">
        <v>45196.0</v>
      </c>
    </row>
    <row r="1623">
      <c r="A1623" s="1" t="s">
        <v>16795</v>
      </c>
      <c r="B1623" s="1" t="s">
        <v>11913</v>
      </c>
      <c r="C1623" s="1" t="s">
        <v>11913</v>
      </c>
      <c r="D1623" s="1" t="s">
        <v>4293</v>
      </c>
      <c r="E1623" s="1" t="s">
        <v>11917</v>
      </c>
      <c r="F1623" s="1" t="s">
        <v>16796</v>
      </c>
      <c r="G1623" s="3">
        <v>44985.0</v>
      </c>
      <c r="H1623" s="3">
        <v>45196.0</v>
      </c>
      <c r="I1623" s="3">
        <v>45196.0</v>
      </c>
      <c r="J1623" s="1" t="s">
        <v>215</v>
      </c>
      <c r="K1623" s="1" t="s">
        <v>160</v>
      </c>
      <c r="L1623" s="1" t="s">
        <v>216</v>
      </c>
      <c r="M1623" s="1" t="s">
        <v>131</v>
      </c>
      <c r="Q1623" s="1" t="s">
        <v>137</v>
      </c>
      <c r="R1623" s="1" t="s">
        <v>137</v>
      </c>
      <c r="S1623" s="1" t="s">
        <v>47</v>
      </c>
      <c r="T1623" s="1" t="s">
        <v>4301</v>
      </c>
      <c r="U1623" s="1" t="s">
        <v>1577</v>
      </c>
      <c r="V1623" s="1" t="s">
        <v>3865</v>
      </c>
      <c r="W1623" s="3">
        <v>45196.0</v>
      </c>
      <c r="X1623" s="3">
        <v>45196.0</v>
      </c>
    </row>
    <row r="1624">
      <c r="A1624" s="1" t="s">
        <v>16797</v>
      </c>
      <c r="B1624" s="1" t="s">
        <v>11055</v>
      </c>
      <c r="C1624" s="1" t="s">
        <v>11055</v>
      </c>
      <c r="D1624" s="1" t="s">
        <v>4293</v>
      </c>
      <c r="E1624" s="1" t="s">
        <v>11927</v>
      </c>
      <c r="F1624" s="1" t="s">
        <v>16798</v>
      </c>
      <c r="G1624" s="3">
        <v>45070.0</v>
      </c>
      <c r="H1624" s="3">
        <v>45107.0</v>
      </c>
      <c r="I1624" s="3">
        <v>45107.0</v>
      </c>
      <c r="J1624" s="1" t="s">
        <v>215</v>
      </c>
      <c r="K1624" s="1" t="s">
        <v>160</v>
      </c>
      <c r="L1624" s="1" t="s">
        <v>216</v>
      </c>
      <c r="M1624" s="1" t="s">
        <v>131</v>
      </c>
      <c r="Q1624" s="1" t="s">
        <v>137</v>
      </c>
      <c r="R1624" s="1" t="s">
        <v>137</v>
      </c>
      <c r="S1624" s="1" t="s">
        <v>47</v>
      </c>
      <c r="T1624" s="1" t="s">
        <v>4301</v>
      </c>
      <c r="U1624" s="1" t="s">
        <v>1577</v>
      </c>
      <c r="V1624" s="1" t="s">
        <v>3858</v>
      </c>
      <c r="W1624" s="3">
        <v>45107.0</v>
      </c>
      <c r="X1624" s="3">
        <v>45107.0</v>
      </c>
    </row>
    <row r="1625">
      <c r="A1625" s="1" t="s">
        <v>16799</v>
      </c>
      <c r="B1625" s="1" t="s">
        <v>11055</v>
      </c>
      <c r="C1625" s="1" t="s">
        <v>11055</v>
      </c>
      <c r="D1625" s="1" t="s">
        <v>4293</v>
      </c>
      <c r="E1625" s="1" t="s">
        <v>11927</v>
      </c>
      <c r="F1625" s="1" t="s">
        <v>16800</v>
      </c>
      <c r="G1625" s="3">
        <v>45070.0</v>
      </c>
      <c r="H1625" s="3">
        <v>45107.0</v>
      </c>
      <c r="I1625" s="3">
        <v>45107.0</v>
      </c>
      <c r="J1625" s="1" t="s">
        <v>215</v>
      </c>
      <c r="K1625" s="1" t="s">
        <v>160</v>
      </c>
      <c r="L1625" s="1" t="s">
        <v>216</v>
      </c>
      <c r="M1625" s="1" t="s">
        <v>131</v>
      </c>
      <c r="Q1625" s="1" t="s">
        <v>137</v>
      </c>
      <c r="R1625" s="1" t="s">
        <v>137</v>
      </c>
      <c r="S1625" s="1" t="s">
        <v>47</v>
      </c>
      <c r="T1625" s="1" t="s">
        <v>4301</v>
      </c>
      <c r="U1625" s="1" t="s">
        <v>1577</v>
      </c>
      <c r="V1625" s="1" t="s">
        <v>7314</v>
      </c>
      <c r="W1625" s="3">
        <v>45107.0</v>
      </c>
      <c r="X1625" s="3">
        <v>45107.0</v>
      </c>
    </row>
    <row r="1626">
      <c r="A1626" s="1" t="s">
        <v>16801</v>
      </c>
      <c r="B1626" s="1" t="s">
        <v>11936</v>
      </c>
      <c r="C1626" s="1" t="s">
        <v>11936</v>
      </c>
      <c r="D1626" s="1" t="s">
        <v>4293</v>
      </c>
      <c r="E1626" s="1" t="s">
        <v>11938</v>
      </c>
      <c r="F1626" s="1" t="s">
        <v>16802</v>
      </c>
      <c r="G1626" s="3">
        <v>45300.0</v>
      </c>
      <c r="H1626" s="3">
        <v>45502.0</v>
      </c>
      <c r="I1626" s="3">
        <v>45502.0</v>
      </c>
      <c r="J1626" s="1" t="s">
        <v>215</v>
      </c>
      <c r="K1626" s="1" t="s">
        <v>160</v>
      </c>
      <c r="L1626" s="1" t="s">
        <v>216</v>
      </c>
      <c r="M1626" s="1" t="s">
        <v>131</v>
      </c>
      <c r="Q1626" s="1" t="s">
        <v>137</v>
      </c>
      <c r="R1626" s="1" t="s">
        <v>137</v>
      </c>
      <c r="S1626" s="1" t="s">
        <v>47</v>
      </c>
      <c r="T1626" s="1" t="s">
        <v>4301</v>
      </c>
      <c r="U1626" s="1" t="s">
        <v>1577</v>
      </c>
      <c r="V1626" s="1" t="s">
        <v>3858</v>
      </c>
      <c r="W1626" s="3">
        <v>45502.0</v>
      </c>
      <c r="X1626" s="3">
        <v>45502.0</v>
      </c>
    </row>
    <row r="1627">
      <c r="A1627" s="1" t="s">
        <v>16803</v>
      </c>
      <c r="B1627" s="1" t="s">
        <v>11936</v>
      </c>
      <c r="C1627" s="1" t="s">
        <v>11936</v>
      </c>
      <c r="D1627" s="1" t="s">
        <v>4293</v>
      </c>
      <c r="E1627" s="1" t="s">
        <v>11938</v>
      </c>
      <c r="F1627" s="1" t="s">
        <v>16804</v>
      </c>
      <c r="G1627" s="3">
        <v>45300.0</v>
      </c>
      <c r="H1627" s="3">
        <v>45502.0</v>
      </c>
      <c r="I1627" s="3">
        <v>45502.0</v>
      </c>
      <c r="J1627" s="1" t="s">
        <v>215</v>
      </c>
      <c r="K1627" s="1" t="s">
        <v>160</v>
      </c>
      <c r="L1627" s="1" t="s">
        <v>216</v>
      </c>
      <c r="M1627" s="1" t="s">
        <v>131</v>
      </c>
      <c r="Q1627" s="1" t="s">
        <v>137</v>
      </c>
      <c r="R1627" s="1" t="s">
        <v>137</v>
      </c>
      <c r="S1627" s="1" t="s">
        <v>47</v>
      </c>
      <c r="T1627" s="1" t="s">
        <v>4301</v>
      </c>
      <c r="U1627" s="1" t="s">
        <v>1577</v>
      </c>
      <c r="V1627" s="1" t="s">
        <v>4950</v>
      </c>
      <c r="W1627" s="3">
        <v>45502.0</v>
      </c>
      <c r="X1627" s="3">
        <v>45502.0</v>
      </c>
    </row>
    <row r="1628">
      <c r="A1628" s="1" t="s">
        <v>16805</v>
      </c>
      <c r="B1628" s="1" t="s">
        <v>8008</v>
      </c>
      <c r="C1628" s="1" t="s">
        <v>8008</v>
      </c>
      <c r="D1628" s="1" t="s">
        <v>4293</v>
      </c>
      <c r="E1628" s="1" t="s">
        <v>11948</v>
      </c>
      <c r="F1628" s="1" t="s">
        <v>16806</v>
      </c>
      <c r="G1628" s="3">
        <v>45181.0</v>
      </c>
      <c r="H1628" s="3">
        <v>45231.0</v>
      </c>
      <c r="I1628" s="3">
        <v>45231.0</v>
      </c>
      <c r="J1628" s="1" t="s">
        <v>215</v>
      </c>
      <c r="K1628" s="1" t="s">
        <v>160</v>
      </c>
      <c r="L1628" s="1" t="s">
        <v>216</v>
      </c>
      <c r="M1628" s="1" t="s">
        <v>131</v>
      </c>
      <c r="Q1628" s="1" t="s">
        <v>137</v>
      </c>
      <c r="R1628" s="1" t="s">
        <v>137</v>
      </c>
      <c r="S1628" s="1" t="s">
        <v>47</v>
      </c>
      <c r="T1628" s="1" t="s">
        <v>4301</v>
      </c>
      <c r="U1628" s="1" t="s">
        <v>1577</v>
      </c>
      <c r="V1628" s="1" t="s">
        <v>4679</v>
      </c>
      <c r="W1628" s="3">
        <v>45231.0</v>
      </c>
      <c r="X1628" s="3">
        <v>45231.0</v>
      </c>
    </row>
    <row r="1629">
      <c r="A1629" s="1" t="s">
        <v>16807</v>
      </c>
      <c r="B1629" s="1" t="s">
        <v>8008</v>
      </c>
      <c r="C1629" s="1" t="s">
        <v>8008</v>
      </c>
      <c r="D1629" s="1" t="s">
        <v>4293</v>
      </c>
      <c r="E1629" s="1" t="s">
        <v>11948</v>
      </c>
      <c r="F1629" s="1" t="s">
        <v>16808</v>
      </c>
      <c r="G1629" s="3">
        <v>45181.0</v>
      </c>
      <c r="H1629" s="3">
        <v>45231.0</v>
      </c>
      <c r="I1629" s="3">
        <v>45231.0</v>
      </c>
      <c r="J1629" s="1" t="s">
        <v>215</v>
      </c>
      <c r="K1629" s="1" t="s">
        <v>160</v>
      </c>
      <c r="L1629" s="1" t="s">
        <v>216</v>
      </c>
      <c r="M1629" s="1" t="s">
        <v>131</v>
      </c>
      <c r="Q1629" s="1" t="s">
        <v>137</v>
      </c>
      <c r="R1629" s="1" t="s">
        <v>137</v>
      </c>
      <c r="S1629" s="1" t="s">
        <v>47</v>
      </c>
      <c r="T1629" s="1" t="s">
        <v>4301</v>
      </c>
      <c r="U1629" s="1" t="s">
        <v>1577</v>
      </c>
      <c r="V1629" s="1" t="s">
        <v>4950</v>
      </c>
      <c r="W1629" s="3">
        <v>45231.0</v>
      </c>
      <c r="X1629" s="3">
        <v>45231.0</v>
      </c>
    </row>
    <row r="1630">
      <c r="A1630" s="1" t="s">
        <v>16809</v>
      </c>
      <c r="B1630" s="1" t="s">
        <v>8008</v>
      </c>
      <c r="C1630" s="1" t="s">
        <v>8008</v>
      </c>
      <c r="D1630" s="1" t="s">
        <v>4293</v>
      </c>
      <c r="E1630" s="1" t="s">
        <v>11948</v>
      </c>
      <c r="F1630" s="1" t="s">
        <v>16810</v>
      </c>
      <c r="G1630" s="3">
        <v>45181.0</v>
      </c>
      <c r="H1630" s="3">
        <v>45231.0</v>
      </c>
      <c r="I1630" s="3">
        <v>45231.0</v>
      </c>
      <c r="J1630" s="1" t="s">
        <v>215</v>
      </c>
      <c r="K1630" s="1" t="s">
        <v>160</v>
      </c>
      <c r="L1630" s="1" t="s">
        <v>216</v>
      </c>
      <c r="M1630" s="1" t="s">
        <v>131</v>
      </c>
      <c r="Q1630" s="1" t="s">
        <v>137</v>
      </c>
      <c r="R1630" s="1" t="s">
        <v>137</v>
      </c>
      <c r="S1630" s="1" t="s">
        <v>47</v>
      </c>
      <c r="T1630" s="1" t="s">
        <v>4301</v>
      </c>
      <c r="U1630" s="1" t="s">
        <v>1577</v>
      </c>
      <c r="V1630" s="1" t="s">
        <v>5104</v>
      </c>
      <c r="W1630" s="3">
        <v>45231.0</v>
      </c>
      <c r="X1630" s="3">
        <v>45231.0</v>
      </c>
    </row>
    <row r="1631">
      <c r="A1631" s="1" t="s">
        <v>16811</v>
      </c>
      <c r="B1631" s="1" t="s">
        <v>8008</v>
      </c>
      <c r="C1631" s="1" t="s">
        <v>8008</v>
      </c>
      <c r="D1631" s="1" t="s">
        <v>4293</v>
      </c>
      <c r="E1631" s="1" t="s">
        <v>11948</v>
      </c>
      <c r="F1631" s="1" t="s">
        <v>16812</v>
      </c>
      <c r="G1631" s="3">
        <v>45181.0</v>
      </c>
      <c r="H1631" s="3">
        <v>45231.0</v>
      </c>
      <c r="I1631" s="3">
        <v>45231.0</v>
      </c>
      <c r="J1631" s="1" t="s">
        <v>215</v>
      </c>
      <c r="K1631" s="1" t="s">
        <v>160</v>
      </c>
      <c r="L1631" s="1" t="s">
        <v>216</v>
      </c>
      <c r="M1631" s="1" t="s">
        <v>131</v>
      </c>
      <c r="Q1631" s="1" t="s">
        <v>137</v>
      </c>
      <c r="R1631" s="1" t="s">
        <v>137</v>
      </c>
      <c r="S1631" s="1" t="s">
        <v>47</v>
      </c>
      <c r="T1631" s="1" t="s">
        <v>4301</v>
      </c>
      <c r="U1631" s="1" t="s">
        <v>1577</v>
      </c>
      <c r="V1631" s="1" t="s">
        <v>5120</v>
      </c>
      <c r="W1631" s="3">
        <v>45231.0</v>
      </c>
      <c r="X1631" s="3">
        <v>45231.0</v>
      </c>
    </row>
    <row r="1632">
      <c r="A1632" s="1" t="s">
        <v>16813</v>
      </c>
      <c r="B1632" s="1" t="s">
        <v>7221</v>
      </c>
      <c r="C1632" s="1" t="s">
        <v>7221</v>
      </c>
      <c r="D1632" s="1" t="s">
        <v>4293</v>
      </c>
      <c r="E1632" s="1" t="s">
        <v>16814</v>
      </c>
      <c r="F1632" s="1" t="s">
        <v>16815</v>
      </c>
      <c r="G1632" s="3">
        <v>45945.0</v>
      </c>
      <c r="H1632" s="3"/>
      <c r="I1632" s="3"/>
      <c r="J1632" s="1" t="s">
        <v>124</v>
      </c>
      <c r="K1632" s="1" t="s">
        <v>160</v>
      </c>
      <c r="L1632" s="1" t="s">
        <v>253</v>
      </c>
      <c r="M1632" s="1" t="s">
        <v>131</v>
      </c>
      <c r="Q1632" s="1" t="s">
        <v>137</v>
      </c>
      <c r="R1632" s="1" t="s">
        <v>137</v>
      </c>
      <c r="S1632" s="1" t="s">
        <v>47</v>
      </c>
      <c r="T1632" s="1" t="s">
        <v>4301</v>
      </c>
      <c r="U1632" s="1" t="s">
        <v>1577</v>
      </c>
      <c r="V1632" s="1" t="s">
        <v>3858</v>
      </c>
      <c r="W1632" s="3"/>
      <c r="X1632" s="3"/>
    </row>
    <row r="1633">
      <c r="A1633" s="1" t="s">
        <v>16816</v>
      </c>
      <c r="B1633" s="1" t="s">
        <v>7221</v>
      </c>
      <c r="C1633" s="1" t="s">
        <v>7221</v>
      </c>
      <c r="D1633" s="1" t="s">
        <v>4293</v>
      </c>
      <c r="E1633" s="1" t="s">
        <v>16814</v>
      </c>
      <c r="F1633" s="1" t="s">
        <v>16817</v>
      </c>
      <c r="G1633" s="3">
        <v>45945.0</v>
      </c>
      <c r="H1633" s="3"/>
      <c r="I1633" s="3"/>
      <c r="J1633" s="1" t="s">
        <v>124</v>
      </c>
      <c r="K1633" s="1" t="s">
        <v>160</v>
      </c>
      <c r="L1633" s="1" t="s">
        <v>253</v>
      </c>
      <c r="M1633" s="1" t="s">
        <v>131</v>
      </c>
      <c r="Q1633" s="1" t="s">
        <v>137</v>
      </c>
      <c r="R1633" s="1" t="s">
        <v>137</v>
      </c>
      <c r="S1633" s="1" t="s">
        <v>47</v>
      </c>
      <c r="T1633" s="1" t="s">
        <v>4301</v>
      </c>
      <c r="U1633" s="1" t="s">
        <v>1577</v>
      </c>
      <c r="V1633" s="1" t="s">
        <v>4950</v>
      </c>
      <c r="W1633" s="3"/>
      <c r="X1633" s="3"/>
    </row>
    <row r="1634">
      <c r="A1634" s="1" t="s">
        <v>16818</v>
      </c>
      <c r="B1634" s="1" t="s">
        <v>11958</v>
      </c>
      <c r="C1634" s="1" t="s">
        <v>11958</v>
      </c>
      <c r="D1634" s="1" t="s">
        <v>4293</v>
      </c>
      <c r="E1634" s="1" t="s">
        <v>11963</v>
      </c>
      <c r="F1634" s="1" t="s">
        <v>16819</v>
      </c>
      <c r="G1634" s="3">
        <v>44105.0</v>
      </c>
      <c r="H1634" s="3">
        <v>44105.0</v>
      </c>
      <c r="I1634" s="3">
        <v>44105.0</v>
      </c>
      <c r="J1634" s="1" t="s">
        <v>215</v>
      </c>
      <c r="K1634" s="1" t="s">
        <v>160</v>
      </c>
      <c r="L1634" s="1" t="s">
        <v>216</v>
      </c>
      <c r="M1634" s="1" t="s">
        <v>131</v>
      </c>
      <c r="Q1634" s="1" t="s">
        <v>137</v>
      </c>
      <c r="R1634" s="1" t="s">
        <v>137</v>
      </c>
      <c r="S1634" s="1" t="s">
        <v>47</v>
      </c>
      <c r="T1634" s="1" t="s">
        <v>4301</v>
      </c>
      <c r="U1634" s="1" t="s">
        <v>1577</v>
      </c>
      <c r="V1634" s="1" t="s">
        <v>4950</v>
      </c>
      <c r="W1634" s="3">
        <v>44105.0</v>
      </c>
      <c r="X1634" s="3">
        <v>44105.0</v>
      </c>
    </row>
    <row r="1635">
      <c r="A1635" s="1" t="s">
        <v>16820</v>
      </c>
      <c r="B1635" s="1" t="s">
        <v>10357</v>
      </c>
      <c r="C1635" s="1" t="s">
        <v>10357</v>
      </c>
      <c r="D1635" s="1" t="s">
        <v>4293</v>
      </c>
      <c r="E1635" s="1" t="s">
        <v>11971</v>
      </c>
      <c r="F1635" s="1" t="s">
        <v>16821</v>
      </c>
      <c r="G1635" s="3">
        <v>45565.0</v>
      </c>
      <c r="H1635" s="3">
        <v>45645.0</v>
      </c>
      <c r="I1635" s="3">
        <v>45645.0</v>
      </c>
      <c r="J1635" s="1" t="s">
        <v>215</v>
      </c>
      <c r="K1635" s="1" t="s">
        <v>160</v>
      </c>
      <c r="L1635" s="1" t="s">
        <v>216</v>
      </c>
      <c r="M1635" s="1" t="s">
        <v>131</v>
      </c>
      <c r="Q1635" s="1" t="s">
        <v>137</v>
      </c>
      <c r="R1635" s="1" t="s">
        <v>137</v>
      </c>
      <c r="S1635" s="1" t="s">
        <v>47</v>
      </c>
      <c r="T1635" s="1" t="s">
        <v>4301</v>
      </c>
      <c r="U1635" s="1" t="s">
        <v>1577</v>
      </c>
      <c r="V1635" s="1" t="s">
        <v>3858</v>
      </c>
      <c r="W1635" s="3">
        <v>45645.0</v>
      </c>
      <c r="X1635" s="3">
        <v>45645.0</v>
      </c>
    </row>
    <row r="1636">
      <c r="A1636" s="1" t="s">
        <v>16822</v>
      </c>
      <c r="B1636" s="1" t="s">
        <v>10357</v>
      </c>
      <c r="C1636" s="1" t="s">
        <v>10357</v>
      </c>
      <c r="D1636" s="1" t="s">
        <v>4293</v>
      </c>
      <c r="E1636" s="1" t="s">
        <v>11971</v>
      </c>
      <c r="F1636" s="1" t="s">
        <v>16823</v>
      </c>
      <c r="G1636" s="3">
        <v>45565.0</v>
      </c>
      <c r="H1636" s="3">
        <v>45645.0</v>
      </c>
      <c r="I1636" s="3">
        <v>45645.0</v>
      </c>
      <c r="J1636" s="1" t="s">
        <v>215</v>
      </c>
      <c r="K1636" s="1" t="s">
        <v>160</v>
      </c>
      <c r="L1636" s="1" t="s">
        <v>216</v>
      </c>
      <c r="M1636" s="1" t="s">
        <v>131</v>
      </c>
      <c r="Q1636" s="1" t="s">
        <v>137</v>
      </c>
      <c r="R1636" s="1" t="s">
        <v>137</v>
      </c>
      <c r="S1636" s="1" t="s">
        <v>47</v>
      </c>
      <c r="T1636" s="1" t="s">
        <v>4301</v>
      </c>
      <c r="U1636" s="1" t="s">
        <v>1577</v>
      </c>
      <c r="V1636" s="1" t="s">
        <v>3963</v>
      </c>
      <c r="W1636" s="3">
        <v>45645.0</v>
      </c>
      <c r="X1636" s="3">
        <v>45645.0</v>
      </c>
    </row>
    <row r="1637">
      <c r="A1637" s="1" t="s">
        <v>16824</v>
      </c>
      <c r="B1637" s="1" t="s">
        <v>11981</v>
      </c>
      <c r="C1637" s="1" t="s">
        <v>11981</v>
      </c>
      <c r="D1637" s="1" t="s">
        <v>4293</v>
      </c>
      <c r="E1637" s="1" t="s">
        <v>9118</v>
      </c>
      <c r="F1637" s="1" t="s">
        <v>16825</v>
      </c>
      <c r="G1637" s="3">
        <v>44287.0</v>
      </c>
      <c r="H1637" s="3">
        <v>44287.0</v>
      </c>
      <c r="I1637" s="3">
        <v>44287.0</v>
      </c>
      <c r="J1637" s="1" t="s">
        <v>215</v>
      </c>
      <c r="K1637" s="1" t="s">
        <v>160</v>
      </c>
      <c r="L1637" s="1" t="s">
        <v>216</v>
      </c>
      <c r="M1637" s="1" t="s">
        <v>131</v>
      </c>
      <c r="Q1637" s="1" t="s">
        <v>137</v>
      </c>
      <c r="R1637" s="1" t="s">
        <v>137</v>
      </c>
      <c r="S1637" s="1" t="s">
        <v>47</v>
      </c>
      <c r="T1637" s="1" t="s">
        <v>4301</v>
      </c>
      <c r="U1637" s="1" t="s">
        <v>1577</v>
      </c>
      <c r="V1637" s="1" t="s">
        <v>4950</v>
      </c>
      <c r="W1637" s="3">
        <v>44287.0</v>
      </c>
      <c r="X1637" s="3">
        <v>44287.0</v>
      </c>
    </row>
    <row r="1638">
      <c r="A1638" s="1" t="s">
        <v>16826</v>
      </c>
      <c r="B1638" s="1" t="s">
        <v>11991</v>
      </c>
      <c r="C1638" s="1" t="s">
        <v>11991</v>
      </c>
      <c r="D1638" s="1" t="s">
        <v>4293</v>
      </c>
      <c r="E1638" s="1" t="s">
        <v>11994</v>
      </c>
      <c r="F1638" s="1" t="s">
        <v>16827</v>
      </c>
      <c r="G1638" s="3">
        <v>45887.0</v>
      </c>
      <c r="H1638" s="3">
        <v>46141.0</v>
      </c>
      <c r="I1638" s="3">
        <v>46141.0</v>
      </c>
      <c r="J1638" s="1" t="s">
        <v>215</v>
      </c>
      <c r="K1638" s="1" t="s">
        <v>160</v>
      </c>
      <c r="L1638" s="1" t="s">
        <v>216</v>
      </c>
      <c r="M1638" s="1" t="s">
        <v>131</v>
      </c>
      <c r="Q1638" s="1" t="s">
        <v>137</v>
      </c>
      <c r="R1638" s="1" t="s">
        <v>137</v>
      </c>
      <c r="S1638" s="1" t="s">
        <v>47</v>
      </c>
      <c r="T1638" s="1" t="s">
        <v>4301</v>
      </c>
      <c r="U1638" s="1" t="s">
        <v>1577</v>
      </c>
      <c r="V1638" s="1" t="s">
        <v>3858</v>
      </c>
      <c r="W1638" s="3">
        <v>46141.0</v>
      </c>
      <c r="X1638" s="3">
        <v>46141.0</v>
      </c>
    </row>
    <row r="1639">
      <c r="A1639" s="1" t="s">
        <v>16828</v>
      </c>
      <c r="B1639" s="1" t="s">
        <v>11991</v>
      </c>
      <c r="C1639" s="1" t="s">
        <v>11991</v>
      </c>
      <c r="D1639" s="1" t="s">
        <v>4293</v>
      </c>
      <c r="E1639" s="1" t="s">
        <v>11994</v>
      </c>
      <c r="F1639" s="1" t="s">
        <v>16829</v>
      </c>
      <c r="G1639" s="3">
        <v>45887.0</v>
      </c>
      <c r="H1639" s="3">
        <v>46141.0</v>
      </c>
      <c r="I1639" s="3">
        <v>46141.0</v>
      </c>
      <c r="J1639" s="1" t="s">
        <v>215</v>
      </c>
      <c r="K1639" s="1" t="s">
        <v>160</v>
      </c>
      <c r="L1639" s="1" t="s">
        <v>216</v>
      </c>
      <c r="M1639" s="1" t="s">
        <v>131</v>
      </c>
      <c r="Q1639" s="1" t="s">
        <v>137</v>
      </c>
      <c r="R1639" s="1" t="s">
        <v>137</v>
      </c>
      <c r="S1639" s="1" t="s">
        <v>47</v>
      </c>
      <c r="T1639" s="1" t="s">
        <v>4301</v>
      </c>
      <c r="U1639" s="1" t="s">
        <v>1577</v>
      </c>
      <c r="V1639" s="1" t="s">
        <v>4950</v>
      </c>
      <c r="W1639" s="3">
        <v>46141.0</v>
      </c>
      <c r="X1639" s="3">
        <v>46141.0</v>
      </c>
    </row>
    <row r="1640">
      <c r="A1640" s="1" t="s">
        <v>16830</v>
      </c>
      <c r="B1640" s="1" t="s">
        <v>8771</v>
      </c>
      <c r="C1640" s="1" t="s">
        <v>8771</v>
      </c>
      <c r="D1640" s="1" t="s">
        <v>4293</v>
      </c>
      <c r="E1640" s="1" t="s">
        <v>12001</v>
      </c>
      <c r="F1640" s="1" t="s">
        <v>16831</v>
      </c>
      <c r="G1640" s="3">
        <v>45300.0</v>
      </c>
      <c r="H1640" s="3">
        <v>45490.0</v>
      </c>
      <c r="I1640" s="3">
        <v>45490.0</v>
      </c>
      <c r="J1640" s="1" t="s">
        <v>215</v>
      </c>
      <c r="K1640" s="1" t="s">
        <v>160</v>
      </c>
      <c r="L1640" s="1" t="s">
        <v>216</v>
      </c>
      <c r="M1640" s="1" t="s">
        <v>131</v>
      </c>
      <c r="Q1640" s="1" t="s">
        <v>137</v>
      </c>
      <c r="R1640" s="1" t="s">
        <v>137</v>
      </c>
      <c r="S1640" s="1" t="s">
        <v>47</v>
      </c>
      <c r="T1640" s="1" t="s">
        <v>4301</v>
      </c>
      <c r="U1640" s="1" t="s">
        <v>1577</v>
      </c>
      <c r="V1640" s="1" t="s">
        <v>3858</v>
      </c>
      <c r="W1640" s="3">
        <v>45490.0</v>
      </c>
      <c r="X1640" s="3">
        <v>45490.0</v>
      </c>
    </row>
    <row r="1641">
      <c r="A1641" s="1" t="s">
        <v>16832</v>
      </c>
      <c r="B1641" s="1" t="s">
        <v>8771</v>
      </c>
      <c r="C1641" s="1" t="s">
        <v>8771</v>
      </c>
      <c r="D1641" s="1" t="s">
        <v>4293</v>
      </c>
      <c r="E1641" s="1" t="s">
        <v>12001</v>
      </c>
      <c r="F1641" s="1" t="s">
        <v>16833</v>
      </c>
      <c r="G1641" s="3">
        <v>45300.0</v>
      </c>
      <c r="H1641" s="3">
        <v>45490.0</v>
      </c>
      <c r="I1641" s="3">
        <v>45490.0</v>
      </c>
      <c r="J1641" s="1" t="s">
        <v>215</v>
      </c>
      <c r="K1641" s="1" t="s">
        <v>160</v>
      </c>
      <c r="L1641" s="1" t="s">
        <v>216</v>
      </c>
      <c r="M1641" s="1" t="s">
        <v>131</v>
      </c>
      <c r="Q1641" s="1" t="s">
        <v>137</v>
      </c>
      <c r="R1641" s="1" t="s">
        <v>137</v>
      </c>
      <c r="S1641" s="1" t="s">
        <v>47</v>
      </c>
      <c r="T1641" s="1" t="s">
        <v>4301</v>
      </c>
      <c r="U1641" s="1" t="s">
        <v>1577</v>
      </c>
      <c r="V1641" s="1" t="s">
        <v>4950</v>
      </c>
      <c r="W1641" s="3">
        <v>45490.0</v>
      </c>
      <c r="X1641" s="3">
        <v>45490.0</v>
      </c>
    </row>
    <row r="1642">
      <c r="A1642" s="1" t="s">
        <v>16834</v>
      </c>
      <c r="B1642" s="1" t="s">
        <v>7338</v>
      </c>
      <c r="C1642" s="1" t="s">
        <v>7338</v>
      </c>
      <c r="D1642" s="1" t="s">
        <v>4293</v>
      </c>
      <c r="E1642" s="1" t="s">
        <v>12012</v>
      </c>
      <c r="F1642" s="1" t="s">
        <v>16835</v>
      </c>
      <c r="G1642" s="3">
        <v>45541.0</v>
      </c>
      <c r="H1642" s="3">
        <v>45744.0</v>
      </c>
      <c r="I1642" s="3">
        <v>45744.0</v>
      </c>
      <c r="J1642" s="1" t="s">
        <v>215</v>
      </c>
      <c r="K1642" s="1" t="s">
        <v>160</v>
      </c>
      <c r="L1642" s="1" t="s">
        <v>216</v>
      </c>
      <c r="M1642" s="1" t="s">
        <v>131</v>
      </c>
      <c r="Q1642" s="1" t="s">
        <v>137</v>
      </c>
      <c r="R1642" s="1" t="s">
        <v>137</v>
      </c>
      <c r="S1642" s="1" t="s">
        <v>47</v>
      </c>
      <c r="T1642" s="1" t="s">
        <v>4301</v>
      </c>
      <c r="U1642" s="1" t="s">
        <v>1577</v>
      </c>
      <c r="V1642" s="1" t="s">
        <v>3858</v>
      </c>
      <c r="W1642" s="3">
        <v>45744.0</v>
      </c>
      <c r="X1642" s="3">
        <v>45744.0</v>
      </c>
    </row>
    <row r="1643">
      <c r="A1643" s="1" t="s">
        <v>16836</v>
      </c>
      <c r="B1643" s="1" t="s">
        <v>7338</v>
      </c>
      <c r="C1643" s="1" t="s">
        <v>7338</v>
      </c>
      <c r="D1643" s="1" t="s">
        <v>4293</v>
      </c>
      <c r="E1643" s="1" t="s">
        <v>12012</v>
      </c>
      <c r="F1643" s="1" t="s">
        <v>16837</v>
      </c>
      <c r="G1643" s="3">
        <v>45541.0</v>
      </c>
      <c r="H1643" s="3">
        <v>45744.0</v>
      </c>
      <c r="I1643" s="3">
        <v>45744.0</v>
      </c>
      <c r="J1643" s="1" t="s">
        <v>215</v>
      </c>
      <c r="K1643" s="1" t="s">
        <v>160</v>
      </c>
      <c r="L1643" s="1" t="s">
        <v>216</v>
      </c>
      <c r="M1643" s="1" t="s">
        <v>131</v>
      </c>
      <c r="Q1643" s="1" t="s">
        <v>137</v>
      </c>
      <c r="R1643" s="1" t="s">
        <v>137</v>
      </c>
      <c r="S1643" s="1" t="s">
        <v>47</v>
      </c>
      <c r="T1643" s="1" t="s">
        <v>4301</v>
      </c>
      <c r="U1643" s="1" t="s">
        <v>1577</v>
      </c>
      <c r="V1643" s="1" t="s">
        <v>4950</v>
      </c>
      <c r="W1643" s="3">
        <v>45744.0</v>
      </c>
      <c r="X1643" s="3">
        <v>45744.0</v>
      </c>
    </row>
    <row r="1644">
      <c r="A1644" s="1" t="s">
        <v>16838</v>
      </c>
      <c r="B1644" s="1" t="s">
        <v>14097</v>
      </c>
      <c r="C1644" s="1" t="s">
        <v>14097</v>
      </c>
      <c r="D1644" s="1" t="s">
        <v>4293</v>
      </c>
      <c r="E1644" s="1" t="s">
        <v>16839</v>
      </c>
      <c r="F1644" s="1" t="s">
        <v>16840</v>
      </c>
      <c r="G1644" s="3">
        <v>45775.0</v>
      </c>
      <c r="H1644" s="3"/>
      <c r="I1644" s="3"/>
      <c r="J1644" s="1" t="s">
        <v>124</v>
      </c>
      <c r="K1644" s="1" t="s">
        <v>160</v>
      </c>
      <c r="L1644" s="1" t="s">
        <v>253</v>
      </c>
      <c r="M1644" s="1" t="s">
        <v>131</v>
      </c>
      <c r="Q1644" s="1" t="s">
        <v>137</v>
      </c>
      <c r="R1644" s="1" t="s">
        <v>137</v>
      </c>
      <c r="S1644" s="1" t="s">
        <v>47</v>
      </c>
      <c r="T1644" s="1" t="s">
        <v>4301</v>
      </c>
      <c r="U1644" s="1" t="s">
        <v>1577</v>
      </c>
      <c r="V1644" s="1" t="s">
        <v>3858</v>
      </c>
      <c r="W1644" s="3"/>
      <c r="X1644" s="3"/>
    </row>
    <row r="1645">
      <c r="A1645" s="1" t="s">
        <v>16841</v>
      </c>
      <c r="B1645" s="1" t="s">
        <v>14097</v>
      </c>
      <c r="C1645" s="1" t="s">
        <v>14097</v>
      </c>
      <c r="D1645" s="1" t="s">
        <v>4293</v>
      </c>
      <c r="E1645" s="1" t="s">
        <v>16839</v>
      </c>
      <c r="F1645" s="1" t="s">
        <v>16842</v>
      </c>
      <c r="G1645" s="3">
        <v>45775.0</v>
      </c>
      <c r="H1645" s="3"/>
      <c r="I1645" s="3"/>
      <c r="J1645" s="1" t="s">
        <v>124</v>
      </c>
      <c r="K1645" s="1" t="s">
        <v>160</v>
      </c>
      <c r="L1645" s="1" t="s">
        <v>253</v>
      </c>
      <c r="M1645" s="1" t="s">
        <v>131</v>
      </c>
      <c r="Q1645" s="1" t="s">
        <v>137</v>
      </c>
      <c r="R1645" s="1" t="s">
        <v>137</v>
      </c>
      <c r="S1645" s="1" t="s">
        <v>47</v>
      </c>
      <c r="T1645" s="1" t="s">
        <v>4301</v>
      </c>
      <c r="U1645" s="1" t="s">
        <v>1577</v>
      </c>
      <c r="V1645" s="1" t="s">
        <v>4950</v>
      </c>
      <c r="W1645" s="3"/>
      <c r="X1645" s="3"/>
    </row>
    <row r="1646">
      <c r="A1646" s="1" t="s">
        <v>16843</v>
      </c>
      <c r="B1646" s="1" t="s">
        <v>12020</v>
      </c>
      <c r="C1646" s="1" t="s">
        <v>12020</v>
      </c>
      <c r="D1646" s="1" t="s">
        <v>4293</v>
      </c>
      <c r="E1646" s="1" t="s">
        <v>12023</v>
      </c>
      <c r="F1646" s="1" t="s">
        <v>16844</v>
      </c>
      <c r="G1646" s="3">
        <v>45483.0</v>
      </c>
      <c r="H1646" s="3">
        <v>46077.0</v>
      </c>
      <c r="I1646" s="3">
        <v>46077.0</v>
      </c>
      <c r="J1646" s="1" t="s">
        <v>215</v>
      </c>
      <c r="K1646" s="1" t="s">
        <v>160</v>
      </c>
      <c r="L1646" s="1" t="s">
        <v>216</v>
      </c>
      <c r="M1646" s="1" t="s">
        <v>131</v>
      </c>
      <c r="Q1646" s="1" t="s">
        <v>137</v>
      </c>
      <c r="R1646" s="1" t="s">
        <v>137</v>
      </c>
      <c r="S1646" s="1" t="s">
        <v>47</v>
      </c>
      <c r="T1646" s="1" t="s">
        <v>4301</v>
      </c>
      <c r="U1646" s="1" t="s">
        <v>1577</v>
      </c>
      <c r="V1646" s="1" t="s">
        <v>3858</v>
      </c>
      <c r="W1646" s="3">
        <v>46077.0</v>
      </c>
      <c r="X1646" s="3">
        <v>46077.0</v>
      </c>
    </row>
    <row r="1647">
      <c r="A1647" s="1" t="s">
        <v>16845</v>
      </c>
      <c r="B1647" s="1" t="s">
        <v>10830</v>
      </c>
      <c r="C1647" s="1" t="s">
        <v>10830</v>
      </c>
      <c r="D1647" s="1" t="s">
        <v>4293</v>
      </c>
      <c r="E1647" s="1" t="s">
        <v>12035</v>
      </c>
      <c r="F1647" s="1" t="s">
        <v>16846</v>
      </c>
      <c r="G1647" s="3">
        <v>43983.0</v>
      </c>
      <c r="H1647" s="3">
        <v>44104.0</v>
      </c>
      <c r="I1647" s="3">
        <v>44104.0</v>
      </c>
      <c r="J1647" s="1" t="s">
        <v>215</v>
      </c>
      <c r="K1647" s="1" t="s">
        <v>160</v>
      </c>
      <c r="L1647" s="1" t="s">
        <v>216</v>
      </c>
      <c r="M1647" s="1" t="s">
        <v>131</v>
      </c>
      <c r="Q1647" s="1" t="s">
        <v>137</v>
      </c>
      <c r="R1647" s="1" t="s">
        <v>137</v>
      </c>
      <c r="S1647" s="1" t="s">
        <v>47</v>
      </c>
      <c r="T1647" s="1" t="s">
        <v>4301</v>
      </c>
      <c r="U1647" s="1" t="s">
        <v>1577</v>
      </c>
      <c r="V1647" s="1" t="s">
        <v>3858</v>
      </c>
      <c r="W1647" s="3">
        <v>44104.0</v>
      </c>
      <c r="X1647" s="3">
        <v>44104.0</v>
      </c>
    </row>
    <row r="1648">
      <c r="A1648" s="1" t="s">
        <v>16847</v>
      </c>
      <c r="B1648" s="1" t="s">
        <v>12045</v>
      </c>
      <c r="C1648" s="1" t="s">
        <v>12045</v>
      </c>
      <c r="D1648" s="1" t="s">
        <v>4293</v>
      </c>
      <c r="E1648" s="1" t="s">
        <v>12047</v>
      </c>
      <c r="F1648" s="1" t="s">
        <v>16848</v>
      </c>
      <c r="G1648" s="3">
        <v>45260.0</v>
      </c>
      <c r="H1648" s="3">
        <v>45614.0</v>
      </c>
      <c r="I1648" s="3">
        <v>45614.0</v>
      </c>
      <c r="J1648" s="1" t="s">
        <v>215</v>
      </c>
      <c r="K1648" s="1" t="s">
        <v>160</v>
      </c>
      <c r="L1648" s="1" t="s">
        <v>216</v>
      </c>
      <c r="M1648" s="1" t="s">
        <v>131</v>
      </c>
      <c r="Q1648" s="1" t="s">
        <v>137</v>
      </c>
      <c r="R1648" s="1" t="s">
        <v>137</v>
      </c>
      <c r="S1648" s="1" t="s">
        <v>47</v>
      </c>
      <c r="T1648" s="1" t="s">
        <v>4301</v>
      </c>
      <c r="U1648" s="1" t="s">
        <v>1577</v>
      </c>
      <c r="V1648" s="1" t="s">
        <v>3858</v>
      </c>
      <c r="W1648" s="3">
        <v>45614.0</v>
      </c>
      <c r="X1648" s="3">
        <v>45614.0</v>
      </c>
    </row>
    <row r="1649">
      <c r="A1649" s="1" t="s">
        <v>16849</v>
      </c>
      <c r="B1649" s="1" t="s">
        <v>12045</v>
      </c>
      <c r="C1649" s="1" t="s">
        <v>12045</v>
      </c>
      <c r="D1649" s="1" t="s">
        <v>4293</v>
      </c>
      <c r="E1649" s="1" t="s">
        <v>12047</v>
      </c>
      <c r="F1649" s="1" t="s">
        <v>16850</v>
      </c>
      <c r="G1649" s="3">
        <v>45260.0</v>
      </c>
      <c r="H1649" s="3">
        <v>45614.0</v>
      </c>
      <c r="I1649" s="3">
        <v>45614.0</v>
      </c>
      <c r="J1649" s="1" t="s">
        <v>215</v>
      </c>
      <c r="K1649" s="1" t="s">
        <v>160</v>
      </c>
      <c r="L1649" s="1" t="s">
        <v>216</v>
      </c>
      <c r="M1649" s="1" t="s">
        <v>131</v>
      </c>
      <c r="Q1649" s="1" t="s">
        <v>137</v>
      </c>
      <c r="R1649" s="1" t="s">
        <v>137</v>
      </c>
      <c r="S1649" s="1" t="s">
        <v>47</v>
      </c>
      <c r="T1649" s="1" t="s">
        <v>4301</v>
      </c>
      <c r="U1649" s="1" t="s">
        <v>1577</v>
      </c>
      <c r="V1649" s="1" t="s">
        <v>4950</v>
      </c>
      <c r="W1649" s="3">
        <v>45614.0</v>
      </c>
      <c r="X1649" s="3">
        <v>45614.0</v>
      </c>
    </row>
    <row r="1650">
      <c r="A1650" s="1" t="s">
        <v>16851</v>
      </c>
      <c r="B1650" s="1" t="s">
        <v>5759</v>
      </c>
      <c r="C1650" s="1" t="s">
        <v>5759</v>
      </c>
      <c r="D1650" s="1" t="s">
        <v>4293</v>
      </c>
      <c r="E1650" s="1" t="s">
        <v>16852</v>
      </c>
      <c r="F1650" s="1" t="s">
        <v>16853</v>
      </c>
      <c r="G1650" s="3">
        <v>45859.0</v>
      </c>
      <c r="H1650" s="3"/>
      <c r="I1650" s="3"/>
      <c r="J1650" s="1" t="s">
        <v>124</v>
      </c>
      <c r="K1650" s="1" t="s">
        <v>160</v>
      </c>
      <c r="L1650" s="1" t="s">
        <v>253</v>
      </c>
      <c r="M1650" s="1" t="s">
        <v>131</v>
      </c>
      <c r="Q1650" s="1" t="s">
        <v>137</v>
      </c>
      <c r="R1650" s="1" t="s">
        <v>137</v>
      </c>
      <c r="S1650" s="1" t="s">
        <v>47</v>
      </c>
      <c r="T1650" s="1" t="s">
        <v>4301</v>
      </c>
      <c r="U1650" s="1" t="s">
        <v>1577</v>
      </c>
      <c r="V1650" s="1" t="s">
        <v>3858</v>
      </c>
      <c r="W1650" s="3"/>
      <c r="X1650" s="3"/>
    </row>
    <row r="1651">
      <c r="A1651" s="1" t="s">
        <v>16854</v>
      </c>
      <c r="B1651" s="1" t="s">
        <v>5759</v>
      </c>
      <c r="C1651" s="1" t="s">
        <v>5759</v>
      </c>
      <c r="D1651" s="1" t="s">
        <v>4293</v>
      </c>
      <c r="E1651" s="1" t="s">
        <v>16852</v>
      </c>
      <c r="F1651" s="1" t="s">
        <v>16855</v>
      </c>
      <c r="G1651" s="3">
        <v>45859.0</v>
      </c>
      <c r="H1651" s="3"/>
      <c r="I1651" s="3"/>
      <c r="J1651" s="1" t="s">
        <v>124</v>
      </c>
      <c r="K1651" s="1" t="s">
        <v>160</v>
      </c>
      <c r="L1651" s="1" t="s">
        <v>253</v>
      </c>
      <c r="M1651" s="1" t="s">
        <v>131</v>
      </c>
      <c r="Q1651" s="1" t="s">
        <v>137</v>
      </c>
      <c r="R1651" s="1" t="s">
        <v>137</v>
      </c>
      <c r="S1651" s="1" t="s">
        <v>47</v>
      </c>
      <c r="T1651" s="1" t="s">
        <v>4301</v>
      </c>
      <c r="U1651" s="1" t="s">
        <v>1577</v>
      </c>
      <c r="V1651" s="1" t="s">
        <v>3963</v>
      </c>
      <c r="W1651" s="3"/>
      <c r="X1651" s="3"/>
    </row>
    <row r="1652">
      <c r="A1652" s="1" t="s">
        <v>16856</v>
      </c>
      <c r="B1652" s="1" t="s">
        <v>5759</v>
      </c>
      <c r="C1652" s="1" t="s">
        <v>5759</v>
      </c>
      <c r="D1652" s="1" t="s">
        <v>4293</v>
      </c>
      <c r="E1652" s="1" t="s">
        <v>16852</v>
      </c>
      <c r="F1652" s="1" t="s">
        <v>16857</v>
      </c>
      <c r="G1652" s="3">
        <v>45859.0</v>
      </c>
      <c r="H1652" s="3"/>
      <c r="I1652" s="3"/>
      <c r="J1652" s="1" t="s">
        <v>124</v>
      </c>
      <c r="K1652" s="1" t="s">
        <v>160</v>
      </c>
      <c r="L1652" s="1" t="s">
        <v>253</v>
      </c>
      <c r="M1652" s="1" t="s">
        <v>131</v>
      </c>
      <c r="Q1652" s="1" t="s">
        <v>137</v>
      </c>
      <c r="R1652" s="1" t="s">
        <v>137</v>
      </c>
      <c r="S1652" s="1" t="s">
        <v>47</v>
      </c>
      <c r="T1652" s="1" t="s">
        <v>4301</v>
      </c>
      <c r="U1652" s="1" t="s">
        <v>1577</v>
      </c>
      <c r="V1652" s="1" t="s">
        <v>3865</v>
      </c>
      <c r="W1652" s="3"/>
      <c r="X1652" s="3"/>
    </row>
    <row r="1653">
      <c r="A1653" s="1" t="s">
        <v>16858</v>
      </c>
      <c r="B1653" s="1" t="s">
        <v>5759</v>
      </c>
      <c r="C1653" s="1" t="s">
        <v>5759</v>
      </c>
      <c r="D1653" s="1" t="s">
        <v>4293</v>
      </c>
      <c r="E1653" s="1" t="s">
        <v>16852</v>
      </c>
      <c r="F1653" s="1" t="s">
        <v>16859</v>
      </c>
      <c r="G1653" s="3">
        <v>45859.0</v>
      </c>
      <c r="H1653" s="3"/>
      <c r="I1653" s="3"/>
      <c r="J1653" s="1" t="s">
        <v>124</v>
      </c>
      <c r="K1653" s="1" t="s">
        <v>160</v>
      </c>
      <c r="L1653" s="1" t="s">
        <v>253</v>
      </c>
      <c r="M1653" s="1" t="s">
        <v>131</v>
      </c>
      <c r="Q1653" s="1" t="s">
        <v>137</v>
      </c>
      <c r="R1653" s="1" t="s">
        <v>137</v>
      </c>
      <c r="S1653" s="1" t="s">
        <v>47</v>
      </c>
      <c r="T1653" s="1" t="s">
        <v>4301</v>
      </c>
      <c r="U1653" s="1" t="s">
        <v>1577</v>
      </c>
      <c r="V1653" s="1" t="s">
        <v>4950</v>
      </c>
      <c r="W1653" s="3"/>
      <c r="X1653" s="3"/>
    </row>
    <row r="1654">
      <c r="A1654" s="1" t="s">
        <v>16860</v>
      </c>
      <c r="B1654" s="1" t="s">
        <v>8449</v>
      </c>
      <c r="C1654" s="1" t="s">
        <v>8449</v>
      </c>
      <c r="D1654" s="1" t="s">
        <v>4293</v>
      </c>
      <c r="E1654" s="1" t="s">
        <v>12057</v>
      </c>
      <c r="F1654" s="1" t="s">
        <v>16861</v>
      </c>
      <c r="G1654" s="3">
        <v>45379.0</v>
      </c>
      <c r="H1654" s="3">
        <v>45681.0</v>
      </c>
      <c r="I1654" s="3">
        <v>45681.0</v>
      </c>
      <c r="J1654" s="1" t="s">
        <v>215</v>
      </c>
      <c r="K1654" s="1" t="s">
        <v>160</v>
      </c>
      <c r="L1654" s="1" t="s">
        <v>216</v>
      </c>
      <c r="M1654" s="1" t="s">
        <v>131</v>
      </c>
      <c r="Q1654" s="1" t="s">
        <v>137</v>
      </c>
      <c r="R1654" s="1" t="s">
        <v>137</v>
      </c>
      <c r="S1654" s="1" t="s">
        <v>47</v>
      </c>
      <c r="T1654" s="1" t="s">
        <v>4301</v>
      </c>
      <c r="U1654" s="1" t="s">
        <v>1577</v>
      </c>
      <c r="V1654" s="1" t="s">
        <v>3858</v>
      </c>
      <c r="W1654" s="3">
        <v>45681.0</v>
      </c>
      <c r="X1654" s="3">
        <v>45681.0</v>
      </c>
    </row>
    <row r="1655">
      <c r="A1655" s="1" t="s">
        <v>16862</v>
      </c>
      <c r="B1655" s="1" t="s">
        <v>8449</v>
      </c>
      <c r="C1655" s="1" t="s">
        <v>8449</v>
      </c>
      <c r="D1655" s="1" t="s">
        <v>4293</v>
      </c>
      <c r="E1655" s="1" t="s">
        <v>12057</v>
      </c>
      <c r="F1655" s="1" t="s">
        <v>16863</v>
      </c>
      <c r="G1655" s="3">
        <v>45379.0</v>
      </c>
      <c r="H1655" s="3">
        <v>45681.0</v>
      </c>
      <c r="I1655" s="3">
        <v>45681.0</v>
      </c>
      <c r="J1655" s="1" t="s">
        <v>215</v>
      </c>
      <c r="K1655" s="1" t="s">
        <v>160</v>
      </c>
      <c r="L1655" s="1" t="s">
        <v>216</v>
      </c>
      <c r="M1655" s="1" t="s">
        <v>131</v>
      </c>
      <c r="Q1655" s="1" t="s">
        <v>137</v>
      </c>
      <c r="R1655" s="1" t="s">
        <v>137</v>
      </c>
      <c r="S1655" s="1" t="s">
        <v>47</v>
      </c>
      <c r="T1655" s="1" t="s">
        <v>4301</v>
      </c>
      <c r="U1655" s="1" t="s">
        <v>1577</v>
      </c>
      <c r="V1655" s="1" t="s">
        <v>4950</v>
      </c>
      <c r="W1655" s="3">
        <v>45681.0</v>
      </c>
      <c r="X1655" s="3">
        <v>45681.0</v>
      </c>
    </row>
    <row r="1656">
      <c r="A1656" s="1" t="s">
        <v>16864</v>
      </c>
      <c r="B1656" s="1" t="s">
        <v>9039</v>
      </c>
      <c r="C1656" s="1" t="s">
        <v>9039</v>
      </c>
      <c r="D1656" s="1" t="s">
        <v>4293</v>
      </c>
      <c r="E1656" s="1" t="s">
        <v>12068</v>
      </c>
      <c r="F1656" s="1" t="s">
        <v>16865</v>
      </c>
      <c r="G1656" s="3">
        <v>45390.0</v>
      </c>
      <c r="H1656" s="3">
        <v>45624.0</v>
      </c>
      <c r="I1656" s="3">
        <v>45624.0</v>
      </c>
      <c r="J1656" s="1" t="s">
        <v>215</v>
      </c>
      <c r="K1656" s="1" t="s">
        <v>160</v>
      </c>
      <c r="L1656" s="1" t="s">
        <v>216</v>
      </c>
      <c r="M1656" s="1" t="s">
        <v>131</v>
      </c>
      <c r="Q1656" s="1" t="s">
        <v>137</v>
      </c>
      <c r="R1656" s="1" t="s">
        <v>137</v>
      </c>
      <c r="S1656" s="1" t="s">
        <v>47</v>
      </c>
      <c r="T1656" s="1" t="s">
        <v>4301</v>
      </c>
      <c r="U1656" s="1" t="s">
        <v>1577</v>
      </c>
      <c r="V1656" s="1" t="s">
        <v>3858</v>
      </c>
      <c r="W1656" s="3">
        <v>45624.0</v>
      </c>
      <c r="X1656" s="3">
        <v>45624.0</v>
      </c>
    </row>
    <row r="1657">
      <c r="A1657" s="1" t="s">
        <v>16866</v>
      </c>
      <c r="B1657" s="1" t="s">
        <v>9039</v>
      </c>
      <c r="C1657" s="1" t="s">
        <v>9039</v>
      </c>
      <c r="D1657" s="1" t="s">
        <v>4293</v>
      </c>
      <c r="E1657" s="1" t="s">
        <v>12068</v>
      </c>
      <c r="F1657" s="1" t="s">
        <v>16867</v>
      </c>
      <c r="G1657" s="3">
        <v>45390.0</v>
      </c>
      <c r="H1657" s="3">
        <v>45624.0</v>
      </c>
      <c r="I1657" s="3">
        <v>45624.0</v>
      </c>
      <c r="J1657" s="1" t="s">
        <v>215</v>
      </c>
      <c r="K1657" s="1" t="s">
        <v>160</v>
      </c>
      <c r="L1657" s="1" t="s">
        <v>216</v>
      </c>
      <c r="M1657" s="1" t="s">
        <v>131</v>
      </c>
      <c r="Q1657" s="1" t="s">
        <v>137</v>
      </c>
      <c r="R1657" s="1" t="s">
        <v>137</v>
      </c>
      <c r="S1657" s="1" t="s">
        <v>47</v>
      </c>
      <c r="T1657" s="1" t="s">
        <v>4301</v>
      </c>
      <c r="U1657" s="1" t="s">
        <v>1577</v>
      </c>
      <c r="V1657" s="1" t="s">
        <v>4950</v>
      </c>
      <c r="W1657" s="3">
        <v>45624.0</v>
      </c>
      <c r="X1657" s="3">
        <v>45624.0</v>
      </c>
    </row>
    <row r="1658">
      <c r="A1658" s="1" t="s">
        <v>16868</v>
      </c>
      <c r="B1658" s="1" t="s">
        <v>9774</v>
      </c>
      <c r="C1658" s="1" t="s">
        <v>9774</v>
      </c>
      <c r="D1658" s="1" t="s">
        <v>4293</v>
      </c>
      <c r="E1658" s="1" t="s">
        <v>12079</v>
      </c>
      <c r="F1658" s="1" t="s">
        <v>16869</v>
      </c>
      <c r="G1658" s="3">
        <v>45564.0</v>
      </c>
      <c r="H1658" s="3">
        <v>45855.0</v>
      </c>
      <c r="I1658" s="3">
        <v>45855.0</v>
      </c>
      <c r="J1658" s="1" t="s">
        <v>215</v>
      </c>
      <c r="K1658" s="1" t="s">
        <v>160</v>
      </c>
      <c r="L1658" s="1" t="s">
        <v>216</v>
      </c>
      <c r="M1658" s="1" t="s">
        <v>131</v>
      </c>
      <c r="Q1658" s="1" t="s">
        <v>137</v>
      </c>
      <c r="R1658" s="1" t="s">
        <v>137</v>
      </c>
      <c r="S1658" s="1" t="s">
        <v>47</v>
      </c>
      <c r="T1658" s="1" t="s">
        <v>4301</v>
      </c>
      <c r="U1658" s="1" t="s">
        <v>1577</v>
      </c>
      <c r="V1658" s="1" t="s">
        <v>3858</v>
      </c>
      <c r="W1658" s="3">
        <v>45855.0</v>
      </c>
      <c r="X1658" s="3">
        <v>45855.0</v>
      </c>
    </row>
    <row r="1659">
      <c r="A1659" s="1" t="s">
        <v>16870</v>
      </c>
      <c r="B1659" s="1" t="s">
        <v>9774</v>
      </c>
      <c r="C1659" s="1" t="s">
        <v>9774</v>
      </c>
      <c r="D1659" s="1" t="s">
        <v>4293</v>
      </c>
      <c r="E1659" s="1" t="s">
        <v>12079</v>
      </c>
      <c r="F1659" s="1" t="s">
        <v>16871</v>
      </c>
      <c r="G1659" s="3">
        <v>45564.0</v>
      </c>
      <c r="H1659" s="3">
        <v>45855.0</v>
      </c>
      <c r="I1659" s="3">
        <v>45855.0</v>
      </c>
      <c r="J1659" s="1" t="s">
        <v>215</v>
      </c>
      <c r="K1659" s="1" t="s">
        <v>160</v>
      </c>
      <c r="L1659" s="1" t="s">
        <v>216</v>
      </c>
      <c r="M1659" s="1" t="s">
        <v>131</v>
      </c>
      <c r="Q1659" s="1" t="s">
        <v>137</v>
      </c>
      <c r="R1659" s="1" t="s">
        <v>137</v>
      </c>
      <c r="S1659" s="1" t="s">
        <v>47</v>
      </c>
      <c r="T1659" s="1" t="s">
        <v>4301</v>
      </c>
      <c r="U1659" s="1" t="s">
        <v>1577</v>
      </c>
      <c r="V1659" s="1" t="s">
        <v>4950</v>
      </c>
      <c r="W1659" s="3">
        <v>45855.0</v>
      </c>
      <c r="X1659" s="3">
        <v>45855.0</v>
      </c>
    </row>
    <row r="1660">
      <c r="A1660" s="1" t="s">
        <v>16872</v>
      </c>
      <c r="B1660" s="1" t="s">
        <v>12086</v>
      </c>
      <c r="C1660" s="1" t="s">
        <v>12086</v>
      </c>
      <c r="D1660" s="1" t="s">
        <v>4293</v>
      </c>
      <c r="E1660" s="1" t="s">
        <v>12088</v>
      </c>
      <c r="F1660" s="1" t="s">
        <v>16873</v>
      </c>
      <c r="G1660" s="3">
        <v>44741.0</v>
      </c>
      <c r="H1660" s="3">
        <v>44909.0</v>
      </c>
      <c r="I1660" s="3">
        <v>44909.0</v>
      </c>
      <c r="J1660" s="1" t="s">
        <v>215</v>
      </c>
      <c r="K1660" s="1" t="s">
        <v>160</v>
      </c>
      <c r="L1660" s="1" t="s">
        <v>216</v>
      </c>
      <c r="M1660" s="1" t="s">
        <v>131</v>
      </c>
      <c r="Q1660" s="1" t="s">
        <v>137</v>
      </c>
      <c r="R1660" s="1" t="s">
        <v>137</v>
      </c>
      <c r="S1660" s="1" t="s">
        <v>47</v>
      </c>
      <c r="T1660" s="1" t="s">
        <v>4301</v>
      </c>
      <c r="U1660" s="1" t="s">
        <v>1577</v>
      </c>
      <c r="V1660" s="1" t="s">
        <v>4679</v>
      </c>
      <c r="W1660" s="3">
        <v>44909.0</v>
      </c>
      <c r="X1660" s="3">
        <v>44909.0</v>
      </c>
    </row>
    <row r="1661">
      <c r="A1661" s="1" t="s">
        <v>16874</v>
      </c>
      <c r="B1661" s="1" t="s">
        <v>12086</v>
      </c>
      <c r="C1661" s="1" t="s">
        <v>12086</v>
      </c>
      <c r="D1661" s="1" t="s">
        <v>4293</v>
      </c>
      <c r="E1661" s="1" t="s">
        <v>12088</v>
      </c>
      <c r="F1661" s="1" t="s">
        <v>16875</v>
      </c>
      <c r="G1661" s="3">
        <v>44741.0</v>
      </c>
      <c r="H1661" s="3">
        <v>44909.0</v>
      </c>
      <c r="I1661" s="3">
        <v>44909.0</v>
      </c>
      <c r="J1661" s="1" t="s">
        <v>215</v>
      </c>
      <c r="K1661" s="1" t="s">
        <v>160</v>
      </c>
      <c r="L1661" s="1" t="s">
        <v>216</v>
      </c>
      <c r="M1661" s="1" t="s">
        <v>131</v>
      </c>
      <c r="Q1661" s="1" t="s">
        <v>137</v>
      </c>
      <c r="R1661" s="1" t="s">
        <v>137</v>
      </c>
      <c r="S1661" s="1" t="s">
        <v>47</v>
      </c>
      <c r="T1661" s="1" t="s">
        <v>4301</v>
      </c>
      <c r="U1661" s="1" t="s">
        <v>1577</v>
      </c>
      <c r="V1661" s="1" t="s">
        <v>4950</v>
      </c>
      <c r="W1661" s="3">
        <v>44909.0</v>
      </c>
      <c r="X1661" s="3">
        <v>44909.0</v>
      </c>
    </row>
    <row r="1662">
      <c r="A1662" s="1" t="s">
        <v>16876</v>
      </c>
      <c r="B1662" s="1" t="s">
        <v>12086</v>
      </c>
      <c r="C1662" s="1" t="s">
        <v>12086</v>
      </c>
      <c r="D1662" s="1" t="s">
        <v>4293</v>
      </c>
      <c r="E1662" s="1" t="s">
        <v>12088</v>
      </c>
      <c r="F1662" s="1" t="s">
        <v>16877</v>
      </c>
      <c r="G1662" s="3">
        <v>44741.0</v>
      </c>
      <c r="H1662" s="3">
        <v>44909.0</v>
      </c>
      <c r="I1662" s="3">
        <v>44909.0</v>
      </c>
      <c r="J1662" s="1" t="s">
        <v>215</v>
      </c>
      <c r="K1662" s="1" t="s">
        <v>160</v>
      </c>
      <c r="L1662" s="1" t="s">
        <v>216</v>
      </c>
      <c r="M1662" s="1" t="s">
        <v>131</v>
      </c>
      <c r="Q1662" s="1" t="s">
        <v>137</v>
      </c>
      <c r="R1662" s="1" t="s">
        <v>137</v>
      </c>
      <c r="S1662" s="1" t="s">
        <v>47</v>
      </c>
      <c r="T1662" s="1" t="s">
        <v>4301</v>
      </c>
      <c r="U1662" s="1" t="s">
        <v>1577</v>
      </c>
      <c r="V1662" s="1" t="s">
        <v>5104</v>
      </c>
      <c r="W1662" s="3">
        <v>44909.0</v>
      </c>
      <c r="X1662" s="3">
        <v>44909.0</v>
      </c>
    </row>
    <row r="1663">
      <c r="A1663" s="1" t="s">
        <v>16878</v>
      </c>
      <c r="B1663" s="1" t="s">
        <v>12086</v>
      </c>
      <c r="C1663" s="1" t="s">
        <v>12086</v>
      </c>
      <c r="D1663" s="1" t="s">
        <v>4293</v>
      </c>
      <c r="E1663" s="1" t="s">
        <v>12088</v>
      </c>
      <c r="F1663" s="1" t="s">
        <v>16879</v>
      </c>
      <c r="G1663" s="3">
        <v>44741.0</v>
      </c>
      <c r="H1663" s="3">
        <v>44909.0</v>
      </c>
      <c r="I1663" s="3">
        <v>44909.0</v>
      </c>
      <c r="J1663" s="1" t="s">
        <v>215</v>
      </c>
      <c r="K1663" s="1" t="s">
        <v>160</v>
      </c>
      <c r="L1663" s="1" t="s">
        <v>216</v>
      </c>
      <c r="M1663" s="1" t="s">
        <v>131</v>
      </c>
      <c r="Q1663" s="1" t="s">
        <v>137</v>
      </c>
      <c r="R1663" s="1" t="s">
        <v>137</v>
      </c>
      <c r="S1663" s="1" t="s">
        <v>47</v>
      </c>
      <c r="T1663" s="1" t="s">
        <v>4301</v>
      </c>
      <c r="U1663" s="1" t="s">
        <v>1577</v>
      </c>
      <c r="V1663" s="1" t="s">
        <v>5120</v>
      </c>
      <c r="W1663" s="3">
        <v>44909.0</v>
      </c>
      <c r="X1663" s="3">
        <v>44909.0</v>
      </c>
    </row>
    <row r="1664">
      <c r="A1664" s="1" t="s">
        <v>16880</v>
      </c>
      <c r="B1664" s="1" t="s">
        <v>6036</v>
      </c>
      <c r="C1664" s="1" t="s">
        <v>6036</v>
      </c>
      <c r="D1664" s="1" t="s">
        <v>4293</v>
      </c>
      <c r="E1664" s="1" t="s">
        <v>16881</v>
      </c>
      <c r="F1664" s="1" t="s">
        <v>16882</v>
      </c>
      <c r="G1664" s="3">
        <v>44524.0</v>
      </c>
      <c r="H1664" s="3"/>
      <c r="I1664" s="3"/>
      <c r="J1664" s="1" t="s">
        <v>124</v>
      </c>
      <c r="K1664" s="1" t="s">
        <v>160</v>
      </c>
      <c r="L1664" s="1" t="s">
        <v>253</v>
      </c>
      <c r="M1664" s="1" t="s">
        <v>131</v>
      </c>
      <c r="Q1664" s="1" t="s">
        <v>137</v>
      </c>
      <c r="R1664" s="1" t="s">
        <v>137</v>
      </c>
      <c r="S1664" s="1" t="s">
        <v>47</v>
      </c>
      <c r="T1664" s="1" t="s">
        <v>4301</v>
      </c>
      <c r="U1664" s="1" t="s">
        <v>1577</v>
      </c>
      <c r="V1664" s="1" t="s">
        <v>4679</v>
      </c>
      <c r="W1664" s="3"/>
      <c r="X1664" s="3"/>
    </row>
    <row r="1665">
      <c r="A1665" s="1" t="s">
        <v>16883</v>
      </c>
      <c r="B1665" s="1" t="s">
        <v>6036</v>
      </c>
      <c r="C1665" s="1" t="s">
        <v>6036</v>
      </c>
      <c r="D1665" s="1" t="s">
        <v>4293</v>
      </c>
      <c r="E1665" s="1" t="s">
        <v>16881</v>
      </c>
      <c r="F1665" s="1" t="s">
        <v>16884</v>
      </c>
      <c r="G1665" s="3">
        <v>44524.0</v>
      </c>
      <c r="H1665" s="3"/>
      <c r="I1665" s="3"/>
      <c r="J1665" s="1" t="s">
        <v>124</v>
      </c>
      <c r="K1665" s="1" t="s">
        <v>160</v>
      </c>
      <c r="L1665" s="1" t="s">
        <v>253</v>
      </c>
      <c r="M1665" s="1" t="s">
        <v>131</v>
      </c>
      <c r="Q1665" s="1" t="s">
        <v>137</v>
      </c>
      <c r="R1665" s="1" t="s">
        <v>137</v>
      </c>
      <c r="S1665" s="1" t="s">
        <v>47</v>
      </c>
      <c r="T1665" s="1" t="s">
        <v>4301</v>
      </c>
      <c r="U1665" s="1" t="s">
        <v>1577</v>
      </c>
      <c r="V1665" s="1" t="s">
        <v>4950</v>
      </c>
      <c r="W1665" s="3"/>
      <c r="X1665" s="13"/>
    </row>
    <row r="1666">
      <c r="A1666" s="1" t="s">
        <v>16885</v>
      </c>
      <c r="B1666" s="1" t="s">
        <v>6036</v>
      </c>
      <c r="C1666" s="1" t="s">
        <v>6036</v>
      </c>
      <c r="D1666" s="1" t="s">
        <v>4293</v>
      </c>
      <c r="E1666" s="1" t="s">
        <v>16881</v>
      </c>
      <c r="F1666" s="1" t="s">
        <v>16886</v>
      </c>
      <c r="G1666" s="3">
        <v>44524.0</v>
      </c>
      <c r="H1666" s="3"/>
      <c r="I1666" s="3"/>
      <c r="J1666" s="1" t="s">
        <v>124</v>
      </c>
      <c r="K1666" s="1" t="s">
        <v>160</v>
      </c>
      <c r="L1666" s="1" t="s">
        <v>253</v>
      </c>
      <c r="M1666" s="1" t="s">
        <v>131</v>
      </c>
      <c r="Q1666" s="1" t="s">
        <v>137</v>
      </c>
      <c r="R1666" s="1" t="s">
        <v>137</v>
      </c>
      <c r="S1666" s="1" t="s">
        <v>47</v>
      </c>
      <c r="T1666" s="1" t="s">
        <v>4301</v>
      </c>
      <c r="U1666" s="1" t="s">
        <v>1577</v>
      </c>
      <c r="V1666" s="1" t="s">
        <v>5104</v>
      </c>
      <c r="W1666" s="3"/>
      <c r="X1666" s="3"/>
    </row>
    <row r="1667">
      <c r="A1667" s="1" t="s">
        <v>16887</v>
      </c>
      <c r="B1667" s="1" t="s">
        <v>6036</v>
      </c>
      <c r="C1667" s="1" t="s">
        <v>6036</v>
      </c>
      <c r="D1667" s="1" t="s">
        <v>4293</v>
      </c>
      <c r="E1667" s="1" t="s">
        <v>16881</v>
      </c>
      <c r="F1667" s="1" t="s">
        <v>16888</v>
      </c>
      <c r="G1667" s="3">
        <v>44524.0</v>
      </c>
      <c r="H1667" s="3"/>
      <c r="I1667" s="3"/>
      <c r="J1667" s="1" t="s">
        <v>124</v>
      </c>
      <c r="K1667" s="1" t="s">
        <v>160</v>
      </c>
      <c r="L1667" s="1" t="s">
        <v>253</v>
      </c>
      <c r="M1667" s="1" t="s">
        <v>131</v>
      </c>
      <c r="Q1667" s="1" t="s">
        <v>137</v>
      </c>
      <c r="R1667" s="1" t="s">
        <v>137</v>
      </c>
      <c r="S1667" s="1" t="s">
        <v>47</v>
      </c>
      <c r="T1667" s="1" t="s">
        <v>4301</v>
      </c>
      <c r="U1667" s="1" t="s">
        <v>1577</v>
      </c>
      <c r="V1667" s="1" t="s">
        <v>5120</v>
      </c>
      <c r="W1667" s="3"/>
      <c r="X1667" s="3"/>
    </row>
    <row r="1668">
      <c r="A1668" s="1" t="s">
        <v>16889</v>
      </c>
      <c r="B1668" s="1" t="s">
        <v>12094</v>
      </c>
      <c r="C1668" s="1" t="s">
        <v>12094</v>
      </c>
      <c r="D1668" s="1" t="s">
        <v>4293</v>
      </c>
      <c r="E1668" s="1" t="s">
        <v>12095</v>
      </c>
      <c r="F1668" s="1" t="s">
        <v>16890</v>
      </c>
      <c r="G1668" s="3">
        <v>45258.0</v>
      </c>
      <c r="H1668" s="3">
        <v>45462.0</v>
      </c>
      <c r="I1668" s="3">
        <v>45462.0</v>
      </c>
      <c r="J1668" s="1" t="s">
        <v>215</v>
      </c>
      <c r="K1668" s="1" t="s">
        <v>160</v>
      </c>
      <c r="L1668" s="1" t="s">
        <v>216</v>
      </c>
      <c r="M1668" s="1" t="s">
        <v>131</v>
      </c>
      <c r="Q1668" s="1" t="s">
        <v>137</v>
      </c>
      <c r="R1668" s="1" t="s">
        <v>137</v>
      </c>
      <c r="S1668" s="1" t="s">
        <v>47</v>
      </c>
      <c r="T1668" s="1" t="s">
        <v>4301</v>
      </c>
      <c r="U1668" s="1" t="s">
        <v>1577</v>
      </c>
      <c r="V1668" s="1" t="s">
        <v>4679</v>
      </c>
      <c r="W1668" s="3">
        <v>45462.0</v>
      </c>
      <c r="X1668" s="3">
        <v>45462.0</v>
      </c>
    </row>
    <row r="1669">
      <c r="A1669" s="1" t="s">
        <v>16891</v>
      </c>
      <c r="B1669" s="1" t="s">
        <v>12094</v>
      </c>
      <c r="C1669" s="1" t="s">
        <v>12094</v>
      </c>
      <c r="D1669" s="1" t="s">
        <v>4293</v>
      </c>
      <c r="E1669" s="1" t="s">
        <v>12095</v>
      </c>
      <c r="F1669" s="1" t="s">
        <v>16892</v>
      </c>
      <c r="G1669" s="3">
        <v>45258.0</v>
      </c>
      <c r="H1669" s="3">
        <v>45462.0</v>
      </c>
      <c r="I1669" s="3">
        <v>45462.0</v>
      </c>
      <c r="J1669" s="1" t="s">
        <v>215</v>
      </c>
      <c r="K1669" s="1" t="s">
        <v>160</v>
      </c>
      <c r="L1669" s="1" t="s">
        <v>216</v>
      </c>
      <c r="M1669" s="1" t="s">
        <v>131</v>
      </c>
      <c r="Q1669" s="1" t="s">
        <v>137</v>
      </c>
      <c r="R1669" s="1" t="s">
        <v>137</v>
      </c>
      <c r="S1669" s="1" t="s">
        <v>47</v>
      </c>
      <c r="T1669" s="1" t="s">
        <v>4301</v>
      </c>
      <c r="U1669" s="1" t="s">
        <v>1577</v>
      </c>
      <c r="V1669" s="1" t="s">
        <v>7314</v>
      </c>
      <c r="W1669" s="3">
        <v>45462.0</v>
      </c>
      <c r="X1669" s="3">
        <v>45462.0</v>
      </c>
    </row>
    <row r="1670">
      <c r="A1670" s="1" t="s">
        <v>16893</v>
      </c>
      <c r="B1670" s="1" t="s">
        <v>12094</v>
      </c>
      <c r="C1670" s="1" t="s">
        <v>12094</v>
      </c>
      <c r="D1670" s="1" t="s">
        <v>4293</v>
      </c>
      <c r="E1670" s="1" t="s">
        <v>12095</v>
      </c>
      <c r="F1670" s="1" t="s">
        <v>16894</v>
      </c>
      <c r="G1670" s="3">
        <v>45258.0</v>
      </c>
      <c r="H1670" s="3">
        <v>45462.0</v>
      </c>
      <c r="I1670" s="3">
        <v>45462.0</v>
      </c>
      <c r="J1670" s="1" t="s">
        <v>215</v>
      </c>
      <c r="K1670" s="1" t="s">
        <v>160</v>
      </c>
      <c r="L1670" s="1" t="s">
        <v>216</v>
      </c>
      <c r="M1670" s="1" t="s">
        <v>131</v>
      </c>
      <c r="Q1670" s="1" t="s">
        <v>137</v>
      </c>
      <c r="R1670" s="1" t="s">
        <v>137</v>
      </c>
      <c r="S1670" s="1" t="s">
        <v>47</v>
      </c>
      <c r="T1670" s="1" t="s">
        <v>4301</v>
      </c>
      <c r="U1670" s="1" t="s">
        <v>1577</v>
      </c>
      <c r="V1670" s="1" t="s">
        <v>4950</v>
      </c>
      <c r="W1670" s="3">
        <v>45462.0</v>
      </c>
      <c r="X1670" s="3">
        <v>45462.0</v>
      </c>
    </row>
    <row r="1671">
      <c r="A1671" s="1" t="s">
        <v>16895</v>
      </c>
      <c r="B1671" s="1" t="s">
        <v>12094</v>
      </c>
      <c r="C1671" s="1" t="s">
        <v>12094</v>
      </c>
      <c r="D1671" s="1" t="s">
        <v>4293</v>
      </c>
      <c r="E1671" s="1" t="s">
        <v>12095</v>
      </c>
      <c r="F1671" s="1" t="s">
        <v>16896</v>
      </c>
      <c r="G1671" s="3">
        <v>45258.0</v>
      </c>
      <c r="H1671" s="3">
        <v>45462.0</v>
      </c>
      <c r="I1671" s="3">
        <v>45462.0</v>
      </c>
      <c r="J1671" s="1" t="s">
        <v>215</v>
      </c>
      <c r="K1671" s="1" t="s">
        <v>160</v>
      </c>
      <c r="L1671" s="1" t="s">
        <v>216</v>
      </c>
      <c r="M1671" s="1" t="s">
        <v>131</v>
      </c>
      <c r="Q1671" s="1" t="s">
        <v>137</v>
      </c>
      <c r="R1671" s="1" t="s">
        <v>137</v>
      </c>
      <c r="S1671" s="1" t="s">
        <v>47</v>
      </c>
      <c r="T1671" s="1" t="s">
        <v>4301</v>
      </c>
      <c r="U1671" s="1" t="s">
        <v>1577</v>
      </c>
      <c r="V1671" s="1" t="s">
        <v>5104</v>
      </c>
      <c r="W1671" s="3">
        <v>45462.0</v>
      </c>
      <c r="X1671" s="3">
        <v>45462.0</v>
      </c>
    </row>
    <row r="1672">
      <c r="A1672" s="1" t="s">
        <v>16897</v>
      </c>
      <c r="B1672" s="1" t="s">
        <v>12094</v>
      </c>
      <c r="C1672" s="1" t="s">
        <v>12094</v>
      </c>
      <c r="D1672" s="1" t="s">
        <v>4293</v>
      </c>
      <c r="E1672" s="1" t="s">
        <v>12095</v>
      </c>
      <c r="F1672" s="1" t="s">
        <v>16898</v>
      </c>
      <c r="G1672" s="3">
        <v>45258.0</v>
      </c>
      <c r="H1672" s="3">
        <v>45462.0</v>
      </c>
      <c r="I1672" s="3">
        <v>45462.0</v>
      </c>
      <c r="J1672" s="1" t="s">
        <v>215</v>
      </c>
      <c r="K1672" s="1" t="s">
        <v>160</v>
      </c>
      <c r="L1672" s="1" t="s">
        <v>216</v>
      </c>
      <c r="M1672" s="1" t="s">
        <v>131</v>
      </c>
      <c r="Q1672" s="1" t="s">
        <v>137</v>
      </c>
      <c r="R1672" s="1" t="s">
        <v>137</v>
      </c>
      <c r="S1672" s="1" t="s">
        <v>47</v>
      </c>
      <c r="T1672" s="1" t="s">
        <v>4301</v>
      </c>
      <c r="U1672" s="1" t="s">
        <v>1577</v>
      </c>
      <c r="V1672" s="1" t="s">
        <v>5120</v>
      </c>
      <c r="W1672" s="3">
        <v>45462.0</v>
      </c>
      <c r="X1672" s="3">
        <v>45462.0</v>
      </c>
    </row>
    <row r="1673">
      <c r="A1673" s="1" t="s">
        <v>16899</v>
      </c>
      <c r="B1673" s="1" t="s">
        <v>12101</v>
      </c>
      <c r="C1673" s="1" t="s">
        <v>12101</v>
      </c>
      <c r="D1673" s="1" t="s">
        <v>4293</v>
      </c>
      <c r="E1673" s="1" t="s">
        <v>12103</v>
      </c>
      <c r="F1673" s="1" t="s">
        <v>16900</v>
      </c>
      <c r="G1673" s="3">
        <v>45465.0</v>
      </c>
      <c r="H1673" s="3">
        <v>45622.0</v>
      </c>
      <c r="I1673" s="3">
        <v>45622.0</v>
      </c>
      <c r="J1673" s="1" t="s">
        <v>215</v>
      </c>
      <c r="K1673" s="1" t="s">
        <v>160</v>
      </c>
      <c r="L1673" s="1" t="s">
        <v>216</v>
      </c>
      <c r="M1673" s="1" t="s">
        <v>131</v>
      </c>
      <c r="Q1673" s="1" t="s">
        <v>137</v>
      </c>
      <c r="R1673" s="1" t="s">
        <v>137</v>
      </c>
      <c r="S1673" s="1" t="s">
        <v>47</v>
      </c>
      <c r="T1673" s="1" t="s">
        <v>4301</v>
      </c>
      <c r="U1673" s="1" t="s">
        <v>1577</v>
      </c>
      <c r="V1673" s="1" t="s">
        <v>3858</v>
      </c>
      <c r="W1673" s="3">
        <v>45622.0</v>
      </c>
      <c r="X1673" s="3">
        <v>45622.0</v>
      </c>
    </row>
    <row r="1674">
      <c r="A1674" s="1" t="s">
        <v>16901</v>
      </c>
      <c r="B1674" s="1" t="s">
        <v>12101</v>
      </c>
      <c r="C1674" s="1" t="s">
        <v>12101</v>
      </c>
      <c r="D1674" s="1" t="s">
        <v>4293</v>
      </c>
      <c r="E1674" s="1" t="s">
        <v>12103</v>
      </c>
      <c r="F1674" s="1" t="s">
        <v>16902</v>
      </c>
      <c r="G1674" s="3">
        <v>45465.0</v>
      </c>
      <c r="H1674" s="3">
        <v>45622.0</v>
      </c>
      <c r="I1674" s="3">
        <v>45622.0</v>
      </c>
      <c r="J1674" s="1" t="s">
        <v>215</v>
      </c>
      <c r="K1674" s="1" t="s">
        <v>160</v>
      </c>
      <c r="L1674" s="1" t="s">
        <v>216</v>
      </c>
      <c r="M1674" s="1" t="s">
        <v>131</v>
      </c>
      <c r="Q1674" s="1" t="s">
        <v>137</v>
      </c>
      <c r="R1674" s="1" t="s">
        <v>137</v>
      </c>
      <c r="S1674" s="1" t="s">
        <v>47</v>
      </c>
      <c r="T1674" s="1" t="s">
        <v>4301</v>
      </c>
      <c r="U1674" s="1" t="s">
        <v>1577</v>
      </c>
      <c r="V1674" s="1" t="s">
        <v>4950</v>
      </c>
      <c r="W1674" s="3">
        <v>45622.0</v>
      </c>
      <c r="X1674" s="3">
        <v>45622.0</v>
      </c>
    </row>
    <row r="1675">
      <c r="A1675" s="1" t="s">
        <v>16903</v>
      </c>
      <c r="B1675" s="1" t="s">
        <v>5553</v>
      </c>
      <c r="C1675" s="1" t="s">
        <v>5553</v>
      </c>
      <c r="D1675" s="1" t="s">
        <v>4293</v>
      </c>
      <c r="E1675" s="1" t="s">
        <v>12111</v>
      </c>
      <c r="F1675" s="1" t="s">
        <v>16904</v>
      </c>
      <c r="G1675" s="3">
        <v>43959.0</v>
      </c>
      <c r="H1675" s="3">
        <v>44127.0</v>
      </c>
      <c r="I1675" s="3">
        <v>44127.0</v>
      </c>
      <c r="J1675" s="1" t="s">
        <v>215</v>
      </c>
      <c r="K1675" s="1" t="s">
        <v>160</v>
      </c>
      <c r="L1675" s="1" t="s">
        <v>216</v>
      </c>
      <c r="M1675" s="1" t="s">
        <v>131</v>
      </c>
      <c r="Q1675" s="1" t="s">
        <v>137</v>
      </c>
      <c r="R1675" s="1" t="s">
        <v>137</v>
      </c>
      <c r="S1675" s="1" t="s">
        <v>47</v>
      </c>
      <c r="T1675" s="1" t="s">
        <v>4301</v>
      </c>
      <c r="U1675" s="1" t="s">
        <v>1577</v>
      </c>
      <c r="V1675" s="1" t="s">
        <v>3858</v>
      </c>
      <c r="W1675" s="3">
        <v>44127.0</v>
      </c>
      <c r="X1675" s="3">
        <v>44127.0</v>
      </c>
    </row>
    <row r="1676">
      <c r="A1676" s="1" t="s">
        <v>16905</v>
      </c>
      <c r="B1676" s="1" t="s">
        <v>12117</v>
      </c>
      <c r="C1676" s="1" t="s">
        <v>12117</v>
      </c>
      <c r="D1676" s="1" t="s">
        <v>4293</v>
      </c>
      <c r="E1676" s="1" t="s">
        <v>12118</v>
      </c>
      <c r="F1676" s="1" t="s">
        <v>16906</v>
      </c>
      <c r="G1676" s="3">
        <v>45517.0</v>
      </c>
      <c r="H1676" s="3">
        <v>45517.0</v>
      </c>
      <c r="I1676" s="3">
        <v>45517.0</v>
      </c>
      <c r="J1676" s="1" t="s">
        <v>215</v>
      </c>
      <c r="K1676" s="1" t="s">
        <v>160</v>
      </c>
      <c r="L1676" s="1" t="s">
        <v>216</v>
      </c>
      <c r="M1676" s="1" t="s">
        <v>131</v>
      </c>
      <c r="Q1676" s="1" t="s">
        <v>137</v>
      </c>
      <c r="R1676" s="1" t="s">
        <v>137</v>
      </c>
      <c r="S1676" s="1" t="s">
        <v>47</v>
      </c>
      <c r="T1676" s="1" t="s">
        <v>4301</v>
      </c>
      <c r="U1676" s="1" t="s">
        <v>1577</v>
      </c>
      <c r="V1676" s="1" t="s">
        <v>7334</v>
      </c>
      <c r="W1676" s="3">
        <v>45517.0</v>
      </c>
      <c r="X1676" s="3">
        <v>45517.0</v>
      </c>
    </row>
    <row r="1677">
      <c r="A1677" s="1" t="s">
        <v>16907</v>
      </c>
      <c r="B1677" s="1" t="s">
        <v>6254</v>
      </c>
      <c r="C1677" s="1" t="s">
        <v>6254</v>
      </c>
      <c r="D1677" s="1" t="s">
        <v>4293</v>
      </c>
      <c r="E1677" s="1" t="s">
        <v>12130</v>
      </c>
      <c r="F1677" s="1" t="s">
        <v>16908</v>
      </c>
      <c r="G1677" s="3">
        <v>45502.0</v>
      </c>
      <c r="H1677" s="3">
        <v>45673.0</v>
      </c>
      <c r="I1677" s="3">
        <v>45673.0</v>
      </c>
      <c r="J1677" s="1" t="s">
        <v>215</v>
      </c>
      <c r="K1677" s="1" t="s">
        <v>160</v>
      </c>
      <c r="L1677" s="1" t="s">
        <v>216</v>
      </c>
      <c r="M1677" s="1" t="s">
        <v>131</v>
      </c>
      <c r="Q1677" s="1" t="s">
        <v>137</v>
      </c>
      <c r="R1677" s="1" t="s">
        <v>137</v>
      </c>
      <c r="S1677" s="1" t="s">
        <v>47</v>
      </c>
      <c r="T1677" s="1" t="s">
        <v>4301</v>
      </c>
      <c r="U1677" s="1" t="s">
        <v>1577</v>
      </c>
      <c r="V1677" s="1" t="s">
        <v>3858</v>
      </c>
      <c r="W1677" s="3">
        <v>45673.0</v>
      </c>
      <c r="X1677" s="3">
        <v>45673.0</v>
      </c>
    </row>
    <row r="1678">
      <c r="A1678" s="1" t="s">
        <v>16909</v>
      </c>
      <c r="B1678" s="1" t="s">
        <v>6254</v>
      </c>
      <c r="C1678" s="1" t="s">
        <v>6254</v>
      </c>
      <c r="D1678" s="1" t="s">
        <v>4293</v>
      </c>
      <c r="E1678" s="1" t="s">
        <v>12130</v>
      </c>
      <c r="F1678" s="1" t="s">
        <v>16910</v>
      </c>
      <c r="G1678" s="3">
        <v>45502.0</v>
      </c>
      <c r="H1678" s="3">
        <v>45673.0</v>
      </c>
      <c r="I1678" s="3">
        <v>45673.0</v>
      </c>
      <c r="J1678" s="1" t="s">
        <v>215</v>
      </c>
      <c r="K1678" s="1" t="s">
        <v>160</v>
      </c>
      <c r="L1678" s="1" t="s">
        <v>216</v>
      </c>
      <c r="M1678" s="1" t="s">
        <v>131</v>
      </c>
      <c r="Q1678" s="1" t="s">
        <v>137</v>
      </c>
      <c r="R1678" s="1" t="s">
        <v>137</v>
      </c>
      <c r="S1678" s="1" t="s">
        <v>47</v>
      </c>
      <c r="T1678" s="1" t="s">
        <v>4301</v>
      </c>
      <c r="U1678" s="1" t="s">
        <v>1577</v>
      </c>
      <c r="V1678" s="1" t="s">
        <v>4950</v>
      </c>
      <c r="W1678" s="3">
        <v>45673.0</v>
      </c>
      <c r="X1678" s="3">
        <v>45673.0</v>
      </c>
    </row>
    <row r="1679">
      <c r="A1679" s="1" t="s">
        <v>16911</v>
      </c>
      <c r="B1679" s="1" t="s">
        <v>13438</v>
      </c>
      <c r="C1679" s="1" t="s">
        <v>13438</v>
      </c>
      <c r="D1679" s="1" t="s">
        <v>4293</v>
      </c>
      <c r="E1679" s="1" t="s">
        <v>16912</v>
      </c>
      <c r="F1679" s="1" t="s">
        <v>16913</v>
      </c>
      <c r="G1679" s="3">
        <v>45269.0</v>
      </c>
      <c r="H1679" s="3"/>
      <c r="I1679" s="3"/>
      <c r="J1679" s="1" t="s">
        <v>124</v>
      </c>
      <c r="K1679" s="1" t="s">
        <v>160</v>
      </c>
      <c r="L1679" s="1" t="s">
        <v>253</v>
      </c>
      <c r="M1679" s="1" t="s">
        <v>131</v>
      </c>
      <c r="Q1679" s="1" t="s">
        <v>137</v>
      </c>
      <c r="R1679" s="1" t="s">
        <v>137</v>
      </c>
      <c r="S1679" s="1" t="s">
        <v>47</v>
      </c>
      <c r="T1679" s="1" t="s">
        <v>4301</v>
      </c>
      <c r="U1679" s="1" t="s">
        <v>1577</v>
      </c>
      <c r="V1679" s="1" t="s">
        <v>3858</v>
      </c>
      <c r="W1679" s="3"/>
      <c r="X1679" s="3"/>
    </row>
    <row r="1680">
      <c r="A1680" s="1" t="s">
        <v>16914</v>
      </c>
      <c r="B1680" s="1" t="s">
        <v>10379</v>
      </c>
      <c r="C1680" s="1" t="s">
        <v>10379</v>
      </c>
      <c r="D1680" s="1" t="s">
        <v>4293</v>
      </c>
      <c r="E1680" s="1" t="s">
        <v>12140</v>
      </c>
      <c r="F1680" s="1" t="s">
        <v>16915</v>
      </c>
      <c r="G1680" s="3">
        <v>44481.0</v>
      </c>
      <c r="H1680" s="3">
        <v>44615.0</v>
      </c>
      <c r="I1680" s="3">
        <v>44615.0</v>
      </c>
      <c r="J1680" s="1" t="s">
        <v>215</v>
      </c>
      <c r="K1680" s="1" t="s">
        <v>160</v>
      </c>
      <c r="L1680" s="1" t="s">
        <v>216</v>
      </c>
      <c r="M1680" s="1" t="s">
        <v>131</v>
      </c>
      <c r="Q1680" s="1" t="s">
        <v>137</v>
      </c>
      <c r="R1680" s="1" t="s">
        <v>137</v>
      </c>
      <c r="S1680" s="1" t="s">
        <v>47</v>
      </c>
      <c r="T1680" s="1" t="s">
        <v>4301</v>
      </c>
      <c r="U1680" s="1" t="s">
        <v>1577</v>
      </c>
      <c r="V1680" s="1" t="s">
        <v>3858</v>
      </c>
      <c r="W1680" s="3">
        <v>44615.0</v>
      </c>
      <c r="X1680" s="3">
        <v>44615.0</v>
      </c>
    </row>
    <row r="1681">
      <c r="A1681" s="1" t="s">
        <v>16916</v>
      </c>
      <c r="B1681" s="1" t="s">
        <v>12148</v>
      </c>
      <c r="C1681" s="1" t="s">
        <v>12148</v>
      </c>
      <c r="D1681" s="1" t="s">
        <v>4293</v>
      </c>
      <c r="E1681" s="1" t="s">
        <v>12150</v>
      </c>
      <c r="F1681" s="1" t="s">
        <v>16917</v>
      </c>
      <c r="G1681" s="3">
        <v>43733.0</v>
      </c>
      <c r="H1681" s="3">
        <v>43729.0</v>
      </c>
      <c r="I1681" s="3">
        <v>43729.0</v>
      </c>
      <c r="J1681" s="1" t="s">
        <v>215</v>
      </c>
      <c r="K1681" s="1" t="s">
        <v>160</v>
      </c>
      <c r="L1681" s="1" t="s">
        <v>216</v>
      </c>
      <c r="M1681" s="1" t="s">
        <v>131</v>
      </c>
      <c r="Q1681" s="1" t="s">
        <v>137</v>
      </c>
      <c r="R1681" s="1" t="s">
        <v>137</v>
      </c>
      <c r="S1681" s="1" t="s">
        <v>47</v>
      </c>
      <c r="T1681" s="1" t="s">
        <v>4301</v>
      </c>
      <c r="U1681" s="1" t="s">
        <v>1577</v>
      </c>
      <c r="V1681" s="1" t="s">
        <v>3858</v>
      </c>
      <c r="W1681" s="3">
        <v>43729.0</v>
      </c>
      <c r="X1681" s="3">
        <v>43729.0</v>
      </c>
    </row>
    <row r="1682">
      <c r="A1682" s="1" t="s">
        <v>16918</v>
      </c>
      <c r="B1682" s="1" t="s">
        <v>11195</v>
      </c>
      <c r="C1682" s="1" t="s">
        <v>11195</v>
      </c>
      <c r="D1682" s="1" t="s">
        <v>4293</v>
      </c>
      <c r="E1682" s="1" t="s">
        <v>16919</v>
      </c>
      <c r="F1682" s="1" t="s">
        <v>16920</v>
      </c>
      <c r="G1682" s="3">
        <v>45205.0</v>
      </c>
      <c r="H1682" s="3"/>
      <c r="I1682" s="3"/>
      <c r="J1682" s="1" t="s">
        <v>124</v>
      </c>
      <c r="K1682" s="1" t="s">
        <v>160</v>
      </c>
      <c r="L1682" s="1" t="s">
        <v>253</v>
      </c>
      <c r="M1682" s="1" t="s">
        <v>131</v>
      </c>
      <c r="Q1682" s="1" t="s">
        <v>137</v>
      </c>
      <c r="R1682" s="1" t="s">
        <v>137</v>
      </c>
      <c r="S1682" s="1" t="s">
        <v>47</v>
      </c>
      <c r="T1682" s="1" t="s">
        <v>4301</v>
      </c>
      <c r="U1682" s="1" t="s">
        <v>1577</v>
      </c>
      <c r="V1682" s="1" t="s">
        <v>3858</v>
      </c>
      <c r="W1682" s="3"/>
      <c r="X1682" s="13"/>
    </row>
    <row r="1683">
      <c r="A1683" s="1" t="s">
        <v>16921</v>
      </c>
      <c r="B1683" s="1" t="s">
        <v>9022</v>
      </c>
      <c r="C1683" s="1" t="s">
        <v>9022</v>
      </c>
      <c r="D1683" s="1" t="s">
        <v>4293</v>
      </c>
      <c r="E1683" s="1" t="s">
        <v>12157</v>
      </c>
      <c r="F1683" s="1" t="s">
        <v>16922</v>
      </c>
      <c r="G1683" s="3">
        <v>45747.0</v>
      </c>
      <c r="H1683" s="3">
        <v>45993.0</v>
      </c>
      <c r="I1683" s="3">
        <v>45993.0</v>
      </c>
      <c r="J1683" s="1" t="s">
        <v>215</v>
      </c>
      <c r="K1683" s="1" t="s">
        <v>160</v>
      </c>
      <c r="L1683" s="1" t="s">
        <v>216</v>
      </c>
      <c r="M1683" s="1" t="s">
        <v>131</v>
      </c>
      <c r="Q1683" s="1" t="s">
        <v>137</v>
      </c>
      <c r="R1683" s="1" t="s">
        <v>137</v>
      </c>
      <c r="S1683" s="1" t="s">
        <v>47</v>
      </c>
      <c r="T1683" s="1" t="s">
        <v>4301</v>
      </c>
      <c r="U1683" s="1" t="s">
        <v>1577</v>
      </c>
      <c r="V1683" s="1" t="s">
        <v>3858</v>
      </c>
      <c r="W1683" s="3">
        <v>45993.0</v>
      </c>
      <c r="X1683" s="3">
        <v>45993.0</v>
      </c>
    </row>
    <row r="1684">
      <c r="A1684" s="1" t="s">
        <v>16923</v>
      </c>
      <c r="B1684" s="1" t="s">
        <v>9022</v>
      </c>
      <c r="C1684" s="1" t="s">
        <v>9022</v>
      </c>
      <c r="D1684" s="1" t="s">
        <v>4293</v>
      </c>
      <c r="E1684" s="1" t="s">
        <v>12157</v>
      </c>
      <c r="F1684" s="1" t="s">
        <v>16924</v>
      </c>
      <c r="G1684" s="3">
        <v>45747.0</v>
      </c>
      <c r="H1684" s="3">
        <v>45993.0</v>
      </c>
      <c r="I1684" s="3">
        <v>45993.0</v>
      </c>
      <c r="J1684" s="1" t="s">
        <v>215</v>
      </c>
      <c r="K1684" s="1" t="s">
        <v>160</v>
      </c>
      <c r="L1684" s="1" t="s">
        <v>216</v>
      </c>
      <c r="M1684" s="1" t="s">
        <v>131</v>
      </c>
      <c r="Q1684" s="1" t="s">
        <v>137</v>
      </c>
      <c r="R1684" s="1" t="s">
        <v>137</v>
      </c>
      <c r="S1684" s="1" t="s">
        <v>47</v>
      </c>
      <c r="T1684" s="1" t="s">
        <v>4301</v>
      </c>
      <c r="U1684" s="1" t="s">
        <v>1577</v>
      </c>
      <c r="V1684" s="1" t="s">
        <v>4950</v>
      </c>
      <c r="W1684" s="3">
        <v>45993.0</v>
      </c>
      <c r="X1684" s="3">
        <v>45993.0</v>
      </c>
    </row>
    <row r="1685">
      <c r="A1685" s="1" t="s">
        <v>16925</v>
      </c>
      <c r="B1685" s="1" t="s">
        <v>12164</v>
      </c>
      <c r="C1685" s="1" t="s">
        <v>12164</v>
      </c>
      <c r="D1685" s="1" t="s">
        <v>4293</v>
      </c>
      <c r="E1685" s="1" t="s">
        <v>12166</v>
      </c>
      <c r="F1685" s="1" t="s">
        <v>16926</v>
      </c>
      <c r="G1685" s="3">
        <v>45812.0</v>
      </c>
      <c r="H1685" s="3">
        <v>45992.0</v>
      </c>
      <c r="I1685" s="3">
        <v>45992.0</v>
      </c>
      <c r="J1685" s="1" t="s">
        <v>215</v>
      </c>
      <c r="K1685" s="1" t="s">
        <v>160</v>
      </c>
      <c r="L1685" s="1" t="s">
        <v>216</v>
      </c>
      <c r="M1685" s="1" t="s">
        <v>131</v>
      </c>
      <c r="Q1685" s="1" t="s">
        <v>137</v>
      </c>
      <c r="R1685" s="1" t="s">
        <v>137</v>
      </c>
      <c r="S1685" s="1" t="s">
        <v>47</v>
      </c>
      <c r="T1685" s="1" t="s">
        <v>4301</v>
      </c>
      <c r="U1685" s="1" t="s">
        <v>1577</v>
      </c>
      <c r="V1685" s="1" t="s">
        <v>4679</v>
      </c>
      <c r="W1685" s="3">
        <v>45992.0</v>
      </c>
      <c r="X1685" s="3">
        <v>45992.0</v>
      </c>
    </row>
    <row r="1686">
      <c r="A1686" s="1" t="s">
        <v>16927</v>
      </c>
      <c r="B1686" s="1" t="s">
        <v>12164</v>
      </c>
      <c r="C1686" s="1" t="s">
        <v>12164</v>
      </c>
      <c r="D1686" s="1" t="s">
        <v>4293</v>
      </c>
      <c r="E1686" s="1" t="s">
        <v>12166</v>
      </c>
      <c r="F1686" s="1" t="s">
        <v>16928</v>
      </c>
      <c r="G1686" s="3">
        <v>45812.0</v>
      </c>
      <c r="H1686" s="3">
        <v>45992.0</v>
      </c>
      <c r="I1686" s="3">
        <v>45992.0</v>
      </c>
      <c r="J1686" s="1" t="s">
        <v>215</v>
      </c>
      <c r="K1686" s="1" t="s">
        <v>160</v>
      </c>
      <c r="L1686" s="1" t="s">
        <v>216</v>
      </c>
      <c r="M1686" s="1" t="s">
        <v>131</v>
      </c>
      <c r="Q1686" s="1" t="s">
        <v>137</v>
      </c>
      <c r="R1686" s="1" t="s">
        <v>137</v>
      </c>
      <c r="S1686" s="1" t="s">
        <v>47</v>
      </c>
      <c r="T1686" s="1" t="s">
        <v>4301</v>
      </c>
      <c r="U1686" s="1" t="s">
        <v>1577</v>
      </c>
      <c r="V1686" s="1" t="s">
        <v>4950</v>
      </c>
      <c r="W1686" s="3">
        <v>45992.0</v>
      </c>
      <c r="X1686" s="3">
        <v>45992.0</v>
      </c>
    </row>
    <row r="1687">
      <c r="A1687" s="1" t="s">
        <v>16929</v>
      </c>
      <c r="B1687" s="1" t="s">
        <v>12164</v>
      </c>
      <c r="C1687" s="1" t="s">
        <v>12164</v>
      </c>
      <c r="D1687" s="1" t="s">
        <v>4293</v>
      </c>
      <c r="E1687" s="1" t="s">
        <v>12166</v>
      </c>
      <c r="F1687" s="1" t="s">
        <v>16930</v>
      </c>
      <c r="G1687" s="3">
        <v>45812.0</v>
      </c>
      <c r="H1687" s="3">
        <v>45992.0</v>
      </c>
      <c r="I1687" s="3">
        <v>45992.0</v>
      </c>
      <c r="J1687" s="1" t="s">
        <v>215</v>
      </c>
      <c r="K1687" s="1" t="s">
        <v>160</v>
      </c>
      <c r="L1687" s="1" t="s">
        <v>216</v>
      </c>
      <c r="M1687" s="1" t="s">
        <v>131</v>
      </c>
      <c r="Q1687" s="1" t="s">
        <v>137</v>
      </c>
      <c r="R1687" s="1" t="s">
        <v>137</v>
      </c>
      <c r="S1687" s="1" t="s">
        <v>47</v>
      </c>
      <c r="T1687" s="1" t="s">
        <v>4301</v>
      </c>
      <c r="U1687" s="1" t="s">
        <v>1577</v>
      </c>
      <c r="V1687" s="1" t="s">
        <v>5104</v>
      </c>
      <c r="W1687" s="3">
        <v>45992.0</v>
      </c>
      <c r="X1687" s="3">
        <v>45992.0</v>
      </c>
    </row>
    <row r="1688">
      <c r="A1688" s="1" t="s">
        <v>16931</v>
      </c>
      <c r="B1688" s="1" t="s">
        <v>12164</v>
      </c>
      <c r="C1688" s="1" t="s">
        <v>12164</v>
      </c>
      <c r="D1688" s="1" t="s">
        <v>4293</v>
      </c>
      <c r="E1688" s="1" t="s">
        <v>12166</v>
      </c>
      <c r="F1688" s="1" t="s">
        <v>16932</v>
      </c>
      <c r="G1688" s="3">
        <v>45812.0</v>
      </c>
      <c r="H1688" s="3">
        <v>45992.0</v>
      </c>
      <c r="I1688" s="3">
        <v>45992.0</v>
      </c>
      <c r="J1688" s="1" t="s">
        <v>215</v>
      </c>
      <c r="K1688" s="1" t="s">
        <v>160</v>
      </c>
      <c r="L1688" s="1" t="s">
        <v>216</v>
      </c>
      <c r="M1688" s="1" t="s">
        <v>131</v>
      </c>
      <c r="Q1688" s="1" t="s">
        <v>137</v>
      </c>
      <c r="R1688" s="1" t="s">
        <v>137</v>
      </c>
      <c r="S1688" s="1" t="s">
        <v>47</v>
      </c>
      <c r="T1688" s="1" t="s">
        <v>4301</v>
      </c>
      <c r="U1688" s="1" t="s">
        <v>1577</v>
      </c>
      <c r="V1688" s="1" t="s">
        <v>5120</v>
      </c>
      <c r="W1688" s="3">
        <v>45992.0</v>
      </c>
      <c r="X1688" s="3">
        <v>45992.0</v>
      </c>
    </row>
    <row r="1689">
      <c r="A1689" s="1" t="s">
        <v>16933</v>
      </c>
      <c r="B1689" s="1" t="s">
        <v>7833</v>
      </c>
      <c r="C1689" s="1" t="s">
        <v>7833</v>
      </c>
      <c r="D1689" s="1" t="s">
        <v>4293</v>
      </c>
      <c r="E1689" s="1" t="s">
        <v>12176</v>
      </c>
      <c r="F1689" s="1" t="s">
        <v>16934</v>
      </c>
      <c r="G1689" s="3">
        <v>44558.0</v>
      </c>
      <c r="H1689" s="3">
        <v>44319.0</v>
      </c>
      <c r="I1689" s="3">
        <v>44319.0</v>
      </c>
      <c r="J1689" s="1" t="s">
        <v>215</v>
      </c>
      <c r="K1689" s="1" t="s">
        <v>160</v>
      </c>
      <c r="L1689" s="1" t="s">
        <v>216</v>
      </c>
      <c r="M1689" s="1" t="s">
        <v>131</v>
      </c>
      <c r="Q1689" s="1" t="s">
        <v>137</v>
      </c>
      <c r="R1689" s="1" t="s">
        <v>137</v>
      </c>
      <c r="S1689" s="1" t="s">
        <v>47</v>
      </c>
      <c r="T1689" s="1" t="s">
        <v>4301</v>
      </c>
      <c r="U1689" s="1" t="s">
        <v>1577</v>
      </c>
      <c r="V1689" s="1" t="s">
        <v>3858</v>
      </c>
      <c r="W1689" s="3">
        <v>44319.0</v>
      </c>
      <c r="X1689" s="3">
        <v>44319.0</v>
      </c>
    </row>
    <row r="1690">
      <c r="A1690" s="1" t="s">
        <v>16935</v>
      </c>
      <c r="B1690" s="1" t="s">
        <v>10676</v>
      </c>
      <c r="C1690" s="1" t="s">
        <v>10676</v>
      </c>
      <c r="D1690" s="1" t="s">
        <v>4293</v>
      </c>
      <c r="E1690" s="1" t="s">
        <v>12183</v>
      </c>
      <c r="F1690" s="1" t="s">
        <v>16936</v>
      </c>
      <c r="G1690" s="3">
        <v>44263.0</v>
      </c>
      <c r="H1690" s="3">
        <v>44517.0</v>
      </c>
      <c r="I1690" s="3">
        <v>44517.0</v>
      </c>
      <c r="J1690" s="1" t="s">
        <v>215</v>
      </c>
      <c r="K1690" s="1" t="s">
        <v>160</v>
      </c>
      <c r="L1690" s="1" t="s">
        <v>216</v>
      </c>
      <c r="M1690" s="1" t="s">
        <v>131</v>
      </c>
      <c r="Q1690" s="1" t="s">
        <v>137</v>
      </c>
      <c r="R1690" s="1" t="s">
        <v>137</v>
      </c>
      <c r="S1690" s="1" t="s">
        <v>47</v>
      </c>
      <c r="T1690" s="1" t="s">
        <v>4301</v>
      </c>
      <c r="U1690" s="1" t="s">
        <v>1577</v>
      </c>
      <c r="V1690" s="1" t="s">
        <v>3858</v>
      </c>
      <c r="W1690" s="3">
        <v>44517.0</v>
      </c>
      <c r="X1690" s="3">
        <v>44517.0</v>
      </c>
    </row>
    <row r="1691">
      <c r="A1691" s="1" t="s">
        <v>16937</v>
      </c>
      <c r="B1691" s="1" t="s">
        <v>12192</v>
      </c>
      <c r="C1691" s="1" t="s">
        <v>12192</v>
      </c>
      <c r="D1691" s="1" t="s">
        <v>4293</v>
      </c>
      <c r="E1691" s="1" t="s">
        <v>12194</v>
      </c>
      <c r="F1691" s="1" t="s">
        <v>16938</v>
      </c>
      <c r="G1691" s="3">
        <v>45888.0</v>
      </c>
      <c r="H1691" s="3">
        <v>46085.0</v>
      </c>
      <c r="I1691" s="3">
        <v>46085.0</v>
      </c>
      <c r="J1691" s="1" t="s">
        <v>215</v>
      </c>
      <c r="K1691" s="1" t="s">
        <v>160</v>
      </c>
      <c r="L1691" s="1" t="s">
        <v>216</v>
      </c>
      <c r="M1691" s="1" t="s">
        <v>131</v>
      </c>
      <c r="Q1691" s="1" t="s">
        <v>137</v>
      </c>
      <c r="R1691" s="1" t="s">
        <v>137</v>
      </c>
      <c r="S1691" s="1" t="s">
        <v>47</v>
      </c>
      <c r="T1691" s="1" t="s">
        <v>4301</v>
      </c>
      <c r="U1691" s="1" t="s">
        <v>1577</v>
      </c>
      <c r="V1691" s="1" t="s">
        <v>4679</v>
      </c>
      <c r="W1691" s="3">
        <v>46085.0</v>
      </c>
      <c r="X1691" s="3">
        <v>46085.0</v>
      </c>
    </row>
    <row r="1692">
      <c r="A1692" s="1" t="s">
        <v>16939</v>
      </c>
      <c r="B1692" s="1" t="s">
        <v>12192</v>
      </c>
      <c r="C1692" s="1" t="s">
        <v>12192</v>
      </c>
      <c r="D1692" s="1" t="s">
        <v>4293</v>
      </c>
      <c r="E1692" s="1" t="s">
        <v>12194</v>
      </c>
      <c r="F1692" s="1" t="s">
        <v>16940</v>
      </c>
      <c r="G1692" s="3">
        <v>45888.0</v>
      </c>
      <c r="H1692" s="3">
        <v>46085.0</v>
      </c>
      <c r="I1692" s="3">
        <v>46085.0</v>
      </c>
      <c r="J1692" s="1" t="s">
        <v>215</v>
      </c>
      <c r="K1692" s="1" t="s">
        <v>160</v>
      </c>
      <c r="L1692" s="1" t="s">
        <v>216</v>
      </c>
      <c r="M1692" s="1" t="s">
        <v>131</v>
      </c>
      <c r="Q1692" s="1" t="s">
        <v>137</v>
      </c>
      <c r="R1692" s="1" t="s">
        <v>137</v>
      </c>
      <c r="S1692" s="1" t="s">
        <v>47</v>
      </c>
      <c r="T1692" s="1" t="s">
        <v>4301</v>
      </c>
      <c r="U1692" s="1" t="s">
        <v>1577</v>
      </c>
      <c r="V1692" s="1" t="s">
        <v>4950</v>
      </c>
      <c r="W1692" s="3">
        <v>46085.0</v>
      </c>
      <c r="X1692" s="3">
        <v>46085.0</v>
      </c>
    </row>
    <row r="1693">
      <c r="A1693" s="1" t="s">
        <v>16941</v>
      </c>
      <c r="B1693" s="1" t="s">
        <v>12192</v>
      </c>
      <c r="C1693" s="1" t="s">
        <v>12192</v>
      </c>
      <c r="D1693" s="1" t="s">
        <v>4293</v>
      </c>
      <c r="E1693" s="1" t="s">
        <v>12194</v>
      </c>
      <c r="F1693" s="1" t="s">
        <v>16942</v>
      </c>
      <c r="G1693" s="3">
        <v>45888.0</v>
      </c>
      <c r="H1693" s="3">
        <v>46085.0</v>
      </c>
      <c r="I1693" s="3">
        <v>46085.0</v>
      </c>
      <c r="J1693" s="1" t="s">
        <v>215</v>
      </c>
      <c r="K1693" s="1" t="s">
        <v>160</v>
      </c>
      <c r="L1693" s="1" t="s">
        <v>216</v>
      </c>
      <c r="M1693" s="1" t="s">
        <v>131</v>
      </c>
      <c r="Q1693" s="1" t="s">
        <v>137</v>
      </c>
      <c r="R1693" s="1" t="s">
        <v>137</v>
      </c>
      <c r="S1693" s="1" t="s">
        <v>47</v>
      </c>
      <c r="T1693" s="1" t="s">
        <v>4301</v>
      </c>
      <c r="U1693" s="1" t="s">
        <v>1577</v>
      </c>
      <c r="V1693" s="1" t="s">
        <v>5104</v>
      </c>
      <c r="W1693" s="3">
        <v>46085.0</v>
      </c>
      <c r="X1693" s="3">
        <v>46085.0</v>
      </c>
    </row>
    <row r="1694">
      <c r="A1694" s="1" t="s">
        <v>16943</v>
      </c>
      <c r="B1694" s="1" t="s">
        <v>12192</v>
      </c>
      <c r="C1694" s="1" t="s">
        <v>12192</v>
      </c>
      <c r="D1694" s="1" t="s">
        <v>4293</v>
      </c>
      <c r="E1694" s="1" t="s">
        <v>12194</v>
      </c>
      <c r="F1694" s="1" t="s">
        <v>16944</v>
      </c>
      <c r="G1694" s="3">
        <v>45888.0</v>
      </c>
      <c r="H1694" s="3">
        <v>46085.0</v>
      </c>
      <c r="I1694" s="3">
        <v>46085.0</v>
      </c>
      <c r="J1694" s="1" t="s">
        <v>215</v>
      </c>
      <c r="K1694" s="1" t="s">
        <v>160</v>
      </c>
      <c r="L1694" s="1" t="s">
        <v>216</v>
      </c>
      <c r="M1694" s="1" t="s">
        <v>131</v>
      </c>
      <c r="Q1694" s="1" t="s">
        <v>137</v>
      </c>
      <c r="R1694" s="1" t="s">
        <v>137</v>
      </c>
      <c r="S1694" s="1" t="s">
        <v>47</v>
      </c>
      <c r="T1694" s="1" t="s">
        <v>4301</v>
      </c>
      <c r="U1694" s="1" t="s">
        <v>1577</v>
      </c>
      <c r="V1694" s="1" t="s">
        <v>5120</v>
      </c>
      <c r="W1694" s="3">
        <v>46085.0</v>
      </c>
      <c r="X1694" s="3">
        <v>46085.0</v>
      </c>
    </row>
    <row r="1695">
      <c r="A1695" s="1" t="s">
        <v>16945</v>
      </c>
      <c r="B1695" s="1" t="s">
        <v>10968</v>
      </c>
      <c r="C1695" s="1" t="s">
        <v>10968</v>
      </c>
      <c r="D1695" s="1" t="s">
        <v>4293</v>
      </c>
      <c r="E1695" s="1" t="s">
        <v>12203</v>
      </c>
      <c r="F1695" s="1" t="s">
        <v>16946</v>
      </c>
      <c r="G1695" s="3">
        <v>44246.0</v>
      </c>
      <c r="H1695" s="3">
        <v>44516.0</v>
      </c>
      <c r="I1695" s="3">
        <v>44516.0</v>
      </c>
      <c r="J1695" s="1" t="s">
        <v>215</v>
      </c>
      <c r="K1695" s="1" t="s">
        <v>160</v>
      </c>
      <c r="L1695" s="1" t="s">
        <v>216</v>
      </c>
      <c r="M1695" s="1" t="s">
        <v>131</v>
      </c>
      <c r="Q1695" s="1" t="s">
        <v>137</v>
      </c>
      <c r="R1695" s="1" t="s">
        <v>137</v>
      </c>
      <c r="S1695" s="1" t="s">
        <v>47</v>
      </c>
      <c r="T1695" s="1" t="s">
        <v>4301</v>
      </c>
      <c r="U1695" s="1" t="s">
        <v>1577</v>
      </c>
      <c r="V1695" s="1" t="s">
        <v>3858</v>
      </c>
      <c r="W1695" s="3">
        <v>44516.0</v>
      </c>
      <c r="X1695" s="3">
        <v>44516.0</v>
      </c>
    </row>
    <row r="1696">
      <c r="A1696" s="1" t="s">
        <v>16947</v>
      </c>
      <c r="B1696" s="1" t="s">
        <v>12209</v>
      </c>
      <c r="C1696" s="1" t="s">
        <v>12209</v>
      </c>
      <c r="D1696" s="1" t="s">
        <v>4293</v>
      </c>
      <c r="E1696" s="1" t="s">
        <v>12210</v>
      </c>
      <c r="F1696" s="1" t="s">
        <v>16948</v>
      </c>
      <c r="G1696" s="3">
        <v>44000.0</v>
      </c>
      <c r="H1696" s="3">
        <v>44004.0</v>
      </c>
      <c r="I1696" s="3">
        <v>44004.0</v>
      </c>
      <c r="J1696" s="1" t="s">
        <v>215</v>
      </c>
      <c r="K1696" s="1" t="s">
        <v>160</v>
      </c>
      <c r="L1696" s="1" t="s">
        <v>216</v>
      </c>
      <c r="M1696" s="1" t="s">
        <v>131</v>
      </c>
      <c r="Q1696" s="1" t="s">
        <v>137</v>
      </c>
      <c r="R1696" s="1" t="s">
        <v>137</v>
      </c>
      <c r="S1696" s="1" t="s">
        <v>47</v>
      </c>
      <c r="T1696" s="1" t="s">
        <v>4301</v>
      </c>
      <c r="U1696" s="1" t="s">
        <v>1577</v>
      </c>
      <c r="V1696" s="1" t="s">
        <v>3858</v>
      </c>
      <c r="W1696" s="3">
        <v>44004.0</v>
      </c>
      <c r="X1696" s="3">
        <v>44004.0</v>
      </c>
    </row>
    <row r="1697">
      <c r="A1697" s="1" t="s">
        <v>16949</v>
      </c>
      <c r="B1697" s="1" t="s">
        <v>12216</v>
      </c>
      <c r="C1697" s="1" t="s">
        <v>12216</v>
      </c>
      <c r="D1697" s="1" t="s">
        <v>4293</v>
      </c>
      <c r="E1697" s="1" t="s">
        <v>12218</v>
      </c>
      <c r="F1697" s="1" t="s">
        <v>16950</v>
      </c>
      <c r="G1697" s="3">
        <v>45429.0</v>
      </c>
      <c r="H1697" s="3">
        <v>45735.0</v>
      </c>
      <c r="I1697" s="3">
        <v>45735.0</v>
      </c>
      <c r="J1697" s="1" t="s">
        <v>215</v>
      </c>
      <c r="K1697" s="1" t="s">
        <v>160</v>
      </c>
      <c r="L1697" s="1" t="s">
        <v>216</v>
      </c>
      <c r="M1697" s="1" t="s">
        <v>131</v>
      </c>
      <c r="Q1697" s="1" t="s">
        <v>137</v>
      </c>
      <c r="R1697" s="1" t="s">
        <v>137</v>
      </c>
      <c r="S1697" s="1" t="s">
        <v>47</v>
      </c>
      <c r="T1697" s="1" t="s">
        <v>4301</v>
      </c>
      <c r="U1697" s="1" t="s">
        <v>1577</v>
      </c>
      <c r="V1697" s="1" t="s">
        <v>3858</v>
      </c>
      <c r="W1697" s="3">
        <v>45735.0</v>
      </c>
      <c r="X1697" s="3">
        <v>45735.0</v>
      </c>
    </row>
    <row r="1698">
      <c r="A1698" s="1" t="s">
        <v>16951</v>
      </c>
      <c r="B1698" s="1" t="s">
        <v>12224</v>
      </c>
      <c r="C1698" s="1" t="s">
        <v>12224</v>
      </c>
      <c r="D1698" s="1" t="s">
        <v>4293</v>
      </c>
      <c r="E1698" s="1" t="s">
        <v>12227</v>
      </c>
      <c r="F1698" s="1" t="s">
        <v>16952</v>
      </c>
      <c r="G1698" s="3">
        <v>44274.0</v>
      </c>
      <c r="H1698" s="3">
        <v>44532.0</v>
      </c>
      <c r="I1698" s="3">
        <v>44532.0</v>
      </c>
      <c r="J1698" s="1" t="s">
        <v>215</v>
      </c>
      <c r="K1698" s="1" t="s">
        <v>160</v>
      </c>
      <c r="L1698" s="1" t="s">
        <v>216</v>
      </c>
      <c r="M1698" s="1" t="s">
        <v>131</v>
      </c>
      <c r="Q1698" s="1" t="s">
        <v>137</v>
      </c>
      <c r="R1698" s="1" t="s">
        <v>137</v>
      </c>
      <c r="S1698" s="1" t="s">
        <v>47</v>
      </c>
      <c r="T1698" s="1" t="s">
        <v>4301</v>
      </c>
      <c r="U1698" s="1" t="s">
        <v>1577</v>
      </c>
      <c r="V1698" s="1" t="s">
        <v>3858</v>
      </c>
      <c r="W1698" s="3">
        <v>44532.0</v>
      </c>
      <c r="X1698" s="3">
        <v>44532.0</v>
      </c>
    </row>
    <row r="1699">
      <c r="A1699" s="1" t="s">
        <v>16953</v>
      </c>
      <c r="B1699" s="1" t="s">
        <v>14106</v>
      </c>
      <c r="C1699" s="1" t="s">
        <v>14106</v>
      </c>
      <c r="D1699" s="1" t="s">
        <v>4293</v>
      </c>
      <c r="E1699" s="1" t="s">
        <v>16954</v>
      </c>
      <c r="F1699" s="1" t="s">
        <v>16955</v>
      </c>
      <c r="G1699" s="3">
        <v>45961.0</v>
      </c>
      <c r="J1699" s="1" t="s">
        <v>124</v>
      </c>
      <c r="K1699" s="1" t="s">
        <v>160</v>
      </c>
      <c r="L1699" s="1" t="s">
        <v>253</v>
      </c>
      <c r="M1699" s="1" t="s">
        <v>131</v>
      </c>
      <c r="Q1699" s="1" t="s">
        <v>137</v>
      </c>
      <c r="R1699" s="1" t="s">
        <v>137</v>
      </c>
      <c r="S1699" s="1" t="s">
        <v>47</v>
      </c>
      <c r="T1699" s="1" t="s">
        <v>4301</v>
      </c>
      <c r="U1699" s="1" t="s">
        <v>1577</v>
      </c>
      <c r="V1699" s="1" t="s">
        <v>3963</v>
      </c>
      <c r="W1699" s="3"/>
    </row>
    <row r="1700">
      <c r="A1700" s="1" t="s">
        <v>16956</v>
      </c>
      <c r="B1700" s="1" t="s">
        <v>14106</v>
      </c>
      <c r="C1700" s="1" t="s">
        <v>14106</v>
      </c>
      <c r="D1700" s="1" t="s">
        <v>4293</v>
      </c>
      <c r="E1700" s="1" t="s">
        <v>16954</v>
      </c>
      <c r="F1700" s="1" t="s">
        <v>16957</v>
      </c>
      <c r="G1700" s="3">
        <v>45961.0</v>
      </c>
      <c r="J1700" s="1" t="s">
        <v>124</v>
      </c>
      <c r="K1700" s="1" t="s">
        <v>160</v>
      </c>
      <c r="L1700" s="1" t="s">
        <v>253</v>
      </c>
      <c r="M1700" s="1" t="s">
        <v>131</v>
      </c>
      <c r="Q1700" s="1" t="s">
        <v>137</v>
      </c>
      <c r="R1700" s="1" t="s">
        <v>137</v>
      </c>
      <c r="S1700" s="1" t="s">
        <v>47</v>
      </c>
      <c r="T1700" s="1" t="s">
        <v>4301</v>
      </c>
      <c r="U1700" s="1" t="s">
        <v>1577</v>
      </c>
      <c r="V1700" s="1" t="s">
        <v>4679</v>
      </c>
      <c r="W1700" s="3"/>
    </row>
    <row r="1701">
      <c r="A1701" s="1" t="s">
        <v>16958</v>
      </c>
      <c r="B1701" s="1" t="s">
        <v>14106</v>
      </c>
      <c r="C1701" s="1" t="s">
        <v>14106</v>
      </c>
      <c r="D1701" s="1" t="s">
        <v>4293</v>
      </c>
      <c r="E1701" s="1" t="s">
        <v>16954</v>
      </c>
      <c r="F1701" s="1" t="s">
        <v>16959</v>
      </c>
      <c r="G1701" s="3">
        <v>45961.0</v>
      </c>
      <c r="J1701" s="1" t="s">
        <v>124</v>
      </c>
      <c r="K1701" s="1" t="s">
        <v>160</v>
      </c>
      <c r="L1701" s="1" t="s">
        <v>253</v>
      </c>
      <c r="M1701" s="1" t="s">
        <v>131</v>
      </c>
      <c r="Q1701" s="1" t="s">
        <v>137</v>
      </c>
      <c r="R1701" s="1" t="s">
        <v>137</v>
      </c>
      <c r="S1701" s="1" t="s">
        <v>47</v>
      </c>
      <c r="T1701" s="1" t="s">
        <v>4301</v>
      </c>
      <c r="U1701" s="1" t="s">
        <v>1577</v>
      </c>
      <c r="V1701" s="1" t="s">
        <v>4950</v>
      </c>
      <c r="W1701" s="3"/>
    </row>
    <row r="1702">
      <c r="A1702" s="1" t="s">
        <v>16960</v>
      </c>
      <c r="B1702" s="1" t="s">
        <v>14106</v>
      </c>
      <c r="C1702" s="1" t="s">
        <v>14106</v>
      </c>
      <c r="D1702" s="1" t="s">
        <v>4293</v>
      </c>
      <c r="E1702" s="1" t="s">
        <v>16954</v>
      </c>
      <c r="F1702" s="1" t="s">
        <v>16961</v>
      </c>
      <c r="G1702" s="3">
        <v>45961.0</v>
      </c>
      <c r="H1702" s="3"/>
      <c r="I1702" s="3"/>
      <c r="J1702" s="1" t="s">
        <v>124</v>
      </c>
      <c r="K1702" s="1" t="s">
        <v>160</v>
      </c>
      <c r="L1702" s="1" t="s">
        <v>253</v>
      </c>
      <c r="M1702" s="1" t="s">
        <v>131</v>
      </c>
      <c r="Q1702" s="1" t="s">
        <v>137</v>
      </c>
      <c r="R1702" s="1" t="s">
        <v>137</v>
      </c>
      <c r="S1702" s="1" t="s">
        <v>47</v>
      </c>
      <c r="T1702" s="1" t="s">
        <v>4301</v>
      </c>
      <c r="U1702" s="1" t="s">
        <v>1577</v>
      </c>
      <c r="V1702" s="1" t="s">
        <v>5104</v>
      </c>
      <c r="W1702" s="3"/>
      <c r="X1702" s="3"/>
    </row>
    <row r="1703">
      <c r="A1703" s="1" t="s">
        <v>16962</v>
      </c>
      <c r="B1703" s="1" t="s">
        <v>14106</v>
      </c>
      <c r="C1703" s="1" t="s">
        <v>14106</v>
      </c>
      <c r="D1703" s="1" t="s">
        <v>4293</v>
      </c>
      <c r="E1703" s="1" t="s">
        <v>16954</v>
      </c>
      <c r="F1703" s="1" t="s">
        <v>16963</v>
      </c>
      <c r="G1703" s="3">
        <v>45961.0</v>
      </c>
      <c r="H1703" s="3"/>
      <c r="I1703" s="3"/>
      <c r="J1703" s="1" t="s">
        <v>124</v>
      </c>
      <c r="K1703" s="1" t="s">
        <v>160</v>
      </c>
      <c r="L1703" s="1" t="s">
        <v>253</v>
      </c>
      <c r="M1703" s="1" t="s">
        <v>131</v>
      </c>
      <c r="Q1703" s="1" t="s">
        <v>137</v>
      </c>
      <c r="R1703" s="1" t="s">
        <v>137</v>
      </c>
      <c r="S1703" s="1" t="s">
        <v>47</v>
      </c>
      <c r="T1703" s="1" t="s">
        <v>4301</v>
      </c>
      <c r="U1703" s="1" t="s">
        <v>1577</v>
      </c>
      <c r="V1703" s="1" t="s">
        <v>5120</v>
      </c>
      <c r="W1703" s="3"/>
      <c r="X1703" s="3"/>
    </row>
    <row r="1704">
      <c r="A1704" s="1" t="s">
        <v>16964</v>
      </c>
      <c r="B1704" s="1" t="s">
        <v>12233</v>
      </c>
      <c r="C1704" s="1" t="s">
        <v>12233</v>
      </c>
      <c r="D1704" s="1" t="s">
        <v>4293</v>
      </c>
      <c r="E1704" s="1" t="s">
        <v>12235</v>
      </c>
      <c r="F1704" s="1" t="s">
        <v>16965</v>
      </c>
      <c r="G1704" s="3">
        <v>45980.0</v>
      </c>
      <c r="H1704" s="3">
        <v>45985.0</v>
      </c>
      <c r="I1704" s="3">
        <v>45985.0</v>
      </c>
      <c r="J1704" s="1" t="s">
        <v>215</v>
      </c>
      <c r="K1704" s="1" t="s">
        <v>160</v>
      </c>
      <c r="L1704" s="1" t="s">
        <v>216</v>
      </c>
      <c r="M1704" s="1" t="s">
        <v>131</v>
      </c>
      <c r="Q1704" s="1" t="s">
        <v>137</v>
      </c>
      <c r="R1704" s="1" t="s">
        <v>137</v>
      </c>
      <c r="S1704" s="1" t="s">
        <v>47</v>
      </c>
      <c r="T1704" s="1" t="s">
        <v>4301</v>
      </c>
      <c r="U1704" s="1" t="s">
        <v>1577</v>
      </c>
      <c r="V1704" s="1" t="s">
        <v>4679</v>
      </c>
      <c r="W1704" s="3">
        <v>45985.0</v>
      </c>
      <c r="X1704" s="3">
        <v>45985.0</v>
      </c>
    </row>
    <row r="1705">
      <c r="A1705" s="1" t="s">
        <v>16966</v>
      </c>
      <c r="B1705" s="1" t="s">
        <v>12233</v>
      </c>
      <c r="C1705" s="1" t="s">
        <v>12233</v>
      </c>
      <c r="D1705" s="1" t="s">
        <v>4293</v>
      </c>
      <c r="E1705" s="1" t="s">
        <v>12235</v>
      </c>
      <c r="F1705" s="1" t="s">
        <v>16967</v>
      </c>
      <c r="G1705" s="3">
        <v>45980.0</v>
      </c>
      <c r="H1705" s="3">
        <v>45985.0</v>
      </c>
      <c r="I1705" s="3">
        <v>45985.0</v>
      </c>
      <c r="J1705" s="1" t="s">
        <v>215</v>
      </c>
      <c r="K1705" s="1" t="s">
        <v>160</v>
      </c>
      <c r="L1705" s="1" t="s">
        <v>216</v>
      </c>
      <c r="M1705" s="1" t="s">
        <v>131</v>
      </c>
      <c r="Q1705" s="1" t="s">
        <v>137</v>
      </c>
      <c r="R1705" s="1" t="s">
        <v>137</v>
      </c>
      <c r="S1705" s="1" t="s">
        <v>47</v>
      </c>
      <c r="T1705" s="1" t="s">
        <v>4301</v>
      </c>
      <c r="U1705" s="1" t="s">
        <v>1577</v>
      </c>
      <c r="V1705" s="1" t="s">
        <v>4950</v>
      </c>
      <c r="W1705" s="3">
        <v>45985.0</v>
      </c>
      <c r="X1705" s="3">
        <v>45985.0</v>
      </c>
    </row>
    <row r="1706">
      <c r="A1706" s="1" t="s">
        <v>16968</v>
      </c>
      <c r="B1706" s="1" t="s">
        <v>12233</v>
      </c>
      <c r="C1706" s="1" t="s">
        <v>12233</v>
      </c>
      <c r="D1706" s="1" t="s">
        <v>4293</v>
      </c>
      <c r="E1706" s="1" t="s">
        <v>12235</v>
      </c>
      <c r="F1706" s="1" t="s">
        <v>16969</v>
      </c>
      <c r="G1706" s="3">
        <v>45980.0</v>
      </c>
      <c r="H1706" s="3">
        <v>45985.0</v>
      </c>
      <c r="I1706" s="3">
        <v>45985.0</v>
      </c>
      <c r="J1706" s="1" t="s">
        <v>215</v>
      </c>
      <c r="K1706" s="1" t="s">
        <v>160</v>
      </c>
      <c r="L1706" s="1" t="s">
        <v>216</v>
      </c>
      <c r="M1706" s="1" t="s">
        <v>131</v>
      </c>
      <c r="O1706" s="1"/>
      <c r="Q1706" s="1" t="s">
        <v>137</v>
      </c>
      <c r="R1706" s="1" t="s">
        <v>137</v>
      </c>
      <c r="S1706" s="1" t="s">
        <v>47</v>
      </c>
      <c r="T1706" s="1" t="s">
        <v>4301</v>
      </c>
      <c r="U1706" s="1" t="s">
        <v>1577</v>
      </c>
      <c r="V1706" s="1" t="s">
        <v>5104</v>
      </c>
      <c r="W1706" s="3">
        <v>45985.0</v>
      </c>
      <c r="X1706" s="3">
        <v>45985.0</v>
      </c>
    </row>
    <row r="1707">
      <c r="A1707" s="1" t="s">
        <v>16970</v>
      </c>
      <c r="B1707" s="1" t="s">
        <v>12233</v>
      </c>
      <c r="C1707" s="1" t="s">
        <v>12233</v>
      </c>
      <c r="D1707" s="1" t="s">
        <v>4293</v>
      </c>
      <c r="E1707" s="1" t="s">
        <v>12235</v>
      </c>
      <c r="F1707" s="1" t="s">
        <v>16971</v>
      </c>
      <c r="G1707" s="3">
        <v>45980.0</v>
      </c>
      <c r="H1707" s="3">
        <v>45985.0</v>
      </c>
      <c r="I1707" s="3">
        <v>45985.0</v>
      </c>
      <c r="J1707" s="1" t="s">
        <v>215</v>
      </c>
      <c r="K1707" s="1" t="s">
        <v>160</v>
      </c>
      <c r="L1707" s="1" t="s">
        <v>216</v>
      </c>
      <c r="M1707" s="1" t="s">
        <v>131</v>
      </c>
      <c r="O1707" s="1"/>
      <c r="Q1707" s="1" t="s">
        <v>137</v>
      </c>
      <c r="R1707" s="1" t="s">
        <v>137</v>
      </c>
      <c r="S1707" s="1" t="s">
        <v>47</v>
      </c>
      <c r="T1707" s="1" t="s">
        <v>4301</v>
      </c>
      <c r="U1707" s="1" t="s">
        <v>1577</v>
      </c>
      <c r="V1707" s="1" t="s">
        <v>5120</v>
      </c>
      <c r="W1707" s="3">
        <v>45985.0</v>
      </c>
      <c r="X1707" s="3">
        <v>45985.0</v>
      </c>
    </row>
    <row r="1708">
      <c r="A1708" s="1" t="s">
        <v>16972</v>
      </c>
      <c r="B1708" s="1" t="s">
        <v>12243</v>
      </c>
      <c r="C1708" s="1" t="s">
        <v>12243</v>
      </c>
      <c r="D1708" s="1" t="s">
        <v>4293</v>
      </c>
      <c r="E1708" s="1" t="s">
        <v>12245</v>
      </c>
      <c r="F1708" s="1" t="s">
        <v>16973</v>
      </c>
      <c r="G1708" s="3">
        <v>44649.0</v>
      </c>
      <c r="H1708" s="3">
        <v>44832.0</v>
      </c>
      <c r="I1708" s="3">
        <v>44832.0</v>
      </c>
      <c r="J1708" s="1" t="s">
        <v>215</v>
      </c>
      <c r="K1708" s="1" t="s">
        <v>160</v>
      </c>
      <c r="L1708" s="1" t="s">
        <v>216</v>
      </c>
      <c r="M1708" s="1" t="s">
        <v>131</v>
      </c>
      <c r="O1708" s="1"/>
      <c r="Q1708" s="1" t="s">
        <v>137</v>
      </c>
      <c r="R1708" s="1" t="s">
        <v>137</v>
      </c>
      <c r="S1708" s="1" t="s">
        <v>47</v>
      </c>
      <c r="T1708" s="1" t="s">
        <v>4301</v>
      </c>
      <c r="U1708" s="1" t="s">
        <v>1577</v>
      </c>
      <c r="V1708" s="1" t="s">
        <v>3858</v>
      </c>
      <c r="W1708" s="3">
        <v>44832.0</v>
      </c>
      <c r="X1708" s="3">
        <v>44832.0</v>
      </c>
    </row>
    <row r="1709">
      <c r="A1709" s="1" t="s">
        <v>16974</v>
      </c>
      <c r="B1709" s="1" t="s">
        <v>13775</v>
      </c>
      <c r="C1709" s="1" t="s">
        <v>13775</v>
      </c>
      <c r="D1709" s="1" t="s">
        <v>4293</v>
      </c>
      <c r="E1709" s="1" t="s">
        <v>16975</v>
      </c>
      <c r="F1709" s="1" t="s">
        <v>16976</v>
      </c>
      <c r="G1709" s="3">
        <v>45684.0</v>
      </c>
      <c r="H1709" s="3"/>
      <c r="I1709" s="13"/>
      <c r="J1709" s="1" t="s">
        <v>124</v>
      </c>
      <c r="K1709" s="1" t="s">
        <v>160</v>
      </c>
      <c r="L1709" s="1" t="s">
        <v>253</v>
      </c>
      <c r="M1709" s="1" t="s">
        <v>131</v>
      </c>
      <c r="O1709" s="1"/>
      <c r="Q1709" s="1" t="s">
        <v>137</v>
      </c>
      <c r="R1709" s="1" t="s">
        <v>137</v>
      </c>
      <c r="S1709" s="1" t="s">
        <v>47</v>
      </c>
      <c r="T1709" s="1" t="s">
        <v>4301</v>
      </c>
      <c r="U1709" s="1" t="s">
        <v>1577</v>
      </c>
      <c r="V1709" s="1" t="s">
        <v>3858</v>
      </c>
      <c r="W1709" s="3"/>
    </row>
    <row r="1710">
      <c r="A1710" s="1" t="s">
        <v>16977</v>
      </c>
      <c r="B1710" s="1" t="s">
        <v>12262</v>
      </c>
      <c r="C1710" s="1" t="s">
        <v>12262</v>
      </c>
      <c r="D1710" s="1" t="s">
        <v>4293</v>
      </c>
      <c r="E1710" s="1" t="s">
        <v>12265</v>
      </c>
      <c r="F1710" s="1" t="s">
        <v>16978</v>
      </c>
      <c r="G1710" s="3">
        <v>42867.0</v>
      </c>
      <c r="H1710" s="3">
        <v>42893.0</v>
      </c>
      <c r="I1710" s="3">
        <v>42893.0</v>
      </c>
      <c r="J1710" s="1" t="s">
        <v>215</v>
      </c>
      <c r="K1710" s="1" t="s">
        <v>160</v>
      </c>
      <c r="L1710" s="1" t="s">
        <v>216</v>
      </c>
      <c r="M1710" s="1" t="s">
        <v>131</v>
      </c>
      <c r="O1710" s="1"/>
      <c r="Q1710" s="1" t="s">
        <v>137</v>
      </c>
      <c r="R1710" s="1" t="s">
        <v>137</v>
      </c>
      <c r="S1710" s="1" t="s">
        <v>47</v>
      </c>
      <c r="T1710" s="1" t="s">
        <v>4301</v>
      </c>
      <c r="U1710" s="1" t="s">
        <v>1577</v>
      </c>
      <c r="V1710" s="1" t="s">
        <v>3858</v>
      </c>
      <c r="W1710" s="3">
        <v>42893.0</v>
      </c>
      <c r="X1710" s="3">
        <v>42893.0</v>
      </c>
    </row>
    <row r="1711">
      <c r="A1711" s="1" t="s">
        <v>16979</v>
      </c>
      <c r="B1711" s="1" t="s">
        <v>12272</v>
      </c>
      <c r="C1711" s="1" t="s">
        <v>12272</v>
      </c>
      <c r="D1711" s="1" t="s">
        <v>4293</v>
      </c>
      <c r="E1711" s="1" t="s">
        <v>12273</v>
      </c>
      <c r="F1711" s="1" t="s">
        <v>16980</v>
      </c>
      <c r="G1711" s="3">
        <v>46203.0</v>
      </c>
      <c r="H1711" s="3">
        <v>46364.0</v>
      </c>
      <c r="I1711" s="3"/>
      <c r="J1711" s="1" t="s">
        <v>124</v>
      </c>
      <c r="K1711" s="1" t="s">
        <v>160</v>
      </c>
      <c r="L1711" s="1" t="s">
        <v>363</v>
      </c>
      <c r="M1711" s="1" t="s">
        <v>131</v>
      </c>
      <c r="O1711" s="1" t="s">
        <v>3947</v>
      </c>
      <c r="Q1711" s="1" t="s">
        <v>137</v>
      </c>
      <c r="R1711" s="1" t="s">
        <v>137</v>
      </c>
      <c r="S1711" s="1" t="s">
        <v>47</v>
      </c>
      <c r="T1711" s="1" t="s">
        <v>14915</v>
      </c>
      <c r="U1711" s="1" t="s">
        <v>1577</v>
      </c>
      <c r="V1711" s="1" t="s">
        <v>3858</v>
      </c>
      <c r="W1711" s="3">
        <v>46364.0</v>
      </c>
      <c r="X1711" s="3"/>
    </row>
    <row r="1712">
      <c r="A1712" s="1" t="s">
        <v>16981</v>
      </c>
      <c r="B1712" s="1" t="s">
        <v>12272</v>
      </c>
      <c r="C1712" s="1" t="s">
        <v>12272</v>
      </c>
      <c r="D1712" s="1" t="s">
        <v>4293</v>
      </c>
      <c r="E1712" s="1" t="s">
        <v>12273</v>
      </c>
      <c r="F1712" s="1" t="s">
        <v>16982</v>
      </c>
      <c r="G1712" s="3">
        <v>46203.0</v>
      </c>
      <c r="H1712" s="3">
        <v>46364.0</v>
      </c>
      <c r="I1712" s="3"/>
      <c r="J1712" s="1" t="s">
        <v>124</v>
      </c>
      <c r="K1712" s="1" t="s">
        <v>160</v>
      </c>
      <c r="L1712" s="1" t="s">
        <v>363</v>
      </c>
      <c r="M1712" s="1" t="s">
        <v>131</v>
      </c>
      <c r="O1712" s="1" t="s">
        <v>3947</v>
      </c>
      <c r="Q1712" s="1" t="s">
        <v>137</v>
      </c>
      <c r="R1712" s="1" t="s">
        <v>137</v>
      </c>
      <c r="S1712" s="1" t="s">
        <v>47</v>
      </c>
      <c r="T1712" s="1" t="s">
        <v>14915</v>
      </c>
      <c r="U1712" s="1" t="s">
        <v>1577</v>
      </c>
      <c r="V1712" s="1" t="s">
        <v>4054</v>
      </c>
      <c r="W1712" s="3">
        <v>46364.0</v>
      </c>
      <c r="X1712" s="3"/>
    </row>
    <row r="1713">
      <c r="A1713" s="1" t="s">
        <v>16983</v>
      </c>
      <c r="B1713" s="1" t="s">
        <v>10646</v>
      </c>
      <c r="C1713" s="1" t="s">
        <v>10646</v>
      </c>
      <c r="D1713" s="1" t="s">
        <v>4293</v>
      </c>
      <c r="E1713" s="1" t="s">
        <v>12281</v>
      </c>
      <c r="F1713" s="1" t="s">
        <v>16984</v>
      </c>
      <c r="G1713" s="3">
        <v>45649.0</v>
      </c>
      <c r="H1713" s="3">
        <v>45887.0</v>
      </c>
      <c r="I1713" s="3">
        <v>45887.0</v>
      </c>
      <c r="J1713" s="1" t="s">
        <v>215</v>
      </c>
      <c r="K1713" s="1" t="s">
        <v>160</v>
      </c>
      <c r="L1713" s="1" t="s">
        <v>216</v>
      </c>
      <c r="M1713" s="1" t="s">
        <v>131</v>
      </c>
      <c r="Q1713" s="1" t="s">
        <v>137</v>
      </c>
      <c r="R1713" s="1" t="s">
        <v>137</v>
      </c>
      <c r="S1713" s="1" t="s">
        <v>47</v>
      </c>
      <c r="T1713" s="1" t="s">
        <v>4301</v>
      </c>
      <c r="U1713" s="1" t="s">
        <v>1577</v>
      </c>
      <c r="V1713" s="1" t="s">
        <v>3858</v>
      </c>
      <c r="W1713" s="3">
        <v>45887.0</v>
      </c>
      <c r="X1713" s="3">
        <v>45887.0</v>
      </c>
    </row>
    <row r="1714">
      <c r="A1714" s="1" t="s">
        <v>16985</v>
      </c>
      <c r="B1714" s="1" t="s">
        <v>12290</v>
      </c>
      <c r="C1714" s="1" t="s">
        <v>12290</v>
      </c>
      <c r="D1714" s="1" t="s">
        <v>4293</v>
      </c>
      <c r="E1714" s="1" t="s">
        <v>12291</v>
      </c>
      <c r="F1714" s="1" t="s">
        <v>16986</v>
      </c>
      <c r="G1714" s="3">
        <v>44468.0</v>
      </c>
      <c r="H1714" s="3">
        <v>44657.0</v>
      </c>
      <c r="I1714" s="3">
        <v>44657.0</v>
      </c>
      <c r="J1714" s="1" t="s">
        <v>215</v>
      </c>
      <c r="K1714" s="1" t="s">
        <v>160</v>
      </c>
      <c r="L1714" s="1" t="s">
        <v>216</v>
      </c>
      <c r="M1714" s="1" t="s">
        <v>131</v>
      </c>
      <c r="Q1714" s="1" t="s">
        <v>137</v>
      </c>
      <c r="R1714" s="1" t="s">
        <v>137</v>
      </c>
      <c r="S1714" s="1" t="s">
        <v>47</v>
      </c>
      <c r="T1714" s="1" t="s">
        <v>4301</v>
      </c>
      <c r="U1714" s="1" t="s">
        <v>1577</v>
      </c>
      <c r="V1714" s="1" t="s">
        <v>3858</v>
      </c>
      <c r="W1714" s="3">
        <v>44657.0</v>
      </c>
      <c r="X1714" s="3">
        <v>44657.0</v>
      </c>
    </row>
    <row r="1715">
      <c r="A1715" s="1" t="s">
        <v>16987</v>
      </c>
      <c r="B1715" s="1" t="s">
        <v>14125</v>
      </c>
      <c r="C1715" s="1" t="s">
        <v>14125</v>
      </c>
      <c r="D1715" s="1" t="s">
        <v>4293</v>
      </c>
      <c r="E1715" s="1" t="s">
        <v>16988</v>
      </c>
      <c r="F1715" s="1" t="s">
        <v>16989</v>
      </c>
      <c r="G1715" s="3">
        <v>45793.0</v>
      </c>
      <c r="H1715" s="3"/>
      <c r="I1715" s="3"/>
      <c r="J1715" s="1" t="s">
        <v>124</v>
      </c>
      <c r="K1715" s="1" t="s">
        <v>160</v>
      </c>
      <c r="L1715" s="1" t="s">
        <v>253</v>
      </c>
      <c r="M1715" s="1" t="s">
        <v>131</v>
      </c>
      <c r="Q1715" s="1" t="s">
        <v>137</v>
      </c>
      <c r="R1715" s="1" t="s">
        <v>137</v>
      </c>
      <c r="S1715" s="1" t="s">
        <v>47</v>
      </c>
      <c r="T1715" s="1" t="s">
        <v>4301</v>
      </c>
      <c r="U1715" s="1" t="s">
        <v>1577</v>
      </c>
      <c r="V1715" s="1" t="s">
        <v>3858</v>
      </c>
      <c r="W1715" s="3"/>
      <c r="X1715" s="3"/>
    </row>
    <row r="1716">
      <c r="A1716" s="1" t="s">
        <v>16990</v>
      </c>
      <c r="B1716" s="1" t="s">
        <v>4659</v>
      </c>
      <c r="C1716" s="1" t="s">
        <v>4659</v>
      </c>
      <c r="D1716" s="1" t="s">
        <v>4293</v>
      </c>
      <c r="E1716" s="1" t="s">
        <v>12295</v>
      </c>
      <c r="F1716" s="1" t="s">
        <v>16991</v>
      </c>
      <c r="G1716" s="3">
        <v>44853.0</v>
      </c>
      <c r="H1716" s="3">
        <v>45106.0</v>
      </c>
      <c r="I1716" s="3">
        <v>45106.0</v>
      </c>
      <c r="J1716" s="1" t="s">
        <v>215</v>
      </c>
      <c r="K1716" s="1" t="s">
        <v>160</v>
      </c>
      <c r="L1716" s="1" t="s">
        <v>216</v>
      </c>
      <c r="M1716" s="1" t="s">
        <v>131</v>
      </c>
      <c r="Q1716" s="1" t="s">
        <v>137</v>
      </c>
      <c r="R1716" s="1" t="s">
        <v>137</v>
      </c>
      <c r="S1716" s="1" t="s">
        <v>47</v>
      </c>
      <c r="T1716" s="1" t="s">
        <v>4301</v>
      </c>
      <c r="U1716" s="1" t="s">
        <v>1577</v>
      </c>
      <c r="V1716" s="1" t="s">
        <v>3858</v>
      </c>
      <c r="W1716" s="3">
        <v>45106.0</v>
      </c>
      <c r="X1716" s="3">
        <v>45106.0</v>
      </c>
    </row>
    <row r="1717">
      <c r="A1717" s="1" t="s">
        <v>16992</v>
      </c>
      <c r="B1717" s="1" t="s">
        <v>4659</v>
      </c>
      <c r="C1717" s="1" t="s">
        <v>4659</v>
      </c>
      <c r="D1717" s="1" t="s">
        <v>4293</v>
      </c>
      <c r="E1717" s="1" t="s">
        <v>12295</v>
      </c>
      <c r="F1717" s="1" t="s">
        <v>16993</v>
      </c>
      <c r="G1717" s="3">
        <v>44853.0</v>
      </c>
      <c r="H1717" s="3">
        <v>45106.0</v>
      </c>
      <c r="I1717" s="3">
        <v>45106.0</v>
      </c>
      <c r="J1717" s="1" t="s">
        <v>215</v>
      </c>
      <c r="K1717" s="1" t="s">
        <v>160</v>
      </c>
      <c r="L1717" s="1" t="s">
        <v>216</v>
      </c>
      <c r="M1717" s="1" t="s">
        <v>131</v>
      </c>
      <c r="Q1717" s="1" t="s">
        <v>137</v>
      </c>
      <c r="R1717" s="1" t="s">
        <v>137</v>
      </c>
      <c r="S1717" s="1" t="s">
        <v>47</v>
      </c>
      <c r="T1717" s="1" t="s">
        <v>4301</v>
      </c>
      <c r="U1717" s="1" t="s">
        <v>1577</v>
      </c>
      <c r="V1717" s="1" t="s">
        <v>4950</v>
      </c>
      <c r="W1717" s="3">
        <v>45106.0</v>
      </c>
      <c r="X1717" s="3">
        <v>45106.0</v>
      </c>
    </row>
    <row r="1718">
      <c r="A1718" s="1" t="s">
        <v>16994</v>
      </c>
      <c r="B1718" s="1" t="s">
        <v>12300</v>
      </c>
      <c r="C1718" s="1" t="s">
        <v>12300</v>
      </c>
      <c r="D1718" s="1" t="s">
        <v>4293</v>
      </c>
      <c r="E1718" s="1" t="s">
        <v>12302</v>
      </c>
      <c r="F1718" s="1" t="s">
        <v>16995</v>
      </c>
      <c r="G1718" s="3">
        <v>45833.0</v>
      </c>
      <c r="H1718" s="3">
        <v>45999.0</v>
      </c>
      <c r="I1718" s="3">
        <v>45999.0</v>
      </c>
      <c r="J1718" s="1" t="s">
        <v>215</v>
      </c>
      <c r="K1718" s="1" t="s">
        <v>160</v>
      </c>
      <c r="L1718" s="1" t="s">
        <v>216</v>
      </c>
      <c r="M1718" s="1" t="s">
        <v>131</v>
      </c>
      <c r="Q1718" s="1" t="s">
        <v>137</v>
      </c>
      <c r="R1718" s="1" t="s">
        <v>137</v>
      </c>
      <c r="S1718" s="1" t="s">
        <v>47</v>
      </c>
      <c r="T1718" s="1" t="s">
        <v>4301</v>
      </c>
      <c r="U1718" s="1" t="s">
        <v>1577</v>
      </c>
      <c r="V1718" s="1" t="s">
        <v>3858</v>
      </c>
      <c r="W1718" s="3">
        <v>45999.0</v>
      </c>
      <c r="X1718" s="3">
        <v>45999.0</v>
      </c>
    </row>
    <row r="1719">
      <c r="A1719" s="1" t="s">
        <v>16996</v>
      </c>
      <c r="B1719" s="1" t="s">
        <v>12300</v>
      </c>
      <c r="C1719" s="1" t="s">
        <v>12300</v>
      </c>
      <c r="D1719" s="1" t="s">
        <v>4293</v>
      </c>
      <c r="E1719" s="1" t="s">
        <v>12302</v>
      </c>
      <c r="F1719" s="1" t="s">
        <v>16997</v>
      </c>
      <c r="G1719" s="3">
        <v>45833.0</v>
      </c>
      <c r="H1719" s="3">
        <v>45999.0</v>
      </c>
      <c r="I1719" s="3">
        <v>45999.0</v>
      </c>
      <c r="J1719" s="1" t="s">
        <v>215</v>
      </c>
      <c r="K1719" s="1" t="s">
        <v>160</v>
      </c>
      <c r="L1719" s="1" t="s">
        <v>216</v>
      </c>
      <c r="M1719" s="1" t="s">
        <v>131</v>
      </c>
      <c r="Q1719" s="1" t="s">
        <v>137</v>
      </c>
      <c r="R1719" s="1" t="s">
        <v>137</v>
      </c>
      <c r="S1719" s="1" t="s">
        <v>47</v>
      </c>
      <c r="T1719" s="1" t="s">
        <v>4301</v>
      </c>
      <c r="U1719" s="1" t="s">
        <v>1577</v>
      </c>
      <c r="V1719" s="1" t="s">
        <v>4950</v>
      </c>
      <c r="W1719" s="3">
        <v>45999.0</v>
      </c>
      <c r="X1719" s="3">
        <v>45999.0</v>
      </c>
    </row>
    <row r="1720">
      <c r="A1720" s="1" t="s">
        <v>16998</v>
      </c>
      <c r="B1720" s="1" t="s">
        <v>12309</v>
      </c>
      <c r="C1720" s="1" t="s">
        <v>12309</v>
      </c>
      <c r="D1720" s="1" t="s">
        <v>4293</v>
      </c>
      <c r="E1720" s="1" t="s">
        <v>9719</v>
      </c>
      <c r="F1720" s="1" t="s">
        <v>17000</v>
      </c>
      <c r="G1720" s="3">
        <v>44874.0</v>
      </c>
      <c r="H1720" s="3">
        <v>45054.0</v>
      </c>
      <c r="I1720" s="3">
        <v>45054.0</v>
      </c>
      <c r="J1720" s="1" t="s">
        <v>215</v>
      </c>
      <c r="K1720" s="1" t="s">
        <v>160</v>
      </c>
      <c r="L1720" s="1" t="s">
        <v>216</v>
      </c>
      <c r="M1720" s="1" t="s">
        <v>131</v>
      </c>
      <c r="Q1720" s="1" t="s">
        <v>137</v>
      </c>
      <c r="R1720" s="1" t="s">
        <v>137</v>
      </c>
      <c r="S1720" s="1" t="s">
        <v>47</v>
      </c>
      <c r="T1720" s="1" t="s">
        <v>4301</v>
      </c>
      <c r="U1720" s="1" t="s">
        <v>1577</v>
      </c>
      <c r="V1720" s="1" t="s">
        <v>3858</v>
      </c>
      <c r="W1720" s="3">
        <v>45054.0</v>
      </c>
      <c r="X1720" s="3">
        <v>45054.0</v>
      </c>
    </row>
    <row r="1721">
      <c r="A1721" s="1" t="s">
        <v>17004</v>
      </c>
      <c r="B1721" s="1" t="s">
        <v>5665</v>
      </c>
      <c r="C1721" s="1" t="s">
        <v>5665</v>
      </c>
      <c r="D1721" s="1" t="s">
        <v>4293</v>
      </c>
      <c r="E1721" s="1" t="s">
        <v>12316</v>
      </c>
      <c r="F1721" s="1" t="s">
        <v>17005</v>
      </c>
      <c r="G1721" s="3">
        <v>43977.0</v>
      </c>
      <c r="H1721" s="3">
        <v>44013.0</v>
      </c>
      <c r="I1721" s="3">
        <v>44013.0</v>
      </c>
      <c r="J1721" s="1" t="s">
        <v>215</v>
      </c>
      <c r="K1721" s="1" t="s">
        <v>160</v>
      </c>
      <c r="L1721" s="1" t="s">
        <v>216</v>
      </c>
      <c r="M1721" s="1" t="s">
        <v>131</v>
      </c>
      <c r="Q1721" s="1" t="s">
        <v>137</v>
      </c>
      <c r="R1721" s="1" t="s">
        <v>137</v>
      </c>
      <c r="S1721" s="1" t="s">
        <v>47</v>
      </c>
      <c r="T1721" s="1" t="s">
        <v>4301</v>
      </c>
      <c r="U1721" s="1" t="s">
        <v>1577</v>
      </c>
      <c r="V1721" s="1" t="s">
        <v>3858</v>
      </c>
      <c r="W1721" s="3">
        <v>44013.0</v>
      </c>
      <c r="X1721" s="3">
        <v>44013.0</v>
      </c>
    </row>
    <row r="1722">
      <c r="A1722" s="1" t="s">
        <v>17006</v>
      </c>
      <c r="B1722" s="1" t="s">
        <v>10288</v>
      </c>
      <c r="C1722" s="1" t="s">
        <v>10288</v>
      </c>
      <c r="D1722" s="1" t="s">
        <v>4293</v>
      </c>
      <c r="E1722" s="1" t="s">
        <v>12326</v>
      </c>
      <c r="F1722" s="1" t="s">
        <v>17007</v>
      </c>
      <c r="G1722" s="3">
        <v>45685.0</v>
      </c>
      <c r="H1722" s="3">
        <v>45840.0</v>
      </c>
      <c r="I1722" s="3">
        <v>45840.0</v>
      </c>
      <c r="J1722" s="1" t="s">
        <v>215</v>
      </c>
      <c r="K1722" s="1" t="s">
        <v>160</v>
      </c>
      <c r="L1722" s="1" t="s">
        <v>216</v>
      </c>
      <c r="M1722" s="1" t="s">
        <v>131</v>
      </c>
      <c r="Q1722" s="1" t="s">
        <v>137</v>
      </c>
      <c r="R1722" s="1" t="s">
        <v>137</v>
      </c>
      <c r="S1722" s="1" t="s">
        <v>47</v>
      </c>
      <c r="T1722" s="1" t="s">
        <v>4301</v>
      </c>
      <c r="U1722" s="1" t="s">
        <v>1577</v>
      </c>
      <c r="V1722" s="1" t="s">
        <v>4679</v>
      </c>
      <c r="W1722" s="3">
        <v>45840.0</v>
      </c>
      <c r="X1722" s="3">
        <v>45840.0</v>
      </c>
    </row>
    <row r="1723">
      <c r="A1723" s="1" t="s">
        <v>17009</v>
      </c>
      <c r="B1723" s="1" t="s">
        <v>10288</v>
      </c>
      <c r="C1723" s="1" t="s">
        <v>10288</v>
      </c>
      <c r="D1723" s="1" t="s">
        <v>4293</v>
      </c>
      <c r="E1723" s="1" t="s">
        <v>12326</v>
      </c>
      <c r="F1723" s="1" t="s">
        <v>17010</v>
      </c>
      <c r="G1723" s="3">
        <v>45685.0</v>
      </c>
      <c r="H1723" s="3">
        <v>45840.0</v>
      </c>
      <c r="I1723" s="3">
        <v>45840.0</v>
      </c>
      <c r="J1723" s="1" t="s">
        <v>215</v>
      </c>
      <c r="K1723" s="1" t="s">
        <v>160</v>
      </c>
      <c r="L1723" s="1" t="s">
        <v>216</v>
      </c>
      <c r="M1723" s="1" t="s">
        <v>131</v>
      </c>
      <c r="Q1723" s="1" t="s">
        <v>137</v>
      </c>
      <c r="R1723" s="1" t="s">
        <v>137</v>
      </c>
      <c r="S1723" s="1" t="s">
        <v>47</v>
      </c>
      <c r="T1723" s="1" t="s">
        <v>4301</v>
      </c>
      <c r="U1723" s="1" t="s">
        <v>1577</v>
      </c>
      <c r="V1723" s="1" t="s">
        <v>4950</v>
      </c>
      <c r="W1723" s="3">
        <v>45840.0</v>
      </c>
      <c r="X1723" s="3">
        <v>45840.0</v>
      </c>
    </row>
    <row r="1724">
      <c r="A1724" s="1" t="s">
        <v>17011</v>
      </c>
      <c r="B1724" s="1" t="s">
        <v>10288</v>
      </c>
      <c r="C1724" s="1" t="s">
        <v>10288</v>
      </c>
      <c r="D1724" s="1" t="s">
        <v>4293</v>
      </c>
      <c r="E1724" s="1" t="s">
        <v>12326</v>
      </c>
      <c r="F1724" s="1" t="s">
        <v>17012</v>
      </c>
      <c r="G1724" s="3">
        <v>45685.0</v>
      </c>
      <c r="H1724" s="3">
        <v>45840.0</v>
      </c>
      <c r="I1724" s="3">
        <v>45840.0</v>
      </c>
      <c r="J1724" s="1" t="s">
        <v>215</v>
      </c>
      <c r="K1724" s="1" t="s">
        <v>160</v>
      </c>
      <c r="L1724" s="1" t="s">
        <v>216</v>
      </c>
      <c r="M1724" s="1" t="s">
        <v>131</v>
      </c>
      <c r="Q1724" s="1" t="s">
        <v>137</v>
      </c>
      <c r="R1724" s="1" t="s">
        <v>137</v>
      </c>
      <c r="S1724" s="1" t="s">
        <v>47</v>
      </c>
      <c r="T1724" s="1" t="s">
        <v>4301</v>
      </c>
      <c r="U1724" s="1" t="s">
        <v>1577</v>
      </c>
      <c r="V1724" s="1" t="s">
        <v>5104</v>
      </c>
      <c r="W1724" s="3">
        <v>45840.0</v>
      </c>
      <c r="X1724" s="3">
        <v>45840.0</v>
      </c>
    </row>
    <row r="1725">
      <c r="A1725" s="1" t="s">
        <v>17013</v>
      </c>
      <c r="B1725" s="1" t="s">
        <v>10288</v>
      </c>
      <c r="C1725" s="1" t="s">
        <v>10288</v>
      </c>
      <c r="D1725" s="1" t="s">
        <v>4293</v>
      </c>
      <c r="E1725" s="1" t="s">
        <v>12326</v>
      </c>
      <c r="F1725" s="1" t="s">
        <v>17014</v>
      </c>
      <c r="G1725" s="3">
        <v>45685.0</v>
      </c>
      <c r="H1725" s="3">
        <v>45840.0</v>
      </c>
      <c r="I1725" s="3">
        <v>45840.0</v>
      </c>
      <c r="J1725" s="1" t="s">
        <v>215</v>
      </c>
      <c r="K1725" s="1" t="s">
        <v>160</v>
      </c>
      <c r="L1725" s="1" t="s">
        <v>216</v>
      </c>
      <c r="M1725" s="1" t="s">
        <v>131</v>
      </c>
      <c r="Q1725" s="1" t="s">
        <v>137</v>
      </c>
      <c r="R1725" s="1" t="s">
        <v>137</v>
      </c>
      <c r="S1725" s="1" t="s">
        <v>47</v>
      </c>
      <c r="T1725" s="1" t="s">
        <v>4301</v>
      </c>
      <c r="U1725" s="1" t="s">
        <v>1577</v>
      </c>
      <c r="V1725" s="1" t="s">
        <v>5120</v>
      </c>
      <c r="W1725" s="3">
        <v>45840.0</v>
      </c>
      <c r="X1725" s="3">
        <v>45840.0</v>
      </c>
    </row>
    <row r="1726">
      <c r="A1726" s="1" t="s">
        <v>17015</v>
      </c>
      <c r="B1726" s="1" t="s">
        <v>12337</v>
      </c>
      <c r="C1726" s="1" t="s">
        <v>12337</v>
      </c>
      <c r="D1726" s="1" t="s">
        <v>4293</v>
      </c>
      <c r="E1726" s="1" t="s">
        <v>12338</v>
      </c>
      <c r="F1726" s="1" t="s">
        <v>17016</v>
      </c>
      <c r="G1726" s="3">
        <v>43005.0</v>
      </c>
      <c r="H1726" s="3">
        <v>43119.0</v>
      </c>
      <c r="I1726" s="3">
        <v>43119.0</v>
      </c>
      <c r="J1726" s="1" t="s">
        <v>215</v>
      </c>
      <c r="K1726" s="1" t="s">
        <v>160</v>
      </c>
      <c r="L1726" s="1" t="s">
        <v>216</v>
      </c>
      <c r="M1726" s="1" t="s">
        <v>131</v>
      </c>
      <c r="Q1726" s="1" t="s">
        <v>137</v>
      </c>
      <c r="R1726" s="1" t="s">
        <v>137</v>
      </c>
      <c r="S1726" s="1" t="s">
        <v>47</v>
      </c>
      <c r="T1726" s="1" t="s">
        <v>4301</v>
      </c>
      <c r="U1726" s="1" t="s">
        <v>1577</v>
      </c>
      <c r="V1726" s="1" t="s">
        <v>3858</v>
      </c>
      <c r="W1726" s="3">
        <v>43119.0</v>
      </c>
      <c r="X1726" s="3">
        <v>43119.0</v>
      </c>
    </row>
    <row r="1727">
      <c r="A1727" s="1" t="s">
        <v>17017</v>
      </c>
      <c r="B1727" s="1" t="s">
        <v>12344</v>
      </c>
      <c r="C1727" s="1" t="s">
        <v>12344</v>
      </c>
      <c r="D1727" s="1" t="s">
        <v>4293</v>
      </c>
      <c r="E1727" s="1" t="s">
        <v>12346</v>
      </c>
      <c r="F1727" s="1" t="s">
        <v>17018</v>
      </c>
      <c r="G1727" s="3">
        <v>43917.0</v>
      </c>
      <c r="H1727" s="3">
        <v>44012.0</v>
      </c>
      <c r="I1727" s="3">
        <v>44012.0</v>
      </c>
      <c r="J1727" s="1" t="s">
        <v>215</v>
      </c>
      <c r="K1727" s="1" t="s">
        <v>160</v>
      </c>
      <c r="L1727" s="1" t="s">
        <v>216</v>
      </c>
      <c r="M1727" s="1" t="s">
        <v>131</v>
      </c>
      <c r="Q1727" s="1" t="s">
        <v>137</v>
      </c>
      <c r="R1727" s="1" t="s">
        <v>137</v>
      </c>
      <c r="S1727" s="1" t="s">
        <v>47</v>
      </c>
      <c r="T1727" s="1" t="s">
        <v>4301</v>
      </c>
      <c r="U1727" s="1" t="s">
        <v>1577</v>
      </c>
      <c r="V1727" s="1" t="s">
        <v>3858</v>
      </c>
      <c r="W1727" s="3">
        <v>44012.0</v>
      </c>
      <c r="X1727" s="3">
        <v>44012.0</v>
      </c>
    </row>
    <row r="1728">
      <c r="A1728" s="1" t="s">
        <v>17019</v>
      </c>
      <c r="B1728" s="1" t="s">
        <v>12349</v>
      </c>
      <c r="C1728" s="1" t="s">
        <v>12349</v>
      </c>
      <c r="D1728" s="1" t="s">
        <v>4293</v>
      </c>
      <c r="E1728" s="1" t="s">
        <v>12350</v>
      </c>
      <c r="F1728" s="1" t="s">
        <v>17020</v>
      </c>
      <c r="G1728" s="3">
        <v>44314.0</v>
      </c>
      <c r="H1728" s="3">
        <v>44223.0</v>
      </c>
      <c r="I1728" s="3">
        <v>44223.0</v>
      </c>
      <c r="J1728" s="1" t="s">
        <v>215</v>
      </c>
      <c r="K1728" s="1" t="s">
        <v>160</v>
      </c>
      <c r="L1728" s="1" t="s">
        <v>216</v>
      </c>
      <c r="M1728" s="1" t="s">
        <v>131</v>
      </c>
      <c r="Q1728" s="1" t="s">
        <v>137</v>
      </c>
      <c r="R1728" s="1" t="s">
        <v>137</v>
      </c>
      <c r="S1728" s="1" t="s">
        <v>47</v>
      </c>
      <c r="T1728" s="1" t="s">
        <v>4301</v>
      </c>
      <c r="U1728" s="1" t="s">
        <v>1577</v>
      </c>
      <c r="V1728" s="1" t="s">
        <v>3858</v>
      </c>
      <c r="W1728" s="3">
        <v>44223.0</v>
      </c>
      <c r="X1728" s="3">
        <v>44223.0</v>
      </c>
    </row>
    <row r="1729">
      <c r="A1729" s="1" t="s">
        <v>17021</v>
      </c>
      <c r="B1729" s="1" t="s">
        <v>12355</v>
      </c>
      <c r="C1729" s="1" t="s">
        <v>12355</v>
      </c>
      <c r="D1729" s="1" t="s">
        <v>4293</v>
      </c>
      <c r="E1729" s="1" t="s">
        <v>12356</v>
      </c>
      <c r="F1729" s="1" t="s">
        <v>17022</v>
      </c>
      <c r="G1729" s="3">
        <v>44397.0</v>
      </c>
      <c r="H1729" s="3">
        <v>44733.0</v>
      </c>
      <c r="I1729" s="3">
        <v>44733.0</v>
      </c>
      <c r="J1729" s="1" t="s">
        <v>215</v>
      </c>
      <c r="K1729" s="1" t="s">
        <v>160</v>
      </c>
      <c r="L1729" s="1" t="s">
        <v>216</v>
      </c>
      <c r="M1729" s="1" t="s">
        <v>131</v>
      </c>
      <c r="Q1729" s="1" t="s">
        <v>137</v>
      </c>
      <c r="R1729" s="1" t="s">
        <v>137</v>
      </c>
      <c r="S1729" s="1" t="s">
        <v>47</v>
      </c>
      <c r="T1729" s="1" t="s">
        <v>4301</v>
      </c>
      <c r="U1729" s="1" t="s">
        <v>1577</v>
      </c>
      <c r="V1729" s="1" t="s">
        <v>3858</v>
      </c>
      <c r="W1729" s="3">
        <v>44733.0</v>
      </c>
      <c r="X1729" s="3">
        <v>44733.0</v>
      </c>
    </row>
    <row r="1730">
      <c r="A1730" s="1" t="s">
        <v>17023</v>
      </c>
      <c r="B1730" s="1" t="s">
        <v>12355</v>
      </c>
      <c r="C1730" s="1" t="s">
        <v>12355</v>
      </c>
      <c r="D1730" s="1" t="s">
        <v>4293</v>
      </c>
      <c r="E1730" s="1" t="s">
        <v>12356</v>
      </c>
      <c r="F1730" s="1" t="s">
        <v>17024</v>
      </c>
      <c r="G1730" s="3">
        <v>44397.0</v>
      </c>
      <c r="H1730" s="3">
        <v>44733.0</v>
      </c>
      <c r="I1730" s="3">
        <v>44733.0</v>
      </c>
      <c r="J1730" s="1" t="s">
        <v>215</v>
      </c>
      <c r="K1730" s="1" t="s">
        <v>160</v>
      </c>
      <c r="L1730" s="1" t="s">
        <v>216</v>
      </c>
      <c r="M1730" s="1" t="s">
        <v>131</v>
      </c>
      <c r="Q1730" s="1" t="s">
        <v>137</v>
      </c>
      <c r="R1730" s="1" t="s">
        <v>137</v>
      </c>
      <c r="S1730" s="1" t="s">
        <v>47</v>
      </c>
      <c r="T1730" s="1" t="s">
        <v>4301</v>
      </c>
      <c r="U1730" s="1" t="s">
        <v>1577</v>
      </c>
      <c r="V1730" s="1" t="s">
        <v>3865</v>
      </c>
      <c r="W1730" s="3">
        <v>44733.0</v>
      </c>
      <c r="X1730" s="3">
        <v>44733.0</v>
      </c>
    </row>
    <row r="1731">
      <c r="A1731" s="1" t="s">
        <v>17025</v>
      </c>
      <c r="B1731" s="1" t="s">
        <v>12360</v>
      </c>
      <c r="C1731" s="1" t="s">
        <v>12360</v>
      </c>
      <c r="D1731" s="1" t="s">
        <v>4293</v>
      </c>
      <c r="E1731" s="1" t="s">
        <v>12361</v>
      </c>
      <c r="F1731" s="1" t="s">
        <v>17026</v>
      </c>
      <c r="G1731" s="3">
        <v>45098.0</v>
      </c>
      <c r="H1731" s="3">
        <v>45379.0</v>
      </c>
      <c r="I1731" s="3">
        <v>45379.0</v>
      </c>
      <c r="J1731" s="1" t="s">
        <v>215</v>
      </c>
      <c r="K1731" s="1" t="s">
        <v>160</v>
      </c>
      <c r="L1731" s="1" t="s">
        <v>216</v>
      </c>
      <c r="M1731" s="1" t="s">
        <v>131</v>
      </c>
      <c r="Q1731" s="1" t="s">
        <v>137</v>
      </c>
      <c r="R1731" s="1" t="s">
        <v>137</v>
      </c>
      <c r="S1731" s="1" t="s">
        <v>47</v>
      </c>
      <c r="T1731" s="1" t="s">
        <v>4301</v>
      </c>
      <c r="U1731" s="1" t="s">
        <v>1577</v>
      </c>
      <c r="V1731" s="1" t="s">
        <v>3858</v>
      </c>
      <c r="W1731" s="3">
        <v>45379.0</v>
      </c>
      <c r="X1731" s="3">
        <v>45379.0</v>
      </c>
    </row>
    <row r="1732">
      <c r="A1732" s="1" t="s">
        <v>17027</v>
      </c>
      <c r="B1732" s="1" t="s">
        <v>12366</v>
      </c>
      <c r="C1732" s="1" t="s">
        <v>12366</v>
      </c>
      <c r="D1732" s="1" t="s">
        <v>4293</v>
      </c>
      <c r="E1732" s="1" t="s">
        <v>12368</v>
      </c>
      <c r="F1732" s="1" t="s">
        <v>17028</v>
      </c>
      <c r="G1732" s="3">
        <v>44459.0</v>
      </c>
      <c r="H1732" s="3">
        <v>44587.0</v>
      </c>
      <c r="I1732" s="3">
        <v>44587.0</v>
      </c>
      <c r="J1732" s="1" t="s">
        <v>215</v>
      </c>
      <c r="K1732" s="1" t="s">
        <v>160</v>
      </c>
      <c r="L1732" s="1" t="s">
        <v>216</v>
      </c>
      <c r="M1732" s="1" t="s">
        <v>131</v>
      </c>
      <c r="Q1732" s="1" t="s">
        <v>137</v>
      </c>
      <c r="R1732" s="1" t="s">
        <v>137</v>
      </c>
      <c r="S1732" s="1" t="s">
        <v>47</v>
      </c>
      <c r="T1732" s="1" t="s">
        <v>4301</v>
      </c>
      <c r="U1732" s="1" t="s">
        <v>1577</v>
      </c>
      <c r="V1732" s="1" t="s">
        <v>3858</v>
      </c>
      <c r="W1732" s="3">
        <v>44587.0</v>
      </c>
      <c r="X1732" s="3">
        <v>44587.0</v>
      </c>
    </row>
    <row r="1733">
      <c r="A1733" s="1" t="s">
        <v>17029</v>
      </c>
      <c r="B1733" s="1" t="s">
        <v>11360</v>
      </c>
      <c r="C1733" s="1" t="s">
        <v>11360</v>
      </c>
      <c r="D1733" s="1" t="s">
        <v>4293</v>
      </c>
      <c r="E1733" s="1" t="s">
        <v>12371</v>
      </c>
      <c r="F1733" s="1" t="s">
        <v>17030</v>
      </c>
      <c r="G1733" s="3">
        <v>44196.0</v>
      </c>
      <c r="H1733" s="3">
        <v>44259.0</v>
      </c>
      <c r="I1733" s="3">
        <v>44259.0</v>
      </c>
      <c r="J1733" s="1" t="s">
        <v>215</v>
      </c>
      <c r="K1733" s="1" t="s">
        <v>160</v>
      </c>
      <c r="L1733" s="1" t="s">
        <v>216</v>
      </c>
      <c r="M1733" s="1" t="s">
        <v>131</v>
      </c>
      <c r="Q1733" s="1" t="s">
        <v>137</v>
      </c>
      <c r="R1733" s="1" t="s">
        <v>137</v>
      </c>
      <c r="S1733" s="1" t="s">
        <v>47</v>
      </c>
      <c r="T1733" s="1" t="s">
        <v>4301</v>
      </c>
      <c r="U1733" s="1" t="s">
        <v>1577</v>
      </c>
      <c r="V1733" s="1" t="s">
        <v>3858</v>
      </c>
      <c r="W1733" s="3">
        <v>44259.0</v>
      </c>
      <c r="X1733" s="3">
        <v>44259.0</v>
      </c>
    </row>
    <row r="1734">
      <c r="A1734" s="1" t="s">
        <v>17031</v>
      </c>
      <c r="B1734" s="1" t="s">
        <v>11360</v>
      </c>
      <c r="C1734" s="1" t="s">
        <v>11360</v>
      </c>
      <c r="D1734" s="1" t="s">
        <v>4293</v>
      </c>
      <c r="E1734" s="1" t="s">
        <v>12371</v>
      </c>
      <c r="F1734" s="1" t="s">
        <v>17032</v>
      </c>
      <c r="G1734" s="3">
        <v>44196.0</v>
      </c>
      <c r="H1734" s="3">
        <v>44259.0</v>
      </c>
      <c r="I1734" s="3">
        <v>44259.0</v>
      </c>
      <c r="J1734" s="1" t="s">
        <v>215</v>
      </c>
      <c r="K1734" s="1" t="s">
        <v>160</v>
      </c>
      <c r="L1734" s="1" t="s">
        <v>216</v>
      </c>
      <c r="M1734" s="1" t="s">
        <v>131</v>
      </c>
      <c r="Q1734" s="1" t="s">
        <v>137</v>
      </c>
      <c r="R1734" s="1" t="s">
        <v>137</v>
      </c>
      <c r="S1734" s="1" t="s">
        <v>47</v>
      </c>
      <c r="T1734" s="1" t="s">
        <v>4301</v>
      </c>
      <c r="U1734" s="1" t="s">
        <v>1577</v>
      </c>
      <c r="V1734" s="1" t="s">
        <v>4950</v>
      </c>
      <c r="W1734" s="3">
        <v>44259.0</v>
      </c>
      <c r="X1734" s="3">
        <v>44259.0</v>
      </c>
    </row>
    <row r="1735">
      <c r="A1735" s="1" t="s">
        <v>17033</v>
      </c>
      <c r="B1735" s="1" t="s">
        <v>12376</v>
      </c>
      <c r="C1735" s="1" t="s">
        <v>12376</v>
      </c>
      <c r="D1735" s="1" t="s">
        <v>4293</v>
      </c>
      <c r="E1735" s="1" t="s">
        <v>12378</v>
      </c>
      <c r="F1735" s="1" t="s">
        <v>17034</v>
      </c>
      <c r="G1735" s="3">
        <v>45034.0</v>
      </c>
      <c r="H1735" s="3">
        <v>45267.0</v>
      </c>
      <c r="I1735" s="3">
        <v>45267.0</v>
      </c>
      <c r="J1735" s="1" t="s">
        <v>215</v>
      </c>
      <c r="K1735" s="1" t="s">
        <v>160</v>
      </c>
      <c r="L1735" s="1" t="s">
        <v>216</v>
      </c>
      <c r="M1735" s="1" t="s">
        <v>131</v>
      </c>
      <c r="Q1735" s="1" t="s">
        <v>137</v>
      </c>
      <c r="R1735" s="1" t="s">
        <v>137</v>
      </c>
      <c r="S1735" s="1" t="s">
        <v>47</v>
      </c>
      <c r="T1735" s="1" t="s">
        <v>4301</v>
      </c>
      <c r="U1735" s="1" t="s">
        <v>1577</v>
      </c>
      <c r="V1735" s="1" t="s">
        <v>3858</v>
      </c>
      <c r="W1735" s="3">
        <v>45267.0</v>
      </c>
      <c r="X1735" s="3">
        <v>45267.0</v>
      </c>
    </row>
    <row r="1736">
      <c r="A1736" s="1" t="s">
        <v>17035</v>
      </c>
      <c r="B1736" s="1" t="s">
        <v>12376</v>
      </c>
      <c r="C1736" s="1" t="s">
        <v>12376</v>
      </c>
      <c r="D1736" s="1" t="s">
        <v>4293</v>
      </c>
      <c r="E1736" s="1" t="s">
        <v>12378</v>
      </c>
      <c r="F1736" s="1" t="s">
        <v>17036</v>
      </c>
      <c r="G1736" s="3">
        <v>45034.0</v>
      </c>
      <c r="H1736" s="3">
        <v>45267.0</v>
      </c>
      <c r="I1736" s="3">
        <v>45267.0</v>
      </c>
      <c r="J1736" s="1" t="s">
        <v>215</v>
      </c>
      <c r="K1736" s="1" t="s">
        <v>160</v>
      </c>
      <c r="L1736" s="1" t="s">
        <v>216</v>
      </c>
      <c r="M1736" s="1" t="s">
        <v>131</v>
      </c>
      <c r="Q1736" s="1" t="s">
        <v>137</v>
      </c>
      <c r="R1736" s="1" t="s">
        <v>137</v>
      </c>
      <c r="S1736" s="1" t="s">
        <v>47</v>
      </c>
      <c r="T1736" s="1" t="s">
        <v>4301</v>
      </c>
      <c r="U1736" s="1" t="s">
        <v>1577</v>
      </c>
      <c r="V1736" s="1" t="s">
        <v>4950</v>
      </c>
      <c r="W1736" s="3">
        <v>45267.0</v>
      </c>
      <c r="X1736" s="3">
        <v>45267.0</v>
      </c>
    </row>
    <row r="1737">
      <c r="A1737" s="1" t="s">
        <v>17037</v>
      </c>
      <c r="B1737" s="1" t="s">
        <v>12382</v>
      </c>
      <c r="C1737" s="1" t="s">
        <v>12382</v>
      </c>
      <c r="D1737" s="1" t="s">
        <v>4293</v>
      </c>
      <c r="E1737" s="1" t="s">
        <v>12383</v>
      </c>
      <c r="F1737" s="1" t="s">
        <v>17038</v>
      </c>
      <c r="G1737" s="3">
        <v>44349.0</v>
      </c>
      <c r="H1737" s="3">
        <v>44482.0</v>
      </c>
      <c r="I1737" s="3">
        <v>44482.0</v>
      </c>
      <c r="J1737" s="1" t="s">
        <v>215</v>
      </c>
      <c r="K1737" s="1" t="s">
        <v>160</v>
      </c>
      <c r="L1737" s="1" t="s">
        <v>216</v>
      </c>
      <c r="M1737" s="1" t="s">
        <v>131</v>
      </c>
      <c r="Q1737" s="1" t="s">
        <v>137</v>
      </c>
      <c r="R1737" s="1" t="s">
        <v>137</v>
      </c>
      <c r="S1737" s="1" t="s">
        <v>47</v>
      </c>
      <c r="T1737" s="1" t="s">
        <v>4301</v>
      </c>
      <c r="U1737" s="1" t="s">
        <v>1577</v>
      </c>
      <c r="V1737" s="1" t="s">
        <v>3858</v>
      </c>
      <c r="W1737" s="3">
        <v>44482.0</v>
      </c>
      <c r="X1737" s="3">
        <v>44482.0</v>
      </c>
    </row>
    <row r="1738">
      <c r="A1738" s="1" t="s">
        <v>17039</v>
      </c>
      <c r="B1738" s="1" t="s">
        <v>7530</v>
      </c>
      <c r="C1738" s="1" t="s">
        <v>7530</v>
      </c>
      <c r="D1738" s="1" t="s">
        <v>4293</v>
      </c>
      <c r="E1738" s="1" t="s">
        <v>12388</v>
      </c>
      <c r="F1738" s="1" t="s">
        <v>17040</v>
      </c>
      <c r="G1738" s="3">
        <v>44722.0</v>
      </c>
      <c r="H1738" s="3">
        <v>44433.0</v>
      </c>
      <c r="I1738" s="3">
        <v>44433.0</v>
      </c>
      <c r="J1738" s="1" t="s">
        <v>215</v>
      </c>
      <c r="K1738" s="1" t="s">
        <v>160</v>
      </c>
      <c r="L1738" s="1" t="s">
        <v>216</v>
      </c>
      <c r="M1738" s="1" t="s">
        <v>131</v>
      </c>
      <c r="Q1738" s="1" t="s">
        <v>137</v>
      </c>
      <c r="R1738" s="1" t="s">
        <v>137</v>
      </c>
      <c r="S1738" s="1" t="s">
        <v>47</v>
      </c>
      <c r="T1738" s="1" t="s">
        <v>4301</v>
      </c>
      <c r="U1738" s="1" t="s">
        <v>1577</v>
      </c>
      <c r="V1738" s="1" t="s">
        <v>3858</v>
      </c>
      <c r="W1738" s="3">
        <v>44433.0</v>
      </c>
      <c r="X1738" s="3">
        <v>44433.0</v>
      </c>
    </row>
    <row r="1739">
      <c r="A1739" s="1" t="s">
        <v>17041</v>
      </c>
      <c r="B1739" s="1" t="s">
        <v>9067</v>
      </c>
      <c r="C1739" s="1" t="s">
        <v>9067</v>
      </c>
      <c r="D1739" s="1" t="s">
        <v>4293</v>
      </c>
      <c r="E1739" s="1" t="s">
        <v>3559</v>
      </c>
      <c r="F1739" s="1" t="s">
        <v>17042</v>
      </c>
      <c r="G1739" s="3">
        <v>44924.0</v>
      </c>
      <c r="H1739" s="3">
        <v>45105.0</v>
      </c>
      <c r="I1739" s="3">
        <v>45105.0</v>
      </c>
      <c r="J1739" s="1" t="s">
        <v>215</v>
      </c>
      <c r="K1739" s="1" t="s">
        <v>160</v>
      </c>
      <c r="L1739" s="1" t="s">
        <v>216</v>
      </c>
      <c r="M1739" s="1" t="s">
        <v>131</v>
      </c>
      <c r="Q1739" s="1" t="s">
        <v>137</v>
      </c>
      <c r="R1739" s="1" t="s">
        <v>137</v>
      </c>
      <c r="S1739" s="1" t="s">
        <v>47</v>
      </c>
      <c r="T1739" s="1" t="s">
        <v>4301</v>
      </c>
      <c r="U1739" s="1" t="s">
        <v>1577</v>
      </c>
      <c r="V1739" s="1" t="s">
        <v>3858</v>
      </c>
      <c r="W1739" s="3">
        <v>45105.0</v>
      </c>
      <c r="X1739" s="3">
        <v>45105.0</v>
      </c>
    </row>
    <row r="1740">
      <c r="A1740" s="1" t="s">
        <v>17043</v>
      </c>
      <c r="B1740" s="1" t="s">
        <v>9067</v>
      </c>
      <c r="C1740" s="1" t="s">
        <v>9067</v>
      </c>
      <c r="D1740" s="1" t="s">
        <v>4293</v>
      </c>
      <c r="E1740" s="1" t="s">
        <v>3559</v>
      </c>
      <c r="F1740" s="1" t="s">
        <v>17044</v>
      </c>
      <c r="G1740" s="3">
        <v>44924.0</v>
      </c>
      <c r="H1740" s="3">
        <v>45105.0</v>
      </c>
      <c r="I1740" s="3">
        <v>45105.0</v>
      </c>
      <c r="J1740" s="1" t="s">
        <v>215</v>
      </c>
      <c r="K1740" s="1" t="s">
        <v>160</v>
      </c>
      <c r="L1740" s="1" t="s">
        <v>216</v>
      </c>
      <c r="M1740" s="1" t="s">
        <v>131</v>
      </c>
      <c r="Q1740" s="1" t="s">
        <v>137</v>
      </c>
      <c r="R1740" s="1" t="s">
        <v>137</v>
      </c>
      <c r="S1740" s="1" t="s">
        <v>47</v>
      </c>
      <c r="T1740" s="1" t="s">
        <v>4301</v>
      </c>
      <c r="U1740" s="1" t="s">
        <v>1577</v>
      </c>
      <c r="V1740" s="1" t="s">
        <v>4679</v>
      </c>
      <c r="W1740" s="3">
        <v>45105.0</v>
      </c>
      <c r="X1740" s="3">
        <v>45105.0</v>
      </c>
    </row>
    <row r="1741">
      <c r="A1741" s="1" t="s">
        <v>17045</v>
      </c>
      <c r="B1741" s="1" t="s">
        <v>9067</v>
      </c>
      <c r="C1741" s="1" t="s">
        <v>9067</v>
      </c>
      <c r="D1741" s="1" t="s">
        <v>4293</v>
      </c>
      <c r="E1741" s="1" t="s">
        <v>3559</v>
      </c>
      <c r="F1741" s="1" t="s">
        <v>17046</v>
      </c>
      <c r="G1741" s="3">
        <v>44924.0</v>
      </c>
      <c r="H1741" s="3">
        <v>45105.0</v>
      </c>
      <c r="I1741" s="3">
        <v>45105.0</v>
      </c>
      <c r="J1741" s="1" t="s">
        <v>215</v>
      </c>
      <c r="K1741" s="1" t="s">
        <v>160</v>
      </c>
      <c r="L1741" s="1" t="s">
        <v>216</v>
      </c>
      <c r="M1741" s="1" t="s">
        <v>131</v>
      </c>
      <c r="Q1741" s="1" t="s">
        <v>137</v>
      </c>
      <c r="R1741" s="1" t="s">
        <v>137</v>
      </c>
      <c r="S1741" s="1" t="s">
        <v>47</v>
      </c>
      <c r="T1741" s="1" t="s">
        <v>4301</v>
      </c>
      <c r="U1741" s="1" t="s">
        <v>1577</v>
      </c>
      <c r="V1741" s="1" t="s">
        <v>4950</v>
      </c>
      <c r="W1741" s="3">
        <v>45105.0</v>
      </c>
      <c r="X1741" s="3">
        <v>45105.0</v>
      </c>
    </row>
    <row r="1742">
      <c r="A1742" s="1" t="s">
        <v>17047</v>
      </c>
      <c r="B1742" s="1" t="s">
        <v>9067</v>
      </c>
      <c r="C1742" s="1" t="s">
        <v>9067</v>
      </c>
      <c r="D1742" s="1" t="s">
        <v>4293</v>
      </c>
      <c r="E1742" s="1" t="s">
        <v>3559</v>
      </c>
      <c r="F1742" s="1" t="s">
        <v>17048</v>
      </c>
      <c r="G1742" s="3">
        <v>44924.0</v>
      </c>
      <c r="H1742" s="3">
        <v>45105.0</v>
      </c>
      <c r="I1742" s="3">
        <v>45105.0</v>
      </c>
      <c r="J1742" s="1" t="s">
        <v>215</v>
      </c>
      <c r="K1742" s="1" t="s">
        <v>160</v>
      </c>
      <c r="L1742" s="1" t="s">
        <v>216</v>
      </c>
      <c r="M1742" s="1" t="s">
        <v>131</v>
      </c>
      <c r="Q1742" s="1" t="s">
        <v>137</v>
      </c>
      <c r="R1742" s="1" t="s">
        <v>137</v>
      </c>
      <c r="S1742" s="1" t="s">
        <v>47</v>
      </c>
      <c r="T1742" s="1" t="s">
        <v>4301</v>
      </c>
      <c r="U1742" s="1" t="s">
        <v>1577</v>
      </c>
      <c r="V1742" s="1" t="s">
        <v>5104</v>
      </c>
      <c r="W1742" s="3">
        <v>45105.0</v>
      </c>
      <c r="X1742" s="3">
        <v>45105.0</v>
      </c>
    </row>
    <row r="1743">
      <c r="A1743" s="1" t="s">
        <v>17049</v>
      </c>
      <c r="B1743" s="1" t="s">
        <v>9067</v>
      </c>
      <c r="C1743" s="1" t="s">
        <v>9067</v>
      </c>
      <c r="D1743" s="1" t="s">
        <v>4293</v>
      </c>
      <c r="E1743" s="1" t="s">
        <v>3559</v>
      </c>
      <c r="F1743" s="1" t="s">
        <v>17050</v>
      </c>
      <c r="G1743" s="3">
        <v>44924.0</v>
      </c>
      <c r="H1743" s="3">
        <v>45105.0</v>
      </c>
      <c r="I1743" s="3">
        <v>45105.0</v>
      </c>
      <c r="J1743" s="1" t="s">
        <v>215</v>
      </c>
      <c r="K1743" s="1" t="s">
        <v>160</v>
      </c>
      <c r="L1743" s="1" t="s">
        <v>216</v>
      </c>
      <c r="M1743" s="1" t="s">
        <v>131</v>
      </c>
      <c r="Q1743" s="1" t="s">
        <v>137</v>
      </c>
      <c r="R1743" s="1" t="s">
        <v>137</v>
      </c>
      <c r="S1743" s="1" t="s">
        <v>47</v>
      </c>
      <c r="T1743" s="1" t="s">
        <v>4301</v>
      </c>
      <c r="U1743" s="1" t="s">
        <v>1577</v>
      </c>
      <c r="V1743" s="1" t="s">
        <v>5120</v>
      </c>
      <c r="W1743" s="3">
        <v>45105.0</v>
      </c>
      <c r="X1743" s="3">
        <v>45105.0</v>
      </c>
    </row>
    <row r="1744">
      <c r="A1744" s="1" t="s">
        <v>17051</v>
      </c>
      <c r="B1744" s="1" t="s">
        <v>12396</v>
      </c>
      <c r="C1744" s="1" t="s">
        <v>12396</v>
      </c>
      <c r="D1744" s="1" t="s">
        <v>4293</v>
      </c>
      <c r="E1744" s="1" t="s">
        <v>12397</v>
      </c>
      <c r="F1744" s="1" t="s">
        <v>17052</v>
      </c>
      <c r="G1744" s="3">
        <v>44201.0</v>
      </c>
      <c r="H1744" s="3">
        <v>44271.0</v>
      </c>
      <c r="I1744" s="3">
        <v>44271.0</v>
      </c>
      <c r="J1744" s="1" t="s">
        <v>215</v>
      </c>
      <c r="K1744" s="1" t="s">
        <v>160</v>
      </c>
      <c r="L1744" s="1" t="s">
        <v>216</v>
      </c>
      <c r="M1744" s="1" t="s">
        <v>131</v>
      </c>
      <c r="Q1744" s="1" t="s">
        <v>137</v>
      </c>
      <c r="R1744" s="1" t="s">
        <v>137</v>
      </c>
      <c r="S1744" s="1" t="s">
        <v>47</v>
      </c>
      <c r="T1744" s="1" t="s">
        <v>4301</v>
      </c>
      <c r="U1744" s="1" t="s">
        <v>1577</v>
      </c>
      <c r="V1744" s="1" t="s">
        <v>3858</v>
      </c>
      <c r="W1744" s="3">
        <v>44271.0</v>
      </c>
      <c r="X1744" s="3">
        <v>44271.0</v>
      </c>
    </row>
    <row r="1745">
      <c r="A1745" s="1" t="s">
        <v>17053</v>
      </c>
      <c r="B1745" s="1" t="s">
        <v>12396</v>
      </c>
      <c r="C1745" s="1" t="s">
        <v>12396</v>
      </c>
      <c r="D1745" s="1" t="s">
        <v>4293</v>
      </c>
      <c r="E1745" s="1" t="s">
        <v>12397</v>
      </c>
      <c r="F1745" s="1" t="s">
        <v>17054</v>
      </c>
      <c r="G1745" s="3">
        <v>44201.0</v>
      </c>
      <c r="H1745" s="3">
        <v>44271.0</v>
      </c>
      <c r="I1745" s="3">
        <v>44271.0</v>
      </c>
      <c r="J1745" s="1" t="s">
        <v>215</v>
      </c>
      <c r="K1745" s="1" t="s">
        <v>160</v>
      </c>
      <c r="L1745" s="1" t="s">
        <v>216</v>
      </c>
      <c r="M1745" s="1" t="s">
        <v>131</v>
      </c>
      <c r="Q1745" s="1" t="s">
        <v>137</v>
      </c>
      <c r="R1745" s="1" t="s">
        <v>137</v>
      </c>
      <c r="S1745" s="1" t="s">
        <v>47</v>
      </c>
      <c r="T1745" s="1" t="s">
        <v>4301</v>
      </c>
      <c r="U1745" s="1" t="s">
        <v>1577</v>
      </c>
      <c r="V1745" s="1" t="s">
        <v>3865</v>
      </c>
      <c r="W1745" s="3">
        <v>44271.0</v>
      </c>
      <c r="X1745" s="3">
        <v>44271.0</v>
      </c>
    </row>
    <row r="1746">
      <c r="A1746" s="1" t="s">
        <v>17055</v>
      </c>
      <c r="B1746" s="1" t="s">
        <v>6949</v>
      </c>
      <c r="C1746" s="1" t="s">
        <v>6949</v>
      </c>
      <c r="D1746" s="1" t="s">
        <v>4293</v>
      </c>
      <c r="E1746" s="1" t="s">
        <v>12402</v>
      </c>
      <c r="F1746" s="1" t="s">
        <v>17056</v>
      </c>
      <c r="G1746" s="3">
        <v>44090.0</v>
      </c>
      <c r="H1746" s="3">
        <v>44249.0</v>
      </c>
      <c r="I1746" s="3">
        <v>44249.0</v>
      </c>
      <c r="J1746" s="1" t="s">
        <v>215</v>
      </c>
      <c r="K1746" s="1" t="s">
        <v>160</v>
      </c>
      <c r="L1746" s="1" t="s">
        <v>216</v>
      </c>
      <c r="M1746" s="1" t="s">
        <v>131</v>
      </c>
      <c r="Q1746" s="1" t="s">
        <v>137</v>
      </c>
      <c r="R1746" s="1" t="s">
        <v>137</v>
      </c>
      <c r="S1746" s="1" t="s">
        <v>47</v>
      </c>
      <c r="T1746" s="1" t="s">
        <v>4301</v>
      </c>
      <c r="U1746" s="1" t="s">
        <v>1577</v>
      </c>
      <c r="V1746" s="1" t="s">
        <v>3858</v>
      </c>
      <c r="W1746" s="3">
        <v>44249.0</v>
      </c>
      <c r="X1746" s="3">
        <v>44249.0</v>
      </c>
    </row>
    <row r="1747">
      <c r="A1747" s="1" t="s">
        <v>17057</v>
      </c>
      <c r="B1747" s="1" t="s">
        <v>12405</v>
      </c>
      <c r="C1747" s="1" t="s">
        <v>12405</v>
      </c>
      <c r="D1747" s="1" t="s">
        <v>4293</v>
      </c>
      <c r="E1747" s="1" t="s">
        <v>12407</v>
      </c>
      <c r="F1747" s="1" t="s">
        <v>17058</v>
      </c>
      <c r="G1747" s="3">
        <v>45209.0</v>
      </c>
      <c r="H1747" s="3">
        <v>45257.0</v>
      </c>
      <c r="I1747" s="3">
        <v>45257.0</v>
      </c>
      <c r="J1747" s="1" t="s">
        <v>215</v>
      </c>
      <c r="K1747" s="1" t="s">
        <v>160</v>
      </c>
      <c r="L1747" s="1" t="s">
        <v>216</v>
      </c>
      <c r="M1747" s="1" t="s">
        <v>131</v>
      </c>
      <c r="Q1747" s="1" t="s">
        <v>137</v>
      </c>
      <c r="R1747" s="1" t="s">
        <v>137</v>
      </c>
      <c r="S1747" s="1" t="s">
        <v>47</v>
      </c>
      <c r="T1747" s="1" t="s">
        <v>4301</v>
      </c>
      <c r="U1747" s="1" t="s">
        <v>1577</v>
      </c>
      <c r="V1747" s="1" t="s">
        <v>4679</v>
      </c>
      <c r="W1747" s="3">
        <v>45257.0</v>
      </c>
      <c r="X1747" s="3">
        <v>45257.0</v>
      </c>
    </row>
    <row r="1748">
      <c r="A1748" s="1" t="s">
        <v>17059</v>
      </c>
      <c r="B1748" s="1" t="s">
        <v>12405</v>
      </c>
      <c r="C1748" s="1" t="s">
        <v>12405</v>
      </c>
      <c r="D1748" s="1" t="s">
        <v>4293</v>
      </c>
      <c r="E1748" s="1" t="s">
        <v>12407</v>
      </c>
      <c r="F1748" s="1" t="s">
        <v>17060</v>
      </c>
      <c r="G1748" s="3">
        <v>45209.0</v>
      </c>
      <c r="H1748" s="3">
        <v>45257.0</v>
      </c>
      <c r="I1748" s="3">
        <v>45257.0</v>
      </c>
      <c r="J1748" s="1" t="s">
        <v>215</v>
      </c>
      <c r="K1748" s="1" t="s">
        <v>160</v>
      </c>
      <c r="L1748" s="1" t="s">
        <v>216</v>
      </c>
      <c r="M1748" s="1" t="s">
        <v>131</v>
      </c>
      <c r="Q1748" s="1" t="s">
        <v>137</v>
      </c>
      <c r="R1748" s="1" t="s">
        <v>137</v>
      </c>
      <c r="S1748" s="1" t="s">
        <v>47</v>
      </c>
      <c r="T1748" s="1" t="s">
        <v>4301</v>
      </c>
      <c r="U1748" s="1" t="s">
        <v>1577</v>
      </c>
      <c r="V1748" s="1" t="s">
        <v>4950</v>
      </c>
      <c r="W1748" s="3">
        <v>45257.0</v>
      </c>
      <c r="X1748" s="3">
        <v>45257.0</v>
      </c>
    </row>
    <row r="1749">
      <c r="A1749" s="1" t="s">
        <v>17061</v>
      </c>
      <c r="B1749" s="1" t="s">
        <v>12405</v>
      </c>
      <c r="C1749" s="1" t="s">
        <v>12405</v>
      </c>
      <c r="D1749" s="1" t="s">
        <v>4293</v>
      </c>
      <c r="E1749" s="1" t="s">
        <v>12407</v>
      </c>
      <c r="F1749" s="1" t="s">
        <v>17062</v>
      </c>
      <c r="G1749" s="3">
        <v>45209.0</v>
      </c>
      <c r="H1749" s="3">
        <v>45257.0</v>
      </c>
      <c r="I1749" s="3">
        <v>45257.0</v>
      </c>
      <c r="J1749" s="1" t="s">
        <v>215</v>
      </c>
      <c r="K1749" s="1" t="s">
        <v>160</v>
      </c>
      <c r="L1749" s="1" t="s">
        <v>216</v>
      </c>
      <c r="M1749" s="1" t="s">
        <v>131</v>
      </c>
      <c r="Q1749" s="1" t="s">
        <v>137</v>
      </c>
      <c r="R1749" s="1" t="s">
        <v>137</v>
      </c>
      <c r="S1749" s="1" t="s">
        <v>47</v>
      </c>
      <c r="T1749" s="1" t="s">
        <v>4301</v>
      </c>
      <c r="U1749" s="1" t="s">
        <v>1577</v>
      </c>
      <c r="V1749" s="1" t="s">
        <v>5104</v>
      </c>
      <c r="W1749" s="3">
        <v>45257.0</v>
      </c>
      <c r="X1749" s="3">
        <v>45257.0</v>
      </c>
    </row>
    <row r="1750">
      <c r="A1750" s="1" t="s">
        <v>17063</v>
      </c>
      <c r="B1750" s="1" t="s">
        <v>12405</v>
      </c>
      <c r="C1750" s="1" t="s">
        <v>12405</v>
      </c>
      <c r="D1750" s="1" t="s">
        <v>4293</v>
      </c>
      <c r="E1750" s="1" t="s">
        <v>12407</v>
      </c>
      <c r="F1750" s="1" t="s">
        <v>17064</v>
      </c>
      <c r="G1750" s="3">
        <v>45209.0</v>
      </c>
      <c r="H1750" s="3">
        <v>45257.0</v>
      </c>
      <c r="I1750" s="3">
        <v>45257.0</v>
      </c>
      <c r="J1750" s="1" t="s">
        <v>215</v>
      </c>
      <c r="K1750" s="1" t="s">
        <v>160</v>
      </c>
      <c r="L1750" s="1" t="s">
        <v>216</v>
      </c>
      <c r="M1750" s="1" t="s">
        <v>131</v>
      </c>
      <c r="Q1750" s="1" t="s">
        <v>137</v>
      </c>
      <c r="R1750" s="1" t="s">
        <v>137</v>
      </c>
      <c r="S1750" s="1" t="s">
        <v>47</v>
      </c>
      <c r="T1750" s="1" t="s">
        <v>4301</v>
      </c>
      <c r="U1750" s="1" t="s">
        <v>1577</v>
      </c>
      <c r="V1750" s="1" t="s">
        <v>5120</v>
      </c>
      <c r="W1750" s="3">
        <v>45257.0</v>
      </c>
      <c r="X1750" s="3">
        <v>45257.0</v>
      </c>
    </row>
    <row r="1751">
      <c r="A1751" s="1" t="s">
        <v>17065</v>
      </c>
      <c r="B1751" s="1" t="s">
        <v>12411</v>
      </c>
      <c r="C1751" s="1" t="s">
        <v>12411</v>
      </c>
      <c r="D1751" s="1" t="s">
        <v>4293</v>
      </c>
      <c r="E1751" s="1" t="s">
        <v>12412</v>
      </c>
      <c r="F1751" s="1" t="s">
        <v>17066</v>
      </c>
      <c r="G1751" s="3">
        <v>45790.0</v>
      </c>
      <c r="H1751" s="3">
        <v>46027.0</v>
      </c>
      <c r="I1751" s="3">
        <v>46027.0</v>
      </c>
      <c r="J1751" s="1" t="s">
        <v>215</v>
      </c>
      <c r="K1751" s="1" t="s">
        <v>160</v>
      </c>
      <c r="L1751" s="1" t="s">
        <v>216</v>
      </c>
      <c r="M1751" s="1" t="s">
        <v>131</v>
      </c>
      <c r="Q1751" s="1" t="s">
        <v>137</v>
      </c>
      <c r="R1751" s="1" t="s">
        <v>137</v>
      </c>
      <c r="S1751" s="1" t="s">
        <v>47</v>
      </c>
      <c r="T1751" s="1" t="s">
        <v>4301</v>
      </c>
      <c r="U1751" s="1" t="s">
        <v>1577</v>
      </c>
      <c r="V1751" s="1" t="s">
        <v>4679</v>
      </c>
      <c r="W1751" s="3">
        <v>46027.0</v>
      </c>
      <c r="X1751" s="3">
        <v>46027.0</v>
      </c>
    </row>
    <row r="1752">
      <c r="A1752" s="1" t="s">
        <v>17067</v>
      </c>
      <c r="B1752" s="1" t="s">
        <v>12411</v>
      </c>
      <c r="C1752" s="1" t="s">
        <v>12411</v>
      </c>
      <c r="D1752" s="1" t="s">
        <v>4293</v>
      </c>
      <c r="E1752" s="1" t="s">
        <v>12412</v>
      </c>
      <c r="F1752" s="1" t="s">
        <v>17068</v>
      </c>
      <c r="G1752" s="3">
        <v>45790.0</v>
      </c>
      <c r="H1752" s="3">
        <v>46027.0</v>
      </c>
      <c r="I1752" s="3">
        <v>46027.0</v>
      </c>
      <c r="J1752" s="1" t="s">
        <v>215</v>
      </c>
      <c r="K1752" s="1" t="s">
        <v>160</v>
      </c>
      <c r="L1752" s="1" t="s">
        <v>216</v>
      </c>
      <c r="M1752" s="1" t="s">
        <v>131</v>
      </c>
      <c r="Q1752" s="1" t="s">
        <v>137</v>
      </c>
      <c r="R1752" s="1" t="s">
        <v>137</v>
      </c>
      <c r="S1752" s="1" t="s">
        <v>47</v>
      </c>
      <c r="T1752" s="1" t="s">
        <v>4301</v>
      </c>
      <c r="U1752" s="1" t="s">
        <v>1577</v>
      </c>
      <c r="V1752" s="1" t="s">
        <v>4950</v>
      </c>
      <c r="W1752" s="3">
        <v>46027.0</v>
      </c>
      <c r="X1752" s="3">
        <v>46027.0</v>
      </c>
    </row>
    <row r="1753">
      <c r="A1753" s="1" t="s">
        <v>17069</v>
      </c>
      <c r="B1753" s="1" t="s">
        <v>12411</v>
      </c>
      <c r="C1753" s="1" t="s">
        <v>12411</v>
      </c>
      <c r="D1753" s="1" t="s">
        <v>4293</v>
      </c>
      <c r="E1753" s="1" t="s">
        <v>12412</v>
      </c>
      <c r="F1753" s="1" t="s">
        <v>17070</v>
      </c>
      <c r="G1753" s="3">
        <v>45790.0</v>
      </c>
      <c r="H1753" s="3">
        <v>46027.0</v>
      </c>
      <c r="I1753" s="3">
        <v>46027.0</v>
      </c>
      <c r="J1753" s="1" t="s">
        <v>215</v>
      </c>
      <c r="K1753" s="1" t="s">
        <v>160</v>
      </c>
      <c r="L1753" s="1" t="s">
        <v>216</v>
      </c>
      <c r="M1753" s="1" t="s">
        <v>131</v>
      </c>
      <c r="Q1753" s="1" t="s">
        <v>137</v>
      </c>
      <c r="R1753" s="1" t="s">
        <v>137</v>
      </c>
      <c r="S1753" s="1" t="s">
        <v>47</v>
      </c>
      <c r="T1753" s="1" t="s">
        <v>4301</v>
      </c>
      <c r="U1753" s="1" t="s">
        <v>1577</v>
      </c>
      <c r="V1753" s="1" t="s">
        <v>5104</v>
      </c>
      <c r="W1753" s="3">
        <v>46027.0</v>
      </c>
      <c r="X1753" s="3">
        <v>46027.0</v>
      </c>
    </row>
    <row r="1754">
      <c r="A1754" s="1" t="s">
        <v>17071</v>
      </c>
      <c r="B1754" s="1" t="s">
        <v>12411</v>
      </c>
      <c r="C1754" s="1" t="s">
        <v>12411</v>
      </c>
      <c r="D1754" s="1" t="s">
        <v>4293</v>
      </c>
      <c r="E1754" s="1" t="s">
        <v>12412</v>
      </c>
      <c r="F1754" s="1" t="s">
        <v>17072</v>
      </c>
      <c r="G1754" s="3">
        <v>45790.0</v>
      </c>
      <c r="H1754" s="3">
        <v>46027.0</v>
      </c>
      <c r="I1754" s="3">
        <v>46027.0</v>
      </c>
      <c r="J1754" s="1" t="s">
        <v>215</v>
      </c>
      <c r="K1754" s="1" t="s">
        <v>160</v>
      </c>
      <c r="L1754" s="1" t="s">
        <v>216</v>
      </c>
      <c r="M1754" s="1" t="s">
        <v>131</v>
      </c>
      <c r="Q1754" s="1" t="s">
        <v>137</v>
      </c>
      <c r="R1754" s="1" t="s">
        <v>137</v>
      </c>
      <c r="S1754" s="1" t="s">
        <v>47</v>
      </c>
      <c r="T1754" s="1" t="s">
        <v>4301</v>
      </c>
      <c r="U1754" s="1" t="s">
        <v>1577</v>
      </c>
      <c r="V1754" s="1" t="s">
        <v>5120</v>
      </c>
      <c r="W1754" s="3">
        <v>46027.0</v>
      </c>
      <c r="X1754" s="3">
        <v>46027.0</v>
      </c>
    </row>
    <row r="1755">
      <c r="A1755" s="1" t="s">
        <v>17073</v>
      </c>
      <c r="B1755" s="1" t="s">
        <v>12418</v>
      </c>
      <c r="C1755" s="1" t="s">
        <v>12418</v>
      </c>
      <c r="D1755" s="1" t="s">
        <v>4293</v>
      </c>
      <c r="E1755" s="1" t="s">
        <v>12419</v>
      </c>
      <c r="F1755" s="1" t="s">
        <v>17074</v>
      </c>
      <c r="G1755" s="3">
        <v>45362.0</v>
      </c>
      <c r="H1755" s="3">
        <v>45363.0</v>
      </c>
      <c r="I1755" s="3">
        <v>45363.0</v>
      </c>
      <c r="J1755" s="1" t="s">
        <v>215</v>
      </c>
      <c r="K1755" s="1" t="s">
        <v>160</v>
      </c>
      <c r="L1755" s="1" t="s">
        <v>216</v>
      </c>
      <c r="M1755" s="1" t="s">
        <v>131</v>
      </c>
      <c r="Q1755" s="1" t="s">
        <v>137</v>
      </c>
      <c r="R1755" s="1" t="s">
        <v>137</v>
      </c>
      <c r="S1755" s="1" t="s">
        <v>47</v>
      </c>
      <c r="T1755" s="1" t="s">
        <v>4301</v>
      </c>
      <c r="U1755" s="1" t="s">
        <v>1577</v>
      </c>
      <c r="V1755" s="1" t="s">
        <v>4679</v>
      </c>
      <c r="W1755" s="3">
        <v>45363.0</v>
      </c>
      <c r="X1755" s="3">
        <v>45363.0</v>
      </c>
    </row>
    <row r="1756">
      <c r="A1756" s="1" t="s">
        <v>17075</v>
      </c>
      <c r="B1756" s="1" t="s">
        <v>12418</v>
      </c>
      <c r="C1756" s="1" t="s">
        <v>12418</v>
      </c>
      <c r="D1756" s="1" t="s">
        <v>4293</v>
      </c>
      <c r="E1756" s="1" t="s">
        <v>12419</v>
      </c>
      <c r="F1756" s="1" t="s">
        <v>17076</v>
      </c>
      <c r="G1756" s="3">
        <v>45362.0</v>
      </c>
      <c r="H1756" s="3">
        <v>45363.0</v>
      </c>
      <c r="I1756" s="3">
        <v>45363.0</v>
      </c>
      <c r="J1756" s="1" t="s">
        <v>215</v>
      </c>
      <c r="K1756" s="1" t="s">
        <v>160</v>
      </c>
      <c r="L1756" s="1" t="s">
        <v>216</v>
      </c>
      <c r="M1756" s="1" t="s">
        <v>131</v>
      </c>
      <c r="Q1756" s="1" t="s">
        <v>137</v>
      </c>
      <c r="R1756" s="1" t="s">
        <v>137</v>
      </c>
      <c r="S1756" s="1" t="s">
        <v>47</v>
      </c>
      <c r="T1756" s="1" t="s">
        <v>4301</v>
      </c>
      <c r="U1756" s="1" t="s">
        <v>1577</v>
      </c>
      <c r="V1756" s="1" t="s">
        <v>4950</v>
      </c>
      <c r="W1756" s="3">
        <v>45363.0</v>
      </c>
      <c r="X1756" s="3">
        <v>45363.0</v>
      </c>
    </row>
    <row r="1757">
      <c r="A1757" s="1" t="s">
        <v>17077</v>
      </c>
      <c r="B1757" s="1" t="s">
        <v>12418</v>
      </c>
      <c r="C1757" s="1" t="s">
        <v>12418</v>
      </c>
      <c r="D1757" s="1" t="s">
        <v>4293</v>
      </c>
      <c r="E1757" s="1" t="s">
        <v>12419</v>
      </c>
      <c r="F1757" s="1" t="s">
        <v>17078</v>
      </c>
      <c r="G1757" s="3">
        <v>45362.0</v>
      </c>
      <c r="H1757" s="3">
        <v>45363.0</v>
      </c>
      <c r="I1757" s="3">
        <v>45363.0</v>
      </c>
      <c r="J1757" s="1" t="s">
        <v>215</v>
      </c>
      <c r="K1757" s="1" t="s">
        <v>160</v>
      </c>
      <c r="L1757" s="1" t="s">
        <v>216</v>
      </c>
      <c r="M1757" s="1" t="s">
        <v>131</v>
      </c>
      <c r="Q1757" s="1" t="s">
        <v>137</v>
      </c>
      <c r="R1757" s="1" t="s">
        <v>137</v>
      </c>
      <c r="S1757" s="1" t="s">
        <v>47</v>
      </c>
      <c r="T1757" s="1" t="s">
        <v>4301</v>
      </c>
      <c r="U1757" s="1" t="s">
        <v>1577</v>
      </c>
      <c r="V1757" s="1" t="s">
        <v>5104</v>
      </c>
      <c r="W1757" s="3">
        <v>45363.0</v>
      </c>
      <c r="X1757" s="3">
        <v>45363.0</v>
      </c>
    </row>
    <row r="1758">
      <c r="A1758" s="1" t="s">
        <v>17079</v>
      </c>
      <c r="B1758" s="1" t="s">
        <v>12418</v>
      </c>
      <c r="C1758" s="1" t="s">
        <v>12418</v>
      </c>
      <c r="D1758" s="1" t="s">
        <v>4293</v>
      </c>
      <c r="E1758" s="1" t="s">
        <v>12419</v>
      </c>
      <c r="F1758" s="1" t="s">
        <v>17080</v>
      </c>
      <c r="G1758" s="3">
        <v>45362.0</v>
      </c>
      <c r="H1758" s="3">
        <v>45363.0</v>
      </c>
      <c r="I1758" s="3">
        <v>45363.0</v>
      </c>
      <c r="J1758" s="1" t="s">
        <v>215</v>
      </c>
      <c r="K1758" s="1" t="s">
        <v>160</v>
      </c>
      <c r="L1758" s="1" t="s">
        <v>216</v>
      </c>
      <c r="M1758" s="1" t="s">
        <v>131</v>
      </c>
      <c r="Q1758" s="1" t="s">
        <v>137</v>
      </c>
      <c r="R1758" s="1" t="s">
        <v>137</v>
      </c>
      <c r="S1758" s="1" t="s">
        <v>47</v>
      </c>
      <c r="T1758" s="1" t="s">
        <v>4301</v>
      </c>
      <c r="U1758" s="1" t="s">
        <v>1577</v>
      </c>
      <c r="V1758" s="1" t="s">
        <v>5120</v>
      </c>
      <c r="W1758" s="3">
        <v>45363.0</v>
      </c>
      <c r="X1758" s="3">
        <v>45363.0</v>
      </c>
    </row>
    <row r="1759">
      <c r="A1759" s="1" t="s">
        <v>17081</v>
      </c>
      <c r="B1759" s="1" t="s">
        <v>12423</v>
      </c>
      <c r="C1759" s="1" t="s">
        <v>12423</v>
      </c>
      <c r="D1759" s="1" t="s">
        <v>4293</v>
      </c>
      <c r="E1759" s="1" t="s">
        <v>12425</v>
      </c>
      <c r="F1759" s="1" t="s">
        <v>17082</v>
      </c>
      <c r="G1759" s="3">
        <v>45063.0</v>
      </c>
      <c r="H1759" s="3">
        <v>45016.0</v>
      </c>
      <c r="I1759" s="3">
        <v>45016.0</v>
      </c>
      <c r="J1759" s="1" t="s">
        <v>215</v>
      </c>
      <c r="K1759" s="1" t="s">
        <v>160</v>
      </c>
      <c r="L1759" s="1" t="s">
        <v>216</v>
      </c>
      <c r="M1759" s="1" t="s">
        <v>131</v>
      </c>
      <c r="Q1759" s="1" t="s">
        <v>137</v>
      </c>
      <c r="R1759" s="1" t="s">
        <v>137</v>
      </c>
      <c r="S1759" s="1" t="s">
        <v>47</v>
      </c>
      <c r="T1759" s="1" t="s">
        <v>4301</v>
      </c>
      <c r="U1759" s="1" t="s">
        <v>1577</v>
      </c>
      <c r="V1759" s="1" t="s">
        <v>3858</v>
      </c>
      <c r="W1759" s="3">
        <v>45016.0</v>
      </c>
      <c r="X1759" s="3">
        <v>45016.0</v>
      </c>
    </row>
    <row r="1760">
      <c r="A1760" s="1" t="s">
        <v>17083</v>
      </c>
      <c r="B1760" s="1" t="s">
        <v>12428</v>
      </c>
      <c r="C1760" s="1" t="s">
        <v>12428</v>
      </c>
      <c r="D1760" s="1" t="s">
        <v>4293</v>
      </c>
      <c r="E1760" s="1" t="s">
        <v>12429</v>
      </c>
      <c r="F1760" s="1" t="s">
        <v>17084</v>
      </c>
      <c r="G1760" s="3">
        <v>44727.0</v>
      </c>
      <c r="H1760" s="3">
        <v>44957.0</v>
      </c>
      <c r="I1760" s="3">
        <v>44957.0</v>
      </c>
      <c r="J1760" s="1" t="s">
        <v>215</v>
      </c>
      <c r="K1760" s="1" t="s">
        <v>160</v>
      </c>
      <c r="L1760" s="1" t="s">
        <v>216</v>
      </c>
      <c r="M1760" s="1" t="s">
        <v>131</v>
      </c>
      <c r="Q1760" s="1" t="s">
        <v>137</v>
      </c>
      <c r="R1760" s="1" t="s">
        <v>137</v>
      </c>
      <c r="S1760" s="1" t="s">
        <v>47</v>
      </c>
      <c r="T1760" s="1" t="s">
        <v>4301</v>
      </c>
      <c r="U1760" s="1" t="s">
        <v>1577</v>
      </c>
      <c r="V1760" s="1" t="s">
        <v>4679</v>
      </c>
      <c r="W1760" s="3">
        <v>44957.0</v>
      </c>
      <c r="X1760" s="3">
        <v>44957.0</v>
      </c>
    </row>
    <row r="1761">
      <c r="A1761" s="1" t="s">
        <v>17085</v>
      </c>
      <c r="B1761" s="1" t="s">
        <v>12428</v>
      </c>
      <c r="C1761" s="1" t="s">
        <v>12428</v>
      </c>
      <c r="D1761" s="1" t="s">
        <v>4293</v>
      </c>
      <c r="E1761" s="1" t="s">
        <v>12429</v>
      </c>
      <c r="F1761" s="1" t="s">
        <v>17086</v>
      </c>
      <c r="G1761" s="3">
        <v>44727.0</v>
      </c>
      <c r="H1761" s="3">
        <v>44957.0</v>
      </c>
      <c r="I1761" s="3">
        <v>44957.0</v>
      </c>
      <c r="J1761" s="1" t="s">
        <v>215</v>
      </c>
      <c r="K1761" s="1" t="s">
        <v>160</v>
      </c>
      <c r="L1761" s="1" t="s">
        <v>216</v>
      </c>
      <c r="M1761" s="1" t="s">
        <v>131</v>
      </c>
      <c r="Q1761" s="1" t="s">
        <v>137</v>
      </c>
      <c r="R1761" s="1" t="s">
        <v>137</v>
      </c>
      <c r="S1761" s="1" t="s">
        <v>47</v>
      </c>
      <c r="T1761" s="1" t="s">
        <v>4301</v>
      </c>
      <c r="U1761" s="1" t="s">
        <v>1577</v>
      </c>
      <c r="V1761" s="1" t="s">
        <v>4950</v>
      </c>
      <c r="W1761" s="3">
        <v>44957.0</v>
      </c>
      <c r="X1761" s="3">
        <v>44957.0</v>
      </c>
    </row>
    <row r="1762">
      <c r="A1762" s="1" t="s">
        <v>17087</v>
      </c>
      <c r="B1762" s="1" t="s">
        <v>12428</v>
      </c>
      <c r="C1762" s="1" t="s">
        <v>12428</v>
      </c>
      <c r="D1762" s="1" t="s">
        <v>4293</v>
      </c>
      <c r="E1762" s="1" t="s">
        <v>12429</v>
      </c>
      <c r="F1762" s="1" t="s">
        <v>17088</v>
      </c>
      <c r="G1762" s="3">
        <v>44727.0</v>
      </c>
      <c r="H1762" s="3">
        <v>44957.0</v>
      </c>
      <c r="I1762" s="3">
        <v>44957.0</v>
      </c>
      <c r="J1762" s="1" t="s">
        <v>215</v>
      </c>
      <c r="K1762" s="1" t="s">
        <v>160</v>
      </c>
      <c r="L1762" s="1" t="s">
        <v>216</v>
      </c>
      <c r="M1762" s="1" t="s">
        <v>131</v>
      </c>
      <c r="Q1762" s="1" t="s">
        <v>137</v>
      </c>
      <c r="R1762" s="1" t="s">
        <v>137</v>
      </c>
      <c r="S1762" s="1" t="s">
        <v>47</v>
      </c>
      <c r="T1762" s="1" t="s">
        <v>4301</v>
      </c>
      <c r="U1762" s="1" t="s">
        <v>1577</v>
      </c>
      <c r="V1762" s="1" t="s">
        <v>5104</v>
      </c>
      <c r="W1762" s="3">
        <v>44957.0</v>
      </c>
      <c r="X1762" s="3">
        <v>44957.0</v>
      </c>
    </row>
    <row r="1763">
      <c r="A1763" s="1" t="s">
        <v>17089</v>
      </c>
      <c r="B1763" s="1" t="s">
        <v>12428</v>
      </c>
      <c r="C1763" s="1" t="s">
        <v>12428</v>
      </c>
      <c r="D1763" s="1" t="s">
        <v>4293</v>
      </c>
      <c r="E1763" s="1" t="s">
        <v>12429</v>
      </c>
      <c r="F1763" s="1" t="s">
        <v>17090</v>
      </c>
      <c r="G1763" s="3">
        <v>44727.0</v>
      </c>
      <c r="H1763" s="3">
        <v>44957.0</v>
      </c>
      <c r="I1763" s="3">
        <v>44957.0</v>
      </c>
      <c r="J1763" s="1" t="s">
        <v>215</v>
      </c>
      <c r="K1763" s="1" t="s">
        <v>160</v>
      </c>
      <c r="L1763" s="1" t="s">
        <v>216</v>
      </c>
      <c r="M1763" s="1" t="s">
        <v>131</v>
      </c>
      <c r="Q1763" s="1" t="s">
        <v>137</v>
      </c>
      <c r="R1763" s="1" t="s">
        <v>137</v>
      </c>
      <c r="S1763" s="1" t="s">
        <v>47</v>
      </c>
      <c r="T1763" s="1" t="s">
        <v>4301</v>
      </c>
      <c r="U1763" s="1" t="s">
        <v>1577</v>
      </c>
      <c r="V1763" s="1" t="s">
        <v>5120</v>
      </c>
      <c r="W1763" s="3">
        <v>44957.0</v>
      </c>
      <c r="X1763" s="3">
        <v>44957.0</v>
      </c>
    </row>
    <row r="1764">
      <c r="A1764" s="1" t="s">
        <v>17091</v>
      </c>
      <c r="B1764" s="1" t="s">
        <v>9675</v>
      </c>
      <c r="C1764" s="1" t="s">
        <v>9675</v>
      </c>
      <c r="D1764" s="1" t="s">
        <v>4293</v>
      </c>
      <c r="E1764" s="1" t="s">
        <v>12434</v>
      </c>
      <c r="F1764" s="1" t="s">
        <v>17092</v>
      </c>
      <c r="G1764" s="3">
        <v>45509.0</v>
      </c>
      <c r="H1764" s="3">
        <v>45778.0</v>
      </c>
      <c r="I1764" s="3">
        <v>45778.0</v>
      </c>
      <c r="J1764" s="1" t="s">
        <v>215</v>
      </c>
      <c r="K1764" s="1" t="s">
        <v>160</v>
      </c>
      <c r="L1764" s="1" t="s">
        <v>216</v>
      </c>
      <c r="M1764" s="1" t="s">
        <v>131</v>
      </c>
      <c r="Q1764" s="1" t="s">
        <v>137</v>
      </c>
      <c r="R1764" s="1" t="s">
        <v>137</v>
      </c>
      <c r="S1764" s="1" t="s">
        <v>47</v>
      </c>
      <c r="T1764" s="1" t="s">
        <v>4301</v>
      </c>
      <c r="U1764" s="1" t="s">
        <v>1577</v>
      </c>
      <c r="V1764" s="1" t="s">
        <v>3858</v>
      </c>
      <c r="W1764" s="3">
        <v>45778.0</v>
      </c>
      <c r="X1764" s="3">
        <v>45778.0</v>
      </c>
    </row>
    <row r="1765">
      <c r="A1765" s="1" t="s">
        <v>17093</v>
      </c>
      <c r="B1765" s="1" t="s">
        <v>4577</v>
      </c>
      <c r="C1765" s="1" t="s">
        <v>4577</v>
      </c>
      <c r="D1765" s="1" t="s">
        <v>4293</v>
      </c>
      <c r="E1765" s="1" t="s">
        <v>12437</v>
      </c>
      <c r="F1765" s="1" t="s">
        <v>17094</v>
      </c>
      <c r="G1765" s="3">
        <v>44484.0</v>
      </c>
      <c r="H1765" s="3">
        <v>44484.0</v>
      </c>
      <c r="I1765" s="3">
        <v>44484.0</v>
      </c>
      <c r="J1765" s="1" t="s">
        <v>215</v>
      </c>
      <c r="K1765" s="1" t="s">
        <v>160</v>
      </c>
      <c r="L1765" s="1" t="s">
        <v>216</v>
      </c>
      <c r="M1765" s="1" t="s">
        <v>131</v>
      </c>
      <c r="Q1765" s="1" t="s">
        <v>137</v>
      </c>
      <c r="R1765" s="1" t="s">
        <v>137</v>
      </c>
      <c r="S1765" s="1" t="s">
        <v>47</v>
      </c>
      <c r="T1765" s="1" t="s">
        <v>4301</v>
      </c>
      <c r="U1765" s="1" t="s">
        <v>1577</v>
      </c>
      <c r="V1765" s="1" t="s">
        <v>3858</v>
      </c>
      <c r="W1765" s="3">
        <v>44484.0</v>
      </c>
      <c r="X1765" s="3">
        <v>44484.0</v>
      </c>
    </row>
    <row r="1766">
      <c r="A1766" s="1" t="s">
        <v>17095</v>
      </c>
      <c r="B1766" s="1" t="s">
        <v>12441</v>
      </c>
      <c r="C1766" s="1" t="s">
        <v>12441</v>
      </c>
      <c r="D1766" s="1" t="s">
        <v>4293</v>
      </c>
      <c r="E1766" s="1" t="s">
        <v>12443</v>
      </c>
      <c r="F1766" s="1" t="s">
        <v>17096</v>
      </c>
      <c r="G1766" s="3">
        <v>44314.0</v>
      </c>
      <c r="H1766" s="3">
        <v>44273.0</v>
      </c>
      <c r="I1766" s="3">
        <v>44273.0</v>
      </c>
      <c r="J1766" s="1" t="s">
        <v>215</v>
      </c>
      <c r="K1766" s="1" t="s">
        <v>160</v>
      </c>
      <c r="L1766" s="1" t="s">
        <v>216</v>
      </c>
      <c r="M1766" s="1" t="s">
        <v>131</v>
      </c>
      <c r="Q1766" s="1" t="s">
        <v>137</v>
      </c>
      <c r="R1766" s="1" t="s">
        <v>137</v>
      </c>
      <c r="S1766" s="1" t="s">
        <v>47</v>
      </c>
      <c r="T1766" s="1" t="s">
        <v>4301</v>
      </c>
      <c r="U1766" s="1" t="s">
        <v>1577</v>
      </c>
      <c r="V1766" s="1" t="s">
        <v>3858</v>
      </c>
      <c r="W1766" s="3">
        <v>44273.0</v>
      </c>
      <c r="X1766" s="3">
        <v>44273.0</v>
      </c>
    </row>
    <row r="1767">
      <c r="A1767" s="1" t="s">
        <v>17097</v>
      </c>
      <c r="B1767" s="1" t="s">
        <v>12260</v>
      </c>
      <c r="C1767" s="1" t="s">
        <v>12260</v>
      </c>
      <c r="D1767" s="1" t="s">
        <v>4293</v>
      </c>
      <c r="E1767" s="1" t="s">
        <v>12447</v>
      </c>
      <c r="F1767" s="1" t="s">
        <v>17098</v>
      </c>
      <c r="G1767" s="3">
        <v>44508.0</v>
      </c>
      <c r="H1767" s="3">
        <v>44595.0</v>
      </c>
      <c r="I1767" s="3">
        <v>44595.0</v>
      </c>
      <c r="J1767" s="1" t="s">
        <v>215</v>
      </c>
      <c r="K1767" s="1" t="s">
        <v>160</v>
      </c>
      <c r="L1767" s="1" t="s">
        <v>216</v>
      </c>
      <c r="M1767" s="1" t="s">
        <v>131</v>
      </c>
      <c r="Q1767" s="1" t="s">
        <v>137</v>
      </c>
      <c r="R1767" s="1" t="s">
        <v>137</v>
      </c>
      <c r="S1767" s="1" t="s">
        <v>47</v>
      </c>
      <c r="T1767" s="1" t="s">
        <v>4301</v>
      </c>
      <c r="U1767" s="1" t="s">
        <v>1577</v>
      </c>
      <c r="V1767" s="1" t="s">
        <v>4679</v>
      </c>
      <c r="W1767" s="3">
        <v>44595.0</v>
      </c>
      <c r="X1767" s="3">
        <v>44595.0</v>
      </c>
    </row>
    <row r="1768">
      <c r="A1768" s="1" t="s">
        <v>17099</v>
      </c>
      <c r="B1768" s="1" t="s">
        <v>12260</v>
      </c>
      <c r="C1768" s="1" t="s">
        <v>12260</v>
      </c>
      <c r="D1768" s="1" t="s">
        <v>4293</v>
      </c>
      <c r="E1768" s="1" t="s">
        <v>12447</v>
      </c>
      <c r="F1768" s="1" t="s">
        <v>17100</v>
      </c>
      <c r="G1768" s="3">
        <v>44508.0</v>
      </c>
      <c r="H1768" s="3">
        <v>44595.0</v>
      </c>
      <c r="I1768" s="3">
        <v>44595.0</v>
      </c>
      <c r="J1768" s="1" t="s">
        <v>215</v>
      </c>
      <c r="K1768" s="1" t="s">
        <v>160</v>
      </c>
      <c r="L1768" s="1" t="s">
        <v>216</v>
      </c>
      <c r="M1768" s="1" t="s">
        <v>131</v>
      </c>
      <c r="Q1768" s="1" t="s">
        <v>137</v>
      </c>
      <c r="R1768" s="1" t="s">
        <v>137</v>
      </c>
      <c r="S1768" s="1" t="s">
        <v>47</v>
      </c>
      <c r="T1768" s="1" t="s">
        <v>4301</v>
      </c>
      <c r="U1768" s="1" t="s">
        <v>1577</v>
      </c>
      <c r="V1768" s="1" t="s">
        <v>4950</v>
      </c>
      <c r="W1768" s="3">
        <v>44595.0</v>
      </c>
      <c r="X1768" s="3">
        <v>44595.0</v>
      </c>
    </row>
    <row r="1769">
      <c r="A1769" s="1" t="s">
        <v>17101</v>
      </c>
      <c r="B1769" s="1" t="s">
        <v>12260</v>
      </c>
      <c r="C1769" s="1" t="s">
        <v>12260</v>
      </c>
      <c r="D1769" s="1" t="s">
        <v>4293</v>
      </c>
      <c r="E1769" s="1" t="s">
        <v>12447</v>
      </c>
      <c r="F1769" s="1" t="s">
        <v>17102</v>
      </c>
      <c r="G1769" s="3">
        <v>44508.0</v>
      </c>
      <c r="H1769" s="3">
        <v>44595.0</v>
      </c>
      <c r="I1769" s="3">
        <v>44595.0</v>
      </c>
      <c r="J1769" s="1" t="s">
        <v>215</v>
      </c>
      <c r="K1769" s="1" t="s">
        <v>160</v>
      </c>
      <c r="L1769" s="1" t="s">
        <v>216</v>
      </c>
      <c r="M1769" s="1" t="s">
        <v>131</v>
      </c>
      <c r="Q1769" s="1" t="s">
        <v>137</v>
      </c>
      <c r="R1769" s="1" t="s">
        <v>137</v>
      </c>
      <c r="S1769" s="1" t="s">
        <v>47</v>
      </c>
      <c r="T1769" s="1" t="s">
        <v>4301</v>
      </c>
      <c r="U1769" s="1" t="s">
        <v>1577</v>
      </c>
      <c r="V1769" s="1" t="s">
        <v>5104</v>
      </c>
      <c r="W1769" s="3">
        <v>44595.0</v>
      </c>
      <c r="X1769" s="3">
        <v>44595.0</v>
      </c>
    </row>
    <row r="1770">
      <c r="A1770" s="1" t="s">
        <v>17103</v>
      </c>
      <c r="B1770" s="1" t="s">
        <v>12260</v>
      </c>
      <c r="C1770" s="1" t="s">
        <v>12260</v>
      </c>
      <c r="D1770" s="1" t="s">
        <v>4293</v>
      </c>
      <c r="E1770" s="1" t="s">
        <v>12447</v>
      </c>
      <c r="F1770" s="1" t="s">
        <v>17104</v>
      </c>
      <c r="G1770" s="3">
        <v>44508.0</v>
      </c>
      <c r="H1770" s="3">
        <v>44595.0</v>
      </c>
      <c r="I1770" s="3">
        <v>44595.0</v>
      </c>
      <c r="J1770" s="1" t="s">
        <v>215</v>
      </c>
      <c r="K1770" s="1" t="s">
        <v>160</v>
      </c>
      <c r="L1770" s="1" t="s">
        <v>216</v>
      </c>
      <c r="M1770" s="1" t="s">
        <v>131</v>
      </c>
      <c r="Q1770" s="1" t="s">
        <v>137</v>
      </c>
      <c r="R1770" s="1" t="s">
        <v>137</v>
      </c>
      <c r="S1770" s="1" t="s">
        <v>47</v>
      </c>
      <c r="T1770" s="1" t="s">
        <v>4301</v>
      </c>
      <c r="U1770" s="1" t="s">
        <v>1577</v>
      </c>
      <c r="V1770" s="1" t="s">
        <v>5120</v>
      </c>
      <c r="W1770" s="3">
        <v>44595.0</v>
      </c>
      <c r="X1770" s="3">
        <v>44595.0</v>
      </c>
    </row>
    <row r="1771">
      <c r="A1771" s="1" t="s">
        <v>17105</v>
      </c>
      <c r="B1771" s="1" t="s">
        <v>8209</v>
      </c>
      <c r="C1771" s="1" t="s">
        <v>8209</v>
      </c>
      <c r="D1771" s="1" t="s">
        <v>4293</v>
      </c>
      <c r="E1771" s="1" t="s">
        <v>12451</v>
      </c>
      <c r="F1771" s="1" t="s">
        <v>17106</v>
      </c>
      <c r="G1771" s="3">
        <v>45196.0</v>
      </c>
      <c r="H1771" s="3">
        <v>45299.0</v>
      </c>
      <c r="I1771" s="3">
        <v>45299.0</v>
      </c>
      <c r="J1771" s="1" t="s">
        <v>215</v>
      </c>
      <c r="K1771" s="1" t="s">
        <v>160</v>
      </c>
      <c r="L1771" s="1" t="s">
        <v>216</v>
      </c>
      <c r="M1771" s="1" t="s">
        <v>131</v>
      </c>
      <c r="Q1771" s="1" t="s">
        <v>137</v>
      </c>
      <c r="R1771" s="1" t="s">
        <v>137</v>
      </c>
      <c r="S1771" s="1" t="s">
        <v>47</v>
      </c>
      <c r="T1771" s="1" t="s">
        <v>4301</v>
      </c>
      <c r="U1771" s="1" t="s">
        <v>1577</v>
      </c>
      <c r="V1771" s="1" t="s">
        <v>4679</v>
      </c>
      <c r="W1771" s="3">
        <v>45299.0</v>
      </c>
      <c r="X1771" s="3">
        <v>45299.0</v>
      </c>
    </row>
    <row r="1772">
      <c r="A1772" s="1" t="s">
        <v>17107</v>
      </c>
      <c r="B1772" s="1" t="s">
        <v>8209</v>
      </c>
      <c r="C1772" s="1" t="s">
        <v>8209</v>
      </c>
      <c r="D1772" s="1" t="s">
        <v>4293</v>
      </c>
      <c r="E1772" s="1" t="s">
        <v>12451</v>
      </c>
      <c r="F1772" s="1" t="s">
        <v>17108</v>
      </c>
      <c r="G1772" s="3">
        <v>45196.0</v>
      </c>
      <c r="H1772" s="3">
        <v>45299.0</v>
      </c>
      <c r="I1772" s="3">
        <v>45299.0</v>
      </c>
      <c r="J1772" s="1" t="s">
        <v>215</v>
      </c>
      <c r="K1772" s="1" t="s">
        <v>160</v>
      </c>
      <c r="L1772" s="1" t="s">
        <v>216</v>
      </c>
      <c r="M1772" s="1" t="s">
        <v>131</v>
      </c>
      <c r="Q1772" s="1" t="s">
        <v>137</v>
      </c>
      <c r="R1772" s="1" t="s">
        <v>137</v>
      </c>
      <c r="S1772" s="1" t="s">
        <v>47</v>
      </c>
      <c r="T1772" s="1" t="s">
        <v>4301</v>
      </c>
      <c r="U1772" s="1" t="s">
        <v>1577</v>
      </c>
      <c r="V1772" s="1" t="s">
        <v>4950</v>
      </c>
      <c r="W1772" s="3">
        <v>45299.0</v>
      </c>
      <c r="X1772" s="3">
        <v>45299.0</v>
      </c>
    </row>
    <row r="1773">
      <c r="A1773" s="1" t="s">
        <v>17109</v>
      </c>
      <c r="B1773" s="1" t="s">
        <v>8209</v>
      </c>
      <c r="C1773" s="1" t="s">
        <v>8209</v>
      </c>
      <c r="D1773" s="1" t="s">
        <v>4293</v>
      </c>
      <c r="E1773" s="1" t="s">
        <v>12451</v>
      </c>
      <c r="F1773" s="1" t="s">
        <v>17110</v>
      </c>
      <c r="G1773" s="3">
        <v>45196.0</v>
      </c>
      <c r="H1773" s="3">
        <v>45299.0</v>
      </c>
      <c r="I1773" s="3">
        <v>45299.0</v>
      </c>
      <c r="J1773" s="1" t="s">
        <v>215</v>
      </c>
      <c r="K1773" s="1" t="s">
        <v>160</v>
      </c>
      <c r="L1773" s="1" t="s">
        <v>216</v>
      </c>
      <c r="M1773" s="1" t="s">
        <v>131</v>
      </c>
      <c r="Q1773" s="1" t="s">
        <v>137</v>
      </c>
      <c r="R1773" s="1" t="s">
        <v>137</v>
      </c>
      <c r="S1773" s="1" t="s">
        <v>47</v>
      </c>
      <c r="T1773" s="1" t="s">
        <v>4301</v>
      </c>
      <c r="U1773" s="1" t="s">
        <v>1577</v>
      </c>
      <c r="V1773" s="1" t="s">
        <v>5104</v>
      </c>
      <c r="W1773" s="3">
        <v>45299.0</v>
      </c>
      <c r="X1773" s="3">
        <v>45299.0</v>
      </c>
    </row>
    <row r="1774">
      <c r="A1774" s="1" t="s">
        <v>17111</v>
      </c>
      <c r="B1774" s="1" t="s">
        <v>8209</v>
      </c>
      <c r="C1774" s="1" t="s">
        <v>8209</v>
      </c>
      <c r="D1774" s="1" t="s">
        <v>4293</v>
      </c>
      <c r="E1774" s="1" t="s">
        <v>12451</v>
      </c>
      <c r="F1774" s="1" t="s">
        <v>17112</v>
      </c>
      <c r="G1774" s="3">
        <v>45196.0</v>
      </c>
      <c r="H1774" s="3">
        <v>45299.0</v>
      </c>
      <c r="I1774" s="3">
        <v>45299.0</v>
      </c>
      <c r="J1774" s="1" t="s">
        <v>215</v>
      </c>
      <c r="K1774" s="1" t="s">
        <v>160</v>
      </c>
      <c r="L1774" s="1" t="s">
        <v>216</v>
      </c>
      <c r="M1774" s="1" t="s">
        <v>131</v>
      </c>
      <c r="Q1774" s="1" t="s">
        <v>137</v>
      </c>
      <c r="R1774" s="1" t="s">
        <v>137</v>
      </c>
      <c r="S1774" s="1" t="s">
        <v>47</v>
      </c>
      <c r="T1774" s="1" t="s">
        <v>4301</v>
      </c>
      <c r="U1774" s="1" t="s">
        <v>1577</v>
      </c>
      <c r="V1774" s="1" t="s">
        <v>5120</v>
      </c>
      <c r="W1774" s="3">
        <v>45299.0</v>
      </c>
      <c r="X1774" s="3">
        <v>45299.0</v>
      </c>
    </row>
    <row r="1775">
      <c r="A1775" s="1" t="s">
        <v>17113</v>
      </c>
      <c r="B1775" s="1" t="s">
        <v>12455</v>
      </c>
      <c r="C1775" s="1" t="s">
        <v>12455</v>
      </c>
      <c r="D1775" s="1" t="s">
        <v>4293</v>
      </c>
      <c r="E1775" s="1" t="s">
        <v>12456</v>
      </c>
      <c r="F1775" s="1" t="s">
        <v>17114</v>
      </c>
      <c r="G1775" s="3">
        <v>44560.0</v>
      </c>
      <c r="H1775" s="3">
        <v>43978.0</v>
      </c>
      <c r="I1775" s="3">
        <v>43978.0</v>
      </c>
      <c r="J1775" s="1" t="s">
        <v>215</v>
      </c>
      <c r="K1775" s="1" t="s">
        <v>160</v>
      </c>
      <c r="L1775" s="1" t="s">
        <v>216</v>
      </c>
      <c r="M1775" s="1" t="s">
        <v>131</v>
      </c>
      <c r="Q1775" s="1" t="s">
        <v>137</v>
      </c>
      <c r="R1775" s="1" t="s">
        <v>137</v>
      </c>
      <c r="S1775" s="1" t="s">
        <v>47</v>
      </c>
      <c r="T1775" s="1" t="s">
        <v>4301</v>
      </c>
      <c r="U1775" s="1" t="s">
        <v>1577</v>
      </c>
      <c r="V1775" s="1" t="s">
        <v>3858</v>
      </c>
      <c r="W1775" s="3">
        <v>43978.0</v>
      </c>
      <c r="X1775" s="3">
        <v>43978.0</v>
      </c>
    </row>
    <row r="1776">
      <c r="A1776" s="1" t="s">
        <v>17115</v>
      </c>
      <c r="B1776" s="1" t="s">
        <v>12461</v>
      </c>
      <c r="C1776" s="1" t="s">
        <v>12461</v>
      </c>
      <c r="D1776" s="1" t="s">
        <v>4293</v>
      </c>
      <c r="E1776" s="1" t="s">
        <v>12462</v>
      </c>
      <c r="F1776" s="1" t="s">
        <v>17116</v>
      </c>
      <c r="G1776" s="3">
        <v>45853.0</v>
      </c>
      <c r="H1776" s="3">
        <v>45896.0</v>
      </c>
      <c r="I1776" s="3">
        <v>45896.0</v>
      </c>
      <c r="J1776" s="1" t="s">
        <v>215</v>
      </c>
      <c r="K1776" s="1" t="s">
        <v>160</v>
      </c>
      <c r="L1776" s="1" t="s">
        <v>216</v>
      </c>
      <c r="M1776" s="1" t="s">
        <v>131</v>
      </c>
      <c r="Q1776" s="1" t="s">
        <v>137</v>
      </c>
      <c r="R1776" s="1" t="s">
        <v>137</v>
      </c>
      <c r="S1776" s="1" t="s">
        <v>47</v>
      </c>
      <c r="T1776" s="1" t="s">
        <v>4301</v>
      </c>
      <c r="U1776" s="1" t="s">
        <v>1577</v>
      </c>
      <c r="V1776" s="1" t="s">
        <v>4679</v>
      </c>
      <c r="W1776" s="3">
        <v>45896.0</v>
      </c>
      <c r="X1776" s="3">
        <v>45896.0</v>
      </c>
    </row>
    <row r="1777">
      <c r="A1777" s="1" t="s">
        <v>17117</v>
      </c>
      <c r="B1777" s="1" t="s">
        <v>12461</v>
      </c>
      <c r="C1777" s="1" t="s">
        <v>12461</v>
      </c>
      <c r="D1777" s="1" t="s">
        <v>4293</v>
      </c>
      <c r="E1777" s="1" t="s">
        <v>12462</v>
      </c>
      <c r="F1777" s="1" t="s">
        <v>17118</v>
      </c>
      <c r="G1777" s="3">
        <v>45853.0</v>
      </c>
      <c r="H1777" s="3">
        <v>45896.0</v>
      </c>
      <c r="I1777" s="3">
        <v>45896.0</v>
      </c>
      <c r="J1777" s="1" t="s">
        <v>215</v>
      </c>
      <c r="K1777" s="1" t="s">
        <v>160</v>
      </c>
      <c r="L1777" s="1" t="s">
        <v>216</v>
      </c>
      <c r="M1777" s="1" t="s">
        <v>131</v>
      </c>
      <c r="Q1777" s="1" t="s">
        <v>137</v>
      </c>
      <c r="R1777" s="1" t="s">
        <v>137</v>
      </c>
      <c r="S1777" s="1" t="s">
        <v>47</v>
      </c>
      <c r="T1777" s="1" t="s">
        <v>4301</v>
      </c>
      <c r="U1777" s="1" t="s">
        <v>1577</v>
      </c>
      <c r="V1777" s="1" t="s">
        <v>4950</v>
      </c>
      <c r="W1777" s="3">
        <v>45896.0</v>
      </c>
      <c r="X1777" s="3">
        <v>45896.0</v>
      </c>
    </row>
    <row r="1778">
      <c r="A1778" s="1" t="s">
        <v>17119</v>
      </c>
      <c r="B1778" s="1" t="s">
        <v>12461</v>
      </c>
      <c r="C1778" s="1" t="s">
        <v>12461</v>
      </c>
      <c r="D1778" s="1" t="s">
        <v>4293</v>
      </c>
      <c r="E1778" s="1" t="s">
        <v>12462</v>
      </c>
      <c r="F1778" s="1" t="s">
        <v>17120</v>
      </c>
      <c r="G1778" s="3">
        <v>45853.0</v>
      </c>
      <c r="H1778" s="3">
        <v>45896.0</v>
      </c>
      <c r="I1778" s="3">
        <v>45896.0</v>
      </c>
      <c r="J1778" s="1" t="s">
        <v>215</v>
      </c>
      <c r="K1778" s="1" t="s">
        <v>160</v>
      </c>
      <c r="L1778" s="1" t="s">
        <v>216</v>
      </c>
      <c r="M1778" s="1" t="s">
        <v>131</v>
      </c>
      <c r="Q1778" s="1" t="s">
        <v>137</v>
      </c>
      <c r="R1778" s="1" t="s">
        <v>137</v>
      </c>
      <c r="S1778" s="1" t="s">
        <v>47</v>
      </c>
      <c r="T1778" s="1" t="s">
        <v>4301</v>
      </c>
      <c r="U1778" s="1" t="s">
        <v>1577</v>
      </c>
      <c r="V1778" s="1" t="s">
        <v>5104</v>
      </c>
      <c r="W1778" s="3">
        <v>45896.0</v>
      </c>
      <c r="X1778" s="3">
        <v>45896.0</v>
      </c>
    </row>
    <row r="1779">
      <c r="A1779" s="1" t="s">
        <v>17121</v>
      </c>
      <c r="B1779" s="1" t="s">
        <v>12461</v>
      </c>
      <c r="C1779" s="1" t="s">
        <v>12461</v>
      </c>
      <c r="D1779" s="1" t="s">
        <v>4293</v>
      </c>
      <c r="E1779" s="1" t="s">
        <v>12462</v>
      </c>
      <c r="F1779" s="1" t="s">
        <v>17122</v>
      </c>
      <c r="G1779" s="3">
        <v>45853.0</v>
      </c>
      <c r="H1779" s="3">
        <v>45896.0</v>
      </c>
      <c r="I1779" s="3">
        <v>45896.0</v>
      </c>
      <c r="J1779" s="1" t="s">
        <v>215</v>
      </c>
      <c r="K1779" s="1" t="s">
        <v>160</v>
      </c>
      <c r="L1779" s="1" t="s">
        <v>216</v>
      </c>
      <c r="M1779" s="1" t="s">
        <v>131</v>
      </c>
      <c r="Q1779" s="1" t="s">
        <v>137</v>
      </c>
      <c r="R1779" s="1" t="s">
        <v>137</v>
      </c>
      <c r="S1779" s="1" t="s">
        <v>47</v>
      </c>
      <c r="T1779" s="1" t="s">
        <v>4301</v>
      </c>
      <c r="U1779" s="1" t="s">
        <v>1577</v>
      </c>
      <c r="V1779" s="1" t="s">
        <v>5120</v>
      </c>
      <c r="W1779" s="3">
        <v>45896.0</v>
      </c>
      <c r="X1779" s="3">
        <v>45896.0</v>
      </c>
    </row>
    <row r="1780">
      <c r="A1780" s="1" t="s">
        <v>17123</v>
      </c>
      <c r="B1780" s="1" t="s">
        <v>12465</v>
      </c>
      <c r="C1780" s="1" t="s">
        <v>12465</v>
      </c>
      <c r="D1780" s="1" t="s">
        <v>4293</v>
      </c>
      <c r="E1780" s="1" t="s">
        <v>12466</v>
      </c>
      <c r="F1780" s="1" t="s">
        <v>17124</v>
      </c>
      <c r="G1780" s="3">
        <v>45579.0</v>
      </c>
      <c r="H1780" s="3">
        <v>45700.0</v>
      </c>
      <c r="I1780" s="3">
        <v>45700.0</v>
      </c>
      <c r="J1780" s="1" t="s">
        <v>215</v>
      </c>
      <c r="K1780" s="1" t="s">
        <v>160</v>
      </c>
      <c r="L1780" s="1" t="s">
        <v>216</v>
      </c>
      <c r="M1780" s="1" t="s">
        <v>131</v>
      </c>
      <c r="Q1780" s="1" t="s">
        <v>137</v>
      </c>
      <c r="R1780" s="1" t="s">
        <v>137</v>
      </c>
      <c r="S1780" s="1" t="s">
        <v>47</v>
      </c>
      <c r="T1780" s="1" t="s">
        <v>4301</v>
      </c>
      <c r="U1780" s="1" t="s">
        <v>1577</v>
      </c>
      <c r="V1780" s="1" t="s">
        <v>4679</v>
      </c>
      <c r="W1780" s="3">
        <v>45700.0</v>
      </c>
      <c r="X1780" s="3">
        <v>45700.0</v>
      </c>
    </row>
    <row r="1781">
      <c r="A1781" s="1" t="s">
        <v>17125</v>
      </c>
      <c r="B1781" s="1" t="s">
        <v>12465</v>
      </c>
      <c r="C1781" s="1" t="s">
        <v>12465</v>
      </c>
      <c r="D1781" s="1" t="s">
        <v>4293</v>
      </c>
      <c r="E1781" s="1" t="s">
        <v>12466</v>
      </c>
      <c r="F1781" s="1" t="s">
        <v>17126</v>
      </c>
      <c r="G1781" s="3">
        <v>45579.0</v>
      </c>
      <c r="H1781" s="3">
        <v>45700.0</v>
      </c>
      <c r="I1781" s="3">
        <v>45700.0</v>
      </c>
      <c r="J1781" s="1" t="s">
        <v>215</v>
      </c>
      <c r="K1781" s="1" t="s">
        <v>160</v>
      </c>
      <c r="L1781" s="1" t="s">
        <v>216</v>
      </c>
      <c r="M1781" s="1" t="s">
        <v>131</v>
      </c>
      <c r="Q1781" s="1" t="s">
        <v>137</v>
      </c>
      <c r="R1781" s="1" t="s">
        <v>137</v>
      </c>
      <c r="S1781" s="1" t="s">
        <v>47</v>
      </c>
      <c r="T1781" s="1" t="s">
        <v>4301</v>
      </c>
      <c r="U1781" s="1" t="s">
        <v>1577</v>
      </c>
      <c r="V1781" s="1" t="s">
        <v>4950</v>
      </c>
      <c r="W1781" s="3">
        <v>45700.0</v>
      </c>
      <c r="X1781" s="3">
        <v>45700.0</v>
      </c>
    </row>
    <row r="1782">
      <c r="A1782" s="1" t="s">
        <v>17127</v>
      </c>
      <c r="B1782" s="1" t="s">
        <v>12465</v>
      </c>
      <c r="C1782" s="1" t="s">
        <v>12465</v>
      </c>
      <c r="D1782" s="1" t="s">
        <v>4293</v>
      </c>
      <c r="E1782" s="1" t="s">
        <v>12466</v>
      </c>
      <c r="F1782" s="1" t="s">
        <v>17128</v>
      </c>
      <c r="G1782" s="3">
        <v>45579.0</v>
      </c>
      <c r="H1782" s="3">
        <v>45700.0</v>
      </c>
      <c r="I1782" s="3">
        <v>45700.0</v>
      </c>
      <c r="J1782" s="1" t="s">
        <v>215</v>
      </c>
      <c r="K1782" s="1" t="s">
        <v>160</v>
      </c>
      <c r="L1782" s="1" t="s">
        <v>216</v>
      </c>
      <c r="M1782" s="1" t="s">
        <v>131</v>
      </c>
      <c r="Q1782" s="1" t="s">
        <v>137</v>
      </c>
      <c r="R1782" s="1" t="s">
        <v>137</v>
      </c>
      <c r="S1782" s="1" t="s">
        <v>47</v>
      </c>
      <c r="T1782" s="1" t="s">
        <v>4301</v>
      </c>
      <c r="U1782" s="1" t="s">
        <v>1577</v>
      </c>
      <c r="V1782" s="1" t="s">
        <v>5104</v>
      </c>
      <c r="W1782" s="3">
        <v>45700.0</v>
      </c>
      <c r="X1782" s="3">
        <v>45700.0</v>
      </c>
    </row>
    <row r="1783">
      <c r="A1783" s="1" t="s">
        <v>17129</v>
      </c>
      <c r="B1783" s="1" t="s">
        <v>12465</v>
      </c>
      <c r="C1783" s="1" t="s">
        <v>12465</v>
      </c>
      <c r="D1783" s="1" t="s">
        <v>4293</v>
      </c>
      <c r="E1783" s="1" t="s">
        <v>12466</v>
      </c>
      <c r="F1783" s="1" t="s">
        <v>17130</v>
      </c>
      <c r="G1783" s="3">
        <v>45579.0</v>
      </c>
      <c r="H1783" s="3">
        <v>45700.0</v>
      </c>
      <c r="I1783" s="3">
        <v>45700.0</v>
      </c>
      <c r="J1783" s="1" t="s">
        <v>215</v>
      </c>
      <c r="K1783" s="1" t="s">
        <v>160</v>
      </c>
      <c r="L1783" s="1" t="s">
        <v>216</v>
      </c>
      <c r="M1783" s="1" t="s">
        <v>131</v>
      </c>
      <c r="Q1783" s="1" t="s">
        <v>137</v>
      </c>
      <c r="R1783" s="1" t="s">
        <v>137</v>
      </c>
      <c r="S1783" s="1" t="s">
        <v>47</v>
      </c>
      <c r="T1783" s="1" t="s">
        <v>4301</v>
      </c>
      <c r="U1783" s="1" t="s">
        <v>1577</v>
      </c>
      <c r="V1783" s="1" t="s">
        <v>5120</v>
      </c>
      <c r="W1783" s="3">
        <v>45700.0</v>
      </c>
      <c r="X1783" s="3">
        <v>45700.0</v>
      </c>
    </row>
    <row r="1784">
      <c r="A1784" s="1" t="s">
        <v>17131</v>
      </c>
      <c r="B1784" s="1" t="s">
        <v>9535</v>
      </c>
      <c r="C1784" s="1" t="s">
        <v>9535</v>
      </c>
      <c r="D1784" s="1" t="s">
        <v>4293</v>
      </c>
      <c r="E1784" s="1" t="s">
        <v>12472</v>
      </c>
      <c r="F1784" s="1" t="s">
        <v>17132</v>
      </c>
      <c r="G1784" s="3">
        <v>45826.0</v>
      </c>
      <c r="H1784" s="3">
        <v>46056.0</v>
      </c>
      <c r="I1784" s="3">
        <v>46056.0</v>
      </c>
      <c r="J1784" s="1" t="s">
        <v>215</v>
      </c>
      <c r="K1784" s="1" t="s">
        <v>160</v>
      </c>
      <c r="L1784" s="1" t="s">
        <v>216</v>
      </c>
      <c r="M1784" s="1" t="s">
        <v>131</v>
      </c>
      <c r="Q1784" s="1" t="s">
        <v>137</v>
      </c>
      <c r="R1784" s="1" t="s">
        <v>137</v>
      </c>
      <c r="S1784" s="1" t="s">
        <v>47</v>
      </c>
      <c r="T1784" s="1" t="s">
        <v>4301</v>
      </c>
      <c r="U1784" s="1" t="s">
        <v>1577</v>
      </c>
      <c r="V1784" s="1" t="s">
        <v>4950</v>
      </c>
      <c r="W1784" s="3">
        <v>46056.0</v>
      </c>
      <c r="X1784" s="3">
        <v>46056.0</v>
      </c>
    </row>
    <row r="1785">
      <c r="A1785" s="1" t="s">
        <v>17133</v>
      </c>
      <c r="B1785" s="1" t="s">
        <v>12476</v>
      </c>
      <c r="C1785" s="1" t="s">
        <v>12476</v>
      </c>
      <c r="D1785" s="1" t="s">
        <v>4293</v>
      </c>
      <c r="E1785" s="1" t="s">
        <v>12477</v>
      </c>
      <c r="F1785" s="1" t="s">
        <v>17134</v>
      </c>
      <c r="G1785" s="3">
        <v>44314.0</v>
      </c>
      <c r="H1785" s="3">
        <v>44295.0</v>
      </c>
      <c r="I1785" s="3">
        <v>44295.0</v>
      </c>
      <c r="J1785" s="1" t="s">
        <v>215</v>
      </c>
      <c r="K1785" s="1" t="s">
        <v>160</v>
      </c>
      <c r="L1785" s="1" t="s">
        <v>216</v>
      </c>
      <c r="M1785" s="1" t="s">
        <v>131</v>
      </c>
      <c r="Q1785" s="1" t="s">
        <v>137</v>
      </c>
      <c r="R1785" s="1" t="s">
        <v>137</v>
      </c>
      <c r="S1785" s="1" t="s">
        <v>47</v>
      </c>
      <c r="T1785" s="1" t="s">
        <v>4301</v>
      </c>
      <c r="U1785" s="1" t="s">
        <v>1577</v>
      </c>
      <c r="V1785" s="1" t="s">
        <v>3858</v>
      </c>
      <c r="W1785" s="3">
        <v>44295.0</v>
      </c>
      <c r="X1785" s="3">
        <v>44295.0</v>
      </c>
    </row>
    <row r="1786">
      <c r="A1786" s="1" t="s">
        <v>17135</v>
      </c>
      <c r="B1786" s="1" t="s">
        <v>9994</v>
      </c>
      <c r="C1786" s="1" t="s">
        <v>9994</v>
      </c>
      <c r="D1786" s="1" t="s">
        <v>4293</v>
      </c>
      <c r="E1786" s="1" t="s">
        <v>12481</v>
      </c>
      <c r="F1786" s="1" t="s">
        <v>17136</v>
      </c>
      <c r="G1786" s="3">
        <v>44736.0</v>
      </c>
      <c r="H1786" s="3">
        <v>44859.0</v>
      </c>
      <c r="I1786" s="3">
        <v>44859.0</v>
      </c>
      <c r="J1786" s="1" t="s">
        <v>215</v>
      </c>
      <c r="K1786" s="1" t="s">
        <v>160</v>
      </c>
      <c r="L1786" s="1" t="s">
        <v>216</v>
      </c>
      <c r="M1786" s="1" t="s">
        <v>131</v>
      </c>
      <c r="Q1786" s="1" t="s">
        <v>137</v>
      </c>
      <c r="R1786" s="1" t="s">
        <v>137</v>
      </c>
      <c r="S1786" s="1" t="s">
        <v>47</v>
      </c>
      <c r="T1786" s="1" t="s">
        <v>4301</v>
      </c>
      <c r="U1786" s="1" t="s">
        <v>1577</v>
      </c>
      <c r="V1786" s="1" t="s">
        <v>3858</v>
      </c>
      <c r="W1786" s="3">
        <v>44859.0</v>
      </c>
      <c r="X1786" s="3">
        <v>44859.0</v>
      </c>
    </row>
    <row r="1787">
      <c r="A1787" s="1" t="s">
        <v>17137</v>
      </c>
      <c r="B1787" s="1" t="s">
        <v>9994</v>
      </c>
      <c r="C1787" s="1" t="s">
        <v>9994</v>
      </c>
      <c r="D1787" s="1" t="s">
        <v>4293</v>
      </c>
      <c r="E1787" s="1" t="s">
        <v>12481</v>
      </c>
      <c r="F1787" s="1" t="s">
        <v>17138</v>
      </c>
      <c r="G1787" s="3">
        <v>44736.0</v>
      </c>
      <c r="H1787" s="3">
        <v>44859.0</v>
      </c>
      <c r="I1787" s="3">
        <v>44859.0</v>
      </c>
      <c r="J1787" s="1" t="s">
        <v>215</v>
      </c>
      <c r="K1787" s="1" t="s">
        <v>160</v>
      </c>
      <c r="L1787" s="1" t="s">
        <v>216</v>
      </c>
      <c r="M1787" s="1" t="s">
        <v>131</v>
      </c>
      <c r="Q1787" s="1" t="s">
        <v>137</v>
      </c>
      <c r="R1787" s="1" t="s">
        <v>137</v>
      </c>
      <c r="S1787" s="1" t="s">
        <v>47</v>
      </c>
      <c r="T1787" s="1" t="s">
        <v>4301</v>
      </c>
      <c r="U1787" s="1" t="s">
        <v>1577</v>
      </c>
      <c r="V1787" s="1" t="s">
        <v>4679</v>
      </c>
      <c r="W1787" s="3">
        <v>44859.0</v>
      </c>
      <c r="X1787" s="3">
        <v>44859.0</v>
      </c>
    </row>
    <row r="1788">
      <c r="A1788" s="1" t="s">
        <v>17139</v>
      </c>
      <c r="B1788" s="1" t="s">
        <v>9994</v>
      </c>
      <c r="C1788" s="1" t="s">
        <v>9994</v>
      </c>
      <c r="D1788" s="1" t="s">
        <v>4293</v>
      </c>
      <c r="E1788" s="1" t="s">
        <v>12481</v>
      </c>
      <c r="F1788" s="1" t="s">
        <v>17140</v>
      </c>
      <c r="G1788" s="3">
        <v>44736.0</v>
      </c>
      <c r="H1788" s="3">
        <v>44859.0</v>
      </c>
      <c r="I1788" s="3">
        <v>44859.0</v>
      </c>
      <c r="J1788" s="1" t="s">
        <v>215</v>
      </c>
      <c r="K1788" s="1" t="s">
        <v>160</v>
      </c>
      <c r="L1788" s="1" t="s">
        <v>216</v>
      </c>
      <c r="M1788" s="1" t="s">
        <v>131</v>
      </c>
      <c r="Q1788" s="1" t="s">
        <v>137</v>
      </c>
      <c r="R1788" s="1" t="s">
        <v>137</v>
      </c>
      <c r="S1788" s="1" t="s">
        <v>47</v>
      </c>
      <c r="T1788" s="1" t="s">
        <v>4301</v>
      </c>
      <c r="U1788" s="1" t="s">
        <v>1577</v>
      </c>
      <c r="V1788" s="1" t="s">
        <v>4950</v>
      </c>
      <c r="W1788" s="3">
        <v>44859.0</v>
      </c>
      <c r="X1788" s="3">
        <v>44859.0</v>
      </c>
    </row>
    <row r="1789">
      <c r="A1789" s="1" t="s">
        <v>17141</v>
      </c>
      <c r="B1789" s="1" t="s">
        <v>9994</v>
      </c>
      <c r="C1789" s="1" t="s">
        <v>9994</v>
      </c>
      <c r="D1789" s="1" t="s">
        <v>4293</v>
      </c>
      <c r="E1789" s="1" t="s">
        <v>12481</v>
      </c>
      <c r="F1789" s="1" t="s">
        <v>17142</v>
      </c>
      <c r="G1789" s="3">
        <v>44736.0</v>
      </c>
      <c r="H1789" s="3">
        <v>44859.0</v>
      </c>
      <c r="I1789" s="3">
        <v>44859.0</v>
      </c>
      <c r="J1789" s="1" t="s">
        <v>215</v>
      </c>
      <c r="K1789" s="1" t="s">
        <v>160</v>
      </c>
      <c r="L1789" s="1" t="s">
        <v>216</v>
      </c>
      <c r="M1789" s="1" t="s">
        <v>131</v>
      </c>
      <c r="Q1789" s="1" t="s">
        <v>137</v>
      </c>
      <c r="R1789" s="1" t="s">
        <v>137</v>
      </c>
      <c r="S1789" s="1" t="s">
        <v>47</v>
      </c>
      <c r="T1789" s="1" t="s">
        <v>4301</v>
      </c>
      <c r="U1789" s="1" t="s">
        <v>1577</v>
      </c>
      <c r="V1789" s="1" t="s">
        <v>5104</v>
      </c>
      <c r="W1789" s="3">
        <v>44859.0</v>
      </c>
      <c r="X1789" s="3">
        <v>44859.0</v>
      </c>
    </row>
    <row r="1790">
      <c r="A1790" s="1" t="s">
        <v>17143</v>
      </c>
      <c r="B1790" s="1" t="s">
        <v>9994</v>
      </c>
      <c r="C1790" s="1" t="s">
        <v>9994</v>
      </c>
      <c r="D1790" s="1" t="s">
        <v>4293</v>
      </c>
      <c r="E1790" s="1" t="s">
        <v>12481</v>
      </c>
      <c r="F1790" s="1" t="s">
        <v>17144</v>
      </c>
      <c r="G1790" s="3">
        <v>44736.0</v>
      </c>
      <c r="H1790" s="3">
        <v>44859.0</v>
      </c>
      <c r="I1790" s="3">
        <v>44859.0</v>
      </c>
      <c r="J1790" s="1" t="s">
        <v>215</v>
      </c>
      <c r="K1790" s="1" t="s">
        <v>160</v>
      </c>
      <c r="L1790" s="1" t="s">
        <v>216</v>
      </c>
      <c r="M1790" s="1" t="s">
        <v>131</v>
      </c>
      <c r="Q1790" s="1" t="s">
        <v>137</v>
      </c>
      <c r="R1790" s="1" t="s">
        <v>137</v>
      </c>
      <c r="S1790" s="1" t="s">
        <v>47</v>
      </c>
      <c r="T1790" s="1" t="s">
        <v>4301</v>
      </c>
      <c r="U1790" s="1" t="s">
        <v>1577</v>
      </c>
      <c r="V1790" s="1" t="s">
        <v>5120</v>
      </c>
      <c r="W1790" s="3">
        <v>44859.0</v>
      </c>
      <c r="X1790" s="3">
        <v>44859.0</v>
      </c>
    </row>
    <row r="1791">
      <c r="A1791" s="1" t="s">
        <v>17145</v>
      </c>
      <c r="B1791" s="1" t="s">
        <v>12485</v>
      </c>
      <c r="C1791" s="1" t="s">
        <v>12485</v>
      </c>
      <c r="D1791" s="1" t="s">
        <v>4293</v>
      </c>
      <c r="E1791" s="1" t="s">
        <v>12487</v>
      </c>
      <c r="F1791" s="1" t="s">
        <v>17146</v>
      </c>
      <c r="G1791" s="3">
        <v>44462.0</v>
      </c>
      <c r="H1791" s="3">
        <v>44463.0</v>
      </c>
      <c r="I1791" s="3">
        <v>44463.0</v>
      </c>
      <c r="J1791" s="1" t="s">
        <v>215</v>
      </c>
      <c r="K1791" s="1" t="s">
        <v>160</v>
      </c>
      <c r="L1791" s="1" t="s">
        <v>216</v>
      </c>
      <c r="M1791" s="1" t="s">
        <v>131</v>
      </c>
      <c r="Q1791" s="1" t="s">
        <v>137</v>
      </c>
      <c r="R1791" s="1" t="s">
        <v>137</v>
      </c>
      <c r="S1791" s="1" t="s">
        <v>47</v>
      </c>
      <c r="T1791" s="1" t="s">
        <v>4301</v>
      </c>
      <c r="U1791" s="1" t="s">
        <v>1577</v>
      </c>
      <c r="V1791" s="1" t="s">
        <v>3858</v>
      </c>
      <c r="W1791" s="3">
        <v>44463.0</v>
      </c>
      <c r="X1791" s="3">
        <v>44463.0</v>
      </c>
    </row>
    <row r="1792">
      <c r="A1792" s="1" t="s">
        <v>17147</v>
      </c>
      <c r="B1792" s="1" t="s">
        <v>10265</v>
      </c>
      <c r="C1792" s="1" t="s">
        <v>10265</v>
      </c>
      <c r="D1792" s="1" t="s">
        <v>4293</v>
      </c>
      <c r="E1792" s="1" t="s">
        <v>12493</v>
      </c>
      <c r="F1792" s="1" t="s">
        <v>17148</v>
      </c>
      <c r="G1792" s="3">
        <v>45294.0</v>
      </c>
      <c r="H1792" s="3">
        <v>45295.0</v>
      </c>
      <c r="I1792" s="3">
        <v>45295.0</v>
      </c>
      <c r="J1792" s="1" t="s">
        <v>215</v>
      </c>
      <c r="K1792" s="1" t="s">
        <v>160</v>
      </c>
      <c r="L1792" s="1" t="s">
        <v>216</v>
      </c>
      <c r="M1792" s="1" t="s">
        <v>131</v>
      </c>
      <c r="Q1792" s="1" t="s">
        <v>137</v>
      </c>
      <c r="R1792" s="1" t="s">
        <v>137</v>
      </c>
      <c r="S1792" s="1" t="s">
        <v>47</v>
      </c>
      <c r="T1792" s="1" t="s">
        <v>4301</v>
      </c>
      <c r="U1792" s="1" t="s">
        <v>1577</v>
      </c>
      <c r="V1792" s="1" t="s">
        <v>7314</v>
      </c>
      <c r="W1792" s="3">
        <v>45295.0</v>
      </c>
      <c r="X1792" s="3">
        <v>45295.0</v>
      </c>
    </row>
    <row r="1793">
      <c r="A1793" s="1" t="s">
        <v>17149</v>
      </c>
      <c r="B1793" s="1" t="s">
        <v>10483</v>
      </c>
      <c r="C1793" s="1" t="s">
        <v>10483</v>
      </c>
      <c r="D1793" s="1" t="s">
        <v>4293</v>
      </c>
      <c r="E1793" s="1" t="s">
        <v>12498</v>
      </c>
      <c r="F1793" s="1" t="s">
        <v>17150</v>
      </c>
      <c r="G1793" s="3">
        <v>44806.0</v>
      </c>
      <c r="H1793" s="3">
        <v>45127.0</v>
      </c>
      <c r="I1793" s="3">
        <v>45127.0</v>
      </c>
      <c r="J1793" s="1" t="s">
        <v>215</v>
      </c>
      <c r="K1793" s="1" t="s">
        <v>160</v>
      </c>
      <c r="L1793" s="1" t="s">
        <v>216</v>
      </c>
      <c r="M1793" s="1" t="s">
        <v>131</v>
      </c>
      <c r="Q1793" s="1" t="s">
        <v>137</v>
      </c>
      <c r="R1793" s="1" t="s">
        <v>137</v>
      </c>
      <c r="S1793" s="1" t="s">
        <v>47</v>
      </c>
      <c r="T1793" s="1" t="s">
        <v>4301</v>
      </c>
      <c r="U1793" s="1" t="s">
        <v>1577</v>
      </c>
      <c r="V1793" s="1" t="s">
        <v>3858</v>
      </c>
      <c r="W1793" s="3">
        <v>45127.0</v>
      </c>
      <c r="X1793" s="3">
        <v>45127.0</v>
      </c>
    </row>
    <row r="1794">
      <c r="A1794" s="1" t="s">
        <v>17151</v>
      </c>
      <c r="B1794" s="1" t="s">
        <v>12501</v>
      </c>
      <c r="C1794" s="1" t="s">
        <v>12501</v>
      </c>
      <c r="D1794" s="1" t="s">
        <v>4293</v>
      </c>
      <c r="E1794" s="1" t="s">
        <v>12502</v>
      </c>
      <c r="F1794" s="1" t="s">
        <v>17152</v>
      </c>
      <c r="G1794" s="3">
        <v>45693.0</v>
      </c>
      <c r="H1794" s="3">
        <v>45735.0</v>
      </c>
      <c r="I1794" s="3">
        <v>45735.0</v>
      </c>
      <c r="J1794" s="1" t="s">
        <v>215</v>
      </c>
      <c r="K1794" s="1" t="s">
        <v>160</v>
      </c>
      <c r="L1794" s="1" t="s">
        <v>216</v>
      </c>
      <c r="M1794" s="1" t="s">
        <v>131</v>
      </c>
      <c r="Q1794" s="1" t="s">
        <v>137</v>
      </c>
      <c r="R1794" s="1" t="s">
        <v>137</v>
      </c>
      <c r="S1794" s="1" t="s">
        <v>47</v>
      </c>
      <c r="T1794" s="1" t="s">
        <v>4301</v>
      </c>
      <c r="U1794" s="1" t="s">
        <v>1577</v>
      </c>
      <c r="V1794" s="1" t="s">
        <v>4679</v>
      </c>
      <c r="W1794" s="3">
        <v>45735.0</v>
      </c>
      <c r="X1794" s="3">
        <v>45735.0</v>
      </c>
    </row>
    <row r="1795">
      <c r="A1795" s="1" t="s">
        <v>17153</v>
      </c>
      <c r="B1795" s="1" t="s">
        <v>12501</v>
      </c>
      <c r="C1795" s="1" t="s">
        <v>12501</v>
      </c>
      <c r="D1795" s="1" t="s">
        <v>4293</v>
      </c>
      <c r="E1795" s="1" t="s">
        <v>12502</v>
      </c>
      <c r="F1795" s="1" t="s">
        <v>17154</v>
      </c>
      <c r="G1795" s="3">
        <v>45693.0</v>
      </c>
      <c r="H1795" s="3">
        <v>45735.0</v>
      </c>
      <c r="I1795" s="3">
        <v>45735.0</v>
      </c>
      <c r="J1795" s="1" t="s">
        <v>215</v>
      </c>
      <c r="K1795" s="1" t="s">
        <v>160</v>
      </c>
      <c r="L1795" s="1" t="s">
        <v>216</v>
      </c>
      <c r="M1795" s="1" t="s">
        <v>131</v>
      </c>
      <c r="Q1795" s="1" t="s">
        <v>137</v>
      </c>
      <c r="R1795" s="1" t="s">
        <v>137</v>
      </c>
      <c r="S1795" s="1" t="s">
        <v>47</v>
      </c>
      <c r="T1795" s="1" t="s">
        <v>4301</v>
      </c>
      <c r="U1795" s="1" t="s">
        <v>1577</v>
      </c>
      <c r="V1795" s="1" t="s">
        <v>4950</v>
      </c>
      <c r="W1795" s="3">
        <v>45735.0</v>
      </c>
      <c r="X1795" s="3">
        <v>45735.0</v>
      </c>
    </row>
    <row r="1796">
      <c r="A1796" s="1" t="s">
        <v>17155</v>
      </c>
      <c r="B1796" s="1" t="s">
        <v>12501</v>
      </c>
      <c r="C1796" s="1" t="s">
        <v>12501</v>
      </c>
      <c r="D1796" s="1" t="s">
        <v>4293</v>
      </c>
      <c r="E1796" s="1" t="s">
        <v>12502</v>
      </c>
      <c r="F1796" s="1" t="s">
        <v>17156</v>
      </c>
      <c r="G1796" s="3">
        <v>45693.0</v>
      </c>
      <c r="H1796" s="3">
        <v>45735.0</v>
      </c>
      <c r="I1796" s="3">
        <v>45735.0</v>
      </c>
      <c r="J1796" s="1" t="s">
        <v>215</v>
      </c>
      <c r="K1796" s="1" t="s">
        <v>160</v>
      </c>
      <c r="L1796" s="1" t="s">
        <v>216</v>
      </c>
      <c r="M1796" s="1" t="s">
        <v>131</v>
      </c>
      <c r="Q1796" s="1" t="s">
        <v>137</v>
      </c>
      <c r="R1796" s="1" t="s">
        <v>137</v>
      </c>
      <c r="S1796" s="1" t="s">
        <v>47</v>
      </c>
      <c r="T1796" s="1" t="s">
        <v>4301</v>
      </c>
      <c r="U1796" s="1" t="s">
        <v>1577</v>
      </c>
      <c r="V1796" s="1" t="s">
        <v>5104</v>
      </c>
      <c r="W1796" s="3">
        <v>45735.0</v>
      </c>
      <c r="X1796" s="3">
        <v>45735.0</v>
      </c>
    </row>
    <row r="1797">
      <c r="A1797" s="1" t="s">
        <v>17157</v>
      </c>
      <c r="B1797" s="1" t="s">
        <v>12501</v>
      </c>
      <c r="C1797" s="1" t="s">
        <v>12501</v>
      </c>
      <c r="D1797" s="1" t="s">
        <v>4293</v>
      </c>
      <c r="E1797" s="1" t="s">
        <v>12502</v>
      </c>
      <c r="F1797" s="1" t="s">
        <v>17158</v>
      </c>
      <c r="G1797" s="3">
        <v>45693.0</v>
      </c>
      <c r="H1797" s="3">
        <v>45735.0</v>
      </c>
      <c r="I1797" s="3">
        <v>45735.0</v>
      </c>
      <c r="J1797" s="1" t="s">
        <v>215</v>
      </c>
      <c r="K1797" s="1" t="s">
        <v>160</v>
      </c>
      <c r="L1797" s="1" t="s">
        <v>216</v>
      </c>
      <c r="M1797" s="1" t="s">
        <v>131</v>
      </c>
      <c r="Q1797" s="1" t="s">
        <v>137</v>
      </c>
      <c r="R1797" s="1" t="s">
        <v>137</v>
      </c>
      <c r="S1797" s="1" t="s">
        <v>47</v>
      </c>
      <c r="T1797" s="1" t="s">
        <v>4301</v>
      </c>
      <c r="U1797" s="1" t="s">
        <v>1577</v>
      </c>
      <c r="V1797" s="1" t="s">
        <v>5120</v>
      </c>
      <c r="W1797" s="3">
        <v>45735.0</v>
      </c>
      <c r="X1797" s="3">
        <v>45735.0</v>
      </c>
    </row>
    <row r="1798">
      <c r="A1798" s="1" t="s">
        <v>17159</v>
      </c>
      <c r="B1798" s="1" t="s">
        <v>12507</v>
      </c>
      <c r="C1798" s="1" t="s">
        <v>12507</v>
      </c>
      <c r="D1798" s="1" t="s">
        <v>4293</v>
      </c>
      <c r="E1798" s="1" t="s">
        <v>12508</v>
      </c>
      <c r="F1798" s="1" t="s">
        <v>17160</v>
      </c>
      <c r="G1798" s="3">
        <v>44197.0</v>
      </c>
      <c r="H1798" s="3">
        <v>44197.0</v>
      </c>
      <c r="I1798" s="3">
        <v>44197.0</v>
      </c>
      <c r="J1798" s="1" t="s">
        <v>215</v>
      </c>
      <c r="K1798" s="1" t="s">
        <v>160</v>
      </c>
      <c r="L1798" s="1" t="s">
        <v>216</v>
      </c>
      <c r="M1798" s="1" t="s">
        <v>131</v>
      </c>
      <c r="Q1798" s="1" t="s">
        <v>137</v>
      </c>
      <c r="R1798" s="1" t="s">
        <v>137</v>
      </c>
      <c r="S1798" s="1" t="s">
        <v>47</v>
      </c>
      <c r="T1798" s="1" t="s">
        <v>4301</v>
      </c>
      <c r="U1798" s="1" t="s">
        <v>1577</v>
      </c>
      <c r="V1798" s="1" t="s">
        <v>4950</v>
      </c>
      <c r="W1798" s="3">
        <v>44197.0</v>
      </c>
      <c r="X1798" s="3">
        <v>44197.0</v>
      </c>
    </row>
    <row r="1799">
      <c r="A1799" s="1" t="s">
        <v>17161</v>
      </c>
      <c r="B1799" s="1" t="s">
        <v>12512</v>
      </c>
      <c r="C1799" s="1" t="s">
        <v>12512</v>
      </c>
      <c r="D1799" s="1" t="s">
        <v>4293</v>
      </c>
      <c r="E1799" s="1" t="s">
        <v>12513</v>
      </c>
      <c r="F1799" s="1" t="s">
        <v>17162</v>
      </c>
      <c r="G1799" s="3">
        <v>45832.0</v>
      </c>
      <c r="H1799" s="3">
        <v>45909.0</v>
      </c>
      <c r="I1799" s="3">
        <v>45909.0</v>
      </c>
      <c r="J1799" s="1" t="s">
        <v>215</v>
      </c>
      <c r="K1799" s="1" t="s">
        <v>160</v>
      </c>
      <c r="L1799" s="1" t="s">
        <v>216</v>
      </c>
      <c r="M1799" s="1" t="s">
        <v>131</v>
      </c>
      <c r="Q1799" s="1" t="s">
        <v>137</v>
      </c>
      <c r="R1799" s="1" t="s">
        <v>137</v>
      </c>
      <c r="S1799" s="1" t="s">
        <v>47</v>
      </c>
      <c r="T1799" s="1" t="s">
        <v>4301</v>
      </c>
      <c r="U1799" s="1" t="s">
        <v>1577</v>
      </c>
      <c r="V1799" s="1" t="s">
        <v>4679</v>
      </c>
      <c r="W1799" s="3">
        <v>45909.0</v>
      </c>
      <c r="X1799" s="3">
        <v>45909.0</v>
      </c>
    </row>
    <row r="1800">
      <c r="A1800" s="1" t="s">
        <v>17163</v>
      </c>
      <c r="B1800" s="1" t="s">
        <v>12512</v>
      </c>
      <c r="C1800" s="1" t="s">
        <v>12512</v>
      </c>
      <c r="D1800" s="1" t="s">
        <v>4293</v>
      </c>
      <c r="E1800" s="1" t="s">
        <v>12513</v>
      </c>
      <c r="F1800" s="1" t="s">
        <v>17164</v>
      </c>
      <c r="G1800" s="3">
        <v>45832.0</v>
      </c>
      <c r="H1800" s="3">
        <v>45909.0</v>
      </c>
      <c r="I1800" s="3">
        <v>45909.0</v>
      </c>
      <c r="J1800" s="1" t="s">
        <v>215</v>
      </c>
      <c r="K1800" s="1" t="s">
        <v>160</v>
      </c>
      <c r="L1800" s="1" t="s">
        <v>216</v>
      </c>
      <c r="M1800" s="1" t="s">
        <v>131</v>
      </c>
      <c r="Q1800" s="1" t="s">
        <v>137</v>
      </c>
      <c r="R1800" s="1" t="s">
        <v>137</v>
      </c>
      <c r="S1800" s="1" t="s">
        <v>47</v>
      </c>
      <c r="T1800" s="1" t="s">
        <v>4301</v>
      </c>
      <c r="U1800" s="1" t="s">
        <v>1577</v>
      </c>
      <c r="V1800" s="1" t="s">
        <v>4950</v>
      </c>
      <c r="W1800" s="3">
        <v>45909.0</v>
      </c>
      <c r="X1800" s="3">
        <v>45909.0</v>
      </c>
    </row>
    <row r="1801">
      <c r="A1801" s="1" t="s">
        <v>17165</v>
      </c>
      <c r="B1801" s="1" t="s">
        <v>12512</v>
      </c>
      <c r="C1801" s="1" t="s">
        <v>12512</v>
      </c>
      <c r="D1801" s="1" t="s">
        <v>4293</v>
      </c>
      <c r="E1801" s="1" t="s">
        <v>12513</v>
      </c>
      <c r="F1801" s="1" t="s">
        <v>17166</v>
      </c>
      <c r="G1801" s="3">
        <v>45832.0</v>
      </c>
      <c r="H1801" s="3">
        <v>45909.0</v>
      </c>
      <c r="I1801" s="3">
        <v>45909.0</v>
      </c>
      <c r="J1801" s="1" t="s">
        <v>215</v>
      </c>
      <c r="K1801" s="1" t="s">
        <v>160</v>
      </c>
      <c r="L1801" s="1" t="s">
        <v>216</v>
      </c>
      <c r="M1801" s="1" t="s">
        <v>131</v>
      </c>
      <c r="Q1801" s="1" t="s">
        <v>137</v>
      </c>
      <c r="R1801" s="1" t="s">
        <v>137</v>
      </c>
      <c r="S1801" s="1" t="s">
        <v>47</v>
      </c>
      <c r="T1801" s="1" t="s">
        <v>4301</v>
      </c>
      <c r="U1801" s="1" t="s">
        <v>1577</v>
      </c>
      <c r="V1801" s="1" t="s">
        <v>5104</v>
      </c>
      <c r="W1801" s="3">
        <v>45909.0</v>
      </c>
      <c r="X1801" s="3">
        <v>45909.0</v>
      </c>
    </row>
    <row r="1802">
      <c r="A1802" s="1" t="s">
        <v>17167</v>
      </c>
      <c r="B1802" s="1" t="s">
        <v>12512</v>
      </c>
      <c r="C1802" s="1" t="s">
        <v>12512</v>
      </c>
      <c r="D1802" s="1" t="s">
        <v>4293</v>
      </c>
      <c r="E1802" s="1" t="s">
        <v>12513</v>
      </c>
      <c r="F1802" s="1" t="s">
        <v>17168</v>
      </c>
      <c r="G1802" s="3">
        <v>45832.0</v>
      </c>
      <c r="H1802" s="3">
        <v>45909.0</v>
      </c>
      <c r="I1802" s="3">
        <v>45909.0</v>
      </c>
      <c r="J1802" s="1" t="s">
        <v>215</v>
      </c>
      <c r="K1802" s="1" t="s">
        <v>160</v>
      </c>
      <c r="L1802" s="1" t="s">
        <v>216</v>
      </c>
      <c r="M1802" s="1" t="s">
        <v>131</v>
      </c>
      <c r="Q1802" s="1" t="s">
        <v>137</v>
      </c>
      <c r="R1802" s="1" t="s">
        <v>137</v>
      </c>
      <c r="S1802" s="1" t="s">
        <v>47</v>
      </c>
      <c r="T1802" s="1" t="s">
        <v>4301</v>
      </c>
      <c r="U1802" s="1" t="s">
        <v>1577</v>
      </c>
      <c r="V1802" s="1" t="s">
        <v>5120</v>
      </c>
      <c r="W1802" s="3">
        <v>45909.0</v>
      </c>
      <c r="X1802" s="3">
        <v>45909.0</v>
      </c>
    </row>
    <row r="1803">
      <c r="A1803" s="1" t="s">
        <v>17169</v>
      </c>
      <c r="B1803" s="1" t="s">
        <v>12517</v>
      </c>
      <c r="C1803" s="1" t="s">
        <v>12517</v>
      </c>
      <c r="D1803" s="1" t="s">
        <v>4293</v>
      </c>
      <c r="E1803" s="1" t="s">
        <v>12519</v>
      </c>
      <c r="F1803" s="1" t="s">
        <v>17170</v>
      </c>
      <c r="G1803" s="3">
        <v>44620.0</v>
      </c>
      <c r="H1803" s="3">
        <v>44620.0</v>
      </c>
      <c r="I1803" s="3">
        <v>44620.0</v>
      </c>
      <c r="J1803" s="1" t="s">
        <v>215</v>
      </c>
      <c r="K1803" s="1" t="s">
        <v>160</v>
      </c>
      <c r="L1803" s="1" t="s">
        <v>216</v>
      </c>
      <c r="M1803" s="1" t="s">
        <v>131</v>
      </c>
      <c r="Q1803" s="1" t="s">
        <v>137</v>
      </c>
      <c r="R1803" s="1" t="s">
        <v>137</v>
      </c>
      <c r="S1803" s="1" t="s">
        <v>47</v>
      </c>
      <c r="T1803" s="1" t="s">
        <v>4301</v>
      </c>
      <c r="U1803" s="1" t="s">
        <v>1577</v>
      </c>
      <c r="V1803" s="1" t="s">
        <v>3858</v>
      </c>
      <c r="W1803" s="3">
        <v>44620.0</v>
      </c>
      <c r="X1803" s="3">
        <v>44620.0</v>
      </c>
    </row>
    <row r="1804">
      <c r="A1804" s="1" t="s">
        <v>17171</v>
      </c>
      <c r="B1804" s="1" t="s">
        <v>12522</v>
      </c>
      <c r="C1804" s="1" t="s">
        <v>12522</v>
      </c>
      <c r="D1804" s="1" t="s">
        <v>4293</v>
      </c>
      <c r="E1804" s="1" t="s">
        <v>12523</v>
      </c>
      <c r="F1804" s="1" t="s">
        <v>17172</v>
      </c>
      <c r="G1804" s="3">
        <v>44944.0</v>
      </c>
      <c r="H1804" s="3">
        <v>44968.0</v>
      </c>
      <c r="I1804" s="3">
        <v>44968.0</v>
      </c>
      <c r="J1804" s="1" t="s">
        <v>215</v>
      </c>
      <c r="K1804" s="1" t="s">
        <v>160</v>
      </c>
      <c r="L1804" s="1" t="s">
        <v>216</v>
      </c>
      <c r="M1804" s="1" t="s">
        <v>131</v>
      </c>
      <c r="Q1804" s="1" t="s">
        <v>137</v>
      </c>
      <c r="R1804" s="1" t="s">
        <v>137</v>
      </c>
      <c r="S1804" s="1" t="s">
        <v>47</v>
      </c>
      <c r="T1804" s="1" t="s">
        <v>4301</v>
      </c>
      <c r="U1804" s="1" t="s">
        <v>1577</v>
      </c>
      <c r="V1804" s="1" t="s">
        <v>3858</v>
      </c>
      <c r="W1804" s="3">
        <v>44968.0</v>
      </c>
      <c r="X1804" s="3">
        <v>44968.0</v>
      </c>
    </row>
    <row r="1805">
      <c r="A1805" s="1" t="s">
        <v>17173</v>
      </c>
      <c r="B1805" s="1" t="s">
        <v>12522</v>
      </c>
      <c r="C1805" s="1" t="s">
        <v>12522</v>
      </c>
      <c r="D1805" s="1" t="s">
        <v>4293</v>
      </c>
      <c r="E1805" s="1" t="s">
        <v>12523</v>
      </c>
      <c r="F1805" s="1" t="s">
        <v>17174</v>
      </c>
      <c r="G1805" s="3">
        <v>44944.0</v>
      </c>
      <c r="H1805" s="3">
        <v>44968.0</v>
      </c>
      <c r="I1805" s="3">
        <v>44968.0</v>
      </c>
      <c r="J1805" s="1" t="s">
        <v>215</v>
      </c>
      <c r="K1805" s="1" t="s">
        <v>160</v>
      </c>
      <c r="L1805" s="1" t="s">
        <v>216</v>
      </c>
      <c r="M1805" s="1" t="s">
        <v>131</v>
      </c>
      <c r="Q1805" s="1" t="s">
        <v>137</v>
      </c>
      <c r="R1805" s="1" t="s">
        <v>137</v>
      </c>
      <c r="S1805" s="1" t="s">
        <v>47</v>
      </c>
      <c r="T1805" s="1" t="s">
        <v>4301</v>
      </c>
      <c r="U1805" s="1" t="s">
        <v>1577</v>
      </c>
      <c r="V1805" s="1" t="s">
        <v>4679</v>
      </c>
      <c r="W1805" s="3">
        <v>44968.0</v>
      </c>
      <c r="X1805" s="3">
        <v>44968.0</v>
      </c>
    </row>
    <row r="1806">
      <c r="A1806" s="1" t="s">
        <v>17175</v>
      </c>
      <c r="B1806" s="1" t="s">
        <v>12522</v>
      </c>
      <c r="C1806" s="1" t="s">
        <v>12522</v>
      </c>
      <c r="D1806" s="1" t="s">
        <v>4293</v>
      </c>
      <c r="E1806" s="1" t="s">
        <v>12523</v>
      </c>
      <c r="F1806" s="1" t="s">
        <v>17176</v>
      </c>
      <c r="G1806" s="3">
        <v>44944.0</v>
      </c>
      <c r="H1806" s="3">
        <v>44968.0</v>
      </c>
      <c r="I1806" s="3">
        <v>44968.0</v>
      </c>
      <c r="J1806" s="1" t="s">
        <v>215</v>
      </c>
      <c r="K1806" s="1" t="s">
        <v>160</v>
      </c>
      <c r="L1806" s="1" t="s">
        <v>216</v>
      </c>
      <c r="M1806" s="1" t="s">
        <v>131</v>
      </c>
      <c r="Q1806" s="1" t="s">
        <v>137</v>
      </c>
      <c r="R1806" s="1" t="s">
        <v>137</v>
      </c>
      <c r="S1806" s="1" t="s">
        <v>47</v>
      </c>
      <c r="T1806" s="1" t="s">
        <v>4301</v>
      </c>
      <c r="U1806" s="1" t="s">
        <v>1577</v>
      </c>
      <c r="V1806" s="1" t="s">
        <v>3865</v>
      </c>
      <c r="W1806" s="3">
        <v>44968.0</v>
      </c>
      <c r="X1806" s="3">
        <v>44968.0</v>
      </c>
    </row>
    <row r="1807">
      <c r="A1807" s="1" t="s">
        <v>17177</v>
      </c>
      <c r="B1807" s="1" t="s">
        <v>12522</v>
      </c>
      <c r="C1807" s="1" t="s">
        <v>12522</v>
      </c>
      <c r="D1807" s="1" t="s">
        <v>4293</v>
      </c>
      <c r="E1807" s="1" t="s">
        <v>12523</v>
      </c>
      <c r="F1807" s="1" t="s">
        <v>17178</v>
      </c>
      <c r="G1807" s="3">
        <v>44944.0</v>
      </c>
      <c r="H1807" s="3">
        <v>44968.0</v>
      </c>
      <c r="I1807" s="3">
        <v>44968.0</v>
      </c>
      <c r="J1807" s="1" t="s">
        <v>215</v>
      </c>
      <c r="K1807" s="1" t="s">
        <v>160</v>
      </c>
      <c r="L1807" s="1" t="s">
        <v>216</v>
      </c>
      <c r="M1807" s="1" t="s">
        <v>131</v>
      </c>
      <c r="Q1807" s="1" t="s">
        <v>137</v>
      </c>
      <c r="R1807" s="1" t="s">
        <v>137</v>
      </c>
      <c r="S1807" s="1" t="s">
        <v>47</v>
      </c>
      <c r="T1807" s="1" t="s">
        <v>4301</v>
      </c>
      <c r="U1807" s="1" t="s">
        <v>1577</v>
      </c>
      <c r="V1807" s="1" t="s">
        <v>4950</v>
      </c>
      <c r="W1807" s="3">
        <v>44968.0</v>
      </c>
      <c r="X1807" s="3">
        <v>44968.0</v>
      </c>
    </row>
    <row r="1808">
      <c r="A1808" s="1" t="s">
        <v>17179</v>
      </c>
      <c r="B1808" s="1" t="s">
        <v>12522</v>
      </c>
      <c r="C1808" s="1" t="s">
        <v>12522</v>
      </c>
      <c r="D1808" s="1" t="s">
        <v>4293</v>
      </c>
      <c r="E1808" s="1" t="s">
        <v>12523</v>
      </c>
      <c r="F1808" s="1" t="s">
        <v>17180</v>
      </c>
      <c r="G1808" s="3">
        <v>44944.0</v>
      </c>
      <c r="H1808" s="3">
        <v>44968.0</v>
      </c>
      <c r="I1808" s="3">
        <v>44968.0</v>
      </c>
      <c r="J1808" s="1" t="s">
        <v>215</v>
      </c>
      <c r="K1808" s="1" t="s">
        <v>160</v>
      </c>
      <c r="L1808" s="1" t="s">
        <v>216</v>
      </c>
      <c r="M1808" s="1" t="s">
        <v>131</v>
      </c>
      <c r="Q1808" s="1" t="s">
        <v>137</v>
      </c>
      <c r="R1808" s="1" t="s">
        <v>137</v>
      </c>
      <c r="S1808" s="1" t="s">
        <v>47</v>
      </c>
      <c r="T1808" s="1" t="s">
        <v>4301</v>
      </c>
      <c r="U1808" s="1" t="s">
        <v>1577</v>
      </c>
      <c r="V1808" s="1" t="s">
        <v>5104</v>
      </c>
      <c r="W1808" s="3">
        <v>44968.0</v>
      </c>
      <c r="X1808" s="3">
        <v>44968.0</v>
      </c>
    </row>
    <row r="1809">
      <c r="A1809" s="1" t="s">
        <v>17181</v>
      </c>
      <c r="B1809" s="1" t="s">
        <v>12522</v>
      </c>
      <c r="C1809" s="1" t="s">
        <v>12522</v>
      </c>
      <c r="D1809" s="1" t="s">
        <v>4293</v>
      </c>
      <c r="E1809" s="1" t="s">
        <v>12523</v>
      </c>
      <c r="F1809" s="1" t="s">
        <v>17182</v>
      </c>
      <c r="G1809" s="3">
        <v>44944.0</v>
      </c>
      <c r="H1809" s="3">
        <v>44968.0</v>
      </c>
      <c r="I1809" s="3">
        <v>44968.0</v>
      </c>
      <c r="J1809" s="1" t="s">
        <v>215</v>
      </c>
      <c r="K1809" s="1" t="s">
        <v>160</v>
      </c>
      <c r="L1809" s="1" t="s">
        <v>216</v>
      </c>
      <c r="M1809" s="1" t="s">
        <v>131</v>
      </c>
      <c r="Q1809" s="1" t="s">
        <v>137</v>
      </c>
      <c r="R1809" s="1" t="s">
        <v>137</v>
      </c>
      <c r="S1809" s="1" t="s">
        <v>47</v>
      </c>
      <c r="T1809" s="1" t="s">
        <v>4301</v>
      </c>
      <c r="U1809" s="1" t="s">
        <v>1577</v>
      </c>
      <c r="V1809" s="1" t="s">
        <v>5120</v>
      </c>
      <c r="W1809" s="3">
        <v>44968.0</v>
      </c>
      <c r="X1809" s="3">
        <v>44968.0</v>
      </c>
    </row>
    <row r="1810">
      <c r="A1810" s="1" t="s">
        <v>17183</v>
      </c>
      <c r="B1810" s="1" t="s">
        <v>12530</v>
      </c>
      <c r="C1810" s="1" t="s">
        <v>12530</v>
      </c>
      <c r="D1810" s="1" t="s">
        <v>4293</v>
      </c>
      <c r="E1810" s="1" t="s">
        <v>12531</v>
      </c>
      <c r="F1810" s="1" t="s">
        <v>17184</v>
      </c>
      <c r="G1810" s="3">
        <v>44075.0</v>
      </c>
      <c r="H1810" s="3">
        <v>44075.0</v>
      </c>
      <c r="I1810" s="3">
        <v>44075.0</v>
      </c>
      <c r="J1810" s="1" t="s">
        <v>215</v>
      </c>
      <c r="K1810" s="1" t="s">
        <v>160</v>
      </c>
      <c r="L1810" s="1" t="s">
        <v>216</v>
      </c>
      <c r="M1810" s="1" t="s">
        <v>131</v>
      </c>
      <c r="Q1810" s="1" t="s">
        <v>137</v>
      </c>
      <c r="R1810" s="1" t="s">
        <v>137</v>
      </c>
      <c r="S1810" s="1" t="s">
        <v>47</v>
      </c>
      <c r="T1810" s="1" t="s">
        <v>4301</v>
      </c>
      <c r="U1810" s="1" t="s">
        <v>1577</v>
      </c>
      <c r="V1810" s="1" t="s">
        <v>4950</v>
      </c>
      <c r="W1810" s="3">
        <v>44075.0</v>
      </c>
      <c r="X1810" s="3">
        <v>44075.0</v>
      </c>
    </row>
    <row r="1811">
      <c r="A1811" s="1" t="s">
        <v>17185</v>
      </c>
      <c r="B1811" s="1" t="s">
        <v>12341</v>
      </c>
      <c r="C1811" s="1" t="s">
        <v>12341</v>
      </c>
      <c r="D1811" s="1" t="s">
        <v>4293</v>
      </c>
      <c r="E1811" s="1" t="s">
        <v>12534</v>
      </c>
      <c r="F1811" s="1" t="s">
        <v>17186</v>
      </c>
      <c r="G1811" s="3">
        <v>45693.0</v>
      </c>
      <c r="H1811" s="3">
        <v>45735.0</v>
      </c>
      <c r="I1811" s="3">
        <v>45735.0</v>
      </c>
      <c r="J1811" s="1" t="s">
        <v>215</v>
      </c>
      <c r="K1811" s="1" t="s">
        <v>160</v>
      </c>
      <c r="L1811" s="1" t="s">
        <v>216</v>
      </c>
      <c r="M1811" s="1" t="s">
        <v>131</v>
      </c>
      <c r="Q1811" s="1" t="s">
        <v>137</v>
      </c>
      <c r="R1811" s="1" t="s">
        <v>137</v>
      </c>
      <c r="S1811" s="1" t="s">
        <v>47</v>
      </c>
      <c r="T1811" s="1" t="s">
        <v>4301</v>
      </c>
      <c r="U1811" s="1" t="s">
        <v>1577</v>
      </c>
      <c r="V1811" s="1" t="s">
        <v>4679</v>
      </c>
      <c r="W1811" s="3">
        <v>45735.0</v>
      </c>
      <c r="X1811" s="3">
        <v>45735.0</v>
      </c>
    </row>
    <row r="1812">
      <c r="A1812" s="1" t="s">
        <v>17187</v>
      </c>
      <c r="B1812" s="1" t="s">
        <v>12341</v>
      </c>
      <c r="C1812" s="1" t="s">
        <v>12341</v>
      </c>
      <c r="D1812" s="1" t="s">
        <v>4293</v>
      </c>
      <c r="E1812" s="1" t="s">
        <v>12534</v>
      </c>
      <c r="F1812" s="1" t="s">
        <v>17188</v>
      </c>
      <c r="G1812" s="3">
        <v>45693.0</v>
      </c>
      <c r="H1812" s="3">
        <v>45735.0</v>
      </c>
      <c r="I1812" s="3">
        <v>45735.0</v>
      </c>
      <c r="J1812" s="1" t="s">
        <v>215</v>
      </c>
      <c r="K1812" s="1" t="s">
        <v>160</v>
      </c>
      <c r="L1812" s="1" t="s">
        <v>216</v>
      </c>
      <c r="M1812" s="1" t="s">
        <v>131</v>
      </c>
      <c r="Q1812" s="1" t="s">
        <v>137</v>
      </c>
      <c r="R1812" s="1" t="s">
        <v>137</v>
      </c>
      <c r="S1812" s="1" t="s">
        <v>47</v>
      </c>
      <c r="T1812" s="1" t="s">
        <v>4301</v>
      </c>
      <c r="U1812" s="1" t="s">
        <v>1577</v>
      </c>
      <c r="V1812" s="1" t="s">
        <v>4950</v>
      </c>
      <c r="W1812" s="3">
        <v>45735.0</v>
      </c>
      <c r="X1812" s="3">
        <v>45735.0</v>
      </c>
    </row>
    <row r="1813">
      <c r="A1813" s="1" t="s">
        <v>17191</v>
      </c>
      <c r="B1813" s="1" t="s">
        <v>12341</v>
      </c>
      <c r="C1813" s="1" t="s">
        <v>12341</v>
      </c>
      <c r="D1813" s="1" t="s">
        <v>4293</v>
      </c>
      <c r="E1813" s="1" t="s">
        <v>12534</v>
      </c>
      <c r="F1813" s="1" t="s">
        <v>17193</v>
      </c>
      <c r="G1813" s="3">
        <v>45693.0</v>
      </c>
      <c r="H1813" s="3">
        <v>45735.0</v>
      </c>
      <c r="I1813" s="3">
        <v>45735.0</v>
      </c>
      <c r="J1813" s="1" t="s">
        <v>215</v>
      </c>
      <c r="K1813" s="1" t="s">
        <v>160</v>
      </c>
      <c r="L1813" s="1" t="s">
        <v>216</v>
      </c>
      <c r="M1813" s="1" t="s">
        <v>131</v>
      </c>
      <c r="Q1813" s="1" t="s">
        <v>137</v>
      </c>
      <c r="R1813" s="1" t="s">
        <v>137</v>
      </c>
      <c r="S1813" s="1" t="s">
        <v>47</v>
      </c>
      <c r="T1813" s="1" t="s">
        <v>4301</v>
      </c>
      <c r="U1813" s="1" t="s">
        <v>1577</v>
      </c>
      <c r="V1813" s="1" t="s">
        <v>5104</v>
      </c>
      <c r="W1813" s="3">
        <v>45735.0</v>
      </c>
      <c r="X1813" s="3">
        <v>45735.0</v>
      </c>
    </row>
    <row r="1814">
      <c r="A1814" s="1" t="s">
        <v>17194</v>
      </c>
      <c r="B1814" s="1" t="s">
        <v>12341</v>
      </c>
      <c r="C1814" s="1" t="s">
        <v>12341</v>
      </c>
      <c r="D1814" s="1" t="s">
        <v>4293</v>
      </c>
      <c r="E1814" s="1" t="s">
        <v>12534</v>
      </c>
      <c r="F1814" s="1" t="s">
        <v>17195</v>
      </c>
      <c r="G1814" s="3">
        <v>45693.0</v>
      </c>
      <c r="H1814" s="3">
        <v>45735.0</v>
      </c>
      <c r="I1814" s="3">
        <v>45735.0</v>
      </c>
      <c r="J1814" s="1" t="s">
        <v>215</v>
      </c>
      <c r="K1814" s="1" t="s">
        <v>160</v>
      </c>
      <c r="L1814" s="1" t="s">
        <v>216</v>
      </c>
      <c r="M1814" s="1" t="s">
        <v>131</v>
      </c>
      <c r="Q1814" s="1" t="s">
        <v>137</v>
      </c>
      <c r="R1814" s="1" t="s">
        <v>137</v>
      </c>
      <c r="S1814" s="1" t="s">
        <v>47</v>
      </c>
      <c r="T1814" s="1" t="s">
        <v>4301</v>
      </c>
      <c r="U1814" s="1" t="s">
        <v>1577</v>
      </c>
      <c r="V1814" s="1" t="s">
        <v>5120</v>
      </c>
      <c r="W1814" s="3">
        <v>45735.0</v>
      </c>
      <c r="X1814" s="3">
        <v>45735.0</v>
      </c>
    </row>
    <row r="1815">
      <c r="A1815" s="1" t="s">
        <v>17197</v>
      </c>
      <c r="B1815" s="1" t="s">
        <v>12188</v>
      </c>
      <c r="C1815" s="1" t="s">
        <v>12188</v>
      </c>
      <c r="D1815" s="1" t="s">
        <v>4293</v>
      </c>
      <c r="E1815" s="1" t="s">
        <v>12540</v>
      </c>
      <c r="F1815" s="1" t="s">
        <v>17198</v>
      </c>
      <c r="G1815" s="3">
        <v>45322.0</v>
      </c>
      <c r="H1815" s="3">
        <v>45504.0</v>
      </c>
      <c r="I1815" s="3">
        <v>45504.0</v>
      </c>
      <c r="J1815" s="1" t="s">
        <v>215</v>
      </c>
      <c r="K1815" s="1" t="s">
        <v>160</v>
      </c>
      <c r="L1815" s="1" t="s">
        <v>216</v>
      </c>
      <c r="M1815" s="1" t="s">
        <v>131</v>
      </c>
      <c r="Q1815" s="1" t="s">
        <v>137</v>
      </c>
      <c r="R1815" s="1" t="s">
        <v>137</v>
      </c>
      <c r="S1815" s="1" t="s">
        <v>47</v>
      </c>
      <c r="T1815" s="1" t="s">
        <v>4301</v>
      </c>
      <c r="U1815" s="1" t="s">
        <v>1577</v>
      </c>
      <c r="V1815" s="1" t="s">
        <v>3858</v>
      </c>
      <c r="W1815" s="3">
        <v>45504.0</v>
      </c>
      <c r="X1815" s="3">
        <v>45504.0</v>
      </c>
    </row>
    <row r="1816">
      <c r="A1816" s="1" t="s">
        <v>17200</v>
      </c>
      <c r="B1816" s="1" t="s">
        <v>12188</v>
      </c>
      <c r="C1816" s="1" t="s">
        <v>12188</v>
      </c>
      <c r="D1816" s="1" t="s">
        <v>4293</v>
      </c>
      <c r="E1816" s="1" t="s">
        <v>12540</v>
      </c>
      <c r="F1816" s="1" t="s">
        <v>17201</v>
      </c>
      <c r="G1816" s="3">
        <v>45322.0</v>
      </c>
      <c r="H1816" s="3">
        <v>45504.0</v>
      </c>
      <c r="I1816" s="3">
        <v>45504.0</v>
      </c>
      <c r="J1816" s="1" t="s">
        <v>215</v>
      </c>
      <c r="K1816" s="1" t="s">
        <v>160</v>
      </c>
      <c r="L1816" s="1" t="s">
        <v>216</v>
      </c>
      <c r="M1816" s="1" t="s">
        <v>131</v>
      </c>
      <c r="Q1816" s="1" t="s">
        <v>137</v>
      </c>
      <c r="R1816" s="1" t="s">
        <v>137</v>
      </c>
      <c r="S1816" s="1" t="s">
        <v>47</v>
      </c>
      <c r="T1816" s="1" t="s">
        <v>4301</v>
      </c>
      <c r="U1816" s="1" t="s">
        <v>1577</v>
      </c>
      <c r="V1816" s="1" t="s">
        <v>4950</v>
      </c>
      <c r="W1816" s="3">
        <v>45504.0</v>
      </c>
      <c r="X1816" s="3">
        <v>45504.0</v>
      </c>
    </row>
    <row r="1817">
      <c r="A1817" s="1" t="s">
        <v>17202</v>
      </c>
      <c r="B1817" s="1" t="s">
        <v>12545</v>
      </c>
      <c r="C1817" s="1" t="s">
        <v>12545</v>
      </c>
      <c r="D1817" s="1" t="s">
        <v>4293</v>
      </c>
      <c r="E1817" s="1" t="s">
        <v>12547</v>
      </c>
      <c r="F1817" s="1" t="s">
        <v>17203</v>
      </c>
      <c r="G1817" s="3">
        <v>45656.0</v>
      </c>
      <c r="H1817" s="3">
        <v>45848.0</v>
      </c>
      <c r="I1817" s="3">
        <v>45848.0</v>
      </c>
      <c r="J1817" s="1" t="s">
        <v>215</v>
      </c>
      <c r="K1817" s="1" t="s">
        <v>160</v>
      </c>
      <c r="L1817" s="1" t="s">
        <v>216</v>
      </c>
      <c r="M1817" s="1" t="s">
        <v>131</v>
      </c>
      <c r="Q1817" s="1" t="s">
        <v>137</v>
      </c>
      <c r="R1817" s="1" t="s">
        <v>137</v>
      </c>
      <c r="S1817" s="1" t="s">
        <v>47</v>
      </c>
      <c r="T1817" s="1" t="s">
        <v>4301</v>
      </c>
      <c r="U1817" s="1" t="s">
        <v>1577</v>
      </c>
      <c r="V1817" s="1" t="s">
        <v>3858</v>
      </c>
      <c r="W1817" s="3">
        <v>45848.0</v>
      </c>
      <c r="X1817" s="3">
        <v>45848.0</v>
      </c>
    </row>
    <row r="1818">
      <c r="A1818" s="1" t="s">
        <v>17204</v>
      </c>
      <c r="B1818" s="1" t="s">
        <v>5346</v>
      </c>
      <c r="C1818" s="1" t="s">
        <v>5346</v>
      </c>
      <c r="D1818" s="1" t="s">
        <v>4293</v>
      </c>
      <c r="E1818" s="1" t="s">
        <v>12560</v>
      </c>
      <c r="F1818" s="1" t="s">
        <v>17205</v>
      </c>
      <c r="G1818" s="3">
        <v>45307.0</v>
      </c>
      <c r="H1818" s="3">
        <v>45321.0</v>
      </c>
      <c r="I1818" s="3">
        <v>45321.0</v>
      </c>
      <c r="J1818" s="1" t="s">
        <v>215</v>
      </c>
      <c r="K1818" s="1" t="s">
        <v>160</v>
      </c>
      <c r="L1818" s="1" t="s">
        <v>216</v>
      </c>
      <c r="M1818" s="1" t="s">
        <v>131</v>
      </c>
      <c r="Q1818" s="1" t="s">
        <v>137</v>
      </c>
      <c r="R1818" s="1" t="s">
        <v>137</v>
      </c>
      <c r="S1818" s="1" t="s">
        <v>47</v>
      </c>
      <c r="T1818" s="1" t="s">
        <v>4301</v>
      </c>
      <c r="U1818" s="1" t="s">
        <v>1577</v>
      </c>
      <c r="V1818" s="1" t="s">
        <v>3858</v>
      </c>
      <c r="W1818" s="3">
        <v>45321.0</v>
      </c>
      <c r="X1818" s="3">
        <v>45321.0</v>
      </c>
    </row>
    <row r="1819">
      <c r="A1819" s="1" t="s">
        <v>17206</v>
      </c>
      <c r="B1819" s="1" t="s">
        <v>5346</v>
      </c>
      <c r="C1819" s="1" t="s">
        <v>5346</v>
      </c>
      <c r="D1819" s="1" t="s">
        <v>4293</v>
      </c>
      <c r="E1819" s="1" t="s">
        <v>12560</v>
      </c>
      <c r="F1819" s="1" t="s">
        <v>17207</v>
      </c>
      <c r="G1819" s="3">
        <v>45307.0</v>
      </c>
      <c r="H1819" s="3">
        <v>45321.0</v>
      </c>
      <c r="I1819" s="3">
        <v>45321.0</v>
      </c>
      <c r="J1819" s="1" t="s">
        <v>215</v>
      </c>
      <c r="K1819" s="1" t="s">
        <v>160</v>
      </c>
      <c r="L1819" s="1" t="s">
        <v>216</v>
      </c>
      <c r="M1819" s="1" t="s">
        <v>131</v>
      </c>
      <c r="Q1819" s="1" t="s">
        <v>137</v>
      </c>
      <c r="R1819" s="1" t="s">
        <v>137</v>
      </c>
      <c r="S1819" s="1" t="s">
        <v>47</v>
      </c>
      <c r="T1819" s="1" t="s">
        <v>4301</v>
      </c>
      <c r="U1819" s="1" t="s">
        <v>1577</v>
      </c>
      <c r="V1819" s="1" t="s">
        <v>4679</v>
      </c>
      <c r="W1819" s="3">
        <v>45321.0</v>
      </c>
      <c r="X1819" s="3">
        <v>45321.0</v>
      </c>
    </row>
    <row r="1820">
      <c r="A1820" s="1" t="s">
        <v>17208</v>
      </c>
      <c r="B1820" s="1" t="s">
        <v>5346</v>
      </c>
      <c r="C1820" s="1" t="s">
        <v>5346</v>
      </c>
      <c r="D1820" s="1" t="s">
        <v>4293</v>
      </c>
      <c r="E1820" s="1" t="s">
        <v>12560</v>
      </c>
      <c r="F1820" s="1" t="s">
        <v>17209</v>
      </c>
      <c r="G1820" s="3">
        <v>45307.0</v>
      </c>
      <c r="H1820" s="3">
        <v>45321.0</v>
      </c>
      <c r="I1820" s="3">
        <v>45321.0</v>
      </c>
      <c r="J1820" s="1" t="s">
        <v>215</v>
      </c>
      <c r="K1820" s="1" t="s">
        <v>160</v>
      </c>
      <c r="L1820" s="1" t="s">
        <v>216</v>
      </c>
      <c r="M1820" s="1" t="s">
        <v>131</v>
      </c>
      <c r="Q1820" s="1" t="s">
        <v>137</v>
      </c>
      <c r="R1820" s="1" t="s">
        <v>137</v>
      </c>
      <c r="S1820" s="1" t="s">
        <v>47</v>
      </c>
      <c r="T1820" s="1" t="s">
        <v>4301</v>
      </c>
      <c r="U1820" s="1" t="s">
        <v>1577</v>
      </c>
      <c r="V1820" s="1" t="s">
        <v>4950</v>
      </c>
      <c r="W1820" s="3">
        <v>45321.0</v>
      </c>
      <c r="X1820" s="3">
        <v>45321.0</v>
      </c>
    </row>
    <row r="1821">
      <c r="A1821" s="1" t="s">
        <v>17210</v>
      </c>
      <c r="B1821" s="1" t="s">
        <v>5346</v>
      </c>
      <c r="C1821" s="1" t="s">
        <v>5346</v>
      </c>
      <c r="D1821" s="1" t="s">
        <v>4293</v>
      </c>
      <c r="E1821" s="1" t="s">
        <v>12560</v>
      </c>
      <c r="F1821" s="1" t="s">
        <v>17211</v>
      </c>
      <c r="G1821" s="3">
        <v>45307.0</v>
      </c>
      <c r="H1821" s="3">
        <v>45321.0</v>
      </c>
      <c r="I1821" s="3">
        <v>45321.0</v>
      </c>
      <c r="J1821" s="1" t="s">
        <v>215</v>
      </c>
      <c r="K1821" s="1" t="s">
        <v>160</v>
      </c>
      <c r="L1821" s="1" t="s">
        <v>216</v>
      </c>
      <c r="M1821" s="1" t="s">
        <v>131</v>
      </c>
      <c r="Q1821" s="1" t="s">
        <v>137</v>
      </c>
      <c r="R1821" s="1" t="s">
        <v>137</v>
      </c>
      <c r="S1821" s="1" t="s">
        <v>47</v>
      </c>
      <c r="T1821" s="1" t="s">
        <v>4301</v>
      </c>
      <c r="U1821" s="1" t="s">
        <v>1577</v>
      </c>
      <c r="V1821" s="1" t="s">
        <v>5104</v>
      </c>
      <c r="W1821" s="3">
        <v>45321.0</v>
      </c>
      <c r="X1821" s="3">
        <v>45321.0</v>
      </c>
    </row>
    <row r="1822">
      <c r="A1822" s="1" t="s">
        <v>17212</v>
      </c>
      <c r="B1822" s="1" t="s">
        <v>5346</v>
      </c>
      <c r="C1822" s="1" t="s">
        <v>5346</v>
      </c>
      <c r="D1822" s="1" t="s">
        <v>4293</v>
      </c>
      <c r="E1822" s="1" t="s">
        <v>12560</v>
      </c>
      <c r="F1822" s="1" t="s">
        <v>17213</v>
      </c>
      <c r="G1822" s="3">
        <v>45307.0</v>
      </c>
      <c r="H1822" s="3">
        <v>45321.0</v>
      </c>
      <c r="I1822" s="3">
        <v>45321.0</v>
      </c>
      <c r="J1822" s="1" t="s">
        <v>215</v>
      </c>
      <c r="K1822" s="1" t="s">
        <v>160</v>
      </c>
      <c r="L1822" s="1" t="s">
        <v>216</v>
      </c>
      <c r="M1822" s="1" t="s">
        <v>131</v>
      </c>
      <c r="Q1822" s="1" t="s">
        <v>137</v>
      </c>
      <c r="R1822" s="1" t="s">
        <v>137</v>
      </c>
      <c r="S1822" s="1" t="s">
        <v>47</v>
      </c>
      <c r="T1822" s="1" t="s">
        <v>4301</v>
      </c>
      <c r="U1822" s="1" t="s">
        <v>1577</v>
      </c>
      <c r="V1822" s="1" t="s">
        <v>5120</v>
      </c>
      <c r="W1822" s="3">
        <v>45321.0</v>
      </c>
      <c r="X1822" s="3">
        <v>45321.0</v>
      </c>
    </row>
    <row r="1823">
      <c r="A1823" s="1" t="s">
        <v>17214</v>
      </c>
      <c r="B1823" s="1" t="s">
        <v>12570</v>
      </c>
      <c r="C1823" s="1" t="s">
        <v>12570</v>
      </c>
      <c r="D1823" s="1" t="s">
        <v>4293</v>
      </c>
      <c r="E1823" s="1" t="s">
        <v>12573</v>
      </c>
      <c r="F1823" s="1" t="s">
        <v>17215</v>
      </c>
      <c r="G1823" s="3">
        <v>44314.0</v>
      </c>
      <c r="H1823" s="3">
        <v>44270.0</v>
      </c>
      <c r="I1823" s="3">
        <v>44270.0</v>
      </c>
      <c r="J1823" s="1" t="s">
        <v>215</v>
      </c>
      <c r="K1823" s="1" t="s">
        <v>160</v>
      </c>
      <c r="L1823" s="1" t="s">
        <v>216</v>
      </c>
      <c r="M1823" s="1" t="s">
        <v>131</v>
      </c>
      <c r="Q1823" s="1" t="s">
        <v>137</v>
      </c>
      <c r="R1823" s="1" t="s">
        <v>137</v>
      </c>
      <c r="S1823" s="1" t="s">
        <v>47</v>
      </c>
      <c r="T1823" s="1" t="s">
        <v>4301</v>
      </c>
      <c r="U1823" s="1" t="s">
        <v>1577</v>
      </c>
      <c r="V1823" s="1" t="s">
        <v>3858</v>
      </c>
      <c r="W1823" s="3">
        <v>44270.0</v>
      </c>
      <c r="X1823" s="3">
        <v>44270.0</v>
      </c>
    </row>
    <row r="1824">
      <c r="A1824" s="1" t="s">
        <v>17216</v>
      </c>
      <c r="B1824" s="1" t="s">
        <v>8058</v>
      </c>
      <c r="C1824" s="1" t="s">
        <v>8058</v>
      </c>
      <c r="D1824" s="1" t="s">
        <v>4293</v>
      </c>
      <c r="E1824" s="1" t="s">
        <v>12588</v>
      </c>
      <c r="F1824" s="1" t="s">
        <v>17217</v>
      </c>
      <c r="G1824" s="3">
        <v>45442.0</v>
      </c>
      <c r="H1824" s="3">
        <v>45721.0</v>
      </c>
      <c r="I1824" s="3">
        <v>45721.0</v>
      </c>
      <c r="J1824" s="1" t="s">
        <v>215</v>
      </c>
      <c r="K1824" s="1" t="s">
        <v>160</v>
      </c>
      <c r="L1824" s="1" t="s">
        <v>216</v>
      </c>
      <c r="M1824" s="1" t="s">
        <v>131</v>
      </c>
      <c r="Q1824" s="1" t="s">
        <v>137</v>
      </c>
      <c r="R1824" s="1" t="s">
        <v>137</v>
      </c>
      <c r="S1824" s="1" t="s">
        <v>47</v>
      </c>
      <c r="T1824" s="1" t="s">
        <v>4301</v>
      </c>
      <c r="U1824" s="1" t="s">
        <v>1577</v>
      </c>
      <c r="V1824" s="1" t="s">
        <v>4679</v>
      </c>
      <c r="W1824" s="3">
        <v>45721.0</v>
      </c>
      <c r="X1824" s="3">
        <v>45721.0</v>
      </c>
    </row>
    <row r="1825">
      <c r="A1825" s="1" t="s">
        <v>17218</v>
      </c>
      <c r="B1825" s="1" t="s">
        <v>8058</v>
      </c>
      <c r="C1825" s="1" t="s">
        <v>8058</v>
      </c>
      <c r="D1825" s="1" t="s">
        <v>4293</v>
      </c>
      <c r="E1825" s="1" t="s">
        <v>12588</v>
      </c>
      <c r="F1825" s="1" t="s">
        <v>17219</v>
      </c>
      <c r="G1825" s="3">
        <v>45442.0</v>
      </c>
      <c r="H1825" s="3">
        <v>45721.0</v>
      </c>
      <c r="I1825" s="3">
        <v>45721.0</v>
      </c>
      <c r="J1825" s="1" t="s">
        <v>215</v>
      </c>
      <c r="K1825" s="1" t="s">
        <v>160</v>
      </c>
      <c r="L1825" s="1" t="s">
        <v>216</v>
      </c>
      <c r="M1825" s="1" t="s">
        <v>131</v>
      </c>
      <c r="Q1825" s="1" t="s">
        <v>137</v>
      </c>
      <c r="R1825" s="1" t="s">
        <v>137</v>
      </c>
      <c r="S1825" s="1" t="s">
        <v>47</v>
      </c>
      <c r="T1825" s="1" t="s">
        <v>4301</v>
      </c>
      <c r="U1825" s="1" t="s">
        <v>1577</v>
      </c>
      <c r="V1825" s="1" t="s">
        <v>4950</v>
      </c>
      <c r="W1825" s="3">
        <v>45721.0</v>
      </c>
      <c r="X1825" s="3">
        <v>45721.0</v>
      </c>
    </row>
    <row r="1826">
      <c r="A1826" s="1" t="s">
        <v>17220</v>
      </c>
      <c r="B1826" s="1" t="s">
        <v>8058</v>
      </c>
      <c r="C1826" s="1" t="s">
        <v>8058</v>
      </c>
      <c r="D1826" s="1" t="s">
        <v>4293</v>
      </c>
      <c r="E1826" s="1" t="s">
        <v>12588</v>
      </c>
      <c r="F1826" s="1" t="s">
        <v>17221</v>
      </c>
      <c r="G1826" s="3">
        <v>45442.0</v>
      </c>
      <c r="H1826" s="3">
        <v>45721.0</v>
      </c>
      <c r="I1826" s="3">
        <v>45721.0</v>
      </c>
      <c r="J1826" s="1" t="s">
        <v>215</v>
      </c>
      <c r="K1826" s="1" t="s">
        <v>160</v>
      </c>
      <c r="L1826" s="1" t="s">
        <v>216</v>
      </c>
      <c r="M1826" s="1" t="s">
        <v>131</v>
      </c>
      <c r="Q1826" s="1" t="s">
        <v>137</v>
      </c>
      <c r="R1826" s="1" t="s">
        <v>137</v>
      </c>
      <c r="S1826" s="1" t="s">
        <v>47</v>
      </c>
      <c r="T1826" s="1" t="s">
        <v>4301</v>
      </c>
      <c r="U1826" s="1" t="s">
        <v>1577</v>
      </c>
      <c r="V1826" s="1" t="s">
        <v>5104</v>
      </c>
      <c r="W1826" s="3">
        <v>45721.0</v>
      </c>
      <c r="X1826" s="3">
        <v>45721.0</v>
      </c>
    </row>
    <row r="1827">
      <c r="A1827" s="1" t="s">
        <v>17222</v>
      </c>
      <c r="B1827" s="1" t="s">
        <v>8058</v>
      </c>
      <c r="C1827" s="1" t="s">
        <v>8058</v>
      </c>
      <c r="D1827" s="1" t="s">
        <v>4293</v>
      </c>
      <c r="E1827" s="1" t="s">
        <v>12588</v>
      </c>
      <c r="F1827" s="1" t="s">
        <v>17223</v>
      </c>
      <c r="G1827" s="3">
        <v>45442.0</v>
      </c>
      <c r="H1827" s="3">
        <v>45721.0</v>
      </c>
      <c r="I1827" s="3">
        <v>45721.0</v>
      </c>
      <c r="J1827" s="1" t="s">
        <v>215</v>
      </c>
      <c r="K1827" s="1" t="s">
        <v>160</v>
      </c>
      <c r="L1827" s="1" t="s">
        <v>216</v>
      </c>
      <c r="M1827" s="1" t="s">
        <v>131</v>
      </c>
      <c r="Q1827" s="1" t="s">
        <v>137</v>
      </c>
      <c r="R1827" s="1" t="s">
        <v>137</v>
      </c>
      <c r="S1827" s="1" t="s">
        <v>47</v>
      </c>
      <c r="T1827" s="1" t="s">
        <v>4301</v>
      </c>
      <c r="U1827" s="1" t="s">
        <v>1577</v>
      </c>
      <c r="V1827" s="1" t="s">
        <v>5120</v>
      </c>
      <c r="W1827" s="3">
        <v>45721.0</v>
      </c>
      <c r="X1827" s="3">
        <v>45721.0</v>
      </c>
    </row>
    <row r="1828">
      <c r="A1828" s="1" t="s">
        <v>17224</v>
      </c>
      <c r="B1828" s="1" t="s">
        <v>12599</v>
      </c>
      <c r="C1828" s="1" t="s">
        <v>12599</v>
      </c>
      <c r="D1828" s="1" t="s">
        <v>4293</v>
      </c>
      <c r="E1828" s="1" t="s">
        <v>12601</v>
      </c>
      <c r="F1828" s="1" t="s">
        <v>17225</v>
      </c>
      <c r="G1828" s="3">
        <v>45471.0</v>
      </c>
      <c r="H1828" s="3">
        <v>45853.0</v>
      </c>
      <c r="I1828" s="3">
        <v>45853.0</v>
      </c>
      <c r="J1828" s="1" t="s">
        <v>215</v>
      </c>
      <c r="K1828" s="1" t="s">
        <v>160</v>
      </c>
      <c r="L1828" s="1" t="s">
        <v>216</v>
      </c>
      <c r="M1828" s="1" t="s">
        <v>131</v>
      </c>
      <c r="Q1828" s="1" t="s">
        <v>137</v>
      </c>
      <c r="R1828" s="1" t="s">
        <v>137</v>
      </c>
      <c r="S1828" s="1" t="s">
        <v>47</v>
      </c>
      <c r="T1828" s="1" t="s">
        <v>4301</v>
      </c>
      <c r="U1828" s="1" t="s">
        <v>1577</v>
      </c>
      <c r="V1828" s="1" t="s">
        <v>3858</v>
      </c>
      <c r="W1828" s="3">
        <v>45853.0</v>
      </c>
      <c r="X1828" s="3">
        <v>45853.0</v>
      </c>
    </row>
    <row r="1829">
      <c r="A1829" s="1" t="s">
        <v>17226</v>
      </c>
      <c r="B1829" s="1" t="s">
        <v>12612</v>
      </c>
      <c r="C1829" s="1" t="s">
        <v>12612</v>
      </c>
      <c r="D1829" s="1" t="s">
        <v>4293</v>
      </c>
      <c r="E1829" s="1" t="s">
        <v>12617</v>
      </c>
      <c r="F1829" s="1" t="s">
        <v>17227</v>
      </c>
      <c r="G1829" s="3">
        <v>45176.0</v>
      </c>
      <c r="H1829" s="3">
        <v>45287.0</v>
      </c>
      <c r="I1829" s="3">
        <v>45287.0</v>
      </c>
      <c r="J1829" s="1" t="s">
        <v>215</v>
      </c>
      <c r="K1829" s="1" t="s">
        <v>160</v>
      </c>
      <c r="L1829" s="1" t="s">
        <v>216</v>
      </c>
      <c r="M1829" s="1" t="s">
        <v>131</v>
      </c>
      <c r="Q1829" s="1" t="s">
        <v>137</v>
      </c>
      <c r="R1829" s="1" t="s">
        <v>137</v>
      </c>
      <c r="S1829" s="1" t="s">
        <v>47</v>
      </c>
      <c r="T1829" s="1" t="s">
        <v>4301</v>
      </c>
      <c r="U1829" s="1" t="s">
        <v>1577</v>
      </c>
      <c r="V1829" s="1" t="s">
        <v>4679</v>
      </c>
      <c r="W1829" s="3">
        <v>45287.0</v>
      </c>
      <c r="X1829" s="3">
        <v>45287.0</v>
      </c>
    </row>
    <row r="1830">
      <c r="A1830" s="1" t="s">
        <v>17228</v>
      </c>
      <c r="B1830" s="1" t="s">
        <v>12612</v>
      </c>
      <c r="C1830" s="1" t="s">
        <v>12612</v>
      </c>
      <c r="D1830" s="1" t="s">
        <v>4293</v>
      </c>
      <c r="E1830" s="1" t="s">
        <v>12617</v>
      </c>
      <c r="F1830" s="1" t="s">
        <v>17229</v>
      </c>
      <c r="G1830" s="3">
        <v>45176.0</v>
      </c>
      <c r="H1830" s="3">
        <v>45287.0</v>
      </c>
      <c r="I1830" s="3">
        <v>45287.0</v>
      </c>
      <c r="J1830" s="1" t="s">
        <v>215</v>
      </c>
      <c r="K1830" s="1" t="s">
        <v>160</v>
      </c>
      <c r="L1830" s="1" t="s">
        <v>216</v>
      </c>
      <c r="M1830" s="1" t="s">
        <v>131</v>
      </c>
      <c r="Q1830" s="1" t="s">
        <v>137</v>
      </c>
      <c r="R1830" s="1" t="s">
        <v>137</v>
      </c>
      <c r="S1830" s="1" t="s">
        <v>47</v>
      </c>
      <c r="T1830" s="1" t="s">
        <v>4301</v>
      </c>
      <c r="U1830" s="1" t="s">
        <v>1577</v>
      </c>
      <c r="V1830" s="1" t="s">
        <v>4950</v>
      </c>
      <c r="W1830" s="3">
        <v>45287.0</v>
      </c>
      <c r="X1830" s="3">
        <v>45287.0</v>
      </c>
    </row>
    <row r="1831">
      <c r="A1831" s="1" t="s">
        <v>17230</v>
      </c>
      <c r="B1831" s="1" t="s">
        <v>12612</v>
      </c>
      <c r="C1831" s="1" t="s">
        <v>12612</v>
      </c>
      <c r="D1831" s="1" t="s">
        <v>4293</v>
      </c>
      <c r="E1831" s="1" t="s">
        <v>12617</v>
      </c>
      <c r="F1831" s="1" t="s">
        <v>17231</v>
      </c>
      <c r="G1831" s="3">
        <v>45176.0</v>
      </c>
      <c r="H1831" s="3">
        <v>45287.0</v>
      </c>
      <c r="I1831" s="3">
        <v>45287.0</v>
      </c>
      <c r="J1831" s="1" t="s">
        <v>215</v>
      </c>
      <c r="K1831" s="1" t="s">
        <v>160</v>
      </c>
      <c r="L1831" s="1" t="s">
        <v>216</v>
      </c>
      <c r="M1831" s="1" t="s">
        <v>131</v>
      </c>
      <c r="Q1831" s="1" t="s">
        <v>137</v>
      </c>
      <c r="R1831" s="1" t="s">
        <v>137</v>
      </c>
      <c r="S1831" s="1" t="s">
        <v>47</v>
      </c>
      <c r="T1831" s="1" t="s">
        <v>4301</v>
      </c>
      <c r="U1831" s="1" t="s">
        <v>1577</v>
      </c>
      <c r="V1831" s="1" t="s">
        <v>5104</v>
      </c>
      <c r="W1831" s="3">
        <v>45287.0</v>
      </c>
      <c r="X1831" s="3">
        <v>45287.0</v>
      </c>
    </row>
    <row r="1832">
      <c r="A1832" s="1" t="s">
        <v>17232</v>
      </c>
      <c r="B1832" s="1" t="s">
        <v>12612</v>
      </c>
      <c r="C1832" s="1" t="s">
        <v>12612</v>
      </c>
      <c r="D1832" s="1" t="s">
        <v>4293</v>
      </c>
      <c r="E1832" s="1" t="s">
        <v>12617</v>
      </c>
      <c r="F1832" s="1" t="s">
        <v>17233</v>
      </c>
      <c r="G1832" s="3">
        <v>45176.0</v>
      </c>
      <c r="H1832" s="3">
        <v>45287.0</v>
      </c>
      <c r="I1832" s="3">
        <v>45287.0</v>
      </c>
      <c r="J1832" s="1" t="s">
        <v>215</v>
      </c>
      <c r="K1832" s="1" t="s">
        <v>160</v>
      </c>
      <c r="L1832" s="1" t="s">
        <v>216</v>
      </c>
      <c r="M1832" s="1" t="s">
        <v>131</v>
      </c>
      <c r="Q1832" s="1" t="s">
        <v>137</v>
      </c>
      <c r="R1832" s="1" t="s">
        <v>137</v>
      </c>
      <c r="S1832" s="1" t="s">
        <v>47</v>
      </c>
      <c r="T1832" s="1" t="s">
        <v>4301</v>
      </c>
      <c r="U1832" s="1" t="s">
        <v>1577</v>
      </c>
      <c r="V1832" s="1" t="s">
        <v>5120</v>
      </c>
      <c r="W1832" s="3">
        <v>45287.0</v>
      </c>
      <c r="X1832" s="3">
        <v>45287.0</v>
      </c>
    </row>
    <row r="1833">
      <c r="A1833" s="1" t="s">
        <v>17234</v>
      </c>
      <c r="B1833" s="1" t="s">
        <v>4736</v>
      </c>
      <c r="C1833" s="1" t="s">
        <v>4736</v>
      </c>
      <c r="D1833" s="1" t="s">
        <v>4293</v>
      </c>
      <c r="E1833" s="1" t="s">
        <v>12629</v>
      </c>
      <c r="F1833" s="1" t="s">
        <v>17235</v>
      </c>
      <c r="G1833" s="3">
        <v>44491.0</v>
      </c>
      <c r="H1833" s="3">
        <v>44544.0</v>
      </c>
      <c r="I1833" s="3">
        <v>44544.0</v>
      </c>
      <c r="J1833" s="1" t="s">
        <v>215</v>
      </c>
      <c r="K1833" s="1" t="s">
        <v>160</v>
      </c>
      <c r="L1833" s="1" t="s">
        <v>216</v>
      </c>
      <c r="M1833" s="1" t="s">
        <v>131</v>
      </c>
      <c r="Q1833" s="1" t="s">
        <v>137</v>
      </c>
      <c r="R1833" s="1" t="s">
        <v>137</v>
      </c>
      <c r="S1833" s="1" t="s">
        <v>47</v>
      </c>
      <c r="T1833" s="1" t="s">
        <v>4301</v>
      </c>
      <c r="U1833" s="1" t="s">
        <v>1577</v>
      </c>
      <c r="V1833" s="1" t="s">
        <v>4950</v>
      </c>
      <c r="W1833" s="3">
        <v>44544.0</v>
      </c>
      <c r="X1833" s="3">
        <v>44544.0</v>
      </c>
    </row>
    <row r="1834">
      <c r="A1834" s="1" t="s">
        <v>17236</v>
      </c>
      <c r="B1834" s="1" t="s">
        <v>7243</v>
      </c>
      <c r="C1834" s="1" t="s">
        <v>7243</v>
      </c>
      <c r="D1834" s="1" t="s">
        <v>4293</v>
      </c>
      <c r="E1834" s="1" t="s">
        <v>12638</v>
      </c>
      <c r="F1834" s="1" t="s">
        <v>17237</v>
      </c>
      <c r="G1834" s="3">
        <v>44277.0</v>
      </c>
      <c r="H1834" s="3">
        <v>44274.0</v>
      </c>
      <c r="I1834" s="3">
        <v>44274.0</v>
      </c>
      <c r="J1834" s="1" t="s">
        <v>215</v>
      </c>
      <c r="K1834" s="1" t="s">
        <v>160</v>
      </c>
      <c r="L1834" s="1" t="s">
        <v>216</v>
      </c>
      <c r="M1834" s="1" t="s">
        <v>131</v>
      </c>
      <c r="Q1834" s="1" t="s">
        <v>137</v>
      </c>
      <c r="R1834" s="1" t="s">
        <v>137</v>
      </c>
      <c r="S1834" s="1" t="s">
        <v>47</v>
      </c>
      <c r="T1834" s="1" t="s">
        <v>4301</v>
      </c>
      <c r="U1834" s="1" t="s">
        <v>1577</v>
      </c>
      <c r="V1834" s="1" t="s">
        <v>3858</v>
      </c>
      <c r="W1834" s="3">
        <v>44274.0</v>
      </c>
      <c r="X1834" s="3">
        <v>44274.0</v>
      </c>
    </row>
    <row r="1835">
      <c r="A1835" s="1" t="s">
        <v>17238</v>
      </c>
      <c r="B1835" s="1" t="s">
        <v>12648</v>
      </c>
      <c r="C1835" s="1" t="s">
        <v>12648</v>
      </c>
      <c r="D1835" s="1" t="s">
        <v>4293</v>
      </c>
      <c r="E1835" s="1" t="s">
        <v>12651</v>
      </c>
      <c r="F1835" s="1" t="s">
        <v>17239</v>
      </c>
      <c r="G1835" s="3">
        <v>44998.0</v>
      </c>
      <c r="H1835" s="3">
        <v>45302.0</v>
      </c>
      <c r="I1835" s="3">
        <v>45302.0</v>
      </c>
      <c r="J1835" s="1" t="s">
        <v>215</v>
      </c>
      <c r="K1835" s="1" t="s">
        <v>160</v>
      </c>
      <c r="L1835" s="1" t="s">
        <v>216</v>
      </c>
      <c r="M1835" s="1" t="s">
        <v>131</v>
      </c>
      <c r="Q1835" s="1" t="s">
        <v>137</v>
      </c>
      <c r="R1835" s="1" t="s">
        <v>137</v>
      </c>
      <c r="S1835" s="1" t="s">
        <v>47</v>
      </c>
      <c r="T1835" s="1" t="s">
        <v>4301</v>
      </c>
      <c r="U1835" s="1" t="s">
        <v>1577</v>
      </c>
      <c r="V1835" s="1" t="s">
        <v>4679</v>
      </c>
      <c r="W1835" s="3">
        <v>45302.0</v>
      </c>
      <c r="X1835" s="3">
        <v>45302.0</v>
      </c>
    </row>
    <row r="1836">
      <c r="A1836" s="1" t="s">
        <v>17240</v>
      </c>
      <c r="B1836" s="1" t="s">
        <v>12648</v>
      </c>
      <c r="C1836" s="1" t="s">
        <v>12648</v>
      </c>
      <c r="D1836" s="1" t="s">
        <v>4293</v>
      </c>
      <c r="E1836" s="1" t="s">
        <v>12651</v>
      </c>
      <c r="F1836" s="1" t="s">
        <v>17241</v>
      </c>
      <c r="G1836" s="3">
        <v>44998.0</v>
      </c>
      <c r="H1836" s="3">
        <v>45302.0</v>
      </c>
      <c r="I1836" s="3">
        <v>45302.0</v>
      </c>
      <c r="J1836" s="1" t="s">
        <v>215</v>
      </c>
      <c r="K1836" s="1" t="s">
        <v>160</v>
      </c>
      <c r="L1836" s="1" t="s">
        <v>216</v>
      </c>
      <c r="M1836" s="1" t="s">
        <v>131</v>
      </c>
      <c r="Q1836" s="1" t="s">
        <v>137</v>
      </c>
      <c r="R1836" s="1" t="s">
        <v>137</v>
      </c>
      <c r="S1836" s="1" t="s">
        <v>47</v>
      </c>
      <c r="T1836" s="1" t="s">
        <v>4301</v>
      </c>
      <c r="U1836" s="1" t="s">
        <v>1577</v>
      </c>
      <c r="V1836" s="1" t="s">
        <v>4950</v>
      </c>
      <c r="W1836" s="3">
        <v>45302.0</v>
      </c>
      <c r="X1836" s="3">
        <v>45302.0</v>
      </c>
    </row>
    <row r="1837">
      <c r="A1837" s="1" t="s">
        <v>17242</v>
      </c>
      <c r="B1837" s="1" t="s">
        <v>12648</v>
      </c>
      <c r="C1837" s="1" t="s">
        <v>12648</v>
      </c>
      <c r="D1837" s="1" t="s">
        <v>4293</v>
      </c>
      <c r="E1837" s="1" t="s">
        <v>12651</v>
      </c>
      <c r="F1837" s="1" t="s">
        <v>17243</v>
      </c>
      <c r="G1837" s="3">
        <v>44998.0</v>
      </c>
      <c r="H1837" s="3">
        <v>45302.0</v>
      </c>
      <c r="I1837" s="3">
        <v>45302.0</v>
      </c>
      <c r="J1837" s="1" t="s">
        <v>215</v>
      </c>
      <c r="K1837" s="1" t="s">
        <v>160</v>
      </c>
      <c r="L1837" s="1" t="s">
        <v>216</v>
      </c>
      <c r="M1837" s="1" t="s">
        <v>131</v>
      </c>
      <c r="Q1837" s="1" t="s">
        <v>137</v>
      </c>
      <c r="R1837" s="1" t="s">
        <v>137</v>
      </c>
      <c r="S1837" s="1" t="s">
        <v>47</v>
      </c>
      <c r="T1837" s="1" t="s">
        <v>4301</v>
      </c>
      <c r="U1837" s="1" t="s">
        <v>1577</v>
      </c>
      <c r="V1837" s="1" t="s">
        <v>5104</v>
      </c>
      <c r="W1837" s="3">
        <v>45302.0</v>
      </c>
      <c r="X1837" s="3">
        <v>45302.0</v>
      </c>
    </row>
    <row r="1838">
      <c r="A1838" s="1" t="s">
        <v>17244</v>
      </c>
      <c r="B1838" s="1" t="s">
        <v>12648</v>
      </c>
      <c r="C1838" s="1" t="s">
        <v>12648</v>
      </c>
      <c r="D1838" s="1" t="s">
        <v>4293</v>
      </c>
      <c r="E1838" s="1" t="s">
        <v>12651</v>
      </c>
      <c r="F1838" s="1" t="s">
        <v>17245</v>
      </c>
      <c r="G1838" s="3">
        <v>44998.0</v>
      </c>
      <c r="H1838" s="3">
        <v>45302.0</v>
      </c>
      <c r="I1838" s="3">
        <v>45302.0</v>
      </c>
      <c r="J1838" s="1" t="s">
        <v>215</v>
      </c>
      <c r="K1838" s="1" t="s">
        <v>160</v>
      </c>
      <c r="L1838" s="1" t="s">
        <v>216</v>
      </c>
      <c r="M1838" s="1" t="s">
        <v>131</v>
      </c>
      <c r="Q1838" s="1" t="s">
        <v>137</v>
      </c>
      <c r="R1838" s="1" t="s">
        <v>137</v>
      </c>
      <c r="S1838" s="1" t="s">
        <v>47</v>
      </c>
      <c r="T1838" s="1" t="s">
        <v>4301</v>
      </c>
      <c r="U1838" s="1" t="s">
        <v>1577</v>
      </c>
      <c r="V1838" s="1" t="s">
        <v>5120</v>
      </c>
      <c r="W1838" s="3">
        <v>45302.0</v>
      </c>
      <c r="X1838" s="3">
        <v>45302.0</v>
      </c>
    </row>
    <row r="1839">
      <c r="A1839" s="1" t="s">
        <v>17246</v>
      </c>
      <c r="B1839" s="1" t="s">
        <v>12659</v>
      </c>
      <c r="C1839" s="1" t="s">
        <v>12659</v>
      </c>
      <c r="D1839" s="1" t="s">
        <v>4293</v>
      </c>
      <c r="E1839" s="1" t="s">
        <v>12662</v>
      </c>
      <c r="F1839" s="1" t="s">
        <v>17247</v>
      </c>
      <c r="G1839" s="3">
        <v>45307.0</v>
      </c>
      <c r="H1839" s="3">
        <v>45425.0</v>
      </c>
      <c r="I1839" s="3">
        <v>45425.0</v>
      </c>
      <c r="J1839" s="1" t="s">
        <v>215</v>
      </c>
      <c r="K1839" s="1" t="s">
        <v>160</v>
      </c>
      <c r="L1839" s="1" t="s">
        <v>216</v>
      </c>
      <c r="M1839" s="1" t="s">
        <v>131</v>
      </c>
      <c r="Q1839" s="1" t="s">
        <v>137</v>
      </c>
      <c r="R1839" s="1" t="s">
        <v>137</v>
      </c>
      <c r="S1839" s="1" t="s">
        <v>47</v>
      </c>
      <c r="T1839" s="1" t="s">
        <v>4301</v>
      </c>
      <c r="U1839" s="1" t="s">
        <v>1577</v>
      </c>
      <c r="V1839" s="1" t="s">
        <v>4679</v>
      </c>
      <c r="W1839" s="3">
        <v>45425.0</v>
      </c>
      <c r="X1839" s="3">
        <v>45425.0</v>
      </c>
    </row>
    <row r="1840">
      <c r="A1840" s="1" t="s">
        <v>17248</v>
      </c>
      <c r="B1840" s="1" t="s">
        <v>12659</v>
      </c>
      <c r="C1840" s="1" t="s">
        <v>12659</v>
      </c>
      <c r="D1840" s="1" t="s">
        <v>4293</v>
      </c>
      <c r="E1840" s="1" t="s">
        <v>12662</v>
      </c>
      <c r="F1840" s="1" t="s">
        <v>17249</v>
      </c>
      <c r="G1840" s="3">
        <v>45307.0</v>
      </c>
      <c r="H1840" s="3">
        <v>45425.0</v>
      </c>
      <c r="I1840" s="3">
        <v>45425.0</v>
      </c>
      <c r="J1840" s="1" t="s">
        <v>215</v>
      </c>
      <c r="K1840" s="1" t="s">
        <v>160</v>
      </c>
      <c r="L1840" s="1" t="s">
        <v>216</v>
      </c>
      <c r="M1840" s="1" t="s">
        <v>131</v>
      </c>
      <c r="Q1840" s="1" t="s">
        <v>137</v>
      </c>
      <c r="R1840" s="1" t="s">
        <v>137</v>
      </c>
      <c r="S1840" s="1" t="s">
        <v>47</v>
      </c>
      <c r="T1840" s="1" t="s">
        <v>4301</v>
      </c>
      <c r="U1840" s="1" t="s">
        <v>1577</v>
      </c>
      <c r="V1840" s="1" t="s">
        <v>4950</v>
      </c>
      <c r="W1840" s="3">
        <v>45425.0</v>
      </c>
      <c r="X1840" s="3">
        <v>45425.0</v>
      </c>
    </row>
    <row r="1841">
      <c r="A1841" s="1" t="s">
        <v>17250</v>
      </c>
      <c r="B1841" s="1" t="s">
        <v>12659</v>
      </c>
      <c r="C1841" s="1" t="s">
        <v>12659</v>
      </c>
      <c r="D1841" s="1" t="s">
        <v>4293</v>
      </c>
      <c r="E1841" s="1" t="s">
        <v>12662</v>
      </c>
      <c r="F1841" s="1" t="s">
        <v>17251</v>
      </c>
      <c r="G1841" s="3">
        <v>45307.0</v>
      </c>
      <c r="H1841" s="3">
        <v>45425.0</v>
      </c>
      <c r="I1841" s="3">
        <v>45425.0</v>
      </c>
      <c r="J1841" s="1" t="s">
        <v>215</v>
      </c>
      <c r="K1841" s="1" t="s">
        <v>160</v>
      </c>
      <c r="L1841" s="1" t="s">
        <v>216</v>
      </c>
      <c r="M1841" s="1" t="s">
        <v>131</v>
      </c>
      <c r="Q1841" s="1" t="s">
        <v>137</v>
      </c>
      <c r="R1841" s="1" t="s">
        <v>137</v>
      </c>
      <c r="S1841" s="1" t="s">
        <v>47</v>
      </c>
      <c r="T1841" s="1" t="s">
        <v>4301</v>
      </c>
      <c r="U1841" s="1" t="s">
        <v>1577</v>
      </c>
      <c r="V1841" s="1" t="s">
        <v>5104</v>
      </c>
      <c r="W1841" s="3">
        <v>45425.0</v>
      </c>
      <c r="X1841" s="3">
        <v>45425.0</v>
      </c>
    </row>
    <row r="1842">
      <c r="A1842" s="1" t="s">
        <v>17252</v>
      </c>
      <c r="B1842" s="1" t="s">
        <v>12659</v>
      </c>
      <c r="C1842" s="1" t="s">
        <v>12659</v>
      </c>
      <c r="D1842" s="1" t="s">
        <v>4293</v>
      </c>
      <c r="E1842" s="1" t="s">
        <v>12662</v>
      </c>
      <c r="F1842" s="1" t="s">
        <v>17253</v>
      </c>
      <c r="G1842" s="3">
        <v>45307.0</v>
      </c>
      <c r="H1842" s="3">
        <v>45425.0</v>
      </c>
      <c r="I1842" s="3">
        <v>45425.0</v>
      </c>
      <c r="J1842" s="1" t="s">
        <v>215</v>
      </c>
      <c r="K1842" s="1" t="s">
        <v>160</v>
      </c>
      <c r="L1842" s="1" t="s">
        <v>216</v>
      </c>
      <c r="M1842" s="1" t="s">
        <v>131</v>
      </c>
      <c r="Q1842" s="1" t="s">
        <v>137</v>
      </c>
      <c r="R1842" s="1" t="s">
        <v>137</v>
      </c>
      <c r="S1842" s="1" t="s">
        <v>47</v>
      </c>
      <c r="T1842" s="1" t="s">
        <v>4301</v>
      </c>
      <c r="U1842" s="1" t="s">
        <v>1577</v>
      </c>
      <c r="V1842" s="1" t="s">
        <v>5120</v>
      </c>
      <c r="W1842" s="3">
        <v>45425.0</v>
      </c>
      <c r="X1842" s="3">
        <v>45425.0</v>
      </c>
    </row>
    <row r="1843">
      <c r="A1843" s="1" t="s">
        <v>17254</v>
      </c>
      <c r="B1843" s="1" t="s">
        <v>6105</v>
      </c>
      <c r="C1843" s="1" t="s">
        <v>6105</v>
      </c>
      <c r="D1843" s="1" t="s">
        <v>4293</v>
      </c>
      <c r="E1843" s="1" t="s">
        <v>17255</v>
      </c>
      <c r="F1843" s="1" t="s">
        <v>17256</v>
      </c>
      <c r="G1843" s="3">
        <v>44879.0</v>
      </c>
      <c r="H1843" s="3"/>
      <c r="I1843" s="3"/>
      <c r="J1843" s="1" t="s">
        <v>124</v>
      </c>
      <c r="K1843" s="1" t="s">
        <v>160</v>
      </c>
      <c r="L1843" s="1" t="s">
        <v>253</v>
      </c>
      <c r="M1843" s="1" t="s">
        <v>131</v>
      </c>
      <c r="Q1843" s="1" t="s">
        <v>137</v>
      </c>
      <c r="R1843" s="1" t="s">
        <v>137</v>
      </c>
      <c r="S1843" s="1" t="s">
        <v>47</v>
      </c>
      <c r="T1843" s="1" t="s">
        <v>4301</v>
      </c>
      <c r="U1843" s="1" t="s">
        <v>1577</v>
      </c>
      <c r="V1843" s="1" t="s">
        <v>3858</v>
      </c>
      <c r="W1843" s="3"/>
      <c r="X1843" s="3"/>
    </row>
    <row r="1844">
      <c r="A1844" s="1" t="s">
        <v>17257</v>
      </c>
      <c r="B1844" s="1" t="s">
        <v>12672</v>
      </c>
      <c r="C1844" s="1" t="s">
        <v>12672</v>
      </c>
      <c r="D1844" s="1" t="s">
        <v>4293</v>
      </c>
      <c r="E1844" s="1" t="s">
        <v>12674</v>
      </c>
      <c r="F1844" s="1" t="s">
        <v>17258</v>
      </c>
      <c r="G1844" s="3">
        <v>44560.0</v>
      </c>
      <c r="H1844" s="3">
        <v>43847.0</v>
      </c>
      <c r="I1844" s="3">
        <v>43847.0</v>
      </c>
      <c r="J1844" s="1" t="s">
        <v>215</v>
      </c>
      <c r="K1844" s="1" t="s">
        <v>160</v>
      </c>
      <c r="L1844" s="1" t="s">
        <v>216</v>
      </c>
      <c r="M1844" s="1" t="s">
        <v>131</v>
      </c>
      <c r="Q1844" s="1" t="s">
        <v>137</v>
      </c>
      <c r="R1844" s="1" t="s">
        <v>137</v>
      </c>
      <c r="S1844" s="1" t="s">
        <v>47</v>
      </c>
      <c r="T1844" s="1" t="s">
        <v>4301</v>
      </c>
      <c r="U1844" s="1" t="s">
        <v>1577</v>
      </c>
      <c r="V1844" s="1" t="s">
        <v>3858</v>
      </c>
      <c r="W1844" s="3">
        <v>43847.0</v>
      </c>
      <c r="X1844" s="3">
        <v>43847.0</v>
      </c>
    </row>
    <row r="1845">
      <c r="A1845" s="1" t="s">
        <v>17259</v>
      </c>
      <c r="B1845" s="1" t="s">
        <v>10305</v>
      </c>
      <c r="C1845" s="1" t="s">
        <v>10305</v>
      </c>
      <c r="D1845" s="1" t="s">
        <v>4293</v>
      </c>
      <c r="E1845" s="1" t="s">
        <v>12692</v>
      </c>
      <c r="F1845" s="1" t="s">
        <v>17260</v>
      </c>
      <c r="G1845" s="3">
        <v>44273.0</v>
      </c>
      <c r="H1845" s="3">
        <v>44273.0</v>
      </c>
      <c r="I1845" s="3">
        <v>44273.0</v>
      </c>
      <c r="J1845" s="1" t="s">
        <v>215</v>
      </c>
      <c r="K1845" s="1" t="s">
        <v>160</v>
      </c>
      <c r="L1845" s="1" t="s">
        <v>216</v>
      </c>
      <c r="M1845" s="1" t="s">
        <v>131</v>
      </c>
      <c r="Q1845" s="1" t="s">
        <v>137</v>
      </c>
      <c r="R1845" s="1" t="s">
        <v>137</v>
      </c>
      <c r="S1845" s="1" t="s">
        <v>47</v>
      </c>
      <c r="T1845" s="1" t="s">
        <v>4301</v>
      </c>
      <c r="U1845" s="1" t="s">
        <v>1577</v>
      </c>
      <c r="V1845" s="1" t="s">
        <v>3858</v>
      </c>
      <c r="W1845" s="3">
        <v>44273.0</v>
      </c>
      <c r="X1845" s="3">
        <v>44273.0</v>
      </c>
    </row>
    <row r="1846">
      <c r="A1846" s="1" t="s">
        <v>17261</v>
      </c>
      <c r="B1846" s="1" t="s">
        <v>12703</v>
      </c>
      <c r="C1846" s="1" t="s">
        <v>12703</v>
      </c>
      <c r="D1846" s="1" t="s">
        <v>4293</v>
      </c>
      <c r="E1846" s="1" t="s">
        <v>12706</v>
      </c>
      <c r="F1846" s="1" t="s">
        <v>17262</v>
      </c>
      <c r="G1846" s="3">
        <v>44949.0</v>
      </c>
      <c r="H1846" s="3">
        <v>44998.0</v>
      </c>
      <c r="I1846" s="3">
        <v>44998.0</v>
      </c>
      <c r="J1846" s="1" t="s">
        <v>215</v>
      </c>
      <c r="K1846" s="1" t="s">
        <v>160</v>
      </c>
      <c r="L1846" s="1" t="s">
        <v>216</v>
      </c>
      <c r="M1846" s="1" t="s">
        <v>131</v>
      </c>
      <c r="Q1846" s="1" t="s">
        <v>137</v>
      </c>
      <c r="R1846" s="1" t="s">
        <v>137</v>
      </c>
      <c r="S1846" s="1" t="s">
        <v>47</v>
      </c>
      <c r="T1846" s="1" t="s">
        <v>4301</v>
      </c>
      <c r="U1846" s="1" t="s">
        <v>1577</v>
      </c>
      <c r="V1846" s="1" t="s">
        <v>3858</v>
      </c>
      <c r="W1846" s="3">
        <v>44998.0</v>
      </c>
      <c r="X1846" s="3">
        <v>44998.0</v>
      </c>
    </row>
    <row r="1847">
      <c r="A1847" s="1" t="s">
        <v>17263</v>
      </c>
      <c r="B1847" s="1" t="s">
        <v>12703</v>
      </c>
      <c r="C1847" s="1" t="s">
        <v>12703</v>
      </c>
      <c r="D1847" s="1" t="s">
        <v>4293</v>
      </c>
      <c r="E1847" s="1" t="s">
        <v>12706</v>
      </c>
      <c r="F1847" s="1" t="s">
        <v>17264</v>
      </c>
      <c r="G1847" s="3">
        <v>44949.0</v>
      </c>
      <c r="H1847" s="3">
        <v>44998.0</v>
      </c>
      <c r="I1847" s="3">
        <v>44998.0</v>
      </c>
      <c r="J1847" s="1" t="s">
        <v>215</v>
      </c>
      <c r="K1847" s="1" t="s">
        <v>160</v>
      </c>
      <c r="L1847" s="1" t="s">
        <v>216</v>
      </c>
      <c r="M1847" s="1" t="s">
        <v>131</v>
      </c>
      <c r="Q1847" s="1" t="s">
        <v>137</v>
      </c>
      <c r="R1847" s="1" t="s">
        <v>137</v>
      </c>
      <c r="S1847" s="1" t="s">
        <v>47</v>
      </c>
      <c r="T1847" s="1" t="s">
        <v>4301</v>
      </c>
      <c r="U1847" s="1" t="s">
        <v>1577</v>
      </c>
      <c r="V1847" s="1" t="s">
        <v>4679</v>
      </c>
      <c r="W1847" s="3">
        <v>44998.0</v>
      </c>
      <c r="X1847" s="3">
        <v>44998.0</v>
      </c>
    </row>
    <row r="1848">
      <c r="A1848" s="1" t="s">
        <v>17265</v>
      </c>
      <c r="B1848" s="1" t="s">
        <v>12703</v>
      </c>
      <c r="C1848" s="1" t="s">
        <v>12703</v>
      </c>
      <c r="D1848" s="1" t="s">
        <v>4293</v>
      </c>
      <c r="E1848" s="1" t="s">
        <v>12706</v>
      </c>
      <c r="F1848" s="1" t="s">
        <v>17266</v>
      </c>
      <c r="G1848" s="3">
        <v>44949.0</v>
      </c>
      <c r="H1848" s="3">
        <v>44998.0</v>
      </c>
      <c r="I1848" s="3">
        <v>44998.0</v>
      </c>
      <c r="J1848" s="1" t="s">
        <v>215</v>
      </c>
      <c r="K1848" s="1" t="s">
        <v>160</v>
      </c>
      <c r="L1848" s="1" t="s">
        <v>216</v>
      </c>
      <c r="M1848" s="1" t="s">
        <v>131</v>
      </c>
      <c r="Q1848" s="1" t="s">
        <v>137</v>
      </c>
      <c r="R1848" s="1" t="s">
        <v>137</v>
      </c>
      <c r="S1848" s="1" t="s">
        <v>47</v>
      </c>
      <c r="T1848" s="1" t="s">
        <v>4301</v>
      </c>
      <c r="U1848" s="1" t="s">
        <v>1577</v>
      </c>
      <c r="V1848" s="1" t="s">
        <v>4950</v>
      </c>
      <c r="W1848" s="3">
        <v>44998.0</v>
      </c>
      <c r="X1848" s="3">
        <v>44998.0</v>
      </c>
    </row>
    <row r="1849">
      <c r="A1849" s="1" t="s">
        <v>17267</v>
      </c>
      <c r="B1849" s="1" t="s">
        <v>12703</v>
      </c>
      <c r="C1849" s="1" t="s">
        <v>12703</v>
      </c>
      <c r="D1849" s="1" t="s">
        <v>4293</v>
      </c>
      <c r="E1849" s="1" t="s">
        <v>12706</v>
      </c>
      <c r="F1849" s="1" t="s">
        <v>17268</v>
      </c>
      <c r="G1849" s="3">
        <v>44949.0</v>
      </c>
      <c r="H1849" s="3">
        <v>44998.0</v>
      </c>
      <c r="I1849" s="3">
        <v>44998.0</v>
      </c>
      <c r="J1849" s="1" t="s">
        <v>215</v>
      </c>
      <c r="K1849" s="1" t="s">
        <v>160</v>
      </c>
      <c r="L1849" s="1" t="s">
        <v>216</v>
      </c>
      <c r="M1849" s="1" t="s">
        <v>131</v>
      </c>
      <c r="Q1849" s="1" t="s">
        <v>137</v>
      </c>
      <c r="R1849" s="1" t="s">
        <v>137</v>
      </c>
      <c r="S1849" s="1" t="s">
        <v>47</v>
      </c>
      <c r="T1849" s="1" t="s">
        <v>4301</v>
      </c>
      <c r="U1849" s="1" t="s">
        <v>1577</v>
      </c>
      <c r="V1849" s="1" t="s">
        <v>5104</v>
      </c>
      <c r="W1849" s="3">
        <v>44998.0</v>
      </c>
      <c r="X1849" s="3">
        <v>44998.0</v>
      </c>
    </row>
    <row r="1850">
      <c r="A1850" s="1" t="s">
        <v>17269</v>
      </c>
      <c r="B1850" s="1" t="s">
        <v>12703</v>
      </c>
      <c r="C1850" s="1" t="s">
        <v>12703</v>
      </c>
      <c r="D1850" s="1" t="s">
        <v>4293</v>
      </c>
      <c r="E1850" s="1" t="s">
        <v>12706</v>
      </c>
      <c r="F1850" s="1" t="s">
        <v>17270</v>
      </c>
      <c r="G1850" s="3">
        <v>44949.0</v>
      </c>
      <c r="H1850" s="3">
        <v>44998.0</v>
      </c>
      <c r="I1850" s="3">
        <v>44998.0</v>
      </c>
      <c r="J1850" s="1" t="s">
        <v>215</v>
      </c>
      <c r="K1850" s="1" t="s">
        <v>160</v>
      </c>
      <c r="L1850" s="1" t="s">
        <v>216</v>
      </c>
      <c r="M1850" s="1" t="s">
        <v>131</v>
      </c>
      <c r="Q1850" s="1" t="s">
        <v>137</v>
      </c>
      <c r="R1850" s="1" t="s">
        <v>137</v>
      </c>
      <c r="S1850" s="1" t="s">
        <v>47</v>
      </c>
      <c r="T1850" s="1" t="s">
        <v>4301</v>
      </c>
      <c r="U1850" s="1" t="s">
        <v>1577</v>
      </c>
      <c r="V1850" s="1" t="s">
        <v>5120</v>
      </c>
      <c r="W1850" s="3">
        <v>44998.0</v>
      </c>
      <c r="X1850" s="3">
        <v>44998.0</v>
      </c>
    </row>
    <row r="1851">
      <c r="A1851" s="1" t="s">
        <v>17271</v>
      </c>
      <c r="B1851" s="1" t="s">
        <v>12715</v>
      </c>
      <c r="C1851" s="1" t="s">
        <v>12715</v>
      </c>
      <c r="D1851" s="1" t="s">
        <v>4293</v>
      </c>
      <c r="E1851" s="1" t="s">
        <v>12718</v>
      </c>
      <c r="F1851" s="1" t="s">
        <v>17272</v>
      </c>
      <c r="G1851" s="3">
        <v>43586.0</v>
      </c>
      <c r="H1851" s="3">
        <v>43586.0</v>
      </c>
      <c r="I1851" s="3">
        <v>43586.0</v>
      </c>
      <c r="J1851" s="1" t="s">
        <v>215</v>
      </c>
      <c r="K1851" s="1" t="s">
        <v>160</v>
      </c>
      <c r="L1851" s="1" t="s">
        <v>216</v>
      </c>
      <c r="M1851" s="1" t="s">
        <v>131</v>
      </c>
      <c r="Q1851" s="1" t="s">
        <v>137</v>
      </c>
      <c r="R1851" s="1" t="s">
        <v>137</v>
      </c>
      <c r="S1851" s="1" t="s">
        <v>47</v>
      </c>
      <c r="T1851" s="1" t="s">
        <v>4301</v>
      </c>
      <c r="U1851" s="1" t="s">
        <v>1577</v>
      </c>
      <c r="V1851" s="1" t="s">
        <v>4950</v>
      </c>
      <c r="W1851" s="3">
        <v>43586.0</v>
      </c>
      <c r="X1851" s="3">
        <v>43586.0</v>
      </c>
    </row>
    <row r="1852">
      <c r="A1852" s="1" t="s">
        <v>17273</v>
      </c>
      <c r="B1852" s="1" t="s">
        <v>12727</v>
      </c>
      <c r="C1852" s="1" t="s">
        <v>12727</v>
      </c>
      <c r="D1852" s="1" t="s">
        <v>4293</v>
      </c>
      <c r="E1852" s="1" t="s">
        <v>12731</v>
      </c>
      <c r="F1852" s="1" t="s">
        <v>17274</v>
      </c>
      <c r="G1852" s="3">
        <v>44389.0</v>
      </c>
      <c r="H1852" s="3">
        <v>44389.0</v>
      </c>
      <c r="I1852" s="3">
        <v>44389.0</v>
      </c>
      <c r="J1852" s="1" t="s">
        <v>215</v>
      </c>
      <c r="K1852" s="1" t="s">
        <v>160</v>
      </c>
      <c r="L1852" s="1" t="s">
        <v>216</v>
      </c>
      <c r="M1852" s="1" t="s">
        <v>131</v>
      </c>
      <c r="Q1852" s="1" t="s">
        <v>137</v>
      </c>
      <c r="R1852" s="1" t="s">
        <v>137</v>
      </c>
      <c r="S1852" s="1" t="s">
        <v>47</v>
      </c>
      <c r="T1852" s="1" t="s">
        <v>4301</v>
      </c>
      <c r="U1852" s="1" t="s">
        <v>1577</v>
      </c>
      <c r="V1852" s="1" t="s">
        <v>3858</v>
      </c>
      <c r="W1852" s="3">
        <v>44389.0</v>
      </c>
      <c r="X1852" s="3">
        <v>44389.0</v>
      </c>
    </row>
    <row r="1853">
      <c r="A1853" s="1" t="s">
        <v>17275</v>
      </c>
      <c r="B1853" s="1" t="s">
        <v>9106</v>
      </c>
      <c r="C1853" s="1" t="s">
        <v>9106</v>
      </c>
      <c r="D1853" s="1" t="s">
        <v>4293</v>
      </c>
      <c r="E1853" s="1" t="s">
        <v>17276</v>
      </c>
      <c r="F1853" s="1" t="s">
        <v>17277</v>
      </c>
      <c r="G1853" s="3">
        <v>45903.0</v>
      </c>
      <c r="H1853" s="3"/>
      <c r="I1853" s="3"/>
      <c r="J1853" s="1" t="s">
        <v>124</v>
      </c>
      <c r="K1853" s="1" t="s">
        <v>160</v>
      </c>
      <c r="L1853" s="1" t="s">
        <v>253</v>
      </c>
      <c r="M1853" s="1" t="s">
        <v>131</v>
      </c>
      <c r="Q1853" s="1" t="s">
        <v>137</v>
      </c>
      <c r="R1853" s="1" t="s">
        <v>137</v>
      </c>
      <c r="S1853" s="1" t="s">
        <v>47</v>
      </c>
      <c r="T1853" s="1" t="s">
        <v>4301</v>
      </c>
      <c r="U1853" s="1" t="s">
        <v>1577</v>
      </c>
      <c r="V1853" s="1" t="s">
        <v>3858</v>
      </c>
      <c r="W1853" s="3"/>
      <c r="X1853" s="3"/>
    </row>
    <row r="1854">
      <c r="A1854" s="1" t="s">
        <v>17278</v>
      </c>
      <c r="B1854" s="1" t="s">
        <v>12738</v>
      </c>
      <c r="C1854" s="1" t="s">
        <v>12738</v>
      </c>
      <c r="D1854" s="1" t="s">
        <v>4293</v>
      </c>
      <c r="E1854" s="1" t="s">
        <v>12742</v>
      </c>
      <c r="F1854" s="1" t="s">
        <v>17279</v>
      </c>
      <c r="G1854" s="3">
        <v>45930.0</v>
      </c>
      <c r="H1854" s="3">
        <v>46076.0</v>
      </c>
      <c r="I1854" s="3">
        <v>46076.0</v>
      </c>
      <c r="J1854" s="1" t="s">
        <v>215</v>
      </c>
      <c r="K1854" s="1" t="s">
        <v>160</v>
      </c>
      <c r="L1854" s="1" t="s">
        <v>216</v>
      </c>
      <c r="M1854" s="1" t="s">
        <v>131</v>
      </c>
      <c r="Q1854" s="1" t="s">
        <v>137</v>
      </c>
      <c r="R1854" s="1" t="s">
        <v>137</v>
      </c>
      <c r="S1854" s="1" t="s">
        <v>47</v>
      </c>
      <c r="T1854" s="1" t="s">
        <v>4301</v>
      </c>
      <c r="U1854" s="1" t="s">
        <v>1577</v>
      </c>
      <c r="V1854" s="1" t="s">
        <v>4679</v>
      </c>
      <c r="W1854" s="3">
        <v>46076.0</v>
      </c>
      <c r="X1854" s="3">
        <v>46076.0</v>
      </c>
    </row>
    <row r="1855">
      <c r="A1855" s="1" t="s">
        <v>17280</v>
      </c>
      <c r="B1855" s="1" t="s">
        <v>12738</v>
      </c>
      <c r="C1855" s="1" t="s">
        <v>12738</v>
      </c>
      <c r="D1855" s="1" t="s">
        <v>4293</v>
      </c>
      <c r="E1855" s="1" t="s">
        <v>12742</v>
      </c>
      <c r="F1855" s="1" t="s">
        <v>17281</v>
      </c>
      <c r="G1855" s="3">
        <v>45930.0</v>
      </c>
      <c r="H1855" s="3">
        <v>46076.0</v>
      </c>
      <c r="I1855" s="3">
        <v>46076.0</v>
      </c>
      <c r="J1855" s="1" t="s">
        <v>215</v>
      </c>
      <c r="K1855" s="1" t="s">
        <v>160</v>
      </c>
      <c r="L1855" s="1" t="s">
        <v>216</v>
      </c>
      <c r="M1855" s="1" t="s">
        <v>131</v>
      </c>
      <c r="Q1855" s="1" t="s">
        <v>137</v>
      </c>
      <c r="R1855" s="1" t="s">
        <v>137</v>
      </c>
      <c r="S1855" s="1" t="s">
        <v>47</v>
      </c>
      <c r="T1855" s="1" t="s">
        <v>4301</v>
      </c>
      <c r="U1855" s="1" t="s">
        <v>1577</v>
      </c>
      <c r="V1855" s="1" t="s">
        <v>7314</v>
      </c>
      <c r="W1855" s="3">
        <v>46076.0</v>
      </c>
      <c r="X1855" s="3">
        <v>46076.0</v>
      </c>
    </row>
    <row r="1856">
      <c r="A1856" s="1" t="s">
        <v>17282</v>
      </c>
      <c r="B1856" s="1" t="s">
        <v>12738</v>
      </c>
      <c r="C1856" s="1" t="s">
        <v>12738</v>
      </c>
      <c r="D1856" s="1" t="s">
        <v>4293</v>
      </c>
      <c r="E1856" s="1" t="s">
        <v>12742</v>
      </c>
      <c r="F1856" s="1" t="s">
        <v>17283</v>
      </c>
      <c r="G1856" s="3">
        <v>45930.0</v>
      </c>
      <c r="H1856" s="3">
        <v>46076.0</v>
      </c>
      <c r="I1856" s="3">
        <v>46076.0</v>
      </c>
      <c r="J1856" s="1" t="s">
        <v>215</v>
      </c>
      <c r="K1856" s="1" t="s">
        <v>160</v>
      </c>
      <c r="L1856" s="1" t="s">
        <v>216</v>
      </c>
      <c r="M1856" s="1" t="s">
        <v>131</v>
      </c>
      <c r="Q1856" s="1" t="s">
        <v>137</v>
      </c>
      <c r="R1856" s="1" t="s">
        <v>137</v>
      </c>
      <c r="S1856" s="1" t="s">
        <v>47</v>
      </c>
      <c r="T1856" s="1" t="s">
        <v>4301</v>
      </c>
      <c r="U1856" s="1" t="s">
        <v>1577</v>
      </c>
      <c r="V1856" s="1" t="s">
        <v>4950</v>
      </c>
      <c r="W1856" s="3">
        <v>46076.0</v>
      </c>
      <c r="X1856" s="3">
        <v>46076.0</v>
      </c>
    </row>
    <row r="1857">
      <c r="A1857" s="1" t="s">
        <v>17284</v>
      </c>
      <c r="B1857" s="1" t="s">
        <v>12738</v>
      </c>
      <c r="C1857" s="1" t="s">
        <v>12738</v>
      </c>
      <c r="D1857" s="1" t="s">
        <v>4293</v>
      </c>
      <c r="E1857" s="1" t="s">
        <v>12742</v>
      </c>
      <c r="F1857" s="1" t="s">
        <v>17285</v>
      </c>
      <c r="G1857" s="3">
        <v>45930.0</v>
      </c>
      <c r="H1857" s="3">
        <v>46076.0</v>
      </c>
      <c r="I1857" s="3">
        <v>46076.0</v>
      </c>
      <c r="J1857" s="1" t="s">
        <v>215</v>
      </c>
      <c r="K1857" s="1" t="s">
        <v>160</v>
      </c>
      <c r="L1857" s="1" t="s">
        <v>216</v>
      </c>
      <c r="M1857" s="1" t="s">
        <v>131</v>
      </c>
      <c r="Q1857" s="1" t="s">
        <v>137</v>
      </c>
      <c r="R1857" s="1" t="s">
        <v>137</v>
      </c>
      <c r="S1857" s="1" t="s">
        <v>47</v>
      </c>
      <c r="T1857" s="1" t="s">
        <v>4301</v>
      </c>
      <c r="U1857" s="1" t="s">
        <v>1577</v>
      </c>
      <c r="V1857" s="1" t="s">
        <v>5104</v>
      </c>
      <c r="W1857" s="3">
        <v>46076.0</v>
      </c>
      <c r="X1857" s="3">
        <v>46076.0</v>
      </c>
    </row>
    <row r="1858">
      <c r="A1858" s="1" t="s">
        <v>17286</v>
      </c>
      <c r="B1858" s="1" t="s">
        <v>12738</v>
      </c>
      <c r="C1858" s="1" t="s">
        <v>12738</v>
      </c>
      <c r="D1858" s="1" t="s">
        <v>4293</v>
      </c>
      <c r="E1858" s="1" t="s">
        <v>12742</v>
      </c>
      <c r="F1858" s="1" t="s">
        <v>17287</v>
      </c>
      <c r="G1858" s="3">
        <v>45930.0</v>
      </c>
      <c r="H1858" s="3">
        <v>46076.0</v>
      </c>
      <c r="I1858" s="3">
        <v>46076.0</v>
      </c>
      <c r="J1858" s="1" t="s">
        <v>215</v>
      </c>
      <c r="K1858" s="1" t="s">
        <v>160</v>
      </c>
      <c r="L1858" s="1" t="s">
        <v>216</v>
      </c>
      <c r="M1858" s="1" t="s">
        <v>131</v>
      </c>
      <c r="Q1858" s="1" t="s">
        <v>137</v>
      </c>
      <c r="R1858" s="1" t="s">
        <v>137</v>
      </c>
      <c r="S1858" s="1" t="s">
        <v>47</v>
      </c>
      <c r="T1858" s="1" t="s">
        <v>4301</v>
      </c>
      <c r="U1858" s="1" t="s">
        <v>1577</v>
      </c>
      <c r="V1858" s="1" t="s">
        <v>5120</v>
      </c>
      <c r="W1858" s="3">
        <v>46076.0</v>
      </c>
      <c r="X1858" s="3">
        <v>46076.0</v>
      </c>
    </row>
    <row r="1859">
      <c r="A1859" s="1" t="s">
        <v>17288</v>
      </c>
      <c r="B1859" s="1" t="s">
        <v>9094</v>
      </c>
      <c r="C1859" s="1" t="s">
        <v>9094</v>
      </c>
      <c r="D1859" s="1" t="s">
        <v>4293</v>
      </c>
      <c r="E1859" s="1" t="s">
        <v>17289</v>
      </c>
      <c r="F1859" s="1" t="s">
        <v>17290</v>
      </c>
      <c r="G1859" s="3">
        <v>45355.0</v>
      </c>
      <c r="H1859" s="13"/>
      <c r="I1859" s="13"/>
      <c r="J1859" s="1" t="s">
        <v>124</v>
      </c>
      <c r="K1859" s="1" t="s">
        <v>160</v>
      </c>
      <c r="L1859" s="1" t="s">
        <v>253</v>
      </c>
      <c r="M1859" s="1" t="s">
        <v>131</v>
      </c>
      <c r="Q1859" s="1" t="s">
        <v>137</v>
      </c>
      <c r="R1859" s="1" t="s">
        <v>137</v>
      </c>
      <c r="S1859" s="1" t="s">
        <v>47</v>
      </c>
      <c r="T1859" s="1" t="s">
        <v>4301</v>
      </c>
      <c r="U1859" s="1" t="s">
        <v>1577</v>
      </c>
      <c r="V1859" s="1" t="s">
        <v>3858</v>
      </c>
      <c r="W1859" s="13"/>
      <c r="X1859" s="13"/>
    </row>
    <row r="1860">
      <c r="A1860" s="1" t="s">
        <v>17291</v>
      </c>
      <c r="B1860" s="1" t="s">
        <v>12749</v>
      </c>
      <c r="C1860" s="1" t="s">
        <v>12749</v>
      </c>
      <c r="D1860" s="1" t="s">
        <v>4293</v>
      </c>
      <c r="E1860" s="1" t="s">
        <v>12752</v>
      </c>
      <c r="F1860" s="1" t="s">
        <v>17292</v>
      </c>
      <c r="G1860" s="3">
        <v>46232.0</v>
      </c>
      <c r="H1860" s="3">
        <v>46398.0</v>
      </c>
      <c r="I1860" s="13"/>
      <c r="J1860" s="1" t="s">
        <v>124</v>
      </c>
      <c r="K1860" s="1" t="s">
        <v>160</v>
      </c>
      <c r="L1860" s="1" t="s">
        <v>300</v>
      </c>
      <c r="M1860" s="1" t="s">
        <v>131</v>
      </c>
      <c r="O1860" s="1" t="s">
        <v>17293</v>
      </c>
      <c r="Q1860" s="1" t="s">
        <v>137</v>
      </c>
      <c r="R1860" s="1" t="s">
        <v>137</v>
      </c>
      <c r="S1860" s="1" t="s">
        <v>47</v>
      </c>
      <c r="T1860" s="1" t="s">
        <v>14386</v>
      </c>
      <c r="U1860" s="1" t="s">
        <v>1577</v>
      </c>
      <c r="V1860" s="1" t="s">
        <v>3858</v>
      </c>
      <c r="W1860" s="3">
        <v>46398.0</v>
      </c>
      <c r="X1860" s="13"/>
    </row>
    <row r="1861">
      <c r="A1861" s="1" t="s">
        <v>17294</v>
      </c>
      <c r="B1861" s="1" t="s">
        <v>12749</v>
      </c>
      <c r="C1861" s="1" t="s">
        <v>12749</v>
      </c>
      <c r="D1861" s="1" t="s">
        <v>4293</v>
      </c>
      <c r="E1861" s="1" t="s">
        <v>12752</v>
      </c>
      <c r="F1861" s="1" t="s">
        <v>17295</v>
      </c>
      <c r="G1861" s="3">
        <v>46232.0</v>
      </c>
      <c r="H1861" s="3">
        <v>46398.0</v>
      </c>
      <c r="I1861" s="13"/>
      <c r="J1861" s="1" t="s">
        <v>124</v>
      </c>
      <c r="K1861" s="1" t="s">
        <v>160</v>
      </c>
      <c r="L1861" s="1" t="s">
        <v>300</v>
      </c>
      <c r="M1861" s="1" t="s">
        <v>131</v>
      </c>
      <c r="O1861" s="1" t="s">
        <v>15400</v>
      </c>
      <c r="Q1861" s="1" t="s">
        <v>137</v>
      </c>
      <c r="R1861" s="1" t="s">
        <v>137</v>
      </c>
      <c r="S1861" s="1" t="s">
        <v>47</v>
      </c>
      <c r="T1861" s="1" t="s">
        <v>14386</v>
      </c>
      <c r="U1861" s="1" t="s">
        <v>1577</v>
      </c>
      <c r="V1861" s="1" t="s">
        <v>4679</v>
      </c>
      <c r="W1861" s="3">
        <v>46398.0</v>
      </c>
      <c r="X1861" s="13"/>
    </row>
    <row r="1862">
      <c r="A1862" s="1" t="s">
        <v>17296</v>
      </c>
      <c r="B1862" s="1" t="s">
        <v>12749</v>
      </c>
      <c r="C1862" s="1" t="s">
        <v>12749</v>
      </c>
      <c r="D1862" s="1" t="s">
        <v>4293</v>
      </c>
      <c r="E1862" s="1" t="s">
        <v>12752</v>
      </c>
      <c r="F1862" s="1" t="s">
        <v>17297</v>
      </c>
      <c r="G1862" s="3">
        <v>46232.0</v>
      </c>
      <c r="H1862" s="3">
        <v>46398.0</v>
      </c>
      <c r="I1862" s="13"/>
      <c r="J1862" s="1" t="s">
        <v>124</v>
      </c>
      <c r="K1862" s="1" t="s">
        <v>160</v>
      </c>
      <c r="L1862" s="1" t="s">
        <v>300</v>
      </c>
      <c r="M1862" s="1" t="s">
        <v>131</v>
      </c>
      <c r="O1862" s="1" t="s">
        <v>15403</v>
      </c>
      <c r="Q1862" s="1" t="s">
        <v>137</v>
      </c>
      <c r="R1862" s="1" t="s">
        <v>137</v>
      </c>
      <c r="S1862" s="1" t="s">
        <v>47</v>
      </c>
      <c r="T1862" s="1" t="s">
        <v>14386</v>
      </c>
      <c r="U1862" s="1" t="s">
        <v>1577</v>
      </c>
      <c r="V1862" s="1" t="s">
        <v>4054</v>
      </c>
      <c r="W1862" s="3">
        <v>46398.0</v>
      </c>
      <c r="X1862" s="13"/>
    </row>
    <row r="1863">
      <c r="A1863" s="1" t="s">
        <v>17298</v>
      </c>
      <c r="B1863" s="1" t="s">
        <v>12749</v>
      </c>
      <c r="C1863" s="1" t="s">
        <v>12749</v>
      </c>
      <c r="D1863" s="1" t="s">
        <v>4293</v>
      </c>
      <c r="E1863" s="1" t="s">
        <v>12752</v>
      </c>
      <c r="F1863" s="1" t="s">
        <v>17299</v>
      </c>
      <c r="G1863" s="3">
        <v>46232.0</v>
      </c>
      <c r="H1863" s="3">
        <v>46398.0</v>
      </c>
      <c r="I1863" s="13"/>
      <c r="J1863" s="1" t="s">
        <v>124</v>
      </c>
      <c r="K1863" s="1" t="s">
        <v>160</v>
      </c>
      <c r="L1863" s="1" t="s">
        <v>300</v>
      </c>
      <c r="M1863" s="1" t="s">
        <v>131</v>
      </c>
      <c r="O1863" s="1" t="s">
        <v>15400</v>
      </c>
      <c r="Q1863" s="1" t="s">
        <v>137</v>
      </c>
      <c r="R1863" s="1" t="s">
        <v>137</v>
      </c>
      <c r="S1863" s="1" t="s">
        <v>47</v>
      </c>
      <c r="T1863" s="1" t="s">
        <v>14386</v>
      </c>
      <c r="U1863" s="1" t="s">
        <v>1577</v>
      </c>
      <c r="V1863" s="1" t="s">
        <v>4950</v>
      </c>
      <c r="W1863" s="3">
        <v>46398.0</v>
      </c>
      <c r="X1863" s="13"/>
    </row>
    <row r="1864">
      <c r="A1864" s="1" t="s">
        <v>17300</v>
      </c>
      <c r="B1864" s="1" t="s">
        <v>12749</v>
      </c>
      <c r="C1864" s="1" t="s">
        <v>12749</v>
      </c>
      <c r="D1864" s="1" t="s">
        <v>4293</v>
      </c>
      <c r="E1864" s="1" t="s">
        <v>12752</v>
      </c>
      <c r="F1864" s="1" t="s">
        <v>17301</v>
      </c>
      <c r="G1864" s="3">
        <v>46232.0</v>
      </c>
      <c r="H1864" s="3">
        <v>46398.0</v>
      </c>
      <c r="I1864" s="13"/>
      <c r="J1864" s="1" t="s">
        <v>124</v>
      </c>
      <c r="K1864" s="1" t="s">
        <v>160</v>
      </c>
      <c r="L1864" s="1" t="s">
        <v>300</v>
      </c>
      <c r="M1864" s="1" t="s">
        <v>131</v>
      </c>
      <c r="O1864" s="1" t="s">
        <v>17293</v>
      </c>
      <c r="Q1864" s="1" t="s">
        <v>137</v>
      </c>
      <c r="R1864" s="1" t="s">
        <v>137</v>
      </c>
      <c r="S1864" s="1" t="s">
        <v>47</v>
      </c>
      <c r="T1864" s="1" t="s">
        <v>14386</v>
      </c>
      <c r="U1864" s="1" t="s">
        <v>1577</v>
      </c>
      <c r="V1864" s="1" t="s">
        <v>5104</v>
      </c>
      <c r="W1864" s="3">
        <v>46398.0</v>
      </c>
      <c r="X1864" s="13"/>
    </row>
    <row r="1865">
      <c r="A1865" s="1" t="s">
        <v>17302</v>
      </c>
      <c r="B1865" s="1" t="s">
        <v>12749</v>
      </c>
      <c r="C1865" s="1" t="s">
        <v>12749</v>
      </c>
      <c r="D1865" s="1" t="s">
        <v>4293</v>
      </c>
      <c r="E1865" s="1" t="s">
        <v>12752</v>
      </c>
      <c r="F1865" s="1" t="s">
        <v>17303</v>
      </c>
      <c r="G1865" s="3">
        <v>46232.0</v>
      </c>
      <c r="H1865" s="3">
        <v>46398.0</v>
      </c>
      <c r="I1865" s="13"/>
      <c r="J1865" s="1" t="s">
        <v>124</v>
      </c>
      <c r="K1865" s="1" t="s">
        <v>160</v>
      </c>
      <c r="L1865" s="1" t="s">
        <v>300</v>
      </c>
      <c r="M1865" s="1" t="s">
        <v>131</v>
      </c>
      <c r="O1865" s="1" t="s">
        <v>15400</v>
      </c>
      <c r="Q1865" s="1" t="s">
        <v>137</v>
      </c>
      <c r="R1865" s="1" t="s">
        <v>137</v>
      </c>
      <c r="S1865" s="1" t="s">
        <v>47</v>
      </c>
      <c r="T1865" s="1" t="s">
        <v>14386</v>
      </c>
      <c r="U1865" s="1" t="s">
        <v>1577</v>
      </c>
      <c r="V1865" s="1" t="s">
        <v>5120</v>
      </c>
      <c r="W1865" s="3">
        <v>46398.0</v>
      </c>
      <c r="X1865" s="13"/>
    </row>
    <row r="1866">
      <c r="A1866" s="1" t="s">
        <v>17304</v>
      </c>
      <c r="B1866" s="1" t="s">
        <v>12764</v>
      </c>
      <c r="C1866" s="1" t="s">
        <v>12764</v>
      </c>
      <c r="D1866" s="1" t="s">
        <v>4293</v>
      </c>
      <c r="E1866" s="1" t="s">
        <v>12766</v>
      </c>
      <c r="F1866" s="1" t="s">
        <v>17305</v>
      </c>
      <c r="G1866" s="3">
        <v>43434.0</v>
      </c>
      <c r="H1866" s="3">
        <v>43551.0</v>
      </c>
      <c r="I1866" s="3">
        <v>43551.0</v>
      </c>
      <c r="J1866" s="1" t="s">
        <v>215</v>
      </c>
      <c r="K1866" s="1" t="s">
        <v>160</v>
      </c>
      <c r="L1866" s="1" t="s">
        <v>216</v>
      </c>
      <c r="M1866" s="1" t="s">
        <v>131</v>
      </c>
      <c r="O1866" s="1"/>
      <c r="Q1866" s="1" t="s">
        <v>137</v>
      </c>
      <c r="R1866" s="1" t="s">
        <v>137</v>
      </c>
      <c r="S1866" s="1" t="s">
        <v>47</v>
      </c>
      <c r="T1866" s="1" t="s">
        <v>4301</v>
      </c>
      <c r="U1866" s="1" t="s">
        <v>1577</v>
      </c>
      <c r="V1866" s="1" t="s">
        <v>3858</v>
      </c>
      <c r="W1866" s="3">
        <v>43551.0</v>
      </c>
      <c r="X1866" s="3">
        <v>43551.0</v>
      </c>
    </row>
    <row r="1867">
      <c r="A1867" s="1" t="s">
        <v>17306</v>
      </c>
      <c r="B1867" s="1" t="s">
        <v>9830</v>
      </c>
      <c r="C1867" s="1" t="s">
        <v>9830</v>
      </c>
      <c r="D1867" s="1" t="s">
        <v>116</v>
      </c>
      <c r="E1867" s="1" t="s">
        <v>17307</v>
      </c>
      <c r="F1867" s="1" t="s">
        <v>17308</v>
      </c>
      <c r="G1867" s="3">
        <v>46272.0</v>
      </c>
      <c r="H1867" s="3"/>
      <c r="I1867" s="13"/>
      <c r="J1867" s="1" t="s">
        <v>124</v>
      </c>
      <c r="K1867" s="1" t="s">
        <v>160</v>
      </c>
      <c r="L1867" s="1" t="s">
        <v>162</v>
      </c>
      <c r="M1867" s="1" t="s">
        <v>131</v>
      </c>
      <c r="O1867" s="1" t="s">
        <v>17309</v>
      </c>
      <c r="Q1867" s="1" t="s">
        <v>137</v>
      </c>
      <c r="R1867" s="1" t="s">
        <v>137</v>
      </c>
      <c r="S1867" s="1" t="s">
        <v>47</v>
      </c>
      <c r="T1867" s="1" t="s">
        <v>9849</v>
      </c>
      <c r="U1867" s="1" t="s">
        <v>1577</v>
      </c>
      <c r="V1867" s="1" t="s">
        <v>4175</v>
      </c>
      <c r="W1867" s="3">
        <v>46440.0</v>
      </c>
      <c r="X1867" s="13"/>
    </row>
    <row r="1868">
      <c r="A1868" s="1" t="s">
        <v>17310</v>
      </c>
      <c r="B1868" s="1" t="s">
        <v>11622</v>
      </c>
      <c r="C1868" s="1" t="s">
        <v>11622</v>
      </c>
      <c r="D1868" s="1" t="s">
        <v>116</v>
      </c>
      <c r="E1868" s="1" t="s">
        <v>17311</v>
      </c>
      <c r="F1868" s="1" t="s">
        <v>17312</v>
      </c>
      <c r="G1868" s="3">
        <v>46289.0</v>
      </c>
      <c r="H1868" s="3">
        <v>46440.0</v>
      </c>
      <c r="J1868" s="1" t="s">
        <v>124</v>
      </c>
      <c r="K1868" s="1" t="s">
        <v>160</v>
      </c>
      <c r="L1868" s="1" t="s">
        <v>162</v>
      </c>
      <c r="M1868" s="1" t="s">
        <v>131</v>
      </c>
      <c r="Q1868" s="1" t="s">
        <v>665</v>
      </c>
      <c r="R1868" s="1" t="s">
        <v>665</v>
      </c>
      <c r="S1868" s="1" t="s">
        <v>666</v>
      </c>
      <c r="T1868" s="1" t="s">
        <v>11651</v>
      </c>
      <c r="U1868" s="1" t="s">
        <v>1577</v>
      </c>
      <c r="V1868" s="1" t="s">
        <v>3858</v>
      </c>
      <c r="W1868" s="3">
        <v>46440.0</v>
      </c>
    </row>
    <row r="1869">
      <c r="A1869" s="4"/>
      <c r="B1869" s="4"/>
      <c r="C1869" s="4"/>
      <c r="D1869" s="4"/>
      <c r="E1869" s="4"/>
      <c r="F1869" s="4"/>
      <c r="G1869" s="13"/>
      <c r="J1869" s="4"/>
      <c r="K1869" s="4"/>
      <c r="L1869" s="4"/>
      <c r="M1869" s="4"/>
      <c r="Q1869" s="4"/>
      <c r="R1869" s="4"/>
      <c r="S1869" s="4"/>
      <c r="T1869" s="4"/>
      <c r="U1869" s="4"/>
      <c r="V1869" s="4"/>
      <c r="W1869" s="13"/>
    </row>
    <row r="1870">
      <c r="A1870" s="4"/>
      <c r="B1870" s="4"/>
      <c r="C1870" s="4"/>
      <c r="D1870" s="4"/>
      <c r="E1870" s="4"/>
      <c r="F1870" s="4"/>
      <c r="G1870" s="13"/>
      <c r="J1870" s="4"/>
      <c r="K1870" s="4"/>
      <c r="L1870" s="4"/>
      <c r="M1870" s="4"/>
      <c r="Q1870" s="4"/>
      <c r="R1870" s="4"/>
      <c r="S1870" s="4"/>
      <c r="T1870" s="4"/>
      <c r="U1870" s="4"/>
      <c r="V1870" s="4"/>
      <c r="W1870" s="13"/>
    </row>
    <row r="1871">
      <c r="A1871" s="4"/>
      <c r="B1871" s="4"/>
      <c r="C1871" s="4"/>
      <c r="D1871" s="4"/>
      <c r="E1871" s="4"/>
      <c r="F1871" s="4"/>
      <c r="G1871" s="13"/>
      <c r="J1871" s="4"/>
      <c r="K1871" s="4"/>
      <c r="L1871" s="4"/>
      <c r="M1871" s="4"/>
      <c r="Q1871" s="4"/>
      <c r="R1871" s="4"/>
      <c r="S1871" s="4"/>
      <c r="T1871" s="4"/>
      <c r="U1871" s="4"/>
      <c r="V1871" s="4"/>
      <c r="W1871" s="13"/>
    </row>
    <row r="1872">
      <c r="A1872" s="4"/>
      <c r="B1872" s="4"/>
      <c r="C1872" s="4"/>
      <c r="D1872" s="4"/>
      <c r="E1872" s="4"/>
      <c r="F1872" s="4"/>
      <c r="G1872" s="13"/>
      <c r="J1872" s="4"/>
      <c r="K1872" s="4"/>
      <c r="L1872" s="4"/>
      <c r="M1872" s="4"/>
      <c r="Q1872" s="4"/>
      <c r="R1872" s="4"/>
      <c r="S1872" s="4"/>
      <c r="T1872" s="4"/>
      <c r="U1872" s="4"/>
      <c r="V1872" s="4"/>
      <c r="W1872" s="13"/>
    </row>
    <row r="1873">
      <c r="A1873" s="4"/>
      <c r="B1873" s="4"/>
      <c r="C1873" s="4"/>
      <c r="D1873" s="4"/>
      <c r="E1873" s="4"/>
      <c r="F1873" s="4"/>
      <c r="G1873" s="13"/>
      <c r="J1873" s="4"/>
      <c r="K1873" s="4"/>
      <c r="L1873" s="4"/>
      <c r="M1873" s="4"/>
      <c r="Q1873" s="4"/>
      <c r="R1873" s="4"/>
      <c r="S1873" s="4"/>
      <c r="T1873" s="4"/>
      <c r="U1873" s="4"/>
      <c r="V1873" s="4"/>
      <c r="W1873" s="13"/>
    </row>
    <row r="1874">
      <c r="A1874" s="4"/>
      <c r="B1874" s="4"/>
      <c r="C1874" s="4"/>
      <c r="D1874" s="4"/>
      <c r="E1874" s="4"/>
      <c r="F1874" s="4"/>
      <c r="G1874" s="13"/>
      <c r="H1874" s="13"/>
      <c r="I1874" s="13"/>
      <c r="J1874" s="4"/>
      <c r="K1874" s="4"/>
      <c r="L1874" s="4"/>
      <c r="M1874" s="4"/>
      <c r="Q1874" s="4"/>
      <c r="R1874" s="4"/>
      <c r="S1874" s="4"/>
      <c r="T1874" s="4"/>
      <c r="U1874" s="4"/>
      <c r="V1874" s="4"/>
      <c r="W1874" s="13"/>
    </row>
    <row r="1875">
      <c r="A1875" s="4"/>
      <c r="B1875" s="4"/>
      <c r="C1875" s="4"/>
      <c r="D1875" s="4"/>
      <c r="E1875" s="4"/>
      <c r="F1875" s="4"/>
      <c r="G1875" s="13"/>
      <c r="H1875" s="13"/>
      <c r="I1875" s="13"/>
      <c r="J1875" s="4"/>
      <c r="K1875" s="4"/>
      <c r="L1875" s="4"/>
      <c r="M1875" s="4"/>
      <c r="Q1875" s="4"/>
      <c r="R1875" s="4"/>
      <c r="S1875" s="4"/>
      <c r="T1875" s="4"/>
      <c r="U1875" s="4"/>
      <c r="V1875" s="4"/>
      <c r="W1875" s="13"/>
      <c r="X1875" s="13"/>
    </row>
    <row r="1876">
      <c r="A1876" s="4"/>
      <c r="B1876" s="4"/>
      <c r="C1876" s="4"/>
      <c r="D1876" s="4"/>
      <c r="E1876" s="4"/>
      <c r="F1876" s="4"/>
      <c r="G1876" s="13"/>
      <c r="J1876" s="4"/>
      <c r="K1876" s="4"/>
      <c r="L1876" s="4"/>
      <c r="M1876" s="4"/>
      <c r="Q1876" s="4"/>
      <c r="R1876" s="4"/>
      <c r="S1876" s="4"/>
      <c r="T1876" s="4"/>
      <c r="U1876" s="4"/>
      <c r="V1876" s="4"/>
      <c r="W1876" s="13"/>
    </row>
    <row r="1877">
      <c r="A1877" s="4"/>
      <c r="B1877" s="4"/>
      <c r="C1877" s="4"/>
      <c r="D1877" s="4"/>
      <c r="E1877" s="4"/>
      <c r="F1877" s="4"/>
      <c r="G1877" s="13"/>
      <c r="J1877" s="4"/>
      <c r="K1877" s="4"/>
      <c r="L1877" s="4"/>
      <c r="M1877" s="4"/>
      <c r="Q1877" s="4"/>
      <c r="R1877" s="4"/>
      <c r="S1877" s="4"/>
      <c r="T1877" s="4"/>
      <c r="U1877" s="4"/>
      <c r="V1877" s="4"/>
      <c r="W1877" s="13"/>
    </row>
    <row r="1878">
      <c r="A1878" s="4"/>
      <c r="B1878" s="4"/>
      <c r="C1878" s="4"/>
      <c r="D1878" s="4"/>
      <c r="E1878" s="4"/>
      <c r="F1878" s="4"/>
      <c r="G1878" s="13"/>
      <c r="H1878" s="13"/>
      <c r="I1878" s="13"/>
      <c r="J1878" s="4"/>
      <c r="K1878" s="4"/>
      <c r="L1878" s="4"/>
      <c r="M1878" s="4"/>
      <c r="Q1878" s="4"/>
      <c r="R1878" s="4"/>
      <c r="S1878" s="4"/>
      <c r="T1878" s="4"/>
      <c r="U1878" s="4"/>
      <c r="V1878" s="4"/>
      <c r="W1878" s="13"/>
    </row>
    <row r="1879">
      <c r="A1879" s="4"/>
      <c r="B1879" s="4"/>
      <c r="C1879" s="4"/>
      <c r="D1879" s="4"/>
      <c r="E1879" s="4"/>
      <c r="F1879" s="4"/>
      <c r="G1879" s="13"/>
      <c r="H1879" s="13"/>
      <c r="I1879" s="13"/>
      <c r="J1879" s="4"/>
      <c r="K1879" s="4"/>
      <c r="L1879" s="4"/>
      <c r="M1879" s="4"/>
      <c r="Q1879" s="4"/>
      <c r="R1879" s="4"/>
      <c r="S1879" s="4"/>
      <c r="T1879" s="4"/>
      <c r="U1879" s="4"/>
      <c r="V1879" s="4"/>
      <c r="W1879" s="13"/>
      <c r="X1879" s="13"/>
    </row>
    <row r="1880">
      <c r="A1880" s="4"/>
      <c r="B1880" s="4"/>
      <c r="C1880" s="4"/>
      <c r="D1880" s="4"/>
      <c r="E1880" s="4"/>
      <c r="F1880" s="4"/>
      <c r="G1880" s="13"/>
      <c r="H1880" s="13"/>
      <c r="I1880" s="13"/>
      <c r="J1880" s="4"/>
      <c r="K1880" s="4"/>
      <c r="L1880" s="4"/>
      <c r="M1880" s="4"/>
      <c r="Q1880" s="4"/>
      <c r="R1880" s="4"/>
      <c r="S1880" s="4"/>
      <c r="T1880" s="4"/>
      <c r="U1880" s="4"/>
      <c r="V1880" s="4"/>
      <c r="W1880" s="13"/>
      <c r="X1880" s="13"/>
    </row>
    <row r="1881">
      <c r="A1881" s="4"/>
      <c r="B1881" s="4"/>
      <c r="C1881" s="4"/>
      <c r="D1881" s="4"/>
      <c r="E1881" s="4"/>
      <c r="F1881" s="4"/>
      <c r="G1881" s="13"/>
      <c r="H1881" s="13"/>
      <c r="I1881" s="13"/>
      <c r="J1881" s="4"/>
      <c r="K1881" s="4"/>
      <c r="L1881" s="4"/>
      <c r="M1881" s="4"/>
      <c r="Q1881" s="4"/>
      <c r="R1881" s="4"/>
      <c r="S1881" s="4"/>
      <c r="T1881" s="4"/>
      <c r="U1881" s="4"/>
      <c r="V1881" s="4"/>
      <c r="W1881" s="13"/>
      <c r="X1881" s="13"/>
    </row>
    <row r="1882">
      <c r="A1882" s="4"/>
      <c r="B1882" s="4"/>
      <c r="C1882" s="4"/>
      <c r="D1882" s="4"/>
      <c r="E1882" s="4"/>
      <c r="F1882" s="4"/>
      <c r="G1882" s="13"/>
      <c r="J1882" s="4"/>
      <c r="K1882" s="4"/>
      <c r="L1882" s="4"/>
      <c r="M1882" s="4"/>
      <c r="Q1882" s="4"/>
      <c r="R1882" s="4"/>
      <c r="S1882" s="4"/>
      <c r="T1882" s="4"/>
      <c r="U1882" s="4"/>
      <c r="V1882" s="4"/>
      <c r="W1882" s="13"/>
    </row>
    <row r="1883">
      <c r="A1883" s="4"/>
      <c r="B1883" s="4"/>
      <c r="C1883" s="4"/>
      <c r="D1883" s="4"/>
      <c r="E1883" s="4"/>
      <c r="F1883" s="4"/>
      <c r="G1883" s="13"/>
      <c r="J1883" s="4"/>
      <c r="K1883" s="4"/>
      <c r="L1883" s="4"/>
      <c r="M1883" s="4"/>
      <c r="Q1883" s="4"/>
      <c r="R1883" s="4"/>
      <c r="S1883" s="4"/>
      <c r="T1883" s="4"/>
      <c r="U1883" s="4"/>
      <c r="V1883" s="4"/>
      <c r="W1883" s="13"/>
    </row>
    <row r="1884">
      <c r="A1884" s="4"/>
      <c r="B1884" s="4"/>
      <c r="C1884" s="4"/>
      <c r="D1884" s="4"/>
      <c r="E1884" s="4"/>
      <c r="F1884" s="4"/>
      <c r="G1884" s="13"/>
      <c r="H1884" s="13"/>
      <c r="I1884" s="13"/>
      <c r="J1884" s="4"/>
      <c r="K1884" s="4"/>
      <c r="L1884" s="4"/>
      <c r="M1884" s="4"/>
      <c r="Q1884" s="4"/>
      <c r="R1884" s="4"/>
      <c r="S1884" s="4"/>
      <c r="T1884" s="4"/>
      <c r="U1884" s="4"/>
      <c r="V1884" s="4"/>
      <c r="W1884" s="13"/>
    </row>
    <row r="1885">
      <c r="A1885" s="4"/>
      <c r="B1885" s="4"/>
      <c r="C1885" s="4"/>
      <c r="D1885" s="4"/>
      <c r="E1885" s="4"/>
      <c r="F1885" s="4"/>
      <c r="G1885" s="13"/>
      <c r="H1885" s="13"/>
      <c r="I1885" s="13"/>
      <c r="J1885" s="4"/>
      <c r="K1885" s="4"/>
      <c r="L1885" s="4"/>
      <c r="M1885" s="4"/>
      <c r="Q1885" s="4"/>
      <c r="R1885" s="4"/>
      <c r="S1885" s="4"/>
      <c r="T1885" s="4"/>
      <c r="U1885" s="4"/>
      <c r="V1885" s="4"/>
      <c r="W1885" s="13"/>
      <c r="X1885" s="13"/>
    </row>
    <row r="1886">
      <c r="A1886" s="4"/>
      <c r="B1886" s="4"/>
      <c r="C1886" s="4"/>
      <c r="D1886" s="4"/>
      <c r="E1886" s="4"/>
      <c r="F1886" s="4"/>
      <c r="G1886" s="13"/>
      <c r="H1886" s="13"/>
      <c r="I1886" s="13"/>
      <c r="J1886" s="4"/>
      <c r="K1886" s="4"/>
      <c r="L1886" s="4"/>
      <c r="M1886" s="4"/>
      <c r="Q1886" s="4"/>
      <c r="R1886" s="4"/>
      <c r="S1886" s="4"/>
      <c r="T1886" s="4"/>
      <c r="U1886" s="4"/>
      <c r="V1886" s="4"/>
      <c r="W1886" s="13"/>
      <c r="X1886" s="13"/>
    </row>
    <row r="1887">
      <c r="A1887" s="4"/>
      <c r="B1887" s="4"/>
      <c r="C1887" s="4"/>
      <c r="D1887" s="4"/>
      <c r="E1887" s="4"/>
      <c r="F1887" s="4"/>
      <c r="G1887" s="13"/>
      <c r="H1887" s="13"/>
      <c r="I1887" s="13"/>
      <c r="J1887" s="4"/>
      <c r="K1887" s="4"/>
      <c r="L1887" s="4"/>
      <c r="M1887" s="4"/>
      <c r="Q1887" s="4"/>
      <c r="R1887" s="4"/>
      <c r="S1887" s="4"/>
      <c r="T1887" s="4"/>
      <c r="U1887" s="4"/>
      <c r="V1887" s="4"/>
      <c r="W1887" s="13"/>
      <c r="X1887" s="13"/>
    </row>
    <row r="1888">
      <c r="A1888" s="4"/>
      <c r="B1888" s="4"/>
      <c r="C1888" s="4"/>
      <c r="D1888" s="4"/>
      <c r="E1888" s="4"/>
      <c r="F1888" s="4"/>
      <c r="G1888" s="13"/>
      <c r="H1888" s="13"/>
      <c r="I1888" s="13"/>
      <c r="J1888" s="4"/>
      <c r="K1888" s="4"/>
      <c r="L1888" s="4"/>
      <c r="M1888" s="4"/>
      <c r="Q1888" s="4"/>
      <c r="R1888" s="4"/>
      <c r="S1888" s="4"/>
      <c r="T1888" s="4"/>
      <c r="U1888" s="4"/>
      <c r="V1888" s="4"/>
      <c r="W1888" s="13"/>
    </row>
    <row r="1889">
      <c r="A1889" s="4"/>
      <c r="B1889" s="4"/>
      <c r="C1889" s="4"/>
      <c r="D1889" s="4"/>
      <c r="E1889" s="4"/>
      <c r="F1889" s="4"/>
      <c r="G1889" s="13"/>
      <c r="H1889" s="13"/>
      <c r="I1889" s="13"/>
      <c r="J1889" s="4"/>
      <c r="K1889" s="4"/>
      <c r="L1889" s="4"/>
      <c r="M1889" s="4"/>
      <c r="Q1889" s="4"/>
      <c r="R1889" s="4"/>
      <c r="S1889" s="4"/>
      <c r="T1889" s="4"/>
      <c r="U1889" s="4"/>
      <c r="V1889" s="4"/>
      <c r="W1889" s="13"/>
      <c r="X1889" s="13"/>
    </row>
    <row r="1890">
      <c r="A1890" s="4"/>
      <c r="B1890" s="4"/>
      <c r="C1890" s="4"/>
      <c r="D1890" s="4"/>
      <c r="E1890" s="4"/>
      <c r="F1890" s="4"/>
      <c r="G1890" s="13"/>
      <c r="H1890" s="13"/>
      <c r="I1890" s="13"/>
      <c r="J1890" s="4"/>
      <c r="K1890" s="4"/>
      <c r="L1890" s="4"/>
      <c r="M1890" s="4"/>
      <c r="Q1890" s="4"/>
      <c r="R1890" s="4"/>
      <c r="S1890" s="4"/>
      <c r="T1890" s="4"/>
      <c r="U1890" s="4"/>
      <c r="V1890" s="4"/>
      <c r="W1890" s="13"/>
      <c r="X1890" s="13"/>
    </row>
    <row r="1891">
      <c r="A1891" s="4"/>
      <c r="B1891" s="4"/>
      <c r="C1891" s="4"/>
      <c r="D1891" s="4"/>
      <c r="E1891" s="4"/>
      <c r="F1891" s="4"/>
      <c r="G1891" s="13"/>
      <c r="H1891" s="13"/>
      <c r="I1891" s="13"/>
      <c r="J1891" s="4"/>
      <c r="K1891" s="4"/>
      <c r="L1891" s="4"/>
      <c r="M1891" s="4"/>
      <c r="Q1891" s="4"/>
      <c r="R1891" s="4"/>
      <c r="S1891" s="4"/>
      <c r="T1891" s="4"/>
      <c r="U1891" s="4"/>
      <c r="V1891" s="4"/>
      <c r="W1891" s="13"/>
      <c r="X1891" s="13"/>
    </row>
    <row r="1892">
      <c r="A1892" s="4"/>
      <c r="B1892" s="4"/>
      <c r="C1892" s="4"/>
      <c r="D1892" s="4"/>
      <c r="E1892" s="4"/>
      <c r="F1892" s="4"/>
      <c r="G1892" s="13"/>
      <c r="H1892" s="13"/>
      <c r="I1892" s="13"/>
      <c r="J1892" s="4"/>
      <c r="K1892" s="4"/>
      <c r="L1892" s="4"/>
      <c r="M1892" s="4"/>
      <c r="Q1892" s="4"/>
      <c r="R1892" s="4"/>
      <c r="S1892" s="4"/>
      <c r="T1892" s="4"/>
      <c r="U1892" s="4"/>
      <c r="V1892" s="4"/>
      <c r="W1892" s="13"/>
      <c r="X1892" s="13"/>
    </row>
    <row r="1893">
      <c r="A1893" s="4"/>
      <c r="B1893" s="4"/>
      <c r="C1893" s="4"/>
      <c r="D1893" s="4"/>
      <c r="E1893" s="4"/>
      <c r="F1893" s="4"/>
      <c r="G1893" s="13"/>
      <c r="H1893" s="13"/>
      <c r="I1893" s="13"/>
      <c r="J1893" s="4"/>
      <c r="K1893" s="4"/>
      <c r="L1893" s="4"/>
      <c r="M1893" s="4"/>
      <c r="Q1893" s="4"/>
      <c r="R1893" s="4"/>
      <c r="S1893" s="4"/>
      <c r="T1893" s="4"/>
      <c r="U1893" s="4"/>
      <c r="V1893" s="4"/>
      <c r="W1893" s="13"/>
      <c r="X1893" s="13"/>
    </row>
    <row r="1894">
      <c r="A1894" s="4"/>
      <c r="B1894" s="4"/>
      <c r="C1894" s="4"/>
      <c r="D1894" s="4"/>
      <c r="E1894" s="4"/>
      <c r="F1894" s="4"/>
      <c r="G1894" s="13"/>
      <c r="H1894" s="13"/>
      <c r="I1894" s="13"/>
      <c r="J1894" s="4"/>
      <c r="K1894" s="4"/>
      <c r="L1894" s="4"/>
      <c r="M1894" s="4"/>
      <c r="Q1894" s="4"/>
      <c r="R1894" s="4"/>
      <c r="S1894" s="4"/>
      <c r="T1894" s="4"/>
      <c r="U1894" s="4"/>
      <c r="V1894" s="4"/>
      <c r="W1894" s="13"/>
      <c r="X1894" s="13"/>
    </row>
    <row r="1895">
      <c r="A1895" s="4"/>
      <c r="B1895" s="4"/>
      <c r="C1895" s="4"/>
      <c r="D1895" s="4"/>
      <c r="E1895" s="4"/>
      <c r="F1895" s="4"/>
      <c r="G1895" s="13"/>
      <c r="H1895" s="13"/>
      <c r="I1895" s="13"/>
      <c r="J1895" s="4"/>
      <c r="K1895" s="4"/>
      <c r="L1895" s="4"/>
      <c r="M1895" s="4"/>
      <c r="Q1895" s="4"/>
      <c r="R1895" s="4"/>
      <c r="S1895" s="4"/>
      <c r="T1895" s="4"/>
      <c r="U1895" s="4"/>
      <c r="V1895" s="4"/>
      <c r="W1895" s="13"/>
      <c r="X1895" s="13"/>
    </row>
    <row r="1896">
      <c r="A1896" s="4"/>
      <c r="B1896" s="4"/>
      <c r="C1896" s="4"/>
      <c r="D1896" s="4"/>
      <c r="E1896" s="4"/>
      <c r="F1896" s="4"/>
      <c r="G1896" s="13"/>
      <c r="H1896" s="13"/>
      <c r="I1896" s="13"/>
      <c r="J1896" s="4"/>
      <c r="K1896" s="4"/>
      <c r="L1896" s="4"/>
      <c r="M1896" s="4"/>
      <c r="Q1896" s="4"/>
      <c r="R1896" s="4"/>
      <c r="S1896" s="4"/>
      <c r="T1896" s="4"/>
      <c r="U1896" s="4"/>
      <c r="V1896" s="4"/>
      <c r="W1896" s="13"/>
      <c r="X1896" s="13"/>
    </row>
    <row r="1897">
      <c r="A1897" s="4"/>
      <c r="B1897" s="4"/>
      <c r="C1897" s="4"/>
      <c r="D1897" s="4"/>
      <c r="E1897" s="4"/>
      <c r="F1897" s="4"/>
      <c r="G1897" s="13"/>
      <c r="H1897" s="13"/>
      <c r="I1897" s="13"/>
      <c r="J1897" s="4"/>
      <c r="K1897" s="4"/>
      <c r="L1897" s="4"/>
      <c r="M1897" s="4"/>
      <c r="Q1897" s="4"/>
      <c r="R1897" s="4"/>
      <c r="S1897" s="4"/>
      <c r="T1897" s="4"/>
      <c r="U1897" s="4"/>
      <c r="V1897" s="4"/>
      <c r="W1897" s="13"/>
      <c r="X1897" s="13"/>
    </row>
    <row r="1898">
      <c r="A1898" s="4"/>
      <c r="B1898" s="4"/>
      <c r="C1898" s="4"/>
      <c r="D1898" s="4"/>
      <c r="E1898" s="4"/>
      <c r="F1898" s="4"/>
      <c r="G1898" s="13"/>
      <c r="H1898" s="13"/>
      <c r="I1898" s="13"/>
      <c r="J1898" s="4"/>
      <c r="K1898" s="4"/>
      <c r="L1898" s="4"/>
      <c r="M1898" s="4"/>
      <c r="Q1898" s="4"/>
      <c r="R1898" s="4"/>
      <c r="S1898" s="4"/>
      <c r="T1898" s="4"/>
      <c r="U1898" s="4"/>
      <c r="V1898" s="4"/>
      <c r="W1898" s="13"/>
      <c r="X1898" s="13"/>
    </row>
    <row r="1899">
      <c r="A1899" s="4"/>
      <c r="B1899" s="4"/>
      <c r="C1899" s="4"/>
      <c r="D1899" s="4"/>
      <c r="E1899" s="4"/>
      <c r="F1899" s="4"/>
      <c r="G1899" s="13"/>
      <c r="J1899" s="4"/>
      <c r="K1899" s="4"/>
      <c r="L1899" s="4"/>
      <c r="M1899" s="4"/>
      <c r="Q1899" s="4"/>
      <c r="R1899" s="4"/>
      <c r="S1899" s="4"/>
      <c r="T1899" s="4"/>
      <c r="U1899" s="4"/>
      <c r="V1899" s="4"/>
      <c r="W1899" s="13"/>
    </row>
    <row r="1900">
      <c r="A1900" s="4"/>
      <c r="B1900" s="4"/>
      <c r="C1900" s="4"/>
      <c r="D1900" s="4"/>
      <c r="E1900" s="4"/>
      <c r="F1900" s="4"/>
      <c r="G1900" s="13"/>
      <c r="H1900" s="13"/>
      <c r="I1900" s="13"/>
      <c r="J1900" s="4"/>
      <c r="K1900" s="4"/>
      <c r="L1900" s="4"/>
      <c r="M1900" s="4"/>
      <c r="Q1900" s="4"/>
      <c r="R1900" s="4"/>
      <c r="S1900" s="4"/>
      <c r="T1900" s="4"/>
      <c r="U1900" s="4"/>
      <c r="V1900" s="4"/>
      <c r="W1900" s="13"/>
      <c r="X1900" s="13"/>
    </row>
    <row r="1901">
      <c r="A1901" s="4"/>
      <c r="B1901" s="4"/>
      <c r="C1901" s="4"/>
      <c r="D1901" s="4"/>
      <c r="E1901" s="4"/>
      <c r="F1901" s="4"/>
      <c r="G1901" s="13"/>
      <c r="H1901" s="13"/>
      <c r="I1901" s="13"/>
      <c r="J1901" s="4"/>
      <c r="K1901" s="4"/>
      <c r="L1901" s="4"/>
      <c r="M1901" s="4"/>
      <c r="Q1901" s="4"/>
      <c r="R1901" s="4"/>
      <c r="S1901" s="4"/>
      <c r="T1901" s="4"/>
      <c r="U1901" s="4"/>
      <c r="V1901" s="4"/>
      <c r="W1901" s="13"/>
    </row>
    <row r="1902">
      <c r="A1902" s="4"/>
      <c r="B1902" s="4"/>
      <c r="C1902" s="4"/>
      <c r="D1902" s="4"/>
      <c r="E1902" s="4"/>
      <c r="F1902" s="4"/>
      <c r="G1902" s="13"/>
      <c r="J1902" s="4"/>
      <c r="K1902" s="4"/>
      <c r="L1902" s="4"/>
      <c r="M1902" s="4"/>
      <c r="Q1902" s="4"/>
      <c r="R1902" s="4"/>
      <c r="S1902" s="4"/>
      <c r="T1902" s="4"/>
      <c r="U1902" s="4"/>
      <c r="V1902" s="4"/>
      <c r="W1902" s="13"/>
    </row>
    <row r="1903">
      <c r="A1903" s="4"/>
      <c r="B1903" s="4"/>
      <c r="C1903" s="4"/>
      <c r="D1903" s="4"/>
      <c r="E1903" s="4"/>
      <c r="F1903" s="4"/>
      <c r="G1903" s="13"/>
      <c r="H1903" s="13"/>
      <c r="I1903" s="13"/>
      <c r="J1903" s="4"/>
      <c r="K1903" s="4"/>
      <c r="L1903" s="4"/>
      <c r="M1903" s="4"/>
      <c r="Q1903" s="4"/>
      <c r="R1903" s="4"/>
      <c r="S1903" s="4"/>
      <c r="T1903" s="4"/>
      <c r="U1903" s="4"/>
      <c r="V1903" s="4"/>
      <c r="W1903" s="13"/>
      <c r="X1903" s="13"/>
    </row>
    <row r="1904">
      <c r="A1904" s="4"/>
      <c r="B1904" s="4"/>
      <c r="C1904" s="4"/>
      <c r="D1904" s="4"/>
      <c r="E1904" s="4"/>
      <c r="F1904" s="4"/>
      <c r="G1904" s="13"/>
      <c r="H1904" s="13"/>
      <c r="I1904" s="13"/>
      <c r="J1904" s="4"/>
      <c r="K1904" s="4"/>
      <c r="L1904" s="4"/>
      <c r="M1904" s="4"/>
      <c r="Q1904" s="4"/>
      <c r="R1904" s="4"/>
      <c r="S1904" s="4"/>
      <c r="T1904" s="4"/>
      <c r="U1904" s="4"/>
      <c r="V1904" s="4"/>
      <c r="W1904" s="13"/>
      <c r="X1904" s="13"/>
    </row>
    <row r="1905">
      <c r="A1905" s="4"/>
      <c r="B1905" s="4"/>
      <c r="C1905" s="4"/>
      <c r="D1905" s="4"/>
      <c r="E1905" s="4"/>
      <c r="F1905" s="4"/>
      <c r="G1905" s="13"/>
      <c r="H1905" s="13"/>
      <c r="I1905" s="13"/>
      <c r="J1905" s="4"/>
      <c r="K1905" s="4"/>
      <c r="L1905" s="4"/>
      <c r="M1905" s="4"/>
      <c r="Q1905" s="4"/>
      <c r="R1905" s="4"/>
      <c r="S1905" s="4"/>
      <c r="T1905" s="4"/>
      <c r="U1905" s="4"/>
      <c r="V1905" s="4"/>
      <c r="W1905" s="13"/>
      <c r="X1905" s="13"/>
    </row>
    <row r="1906">
      <c r="A1906" s="4"/>
      <c r="B1906" s="4"/>
      <c r="C1906" s="4"/>
      <c r="D1906" s="4"/>
      <c r="E1906" s="4"/>
      <c r="F1906" s="4"/>
      <c r="G1906" s="13"/>
      <c r="H1906" s="13"/>
      <c r="I1906" s="13"/>
      <c r="J1906" s="4"/>
      <c r="K1906" s="4"/>
      <c r="L1906" s="4"/>
      <c r="M1906" s="4"/>
      <c r="Q1906" s="4"/>
      <c r="R1906" s="4"/>
      <c r="S1906" s="4"/>
      <c r="T1906" s="4"/>
      <c r="U1906" s="4"/>
      <c r="V1906" s="4"/>
      <c r="W1906" s="13"/>
      <c r="X1906" s="13"/>
    </row>
    <row r="1907">
      <c r="A1907" s="4"/>
      <c r="B1907" s="4"/>
      <c r="C1907" s="4"/>
      <c r="D1907" s="4"/>
      <c r="E1907" s="4"/>
      <c r="F1907" s="4"/>
      <c r="G1907" s="13"/>
      <c r="H1907" s="13"/>
      <c r="I1907" s="13"/>
      <c r="J1907" s="4"/>
      <c r="K1907" s="4"/>
      <c r="L1907" s="4"/>
      <c r="M1907" s="4"/>
      <c r="Q1907" s="4"/>
      <c r="R1907" s="4"/>
      <c r="S1907" s="4"/>
      <c r="T1907" s="4"/>
      <c r="U1907" s="4"/>
      <c r="V1907" s="4"/>
      <c r="W1907" s="13"/>
      <c r="X1907" s="13"/>
    </row>
    <row r="1908">
      <c r="A1908" s="4"/>
      <c r="B1908" s="4"/>
      <c r="C1908" s="4"/>
      <c r="D1908" s="4"/>
      <c r="E1908" s="4"/>
      <c r="F1908" s="4"/>
      <c r="G1908" s="13"/>
      <c r="H1908" s="13"/>
      <c r="I1908" s="13"/>
      <c r="J1908" s="4"/>
      <c r="K1908" s="4"/>
      <c r="L1908" s="4"/>
      <c r="M1908" s="4"/>
      <c r="Q1908" s="4"/>
      <c r="R1908" s="4"/>
      <c r="S1908" s="4"/>
      <c r="T1908" s="4"/>
      <c r="U1908" s="4"/>
      <c r="V1908" s="4"/>
      <c r="W1908" s="13"/>
      <c r="X1908" s="13"/>
    </row>
    <row r="1909">
      <c r="A1909" s="4"/>
      <c r="B1909" s="4"/>
      <c r="C1909" s="4"/>
      <c r="D1909" s="4"/>
      <c r="E1909" s="4"/>
      <c r="F1909" s="4"/>
      <c r="G1909" s="13"/>
      <c r="H1909" s="13"/>
      <c r="I1909" s="13"/>
      <c r="J1909" s="4"/>
      <c r="K1909" s="4"/>
      <c r="L1909" s="4"/>
      <c r="M1909" s="4"/>
      <c r="Q1909" s="4"/>
      <c r="R1909" s="4"/>
      <c r="S1909" s="4"/>
      <c r="T1909" s="4"/>
      <c r="U1909" s="4"/>
      <c r="V1909" s="4"/>
      <c r="W1909" s="13"/>
      <c r="X1909" s="13"/>
    </row>
    <row r="1910">
      <c r="A1910" s="4"/>
      <c r="B1910" s="4"/>
      <c r="C1910" s="4"/>
      <c r="D1910" s="4"/>
      <c r="E1910" s="4"/>
      <c r="F1910" s="4"/>
      <c r="G1910" s="13"/>
      <c r="H1910" s="13"/>
      <c r="I1910" s="13"/>
      <c r="J1910" s="4"/>
      <c r="K1910" s="4"/>
      <c r="L1910" s="4"/>
      <c r="M1910" s="4"/>
      <c r="Q1910" s="4"/>
      <c r="R1910" s="4"/>
      <c r="S1910" s="4"/>
      <c r="T1910" s="4"/>
      <c r="U1910" s="4"/>
      <c r="V1910" s="4"/>
      <c r="W1910" s="13"/>
      <c r="X1910" s="13"/>
    </row>
    <row r="1911">
      <c r="A1911" s="4"/>
      <c r="B1911" s="4"/>
      <c r="C1911" s="4"/>
      <c r="D1911" s="4"/>
      <c r="E1911" s="4"/>
      <c r="F1911" s="4"/>
      <c r="G1911" s="13"/>
      <c r="H1911" s="13"/>
      <c r="I1911" s="13"/>
      <c r="J1911" s="4"/>
      <c r="K1911" s="4"/>
      <c r="L1911" s="4"/>
      <c r="M1911" s="4"/>
      <c r="Q1911" s="4"/>
      <c r="R1911" s="4"/>
      <c r="S1911" s="4"/>
      <c r="T1911" s="4"/>
      <c r="U1911" s="4"/>
      <c r="V1911" s="4"/>
      <c r="W1911" s="13"/>
      <c r="X1911" s="13"/>
    </row>
    <row r="1912">
      <c r="A1912" s="4"/>
      <c r="B1912" s="4"/>
      <c r="C1912" s="4"/>
      <c r="D1912" s="4"/>
      <c r="E1912" s="4"/>
      <c r="F1912" s="4"/>
      <c r="G1912" s="13"/>
      <c r="H1912" s="13"/>
      <c r="I1912" s="13"/>
      <c r="J1912" s="4"/>
      <c r="K1912" s="4"/>
      <c r="L1912" s="4"/>
      <c r="M1912" s="4"/>
      <c r="Q1912" s="4"/>
      <c r="R1912" s="4"/>
      <c r="S1912" s="4"/>
      <c r="T1912" s="4"/>
      <c r="U1912" s="4"/>
      <c r="V1912" s="4"/>
      <c r="W1912" s="13"/>
      <c r="X1912" s="13"/>
    </row>
    <row r="1913">
      <c r="A1913" s="4"/>
      <c r="B1913" s="4"/>
      <c r="C1913" s="4"/>
      <c r="D1913" s="4"/>
      <c r="E1913" s="4"/>
      <c r="F1913" s="4"/>
      <c r="G1913" s="13"/>
      <c r="H1913" s="13"/>
      <c r="I1913" s="13"/>
      <c r="J1913" s="4"/>
      <c r="K1913" s="4"/>
      <c r="L1913" s="4"/>
      <c r="M1913" s="4"/>
      <c r="Q1913" s="4"/>
      <c r="R1913" s="4"/>
      <c r="S1913" s="4"/>
      <c r="T1913" s="4"/>
      <c r="U1913" s="4"/>
      <c r="V1913" s="4"/>
      <c r="W1913" s="13"/>
      <c r="X1913" s="13"/>
    </row>
    <row r="1914">
      <c r="A1914" s="4"/>
      <c r="B1914" s="4"/>
      <c r="C1914" s="4"/>
      <c r="D1914" s="4"/>
      <c r="E1914" s="4"/>
      <c r="F1914" s="4"/>
      <c r="G1914" s="13"/>
      <c r="J1914" s="4"/>
      <c r="K1914" s="4"/>
      <c r="L1914" s="4"/>
      <c r="M1914" s="4"/>
      <c r="Q1914" s="4"/>
      <c r="R1914" s="4"/>
      <c r="S1914" s="4"/>
      <c r="T1914" s="4"/>
      <c r="U1914" s="4"/>
      <c r="V1914" s="4"/>
    </row>
    <row r="1915">
      <c r="A1915" s="4"/>
      <c r="B1915" s="4"/>
      <c r="C1915" s="4"/>
      <c r="D1915" s="4"/>
      <c r="E1915" s="4"/>
      <c r="F1915" s="4"/>
      <c r="G1915" s="13"/>
      <c r="J1915" s="4"/>
      <c r="K1915" s="4"/>
      <c r="L1915" s="4"/>
      <c r="M1915" s="4"/>
      <c r="Q1915" s="4"/>
      <c r="R1915" s="4"/>
      <c r="S1915" s="4"/>
      <c r="T1915" s="4"/>
      <c r="U1915" s="4"/>
      <c r="V1915" s="4"/>
      <c r="W1915" s="13"/>
    </row>
    <row r="1916">
      <c r="A1916" s="4"/>
      <c r="B1916" s="4"/>
      <c r="C1916" s="4"/>
      <c r="D1916" s="4"/>
      <c r="E1916" s="4"/>
      <c r="F1916" s="4"/>
      <c r="G1916" s="13"/>
      <c r="H1916" s="13"/>
      <c r="I1916" s="13"/>
      <c r="J1916" s="4"/>
      <c r="K1916" s="4"/>
      <c r="L1916" s="4"/>
      <c r="M1916" s="4"/>
      <c r="Q1916" s="4"/>
      <c r="R1916" s="4"/>
      <c r="S1916" s="4"/>
      <c r="T1916" s="4"/>
      <c r="U1916" s="4"/>
      <c r="V1916" s="4"/>
      <c r="W1916" s="13"/>
      <c r="X1916" s="13"/>
    </row>
    <row r="1917">
      <c r="A1917" s="4"/>
      <c r="B1917" s="4"/>
      <c r="C1917" s="4"/>
      <c r="D1917" s="4"/>
      <c r="E1917" s="4"/>
      <c r="F1917" s="4"/>
      <c r="G1917" s="13"/>
      <c r="H1917" s="13"/>
      <c r="I1917" s="13"/>
      <c r="J1917" s="4"/>
      <c r="K1917" s="4"/>
      <c r="L1917" s="4"/>
      <c r="M1917" s="4"/>
      <c r="Q1917" s="4"/>
      <c r="R1917" s="4"/>
      <c r="S1917" s="4"/>
      <c r="T1917" s="4"/>
      <c r="U1917" s="4"/>
      <c r="V1917" s="4"/>
      <c r="W1917" s="13"/>
      <c r="X1917" s="13"/>
    </row>
    <row r="1918">
      <c r="A1918" s="4"/>
      <c r="B1918" s="4"/>
      <c r="C1918" s="4"/>
      <c r="D1918" s="4"/>
      <c r="E1918" s="4"/>
      <c r="F1918" s="4"/>
      <c r="G1918" s="13"/>
      <c r="H1918" s="13"/>
      <c r="I1918" s="13"/>
      <c r="J1918" s="4"/>
      <c r="K1918" s="4"/>
      <c r="L1918" s="4"/>
      <c r="M1918" s="4"/>
      <c r="Q1918" s="4"/>
      <c r="R1918" s="4"/>
      <c r="S1918" s="4"/>
      <c r="T1918" s="4"/>
      <c r="U1918" s="4"/>
      <c r="V1918" s="4"/>
      <c r="W1918" s="13"/>
      <c r="X1918" s="13"/>
    </row>
    <row r="1919">
      <c r="A1919" s="4"/>
      <c r="B1919" s="4"/>
      <c r="C1919" s="4"/>
      <c r="D1919" s="4"/>
      <c r="E1919" s="4"/>
      <c r="F1919" s="4"/>
      <c r="G1919" s="13"/>
      <c r="H1919" s="13"/>
      <c r="I1919" s="13"/>
      <c r="J1919" s="4"/>
      <c r="K1919" s="4"/>
      <c r="L1919" s="4"/>
      <c r="M1919" s="4"/>
      <c r="Q1919" s="4"/>
      <c r="R1919" s="4"/>
      <c r="S1919" s="4"/>
      <c r="T1919" s="4"/>
      <c r="U1919" s="4"/>
      <c r="V1919" s="4"/>
      <c r="W1919" s="13"/>
      <c r="X1919" s="13"/>
    </row>
    <row r="1920">
      <c r="A1920" s="4"/>
      <c r="B1920" s="4"/>
      <c r="C1920" s="4"/>
      <c r="D1920" s="4"/>
      <c r="E1920" s="4"/>
      <c r="F1920" s="4"/>
      <c r="G1920" s="13"/>
      <c r="H1920" s="13"/>
      <c r="I1920" s="13"/>
      <c r="J1920" s="4"/>
      <c r="K1920" s="4"/>
      <c r="L1920" s="4"/>
      <c r="M1920" s="4"/>
      <c r="Q1920" s="4"/>
      <c r="R1920" s="4"/>
      <c r="S1920" s="4"/>
      <c r="T1920" s="4"/>
      <c r="U1920" s="4"/>
      <c r="V1920" s="4"/>
      <c r="W1920" s="13"/>
    </row>
    <row r="1921">
      <c r="A1921" s="4"/>
      <c r="B1921" s="4"/>
      <c r="C1921" s="4"/>
      <c r="D1921" s="4"/>
      <c r="E1921" s="4"/>
      <c r="F1921" s="4"/>
      <c r="G1921" s="13"/>
      <c r="H1921" s="13"/>
      <c r="I1921" s="13"/>
      <c r="J1921" s="4"/>
      <c r="K1921" s="4"/>
      <c r="L1921" s="4"/>
      <c r="M1921" s="4"/>
      <c r="Q1921" s="4"/>
      <c r="R1921" s="4"/>
      <c r="S1921" s="4"/>
      <c r="T1921" s="4"/>
      <c r="U1921" s="4"/>
      <c r="V1921" s="4"/>
      <c r="W1921" s="13"/>
    </row>
    <row r="1922">
      <c r="A1922" s="4"/>
      <c r="B1922" s="4"/>
      <c r="C1922" s="4"/>
      <c r="D1922" s="4"/>
      <c r="E1922" s="4"/>
      <c r="F1922" s="4"/>
      <c r="G1922" s="13"/>
      <c r="H1922" s="13"/>
      <c r="I1922" s="13"/>
      <c r="J1922" s="4"/>
      <c r="K1922" s="4"/>
      <c r="L1922" s="4"/>
      <c r="M1922" s="4"/>
      <c r="Q1922" s="4"/>
      <c r="R1922" s="4"/>
      <c r="S1922" s="4"/>
      <c r="T1922" s="4"/>
      <c r="U1922" s="4"/>
      <c r="V1922" s="4"/>
      <c r="W1922" s="13"/>
      <c r="X1922" s="13"/>
    </row>
    <row r="1923">
      <c r="A1923" s="4"/>
      <c r="B1923" s="4"/>
      <c r="C1923" s="4"/>
      <c r="D1923" s="4"/>
      <c r="E1923" s="4"/>
      <c r="F1923" s="4"/>
      <c r="G1923" s="13"/>
      <c r="H1923" s="13"/>
      <c r="I1923" s="13"/>
      <c r="J1923" s="4"/>
      <c r="K1923" s="4"/>
      <c r="L1923" s="4"/>
      <c r="M1923" s="4"/>
      <c r="Q1923" s="4"/>
      <c r="R1923" s="4"/>
      <c r="S1923" s="4"/>
      <c r="T1923" s="4"/>
      <c r="U1923" s="4"/>
      <c r="V1923" s="4"/>
      <c r="W1923" s="13"/>
      <c r="X1923" s="13"/>
    </row>
    <row r="1924">
      <c r="A1924" s="4"/>
      <c r="B1924" s="4"/>
      <c r="C1924" s="4"/>
      <c r="D1924" s="4"/>
      <c r="E1924" s="4"/>
      <c r="F1924" s="4"/>
      <c r="G1924" s="13"/>
      <c r="H1924" s="13"/>
      <c r="I1924" s="13"/>
      <c r="J1924" s="4"/>
      <c r="K1924" s="4"/>
      <c r="L1924" s="4"/>
      <c r="M1924" s="4"/>
      <c r="Q1924" s="4"/>
      <c r="R1924" s="4"/>
      <c r="S1924" s="4"/>
      <c r="T1924" s="4"/>
      <c r="U1924" s="4"/>
      <c r="V1924" s="4"/>
      <c r="W1924" s="13"/>
      <c r="X1924" s="13"/>
    </row>
    <row r="1925">
      <c r="A1925" s="4"/>
      <c r="B1925" s="4"/>
      <c r="C1925" s="4"/>
      <c r="D1925" s="4"/>
      <c r="E1925" s="4"/>
      <c r="F1925" s="4"/>
      <c r="G1925" s="13"/>
      <c r="H1925" s="13"/>
      <c r="I1925" s="13"/>
      <c r="J1925" s="4"/>
      <c r="K1925" s="4"/>
      <c r="L1925" s="4"/>
      <c r="M1925" s="4"/>
      <c r="Q1925" s="4"/>
      <c r="R1925" s="4"/>
      <c r="S1925" s="4"/>
      <c r="T1925" s="4"/>
      <c r="U1925" s="4"/>
      <c r="V1925" s="4"/>
      <c r="W1925" s="13"/>
    </row>
    <row r="1926">
      <c r="A1926" s="4"/>
      <c r="B1926" s="4"/>
      <c r="C1926" s="4"/>
      <c r="D1926" s="4"/>
      <c r="E1926" s="4"/>
      <c r="F1926" s="4"/>
      <c r="G1926" s="13"/>
      <c r="H1926" s="13"/>
      <c r="I1926" s="13"/>
      <c r="J1926" s="4"/>
      <c r="K1926" s="4"/>
      <c r="L1926" s="4"/>
      <c r="M1926" s="4"/>
      <c r="Q1926" s="4"/>
      <c r="R1926" s="4"/>
      <c r="S1926" s="4"/>
      <c r="T1926" s="4"/>
      <c r="U1926" s="4"/>
      <c r="V1926" s="4"/>
      <c r="W1926" s="13"/>
      <c r="X1926" s="13"/>
    </row>
    <row r="1927">
      <c r="A1927" s="4"/>
      <c r="B1927" s="4"/>
      <c r="C1927" s="4"/>
      <c r="D1927" s="4"/>
      <c r="E1927" s="4"/>
      <c r="F1927" s="4"/>
      <c r="G1927" s="13"/>
      <c r="H1927" s="13"/>
      <c r="I1927" s="13"/>
      <c r="J1927" s="4"/>
      <c r="K1927" s="4"/>
      <c r="L1927" s="4"/>
      <c r="M1927" s="4"/>
      <c r="Q1927" s="4"/>
      <c r="R1927" s="4"/>
      <c r="S1927" s="4"/>
      <c r="T1927" s="4"/>
      <c r="U1927" s="4"/>
      <c r="V1927" s="4"/>
      <c r="W1927" s="13"/>
      <c r="X1927" s="13"/>
    </row>
    <row r="1928">
      <c r="A1928" s="4"/>
      <c r="B1928" s="4"/>
      <c r="C1928" s="4"/>
      <c r="D1928" s="4"/>
      <c r="E1928" s="4"/>
      <c r="F1928" s="4"/>
      <c r="G1928" s="13"/>
      <c r="H1928" s="13"/>
      <c r="I1928" s="13"/>
      <c r="J1928" s="4"/>
      <c r="K1928" s="4"/>
      <c r="L1928" s="4"/>
      <c r="M1928" s="4"/>
      <c r="Q1928" s="4"/>
      <c r="R1928" s="4"/>
      <c r="S1928" s="4"/>
      <c r="T1928" s="4"/>
      <c r="U1928" s="4"/>
      <c r="V1928" s="4"/>
      <c r="W1928" s="13"/>
      <c r="X1928" s="13"/>
    </row>
    <row r="1929">
      <c r="A1929" s="4"/>
      <c r="B1929" s="4"/>
      <c r="C1929" s="4"/>
      <c r="D1929" s="4"/>
      <c r="E1929" s="4"/>
      <c r="F1929" s="4"/>
      <c r="G1929" s="13"/>
      <c r="H1929" s="13"/>
      <c r="I1929" s="13"/>
      <c r="J1929" s="4"/>
      <c r="K1929" s="4"/>
      <c r="L1929" s="4"/>
      <c r="M1929" s="4"/>
      <c r="Q1929" s="4"/>
      <c r="R1929" s="4"/>
      <c r="S1929" s="4"/>
      <c r="T1929" s="4"/>
      <c r="U1929" s="4"/>
      <c r="V1929" s="4"/>
      <c r="W1929" s="13"/>
      <c r="X1929" s="13"/>
    </row>
    <row r="1930">
      <c r="A1930" s="4"/>
      <c r="B1930" s="4"/>
      <c r="C1930" s="4"/>
      <c r="D1930" s="4"/>
      <c r="E1930" s="4"/>
      <c r="F1930" s="4"/>
      <c r="G1930" s="13"/>
      <c r="H1930" s="13"/>
      <c r="I1930" s="13"/>
      <c r="J1930" s="4"/>
      <c r="K1930" s="4"/>
      <c r="L1930" s="4"/>
      <c r="M1930" s="4"/>
      <c r="Q1930" s="4"/>
      <c r="R1930" s="4"/>
      <c r="S1930" s="4"/>
      <c r="T1930" s="4"/>
      <c r="U1930" s="4"/>
      <c r="V1930" s="4"/>
      <c r="W1930" s="13"/>
      <c r="X1930" s="13"/>
    </row>
    <row r="1931">
      <c r="A1931" s="4"/>
      <c r="B1931" s="4"/>
      <c r="C1931" s="4"/>
      <c r="D1931" s="4"/>
      <c r="E1931" s="4"/>
      <c r="F1931" s="4"/>
      <c r="G1931" s="13"/>
      <c r="H1931" s="13"/>
      <c r="I1931" s="13"/>
      <c r="J1931" s="4"/>
      <c r="K1931" s="4"/>
      <c r="L1931" s="4"/>
      <c r="M1931" s="4"/>
      <c r="Q1931" s="4"/>
      <c r="R1931" s="4"/>
      <c r="S1931" s="4"/>
      <c r="T1931" s="4"/>
      <c r="U1931" s="4"/>
      <c r="V1931" s="4"/>
      <c r="W1931" s="13"/>
      <c r="X1931" s="13"/>
    </row>
    <row r="1932">
      <c r="A1932" s="4"/>
      <c r="B1932" s="4"/>
      <c r="C1932" s="4"/>
      <c r="D1932" s="4"/>
      <c r="E1932" s="4"/>
      <c r="F1932" s="4"/>
      <c r="G1932" s="13"/>
      <c r="H1932" s="13"/>
      <c r="I1932" s="13"/>
      <c r="J1932" s="4"/>
      <c r="K1932" s="4"/>
      <c r="L1932" s="4"/>
      <c r="M1932" s="4"/>
      <c r="Q1932" s="4"/>
      <c r="R1932" s="4"/>
      <c r="S1932" s="4"/>
      <c r="T1932" s="4"/>
      <c r="U1932" s="4"/>
      <c r="V1932" s="4"/>
      <c r="W1932" s="13"/>
      <c r="X1932" s="13"/>
    </row>
    <row r="1933">
      <c r="A1933" s="4"/>
      <c r="B1933" s="4"/>
      <c r="C1933" s="4"/>
      <c r="D1933" s="4"/>
      <c r="E1933" s="4"/>
      <c r="F1933" s="4"/>
      <c r="G1933" s="13"/>
      <c r="H1933" s="13"/>
      <c r="I1933" s="13"/>
      <c r="J1933" s="4"/>
      <c r="K1933" s="4"/>
      <c r="L1933" s="4"/>
      <c r="M1933" s="4"/>
      <c r="Q1933" s="4"/>
      <c r="R1933" s="4"/>
      <c r="S1933" s="4"/>
      <c r="T1933" s="4"/>
      <c r="U1933" s="4"/>
      <c r="V1933" s="4"/>
      <c r="W1933" s="13"/>
      <c r="X1933" s="13"/>
    </row>
    <row r="1934">
      <c r="A1934" s="4"/>
      <c r="B1934" s="4"/>
      <c r="C1934" s="4"/>
      <c r="D1934" s="4"/>
      <c r="E1934" s="4"/>
      <c r="F1934" s="4"/>
      <c r="G1934" s="13"/>
      <c r="H1934" s="13"/>
      <c r="I1934" s="13"/>
      <c r="J1934" s="4"/>
      <c r="K1934" s="4"/>
      <c r="L1934" s="4"/>
      <c r="M1934" s="4"/>
      <c r="Q1934" s="4"/>
      <c r="R1934" s="4"/>
      <c r="S1934" s="4"/>
      <c r="T1934" s="4"/>
      <c r="U1934" s="4"/>
      <c r="V1934" s="4"/>
      <c r="W1934" s="13"/>
      <c r="X1934" s="13"/>
    </row>
    <row r="1935">
      <c r="A1935" s="4"/>
      <c r="B1935" s="4"/>
      <c r="C1935" s="4"/>
      <c r="D1935" s="4"/>
      <c r="E1935" s="4"/>
      <c r="F1935" s="4"/>
      <c r="G1935" s="13"/>
      <c r="H1935" s="13"/>
      <c r="I1935" s="13"/>
      <c r="J1935" s="4"/>
      <c r="K1935" s="4"/>
      <c r="L1935" s="4"/>
      <c r="M1935" s="4"/>
      <c r="Q1935" s="4"/>
      <c r="R1935" s="4"/>
      <c r="S1935" s="4"/>
      <c r="T1935" s="4"/>
      <c r="U1935" s="4"/>
      <c r="V1935" s="4"/>
      <c r="W1935" s="13"/>
      <c r="X1935" s="13"/>
    </row>
    <row r="1936">
      <c r="A1936" s="4"/>
      <c r="B1936" s="4"/>
      <c r="C1936" s="4"/>
      <c r="D1936" s="4"/>
      <c r="E1936" s="4"/>
      <c r="F1936" s="4"/>
      <c r="G1936" s="13"/>
      <c r="H1936" s="13"/>
      <c r="I1936" s="13"/>
      <c r="J1936" s="4"/>
      <c r="K1936" s="4"/>
      <c r="L1936" s="4"/>
      <c r="M1936" s="4"/>
      <c r="Q1936" s="4"/>
      <c r="R1936" s="4"/>
      <c r="S1936" s="4"/>
      <c r="T1936" s="4"/>
      <c r="U1936" s="4"/>
      <c r="V1936" s="4"/>
      <c r="W1936" s="13"/>
      <c r="X1936" s="13"/>
    </row>
    <row r="1937">
      <c r="A1937" s="4"/>
      <c r="B1937" s="4"/>
      <c r="C1937" s="4"/>
      <c r="D1937" s="4"/>
      <c r="E1937" s="4"/>
      <c r="F1937" s="4"/>
      <c r="G1937" s="13"/>
      <c r="H1937" s="13"/>
      <c r="I1937" s="13"/>
      <c r="J1937" s="4"/>
      <c r="K1937" s="4"/>
      <c r="L1937" s="4"/>
      <c r="M1937" s="4"/>
      <c r="Q1937" s="4"/>
      <c r="R1937" s="4"/>
      <c r="S1937" s="4"/>
      <c r="T1937" s="4"/>
      <c r="U1937" s="4"/>
      <c r="V1937" s="4"/>
      <c r="W1937" s="13"/>
    </row>
    <row r="1938">
      <c r="A1938" s="4"/>
      <c r="B1938" s="4"/>
      <c r="C1938" s="4"/>
      <c r="D1938" s="4"/>
      <c r="E1938" s="4"/>
      <c r="F1938" s="4"/>
      <c r="G1938" s="13"/>
      <c r="J1938" s="4"/>
      <c r="K1938" s="4"/>
      <c r="L1938" s="4"/>
      <c r="M1938" s="4"/>
      <c r="Q1938" s="4"/>
      <c r="R1938" s="4"/>
      <c r="S1938" s="4"/>
      <c r="T1938" s="4"/>
      <c r="U1938" s="4"/>
      <c r="V1938" s="4"/>
      <c r="W1938" s="13"/>
    </row>
    <row r="1939">
      <c r="A1939" s="4"/>
      <c r="B1939" s="4"/>
      <c r="C1939" s="4"/>
      <c r="D1939" s="4"/>
      <c r="E1939" s="4"/>
      <c r="F1939" s="4"/>
      <c r="G1939" s="13"/>
      <c r="H1939" s="13"/>
      <c r="I1939" s="13"/>
      <c r="J1939" s="4"/>
      <c r="K1939" s="4"/>
      <c r="L1939" s="4"/>
      <c r="M1939" s="4"/>
      <c r="Q1939" s="4"/>
      <c r="R1939" s="4"/>
      <c r="S1939" s="4"/>
      <c r="T1939" s="4"/>
      <c r="U1939" s="4"/>
      <c r="V1939" s="4"/>
      <c r="W1939" s="13"/>
      <c r="X1939" s="13"/>
    </row>
    <row r="1940">
      <c r="A1940" s="4"/>
      <c r="B1940" s="4"/>
      <c r="C1940" s="4"/>
      <c r="D1940" s="4"/>
      <c r="E1940" s="4"/>
      <c r="F1940" s="4"/>
      <c r="G1940" s="13"/>
      <c r="J1940" s="4"/>
      <c r="K1940" s="4"/>
      <c r="L1940" s="4"/>
      <c r="M1940" s="4"/>
      <c r="Q1940" s="4"/>
      <c r="R1940" s="4"/>
      <c r="S1940" s="4"/>
      <c r="T1940" s="4"/>
      <c r="U1940" s="4"/>
      <c r="V1940" s="4"/>
      <c r="W1940" s="13"/>
    </row>
    <row r="1941">
      <c r="A1941" s="4"/>
      <c r="B1941" s="4"/>
      <c r="C1941" s="4"/>
      <c r="D1941" s="4"/>
      <c r="E1941" s="4"/>
      <c r="F1941" s="4"/>
      <c r="G1941" s="13"/>
      <c r="J1941" s="4"/>
      <c r="K1941" s="4"/>
      <c r="L1941" s="4"/>
      <c r="M1941" s="4"/>
      <c r="Q1941" s="4"/>
      <c r="R1941" s="4"/>
      <c r="S1941" s="4"/>
      <c r="T1941" s="4"/>
      <c r="U1941" s="4"/>
      <c r="V1941" s="4"/>
      <c r="W1941" s="13"/>
    </row>
    <row r="1942">
      <c r="A1942" s="4"/>
      <c r="B1942" s="4"/>
      <c r="C1942" s="4"/>
      <c r="D1942" s="4"/>
      <c r="E1942" s="4"/>
      <c r="F1942" s="4"/>
      <c r="G1942" s="13"/>
      <c r="H1942" s="13"/>
      <c r="I1942" s="13"/>
      <c r="J1942" s="4"/>
      <c r="K1942" s="4"/>
      <c r="L1942" s="4"/>
      <c r="M1942" s="4"/>
      <c r="Q1942" s="4"/>
      <c r="R1942" s="4"/>
      <c r="S1942" s="4"/>
      <c r="T1942" s="4"/>
      <c r="U1942" s="4"/>
      <c r="V1942" s="4"/>
      <c r="W1942" s="13"/>
    </row>
    <row r="1943">
      <c r="A1943" s="4"/>
      <c r="B1943" s="4"/>
      <c r="C1943" s="4"/>
      <c r="D1943" s="4"/>
      <c r="E1943" s="4"/>
      <c r="F1943" s="4"/>
      <c r="G1943" s="13"/>
      <c r="H1943" s="13"/>
      <c r="I1943" s="13"/>
      <c r="J1943" s="4"/>
      <c r="K1943" s="4"/>
      <c r="L1943" s="4"/>
      <c r="M1943" s="4"/>
      <c r="Q1943" s="4"/>
      <c r="R1943" s="4"/>
      <c r="S1943" s="4"/>
      <c r="T1943" s="4"/>
      <c r="U1943" s="4"/>
      <c r="V1943" s="4"/>
      <c r="W1943" s="13"/>
      <c r="X1943" s="13"/>
    </row>
    <row r="1944">
      <c r="A1944" s="4"/>
      <c r="B1944" s="4"/>
      <c r="C1944" s="4"/>
      <c r="D1944" s="4"/>
      <c r="E1944" s="4"/>
      <c r="F1944" s="4"/>
      <c r="G1944" s="13"/>
      <c r="H1944" s="13"/>
      <c r="I1944" s="13"/>
      <c r="J1944" s="4"/>
      <c r="K1944" s="4"/>
      <c r="L1944" s="4"/>
      <c r="M1944" s="4"/>
      <c r="Q1944" s="4"/>
      <c r="R1944" s="4"/>
      <c r="S1944" s="4"/>
      <c r="T1944" s="4"/>
      <c r="U1944" s="4"/>
      <c r="V1944" s="4"/>
      <c r="W1944" s="13"/>
      <c r="X1944" s="13"/>
    </row>
    <row r="1945">
      <c r="A1945" s="4"/>
      <c r="B1945" s="4"/>
      <c r="C1945" s="4"/>
      <c r="D1945" s="4"/>
      <c r="E1945" s="4"/>
      <c r="F1945" s="4"/>
      <c r="G1945" s="13"/>
      <c r="H1945" s="13"/>
      <c r="I1945" s="13"/>
      <c r="J1945" s="4"/>
      <c r="K1945" s="4"/>
      <c r="L1945" s="4"/>
      <c r="M1945" s="4"/>
      <c r="Q1945" s="4"/>
      <c r="R1945" s="4"/>
      <c r="S1945" s="4"/>
      <c r="T1945" s="4"/>
      <c r="U1945" s="4"/>
      <c r="V1945" s="4"/>
      <c r="W1945" s="13"/>
      <c r="X1945" s="13"/>
    </row>
    <row r="1946">
      <c r="A1946" s="4"/>
      <c r="B1946" s="4"/>
      <c r="C1946" s="4"/>
      <c r="D1946" s="4"/>
      <c r="E1946" s="4"/>
      <c r="F1946" s="4"/>
      <c r="G1946" s="13"/>
      <c r="H1946" s="13"/>
      <c r="I1946" s="13"/>
      <c r="J1946" s="4"/>
      <c r="K1946" s="4"/>
      <c r="L1946" s="4"/>
      <c r="M1946" s="4"/>
      <c r="Q1946" s="4"/>
      <c r="R1946" s="4"/>
      <c r="S1946" s="4"/>
      <c r="T1946" s="4"/>
      <c r="U1946" s="4"/>
      <c r="V1946" s="4"/>
      <c r="W1946" s="13"/>
    </row>
    <row r="1947">
      <c r="A1947" s="4"/>
      <c r="B1947" s="4"/>
      <c r="C1947" s="4"/>
      <c r="D1947" s="4"/>
      <c r="E1947" s="4"/>
      <c r="F1947" s="4"/>
      <c r="G1947" s="13"/>
      <c r="H1947" s="13"/>
      <c r="I1947" s="13"/>
      <c r="J1947" s="4"/>
      <c r="K1947" s="4"/>
      <c r="L1947" s="4"/>
      <c r="M1947" s="4"/>
      <c r="Q1947" s="4"/>
      <c r="R1947" s="4"/>
      <c r="S1947" s="4"/>
      <c r="T1947" s="4"/>
      <c r="U1947" s="4"/>
      <c r="V1947" s="4"/>
      <c r="W1947" s="13"/>
      <c r="X1947" s="13"/>
    </row>
    <row r="1948">
      <c r="A1948" s="4"/>
      <c r="B1948" s="4"/>
      <c r="C1948" s="4"/>
      <c r="D1948" s="4"/>
      <c r="E1948" s="4"/>
      <c r="F1948" s="4"/>
      <c r="G1948" s="13"/>
      <c r="H1948" s="13"/>
      <c r="I1948" s="13"/>
      <c r="J1948" s="4"/>
      <c r="K1948" s="4"/>
      <c r="L1948" s="4"/>
      <c r="M1948" s="4"/>
      <c r="Q1948" s="4"/>
      <c r="R1948" s="4"/>
      <c r="S1948" s="4"/>
      <c r="T1948" s="4"/>
      <c r="U1948" s="4"/>
      <c r="V1948" s="4"/>
      <c r="W1948" s="13"/>
    </row>
    <row r="1949">
      <c r="A1949" s="4"/>
      <c r="B1949" s="4"/>
      <c r="C1949" s="4"/>
      <c r="D1949" s="4"/>
      <c r="E1949" s="4"/>
      <c r="F1949" s="4"/>
      <c r="G1949" s="13"/>
      <c r="H1949" s="13"/>
      <c r="I1949" s="13"/>
      <c r="J1949" s="4"/>
      <c r="K1949" s="4"/>
      <c r="L1949" s="4"/>
      <c r="M1949" s="4"/>
      <c r="Q1949" s="4"/>
      <c r="R1949" s="4"/>
      <c r="S1949" s="4"/>
      <c r="T1949" s="4"/>
      <c r="U1949" s="4"/>
      <c r="V1949" s="4"/>
      <c r="W1949" s="13"/>
      <c r="X1949" s="13"/>
    </row>
    <row r="1950">
      <c r="A1950" s="4"/>
      <c r="B1950" s="4"/>
      <c r="C1950" s="4"/>
      <c r="D1950" s="4"/>
      <c r="E1950" s="4"/>
      <c r="F1950" s="4"/>
      <c r="G1950" s="13"/>
      <c r="H1950" s="13"/>
      <c r="I1950" s="13"/>
      <c r="J1950" s="4"/>
      <c r="K1950" s="4"/>
      <c r="L1950" s="4"/>
      <c r="M1950" s="4"/>
      <c r="Q1950" s="4"/>
      <c r="R1950" s="4"/>
      <c r="S1950" s="4"/>
      <c r="T1950" s="4"/>
      <c r="U1950" s="4"/>
      <c r="V1950" s="4"/>
      <c r="W1950" s="13"/>
      <c r="X1950" s="13"/>
    </row>
    <row r="1951">
      <c r="A1951" s="4"/>
      <c r="B1951" s="4"/>
      <c r="C1951" s="4"/>
      <c r="D1951" s="4"/>
      <c r="E1951" s="4"/>
      <c r="F1951" s="4"/>
      <c r="G1951" s="13"/>
      <c r="H1951" s="13"/>
      <c r="I1951" s="13"/>
      <c r="J1951" s="4"/>
      <c r="K1951" s="4"/>
      <c r="L1951" s="4"/>
      <c r="M1951" s="4"/>
      <c r="Q1951" s="4"/>
      <c r="R1951" s="4"/>
      <c r="S1951" s="4"/>
      <c r="T1951" s="4"/>
      <c r="U1951" s="4"/>
      <c r="V1951" s="4"/>
      <c r="W1951" s="13"/>
      <c r="X1951" s="13"/>
    </row>
    <row r="1952">
      <c r="A1952" s="4"/>
      <c r="B1952" s="4"/>
      <c r="C1952" s="4"/>
      <c r="D1952" s="4"/>
      <c r="E1952" s="4"/>
      <c r="F1952" s="4"/>
      <c r="G1952" s="13"/>
      <c r="H1952" s="13"/>
      <c r="I1952" s="13"/>
      <c r="J1952" s="4"/>
      <c r="K1952" s="4"/>
      <c r="L1952" s="4"/>
      <c r="M1952" s="4"/>
      <c r="Q1952" s="4"/>
      <c r="R1952" s="4"/>
      <c r="S1952" s="4"/>
      <c r="T1952" s="4"/>
      <c r="U1952" s="4"/>
      <c r="V1952" s="4"/>
      <c r="W1952" s="13"/>
      <c r="X1952" s="13"/>
    </row>
    <row r="1953">
      <c r="A1953" s="4"/>
      <c r="B1953" s="4"/>
      <c r="C1953" s="4"/>
      <c r="D1953" s="4"/>
      <c r="E1953" s="4"/>
      <c r="F1953" s="4"/>
      <c r="G1953" s="13"/>
      <c r="H1953" s="13"/>
      <c r="I1953" s="13"/>
      <c r="J1953" s="4"/>
      <c r="K1953" s="4"/>
      <c r="L1953" s="4"/>
      <c r="M1953" s="4"/>
      <c r="Q1953" s="4"/>
      <c r="R1953" s="4"/>
      <c r="S1953" s="4"/>
      <c r="T1953" s="4"/>
      <c r="U1953" s="4"/>
      <c r="V1953" s="4"/>
      <c r="W1953" s="13"/>
      <c r="X1953" s="13"/>
    </row>
    <row r="1954">
      <c r="A1954" s="4"/>
      <c r="B1954" s="4"/>
      <c r="C1954" s="4"/>
      <c r="D1954" s="4"/>
      <c r="E1954" s="4"/>
      <c r="F1954" s="4"/>
      <c r="G1954" s="13"/>
      <c r="H1954" s="13"/>
      <c r="I1954" s="13"/>
      <c r="J1954" s="4"/>
      <c r="K1954" s="4"/>
      <c r="L1954" s="4"/>
      <c r="M1954" s="4"/>
      <c r="Q1954" s="4"/>
      <c r="R1954" s="4"/>
      <c r="S1954" s="4"/>
      <c r="T1954" s="4"/>
      <c r="U1954" s="4"/>
      <c r="V1954" s="4"/>
      <c r="W1954" s="13"/>
      <c r="X1954" s="13"/>
    </row>
    <row r="1955">
      <c r="A1955" s="4"/>
      <c r="B1955" s="4"/>
      <c r="C1955" s="4"/>
      <c r="D1955" s="4"/>
      <c r="E1955" s="4"/>
      <c r="F1955" s="4"/>
      <c r="G1955" s="13"/>
      <c r="H1955" s="13"/>
      <c r="I1955" s="13"/>
      <c r="J1955" s="4"/>
      <c r="K1955" s="4"/>
      <c r="L1955" s="4"/>
      <c r="M1955" s="4"/>
      <c r="Q1955" s="4"/>
      <c r="R1955" s="4"/>
      <c r="S1955" s="4"/>
      <c r="T1955" s="4"/>
      <c r="U1955" s="4"/>
      <c r="V1955" s="4"/>
      <c r="W1955" s="13"/>
      <c r="X1955" s="13"/>
    </row>
    <row r="1956">
      <c r="A1956" s="4"/>
      <c r="B1956" s="4"/>
      <c r="C1956" s="4"/>
      <c r="D1956" s="4"/>
      <c r="E1956" s="4"/>
      <c r="F1956" s="4"/>
      <c r="G1956" s="13"/>
      <c r="H1956" s="13"/>
      <c r="I1956" s="13"/>
      <c r="J1956" s="4"/>
      <c r="K1956" s="4"/>
      <c r="L1956" s="4"/>
      <c r="M1956" s="4"/>
      <c r="Q1956" s="4"/>
      <c r="R1956" s="4"/>
      <c r="S1956" s="4"/>
      <c r="T1956" s="4"/>
      <c r="U1956" s="4"/>
      <c r="V1956" s="4"/>
      <c r="W1956" s="13"/>
      <c r="X1956" s="13"/>
    </row>
    <row r="1957">
      <c r="A1957" s="4"/>
      <c r="B1957" s="4"/>
      <c r="C1957" s="4"/>
      <c r="D1957" s="4"/>
      <c r="E1957" s="4"/>
      <c r="F1957" s="4"/>
      <c r="G1957" s="13"/>
      <c r="H1957" s="13"/>
      <c r="I1957" s="13"/>
      <c r="J1957" s="4"/>
      <c r="K1957" s="4"/>
      <c r="L1957" s="4"/>
      <c r="M1957" s="4"/>
      <c r="Q1957" s="4"/>
      <c r="R1957" s="4"/>
      <c r="S1957" s="4"/>
      <c r="T1957" s="4"/>
      <c r="U1957" s="4"/>
      <c r="V1957" s="4"/>
      <c r="W1957" s="13"/>
      <c r="X1957" s="13"/>
    </row>
    <row r="1958">
      <c r="A1958" s="4"/>
      <c r="B1958" s="4"/>
      <c r="C1958" s="4"/>
      <c r="D1958" s="4"/>
      <c r="E1958" s="4"/>
      <c r="F1958" s="4"/>
      <c r="G1958" s="13"/>
      <c r="H1958" s="13"/>
      <c r="I1958" s="13"/>
      <c r="J1958" s="4"/>
      <c r="K1958" s="4"/>
      <c r="L1958" s="4"/>
      <c r="M1958" s="4"/>
      <c r="Q1958" s="4"/>
      <c r="R1958" s="4"/>
      <c r="S1958" s="4"/>
      <c r="T1958" s="4"/>
      <c r="U1958" s="4"/>
      <c r="V1958" s="4"/>
      <c r="W1958" s="13"/>
      <c r="X1958" s="13"/>
    </row>
    <row r="1959">
      <c r="A1959" s="4"/>
      <c r="B1959" s="4"/>
      <c r="C1959" s="4"/>
      <c r="D1959" s="4"/>
      <c r="E1959" s="4"/>
      <c r="F1959" s="4"/>
      <c r="G1959" s="13"/>
      <c r="H1959" s="13"/>
      <c r="I1959" s="13"/>
      <c r="J1959" s="4"/>
      <c r="K1959" s="4"/>
      <c r="L1959" s="4"/>
      <c r="M1959" s="4"/>
      <c r="Q1959" s="4"/>
      <c r="R1959" s="4"/>
      <c r="S1959" s="4"/>
      <c r="T1959" s="4"/>
      <c r="U1959" s="4"/>
      <c r="V1959" s="4"/>
      <c r="W1959" s="13"/>
      <c r="X1959" s="13"/>
    </row>
    <row r="1960">
      <c r="A1960" s="4"/>
      <c r="B1960" s="4"/>
      <c r="C1960" s="4"/>
      <c r="D1960" s="4"/>
      <c r="E1960" s="4"/>
      <c r="F1960" s="4"/>
      <c r="G1960" s="13"/>
      <c r="H1960" s="13"/>
      <c r="I1960" s="13"/>
      <c r="J1960" s="4"/>
      <c r="K1960" s="4"/>
      <c r="L1960" s="4"/>
      <c r="M1960" s="4"/>
      <c r="Q1960" s="4"/>
      <c r="R1960" s="4"/>
      <c r="S1960" s="4"/>
      <c r="T1960" s="4"/>
      <c r="U1960" s="4"/>
      <c r="V1960" s="4"/>
      <c r="W1960" s="13"/>
      <c r="X1960" s="13"/>
    </row>
    <row r="1961">
      <c r="A1961" s="4"/>
      <c r="B1961" s="4"/>
      <c r="C1961" s="4"/>
      <c r="D1961" s="4"/>
      <c r="E1961" s="4"/>
      <c r="F1961" s="4"/>
      <c r="G1961" s="13"/>
      <c r="H1961" s="13"/>
      <c r="I1961" s="13"/>
      <c r="J1961" s="4"/>
      <c r="K1961" s="4"/>
      <c r="L1961" s="4"/>
      <c r="M1961" s="4"/>
      <c r="Q1961" s="4"/>
      <c r="R1961" s="4"/>
      <c r="S1961" s="4"/>
      <c r="T1961" s="4"/>
      <c r="U1961" s="4"/>
      <c r="V1961" s="4"/>
      <c r="W1961" s="13"/>
      <c r="X1961" s="13"/>
    </row>
    <row r="1962">
      <c r="A1962" s="4"/>
      <c r="B1962" s="4"/>
      <c r="C1962" s="4"/>
      <c r="D1962" s="4"/>
      <c r="E1962" s="4"/>
      <c r="F1962" s="4"/>
      <c r="G1962" s="13"/>
      <c r="H1962" s="13"/>
      <c r="I1962" s="13"/>
      <c r="J1962" s="4"/>
      <c r="K1962" s="4"/>
      <c r="L1962" s="4"/>
      <c r="M1962" s="4"/>
      <c r="Q1962" s="4"/>
      <c r="R1962" s="4"/>
      <c r="S1962" s="4"/>
      <c r="T1962" s="4"/>
      <c r="U1962" s="4"/>
      <c r="V1962" s="4"/>
      <c r="W1962" s="13"/>
      <c r="X1962" s="13"/>
    </row>
    <row r="1963">
      <c r="A1963" s="4"/>
      <c r="B1963" s="4"/>
      <c r="C1963" s="4"/>
      <c r="D1963" s="4"/>
      <c r="E1963" s="4"/>
      <c r="F1963" s="4"/>
      <c r="G1963" s="13"/>
      <c r="H1963" s="13"/>
      <c r="I1963" s="13"/>
      <c r="J1963" s="4"/>
      <c r="K1963" s="4"/>
      <c r="L1963" s="4"/>
      <c r="M1963" s="4"/>
      <c r="Q1963" s="4"/>
      <c r="R1963" s="4"/>
      <c r="S1963" s="4"/>
      <c r="T1963" s="4"/>
      <c r="U1963" s="4"/>
      <c r="V1963" s="4"/>
      <c r="W1963" s="13"/>
      <c r="X1963" s="13"/>
    </row>
    <row r="1964">
      <c r="A1964" s="4"/>
      <c r="B1964" s="4"/>
      <c r="C1964" s="4"/>
      <c r="D1964" s="4"/>
      <c r="E1964" s="4"/>
      <c r="F1964" s="4"/>
      <c r="G1964" s="13"/>
      <c r="J1964" s="4"/>
      <c r="K1964" s="4"/>
      <c r="L1964" s="4"/>
      <c r="M1964" s="4"/>
      <c r="Q1964" s="4"/>
      <c r="R1964" s="4"/>
      <c r="S1964" s="4"/>
      <c r="T1964" s="4"/>
      <c r="U1964" s="4"/>
      <c r="V1964" s="4"/>
      <c r="W1964" s="13"/>
    </row>
    <row r="1965">
      <c r="A1965" s="4"/>
      <c r="B1965" s="4"/>
      <c r="C1965" s="4"/>
      <c r="D1965" s="4"/>
      <c r="E1965" s="4"/>
      <c r="F1965" s="4"/>
      <c r="G1965" s="13"/>
      <c r="J1965" s="4"/>
      <c r="K1965" s="4"/>
      <c r="L1965" s="4"/>
      <c r="M1965" s="4"/>
      <c r="Q1965" s="4"/>
      <c r="R1965" s="4"/>
      <c r="S1965" s="4"/>
      <c r="T1965" s="4"/>
      <c r="U1965" s="4"/>
      <c r="V1965" s="4"/>
      <c r="W1965" s="13"/>
    </row>
    <row r="1966">
      <c r="A1966" s="4"/>
      <c r="B1966" s="4"/>
      <c r="C1966" s="4"/>
      <c r="D1966" s="4"/>
      <c r="E1966" s="4"/>
      <c r="F1966" s="4"/>
      <c r="G1966" s="13"/>
      <c r="J1966" s="4"/>
      <c r="K1966" s="4"/>
      <c r="L1966" s="4"/>
      <c r="M1966" s="4"/>
      <c r="Q1966" s="4"/>
      <c r="R1966" s="4"/>
      <c r="S1966" s="4"/>
      <c r="T1966" s="4"/>
      <c r="U1966" s="4"/>
      <c r="V1966" s="4"/>
      <c r="W1966" s="13"/>
    </row>
    <row r="1967">
      <c r="A1967" s="4"/>
      <c r="B1967" s="4"/>
      <c r="C1967" s="4"/>
      <c r="D1967" s="4"/>
      <c r="E1967" s="4"/>
      <c r="F1967" s="4"/>
      <c r="G1967" s="13"/>
      <c r="J1967" s="4"/>
      <c r="K1967" s="4"/>
      <c r="L1967" s="4"/>
      <c r="M1967" s="4"/>
      <c r="Q1967" s="4"/>
      <c r="R1967" s="4"/>
      <c r="S1967" s="4"/>
      <c r="T1967" s="4"/>
      <c r="U1967" s="4"/>
      <c r="V1967" s="4"/>
      <c r="W1967" s="13"/>
    </row>
    <row r="1968">
      <c r="A1968" s="4"/>
      <c r="B1968" s="4"/>
      <c r="C1968" s="4"/>
      <c r="D1968" s="4"/>
      <c r="E1968" s="4"/>
      <c r="F1968" s="4"/>
      <c r="G1968" s="13"/>
      <c r="J1968" s="4"/>
      <c r="K1968" s="4"/>
      <c r="L1968" s="4"/>
      <c r="M1968" s="4"/>
      <c r="Q1968" s="4"/>
      <c r="R1968" s="4"/>
      <c r="S1968" s="4"/>
      <c r="T1968" s="4"/>
      <c r="U1968" s="4"/>
      <c r="V1968" s="4"/>
      <c r="W1968" s="13"/>
    </row>
    <row r="1969">
      <c r="A1969" s="4"/>
      <c r="B1969" s="4"/>
      <c r="C1969" s="4"/>
      <c r="D1969" s="4"/>
      <c r="E1969" s="4"/>
      <c r="F1969" s="4"/>
      <c r="G1969" s="13"/>
      <c r="J1969" s="4"/>
      <c r="K1969" s="4"/>
      <c r="L1969" s="4"/>
      <c r="M1969" s="4"/>
      <c r="Q1969" s="4"/>
      <c r="R1969" s="4"/>
      <c r="S1969" s="4"/>
      <c r="T1969" s="4"/>
      <c r="U1969" s="4"/>
      <c r="V1969" s="4"/>
      <c r="W1969" s="13"/>
    </row>
    <row r="1970">
      <c r="A1970" s="4"/>
      <c r="B1970" s="4"/>
      <c r="C1970" s="4"/>
      <c r="D1970" s="4"/>
      <c r="E1970" s="4"/>
      <c r="F1970" s="4"/>
      <c r="G1970" s="13"/>
      <c r="J1970" s="4"/>
      <c r="K1970" s="4"/>
      <c r="L1970" s="4"/>
      <c r="M1970" s="4"/>
      <c r="Q1970" s="4"/>
      <c r="R1970" s="4"/>
      <c r="S1970" s="4"/>
      <c r="T1970" s="4"/>
      <c r="U1970" s="4"/>
      <c r="V1970" s="4"/>
      <c r="W1970" s="13"/>
    </row>
    <row r="1971">
      <c r="A1971" s="4"/>
      <c r="B1971" s="4"/>
      <c r="C1971" s="4"/>
      <c r="D1971" s="4"/>
      <c r="E1971" s="4"/>
      <c r="F1971" s="4"/>
      <c r="G1971" s="13"/>
      <c r="J1971" s="4"/>
      <c r="K1971" s="4"/>
      <c r="L1971" s="4"/>
      <c r="M1971" s="4"/>
      <c r="Q1971" s="4"/>
      <c r="R1971" s="4"/>
      <c r="S1971" s="4"/>
      <c r="T1971" s="4"/>
      <c r="U1971" s="4"/>
      <c r="V1971" s="4"/>
      <c r="W1971" s="13"/>
    </row>
    <row r="1972">
      <c r="A1972" s="4"/>
      <c r="B1972" s="4"/>
      <c r="C1972" s="4"/>
      <c r="D1972" s="4"/>
      <c r="E1972" s="4"/>
      <c r="F1972" s="4"/>
      <c r="G1972" s="13"/>
      <c r="J1972" s="4"/>
      <c r="K1972" s="4"/>
      <c r="L1972" s="4"/>
      <c r="M1972" s="4"/>
      <c r="Q1972" s="4"/>
      <c r="R1972" s="4"/>
      <c r="S1972" s="4"/>
      <c r="T1972" s="4"/>
      <c r="U1972" s="4"/>
      <c r="V1972" s="4"/>
      <c r="W1972" s="13"/>
    </row>
    <row r="1973">
      <c r="A1973" s="4"/>
      <c r="B1973" s="4"/>
      <c r="C1973" s="4"/>
      <c r="D1973" s="4"/>
      <c r="E1973" s="4"/>
      <c r="F1973" s="4"/>
      <c r="G1973" s="13"/>
      <c r="J1973" s="4"/>
      <c r="K1973" s="4"/>
      <c r="L1973" s="4"/>
      <c r="M1973" s="4"/>
      <c r="Q1973" s="4"/>
      <c r="R1973" s="4"/>
      <c r="S1973" s="4"/>
      <c r="T1973" s="4"/>
      <c r="U1973" s="4"/>
      <c r="V1973" s="4"/>
      <c r="W1973" s="13"/>
    </row>
    <row r="1974">
      <c r="A1974" s="4"/>
      <c r="B1974" s="4"/>
      <c r="C1974" s="4"/>
      <c r="D1974" s="4"/>
      <c r="E1974" s="4"/>
      <c r="F1974" s="4"/>
      <c r="G1974" s="13"/>
      <c r="H1974" s="13"/>
      <c r="I1974" s="13"/>
      <c r="J1974" s="4"/>
      <c r="K1974" s="4"/>
      <c r="L1974" s="4"/>
      <c r="M1974" s="4"/>
      <c r="Q1974" s="4"/>
      <c r="R1974" s="4"/>
      <c r="S1974" s="4"/>
      <c r="T1974" s="4"/>
      <c r="U1974" s="4"/>
      <c r="V1974" s="4"/>
      <c r="W1974" s="13"/>
    </row>
    <row r="1975">
      <c r="A1975" s="4"/>
      <c r="B1975" s="4"/>
      <c r="C1975" s="4"/>
      <c r="D1975" s="4"/>
      <c r="E1975" s="4"/>
      <c r="F1975" s="4"/>
      <c r="G1975" s="13"/>
      <c r="H1975" s="13"/>
      <c r="I1975" s="13"/>
      <c r="J1975" s="4"/>
      <c r="K1975" s="4"/>
      <c r="L1975" s="4"/>
      <c r="M1975" s="4"/>
      <c r="Q1975" s="4"/>
      <c r="R1975" s="4"/>
      <c r="S1975" s="4"/>
      <c r="T1975" s="4"/>
      <c r="U1975" s="4"/>
      <c r="V1975" s="4"/>
      <c r="W1975" s="13"/>
    </row>
    <row r="1976">
      <c r="A1976" s="4"/>
      <c r="B1976" s="4"/>
      <c r="C1976" s="4"/>
      <c r="D1976" s="4"/>
      <c r="E1976" s="4"/>
      <c r="F1976" s="4"/>
      <c r="G1976" s="13"/>
      <c r="H1976" s="13"/>
      <c r="I1976" s="13"/>
      <c r="J1976" s="4"/>
      <c r="K1976" s="4"/>
      <c r="L1976" s="4"/>
      <c r="M1976" s="4"/>
      <c r="Q1976" s="4"/>
      <c r="R1976" s="4"/>
      <c r="S1976" s="4"/>
      <c r="T1976" s="4"/>
      <c r="U1976" s="4"/>
      <c r="V1976" s="4"/>
      <c r="W1976" s="13"/>
      <c r="X1976" s="13"/>
    </row>
    <row r="1977">
      <c r="A1977" s="4"/>
      <c r="B1977" s="4"/>
      <c r="C1977" s="4"/>
      <c r="D1977" s="4"/>
      <c r="E1977" s="4"/>
      <c r="F1977" s="4"/>
      <c r="G1977" s="13"/>
      <c r="H1977" s="13"/>
      <c r="I1977" s="13"/>
      <c r="J1977" s="4"/>
      <c r="K1977" s="4"/>
      <c r="L1977" s="4"/>
      <c r="M1977" s="4"/>
      <c r="Q1977" s="4"/>
      <c r="R1977" s="4"/>
      <c r="S1977" s="4"/>
      <c r="T1977" s="4"/>
      <c r="U1977" s="4"/>
      <c r="V1977" s="4"/>
      <c r="W1977" s="13"/>
    </row>
    <row r="1978">
      <c r="A1978" s="4"/>
      <c r="B1978" s="4"/>
      <c r="C1978" s="4"/>
      <c r="D1978" s="4"/>
      <c r="E1978" s="4"/>
      <c r="F1978" s="4"/>
      <c r="G1978" s="13"/>
      <c r="H1978" s="13"/>
      <c r="I1978" s="13"/>
      <c r="J1978" s="4"/>
      <c r="K1978" s="4"/>
      <c r="L1978" s="4"/>
      <c r="M1978" s="4"/>
      <c r="Q1978" s="4"/>
      <c r="R1978" s="4"/>
      <c r="S1978" s="4"/>
      <c r="T1978" s="4"/>
      <c r="U1978" s="4"/>
      <c r="V1978" s="4"/>
      <c r="W1978" s="13"/>
    </row>
    <row r="1979">
      <c r="A1979" s="4"/>
      <c r="B1979" s="4"/>
      <c r="C1979" s="4"/>
      <c r="D1979" s="4"/>
      <c r="E1979" s="4"/>
      <c r="F1979" s="4"/>
      <c r="G1979" s="13"/>
      <c r="H1979" s="13"/>
      <c r="I1979" s="13"/>
      <c r="J1979" s="4"/>
      <c r="K1979" s="4"/>
      <c r="L1979" s="4"/>
      <c r="M1979" s="4"/>
      <c r="Q1979" s="4"/>
      <c r="R1979" s="4"/>
      <c r="S1979" s="4"/>
      <c r="T1979" s="4"/>
      <c r="U1979" s="4"/>
      <c r="V1979" s="4"/>
      <c r="W1979" s="13"/>
    </row>
    <row r="1980">
      <c r="A1980" s="4"/>
      <c r="B1980" s="4"/>
      <c r="C1980" s="4"/>
      <c r="D1980" s="4"/>
      <c r="E1980" s="4"/>
      <c r="F1980" s="4"/>
      <c r="G1980" s="13"/>
      <c r="H1980" s="13"/>
      <c r="I1980" s="13"/>
      <c r="J1980" s="4"/>
      <c r="K1980" s="4"/>
      <c r="L1980" s="4"/>
      <c r="M1980" s="4"/>
      <c r="Q1980" s="4"/>
      <c r="R1980" s="4"/>
      <c r="S1980" s="4"/>
      <c r="T1980" s="4"/>
      <c r="U1980" s="4"/>
      <c r="V1980" s="4"/>
      <c r="W1980" s="13"/>
      <c r="X1980" s="13"/>
    </row>
    <row r="1981">
      <c r="A1981" s="4"/>
      <c r="B1981" s="4"/>
      <c r="C1981" s="4"/>
      <c r="D1981" s="4"/>
      <c r="E1981" s="4"/>
      <c r="F1981" s="4"/>
      <c r="G1981" s="13"/>
      <c r="H1981" s="13"/>
      <c r="I1981" s="13"/>
      <c r="J1981" s="4"/>
      <c r="K1981" s="4"/>
      <c r="L1981" s="4"/>
      <c r="M1981" s="4"/>
      <c r="Q1981" s="4"/>
      <c r="R1981" s="4"/>
      <c r="S1981" s="4"/>
      <c r="T1981" s="4"/>
      <c r="U1981" s="4"/>
      <c r="V1981" s="4"/>
      <c r="W1981" s="13"/>
      <c r="X1981" s="13"/>
    </row>
    <row r="1982">
      <c r="A1982" s="4"/>
      <c r="B1982" s="4"/>
      <c r="C1982" s="4"/>
      <c r="D1982" s="4"/>
      <c r="E1982" s="4"/>
      <c r="F1982" s="4"/>
      <c r="G1982" s="13"/>
      <c r="H1982" s="13"/>
      <c r="I1982" s="13"/>
      <c r="J1982" s="4"/>
      <c r="K1982" s="4"/>
      <c r="L1982" s="4"/>
      <c r="M1982" s="4"/>
      <c r="Q1982" s="4"/>
      <c r="R1982" s="4"/>
      <c r="S1982" s="4"/>
      <c r="T1982" s="4"/>
      <c r="U1982" s="4"/>
      <c r="V1982" s="4"/>
      <c r="W1982" s="13"/>
      <c r="X1982" s="13"/>
    </row>
    <row r="1983">
      <c r="A1983" s="4"/>
      <c r="B1983" s="4"/>
      <c r="C1983" s="4"/>
      <c r="D1983" s="4"/>
      <c r="E1983" s="4"/>
      <c r="F1983" s="4"/>
      <c r="G1983" s="13"/>
      <c r="H1983" s="13"/>
      <c r="I1983" s="13"/>
      <c r="J1983" s="4"/>
      <c r="K1983" s="4"/>
      <c r="L1983" s="4"/>
      <c r="M1983" s="4"/>
      <c r="Q1983" s="4"/>
      <c r="R1983" s="4"/>
      <c r="S1983" s="4"/>
      <c r="T1983" s="4"/>
      <c r="U1983" s="4"/>
      <c r="V1983" s="4"/>
      <c r="W1983" s="13"/>
    </row>
    <row r="1984">
      <c r="A1984" s="4"/>
      <c r="B1984" s="4"/>
      <c r="C1984" s="4"/>
      <c r="D1984" s="4"/>
      <c r="E1984" s="4"/>
      <c r="F1984" s="4"/>
      <c r="G1984" s="13"/>
      <c r="J1984" s="4"/>
      <c r="K1984" s="4"/>
      <c r="L1984" s="4"/>
      <c r="M1984" s="4"/>
      <c r="Q1984" s="4"/>
      <c r="R1984" s="4"/>
      <c r="S1984" s="4"/>
      <c r="T1984" s="4"/>
      <c r="U1984" s="4"/>
      <c r="V1984" s="4"/>
      <c r="W1984" s="13"/>
    </row>
    <row r="1985">
      <c r="A1985" s="4"/>
      <c r="B1985" s="4"/>
      <c r="C1985" s="4"/>
      <c r="D1985" s="4"/>
      <c r="E1985" s="4"/>
      <c r="F1985" s="4"/>
      <c r="G1985" s="13"/>
      <c r="J1985" s="4"/>
      <c r="K1985" s="4"/>
      <c r="L1985" s="4"/>
      <c r="M1985" s="4"/>
      <c r="Q1985" s="4"/>
      <c r="R1985" s="4"/>
      <c r="S1985" s="4"/>
      <c r="T1985" s="4"/>
      <c r="U1985" s="4"/>
      <c r="V1985" s="4"/>
      <c r="W1985" s="13"/>
    </row>
    <row r="1986">
      <c r="A1986" s="4"/>
      <c r="B1986" s="4"/>
      <c r="C1986" s="4"/>
      <c r="D1986" s="4"/>
      <c r="E1986" s="4"/>
      <c r="F1986" s="4"/>
      <c r="G1986" s="13"/>
      <c r="J1986" s="4"/>
      <c r="K1986" s="4"/>
      <c r="L1986" s="4"/>
      <c r="M1986" s="4"/>
      <c r="Q1986" s="4"/>
      <c r="R1986" s="4"/>
      <c r="S1986" s="4"/>
      <c r="T1986" s="4"/>
      <c r="U1986" s="4"/>
      <c r="V1986" s="4"/>
      <c r="W1986" s="13"/>
    </row>
    <row r="1987">
      <c r="A1987" s="4"/>
      <c r="B1987" s="4"/>
      <c r="C1987" s="4"/>
      <c r="D1987" s="4"/>
      <c r="E1987" s="4"/>
      <c r="F1987" s="4"/>
      <c r="G1987" s="13"/>
      <c r="J1987" s="4"/>
      <c r="K1987" s="4"/>
      <c r="L1987" s="4"/>
      <c r="M1987" s="4"/>
      <c r="Q1987" s="4"/>
      <c r="R1987" s="4"/>
      <c r="S1987" s="4"/>
      <c r="T1987" s="4"/>
      <c r="U1987" s="4"/>
      <c r="V1987" s="4"/>
      <c r="W1987" s="13"/>
    </row>
    <row r="1988">
      <c r="A1988" s="4"/>
      <c r="B1988" s="4"/>
      <c r="C1988" s="4"/>
      <c r="D1988" s="4"/>
      <c r="E1988" s="4"/>
      <c r="F1988" s="4"/>
      <c r="G1988" s="13"/>
      <c r="J1988" s="4"/>
      <c r="K1988" s="4"/>
      <c r="L1988" s="4"/>
      <c r="M1988" s="4"/>
      <c r="Q1988" s="4"/>
      <c r="R1988" s="4"/>
      <c r="S1988" s="4"/>
      <c r="T1988" s="4"/>
      <c r="U1988" s="4"/>
      <c r="V1988" s="4"/>
      <c r="W1988" s="13"/>
    </row>
    <row r="1989">
      <c r="A1989" s="4"/>
      <c r="B1989" s="4"/>
      <c r="C1989" s="4"/>
      <c r="D1989" s="4"/>
      <c r="E1989" s="4"/>
      <c r="F1989" s="4"/>
      <c r="G1989" s="13"/>
      <c r="J1989" s="4"/>
      <c r="K1989" s="4"/>
      <c r="L1989" s="4"/>
      <c r="M1989" s="4"/>
      <c r="Q1989" s="4"/>
      <c r="R1989" s="4"/>
      <c r="S1989" s="4"/>
      <c r="T1989" s="4"/>
      <c r="U1989" s="4"/>
      <c r="V1989" s="4"/>
      <c r="W1989" s="13"/>
    </row>
    <row r="1990">
      <c r="A1990" s="4"/>
      <c r="B1990" s="4"/>
      <c r="C1990" s="4"/>
      <c r="D1990" s="4"/>
      <c r="E1990" s="4"/>
      <c r="F1990" s="4"/>
      <c r="G1990" s="13"/>
      <c r="J1990" s="4"/>
      <c r="K1990" s="4"/>
      <c r="L1990" s="4"/>
      <c r="M1990" s="4"/>
      <c r="Q1990" s="4"/>
      <c r="R1990" s="4"/>
      <c r="S1990" s="4"/>
      <c r="T1990" s="4"/>
      <c r="U1990" s="4"/>
      <c r="V1990" s="4"/>
      <c r="W1990" s="13"/>
    </row>
    <row r="1991">
      <c r="A1991" s="4"/>
      <c r="B1991" s="4"/>
      <c r="C1991" s="4"/>
      <c r="D1991" s="4"/>
      <c r="E1991" s="4"/>
      <c r="F1991" s="4"/>
      <c r="G1991" s="13"/>
      <c r="J1991" s="4"/>
      <c r="K1991" s="4"/>
      <c r="L1991" s="4"/>
      <c r="M1991" s="4"/>
      <c r="Q1991" s="4"/>
      <c r="R1991" s="4"/>
      <c r="S1991" s="4"/>
      <c r="T1991" s="4"/>
      <c r="U1991" s="4"/>
      <c r="V1991" s="4"/>
      <c r="W1991" s="13"/>
    </row>
    <row r="1992">
      <c r="A1992" s="4"/>
      <c r="B1992" s="4"/>
      <c r="C1992" s="4"/>
      <c r="D1992" s="4"/>
      <c r="E1992" s="4"/>
      <c r="F1992" s="4"/>
      <c r="G1992" s="13"/>
      <c r="J1992" s="4"/>
      <c r="K1992" s="4"/>
      <c r="L1992" s="4"/>
      <c r="M1992" s="4"/>
      <c r="Q1992" s="4"/>
      <c r="R1992" s="4"/>
      <c r="S1992" s="4"/>
      <c r="T1992" s="4"/>
      <c r="U1992" s="4"/>
      <c r="V1992" s="4"/>
      <c r="W1992" s="13"/>
    </row>
    <row r="1993">
      <c r="A1993" s="4"/>
      <c r="B1993" s="4"/>
      <c r="C1993" s="4"/>
      <c r="D1993" s="4"/>
      <c r="E1993" s="4"/>
      <c r="F1993" s="4"/>
      <c r="G1993" s="13"/>
      <c r="H1993" s="13"/>
      <c r="I1993" s="13"/>
      <c r="J1993" s="4"/>
      <c r="K1993" s="4"/>
      <c r="L1993" s="4"/>
      <c r="M1993" s="4"/>
      <c r="Q1993" s="4"/>
      <c r="R1993" s="4"/>
      <c r="S1993" s="4"/>
      <c r="T1993" s="4"/>
      <c r="U1993" s="4"/>
      <c r="V1993" s="4"/>
      <c r="W1993" s="13"/>
    </row>
    <row r="1994">
      <c r="A1994" s="4"/>
      <c r="B1994" s="4"/>
      <c r="C1994" s="4"/>
      <c r="D1994" s="4"/>
      <c r="E1994" s="4"/>
      <c r="F1994" s="4"/>
      <c r="G1994" s="13"/>
      <c r="H1994" s="13"/>
      <c r="I1994" s="13"/>
      <c r="J1994" s="4"/>
      <c r="K1994" s="4"/>
      <c r="L1994" s="4"/>
      <c r="M1994" s="4"/>
      <c r="Q1994" s="4"/>
      <c r="R1994" s="4"/>
      <c r="S1994" s="4"/>
      <c r="T1994" s="4"/>
      <c r="U1994" s="4"/>
      <c r="V1994" s="4"/>
      <c r="W1994" s="13"/>
      <c r="X1994" s="13"/>
    </row>
    <row r="1995">
      <c r="A1995" s="4"/>
      <c r="B1995" s="4"/>
      <c r="C1995" s="4"/>
      <c r="D1995" s="4"/>
      <c r="E1995" s="4"/>
      <c r="F1995" s="4"/>
      <c r="G1995" s="13"/>
      <c r="H1995" s="13"/>
      <c r="I1995" s="13"/>
      <c r="J1995" s="4"/>
      <c r="K1995" s="4"/>
      <c r="L1995" s="4"/>
      <c r="M1995" s="4"/>
      <c r="Q1995" s="4"/>
      <c r="R1995" s="4"/>
      <c r="S1995" s="4"/>
      <c r="T1995" s="4"/>
      <c r="U1995" s="4"/>
      <c r="V1995" s="4"/>
      <c r="W1995" s="13"/>
    </row>
    <row r="1996">
      <c r="A1996" s="4"/>
      <c r="B1996" s="4"/>
      <c r="C1996" s="4"/>
      <c r="D1996" s="4"/>
      <c r="E1996" s="4"/>
      <c r="F1996" s="4"/>
      <c r="G1996" s="13"/>
      <c r="H1996" s="13"/>
      <c r="I1996" s="13"/>
      <c r="J1996" s="4"/>
      <c r="K1996" s="4"/>
      <c r="L1996" s="4"/>
      <c r="M1996" s="4"/>
      <c r="Q1996" s="4"/>
      <c r="R1996" s="4"/>
      <c r="S1996" s="4"/>
      <c r="T1996" s="4"/>
      <c r="U1996" s="4"/>
      <c r="V1996" s="4"/>
      <c r="W1996" s="13"/>
      <c r="X1996" s="13"/>
    </row>
    <row r="1997">
      <c r="A1997" s="4"/>
      <c r="B1997" s="4"/>
      <c r="C1997" s="4"/>
      <c r="D1997" s="4"/>
      <c r="E1997" s="4"/>
      <c r="F1997" s="4"/>
      <c r="G1997" s="13"/>
      <c r="H1997" s="13"/>
      <c r="I1997" s="13"/>
      <c r="J1997" s="4"/>
      <c r="K1997" s="4"/>
      <c r="L1997" s="4"/>
      <c r="M1997" s="4"/>
      <c r="Q1997" s="4"/>
      <c r="R1997" s="4"/>
      <c r="S1997" s="4"/>
      <c r="T1997" s="4"/>
      <c r="U1997" s="4"/>
      <c r="V1997" s="4"/>
      <c r="W1997" s="13"/>
    </row>
    <row r="1998">
      <c r="A1998" s="4"/>
      <c r="B1998" s="4"/>
      <c r="C1998" s="4"/>
      <c r="D1998" s="4"/>
      <c r="E1998" s="4"/>
      <c r="F1998" s="4"/>
      <c r="G1998" s="13"/>
      <c r="H1998" s="13"/>
      <c r="I1998" s="13"/>
      <c r="J1998" s="4"/>
      <c r="K1998" s="4"/>
      <c r="L1998" s="4"/>
      <c r="M1998" s="4"/>
      <c r="Q1998" s="4"/>
      <c r="R1998" s="4"/>
      <c r="S1998" s="4"/>
      <c r="T1998" s="4"/>
      <c r="U1998" s="4"/>
      <c r="V1998" s="4"/>
      <c r="W1998" s="13"/>
      <c r="X1998" s="13"/>
    </row>
    <row r="1999">
      <c r="A1999" s="4"/>
      <c r="B1999" s="4"/>
      <c r="C1999" s="4"/>
      <c r="D1999" s="4"/>
      <c r="E1999" s="4"/>
      <c r="F1999" s="4"/>
      <c r="G1999" s="13"/>
      <c r="H1999" s="13"/>
      <c r="I1999" s="13"/>
      <c r="J1999" s="4"/>
      <c r="K1999" s="4"/>
      <c r="L1999" s="4"/>
      <c r="M1999" s="4"/>
      <c r="Q1999" s="4"/>
      <c r="R1999" s="4"/>
      <c r="S1999" s="4"/>
      <c r="T1999" s="4"/>
      <c r="U1999" s="4"/>
      <c r="V1999" s="4"/>
      <c r="W1999" s="13"/>
      <c r="X1999" s="13"/>
    </row>
    <row r="2000">
      <c r="A2000" s="4"/>
      <c r="B2000" s="4"/>
      <c r="C2000" s="4"/>
      <c r="D2000" s="4"/>
      <c r="E2000" s="4"/>
      <c r="F2000" s="4"/>
      <c r="G2000" s="13"/>
      <c r="H2000" s="13"/>
      <c r="I2000" s="13"/>
      <c r="J2000" s="4"/>
      <c r="K2000" s="4"/>
      <c r="L2000" s="4"/>
      <c r="M2000" s="4"/>
      <c r="Q2000" s="4"/>
      <c r="R2000" s="4"/>
      <c r="S2000" s="4"/>
      <c r="T2000" s="4"/>
      <c r="U2000" s="4"/>
      <c r="V2000" s="4"/>
      <c r="W2000" s="13"/>
      <c r="X2000" s="13"/>
    </row>
    <row r="2001">
      <c r="A2001" s="4"/>
      <c r="B2001" s="4"/>
      <c r="C2001" s="4"/>
      <c r="D2001" s="4"/>
      <c r="E2001" s="4"/>
      <c r="F2001" s="4"/>
      <c r="G2001" s="13"/>
      <c r="H2001" s="13"/>
      <c r="I2001" s="13"/>
      <c r="J2001" s="4"/>
      <c r="K2001" s="4"/>
      <c r="L2001" s="4"/>
      <c r="M2001" s="4"/>
      <c r="Q2001" s="4"/>
      <c r="R2001" s="4"/>
      <c r="S2001" s="4"/>
      <c r="T2001" s="4"/>
      <c r="U2001" s="4"/>
      <c r="V2001" s="4"/>
      <c r="W2001" s="13"/>
      <c r="X2001" s="13"/>
    </row>
    <row r="2002">
      <c r="A2002" s="4"/>
      <c r="B2002" s="4"/>
      <c r="C2002" s="4"/>
      <c r="D2002" s="4"/>
      <c r="E2002" s="4"/>
      <c r="F2002" s="4"/>
      <c r="G2002" s="13"/>
      <c r="H2002" s="13"/>
      <c r="I2002" s="13"/>
      <c r="J2002" s="4"/>
      <c r="K2002" s="4"/>
      <c r="L2002" s="4"/>
      <c r="M2002" s="4"/>
      <c r="Q2002" s="4"/>
      <c r="R2002" s="4"/>
      <c r="S2002" s="4"/>
      <c r="T2002" s="4"/>
      <c r="U2002" s="4"/>
      <c r="V2002" s="4"/>
      <c r="W2002" s="13"/>
      <c r="X2002" s="13"/>
    </row>
    <row r="2003">
      <c r="A2003" s="4"/>
      <c r="B2003" s="4"/>
      <c r="C2003" s="4"/>
      <c r="D2003" s="4"/>
      <c r="E2003" s="4"/>
      <c r="F2003" s="4"/>
      <c r="G2003" s="13"/>
      <c r="J2003" s="4"/>
      <c r="K2003" s="4"/>
      <c r="L2003" s="4"/>
      <c r="M2003" s="4"/>
      <c r="Q2003" s="4"/>
      <c r="R2003" s="4"/>
      <c r="S2003" s="4"/>
      <c r="T2003" s="4"/>
      <c r="U2003" s="4"/>
      <c r="V2003" s="4"/>
      <c r="W2003" s="13"/>
    </row>
    <row r="2004">
      <c r="A2004" s="4"/>
      <c r="B2004" s="4"/>
      <c r="C2004" s="4"/>
      <c r="D2004" s="4"/>
      <c r="E2004" s="4"/>
      <c r="F2004" s="4"/>
      <c r="G2004" s="13"/>
      <c r="H2004" s="13"/>
      <c r="I2004" s="13"/>
      <c r="J2004" s="4"/>
      <c r="K2004" s="4"/>
      <c r="L2004" s="4"/>
      <c r="M2004" s="4"/>
      <c r="Q2004" s="4"/>
      <c r="R2004" s="4"/>
      <c r="S2004" s="4"/>
      <c r="T2004" s="4"/>
      <c r="U2004" s="4"/>
      <c r="V2004" s="4"/>
      <c r="W2004" s="13"/>
      <c r="X2004" s="13"/>
    </row>
    <row r="2005">
      <c r="A2005" s="4"/>
      <c r="B2005" s="4"/>
      <c r="C2005" s="4"/>
      <c r="D2005" s="4"/>
      <c r="E2005" s="4"/>
      <c r="F2005" s="4"/>
      <c r="G2005" s="13"/>
      <c r="H2005" s="13"/>
      <c r="I2005" s="13"/>
      <c r="J2005" s="4"/>
      <c r="K2005" s="4"/>
      <c r="L2005" s="4"/>
      <c r="M2005" s="4"/>
      <c r="Q2005" s="4"/>
      <c r="R2005" s="4"/>
      <c r="S2005" s="4"/>
      <c r="T2005" s="4"/>
      <c r="U2005" s="4"/>
      <c r="V2005" s="4"/>
      <c r="W2005" s="13"/>
    </row>
    <row r="2006">
      <c r="A2006" s="4"/>
      <c r="B2006" s="4"/>
      <c r="C2006" s="4"/>
      <c r="D2006" s="4"/>
      <c r="E2006" s="4"/>
      <c r="F2006" s="4"/>
      <c r="G2006" s="13"/>
      <c r="H2006" s="13"/>
      <c r="I2006" s="13"/>
      <c r="J2006" s="4"/>
      <c r="K2006" s="4"/>
      <c r="L2006" s="4"/>
      <c r="M2006" s="4"/>
      <c r="Q2006" s="4"/>
      <c r="R2006" s="4"/>
      <c r="S2006" s="4"/>
      <c r="T2006" s="4"/>
      <c r="U2006" s="4"/>
      <c r="V2006" s="4"/>
      <c r="W2006" s="13"/>
      <c r="X2006" s="13"/>
    </row>
    <row r="2007">
      <c r="A2007" s="4"/>
      <c r="B2007" s="4"/>
      <c r="C2007" s="4"/>
      <c r="D2007" s="4"/>
      <c r="E2007" s="4"/>
      <c r="F2007" s="4"/>
      <c r="G2007" s="13"/>
      <c r="J2007" s="4"/>
      <c r="K2007" s="4"/>
      <c r="L2007" s="4"/>
      <c r="M2007" s="4"/>
      <c r="Q2007" s="4"/>
      <c r="R2007" s="4"/>
      <c r="S2007" s="4"/>
      <c r="T2007" s="4"/>
      <c r="U2007" s="4"/>
      <c r="V2007" s="4"/>
      <c r="W2007" s="13"/>
    </row>
    <row r="2008">
      <c r="A2008" s="4"/>
      <c r="B2008" s="4"/>
      <c r="C2008" s="4"/>
      <c r="D2008" s="4"/>
      <c r="E2008" s="4"/>
      <c r="F2008" s="4"/>
      <c r="G2008" s="13"/>
      <c r="H2008" s="13"/>
      <c r="I2008" s="13"/>
      <c r="J2008" s="4"/>
      <c r="K2008" s="4"/>
      <c r="L2008" s="4"/>
      <c r="M2008" s="4"/>
      <c r="Q2008" s="4"/>
      <c r="R2008" s="4"/>
      <c r="S2008" s="4"/>
      <c r="T2008" s="4"/>
      <c r="U2008" s="4"/>
      <c r="V2008" s="4"/>
      <c r="W2008" s="13"/>
      <c r="X2008" s="13"/>
    </row>
    <row r="2009">
      <c r="A2009" s="4"/>
      <c r="B2009" s="4"/>
      <c r="C2009" s="4"/>
      <c r="D2009" s="4"/>
      <c r="E2009" s="4"/>
      <c r="F2009" s="4"/>
      <c r="G2009" s="13"/>
      <c r="H2009" s="13"/>
      <c r="I2009" s="13"/>
      <c r="J2009" s="4"/>
      <c r="K2009" s="4"/>
      <c r="L2009" s="4"/>
      <c r="M2009" s="4"/>
      <c r="Q2009" s="4"/>
      <c r="R2009" s="4"/>
      <c r="S2009" s="4"/>
      <c r="T2009" s="4"/>
      <c r="U2009" s="4"/>
      <c r="V2009" s="4"/>
      <c r="W2009" s="13"/>
      <c r="X2009" s="13"/>
    </row>
    <row r="2010">
      <c r="A2010" s="4"/>
      <c r="B2010" s="4"/>
      <c r="C2010" s="4"/>
      <c r="D2010" s="4"/>
      <c r="E2010" s="4"/>
      <c r="F2010" s="4"/>
      <c r="G2010" s="13"/>
      <c r="H2010" s="13"/>
      <c r="I2010" s="13"/>
      <c r="J2010" s="4"/>
      <c r="K2010" s="4"/>
      <c r="L2010" s="4"/>
      <c r="M2010" s="4"/>
      <c r="Q2010" s="4"/>
      <c r="R2010" s="4"/>
      <c r="S2010" s="4"/>
      <c r="T2010" s="4"/>
      <c r="U2010" s="4"/>
      <c r="V2010" s="4"/>
      <c r="W2010" s="13"/>
      <c r="X2010" s="13"/>
    </row>
    <row r="2011">
      <c r="A2011" s="4"/>
      <c r="B2011" s="4"/>
      <c r="C2011" s="4"/>
      <c r="D2011" s="4"/>
      <c r="E2011" s="4"/>
      <c r="F2011" s="4"/>
      <c r="G2011" s="13"/>
      <c r="H2011" s="13"/>
      <c r="I2011" s="13"/>
      <c r="J2011" s="4"/>
      <c r="K2011" s="4"/>
      <c r="L2011" s="4"/>
      <c r="M2011" s="4"/>
      <c r="Q2011" s="4"/>
      <c r="R2011" s="4"/>
      <c r="S2011" s="4"/>
      <c r="T2011" s="4"/>
      <c r="U2011" s="4"/>
      <c r="V2011" s="4"/>
      <c r="W2011" s="13"/>
      <c r="X2011" s="13"/>
    </row>
    <row r="2012">
      <c r="A2012" s="4"/>
      <c r="B2012" s="4"/>
      <c r="C2012" s="4"/>
      <c r="D2012" s="4"/>
      <c r="E2012" s="4"/>
      <c r="F2012" s="4"/>
      <c r="G2012" s="13"/>
      <c r="H2012" s="13"/>
      <c r="I2012" s="13"/>
      <c r="J2012" s="4"/>
      <c r="K2012" s="4"/>
      <c r="L2012" s="4"/>
      <c r="M2012" s="4"/>
      <c r="Q2012" s="4"/>
      <c r="R2012" s="4"/>
      <c r="S2012" s="4"/>
      <c r="T2012" s="4"/>
      <c r="U2012" s="4"/>
      <c r="V2012" s="4"/>
      <c r="W2012" s="13"/>
      <c r="X2012" s="13"/>
    </row>
    <row r="2013">
      <c r="A2013" s="4"/>
      <c r="B2013" s="4"/>
      <c r="C2013" s="4"/>
      <c r="D2013" s="4"/>
      <c r="E2013" s="4"/>
      <c r="F2013" s="4"/>
      <c r="G2013" s="13"/>
      <c r="J2013" s="4"/>
      <c r="K2013" s="4"/>
      <c r="L2013" s="4"/>
      <c r="M2013" s="4"/>
      <c r="Q2013" s="4"/>
      <c r="R2013" s="4"/>
      <c r="S2013" s="4"/>
      <c r="T2013" s="4"/>
      <c r="U2013" s="4"/>
      <c r="V2013" s="4"/>
      <c r="W2013" s="13"/>
    </row>
    <row r="2014">
      <c r="A2014" s="4"/>
      <c r="B2014" s="4"/>
      <c r="C2014" s="4"/>
      <c r="D2014" s="4"/>
      <c r="E2014" s="4"/>
      <c r="F2014" s="4"/>
      <c r="G2014" s="13"/>
      <c r="J2014" s="4"/>
      <c r="K2014" s="4"/>
      <c r="L2014" s="4"/>
      <c r="M2014" s="4"/>
      <c r="Q2014" s="4"/>
      <c r="R2014" s="4"/>
      <c r="S2014" s="4"/>
      <c r="T2014" s="4"/>
      <c r="U2014" s="4"/>
      <c r="V2014" s="4"/>
      <c r="W2014" s="13"/>
    </row>
    <row r="2015">
      <c r="A2015" s="4"/>
      <c r="B2015" s="4"/>
      <c r="C2015" s="4"/>
      <c r="D2015" s="4"/>
      <c r="E2015" s="4"/>
      <c r="F2015" s="4"/>
      <c r="G2015" s="13"/>
      <c r="H2015" s="13"/>
      <c r="I2015" s="13"/>
      <c r="J2015" s="4"/>
      <c r="K2015" s="4"/>
      <c r="L2015" s="4"/>
      <c r="M2015" s="4"/>
      <c r="Q2015" s="4"/>
      <c r="R2015" s="4"/>
      <c r="S2015" s="4"/>
      <c r="T2015" s="4"/>
      <c r="U2015" s="4"/>
      <c r="V2015" s="4"/>
      <c r="W2015" s="13"/>
      <c r="X2015" s="13"/>
    </row>
    <row r="2016">
      <c r="A2016" s="4"/>
      <c r="B2016" s="4"/>
      <c r="C2016" s="4"/>
      <c r="D2016" s="4"/>
      <c r="E2016" s="4"/>
      <c r="F2016" s="4"/>
      <c r="G2016" s="13"/>
      <c r="H2016" s="13"/>
      <c r="I2016" s="13"/>
      <c r="J2016" s="4"/>
      <c r="K2016" s="4"/>
      <c r="L2016" s="4"/>
      <c r="M2016" s="4"/>
      <c r="Q2016" s="4"/>
      <c r="R2016" s="4"/>
      <c r="S2016" s="4"/>
      <c r="T2016" s="4"/>
      <c r="U2016" s="4"/>
      <c r="V2016" s="4"/>
      <c r="W2016" s="13"/>
      <c r="X2016" s="13"/>
    </row>
    <row r="2017">
      <c r="A2017" s="4"/>
      <c r="B2017" s="4"/>
      <c r="C2017" s="4"/>
      <c r="D2017" s="4"/>
      <c r="E2017" s="4"/>
      <c r="F2017" s="4"/>
      <c r="G2017" s="13"/>
      <c r="J2017" s="4"/>
      <c r="K2017" s="4"/>
      <c r="L2017" s="4"/>
      <c r="M2017" s="4"/>
      <c r="Q2017" s="4"/>
      <c r="R2017" s="4"/>
      <c r="S2017" s="4"/>
      <c r="T2017" s="4"/>
      <c r="U2017" s="4"/>
      <c r="V2017" s="4"/>
      <c r="W2017" s="13"/>
    </row>
    <row r="2018">
      <c r="A2018" s="4"/>
      <c r="B2018" s="4"/>
      <c r="C2018" s="4"/>
      <c r="D2018" s="4"/>
      <c r="E2018" s="4"/>
      <c r="F2018" s="4"/>
      <c r="G2018" s="13"/>
      <c r="J2018" s="4"/>
      <c r="K2018" s="4"/>
      <c r="L2018" s="4"/>
      <c r="M2018" s="4"/>
      <c r="Q2018" s="4"/>
      <c r="R2018" s="4"/>
      <c r="S2018" s="4"/>
      <c r="T2018" s="4"/>
      <c r="U2018" s="4"/>
      <c r="V2018" s="4"/>
      <c r="W2018" s="13"/>
    </row>
    <row r="2019">
      <c r="A2019" s="4"/>
      <c r="B2019" s="4"/>
      <c r="C2019" s="4"/>
      <c r="D2019" s="4"/>
      <c r="E2019" s="4"/>
      <c r="F2019" s="4"/>
      <c r="G2019" s="13"/>
      <c r="H2019" s="13"/>
      <c r="I2019" s="13"/>
      <c r="J2019" s="4"/>
      <c r="K2019" s="4"/>
      <c r="L2019" s="4"/>
      <c r="M2019" s="4"/>
      <c r="Q2019" s="4"/>
      <c r="R2019" s="4"/>
      <c r="S2019" s="4"/>
      <c r="T2019" s="4"/>
      <c r="U2019" s="4"/>
      <c r="V2019" s="4"/>
      <c r="W2019" s="13"/>
      <c r="X2019" s="13"/>
    </row>
    <row r="2020">
      <c r="A2020" s="4"/>
      <c r="B2020" s="4"/>
      <c r="C2020" s="4"/>
      <c r="D2020" s="4"/>
      <c r="E2020" s="4"/>
      <c r="F2020" s="4"/>
      <c r="G2020" s="13"/>
      <c r="H2020" s="13"/>
      <c r="I2020" s="13"/>
      <c r="J2020" s="4"/>
      <c r="K2020" s="4"/>
      <c r="L2020" s="4"/>
      <c r="M2020" s="4"/>
      <c r="Q2020" s="4"/>
      <c r="R2020" s="4"/>
      <c r="S2020" s="4"/>
      <c r="T2020" s="4"/>
      <c r="U2020" s="4"/>
      <c r="V2020" s="4"/>
      <c r="W2020" s="13"/>
      <c r="X2020" s="13"/>
    </row>
    <row r="2021">
      <c r="A2021" s="4"/>
      <c r="B2021" s="4"/>
      <c r="C2021" s="4"/>
      <c r="D2021" s="4"/>
      <c r="E2021" s="4"/>
      <c r="F2021" s="4"/>
      <c r="G2021" s="13"/>
      <c r="H2021" s="13"/>
      <c r="I2021" s="13"/>
      <c r="J2021" s="4"/>
      <c r="K2021" s="4"/>
      <c r="L2021" s="4"/>
      <c r="M2021" s="4"/>
      <c r="Q2021" s="4"/>
      <c r="R2021" s="4"/>
      <c r="S2021" s="4"/>
      <c r="T2021" s="4"/>
      <c r="U2021" s="4"/>
      <c r="V2021" s="4"/>
      <c r="W2021" s="13"/>
      <c r="X2021" s="13"/>
    </row>
    <row r="2022">
      <c r="A2022" s="4"/>
      <c r="B2022" s="4"/>
      <c r="C2022" s="4"/>
      <c r="D2022" s="4"/>
      <c r="E2022" s="4"/>
      <c r="F2022" s="4"/>
      <c r="G2022" s="13"/>
      <c r="H2022" s="13"/>
      <c r="I2022" s="13"/>
      <c r="J2022" s="4"/>
      <c r="K2022" s="4"/>
      <c r="L2022" s="4"/>
      <c r="M2022" s="4"/>
      <c r="Q2022" s="4"/>
      <c r="R2022" s="4"/>
      <c r="S2022" s="4"/>
      <c r="T2022" s="4"/>
      <c r="U2022" s="4"/>
      <c r="V2022" s="4"/>
      <c r="W2022" s="13"/>
      <c r="X2022" s="13"/>
    </row>
    <row r="2023">
      <c r="A2023" s="4"/>
      <c r="B2023" s="4"/>
      <c r="C2023" s="4"/>
      <c r="D2023" s="4"/>
      <c r="E2023" s="4"/>
      <c r="F2023" s="4"/>
      <c r="G2023" s="13"/>
      <c r="J2023" s="4"/>
      <c r="K2023" s="4"/>
      <c r="L2023" s="4"/>
      <c r="M2023" s="4"/>
      <c r="Q2023" s="4"/>
      <c r="R2023" s="4"/>
      <c r="S2023" s="4"/>
      <c r="T2023" s="4"/>
      <c r="U2023" s="4"/>
      <c r="V2023" s="4"/>
      <c r="W2023" s="13"/>
    </row>
    <row r="2024">
      <c r="A2024" s="4"/>
      <c r="B2024" s="4"/>
      <c r="C2024" s="4"/>
      <c r="D2024" s="4"/>
      <c r="E2024" s="4"/>
      <c r="F2024" s="4"/>
      <c r="G2024" s="13"/>
      <c r="J2024" s="4"/>
      <c r="K2024" s="4"/>
      <c r="L2024" s="4"/>
      <c r="M2024" s="4"/>
      <c r="Q2024" s="4"/>
      <c r="R2024" s="4"/>
      <c r="S2024" s="4"/>
      <c r="T2024" s="4"/>
      <c r="U2024" s="4"/>
      <c r="V2024" s="4"/>
      <c r="W2024" s="13"/>
    </row>
    <row r="2025">
      <c r="A2025" s="4"/>
      <c r="B2025" s="4"/>
      <c r="C2025" s="4"/>
      <c r="D2025" s="4"/>
      <c r="E2025" s="4"/>
      <c r="F2025" s="4"/>
      <c r="G2025" s="13"/>
      <c r="H2025" s="13"/>
      <c r="I2025" s="13"/>
      <c r="J2025" s="4"/>
      <c r="K2025" s="4"/>
      <c r="L2025" s="4"/>
      <c r="M2025" s="4"/>
      <c r="Q2025" s="4"/>
      <c r="R2025" s="4"/>
      <c r="S2025" s="4"/>
      <c r="T2025" s="4"/>
      <c r="U2025" s="4"/>
      <c r="V2025" s="4"/>
      <c r="W2025" s="13"/>
      <c r="X2025" s="13"/>
    </row>
    <row r="2026">
      <c r="A2026" s="4"/>
      <c r="B2026" s="4"/>
      <c r="C2026" s="4"/>
      <c r="D2026" s="4"/>
      <c r="E2026" s="4"/>
      <c r="F2026" s="4"/>
      <c r="G2026" s="13"/>
      <c r="H2026" s="13"/>
      <c r="I2026" s="13"/>
      <c r="J2026" s="4"/>
      <c r="K2026" s="4"/>
      <c r="L2026" s="4"/>
      <c r="M2026" s="4"/>
      <c r="Q2026" s="4"/>
      <c r="R2026" s="4"/>
      <c r="S2026" s="4"/>
      <c r="T2026" s="4"/>
      <c r="U2026" s="4"/>
      <c r="V2026" s="4"/>
      <c r="W2026" s="13"/>
      <c r="X2026" s="13"/>
    </row>
    <row r="2027">
      <c r="A2027" s="4"/>
      <c r="B2027" s="4"/>
      <c r="C2027" s="4"/>
      <c r="D2027" s="4"/>
      <c r="E2027" s="4"/>
      <c r="F2027" s="4"/>
      <c r="G2027" s="13"/>
      <c r="J2027" s="4"/>
      <c r="K2027" s="4"/>
      <c r="L2027" s="4"/>
      <c r="M2027" s="4"/>
      <c r="Q2027" s="4"/>
      <c r="R2027" s="4"/>
      <c r="S2027" s="4"/>
      <c r="T2027" s="4"/>
      <c r="U2027" s="4"/>
      <c r="V2027" s="4"/>
      <c r="W2027" s="13"/>
    </row>
    <row r="2028">
      <c r="A2028" s="4"/>
      <c r="B2028" s="4"/>
      <c r="C2028" s="4"/>
      <c r="D2028" s="4"/>
      <c r="E2028" s="4"/>
      <c r="F2028" s="4"/>
      <c r="G2028" s="13"/>
      <c r="J2028" s="4"/>
      <c r="K2028" s="4"/>
      <c r="L2028" s="4"/>
      <c r="M2028" s="4"/>
      <c r="Q2028" s="4"/>
      <c r="R2028" s="4"/>
      <c r="S2028" s="4"/>
      <c r="T2028" s="4"/>
      <c r="U2028" s="4"/>
      <c r="V2028" s="4"/>
      <c r="W2028" s="13"/>
    </row>
    <row r="2029">
      <c r="A2029" s="4"/>
      <c r="B2029" s="4"/>
      <c r="C2029" s="4"/>
      <c r="D2029" s="4"/>
      <c r="E2029" s="4"/>
      <c r="F2029" s="4"/>
      <c r="G2029" s="13"/>
      <c r="H2029" s="13"/>
      <c r="I2029" s="13"/>
      <c r="J2029" s="4"/>
      <c r="K2029" s="4"/>
      <c r="L2029" s="4"/>
      <c r="M2029" s="4"/>
      <c r="Q2029" s="4"/>
      <c r="R2029" s="4"/>
      <c r="S2029" s="4"/>
      <c r="T2029" s="4"/>
      <c r="U2029" s="4"/>
      <c r="V2029" s="4"/>
      <c r="W2029" s="13"/>
      <c r="X2029" s="13"/>
    </row>
    <row r="2030">
      <c r="A2030" s="4"/>
      <c r="B2030" s="4"/>
      <c r="C2030" s="4"/>
      <c r="D2030" s="4"/>
      <c r="E2030" s="4"/>
      <c r="F2030" s="4"/>
      <c r="G2030" s="13"/>
      <c r="H2030" s="13"/>
      <c r="I2030" s="13"/>
      <c r="J2030" s="4"/>
      <c r="K2030" s="4"/>
      <c r="L2030" s="4"/>
      <c r="M2030" s="4"/>
      <c r="Q2030" s="4"/>
      <c r="R2030" s="4"/>
      <c r="S2030" s="4"/>
      <c r="T2030" s="4"/>
      <c r="U2030" s="4"/>
      <c r="V2030" s="4"/>
      <c r="W2030" s="13"/>
      <c r="X2030" s="13"/>
    </row>
    <row r="2031">
      <c r="A2031" s="4"/>
      <c r="B2031" s="4"/>
      <c r="C2031" s="4"/>
      <c r="D2031" s="4"/>
      <c r="E2031" s="4"/>
      <c r="F2031" s="4"/>
      <c r="G2031" s="13"/>
      <c r="H2031" s="13"/>
      <c r="I2031" s="13"/>
      <c r="J2031" s="4"/>
      <c r="K2031" s="4"/>
      <c r="L2031" s="4"/>
      <c r="M2031" s="4"/>
      <c r="Q2031" s="4"/>
      <c r="R2031" s="4"/>
      <c r="S2031" s="4"/>
      <c r="T2031" s="4"/>
      <c r="U2031" s="4"/>
      <c r="V2031" s="4"/>
      <c r="W2031" s="13"/>
      <c r="X2031" s="13"/>
    </row>
    <row r="2032">
      <c r="A2032" s="4"/>
      <c r="B2032" s="4"/>
      <c r="C2032" s="4"/>
      <c r="D2032" s="4"/>
      <c r="E2032" s="4"/>
      <c r="F2032" s="4"/>
      <c r="G2032" s="13"/>
      <c r="H2032" s="13"/>
      <c r="I2032" s="13"/>
      <c r="J2032" s="4"/>
      <c r="K2032" s="4"/>
      <c r="L2032" s="4"/>
      <c r="M2032" s="4"/>
      <c r="Q2032" s="4"/>
      <c r="R2032" s="4"/>
      <c r="S2032" s="4"/>
      <c r="T2032" s="4"/>
      <c r="U2032" s="4"/>
      <c r="V2032" s="4"/>
      <c r="W2032" s="13"/>
      <c r="X2032" s="13"/>
    </row>
    <row r="2033">
      <c r="A2033" s="4"/>
      <c r="B2033" s="4"/>
      <c r="C2033" s="4"/>
      <c r="D2033" s="4"/>
      <c r="E2033" s="4"/>
      <c r="F2033" s="4"/>
      <c r="G2033" s="13"/>
      <c r="H2033" s="13"/>
      <c r="I2033" s="13"/>
      <c r="J2033" s="4"/>
      <c r="K2033" s="4"/>
      <c r="L2033" s="4"/>
      <c r="M2033" s="4"/>
      <c r="Q2033" s="4"/>
      <c r="R2033" s="4"/>
      <c r="S2033" s="4"/>
      <c r="T2033" s="4"/>
      <c r="U2033" s="4"/>
      <c r="V2033" s="4"/>
      <c r="W2033" s="13"/>
    </row>
    <row r="2034">
      <c r="A2034" s="4"/>
      <c r="B2034" s="4"/>
      <c r="C2034" s="4"/>
      <c r="D2034" s="4"/>
      <c r="E2034" s="4"/>
      <c r="F2034" s="4"/>
      <c r="G2034" s="13"/>
      <c r="H2034" s="13"/>
      <c r="I2034" s="13"/>
      <c r="J2034" s="4"/>
      <c r="K2034" s="4"/>
      <c r="L2034" s="4"/>
      <c r="M2034" s="4"/>
      <c r="Q2034" s="4"/>
      <c r="R2034" s="4"/>
      <c r="S2034" s="4"/>
      <c r="T2034" s="4"/>
      <c r="U2034" s="4"/>
      <c r="V2034" s="4"/>
      <c r="W2034" s="13"/>
    </row>
    <row r="2035">
      <c r="A2035" s="4"/>
      <c r="B2035" s="4"/>
      <c r="C2035" s="4"/>
      <c r="D2035" s="4"/>
      <c r="E2035" s="4"/>
      <c r="F2035" s="4"/>
      <c r="G2035" s="13"/>
      <c r="H2035" s="13"/>
      <c r="I2035" s="13"/>
      <c r="J2035" s="4"/>
      <c r="K2035" s="4"/>
      <c r="L2035" s="4"/>
      <c r="M2035" s="4"/>
      <c r="Q2035" s="4"/>
      <c r="R2035" s="4"/>
      <c r="S2035" s="4"/>
      <c r="T2035" s="4"/>
      <c r="U2035" s="4"/>
      <c r="V2035" s="4"/>
      <c r="W2035" s="13"/>
    </row>
    <row r="2036">
      <c r="A2036" s="4"/>
      <c r="B2036" s="4"/>
      <c r="C2036" s="4"/>
      <c r="D2036" s="4"/>
      <c r="E2036" s="4"/>
      <c r="F2036" s="4"/>
      <c r="G2036" s="13"/>
      <c r="H2036" s="13"/>
      <c r="I2036" s="13"/>
      <c r="J2036" s="4"/>
      <c r="K2036" s="4"/>
      <c r="L2036" s="4"/>
      <c r="M2036" s="4"/>
      <c r="Q2036" s="4"/>
      <c r="R2036" s="4"/>
      <c r="S2036" s="4"/>
      <c r="T2036" s="4"/>
      <c r="U2036" s="4"/>
      <c r="V2036" s="4"/>
      <c r="W2036" s="13"/>
      <c r="X2036" s="13"/>
    </row>
    <row r="2037">
      <c r="A2037" s="4"/>
      <c r="B2037" s="4"/>
      <c r="C2037" s="4"/>
      <c r="D2037" s="4"/>
      <c r="E2037" s="4"/>
      <c r="F2037" s="4"/>
      <c r="G2037" s="13"/>
      <c r="H2037" s="13"/>
      <c r="I2037" s="13"/>
      <c r="J2037" s="4"/>
      <c r="K2037" s="4"/>
      <c r="L2037" s="4"/>
      <c r="M2037" s="4"/>
      <c r="Q2037" s="4"/>
      <c r="R2037" s="4"/>
      <c r="S2037" s="4"/>
      <c r="T2037" s="4"/>
      <c r="U2037" s="4"/>
      <c r="V2037" s="4"/>
      <c r="W2037" s="13"/>
      <c r="X2037" s="13"/>
    </row>
    <row r="2038">
      <c r="A2038" s="4"/>
      <c r="B2038" s="4"/>
      <c r="C2038" s="4"/>
      <c r="D2038" s="4"/>
      <c r="E2038" s="4"/>
      <c r="F2038" s="4"/>
      <c r="G2038" s="13"/>
      <c r="H2038" s="13"/>
      <c r="I2038" s="13"/>
      <c r="J2038" s="4"/>
      <c r="K2038" s="4"/>
      <c r="L2038" s="4"/>
      <c r="M2038" s="4"/>
      <c r="Q2038" s="4"/>
      <c r="R2038" s="4"/>
      <c r="S2038" s="4"/>
      <c r="T2038" s="4"/>
      <c r="U2038" s="4"/>
      <c r="V2038" s="4"/>
      <c r="W2038" s="13"/>
      <c r="X2038" s="13"/>
    </row>
    <row r="2039">
      <c r="A2039" s="4"/>
      <c r="B2039" s="4"/>
      <c r="C2039" s="4"/>
      <c r="D2039" s="4"/>
      <c r="E2039" s="4"/>
      <c r="F2039" s="4"/>
      <c r="G2039" s="13"/>
      <c r="H2039" s="13"/>
      <c r="I2039" s="13"/>
      <c r="J2039" s="4"/>
      <c r="K2039" s="4"/>
      <c r="L2039" s="4"/>
      <c r="M2039" s="4"/>
      <c r="Q2039" s="4"/>
      <c r="R2039" s="4"/>
      <c r="S2039" s="4"/>
      <c r="T2039" s="4"/>
      <c r="U2039" s="4"/>
      <c r="V2039" s="4"/>
      <c r="W2039" s="13"/>
    </row>
    <row r="2040">
      <c r="A2040" s="4"/>
      <c r="B2040" s="4"/>
      <c r="C2040" s="4"/>
      <c r="D2040" s="4"/>
      <c r="E2040" s="4"/>
      <c r="F2040" s="4"/>
      <c r="G2040" s="13"/>
      <c r="H2040" s="13"/>
      <c r="I2040" s="13"/>
      <c r="J2040" s="4"/>
      <c r="K2040" s="4"/>
      <c r="L2040" s="4"/>
      <c r="M2040" s="4"/>
      <c r="Q2040" s="4"/>
      <c r="R2040" s="4"/>
      <c r="S2040" s="4"/>
      <c r="T2040" s="4"/>
      <c r="U2040" s="4"/>
      <c r="V2040" s="4"/>
      <c r="W2040" s="13"/>
      <c r="X2040" s="13"/>
    </row>
    <row r="2041">
      <c r="A2041" s="4"/>
      <c r="B2041" s="4"/>
      <c r="C2041" s="4"/>
      <c r="D2041" s="4"/>
      <c r="E2041" s="4"/>
      <c r="F2041" s="4"/>
      <c r="G2041" s="13"/>
      <c r="H2041" s="13"/>
      <c r="I2041" s="13"/>
      <c r="J2041" s="4"/>
      <c r="K2041" s="4"/>
      <c r="L2041" s="4"/>
      <c r="M2041" s="4"/>
      <c r="Q2041" s="4"/>
      <c r="R2041" s="4"/>
      <c r="S2041" s="4"/>
      <c r="T2041" s="4"/>
      <c r="U2041" s="4"/>
      <c r="V2041" s="4"/>
      <c r="W2041" s="13"/>
    </row>
    <row r="2042">
      <c r="A2042" s="4"/>
      <c r="B2042" s="4"/>
      <c r="C2042" s="4"/>
      <c r="D2042" s="4"/>
      <c r="E2042" s="4"/>
      <c r="F2042" s="4"/>
      <c r="G2042" s="13"/>
      <c r="H2042" s="13"/>
      <c r="I2042" s="13"/>
      <c r="J2042" s="4"/>
      <c r="K2042" s="4"/>
      <c r="L2042" s="4"/>
      <c r="M2042" s="4"/>
      <c r="Q2042" s="4"/>
      <c r="R2042" s="4"/>
      <c r="S2042" s="4"/>
      <c r="T2042" s="4"/>
      <c r="U2042" s="4"/>
      <c r="V2042" s="4"/>
      <c r="W2042" s="13"/>
    </row>
    <row r="2043">
      <c r="A2043" s="4"/>
      <c r="B2043" s="4"/>
      <c r="C2043" s="4"/>
      <c r="D2043" s="4"/>
      <c r="E2043" s="4"/>
      <c r="F2043" s="4"/>
      <c r="G2043" s="13"/>
      <c r="H2043" s="13"/>
      <c r="I2043" s="13"/>
      <c r="J2043" s="4"/>
      <c r="K2043" s="4"/>
      <c r="L2043" s="4"/>
      <c r="M2043" s="4"/>
      <c r="Q2043" s="4"/>
      <c r="R2043" s="4"/>
      <c r="S2043" s="4"/>
      <c r="T2043" s="4"/>
      <c r="U2043" s="4"/>
      <c r="V2043" s="4"/>
      <c r="W2043" s="13"/>
    </row>
    <row r="2044">
      <c r="A2044" s="4"/>
      <c r="B2044" s="4"/>
      <c r="C2044" s="4"/>
      <c r="D2044" s="4"/>
      <c r="E2044" s="4"/>
      <c r="F2044" s="4"/>
      <c r="G2044" s="13"/>
      <c r="H2044" s="13"/>
      <c r="I2044" s="13"/>
      <c r="J2044" s="4"/>
      <c r="K2044" s="4"/>
      <c r="L2044" s="4"/>
      <c r="M2044" s="4"/>
      <c r="Q2044" s="4"/>
      <c r="R2044" s="4"/>
      <c r="S2044" s="4"/>
      <c r="T2044" s="4"/>
      <c r="U2044" s="4"/>
      <c r="V2044" s="4"/>
      <c r="W2044" s="13"/>
      <c r="X2044" s="13"/>
    </row>
    <row r="2045">
      <c r="A2045" s="4"/>
      <c r="B2045" s="4"/>
      <c r="C2045" s="4"/>
      <c r="D2045" s="4"/>
      <c r="E2045" s="4"/>
      <c r="F2045" s="4"/>
      <c r="G2045" s="13"/>
      <c r="H2045" s="13"/>
      <c r="I2045" s="13"/>
      <c r="J2045" s="4"/>
      <c r="K2045" s="4"/>
      <c r="L2045" s="4"/>
      <c r="M2045" s="4"/>
      <c r="Q2045" s="4"/>
      <c r="R2045" s="4"/>
      <c r="S2045" s="4"/>
      <c r="T2045" s="4"/>
      <c r="U2045" s="4"/>
      <c r="V2045" s="4"/>
      <c r="W2045" s="13"/>
      <c r="X2045" s="13"/>
    </row>
    <row r="2046">
      <c r="A2046" s="4"/>
      <c r="B2046" s="4"/>
      <c r="C2046" s="4"/>
      <c r="D2046" s="4"/>
      <c r="E2046" s="4"/>
      <c r="F2046" s="4"/>
      <c r="G2046" s="13"/>
      <c r="H2046" s="13"/>
      <c r="I2046" s="13"/>
      <c r="J2046" s="4"/>
      <c r="K2046" s="4"/>
      <c r="L2046" s="4"/>
      <c r="M2046" s="4"/>
      <c r="Q2046" s="4"/>
      <c r="R2046" s="4"/>
      <c r="S2046" s="4"/>
      <c r="T2046" s="4"/>
      <c r="U2046" s="4"/>
      <c r="V2046" s="4"/>
      <c r="W2046" s="13"/>
      <c r="X2046" s="13"/>
    </row>
    <row r="2047">
      <c r="A2047" s="4"/>
      <c r="B2047" s="4"/>
      <c r="C2047" s="4"/>
      <c r="D2047" s="4"/>
      <c r="E2047" s="4"/>
      <c r="F2047" s="4"/>
      <c r="G2047" s="13"/>
      <c r="H2047" s="13"/>
      <c r="I2047" s="13"/>
      <c r="J2047" s="4"/>
      <c r="K2047" s="4"/>
      <c r="L2047" s="4"/>
      <c r="M2047" s="4"/>
      <c r="Q2047" s="4"/>
      <c r="R2047" s="4"/>
      <c r="S2047" s="4"/>
      <c r="T2047" s="4"/>
      <c r="U2047" s="4"/>
      <c r="V2047" s="4"/>
      <c r="W2047" s="13"/>
    </row>
    <row r="2048">
      <c r="A2048" s="4"/>
      <c r="B2048" s="4"/>
      <c r="C2048" s="4"/>
      <c r="D2048" s="4"/>
      <c r="E2048" s="4"/>
      <c r="F2048" s="4"/>
      <c r="G2048" s="13"/>
      <c r="J2048" s="4"/>
      <c r="K2048" s="4"/>
      <c r="L2048" s="4"/>
      <c r="M2048" s="4"/>
      <c r="Q2048" s="4"/>
      <c r="R2048" s="4"/>
      <c r="S2048" s="4"/>
      <c r="T2048" s="4"/>
      <c r="U2048" s="4"/>
      <c r="V2048" s="4"/>
      <c r="W2048" s="13"/>
    </row>
    <row r="2049">
      <c r="A2049" s="4"/>
      <c r="B2049" s="4"/>
      <c r="C2049" s="4"/>
      <c r="D2049" s="4"/>
      <c r="E2049" s="4"/>
      <c r="F2049" s="4"/>
      <c r="G2049" s="13"/>
      <c r="H2049" s="13"/>
      <c r="I2049" s="13"/>
      <c r="J2049" s="4"/>
      <c r="K2049" s="4"/>
      <c r="L2049" s="4"/>
      <c r="M2049" s="4"/>
      <c r="Q2049" s="4"/>
      <c r="R2049" s="4"/>
      <c r="S2049" s="4"/>
      <c r="T2049" s="4"/>
      <c r="U2049" s="4"/>
      <c r="V2049" s="4"/>
      <c r="W2049" s="13"/>
      <c r="X2049" s="13"/>
    </row>
    <row r="2050">
      <c r="A2050" s="4"/>
      <c r="B2050" s="4"/>
      <c r="C2050" s="4"/>
      <c r="D2050" s="4"/>
      <c r="E2050" s="4"/>
      <c r="F2050" s="4"/>
      <c r="G2050" s="13"/>
      <c r="H2050" s="13"/>
      <c r="I2050" s="13"/>
      <c r="J2050" s="4"/>
      <c r="K2050" s="4"/>
      <c r="L2050" s="4"/>
      <c r="M2050" s="4"/>
      <c r="Q2050" s="4"/>
      <c r="R2050" s="4"/>
      <c r="S2050" s="4"/>
      <c r="T2050" s="4"/>
      <c r="U2050" s="4"/>
      <c r="V2050" s="4"/>
      <c r="W2050" s="13"/>
      <c r="X2050" s="13"/>
    </row>
    <row r="2051">
      <c r="A2051" s="4"/>
      <c r="B2051" s="4"/>
      <c r="C2051" s="4"/>
      <c r="D2051" s="4"/>
      <c r="E2051" s="4"/>
      <c r="F2051" s="4"/>
      <c r="G2051" s="13"/>
      <c r="J2051" s="4"/>
      <c r="K2051" s="4"/>
      <c r="L2051" s="4"/>
      <c r="M2051" s="4"/>
      <c r="Q2051" s="4"/>
      <c r="R2051" s="4"/>
      <c r="S2051" s="4"/>
      <c r="T2051" s="4"/>
      <c r="U2051" s="4"/>
      <c r="V2051" s="4"/>
      <c r="W2051" s="13"/>
    </row>
    <row r="2052">
      <c r="A2052" s="4"/>
      <c r="B2052" s="4"/>
      <c r="C2052" s="4"/>
      <c r="D2052" s="4"/>
      <c r="E2052" s="4"/>
      <c r="F2052" s="4"/>
      <c r="G2052" s="13"/>
      <c r="H2052" s="13"/>
      <c r="I2052" s="13"/>
      <c r="J2052" s="4"/>
      <c r="K2052" s="4"/>
      <c r="L2052" s="4"/>
      <c r="M2052" s="4"/>
      <c r="Q2052" s="4"/>
      <c r="R2052" s="4"/>
      <c r="S2052" s="4"/>
      <c r="T2052" s="4"/>
      <c r="U2052" s="4"/>
      <c r="V2052" s="4"/>
      <c r="W2052" s="13"/>
      <c r="X2052" s="13"/>
    </row>
    <row r="2053">
      <c r="A2053" s="4"/>
      <c r="B2053" s="4"/>
      <c r="C2053" s="4"/>
      <c r="D2053" s="4"/>
      <c r="E2053" s="4"/>
      <c r="F2053" s="4"/>
      <c r="G2053" s="13"/>
      <c r="H2053" s="13"/>
      <c r="I2053" s="13"/>
      <c r="J2053" s="4"/>
      <c r="K2053" s="4"/>
      <c r="L2053" s="4"/>
      <c r="M2053" s="4"/>
      <c r="Q2053" s="4"/>
      <c r="R2053" s="4"/>
      <c r="S2053" s="4"/>
      <c r="T2053" s="4"/>
      <c r="U2053" s="4"/>
      <c r="V2053" s="4"/>
      <c r="W2053" s="13"/>
      <c r="X2053" s="13"/>
    </row>
    <row r="2054">
      <c r="A2054" s="4"/>
      <c r="B2054" s="4"/>
      <c r="C2054" s="4"/>
      <c r="D2054" s="4"/>
      <c r="E2054" s="4"/>
      <c r="F2054" s="4"/>
      <c r="G2054" s="13"/>
      <c r="H2054" s="13"/>
      <c r="I2054" s="13"/>
      <c r="J2054" s="4"/>
      <c r="K2054" s="4"/>
      <c r="L2054" s="4"/>
      <c r="M2054" s="4"/>
      <c r="Q2054" s="4"/>
      <c r="R2054" s="4"/>
      <c r="S2054" s="4"/>
      <c r="T2054" s="4"/>
      <c r="U2054" s="4"/>
      <c r="V2054" s="4"/>
      <c r="W2054" s="13"/>
      <c r="X2054" s="13"/>
    </row>
    <row r="2055">
      <c r="A2055" s="4"/>
      <c r="B2055" s="4"/>
      <c r="C2055" s="4"/>
      <c r="D2055" s="4"/>
      <c r="E2055" s="4"/>
      <c r="F2055" s="4"/>
      <c r="G2055" s="13"/>
      <c r="H2055" s="13"/>
      <c r="I2055" s="13"/>
      <c r="J2055" s="4"/>
      <c r="K2055" s="4"/>
      <c r="L2055" s="4"/>
      <c r="M2055" s="4"/>
      <c r="Q2055" s="4"/>
      <c r="R2055" s="4"/>
      <c r="S2055" s="4"/>
      <c r="T2055" s="4"/>
      <c r="U2055" s="4"/>
      <c r="V2055" s="4"/>
      <c r="W2055" s="13"/>
      <c r="X2055" s="13"/>
    </row>
    <row r="2056">
      <c r="A2056" s="4"/>
      <c r="B2056" s="4"/>
      <c r="C2056" s="4"/>
      <c r="D2056" s="4"/>
      <c r="E2056" s="4"/>
      <c r="F2056" s="4"/>
      <c r="G2056" s="13"/>
      <c r="H2056" s="13"/>
      <c r="I2056" s="13"/>
      <c r="J2056" s="4"/>
      <c r="K2056" s="4"/>
      <c r="L2056" s="4"/>
      <c r="M2056" s="4"/>
      <c r="Q2056" s="4"/>
      <c r="R2056" s="4"/>
      <c r="S2056" s="4"/>
      <c r="T2056" s="4"/>
      <c r="U2056" s="4"/>
      <c r="V2056" s="4"/>
      <c r="W2056" s="13"/>
      <c r="X2056" s="13"/>
    </row>
    <row r="2057">
      <c r="A2057" s="4"/>
      <c r="B2057" s="4"/>
      <c r="C2057" s="4"/>
      <c r="D2057" s="4"/>
      <c r="E2057" s="4"/>
      <c r="F2057" s="4"/>
      <c r="G2057" s="13"/>
      <c r="H2057" s="13"/>
      <c r="I2057" s="13"/>
      <c r="J2057" s="4"/>
      <c r="K2057" s="4"/>
      <c r="L2057" s="4"/>
      <c r="M2057" s="4"/>
      <c r="Q2057" s="4"/>
      <c r="R2057" s="4"/>
      <c r="S2057" s="4"/>
      <c r="T2057" s="4"/>
      <c r="U2057" s="4"/>
      <c r="V2057" s="4"/>
      <c r="W2057" s="13"/>
      <c r="X2057" s="13"/>
    </row>
    <row r="2058">
      <c r="A2058" s="4"/>
      <c r="B2058" s="4"/>
      <c r="C2058" s="4"/>
      <c r="D2058" s="4"/>
      <c r="E2058" s="4"/>
      <c r="F2058" s="4"/>
      <c r="G2058" s="13"/>
      <c r="H2058" s="13"/>
      <c r="I2058" s="13"/>
      <c r="J2058" s="4"/>
      <c r="K2058" s="4"/>
      <c r="L2058" s="4"/>
      <c r="M2058" s="4"/>
      <c r="Q2058" s="4"/>
      <c r="R2058" s="4"/>
      <c r="S2058" s="4"/>
      <c r="T2058" s="4"/>
      <c r="U2058" s="4"/>
      <c r="V2058" s="4"/>
      <c r="W2058" s="13"/>
      <c r="X2058" s="13"/>
    </row>
    <row r="2059">
      <c r="A2059" s="4"/>
      <c r="B2059" s="4"/>
      <c r="C2059" s="4"/>
      <c r="D2059" s="4"/>
      <c r="E2059" s="4"/>
      <c r="F2059" s="4"/>
      <c r="G2059" s="13"/>
      <c r="H2059" s="13"/>
      <c r="I2059" s="13"/>
      <c r="J2059" s="4"/>
      <c r="K2059" s="4"/>
      <c r="L2059" s="4"/>
      <c r="M2059" s="4"/>
      <c r="Q2059" s="4"/>
      <c r="R2059" s="4"/>
      <c r="S2059" s="4"/>
      <c r="T2059" s="4"/>
      <c r="U2059" s="4"/>
      <c r="V2059" s="4"/>
      <c r="W2059" s="13"/>
    </row>
    <row r="2060">
      <c r="A2060" s="4"/>
      <c r="B2060" s="4"/>
      <c r="C2060" s="4"/>
      <c r="D2060" s="4"/>
      <c r="E2060" s="4"/>
      <c r="F2060" s="4"/>
      <c r="G2060" s="13"/>
      <c r="H2060" s="13"/>
      <c r="I2060" s="13"/>
      <c r="J2060" s="4"/>
      <c r="K2060" s="4"/>
      <c r="L2060" s="4"/>
      <c r="M2060" s="4"/>
      <c r="Q2060" s="4"/>
      <c r="R2060" s="4"/>
      <c r="S2060" s="4"/>
      <c r="T2060" s="4"/>
      <c r="U2060" s="4"/>
      <c r="V2060" s="4"/>
      <c r="W2060" s="13"/>
    </row>
    <row r="2061">
      <c r="A2061" s="4"/>
      <c r="B2061" s="4"/>
      <c r="C2061" s="4"/>
      <c r="D2061" s="4"/>
      <c r="E2061" s="4"/>
      <c r="F2061" s="4"/>
      <c r="G2061" s="13"/>
      <c r="H2061" s="13"/>
      <c r="I2061" s="13"/>
      <c r="J2061" s="4"/>
      <c r="K2061" s="4"/>
      <c r="L2061" s="4"/>
      <c r="M2061" s="4"/>
      <c r="Q2061" s="4"/>
      <c r="R2061" s="4"/>
      <c r="S2061" s="4"/>
      <c r="T2061" s="4"/>
      <c r="U2061" s="4"/>
      <c r="V2061" s="4"/>
      <c r="W2061" s="13"/>
      <c r="X2061" s="13"/>
    </row>
    <row r="2062">
      <c r="A2062" s="4"/>
      <c r="B2062" s="4"/>
      <c r="C2062" s="4"/>
      <c r="D2062" s="4"/>
      <c r="E2062" s="4"/>
      <c r="F2062" s="4"/>
      <c r="G2062" s="13"/>
      <c r="H2062" s="13"/>
      <c r="I2062" s="13"/>
      <c r="J2062" s="4"/>
      <c r="K2062" s="4"/>
      <c r="L2062" s="4"/>
      <c r="M2062" s="4"/>
      <c r="Q2062" s="4"/>
      <c r="R2062" s="4"/>
      <c r="S2062" s="4"/>
      <c r="T2062" s="4"/>
      <c r="U2062" s="4"/>
      <c r="V2062" s="4"/>
      <c r="W2062" s="13"/>
      <c r="X2062" s="13"/>
    </row>
    <row r="2063">
      <c r="A2063" s="4"/>
      <c r="B2063" s="4"/>
      <c r="C2063" s="4"/>
      <c r="D2063" s="4"/>
      <c r="E2063" s="4"/>
      <c r="F2063" s="4"/>
      <c r="G2063" s="13"/>
      <c r="H2063" s="13"/>
      <c r="I2063" s="13"/>
      <c r="J2063" s="4"/>
      <c r="K2063" s="4"/>
      <c r="L2063" s="4"/>
      <c r="M2063" s="4"/>
      <c r="Q2063" s="4"/>
      <c r="R2063" s="4"/>
      <c r="S2063" s="4"/>
      <c r="T2063" s="4"/>
      <c r="U2063" s="4"/>
      <c r="V2063" s="4"/>
      <c r="W2063" s="13"/>
    </row>
    <row r="2064">
      <c r="A2064" s="4"/>
      <c r="B2064" s="4"/>
      <c r="C2064" s="4"/>
      <c r="D2064" s="4"/>
      <c r="E2064" s="4"/>
      <c r="F2064" s="4"/>
      <c r="G2064" s="13"/>
      <c r="H2064" s="13"/>
      <c r="I2064" s="13"/>
      <c r="J2064" s="4"/>
      <c r="K2064" s="4"/>
      <c r="L2064" s="4"/>
      <c r="M2064" s="4"/>
      <c r="Q2064" s="4"/>
      <c r="R2064" s="4"/>
      <c r="S2064" s="4"/>
      <c r="T2064" s="4"/>
      <c r="U2064" s="4"/>
      <c r="V2064" s="4"/>
      <c r="W2064" s="13"/>
    </row>
    <row r="2065">
      <c r="A2065" s="4"/>
      <c r="B2065" s="4"/>
      <c r="C2065" s="4"/>
      <c r="D2065" s="4"/>
      <c r="E2065" s="4"/>
      <c r="F2065" s="4"/>
      <c r="G2065" s="13"/>
      <c r="H2065" s="13"/>
      <c r="I2065" s="13"/>
      <c r="J2065" s="4"/>
      <c r="K2065" s="4"/>
      <c r="L2065" s="4"/>
      <c r="M2065" s="4"/>
      <c r="Q2065" s="4"/>
      <c r="R2065" s="4"/>
      <c r="S2065" s="4"/>
      <c r="T2065" s="4"/>
      <c r="U2065" s="4"/>
      <c r="V2065" s="4"/>
      <c r="W2065" s="13"/>
      <c r="X2065" s="13"/>
    </row>
    <row r="2066">
      <c r="A2066" s="4"/>
      <c r="B2066" s="4"/>
      <c r="C2066" s="4"/>
      <c r="D2066" s="4"/>
      <c r="E2066" s="4"/>
      <c r="F2066" s="4"/>
      <c r="G2066" s="13"/>
      <c r="H2066" s="13"/>
      <c r="I2066" s="13"/>
      <c r="J2066" s="4"/>
      <c r="K2066" s="4"/>
      <c r="L2066" s="4"/>
      <c r="M2066" s="4"/>
      <c r="Q2066" s="4"/>
      <c r="R2066" s="4"/>
      <c r="S2066" s="4"/>
      <c r="T2066" s="4"/>
      <c r="U2066" s="4"/>
      <c r="V2066" s="4"/>
      <c r="W2066" s="13"/>
      <c r="X2066" s="13"/>
    </row>
    <row r="2067">
      <c r="A2067" s="4"/>
      <c r="B2067" s="4"/>
      <c r="C2067" s="4"/>
      <c r="D2067" s="4"/>
      <c r="E2067" s="4"/>
      <c r="F2067" s="4"/>
      <c r="G2067" s="13"/>
      <c r="H2067" s="13"/>
      <c r="I2067" s="13"/>
      <c r="J2067" s="4"/>
      <c r="K2067" s="4"/>
      <c r="L2067" s="4"/>
      <c r="M2067" s="4"/>
      <c r="Q2067" s="4"/>
      <c r="R2067" s="4"/>
      <c r="S2067" s="4"/>
      <c r="T2067" s="4"/>
      <c r="U2067" s="4"/>
      <c r="V2067" s="4"/>
      <c r="W2067" s="13"/>
      <c r="X2067" s="13"/>
    </row>
    <row r="2068">
      <c r="A2068" s="4"/>
      <c r="B2068" s="4"/>
      <c r="C2068" s="4"/>
      <c r="D2068" s="4"/>
      <c r="E2068" s="4"/>
      <c r="F2068" s="4"/>
      <c r="G2068" s="13"/>
      <c r="H2068" s="13"/>
      <c r="I2068" s="13"/>
      <c r="J2068" s="4"/>
      <c r="K2068" s="4"/>
      <c r="L2068" s="4"/>
      <c r="M2068" s="4"/>
      <c r="Q2068" s="4"/>
      <c r="R2068" s="4"/>
      <c r="S2068" s="4"/>
      <c r="T2068" s="4"/>
      <c r="U2068" s="4"/>
      <c r="V2068" s="4"/>
      <c r="W2068" s="13"/>
      <c r="X2068" s="13"/>
    </row>
    <row r="2069">
      <c r="A2069" s="4"/>
      <c r="B2069" s="4"/>
      <c r="C2069" s="4"/>
      <c r="D2069" s="4"/>
      <c r="E2069" s="4"/>
      <c r="F2069" s="4"/>
      <c r="G2069" s="13"/>
      <c r="H2069" s="13"/>
      <c r="I2069" s="13"/>
      <c r="J2069" s="4"/>
      <c r="K2069" s="4"/>
      <c r="L2069" s="4"/>
      <c r="M2069" s="4"/>
      <c r="Q2069" s="4"/>
      <c r="R2069" s="4"/>
      <c r="S2069" s="4"/>
      <c r="T2069" s="4"/>
      <c r="U2069" s="4"/>
      <c r="V2069" s="4"/>
      <c r="W2069" s="13"/>
    </row>
    <row r="2070">
      <c r="A2070" s="4"/>
      <c r="B2070" s="4"/>
      <c r="C2070" s="4"/>
      <c r="D2070" s="4"/>
      <c r="E2070" s="4"/>
      <c r="F2070" s="4"/>
      <c r="G2070" s="13"/>
      <c r="J2070" s="4"/>
      <c r="K2070" s="4"/>
      <c r="L2070" s="4"/>
      <c r="M2070" s="4"/>
      <c r="Q2070" s="4"/>
      <c r="R2070" s="4"/>
      <c r="S2070" s="4"/>
      <c r="T2070" s="4"/>
      <c r="U2070" s="4"/>
      <c r="V2070" s="4"/>
      <c r="W2070" s="13"/>
    </row>
    <row r="2071">
      <c r="A2071" s="4"/>
      <c r="B2071" s="4"/>
      <c r="C2071" s="4"/>
      <c r="D2071" s="4"/>
      <c r="E2071" s="4"/>
      <c r="F2071" s="4"/>
      <c r="G2071" s="13"/>
      <c r="H2071" s="13"/>
      <c r="I2071" s="13"/>
      <c r="J2071" s="4"/>
      <c r="K2071" s="4"/>
      <c r="L2071" s="4"/>
      <c r="M2071" s="4"/>
      <c r="Q2071" s="4"/>
      <c r="R2071" s="4"/>
      <c r="S2071" s="4"/>
      <c r="T2071" s="4"/>
      <c r="U2071" s="4"/>
      <c r="V2071" s="4"/>
      <c r="W2071" s="13"/>
      <c r="X2071" s="13"/>
    </row>
    <row r="2072">
      <c r="A2072" s="4"/>
      <c r="B2072" s="4"/>
      <c r="C2072" s="4"/>
      <c r="D2072" s="4"/>
      <c r="E2072" s="4"/>
      <c r="F2072" s="4"/>
      <c r="G2072" s="13"/>
      <c r="H2072" s="13"/>
      <c r="I2072" s="13"/>
      <c r="J2072" s="4"/>
      <c r="K2072" s="4"/>
      <c r="L2072" s="4"/>
      <c r="M2072" s="4"/>
      <c r="Q2072" s="4"/>
      <c r="R2072" s="4"/>
      <c r="S2072" s="4"/>
      <c r="T2072" s="4"/>
      <c r="U2072" s="4"/>
      <c r="V2072" s="4"/>
      <c r="W2072" s="13"/>
      <c r="X2072" s="13"/>
    </row>
    <row r="2073">
      <c r="A2073" s="4"/>
      <c r="B2073" s="4"/>
      <c r="C2073" s="4"/>
      <c r="D2073" s="4"/>
      <c r="E2073" s="4"/>
      <c r="F2073" s="4"/>
      <c r="G2073" s="13"/>
      <c r="H2073" s="13"/>
      <c r="I2073" s="13"/>
      <c r="J2073" s="4"/>
      <c r="K2073" s="4"/>
      <c r="L2073" s="4"/>
      <c r="M2073" s="4"/>
      <c r="Q2073" s="4"/>
      <c r="R2073" s="4"/>
      <c r="S2073" s="4"/>
      <c r="T2073" s="4"/>
      <c r="U2073" s="4"/>
      <c r="V2073" s="4"/>
      <c r="W2073" s="13"/>
      <c r="X2073" s="13"/>
    </row>
    <row r="2074">
      <c r="A2074" s="4"/>
      <c r="B2074" s="4"/>
      <c r="C2074" s="4"/>
      <c r="D2074" s="4"/>
      <c r="E2074" s="4"/>
      <c r="F2074" s="4"/>
      <c r="G2074" s="13"/>
      <c r="J2074" s="4"/>
      <c r="K2074" s="4"/>
      <c r="L2074" s="4"/>
      <c r="M2074" s="4"/>
      <c r="Q2074" s="4"/>
      <c r="R2074" s="4"/>
      <c r="S2074" s="4"/>
      <c r="T2074" s="4"/>
      <c r="U2074" s="4"/>
      <c r="V2074" s="4"/>
      <c r="W2074" s="13"/>
    </row>
    <row r="2075">
      <c r="A2075" s="4"/>
      <c r="B2075" s="4"/>
      <c r="C2075" s="4"/>
      <c r="D2075" s="4"/>
      <c r="E2075" s="4"/>
      <c r="F2075" s="4"/>
      <c r="G2075" s="13"/>
      <c r="J2075" s="4"/>
      <c r="K2075" s="4"/>
      <c r="L2075" s="4"/>
      <c r="M2075" s="4"/>
      <c r="Q2075" s="4"/>
      <c r="R2075" s="4"/>
      <c r="S2075" s="4"/>
      <c r="T2075" s="4"/>
      <c r="U2075" s="4"/>
      <c r="V2075" s="4"/>
      <c r="W2075" s="13"/>
    </row>
    <row r="2076">
      <c r="A2076" s="4"/>
      <c r="B2076" s="4"/>
      <c r="C2076" s="4"/>
      <c r="D2076" s="4"/>
      <c r="E2076" s="4"/>
      <c r="F2076" s="4"/>
      <c r="G2076" s="13"/>
      <c r="J2076" s="4"/>
      <c r="K2076" s="4"/>
      <c r="L2076" s="4"/>
      <c r="M2076" s="4"/>
      <c r="Q2076" s="4"/>
      <c r="R2076" s="4"/>
      <c r="S2076" s="4"/>
      <c r="T2076" s="4"/>
      <c r="U2076" s="4"/>
      <c r="V2076" s="4"/>
      <c r="W2076" s="13"/>
    </row>
    <row r="2077">
      <c r="A2077" s="4"/>
      <c r="B2077" s="4"/>
      <c r="C2077" s="4"/>
      <c r="D2077" s="4"/>
      <c r="E2077" s="4"/>
      <c r="F2077" s="4"/>
      <c r="G2077" s="13"/>
      <c r="J2077" s="4"/>
      <c r="K2077" s="4"/>
      <c r="L2077" s="4"/>
      <c r="M2077" s="4"/>
      <c r="Q2077" s="4"/>
      <c r="R2077" s="4"/>
      <c r="S2077" s="4"/>
      <c r="T2077" s="4"/>
      <c r="U2077" s="4"/>
      <c r="V2077" s="4"/>
      <c r="W2077" s="13"/>
    </row>
    <row r="2078">
      <c r="A2078" s="4"/>
      <c r="B2078" s="4"/>
      <c r="C2078" s="4"/>
      <c r="D2078" s="4"/>
      <c r="E2078" s="4"/>
      <c r="F2078" s="4"/>
      <c r="G2078" s="13"/>
      <c r="J2078" s="4"/>
      <c r="K2078" s="4"/>
      <c r="L2078" s="4"/>
      <c r="M2078" s="4"/>
      <c r="Q2078" s="4"/>
      <c r="R2078" s="4"/>
      <c r="S2078" s="4"/>
      <c r="T2078" s="4"/>
      <c r="U2078" s="4"/>
      <c r="V2078" s="4"/>
      <c r="W2078" s="13"/>
    </row>
    <row r="2079">
      <c r="A2079" s="4"/>
      <c r="B2079" s="4"/>
      <c r="C2079" s="4"/>
      <c r="D2079" s="4"/>
      <c r="E2079" s="4"/>
      <c r="F2079" s="4"/>
      <c r="G2079" s="13"/>
      <c r="H2079" s="13"/>
      <c r="I2079" s="13"/>
      <c r="J2079" s="4"/>
      <c r="K2079" s="4"/>
      <c r="L2079" s="4"/>
      <c r="M2079" s="4"/>
      <c r="Q2079" s="4"/>
      <c r="R2079" s="4"/>
      <c r="S2079" s="4"/>
      <c r="T2079" s="4"/>
      <c r="U2079" s="4"/>
      <c r="V2079" s="4"/>
      <c r="W2079" s="13"/>
      <c r="X2079" s="13"/>
    </row>
    <row r="2080">
      <c r="A2080" s="4"/>
      <c r="B2080" s="4"/>
      <c r="C2080" s="4"/>
      <c r="D2080" s="4"/>
      <c r="E2080" s="4"/>
      <c r="F2080" s="4"/>
      <c r="G2080" s="13"/>
      <c r="J2080" s="4"/>
      <c r="K2080" s="4"/>
      <c r="L2080" s="4"/>
      <c r="M2080" s="4"/>
      <c r="Q2080" s="4"/>
      <c r="R2080" s="4"/>
      <c r="S2080" s="4"/>
      <c r="T2080" s="4"/>
      <c r="U2080" s="4"/>
      <c r="V2080" s="4"/>
      <c r="W2080" s="13"/>
    </row>
    <row r="2081">
      <c r="A2081" s="4"/>
      <c r="B2081" s="4"/>
      <c r="C2081" s="4"/>
      <c r="D2081" s="4"/>
      <c r="E2081" s="4"/>
      <c r="F2081" s="4"/>
      <c r="G2081" s="13"/>
      <c r="J2081" s="4"/>
      <c r="K2081" s="4"/>
      <c r="L2081" s="4"/>
      <c r="M2081" s="4"/>
      <c r="Q2081" s="4"/>
      <c r="R2081" s="4"/>
      <c r="S2081" s="4"/>
      <c r="T2081" s="4"/>
      <c r="U2081" s="4"/>
      <c r="V2081" s="4"/>
      <c r="W2081" s="13"/>
    </row>
    <row r="2082">
      <c r="A2082" s="4"/>
      <c r="B2082" s="4"/>
      <c r="C2082" s="4"/>
      <c r="D2082" s="4"/>
      <c r="E2082" s="4"/>
      <c r="F2082" s="4"/>
      <c r="G2082" s="13"/>
      <c r="J2082" s="4"/>
      <c r="K2082" s="4"/>
      <c r="L2082" s="4"/>
      <c r="M2082" s="4"/>
      <c r="Q2082" s="4"/>
      <c r="R2082" s="4"/>
      <c r="S2082" s="4"/>
      <c r="T2082" s="4"/>
      <c r="U2082" s="4"/>
      <c r="V2082" s="4"/>
      <c r="W2082" s="13"/>
    </row>
    <row r="2083">
      <c r="A2083" s="4"/>
      <c r="B2083" s="4"/>
      <c r="C2083" s="4"/>
      <c r="D2083" s="4"/>
      <c r="E2083" s="4"/>
      <c r="F2083" s="4"/>
      <c r="G2083" s="13"/>
      <c r="H2083" s="13"/>
      <c r="I2083" s="13"/>
      <c r="J2083" s="4"/>
      <c r="K2083" s="4"/>
      <c r="L2083" s="4"/>
      <c r="M2083" s="4"/>
      <c r="Q2083" s="4"/>
      <c r="R2083" s="4"/>
      <c r="S2083" s="4"/>
      <c r="T2083" s="4"/>
      <c r="U2083" s="4"/>
      <c r="V2083" s="4"/>
      <c r="W2083" s="13"/>
      <c r="X2083" s="13"/>
    </row>
    <row r="2084">
      <c r="A2084" s="4"/>
      <c r="B2084" s="4"/>
      <c r="C2084" s="4"/>
      <c r="D2084" s="4"/>
      <c r="E2084" s="4"/>
      <c r="F2084" s="4"/>
      <c r="G2084" s="13"/>
      <c r="H2084" s="13"/>
      <c r="I2084" s="13"/>
      <c r="J2084" s="4"/>
      <c r="K2084" s="4"/>
      <c r="L2084" s="4"/>
      <c r="M2084" s="4"/>
      <c r="Q2084" s="4"/>
      <c r="R2084" s="4"/>
      <c r="S2084" s="4"/>
      <c r="T2084" s="4"/>
      <c r="U2084" s="4"/>
      <c r="V2084" s="4"/>
      <c r="W2084" s="13"/>
      <c r="X2084" s="13"/>
    </row>
    <row r="2085">
      <c r="A2085" s="4"/>
      <c r="B2085" s="4"/>
      <c r="C2085" s="4"/>
      <c r="D2085" s="4"/>
      <c r="E2085" s="4"/>
      <c r="F2085" s="4"/>
      <c r="G2085" s="13"/>
      <c r="H2085" s="13"/>
      <c r="I2085" s="13"/>
      <c r="J2085" s="4"/>
      <c r="K2085" s="4"/>
      <c r="L2085" s="4"/>
      <c r="M2085" s="4"/>
      <c r="Q2085" s="4"/>
      <c r="R2085" s="4"/>
      <c r="S2085" s="4"/>
      <c r="T2085" s="4"/>
      <c r="U2085" s="4"/>
      <c r="V2085" s="4"/>
      <c r="W2085" s="13"/>
      <c r="X2085" s="13"/>
    </row>
    <row r="2086">
      <c r="A2086" s="4"/>
      <c r="B2086" s="4"/>
      <c r="C2086" s="4"/>
      <c r="D2086" s="4"/>
      <c r="E2086" s="4"/>
      <c r="F2086" s="4"/>
      <c r="G2086" s="13"/>
      <c r="J2086" s="4"/>
      <c r="K2086" s="4"/>
      <c r="L2086" s="4"/>
      <c r="M2086" s="4"/>
      <c r="Q2086" s="4"/>
      <c r="R2086" s="4"/>
      <c r="S2086" s="4"/>
      <c r="T2086" s="4"/>
      <c r="U2086" s="4"/>
      <c r="V2086" s="4"/>
      <c r="W2086" s="13"/>
    </row>
    <row r="2087">
      <c r="A2087" s="4"/>
      <c r="B2087" s="4"/>
      <c r="C2087" s="4"/>
      <c r="D2087" s="4"/>
      <c r="E2087" s="4"/>
      <c r="F2087" s="4"/>
      <c r="G2087" s="13"/>
      <c r="J2087" s="4"/>
      <c r="K2087" s="4"/>
      <c r="L2087" s="4"/>
      <c r="M2087" s="4"/>
      <c r="Q2087" s="4"/>
      <c r="R2087" s="4"/>
      <c r="S2087" s="4"/>
      <c r="T2087" s="4"/>
      <c r="U2087" s="4"/>
      <c r="V2087" s="4"/>
    </row>
    <row r="2088">
      <c r="A2088" s="4"/>
      <c r="B2088" s="4"/>
      <c r="C2088" s="4"/>
      <c r="D2088" s="4"/>
      <c r="E2088" s="4"/>
      <c r="F2088" s="4"/>
      <c r="G2088" s="13"/>
      <c r="H2088" s="13"/>
      <c r="I2088" s="13"/>
      <c r="J2088" s="4"/>
      <c r="K2088" s="4"/>
      <c r="L2088" s="4"/>
      <c r="M2088" s="4"/>
      <c r="Q2088" s="4"/>
      <c r="R2088" s="4"/>
      <c r="S2088" s="4"/>
      <c r="T2088" s="4"/>
      <c r="U2088" s="4"/>
      <c r="V2088" s="4"/>
      <c r="W2088" s="13"/>
      <c r="X2088" s="13"/>
    </row>
    <row r="2089">
      <c r="A2089" s="4"/>
      <c r="B2089" s="4"/>
      <c r="C2089" s="4"/>
      <c r="D2089" s="4"/>
      <c r="E2089" s="4"/>
      <c r="F2089" s="4"/>
      <c r="G2089" s="13"/>
      <c r="H2089" s="13"/>
      <c r="I2089" s="13"/>
      <c r="J2089" s="4"/>
      <c r="K2089" s="4"/>
      <c r="L2089" s="4"/>
      <c r="M2089" s="4"/>
      <c r="Q2089" s="4"/>
      <c r="R2089" s="4"/>
      <c r="S2089" s="4"/>
      <c r="T2089" s="4"/>
      <c r="U2089" s="4"/>
      <c r="V2089" s="4"/>
      <c r="W2089" s="13"/>
    </row>
    <row r="2090">
      <c r="A2090" s="4"/>
      <c r="B2090" s="4"/>
      <c r="C2090" s="4"/>
      <c r="D2090" s="4"/>
      <c r="E2090" s="4"/>
      <c r="F2090" s="4"/>
      <c r="G2090" s="13"/>
      <c r="H2090" s="13"/>
      <c r="I2090" s="13"/>
      <c r="J2090" s="4"/>
      <c r="K2090" s="4"/>
      <c r="L2090" s="4"/>
      <c r="M2090" s="4"/>
      <c r="Q2090" s="4"/>
      <c r="R2090" s="4"/>
      <c r="S2090" s="4"/>
      <c r="T2090" s="4"/>
      <c r="U2090" s="4"/>
      <c r="V2090" s="4"/>
      <c r="W2090" s="13"/>
      <c r="X2090" s="13"/>
    </row>
    <row r="2091">
      <c r="A2091" s="4"/>
      <c r="B2091" s="4"/>
      <c r="C2091" s="4"/>
      <c r="D2091" s="4"/>
      <c r="E2091" s="4"/>
      <c r="F2091" s="4"/>
      <c r="G2091" s="13"/>
      <c r="H2091" s="13"/>
      <c r="I2091" s="13"/>
      <c r="J2091" s="4"/>
      <c r="K2091" s="4"/>
      <c r="L2091" s="4"/>
      <c r="M2091" s="4"/>
      <c r="Q2091" s="4"/>
      <c r="R2091" s="4"/>
      <c r="S2091" s="4"/>
      <c r="T2091" s="4"/>
      <c r="U2091" s="4"/>
      <c r="V2091" s="4"/>
      <c r="W2091" s="13"/>
      <c r="X2091" s="13"/>
    </row>
    <row r="2092">
      <c r="A2092" s="4"/>
      <c r="B2092" s="4"/>
      <c r="C2092" s="4"/>
      <c r="D2092" s="4"/>
      <c r="E2092" s="4"/>
      <c r="F2092" s="4"/>
      <c r="G2092" s="13"/>
      <c r="H2092" s="13"/>
      <c r="I2092" s="13"/>
      <c r="J2092" s="4"/>
      <c r="K2092" s="4"/>
      <c r="L2092" s="4"/>
      <c r="M2092" s="4"/>
      <c r="Q2092" s="4"/>
      <c r="R2092" s="4"/>
      <c r="S2092" s="4"/>
      <c r="T2092" s="4"/>
      <c r="U2092" s="4"/>
      <c r="V2092" s="4"/>
      <c r="W2092" s="13"/>
      <c r="X2092" s="13"/>
    </row>
    <row r="2093">
      <c r="A2093" s="4"/>
      <c r="B2093" s="4"/>
      <c r="C2093" s="4"/>
      <c r="D2093" s="4"/>
      <c r="E2093" s="4"/>
      <c r="F2093" s="4"/>
      <c r="G2093" s="13"/>
      <c r="H2093" s="13"/>
      <c r="I2093" s="13"/>
      <c r="J2093" s="4"/>
      <c r="K2093" s="4"/>
      <c r="L2093" s="4"/>
      <c r="M2093" s="4"/>
      <c r="Q2093" s="4"/>
      <c r="R2093" s="4"/>
      <c r="S2093" s="4"/>
      <c r="T2093" s="4"/>
      <c r="U2093" s="4"/>
      <c r="V2093" s="4"/>
      <c r="W2093" s="13"/>
      <c r="X2093" s="13"/>
    </row>
    <row r="2094">
      <c r="A2094" s="4"/>
      <c r="B2094" s="4"/>
      <c r="C2094" s="4"/>
      <c r="D2094" s="4"/>
      <c r="E2094" s="4"/>
      <c r="F2094" s="4"/>
      <c r="G2094" s="13"/>
      <c r="H2094" s="13"/>
      <c r="I2094" s="13"/>
      <c r="J2094" s="4"/>
      <c r="K2094" s="4"/>
      <c r="L2094" s="4"/>
      <c r="M2094" s="4"/>
      <c r="Q2094" s="4"/>
      <c r="R2094" s="4"/>
      <c r="S2094" s="4"/>
      <c r="T2094" s="4"/>
      <c r="U2094" s="4"/>
      <c r="V2094" s="4"/>
      <c r="W2094" s="13"/>
      <c r="X2094" s="13"/>
    </row>
    <row r="2095">
      <c r="A2095" s="4"/>
      <c r="B2095" s="4"/>
      <c r="C2095" s="4"/>
      <c r="D2095" s="4"/>
      <c r="E2095" s="4"/>
      <c r="F2095" s="4"/>
      <c r="G2095" s="13"/>
      <c r="H2095" s="13"/>
      <c r="I2095" s="13"/>
      <c r="J2095" s="4"/>
      <c r="K2095" s="4"/>
      <c r="L2095" s="4"/>
      <c r="M2095" s="4"/>
      <c r="Q2095" s="4"/>
      <c r="R2095" s="4"/>
      <c r="S2095" s="4"/>
      <c r="T2095" s="4"/>
      <c r="U2095" s="4"/>
      <c r="V2095" s="4"/>
      <c r="W2095" s="13"/>
      <c r="X2095" s="13"/>
    </row>
    <row r="2096">
      <c r="A2096" s="4"/>
      <c r="B2096" s="4"/>
      <c r="C2096" s="4"/>
      <c r="D2096" s="4"/>
      <c r="E2096" s="4"/>
      <c r="F2096" s="4"/>
      <c r="G2096" s="13"/>
      <c r="H2096" s="13"/>
      <c r="I2096" s="13"/>
      <c r="J2096" s="4"/>
      <c r="K2096" s="4"/>
      <c r="L2096" s="4"/>
      <c r="M2096" s="4"/>
      <c r="Q2096" s="4"/>
      <c r="R2096" s="4"/>
      <c r="S2096" s="4"/>
      <c r="T2096" s="4"/>
      <c r="U2096" s="4"/>
      <c r="V2096" s="4"/>
      <c r="W2096" s="13"/>
      <c r="X2096" s="13"/>
    </row>
    <row r="2097">
      <c r="A2097" s="4"/>
      <c r="B2097" s="4"/>
      <c r="C2097" s="4"/>
      <c r="D2097" s="4"/>
      <c r="E2097" s="4"/>
      <c r="F2097" s="4"/>
      <c r="G2097" s="13"/>
      <c r="H2097" s="13"/>
      <c r="I2097" s="13"/>
      <c r="J2097" s="4"/>
      <c r="K2097" s="4"/>
      <c r="L2097" s="4"/>
      <c r="M2097" s="4"/>
      <c r="Q2097" s="4"/>
      <c r="R2097" s="4"/>
      <c r="S2097" s="4"/>
      <c r="T2097" s="4"/>
      <c r="U2097" s="4"/>
      <c r="V2097" s="4"/>
      <c r="W2097" s="13"/>
      <c r="X2097" s="13"/>
    </row>
    <row r="2098">
      <c r="A2098" s="4"/>
      <c r="B2098" s="4"/>
      <c r="C2098" s="4"/>
      <c r="D2098" s="4"/>
      <c r="E2098" s="4"/>
      <c r="F2098" s="4"/>
      <c r="G2098" s="13"/>
      <c r="H2098" s="13"/>
      <c r="I2098" s="13"/>
      <c r="J2098" s="4"/>
      <c r="K2098" s="4"/>
      <c r="L2098" s="4"/>
      <c r="M2098" s="4"/>
      <c r="Q2098" s="4"/>
      <c r="R2098" s="4"/>
      <c r="S2098" s="4"/>
      <c r="T2098" s="4"/>
      <c r="U2098" s="4"/>
      <c r="V2098" s="4"/>
      <c r="W2098" s="13"/>
      <c r="X2098" s="13"/>
    </row>
    <row r="2099">
      <c r="A2099" s="4"/>
      <c r="B2099" s="4"/>
      <c r="C2099" s="4"/>
      <c r="D2099" s="4"/>
      <c r="E2099" s="4"/>
      <c r="F2099" s="4"/>
      <c r="G2099" s="13"/>
      <c r="H2099" s="13"/>
      <c r="I2099" s="13"/>
      <c r="J2099" s="4"/>
      <c r="K2099" s="4"/>
      <c r="L2099" s="4"/>
      <c r="M2099" s="4"/>
      <c r="Q2099" s="4"/>
      <c r="R2099" s="4"/>
      <c r="S2099" s="4"/>
      <c r="T2099" s="4"/>
      <c r="U2099" s="4"/>
      <c r="V2099" s="4"/>
      <c r="W2099" s="13"/>
      <c r="X2099" s="13"/>
    </row>
    <row r="2100">
      <c r="A2100" s="4"/>
      <c r="B2100" s="4"/>
      <c r="C2100" s="4"/>
      <c r="D2100" s="4"/>
      <c r="E2100" s="4"/>
      <c r="F2100" s="4"/>
      <c r="G2100" s="13"/>
      <c r="H2100" s="13"/>
      <c r="I2100" s="13"/>
      <c r="J2100" s="4"/>
      <c r="K2100" s="4"/>
      <c r="L2100" s="4"/>
      <c r="M2100" s="4"/>
      <c r="Q2100" s="4"/>
      <c r="R2100" s="4"/>
      <c r="S2100" s="4"/>
      <c r="T2100" s="4"/>
      <c r="U2100" s="4"/>
      <c r="V2100" s="4"/>
      <c r="W2100" s="13"/>
    </row>
    <row r="2101">
      <c r="A2101" s="4"/>
      <c r="B2101" s="4"/>
      <c r="C2101" s="4"/>
      <c r="D2101" s="4"/>
      <c r="E2101" s="4"/>
      <c r="F2101" s="4"/>
      <c r="G2101" s="13"/>
      <c r="H2101" s="13"/>
      <c r="I2101" s="13"/>
      <c r="J2101" s="4"/>
      <c r="K2101" s="4"/>
      <c r="L2101" s="4"/>
      <c r="M2101" s="4"/>
      <c r="Q2101" s="4"/>
      <c r="R2101" s="4"/>
      <c r="S2101" s="4"/>
      <c r="T2101" s="4"/>
      <c r="U2101" s="4"/>
      <c r="V2101" s="4"/>
      <c r="W2101" s="13"/>
      <c r="X2101" s="13"/>
    </row>
    <row r="2102">
      <c r="A2102" s="4"/>
      <c r="B2102" s="4"/>
      <c r="C2102" s="4"/>
      <c r="D2102" s="4"/>
      <c r="E2102" s="4"/>
      <c r="F2102" s="4"/>
      <c r="G2102" s="13"/>
      <c r="H2102" s="13"/>
      <c r="I2102" s="13"/>
      <c r="J2102" s="4"/>
      <c r="K2102" s="4"/>
      <c r="L2102" s="4"/>
      <c r="M2102" s="4"/>
      <c r="Q2102" s="4"/>
      <c r="R2102" s="4"/>
      <c r="S2102" s="4"/>
      <c r="T2102" s="4"/>
      <c r="U2102" s="4"/>
      <c r="V2102" s="4"/>
      <c r="W2102" s="13"/>
      <c r="X2102" s="13"/>
    </row>
    <row r="2103">
      <c r="A2103" s="4"/>
      <c r="B2103" s="4"/>
      <c r="C2103" s="4"/>
      <c r="D2103" s="4"/>
      <c r="E2103" s="4"/>
      <c r="F2103" s="4"/>
      <c r="G2103" s="13"/>
      <c r="H2103" s="13"/>
      <c r="I2103" s="13"/>
      <c r="J2103" s="4"/>
      <c r="K2103" s="4"/>
      <c r="L2103" s="4"/>
      <c r="M2103" s="4"/>
      <c r="Q2103" s="4"/>
      <c r="R2103" s="4"/>
      <c r="S2103" s="4"/>
      <c r="T2103" s="4"/>
      <c r="U2103" s="4"/>
      <c r="V2103" s="4"/>
      <c r="W2103" s="13"/>
      <c r="X2103" s="13"/>
    </row>
    <row r="2104">
      <c r="A2104" s="4"/>
      <c r="B2104" s="4"/>
      <c r="C2104" s="4"/>
      <c r="D2104" s="4"/>
      <c r="E2104" s="4"/>
      <c r="F2104" s="4"/>
      <c r="G2104" s="13"/>
      <c r="J2104" s="4"/>
      <c r="K2104" s="4"/>
      <c r="L2104" s="4"/>
      <c r="M2104" s="4"/>
      <c r="Q2104" s="4"/>
      <c r="R2104" s="4"/>
      <c r="S2104" s="4"/>
      <c r="T2104" s="4"/>
      <c r="U2104" s="4"/>
      <c r="V2104" s="4"/>
      <c r="W2104" s="13"/>
    </row>
    <row r="2105">
      <c r="A2105" s="4"/>
      <c r="B2105" s="4"/>
      <c r="C2105" s="4"/>
      <c r="D2105" s="4"/>
      <c r="E2105" s="4"/>
      <c r="F2105" s="4"/>
      <c r="G2105" s="13"/>
      <c r="H2105" s="13"/>
      <c r="I2105" s="13"/>
      <c r="J2105" s="4"/>
      <c r="K2105" s="4"/>
      <c r="L2105" s="4"/>
      <c r="M2105" s="4"/>
      <c r="Q2105" s="4"/>
      <c r="R2105" s="4"/>
      <c r="S2105" s="4"/>
      <c r="T2105" s="4"/>
      <c r="U2105" s="4"/>
      <c r="V2105" s="4"/>
      <c r="W2105" s="13"/>
      <c r="X2105" s="13"/>
    </row>
    <row r="2106">
      <c r="A2106" s="4"/>
      <c r="B2106" s="4"/>
      <c r="C2106" s="4"/>
      <c r="D2106" s="4"/>
      <c r="E2106" s="4"/>
      <c r="F2106" s="4"/>
      <c r="G2106" s="13"/>
      <c r="H2106" s="13"/>
      <c r="I2106" s="13"/>
      <c r="J2106" s="4"/>
      <c r="K2106" s="4"/>
      <c r="L2106" s="4"/>
      <c r="M2106" s="4"/>
      <c r="Q2106" s="4"/>
      <c r="R2106" s="4"/>
      <c r="S2106" s="4"/>
      <c r="T2106" s="4"/>
      <c r="U2106" s="4"/>
      <c r="V2106" s="4"/>
      <c r="W2106" s="13"/>
      <c r="X2106" s="13"/>
    </row>
    <row r="2107">
      <c r="A2107" s="4"/>
      <c r="B2107" s="4"/>
      <c r="C2107" s="4"/>
      <c r="D2107" s="4"/>
      <c r="E2107" s="4"/>
      <c r="F2107" s="4"/>
      <c r="G2107" s="13"/>
      <c r="H2107" s="13"/>
      <c r="I2107" s="13"/>
      <c r="J2107" s="4"/>
      <c r="K2107" s="4"/>
      <c r="L2107" s="4"/>
      <c r="M2107" s="4"/>
      <c r="Q2107" s="4"/>
      <c r="R2107" s="4"/>
      <c r="S2107" s="4"/>
      <c r="T2107" s="4"/>
      <c r="U2107" s="4"/>
      <c r="V2107" s="4"/>
      <c r="W2107" s="13"/>
      <c r="X2107" s="13"/>
    </row>
    <row r="2108">
      <c r="A2108" s="4"/>
      <c r="B2108" s="4"/>
      <c r="C2108" s="4"/>
      <c r="D2108" s="4"/>
      <c r="E2108" s="4"/>
      <c r="F2108" s="4"/>
      <c r="G2108" s="13"/>
      <c r="H2108" s="13"/>
      <c r="I2108" s="13"/>
      <c r="J2108" s="4"/>
      <c r="K2108" s="4"/>
      <c r="L2108" s="4"/>
      <c r="M2108" s="4"/>
      <c r="Q2108" s="4"/>
      <c r="R2108" s="4"/>
      <c r="S2108" s="4"/>
      <c r="T2108" s="4"/>
      <c r="U2108" s="4"/>
      <c r="V2108" s="4"/>
      <c r="W2108" s="13"/>
    </row>
    <row r="2109">
      <c r="A2109" s="4"/>
      <c r="B2109" s="4"/>
      <c r="C2109" s="4"/>
      <c r="D2109" s="4"/>
      <c r="E2109" s="4"/>
      <c r="F2109" s="4"/>
      <c r="G2109" s="13"/>
      <c r="H2109" s="13"/>
      <c r="I2109" s="13"/>
      <c r="J2109" s="4"/>
      <c r="K2109" s="4"/>
      <c r="L2109" s="4"/>
      <c r="M2109" s="4"/>
      <c r="Q2109" s="4"/>
      <c r="R2109" s="4"/>
      <c r="S2109" s="4"/>
      <c r="T2109" s="4"/>
      <c r="U2109" s="4"/>
      <c r="V2109" s="4"/>
      <c r="W2109" s="13"/>
      <c r="X2109" s="13"/>
    </row>
    <row r="2110">
      <c r="A2110" s="4"/>
      <c r="B2110" s="4"/>
      <c r="C2110" s="4"/>
      <c r="D2110" s="4"/>
      <c r="E2110" s="4"/>
      <c r="F2110" s="4"/>
      <c r="G2110" s="13"/>
      <c r="H2110" s="13"/>
      <c r="I2110" s="13"/>
      <c r="J2110" s="4"/>
      <c r="K2110" s="4"/>
      <c r="L2110" s="4"/>
      <c r="M2110" s="4"/>
      <c r="Q2110" s="4"/>
      <c r="R2110" s="4"/>
      <c r="S2110" s="4"/>
      <c r="T2110" s="4"/>
      <c r="U2110" s="4"/>
      <c r="V2110" s="4"/>
      <c r="W2110" s="13"/>
      <c r="X2110" s="13"/>
    </row>
    <row r="2111">
      <c r="A2111" s="4"/>
      <c r="B2111" s="4"/>
      <c r="C2111" s="4"/>
      <c r="D2111" s="4"/>
      <c r="E2111" s="4"/>
      <c r="F2111" s="4"/>
      <c r="G2111" s="13"/>
      <c r="H2111" s="13"/>
      <c r="I2111" s="13"/>
      <c r="J2111" s="4"/>
      <c r="K2111" s="4"/>
      <c r="L2111" s="4"/>
      <c r="M2111" s="4"/>
      <c r="Q2111" s="4"/>
      <c r="R2111" s="4"/>
      <c r="S2111" s="4"/>
      <c r="T2111" s="4"/>
      <c r="U2111" s="4"/>
      <c r="V2111" s="4"/>
      <c r="W2111" s="13"/>
      <c r="X2111" s="13"/>
    </row>
    <row r="2112">
      <c r="A2112" s="4"/>
      <c r="B2112" s="4"/>
      <c r="C2112" s="4"/>
      <c r="D2112" s="4"/>
      <c r="E2112" s="4"/>
      <c r="F2112" s="4"/>
      <c r="G2112" s="13"/>
      <c r="H2112" s="13"/>
      <c r="I2112" s="13"/>
      <c r="J2112" s="4"/>
      <c r="K2112" s="4"/>
      <c r="L2112" s="4"/>
      <c r="M2112" s="4"/>
      <c r="Q2112" s="4"/>
      <c r="R2112" s="4"/>
      <c r="S2112" s="4"/>
      <c r="T2112" s="4"/>
      <c r="U2112" s="4"/>
      <c r="V2112" s="4"/>
      <c r="W2112" s="13"/>
    </row>
    <row r="2113">
      <c r="A2113" s="4"/>
      <c r="B2113" s="4"/>
      <c r="C2113" s="4"/>
      <c r="D2113" s="4"/>
      <c r="E2113" s="4"/>
      <c r="F2113" s="4"/>
      <c r="G2113" s="13"/>
      <c r="H2113" s="13"/>
      <c r="I2113" s="13"/>
      <c r="J2113" s="4"/>
      <c r="K2113" s="4"/>
      <c r="L2113" s="4"/>
      <c r="M2113" s="4"/>
      <c r="Q2113" s="4"/>
      <c r="R2113" s="4"/>
      <c r="S2113" s="4"/>
      <c r="T2113" s="4"/>
      <c r="U2113" s="4"/>
      <c r="V2113" s="4"/>
      <c r="W2113" s="13"/>
      <c r="X2113" s="13"/>
    </row>
    <row r="2114">
      <c r="A2114" s="4"/>
      <c r="B2114" s="4"/>
      <c r="C2114" s="4"/>
      <c r="D2114" s="4"/>
      <c r="E2114" s="4"/>
      <c r="F2114" s="4"/>
      <c r="G2114" s="13"/>
      <c r="H2114" s="13"/>
      <c r="I2114" s="13"/>
      <c r="J2114" s="4"/>
      <c r="K2114" s="4"/>
      <c r="L2114" s="4"/>
      <c r="M2114" s="4"/>
      <c r="Q2114" s="4"/>
      <c r="R2114" s="4"/>
      <c r="S2114" s="4"/>
      <c r="T2114" s="4"/>
      <c r="U2114" s="4"/>
      <c r="V2114" s="4"/>
      <c r="W2114" s="13"/>
    </row>
    <row r="2115">
      <c r="A2115" s="4"/>
      <c r="B2115" s="4"/>
      <c r="C2115" s="4"/>
      <c r="D2115" s="4"/>
      <c r="E2115" s="4"/>
      <c r="F2115" s="4"/>
      <c r="G2115" s="13"/>
      <c r="H2115" s="13"/>
      <c r="I2115" s="13"/>
      <c r="J2115" s="4"/>
      <c r="K2115" s="4"/>
      <c r="L2115" s="4"/>
      <c r="M2115" s="4"/>
      <c r="Q2115" s="4"/>
      <c r="R2115" s="4"/>
      <c r="S2115" s="4"/>
      <c r="T2115" s="4"/>
      <c r="U2115" s="4"/>
      <c r="V2115" s="4"/>
      <c r="W2115" s="13"/>
    </row>
    <row r="2116">
      <c r="A2116" s="4"/>
      <c r="B2116" s="4"/>
      <c r="C2116" s="4"/>
      <c r="D2116" s="4"/>
      <c r="E2116" s="4"/>
      <c r="F2116" s="4"/>
      <c r="G2116" s="13"/>
      <c r="H2116" s="13"/>
      <c r="I2116" s="13"/>
      <c r="J2116" s="4"/>
      <c r="K2116" s="4"/>
      <c r="L2116" s="4"/>
      <c r="M2116" s="4"/>
      <c r="Q2116" s="4"/>
      <c r="R2116" s="4"/>
      <c r="S2116" s="4"/>
      <c r="T2116" s="4"/>
      <c r="U2116" s="4"/>
      <c r="V2116" s="4"/>
      <c r="W2116" s="13"/>
    </row>
    <row r="2117">
      <c r="A2117" s="4"/>
      <c r="B2117" s="4"/>
      <c r="C2117" s="4"/>
      <c r="D2117" s="4"/>
      <c r="E2117" s="4"/>
      <c r="F2117" s="4"/>
      <c r="G2117" s="13"/>
      <c r="H2117" s="13"/>
      <c r="I2117" s="13"/>
      <c r="J2117" s="4"/>
      <c r="K2117" s="4"/>
      <c r="L2117" s="4"/>
      <c r="M2117" s="4"/>
      <c r="Q2117" s="4"/>
      <c r="R2117" s="4"/>
      <c r="S2117" s="4"/>
      <c r="T2117" s="4"/>
      <c r="U2117" s="4"/>
      <c r="V2117" s="4"/>
      <c r="W2117" s="13"/>
      <c r="X2117" s="13"/>
    </row>
    <row r="2118">
      <c r="A2118" s="4"/>
      <c r="B2118" s="4"/>
      <c r="C2118" s="4"/>
      <c r="D2118" s="4"/>
      <c r="E2118" s="4"/>
      <c r="F2118" s="4"/>
      <c r="G2118" s="13"/>
      <c r="H2118" s="13"/>
      <c r="I2118" s="13"/>
      <c r="J2118" s="4"/>
      <c r="K2118" s="4"/>
      <c r="L2118" s="4"/>
      <c r="M2118" s="4"/>
      <c r="Q2118" s="4"/>
      <c r="R2118" s="4"/>
      <c r="S2118" s="4"/>
      <c r="T2118" s="4"/>
      <c r="U2118" s="4"/>
      <c r="V2118" s="4"/>
      <c r="W2118" s="13"/>
      <c r="X2118" s="13"/>
    </row>
    <row r="2119">
      <c r="A2119" s="4"/>
      <c r="B2119" s="4"/>
      <c r="C2119" s="4"/>
      <c r="D2119" s="4"/>
      <c r="E2119" s="4"/>
      <c r="F2119" s="4"/>
      <c r="G2119" s="13"/>
      <c r="H2119" s="13"/>
      <c r="I2119" s="13"/>
      <c r="J2119" s="4"/>
      <c r="K2119" s="4"/>
      <c r="L2119" s="4"/>
      <c r="M2119" s="4"/>
      <c r="Q2119" s="4"/>
      <c r="R2119" s="4"/>
      <c r="S2119" s="4"/>
      <c r="T2119" s="4"/>
      <c r="U2119" s="4"/>
      <c r="V2119" s="4"/>
      <c r="W2119" s="13"/>
      <c r="X2119" s="13"/>
    </row>
    <row r="2120">
      <c r="A2120" s="4"/>
      <c r="B2120" s="4"/>
      <c r="C2120" s="4"/>
      <c r="D2120" s="4"/>
      <c r="E2120" s="4"/>
      <c r="F2120" s="4"/>
      <c r="G2120" s="13"/>
      <c r="H2120" s="13"/>
      <c r="I2120" s="13"/>
      <c r="J2120" s="4"/>
      <c r="K2120" s="4"/>
      <c r="L2120" s="4"/>
      <c r="M2120" s="4"/>
      <c r="Q2120" s="4"/>
      <c r="R2120" s="4"/>
      <c r="S2120" s="4"/>
      <c r="T2120" s="4"/>
      <c r="U2120" s="4"/>
      <c r="V2120" s="4"/>
      <c r="W2120" s="13"/>
    </row>
    <row r="2121">
      <c r="A2121" s="4"/>
      <c r="B2121" s="4"/>
      <c r="C2121" s="4"/>
      <c r="D2121" s="4"/>
      <c r="E2121" s="4"/>
      <c r="F2121" s="4"/>
      <c r="G2121" s="13"/>
      <c r="H2121" s="13"/>
      <c r="I2121" s="13"/>
      <c r="J2121" s="4"/>
      <c r="K2121" s="4"/>
      <c r="L2121" s="4"/>
      <c r="M2121" s="4"/>
      <c r="Q2121" s="4"/>
      <c r="R2121" s="4"/>
      <c r="S2121" s="4"/>
      <c r="T2121" s="4"/>
      <c r="U2121" s="4"/>
      <c r="V2121" s="4"/>
      <c r="W2121" s="13"/>
      <c r="X2121" s="13"/>
    </row>
    <row r="2122">
      <c r="A2122" s="4"/>
      <c r="B2122" s="4"/>
      <c r="C2122" s="4"/>
      <c r="D2122" s="4"/>
      <c r="E2122" s="4"/>
      <c r="F2122" s="4"/>
      <c r="G2122" s="13"/>
      <c r="H2122" s="13"/>
      <c r="I2122" s="13"/>
      <c r="J2122" s="4"/>
      <c r="K2122" s="4"/>
      <c r="L2122" s="4"/>
      <c r="M2122" s="4"/>
      <c r="Q2122" s="4"/>
      <c r="R2122" s="4"/>
      <c r="S2122" s="4"/>
      <c r="T2122" s="4"/>
      <c r="U2122" s="4"/>
      <c r="V2122" s="4"/>
      <c r="W2122" s="13"/>
      <c r="X2122" s="13"/>
    </row>
    <row r="2123">
      <c r="A2123" s="4"/>
      <c r="B2123" s="4"/>
      <c r="C2123" s="4"/>
      <c r="D2123" s="4"/>
      <c r="E2123" s="4"/>
      <c r="F2123" s="4"/>
      <c r="G2123" s="13"/>
      <c r="H2123" s="13"/>
      <c r="I2123" s="13"/>
      <c r="J2123" s="4"/>
      <c r="K2123" s="4"/>
      <c r="L2123" s="4"/>
      <c r="M2123" s="4"/>
      <c r="Q2123" s="4"/>
      <c r="R2123" s="4"/>
      <c r="S2123" s="4"/>
      <c r="T2123" s="4"/>
      <c r="U2123" s="4"/>
      <c r="V2123" s="4"/>
      <c r="W2123" s="13"/>
      <c r="X2123" s="13"/>
    </row>
    <row r="2124">
      <c r="A2124" s="4"/>
      <c r="B2124" s="4"/>
      <c r="C2124" s="4"/>
      <c r="D2124" s="4"/>
      <c r="E2124" s="4"/>
      <c r="F2124" s="4"/>
      <c r="G2124" s="13"/>
      <c r="H2124" s="13"/>
      <c r="I2124" s="13"/>
      <c r="J2124" s="4"/>
      <c r="K2124" s="4"/>
      <c r="L2124" s="4"/>
      <c r="M2124" s="4"/>
      <c r="Q2124" s="4"/>
      <c r="R2124" s="4"/>
      <c r="S2124" s="4"/>
      <c r="T2124" s="4"/>
      <c r="U2124" s="4"/>
      <c r="V2124" s="4"/>
      <c r="W2124" s="13"/>
      <c r="X2124" s="13"/>
    </row>
    <row r="2125">
      <c r="A2125" s="4"/>
      <c r="B2125" s="4"/>
      <c r="C2125" s="4"/>
      <c r="D2125" s="4"/>
      <c r="E2125" s="4"/>
      <c r="F2125" s="4"/>
      <c r="G2125" s="13"/>
      <c r="H2125" s="13"/>
      <c r="I2125" s="13"/>
      <c r="J2125" s="4"/>
      <c r="K2125" s="4"/>
      <c r="L2125" s="4"/>
      <c r="M2125" s="4"/>
      <c r="Q2125" s="4"/>
      <c r="R2125" s="4"/>
      <c r="S2125" s="4"/>
      <c r="T2125" s="4"/>
      <c r="U2125" s="4"/>
      <c r="V2125" s="4"/>
      <c r="W2125" s="13"/>
      <c r="X2125" s="13"/>
    </row>
    <row r="2126">
      <c r="A2126" s="4"/>
      <c r="B2126" s="4"/>
      <c r="C2126" s="4"/>
      <c r="D2126" s="4"/>
      <c r="E2126" s="4"/>
      <c r="F2126" s="4"/>
      <c r="G2126" s="13"/>
      <c r="H2126" s="13"/>
      <c r="I2126" s="13"/>
      <c r="J2126" s="4"/>
      <c r="K2126" s="4"/>
      <c r="L2126" s="4"/>
      <c r="M2126" s="4"/>
      <c r="Q2126" s="4"/>
      <c r="R2126" s="4"/>
      <c r="S2126" s="4"/>
      <c r="T2126" s="4"/>
      <c r="U2126" s="4"/>
      <c r="V2126" s="4"/>
      <c r="W2126" s="13"/>
    </row>
    <row r="2127">
      <c r="A2127" s="4"/>
      <c r="B2127" s="4"/>
      <c r="C2127" s="4"/>
      <c r="D2127" s="4"/>
      <c r="E2127" s="4"/>
      <c r="F2127" s="4"/>
      <c r="G2127" s="13"/>
      <c r="H2127" s="13"/>
      <c r="I2127" s="13"/>
      <c r="J2127" s="4"/>
      <c r="K2127" s="4"/>
      <c r="L2127" s="4"/>
      <c r="M2127" s="4"/>
      <c r="Q2127" s="4"/>
      <c r="R2127" s="4"/>
      <c r="S2127" s="4"/>
      <c r="T2127" s="4"/>
      <c r="U2127" s="4"/>
      <c r="V2127" s="4"/>
      <c r="W2127" s="13"/>
      <c r="X2127" s="13"/>
    </row>
    <row r="2128">
      <c r="A2128" s="4"/>
      <c r="B2128" s="4"/>
      <c r="C2128" s="4"/>
      <c r="D2128" s="4"/>
      <c r="E2128" s="4"/>
      <c r="F2128" s="4"/>
      <c r="G2128" s="13"/>
      <c r="H2128" s="13"/>
      <c r="I2128" s="13"/>
      <c r="J2128" s="4"/>
      <c r="K2128" s="4"/>
      <c r="L2128" s="4"/>
      <c r="M2128" s="4"/>
      <c r="Q2128" s="4"/>
      <c r="R2128" s="4"/>
      <c r="S2128" s="4"/>
      <c r="T2128" s="4"/>
      <c r="U2128" s="4"/>
      <c r="V2128" s="4"/>
      <c r="W2128" s="13"/>
      <c r="X2128" s="13"/>
    </row>
    <row r="2129">
      <c r="A2129" s="4"/>
      <c r="B2129" s="4"/>
      <c r="C2129" s="4"/>
      <c r="D2129" s="4"/>
      <c r="E2129" s="4"/>
      <c r="F2129" s="4"/>
      <c r="G2129" s="13"/>
      <c r="H2129" s="13"/>
      <c r="I2129" s="13"/>
      <c r="J2129" s="4"/>
      <c r="K2129" s="4"/>
      <c r="L2129" s="4"/>
      <c r="M2129" s="4"/>
      <c r="Q2129" s="4"/>
      <c r="R2129" s="4"/>
      <c r="S2129" s="4"/>
      <c r="T2129" s="4"/>
      <c r="U2129" s="4"/>
      <c r="V2129" s="4"/>
      <c r="W2129" s="13"/>
      <c r="X2129" s="13"/>
    </row>
    <row r="2130">
      <c r="A2130" s="4"/>
      <c r="B2130" s="4"/>
      <c r="C2130" s="4"/>
      <c r="D2130" s="4"/>
      <c r="E2130" s="4"/>
      <c r="F2130" s="4"/>
      <c r="G2130" s="13"/>
      <c r="H2130" s="13"/>
      <c r="I2130" s="13"/>
      <c r="J2130" s="4"/>
      <c r="K2130" s="4"/>
      <c r="L2130" s="4"/>
      <c r="M2130" s="4"/>
      <c r="Q2130" s="4"/>
      <c r="R2130" s="4"/>
      <c r="S2130" s="4"/>
      <c r="T2130" s="4"/>
      <c r="U2130" s="4"/>
      <c r="V2130" s="4"/>
      <c r="W2130" s="13"/>
      <c r="X2130" s="13"/>
    </row>
    <row r="2131">
      <c r="A2131" s="4"/>
      <c r="B2131" s="4"/>
      <c r="C2131" s="4"/>
      <c r="D2131" s="4"/>
      <c r="E2131" s="4"/>
      <c r="F2131" s="4"/>
      <c r="G2131" s="13"/>
      <c r="H2131" s="13"/>
      <c r="I2131" s="13"/>
      <c r="J2131" s="4"/>
      <c r="K2131" s="4"/>
      <c r="L2131" s="4"/>
      <c r="M2131" s="4"/>
      <c r="Q2131" s="4"/>
      <c r="R2131" s="4"/>
      <c r="S2131" s="4"/>
      <c r="T2131" s="4"/>
      <c r="U2131" s="4"/>
      <c r="V2131" s="4"/>
      <c r="W2131" s="13"/>
    </row>
    <row r="2132">
      <c r="A2132" s="4"/>
      <c r="B2132" s="4"/>
      <c r="C2132" s="4"/>
      <c r="D2132" s="4"/>
      <c r="E2132" s="4"/>
      <c r="F2132" s="4"/>
      <c r="G2132" s="13"/>
      <c r="H2132" s="13"/>
      <c r="I2132" s="13"/>
      <c r="J2132" s="4"/>
      <c r="K2132" s="4"/>
      <c r="L2132" s="4"/>
      <c r="M2132" s="4"/>
      <c r="Q2132" s="4"/>
      <c r="R2132" s="4"/>
      <c r="S2132" s="4"/>
      <c r="T2132" s="4"/>
      <c r="U2132" s="4"/>
      <c r="V2132" s="4"/>
      <c r="W2132" s="13"/>
    </row>
    <row r="2133">
      <c r="A2133" s="4"/>
      <c r="B2133" s="4"/>
      <c r="C2133" s="4"/>
      <c r="D2133" s="4"/>
      <c r="E2133" s="4"/>
      <c r="F2133" s="4"/>
      <c r="G2133" s="13"/>
      <c r="H2133" s="13"/>
      <c r="I2133" s="13"/>
      <c r="J2133" s="4"/>
      <c r="K2133" s="4"/>
      <c r="L2133" s="4"/>
      <c r="M2133" s="4"/>
      <c r="Q2133" s="4"/>
      <c r="R2133" s="4"/>
      <c r="S2133" s="4"/>
      <c r="T2133" s="4"/>
      <c r="U2133" s="4"/>
      <c r="V2133" s="4"/>
      <c r="W2133" s="13"/>
      <c r="X2133" s="13"/>
    </row>
    <row r="2134">
      <c r="A2134" s="4"/>
      <c r="B2134" s="4"/>
      <c r="C2134" s="4"/>
      <c r="D2134" s="4"/>
      <c r="E2134" s="4"/>
      <c r="F2134" s="4"/>
      <c r="G2134" s="13"/>
      <c r="H2134" s="13"/>
      <c r="I2134" s="13"/>
      <c r="J2134" s="4"/>
      <c r="K2134" s="4"/>
      <c r="L2134" s="4"/>
      <c r="M2134" s="4"/>
      <c r="Q2134" s="4"/>
      <c r="R2134" s="4"/>
      <c r="S2134" s="4"/>
      <c r="T2134" s="4"/>
      <c r="U2134" s="4"/>
      <c r="V2134" s="4"/>
      <c r="W2134" s="13"/>
    </row>
    <row r="2135">
      <c r="A2135" s="4"/>
      <c r="B2135" s="4"/>
      <c r="C2135" s="4"/>
      <c r="D2135" s="4"/>
      <c r="E2135" s="4"/>
      <c r="F2135" s="4"/>
      <c r="G2135" s="13"/>
      <c r="H2135" s="13"/>
      <c r="I2135" s="13"/>
      <c r="J2135" s="4"/>
      <c r="K2135" s="4"/>
      <c r="L2135" s="4"/>
      <c r="M2135" s="4"/>
      <c r="Q2135" s="4"/>
      <c r="R2135" s="4"/>
      <c r="S2135" s="4"/>
      <c r="T2135" s="4"/>
      <c r="U2135" s="4"/>
      <c r="V2135" s="4"/>
      <c r="W2135" s="13"/>
    </row>
    <row r="2136">
      <c r="A2136" s="4"/>
      <c r="B2136" s="4"/>
      <c r="C2136" s="4"/>
      <c r="D2136" s="4"/>
      <c r="E2136" s="4"/>
      <c r="F2136" s="4"/>
      <c r="G2136" s="13"/>
      <c r="H2136" s="13"/>
      <c r="I2136" s="13"/>
      <c r="J2136" s="4"/>
      <c r="K2136" s="4"/>
      <c r="L2136" s="4"/>
      <c r="M2136" s="4"/>
      <c r="Q2136" s="4"/>
      <c r="R2136" s="4"/>
      <c r="S2136" s="4"/>
      <c r="T2136" s="4"/>
      <c r="U2136" s="4"/>
      <c r="V2136" s="4"/>
      <c r="W2136" s="13"/>
    </row>
    <row r="2137">
      <c r="A2137" s="4"/>
      <c r="B2137" s="4"/>
      <c r="C2137" s="4"/>
      <c r="D2137" s="4"/>
      <c r="E2137" s="4"/>
      <c r="F2137" s="4"/>
      <c r="G2137" s="13"/>
      <c r="H2137" s="13"/>
      <c r="I2137" s="13"/>
      <c r="J2137" s="4"/>
      <c r="K2137" s="4"/>
      <c r="L2137" s="4"/>
      <c r="M2137" s="4"/>
      <c r="Q2137" s="4"/>
      <c r="R2137" s="4"/>
      <c r="S2137" s="4"/>
      <c r="T2137" s="4"/>
      <c r="U2137" s="4"/>
      <c r="V2137" s="4"/>
      <c r="W2137" s="13"/>
      <c r="X2137" s="13"/>
    </row>
    <row r="2138">
      <c r="A2138" s="4"/>
      <c r="B2138" s="4"/>
      <c r="C2138" s="4"/>
      <c r="D2138" s="4"/>
      <c r="E2138" s="4"/>
      <c r="F2138" s="4"/>
      <c r="G2138" s="13"/>
      <c r="H2138" s="13"/>
      <c r="I2138" s="13"/>
      <c r="J2138" s="4"/>
      <c r="K2138" s="4"/>
      <c r="L2138" s="4"/>
      <c r="M2138" s="4"/>
      <c r="Q2138" s="4"/>
      <c r="R2138" s="4"/>
      <c r="S2138" s="4"/>
      <c r="T2138" s="4"/>
      <c r="U2138" s="4"/>
      <c r="V2138" s="4"/>
      <c r="W2138" s="13"/>
      <c r="X2138" s="13"/>
    </row>
    <row r="2139">
      <c r="A2139" s="4"/>
      <c r="B2139" s="4"/>
      <c r="C2139" s="4"/>
      <c r="D2139" s="4"/>
      <c r="E2139" s="4"/>
      <c r="F2139" s="4"/>
      <c r="G2139" s="13"/>
      <c r="H2139" s="13"/>
      <c r="I2139" s="13"/>
      <c r="J2139" s="4"/>
      <c r="K2139" s="4"/>
      <c r="L2139" s="4"/>
      <c r="M2139" s="4"/>
      <c r="Q2139" s="4"/>
      <c r="R2139" s="4"/>
      <c r="S2139" s="4"/>
      <c r="T2139" s="4"/>
      <c r="U2139" s="4"/>
      <c r="V2139" s="4"/>
      <c r="W2139" s="13"/>
      <c r="X2139" s="13"/>
    </row>
    <row r="2140">
      <c r="A2140" s="4"/>
      <c r="B2140" s="4"/>
      <c r="C2140" s="4"/>
      <c r="D2140" s="4"/>
      <c r="E2140" s="4"/>
      <c r="F2140" s="4"/>
      <c r="G2140" s="13"/>
      <c r="H2140" s="13"/>
      <c r="I2140" s="13"/>
      <c r="J2140" s="4"/>
      <c r="K2140" s="4"/>
      <c r="L2140" s="4"/>
      <c r="M2140" s="4"/>
      <c r="Q2140" s="4"/>
      <c r="R2140" s="4"/>
      <c r="S2140" s="4"/>
      <c r="T2140" s="4"/>
      <c r="U2140" s="4"/>
      <c r="V2140" s="4"/>
      <c r="W2140" s="13"/>
    </row>
    <row r="2141">
      <c r="A2141" s="4"/>
      <c r="B2141" s="4"/>
      <c r="C2141" s="4"/>
      <c r="D2141" s="4"/>
      <c r="E2141" s="4"/>
      <c r="F2141" s="4"/>
      <c r="G2141" s="13"/>
      <c r="H2141" s="13"/>
      <c r="I2141" s="13"/>
      <c r="J2141" s="4"/>
      <c r="K2141" s="4"/>
      <c r="L2141" s="4"/>
      <c r="M2141" s="4"/>
      <c r="Q2141" s="4"/>
      <c r="R2141" s="4"/>
      <c r="S2141" s="4"/>
      <c r="T2141" s="4"/>
      <c r="U2141" s="4"/>
      <c r="V2141" s="4"/>
      <c r="W2141" s="13"/>
      <c r="X2141" s="13"/>
    </row>
    <row r="2142">
      <c r="A2142" s="4"/>
      <c r="B2142" s="4"/>
      <c r="C2142" s="4"/>
      <c r="D2142" s="4"/>
      <c r="E2142" s="4"/>
      <c r="F2142" s="4"/>
      <c r="G2142" s="13"/>
      <c r="H2142" s="13"/>
      <c r="I2142" s="13"/>
      <c r="J2142" s="4"/>
      <c r="K2142" s="4"/>
      <c r="L2142" s="4"/>
      <c r="M2142" s="4"/>
      <c r="Q2142" s="4"/>
      <c r="R2142" s="4"/>
      <c r="S2142" s="4"/>
      <c r="T2142" s="4"/>
      <c r="U2142" s="4"/>
      <c r="V2142" s="4"/>
      <c r="W2142" s="13"/>
      <c r="X2142" s="13"/>
    </row>
    <row r="2143">
      <c r="A2143" s="4"/>
      <c r="B2143" s="4"/>
      <c r="C2143" s="4"/>
      <c r="D2143" s="4"/>
      <c r="E2143" s="4"/>
      <c r="F2143" s="4"/>
      <c r="G2143" s="13"/>
      <c r="H2143" s="13"/>
      <c r="I2143" s="13"/>
      <c r="J2143" s="4"/>
      <c r="K2143" s="4"/>
      <c r="L2143" s="4"/>
      <c r="M2143" s="4"/>
      <c r="Q2143" s="4"/>
      <c r="R2143" s="4"/>
      <c r="S2143" s="4"/>
      <c r="T2143" s="4"/>
      <c r="U2143" s="4"/>
      <c r="V2143" s="4"/>
      <c r="W2143" s="13"/>
      <c r="X2143" s="13"/>
    </row>
    <row r="2144">
      <c r="A2144" s="4"/>
      <c r="B2144" s="4"/>
      <c r="C2144" s="4"/>
      <c r="D2144" s="4"/>
      <c r="E2144" s="4"/>
      <c r="F2144" s="4"/>
      <c r="G2144" s="13"/>
      <c r="J2144" s="4"/>
      <c r="K2144" s="4"/>
      <c r="L2144" s="4"/>
      <c r="M2144" s="4"/>
      <c r="Q2144" s="4"/>
      <c r="R2144" s="4"/>
      <c r="S2144" s="4"/>
      <c r="T2144" s="4"/>
      <c r="U2144" s="4"/>
      <c r="V2144" s="4"/>
      <c r="W2144" s="13"/>
    </row>
    <row r="2145">
      <c r="A2145" s="4"/>
      <c r="B2145" s="4"/>
      <c r="C2145" s="4"/>
      <c r="D2145" s="4"/>
      <c r="E2145" s="4"/>
      <c r="F2145" s="4"/>
      <c r="G2145" s="13"/>
      <c r="J2145" s="4"/>
      <c r="K2145" s="4"/>
      <c r="L2145" s="4"/>
      <c r="M2145" s="4"/>
      <c r="Q2145" s="4"/>
      <c r="R2145" s="4"/>
      <c r="S2145" s="4"/>
      <c r="T2145" s="4"/>
      <c r="U2145" s="4"/>
      <c r="V2145" s="4"/>
      <c r="W2145" s="13"/>
    </row>
    <row r="2146">
      <c r="A2146" s="4"/>
      <c r="B2146" s="4"/>
      <c r="C2146" s="4"/>
      <c r="D2146" s="4"/>
      <c r="E2146" s="4"/>
      <c r="F2146" s="4"/>
      <c r="G2146" s="13"/>
      <c r="J2146" s="4"/>
      <c r="K2146" s="4"/>
      <c r="L2146" s="4"/>
      <c r="M2146" s="4"/>
      <c r="Q2146" s="4"/>
      <c r="R2146" s="4"/>
      <c r="S2146" s="4"/>
      <c r="T2146" s="4"/>
      <c r="U2146" s="4"/>
      <c r="V2146" s="4"/>
      <c r="W2146" s="13"/>
    </row>
    <row r="2147">
      <c r="A2147" s="4"/>
      <c r="B2147" s="4"/>
      <c r="C2147" s="4"/>
      <c r="D2147" s="4"/>
      <c r="E2147" s="4"/>
      <c r="F2147" s="4"/>
      <c r="G2147" s="13"/>
      <c r="J2147" s="4"/>
      <c r="K2147" s="4"/>
      <c r="L2147" s="4"/>
      <c r="M2147" s="4"/>
      <c r="Q2147" s="4"/>
      <c r="R2147" s="4"/>
      <c r="S2147" s="4"/>
      <c r="T2147" s="4"/>
      <c r="U2147" s="4"/>
      <c r="V2147" s="4"/>
      <c r="W2147" s="13"/>
    </row>
    <row r="2148">
      <c r="A2148" s="4"/>
      <c r="B2148" s="4"/>
      <c r="C2148" s="4"/>
      <c r="D2148" s="4"/>
      <c r="E2148" s="4"/>
      <c r="F2148" s="4"/>
      <c r="G2148" s="13"/>
      <c r="J2148" s="4"/>
      <c r="K2148" s="4"/>
      <c r="L2148" s="4"/>
      <c r="M2148" s="4"/>
      <c r="Q2148" s="4"/>
      <c r="R2148" s="4"/>
      <c r="S2148" s="4"/>
      <c r="T2148" s="4"/>
      <c r="U2148" s="4"/>
      <c r="V2148" s="4"/>
      <c r="W2148" s="13"/>
    </row>
    <row r="2149">
      <c r="A2149" s="4"/>
      <c r="B2149" s="4"/>
      <c r="C2149" s="4"/>
      <c r="D2149" s="4"/>
      <c r="E2149" s="4"/>
      <c r="F2149" s="4"/>
      <c r="G2149" s="13"/>
      <c r="J2149" s="4"/>
      <c r="K2149" s="4"/>
      <c r="L2149" s="4"/>
      <c r="M2149" s="4"/>
      <c r="Q2149" s="4"/>
      <c r="R2149" s="4"/>
      <c r="S2149" s="4"/>
      <c r="T2149" s="4"/>
      <c r="U2149" s="4"/>
      <c r="V2149" s="4"/>
      <c r="W2149" s="13"/>
    </row>
    <row r="2150">
      <c r="A2150" s="4"/>
      <c r="B2150" s="4"/>
      <c r="C2150" s="4"/>
      <c r="D2150" s="4"/>
      <c r="E2150" s="4"/>
      <c r="F2150" s="4"/>
      <c r="G2150" s="13"/>
      <c r="J2150" s="4"/>
      <c r="K2150" s="4"/>
      <c r="L2150" s="4"/>
      <c r="M2150" s="4"/>
      <c r="Q2150" s="4"/>
      <c r="R2150" s="4"/>
      <c r="S2150" s="4"/>
      <c r="T2150" s="4"/>
      <c r="U2150" s="4"/>
      <c r="V2150" s="4"/>
      <c r="W2150" s="13"/>
    </row>
    <row r="2151">
      <c r="A2151" s="4"/>
      <c r="B2151" s="4"/>
      <c r="C2151" s="4"/>
      <c r="D2151" s="4"/>
      <c r="E2151" s="4"/>
      <c r="F2151" s="4"/>
      <c r="G2151" s="13"/>
      <c r="J2151" s="4"/>
      <c r="K2151" s="4"/>
      <c r="L2151" s="4"/>
      <c r="M2151" s="4"/>
      <c r="Q2151" s="4"/>
      <c r="R2151" s="4"/>
      <c r="S2151" s="4"/>
      <c r="T2151" s="4"/>
      <c r="U2151" s="4"/>
      <c r="V2151" s="4"/>
      <c r="W2151" s="13"/>
    </row>
    <row r="2152">
      <c r="A2152" s="4"/>
      <c r="B2152" s="4"/>
      <c r="C2152" s="4"/>
      <c r="D2152" s="4"/>
      <c r="E2152" s="4"/>
      <c r="F2152" s="4"/>
      <c r="G2152" s="13"/>
      <c r="H2152" s="13"/>
      <c r="I2152" s="13"/>
      <c r="J2152" s="4"/>
      <c r="K2152" s="4"/>
      <c r="L2152" s="4"/>
      <c r="M2152" s="4"/>
      <c r="Q2152" s="4"/>
      <c r="R2152" s="4"/>
      <c r="S2152" s="4"/>
      <c r="T2152" s="4"/>
      <c r="U2152" s="4"/>
      <c r="V2152" s="4"/>
      <c r="W2152" s="13"/>
      <c r="X2152" s="13"/>
    </row>
    <row r="2153">
      <c r="A2153" s="4"/>
      <c r="B2153" s="4"/>
      <c r="C2153" s="4"/>
      <c r="D2153" s="4"/>
      <c r="E2153" s="4"/>
      <c r="F2153" s="4"/>
      <c r="G2153" s="13"/>
      <c r="H2153" s="13"/>
      <c r="I2153" s="13"/>
      <c r="J2153" s="4"/>
      <c r="K2153" s="4"/>
      <c r="L2153" s="4"/>
      <c r="M2153" s="4"/>
      <c r="Q2153" s="4"/>
      <c r="R2153" s="4"/>
      <c r="S2153" s="4"/>
      <c r="T2153" s="4"/>
      <c r="U2153" s="4"/>
      <c r="V2153" s="4"/>
      <c r="W2153" s="13"/>
    </row>
    <row r="2154">
      <c r="A2154" s="4"/>
      <c r="B2154" s="4"/>
      <c r="C2154" s="4"/>
      <c r="D2154" s="4"/>
      <c r="E2154" s="4"/>
      <c r="F2154" s="4"/>
      <c r="G2154" s="13"/>
      <c r="H2154" s="13"/>
      <c r="I2154" s="13"/>
      <c r="J2154" s="4"/>
      <c r="K2154" s="4"/>
      <c r="L2154" s="4"/>
      <c r="M2154" s="4"/>
      <c r="Q2154" s="4"/>
      <c r="R2154" s="4"/>
      <c r="S2154" s="4"/>
      <c r="T2154" s="4"/>
      <c r="U2154" s="4"/>
      <c r="V2154" s="4"/>
      <c r="W2154" s="13"/>
    </row>
    <row r="2155">
      <c r="A2155" s="4"/>
      <c r="B2155" s="4"/>
      <c r="C2155" s="4"/>
      <c r="D2155" s="4"/>
      <c r="E2155" s="4"/>
      <c r="F2155" s="4"/>
      <c r="G2155" s="13"/>
      <c r="H2155" s="13"/>
      <c r="I2155" s="13"/>
      <c r="J2155" s="4"/>
      <c r="K2155" s="4"/>
      <c r="L2155" s="4"/>
      <c r="M2155" s="4"/>
      <c r="Q2155" s="4"/>
      <c r="R2155" s="4"/>
      <c r="S2155" s="4"/>
      <c r="T2155" s="4"/>
      <c r="U2155" s="4"/>
      <c r="V2155" s="4"/>
      <c r="W2155" s="13"/>
    </row>
    <row r="2156">
      <c r="A2156" s="4"/>
      <c r="B2156" s="4"/>
      <c r="C2156" s="4"/>
      <c r="D2156" s="4"/>
      <c r="E2156" s="4"/>
      <c r="F2156" s="4"/>
      <c r="G2156" s="13"/>
      <c r="H2156" s="13"/>
      <c r="I2156" s="13"/>
      <c r="J2156" s="4"/>
      <c r="K2156" s="4"/>
      <c r="L2156" s="4"/>
      <c r="M2156" s="4"/>
      <c r="Q2156" s="4"/>
      <c r="R2156" s="4"/>
      <c r="S2156" s="4"/>
      <c r="T2156" s="4"/>
      <c r="U2156" s="4"/>
      <c r="V2156" s="4"/>
      <c r="W2156" s="13"/>
      <c r="X2156" s="13"/>
    </row>
    <row r="2157">
      <c r="A2157" s="4"/>
      <c r="B2157" s="4"/>
      <c r="C2157" s="4"/>
      <c r="D2157" s="4"/>
      <c r="E2157" s="4"/>
      <c r="F2157" s="4"/>
      <c r="G2157" s="13"/>
      <c r="H2157" s="13"/>
      <c r="I2157" s="13"/>
      <c r="J2157" s="4"/>
      <c r="K2157" s="4"/>
      <c r="L2157" s="4"/>
      <c r="M2157" s="4"/>
      <c r="Q2157" s="4"/>
      <c r="R2157" s="4"/>
      <c r="S2157" s="4"/>
      <c r="T2157" s="4"/>
      <c r="U2157" s="4"/>
      <c r="V2157" s="4"/>
      <c r="W2157" s="13"/>
      <c r="X2157" s="13"/>
    </row>
    <row r="2158">
      <c r="A2158" s="4"/>
      <c r="B2158" s="4"/>
      <c r="C2158" s="4"/>
      <c r="D2158" s="4"/>
      <c r="E2158" s="4"/>
      <c r="F2158" s="4"/>
      <c r="G2158" s="13"/>
      <c r="H2158" s="13"/>
      <c r="I2158" s="13"/>
      <c r="J2158" s="4"/>
      <c r="K2158" s="4"/>
      <c r="L2158" s="4"/>
      <c r="M2158" s="4"/>
      <c r="Q2158" s="4"/>
      <c r="R2158" s="4"/>
      <c r="S2158" s="4"/>
      <c r="T2158" s="4"/>
      <c r="U2158" s="4"/>
      <c r="V2158" s="4"/>
      <c r="W2158" s="13"/>
      <c r="X2158" s="13"/>
    </row>
    <row r="2159">
      <c r="A2159" s="4"/>
      <c r="B2159" s="4"/>
      <c r="C2159" s="4"/>
      <c r="D2159" s="4"/>
      <c r="E2159" s="4"/>
      <c r="F2159" s="4"/>
      <c r="G2159" s="13"/>
      <c r="H2159" s="13"/>
      <c r="I2159" s="13"/>
      <c r="J2159" s="4"/>
      <c r="K2159" s="4"/>
      <c r="L2159" s="4"/>
      <c r="M2159" s="4"/>
      <c r="Q2159" s="4"/>
      <c r="R2159" s="4"/>
      <c r="S2159" s="4"/>
      <c r="T2159" s="4"/>
      <c r="U2159" s="4"/>
      <c r="V2159" s="4"/>
      <c r="W2159" s="13"/>
    </row>
    <row r="2160">
      <c r="A2160" s="4"/>
      <c r="B2160" s="4"/>
      <c r="C2160" s="4"/>
      <c r="D2160" s="4"/>
      <c r="E2160" s="4"/>
      <c r="F2160" s="4"/>
      <c r="G2160" s="13"/>
      <c r="H2160" s="13"/>
      <c r="I2160" s="13"/>
      <c r="J2160" s="4"/>
      <c r="K2160" s="4"/>
      <c r="L2160" s="4"/>
      <c r="M2160" s="4"/>
      <c r="Q2160" s="4"/>
      <c r="R2160" s="4"/>
      <c r="S2160" s="4"/>
      <c r="T2160" s="4"/>
      <c r="U2160" s="4"/>
      <c r="V2160" s="4"/>
      <c r="W2160" s="13"/>
      <c r="X2160" s="13"/>
    </row>
    <row r="2161">
      <c r="A2161" s="4"/>
      <c r="B2161" s="4"/>
      <c r="C2161" s="4"/>
      <c r="D2161" s="4"/>
      <c r="E2161" s="4"/>
      <c r="F2161" s="4"/>
      <c r="G2161" s="13"/>
      <c r="H2161" s="13"/>
      <c r="I2161" s="13"/>
      <c r="J2161" s="4"/>
      <c r="K2161" s="4"/>
      <c r="L2161" s="4"/>
      <c r="M2161" s="4"/>
      <c r="Q2161" s="4"/>
      <c r="R2161" s="4"/>
      <c r="S2161" s="4"/>
      <c r="T2161" s="4"/>
      <c r="U2161" s="4"/>
      <c r="V2161" s="4"/>
      <c r="W2161" s="13"/>
      <c r="X2161" s="13"/>
    </row>
    <row r="2162">
      <c r="A2162" s="4"/>
      <c r="B2162" s="4"/>
      <c r="C2162" s="4"/>
      <c r="D2162" s="4"/>
      <c r="E2162" s="4"/>
      <c r="F2162" s="4"/>
      <c r="G2162" s="13"/>
      <c r="H2162" s="13"/>
      <c r="I2162" s="13"/>
      <c r="J2162" s="4"/>
      <c r="K2162" s="4"/>
      <c r="L2162" s="4"/>
      <c r="M2162" s="4"/>
      <c r="Q2162" s="4"/>
      <c r="R2162" s="4"/>
      <c r="S2162" s="4"/>
      <c r="T2162" s="4"/>
      <c r="U2162" s="4"/>
      <c r="V2162" s="4"/>
      <c r="W2162" s="13"/>
      <c r="X2162" s="13"/>
    </row>
    <row r="2163">
      <c r="A2163" s="4"/>
      <c r="B2163" s="4"/>
      <c r="C2163" s="4"/>
      <c r="D2163" s="4"/>
      <c r="E2163" s="4"/>
      <c r="F2163" s="4"/>
      <c r="G2163" s="13"/>
      <c r="H2163" s="13"/>
      <c r="I2163" s="13"/>
      <c r="J2163" s="4"/>
      <c r="K2163" s="4"/>
      <c r="L2163" s="4"/>
      <c r="M2163" s="4"/>
      <c r="Q2163" s="4"/>
      <c r="R2163" s="4"/>
      <c r="S2163" s="4"/>
      <c r="T2163" s="4"/>
      <c r="U2163" s="4"/>
      <c r="V2163" s="4"/>
      <c r="W2163" s="13"/>
      <c r="X2163" s="13"/>
    </row>
    <row r="2164">
      <c r="A2164" s="4"/>
      <c r="B2164" s="4"/>
      <c r="C2164" s="4"/>
      <c r="D2164" s="4"/>
      <c r="E2164" s="4"/>
      <c r="F2164" s="4"/>
      <c r="G2164" s="13"/>
      <c r="H2164" s="13"/>
      <c r="I2164" s="13"/>
      <c r="J2164" s="4"/>
      <c r="K2164" s="4"/>
      <c r="L2164" s="4"/>
      <c r="M2164" s="4"/>
      <c r="Q2164" s="4"/>
      <c r="R2164" s="4"/>
      <c r="S2164" s="4"/>
      <c r="T2164" s="4"/>
      <c r="U2164" s="4"/>
      <c r="V2164" s="4"/>
      <c r="W2164" s="13"/>
      <c r="X2164" s="13"/>
    </row>
    <row r="2165">
      <c r="A2165" s="4"/>
      <c r="B2165" s="4"/>
      <c r="C2165" s="4"/>
      <c r="D2165" s="4"/>
      <c r="E2165" s="4"/>
      <c r="F2165" s="4"/>
      <c r="G2165" s="13"/>
      <c r="H2165" s="13"/>
      <c r="I2165" s="13"/>
      <c r="J2165" s="4"/>
      <c r="K2165" s="4"/>
      <c r="L2165" s="4"/>
      <c r="M2165" s="4"/>
      <c r="Q2165" s="4"/>
      <c r="R2165" s="4"/>
      <c r="S2165" s="4"/>
      <c r="T2165" s="4"/>
      <c r="U2165" s="4"/>
      <c r="V2165" s="4"/>
      <c r="W2165" s="13"/>
      <c r="X2165" s="13"/>
    </row>
    <row r="2166">
      <c r="A2166" s="4"/>
      <c r="B2166" s="4"/>
      <c r="C2166" s="4"/>
      <c r="D2166" s="4"/>
      <c r="E2166" s="4"/>
      <c r="F2166" s="4"/>
      <c r="G2166" s="13"/>
      <c r="H2166" s="13"/>
      <c r="I2166" s="13"/>
      <c r="J2166" s="4"/>
      <c r="K2166" s="4"/>
      <c r="L2166" s="4"/>
      <c r="M2166" s="4"/>
      <c r="Q2166" s="4"/>
      <c r="R2166" s="4"/>
      <c r="S2166" s="4"/>
      <c r="T2166" s="4"/>
      <c r="U2166" s="4"/>
      <c r="V2166" s="4"/>
      <c r="W2166" s="13"/>
      <c r="X2166" s="13"/>
    </row>
    <row r="2167">
      <c r="A2167" s="4"/>
      <c r="B2167" s="4"/>
      <c r="C2167" s="4"/>
      <c r="D2167" s="4"/>
      <c r="E2167" s="4"/>
      <c r="F2167" s="4"/>
      <c r="G2167" s="13"/>
      <c r="H2167" s="13"/>
      <c r="I2167" s="13"/>
      <c r="J2167" s="4"/>
      <c r="K2167" s="4"/>
      <c r="L2167" s="4"/>
      <c r="M2167" s="4"/>
      <c r="Q2167" s="4"/>
      <c r="R2167" s="4"/>
      <c r="S2167" s="4"/>
      <c r="T2167" s="4"/>
      <c r="U2167" s="4"/>
      <c r="V2167" s="4"/>
      <c r="W2167" s="13"/>
      <c r="X2167" s="13"/>
    </row>
    <row r="2168">
      <c r="A2168" s="4"/>
      <c r="B2168" s="4"/>
      <c r="C2168" s="4"/>
      <c r="D2168" s="4"/>
      <c r="E2168" s="4"/>
      <c r="F2168" s="4"/>
      <c r="G2168" s="13"/>
      <c r="H2168" s="13"/>
      <c r="I2168" s="13"/>
      <c r="J2168" s="4"/>
      <c r="K2168" s="4"/>
      <c r="L2168" s="4"/>
      <c r="M2168" s="4"/>
      <c r="Q2168" s="4"/>
      <c r="R2168" s="4"/>
      <c r="S2168" s="4"/>
      <c r="T2168" s="4"/>
      <c r="U2168" s="4"/>
      <c r="V2168" s="4"/>
      <c r="W2168" s="13"/>
      <c r="X2168" s="13"/>
    </row>
    <row r="2169">
      <c r="A2169" s="4"/>
      <c r="B2169" s="4"/>
      <c r="C2169" s="4"/>
      <c r="D2169" s="4"/>
      <c r="E2169" s="4"/>
      <c r="F2169" s="4"/>
      <c r="G2169" s="13"/>
      <c r="H2169" s="13"/>
      <c r="I2169" s="13"/>
      <c r="J2169" s="4"/>
      <c r="K2169" s="4"/>
      <c r="L2169" s="4"/>
      <c r="M2169" s="4"/>
      <c r="Q2169" s="4"/>
      <c r="R2169" s="4"/>
      <c r="S2169" s="4"/>
      <c r="T2169" s="4"/>
      <c r="U2169" s="4"/>
      <c r="V2169" s="4"/>
      <c r="W2169" s="13"/>
      <c r="X2169" s="13"/>
    </row>
    <row r="2170">
      <c r="A2170" s="4"/>
      <c r="B2170" s="4"/>
      <c r="C2170" s="4"/>
      <c r="D2170" s="4"/>
      <c r="E2170" s="4"/>
      <c r="F2170" s="4"/>
      <c r="G2170" s="13"/>
      <c r="H2170" s="13"/>
      <c r="I2170" s="13"/>
      <c r="J2170" s="4"/>
      <c r="K2170" s="4"/>
      <c r="L2170" s="4"/>
      <c r="M2170" s="4"/>
      <c r="Q2170" s="4"/>
      <c r="R2170" s="4"/>
      <c r="S2170" s="4"/>
      <c r="T2170" s="4"/>
      <c r="U2170" s="4"/>
      <c r="V2170" s="4"/>
      <c r="W2170" s="13"/>
      <c r="X2170" s="13"/>
    </row>
    <row r="2171">
      <c r="A2171" s="4"/>
      <c r="B2171" s="4"/>
      <c r="C2171" s="4"/>
      <c r="D2171" s="4"/>
      <c r="E2171" s="4"/>
      <c r="F2171" s="4"/>
      <c r="G2171" s="13"/>
      <c r="H2171" s="13"/>
      <c r="I2171" s="13"/>
      <c r="J2171" s="4"/>
      <c r="K2171" s="4"/>
      <c r="L2171" s="4"/>
      <c r="M2171" s="4"/>
      <c r="Q2171" s="4"/>
      <c r="R2171" s="4"/>
      <c r="S2171" s="4"/>
      <c r="T2171" s="4"/>
      <c r="U2171" s="4"/>
      <c r="V2171" s="4"/>
      <c r="W2171" s="13"/>
    </row>
    <row r="2172">
      <c r="A2172" s="4"/>
      <c r="B2172" s="4"/>
      <c r="C2172" s="4"/>
      <c r="D2172" s="4"/>
      <c r="E2172" s="4"/>
      <c r="F2172" s="4"/>
      <c r="G2172" s="13"/>
      <c r="H2172" s="13"/>
      <c r="I2172" s="13"/>
      <c r="J2172" s="4"/>
      <c r="K2172" s="4"/>
      <c r="L2172" s="4"/>
      <c r="M2172" s="4"/>
      <c r="Q2172" s="4"/>
      <c r="R2172" s="4"/>
      <c r="S2172" s="4"/>
      <c r="T2172" s="4"/>
      <c r="U2172" s="4"/>
      <c r="V2172" s="4"/>
      <c r="W2172" s="13"/>
      <c r="X2172" s="13"/>
    </row>
    <row r="2173">
      <c r="A2173" s="4"/>
      <c r="B2173" s="4"/>
      <c r="C2173" s="4"/>
      <c r="D2173" s="4"/>
      <c r="E2173" s="4"/>
      <c r="F2173" s="4"/>
      <c r="G2173" s="13"/>
      <c r="H2173" s="13"/>
      <c r="I2173" s="13"/>
      <c r="J2173" s="4"/>
      <c r="K2173" s="4"/>
      <c r="L2173" s="4"/>
      <c r="M2173" s="4"/>
      <c r="Q2173" s="4"/>
      <c r="R2173" s="4"/>
      <c r="S2173" s="4"/>
      <c r="T2173" s="4"/>
      <c r="U2173" s="4"/>
      <c r="V2173" s="4"/>
      <c r="W2173" s="13"/>
      <c r="X2173" s="13"/>
    </row>
    <row r="2174">
      <c r="A2174" s="4"/>
      <c r="B2174" s="4"/>
      <c r="C2174" s="4"/>
      <c r="D2174" s="4"/>
      <c r="E2174" s="4"/>
      <c r="F2174" s="4"/>
      <c r="G2174" s="13"/>
      <c r="H2174" s="13"/>
      <c r="I2174" s="13"/>
      <c r="J2174" s="4"/>
      <c r="K2174" s="4"/>
      <c r="L2174" s="4"/>
      <c r="M2174" s="4"/>
      <c r="Q2174" s="4"/>
      <c r="R2174" s="4"/>
      <c r="S2174" s="4"/>
      <c r="T2174" s="4"/>
      <c r="U2174" s="4"/>
      <c r="V2174" s="4"/>
      <c r="W2174" s="13"/>
      <c r="X2174" s="13"/>
    </row>
    <row r="2175">
      <c r="A2175" s="4"/>
      <c r="B2175" s="4"/>
      <c r="C2175" s="4"/>
      <c r="D2175" s="4"/>
      <c r="E2175" s="4"/>
      <c r="F2175" s="4"/>
      <c r="G2175" s="13"/>
      <c r="H2175" s="13"/>
      <c r="I2175" s="13"/>
      <c r="J2175" s="4"/>
      <c r="K2175" s="4"/>
      <c r="L2175" s="4"/>
      <c r="M2175" s="4"/>
      <c r="Q2175" s="4"/>
      <c r="R2175" s="4"/>
      <c r="S2175" s="4"/>
      <c r="T2175" s="4"/>
      <c r="U2175" s="4"/>
      <c r="V2175" s="4"/>
      <c r="W2175" s="13"/>
    </row>
    <row r="2176">
      <c r="A2176" s="4"/>
      <c r="B2176" s="4"/>
      <c r="C2176" s="4"/>
      <c r="D2176" s="4"/>
      <c r="E2176" s="4"/>
      <c r="F2176" s="4"/>
      <c r="G2176" s="13"/>
      <c r="H2176" s="13"/>
      <c r="I2176" s="13"/>
      <c r="J2176" s="4"/>
      <c r="K2176" s="4"/>
      <c r="L2176" s="4"/>
      <c r="M2176" s="4"/>
      <c r="Q2176" s="4"/>
      <c r="R2176" s="4"/>
      <c r="S2176" s="4"/>
      <c r="T2176" s="4"/>
      <c r="U2176" s="4"/>
      <c r="V2176" s="4"/>
      <c r="W2176" s="13"/>
      <c r="X2176" s="13"/>
    </row>
    <row r="2177">
      <c r="A2177" s="4"/>
      <c r="B2177" s="4"/>
      <c r="C2177" s="4"/>
      <c r="D2177" s="4"/>
      <c r="E2177" s="4"/>
      <c r="F2177" s="4"/>
      <c r="G2177" s="13"/>
      <c r="H2177" s="13"/>
      <c r="I2177" s="13"/>
      <c r="J2177" s="4"/>
      <c r="K2177" s="4"/>
      <c r="L2177" s="4"/>
      <c r="M2177" s="4"/>
      <c r="Q2177" s="4"/>
      <c r="R2177" s="4"/>
      <c r="S2177" s="4"/>
      <c r="T2177" s="4"/>
      <c r="U2177" s="4"/>
      <c r="V2177" s="4"/>
      <c r="W2177" s="13"/>
    </row>
    <row r="2178">
      <c r="A2178" s="4"/>
      <c r="B2178" s="4"/>
      <c r="C2178" s="4"/>
      <c r="D2178" s="4"/>
      <c r="E2178" s="4"/>
      <c r="F2178" s="4"/>
      <c r="G2178" s="13"/>
      <c r="H2178" s="13"/>
      <c r="I2178" s="13"/>
      <c r="J2178" s="4"/>
      <c r="K2178" s="4"/>
      <c r="L2178" s="4"/>
      <c r="M2178" s="4"/>
      <c r="Q2178" s="4"/>
      <c r="R2178" s="4"/>
      <c r="S2178" s="4"/>
      <c r="T2178" s="4"/>
      <c r="U2178" s="4"/>
      <c r="V2178" s="4"/>
      <c r="W2178" s="13"/>
    </row>
    <row r="2179">
      <c r="A2179" s="4"/>
      <c r="B2179" s="4"/>
      <c r="C2179" s="4"/>
      <c r="D2179" s="4"/>
      <c r="E2179" s="4"/>
      <c r="F2179" s="4"/>
      <c r="G2179" s="13"/>
      <c r="H2179" s="13"/>
      <c r="I2179" s="13"/>
      <c r="J2179" s="4"/>
      <c r="K2179" s="4"/>
      <c r="L2179" s="4"/>
      <c r="M2179" s="4"/>
      <c r="Q2179" s="4"/>
      <c r="R2179" s="4"/>
      <c r="S2179" s="4"/>
      <c r="T2179" s="4"/>
      <c r="U2179" s="4"/>
      <c r="V2179" s="4"/>
      <c r="W2179" s="13"/>
      <c r="X2179" s="13"/>
    </row>
    <row r="2180">
      <c r="A2180" s="4"/>
      <c r="B2180" s="4"/>
      <c r="C2180" s="4"/>
      <c r="D2180" s="4"/>
      <c r="E2180" s="4"/>
      <c r="F2180" s="4"/>
      <c r="G2180" s="13"/>
      <c r="H2180" s="13"/>
      <c r="I2180" s="13"/>
      <c r="J2180" s="4"/>
      <c r="K2180" s="4"/>
      <c r="L2180" s="4"/>
      <c r="M2180" s="4"/>
      <c r="Q2180" s="4"/>
      <c r="R2180" s="4"/>
      <c r="S2180" s="4"/>
      <c r="T2180" s="4"/>
      <c r="U2180" s="4"/>
      <c r="V2180" s="4"/>
      <c r="W2180" s="13"/>
      <c r="X2180" s="13"/>
    </row>
    <row r="2181">
      <c r="A2181" s="4"/>
      <c r="B2181" s="4"/>
      <c r="C2181" s="4"/>
      <c r="D2181" s="4"/>
      <c r="E2181" s="4"/>
      <c r="F2181" s="4"/>
      <c r="G2181" s="13"/>
      <c r="H2181" s="13"/>
      <c r="I2181" s="13"/>
      <c r="J2181" s="4"/>
      <c r="K2181" s="4"/>
      <c r="L2181" s="4"/>
      <c r="M2181" s="4"/>
      <c r="Q2181" s="4"/>
      <c r="R2181" s="4"/>
      <c r="S2181" s="4"/>
      <c r="T2181" s="4"/>
      <c r="U2181" s="4"/>
      <c r="V2181" s="4"/>
      <c r="W2181" s="13"/>
      <c r="X2181" s="13"/>
    </row>
    <row r="2182">
      <c r="A2182" s="4"/>
      <c r="B2182" s="4"/>
      <c r="C2182" s="4"/>
      <c r="D2182" s="4"/>
      <c r="E2182" s="4"/>
      <c r="F2182" s="4"/>
      <c r="G2182" s="13"/>
      <c r="H2182" s="13"/>
      <c r="I2182" s="13"/>
      <c r="J2182" s="4"/>
      <c r="K2182" s="4"/>
      <c r="L2182" s="4"/>
      <c r="M2182" s="4"/>
      <c r="Q2182" s="4"/>
      <c r="R2182" s="4"/>
      <c r="S2182" s="4"/>
      <c r="T2182" s="4"/>
      <c r="U2182" s="4"/>
      <c r="V2182" s="4"/>
      <c r="W2182" s="13"/>
      <c r="X2182" s="13"/>
    </row>
    <row r="2183">
      <c r="A2183" s="4"/>
      <c r="B2183" s="4"/>
      <c r="C2183" s="4"/>
      <c r="D2183" s="4"/>
      <c r="E2183" s="4"/>
      <c r="F2183" s="4"/>
      <c r="G2183" s="13"/>
      <c r="H2183" s="13"/>
      <c r="I2183" s="13"/>
      <c r="J2183" s="4"/>
      <c r="K2183" s="4"/>
      <c r="L2183" s="4"/>
      <c r="M2183" s="4"/>
      <c r="Q2183" s="4"/>
      <c r="R2183" s="4"/>
      <c r="S2183" s="4"/>
      <c r="T2183" s="4"/>
      <c r="U2183" s="4"/>
      <c r="V2183" s="4"/>
      <c r="W2183" s="13"/>
      <c r="X2183" s="13"/>
    </row>
    <row r="2184">
      <c r="A2184" s="4"/>
      <c r="B2184" s="4"/>
      <c r="C2184" s="4"/>
      <c r="D2184" s="4"/>
      <c r="E2184" s="4"/>
      <c r="F2184" s="4"/>
      <c r="G2184" s="13"/>
      <c r="H2184" s="13"/>
      <c r="I2184" s="13"/>
      <c r="J2184" s="4"/>
      <c r="K2184" s="4"/>
      <c r="L2184" s="4"/>
      <c r="M2184" s="4"/>
      <c r="Q2184" s="4"/>
      <c r="R2184" s="4"/>
      <c r="S2184" s="4"/>
      <c r="T2184" s="4"/>
      <c r="U2184" s="4"/>
      <c r="V2184" s="4"/>
      <c r="W2184" s="13"/>
      <c r="X2184" s="13"/>
    </row>
    <row r="2185">
      <c r="A2185" s="4"/>
      <c r="B2185" s="4"/>
      <c r="C2185" s="4"/>
      <c r="D2185" s="4"/>
      <c r="E2185" s="4"/>
      <c r="F2185" s="4"/>
      <c r="G2185" s="13"/>
      <c r="H2185" s="13"/>
      <c r="I2185" s="13"/>
      <c r="J2185" s="4"/>
      <c r="K2185" s="4"/>
      <c r="L2185" s="4"/>
      <c r="M2185" s="4"/>
      <c r="Q2185" s="4"/>
      <c r="R2185" s="4"/>
      <c r="S2185" s="4"/>
      <c r="T2185" s="4"/>
      <c r="U2185" s="4"/>
      <c r="V2185" s="4"/>
      <c r="W2185" s="13"/>
      <c r="X2185" s="13"/>
    </row>
    <row r="2186">
      <c r="A2186" s="4"/>
      <c r="B2186" s="4"/>
      <c r="C2186" s="4"/>
      <c r="D2186" s="4"/>
      <c r="E2186" s="4"/>
      <c r="F2186" s="4"/>
      <c r="G2186" s="13"/>
      <c r="H2186" s="13"/>
      <c r="I2186" s="13"/>
      <c r="J2186" s="4"/>
      <c r="K2186" s="4"/>
      <c r="L2186" s="4"/>
      <c r="M2186" s="4"/>
      <c r="Q2186" s="4"/>
      <c r="R2186" s="4"/>
      <c r="S2186" s="4"/>
      <c r="T2186" s="4"/>
      <c r="U2186" s="4"/>
      <c r="V2186" s="4"/>
      <c r="W2186" s="13"/>
      <c r="X2186" s="13"/>
    </row>
    <row r="2187">
      <c r="A2187" s="4"/>
      <c r="B2187" s="4"/>
      <c r="C2187" s="4"/>
      <c r="D2187" s="4"/>
      <c r="E2187" s="4"/>
      <c r="F2187" s="4"/>
      <c r="G2187" s="13"/>
      <c r="H2187" s="13"/>
      <c r="I2187" s="13"/>
      <c r="J2187" s="4"/>
      <c r="K2187" s="4"/>
      <c r="L2187" s="4"/>
      <c r="M2187" s="4"/>
      <c r="Q2187" s="4"/>
      <c r="R2187" s="4"/>
      <c r="S2187" s="4"/>
      <c r="T2187" s="4"/>
      <c r="U2187" s="4"/>
      <c r="V2187" s="4"/>
      <c r="W2187" s="13"/>
      <c r="X2187" s="13"/>
    </row>
    <row r="2188">
      <c r="A2188" s="4"/>
      <c r="B2188" s="4"/>
      <c r="C2188" s="4"/>
      <c r="D2188" s="4"/>
      <c r="E2188" s="4"/>
      <c r="F2188" s="4"/>
      <c r="G2188" s="13"/>
      <c r="H2188" s="13"/>
      <c r="I2188" s="13"/>
      <c r="J2188" s="4"/>
      <c r="K2188" s="4"/>
      <c r="L2188" s="4"/>
      <c r="M2188" s="4"/>
      <c r="Q2188" s="4"/>
      <c r="R2188" s="4"/>
      <c r="S2188" s="4"/>
      <c r="T2188" s="4"/>
      <c r="U2188" s="4"/>
      <c r="V2188" s="4"/>
      <c r="W2188" s="13"/>
      <c r="X2188" s="13"/>
    </row>
    <row r="2189">
      <c r="A2189" s="4"/>
      <c r="B2189" s="4"/>
      <c r="C2189" s="4"/>
      <c r="D2189" s="4"/>
      <c r="E2189" s="4"/>
      <c r="F2189" s="4"/>
      <c r="G2189" s="13"/>
      <c r="H2189" s="13"/>
      <c r="I2189" s="13"/>
      <c r="J2189" s="4"/>
      <c r="K2189" s="4"/>
      <c r="L2189" s="4"/>
      <c r="M2189" s="4"/>
      <c r="Q2189" s="4"/>
      <c r="R2189" s="4"/>
      <c r="S2189" s="4"/>
      <c r="T2189" s="4"/>
      <c r="U2189" s="4"/>
      <c r="V2189" s="4"/>
      <c r="W2189" s="13"/>
      <c r="X2189" s="13"/>
    </row>
    <row r="2190">
      <c r="A2190" s="4"/>
      <c r="B2190" s="4"/>
      <c r="C2190" s="4"/>
      <c r="D2190" s="4"/>
      <c r="E2190" s="4"/>
      <c r="F2190" s="4"/>
      <c r="G2190" s="13"/>
      <c r="H2190" s="13"/>
      <c r="I2190" s="13"/>
      <c r="J2190" s="4"/>
      <c r="K2190" s="4"/>
      <c r="L2190" s="4"/>
      <c r="M2190" s="4"/>
      <c r="Q2190" s="4"/>
      <c r="R2190" s="4"/>
      <c r="S2190" s="4"/>
      <c r="T2190" s="4"/>
      <c r="U2190" s="4"/>
      <c r="V2190" s="4"/>
      <c r="W2190" s="13"/>
      <c r="X2190" s="13"/>
    </row>
    <row r="2191">
      <c r="A2191" s="4"/>
      <c r="B2191" s="4"/>
      <c r="C2191" s="4"/>
      <c r="D2191" s="4"/>
      <c r="E2191" s="4"/>
      <c r="F2191" s="4"/>
      <c r="G2191" s="13"/>
      <c r="H2191" s="13"/>
      <c r="I2191" s="13"/>
      <c r="J2191" s="4"/>
      <c r="K2191" s="4"/>
      <c r="L2191" s="4"/>
      <c r="M2191" s="4"/>
      <c r="Q2191" s="4"/>
      <c r="R2191" s="4"/>
      <c r="S2191" s="4"/>
      <c r="T2191" s="4"/>
      <c r="U2191" s="4"/>
      <c r="V2191" s="4"/>
      <c r="W2191" s="13"/>
      <c r="X2191" s="13"/>
    </row>
    <row r="2192">
      <c r="A2192" s="4"/>
      <c r="B2192" s="4"/>
      <c r="C2192" s="4"/>
      <c r="D2192" s="4"/>
      <c r="E2192" s="4"/>
      <c r="F2192" s="4"/>
      <c r="G2192" s="13"/>
      <c r="H2192" s="13"/>
      <c r="I2192" s="13"/>
      <c r="J2192" s="4"/>
      <c r="K2192" s="4"/>
      <c r="L2192" s="4"/>
      <c r="M2192" s="4"/>
      <c r="Q2192" s="4"/>
      <c r="R2192" s="4"/>
      <c r="S2192" s="4"/>
      <c r="T2192" s="4"/>
      <c r="U2192" s="4"/>
      <c r="V2192" s="4"/>
      <c r="W2192" s="13"/>
      <c r="X2192" s="13"/>
    </row>
    <row r="2193">
      <c r="A2193" s="4"/>
      <c r="B2193" s="4"/>
      <c r="C2193" s="4"/>
      <c r="D2193" s="4"/>
      <c r="E2193" s="4"/>
      <c r="F2193" s="4"/>
      <c r="G2193" s="13"/>
      <c r="H2193" s="13"/>
      <c r="I2193" s="13"/>
      <c r="J2193" s="4"/>
      <c r="K2193" s="4"/>
      <c r="L2193" s="4"/>
      <c r="M2193" s="4"/>
      <c r="Q2193" s="4"/>
      <c r="R2193" s="4"/>
      <c r="S2193" s="4"/>
      <c r="T2193" s="4"/>
      <c r="U2193" s="4"/>
      <c r="V2193" s="4"/>
      <c r="W2193" s="13"/>
      <c r="X2193" s="13"/>
    </row>
    <row r="2194">
      <c r="A2194" s="4"/>
      <c r="B2194" s="4"/>
      <c r="C2194" s="4"/>
      <c r="D2194" s="4"/>
      <c r="E2194" s="4"/>
      <c r="F2194" s="4"/>
      <c r="G2194" s="13"/>
      <c r="H2194" s="13"/>
      <c r="I2194" s="13"/>
      <c r="J2194" s="4"/>
      <c r="K2194" s="4"/>
      <c r="L2194" s="4"/>
      <c r="M2194" s="4"/>
      <c r="Q2194" s="4"/>
      <c r="R2194" s="4"/>
      <c r="S2194" s="4"/>
      <c r="T2194" s="4"/>
      <c r="U2194" s="4"/>
      <c r="V2194" s="4"/>
      <c r="W2194" s="13"/>
      <c r="X2194" s="13"/>
    </row>
    <row r="2195">
      <c r="A2195" s="4"/>
      <c r="B2195" s="4"/>
      <c r="C2195" s="4"/>
      <c r="D2195" s="4"/>
      <c r="E2195" s="4"/>
      <c r="F2195" s="4"/>
      <c r="G2195" s="13"/>
      <c r="H2195" s="13"/>
      <c r="I2195" s="13"/>
      <c r="J2195" s="4"/>
      <c r="K2195" s="4"/>
      <c r="L2195" s="4"/>
      <c r="M2195" s="4"/>
      <c r="Q2195" s="4"/>
      <c r="R2195" s="4"/>
      <c r="S2195" s="4"/>
      <c r="T2195" s="4"/>
      <c r="U2195" s="4"/>
      <c r="V2195" s="4"/>
      <c r="W2195" s="13"/>
      <c r="X2195" s="13"/>
    </row>
    <row r="2196">
      <c r="A2196" s="4"/>
      <c r="B2196" s="4"/>
      <c r="C2196" s="4"/>
      <c r="D2196" s="4"/>
      <c r="E2196" s="4"/>
      <c r="F2196" s="4"/>
      <c r="G2196" s="13"/>
      <c r="H2196" s="13"/>
      <c r="I2196" s="13"/>
      <c r="J2196" s="4"/>
      <c r="K2196" s="4"/>
      <c r="L2196" s="4"/>
      <c r="M2196" s="4"/>
      <c r="Q2196" s="4"/>
      <c r="R2196" s="4"/>
      <c r="S2196" s="4"/>
      <c r="T2196" s="4"/>
      <c r="U2196" s="4"/>
      <c r="V2196" s="4"/>
      <c r="W2196" s="13"/>
      <c r="X2196" s="13"/>
    </row>
    <row r="2197">
      <c r="A2197" s="4"/>
      <c r="B2197" s="4"/>
      <c r="C2197" s="4"/>
      <c r="D2197" s="4"/>
      <c r="E2197" s="4"/>
      <c r="F2197" s="4"/>
      <c r="G2197" s="13"/>
      <c r="H2197" s="13"/>
      <c r="I2197" s="13"/>
      <c r="J2197" s="4"/>
      <c r="K2197" s="4"/>
      <c r="L2197" s="4"/>
      <c r="M2197" s="4"/>
      <c r="Q2197" s="4"/>
      <c r="R2197" s="4"/>
      <c r="S2197" s="4"/>
      <c r="T2197" s="4"/>
      <c r="U2197" s="4"/>
      <c r="V2197" s="4"/>
      <c r="W2197" s="13"/>
      <c r="X2197" s="13"/>
    </row>
    <row r="2198">
      <c r="A2198" s="4"/>
      <c r="B2198" s="4"/>
      <c r="C2198" s="4"/>
      <c r="D2198" s="4"/>
      <c r="E2198" s="4"/>
      <c r="F2198" s="4"/>
      <c r="G2198" s="13"/>
      <c r="H2198" s="13"/>
      <c r="I2198" s="13"/>
      <c r="J2198" s="4"/>
      <c r="K2198" s="4"/>
      <c r="L2198" s="4"/>
      <c r="M2198" s="4"/>
      <c r="Q2198" s="4"/>
      <c r="R2198" s="4"/>
      <c r="S2198" s="4"/>
      <c r="T2198" s="4"/>
      <c r="U2198" s="4"/>
      <c r="V2198" s="4"/>
      <c r="W2198" s="13"/>
    </row>
    <row r="2199">
      <c r="A2199" s="4"/>
      <c r="B2199" s="4"/>
      <c r="C2199" s="4"/>
      <c r="D2199" s="4"/>
      <c r="E2199" s="4"/>
      <c r="F2199" s="4"/>
      <c r="G2199" s="13"/>
      <c r="H2199" s="13"/>
      <c r="I2199" s="13"/>
      <c r="J2199" s="4"/>
      <c r="K2199" s="4"/>
      <c r="L2199" s="4"/>
      <c r="M2199" s="4"/>
      <c r="Q2199" s="4"/>
      <c r="R2199" s="4"/>
      <c r="S2199" s="4"/>
      <c r="T2199" s="4"/>
      <c r="U2199" s="4"/>
      <c r="V2199" s="4"/>
      <c r="W2199" s="13"/>
      <c r="X2199" s="13"/>
    </row>
    <row r="2200">
      <c r="A2200" s="4"/>
      <c r="B2200" s="4"/>
      <c r="C2200" s="4"/>
      <c r="D2200" s="4"/>
      <c r="E2200" s="4"/>
      <c r="F2200" s="4"/>
      <c r="G2200" s="13"/>
      <c r="H2200" s="13"/>
      <c r="I2200" s="13"/>
      <c r="J2200" s="4"/>
      <c r="K2200" s="4"/>
      <c r="L2200" s="4"/>
      <c r="M2200" s="4"/>
      <c r="Q2200" s="4"/>
      <c r="R2200" s="4"/>
      <c r="S2200" s="4"/>
      <c r="T2200" s="4"/>
      <c r="U2200" s="4"/>
      <c r="V2200" s="4"/>
      <c r="W2200" s="13"/>
    </row>
    <row r="2201">
      <c r="A2201" s="4"/>
      <c r="B2201" s="4"/>
      <c r="C2201" s="4"/>
      <c r="D2201" s="4"/>
      <c r="E2201" s="4"/>
      <c r="F2201" s="4"/>
      <c r="G2201" s="13"/>
      <c r="H2201" s="13"/>
      <c r="I2201" s="13"/>
      <c r="J2201" s="4"/>
      <c r="K2201" s="4"/>
      <c r="L2201" s="4"/>
      <c r="M2201" s="4"/>
      <c r="Q2201" s="4"/>
      <c r="R2201" s="4"/>
      <c r="S2201" s="4"/>
      <c r="T2201" s="4"/>
      <c r="U2201" s="4"/>
      <c r="V2201" s="4"/>
      <c r="W2201" s="13"/>
      <c r="X2201" s="13"/>
    </row>
    <row r="2202">
      <c r="A2202" s="4"/>
      <c r="B2202" s="4"/>
      <c r="C2202" s="4"/>
      <c r="D2202" s="4"/>
      <c r="E2202" s="4"/>
      <c r="F2202" s="4"/>
      <c r="G2202" s="13"/>
      <c r="H2202" s="13"/>
      <c r="I2202" s="13"/>
      <c r="J2202" s="4"/>
      <c r="K2202" s="4"/>
      <c r="L2202" s="4"/>
      <c r="M2202" s="4"/>
      <c r="Q2202" s="4"/>
      <c r="R2202" s="4"/>
      <c r="S2202" s="4"/>
      <c r="T2202" s="4"/>
      <c r="U2202" s="4"/>
      <c r="V2202" s="4"/>
      <c r="W2202" s="13"/>
    </row>
    <row r="2203">
      <c r="A2203" s="4"/>
      <c r="B2203" s="4"/>
      <c r="C2203" s="4"/>
      <c r="D2203" s="4"/>
      <c r="E2203" s="4"/>
      <c r="F2203" s="4"/>
      <c r="G2203" s="13"/>
      <c r="H2203" s="13"/>
      <c r="I2203" s="13"/>
      <c r="J2203" s="4"/>
      <c r="K2203" s="4"/>
      <c r="L2203" s="4"/>
      <c r="M2203" s="4"/>
      <c r="Q2203" s="4"/>
      <c r="R2203" s="4"/>
      <c r="S2203" s="4"/>
      <c r="T2203" s="4"/>
      <c r="U2203" s="4"/>
      <c r="V2203" s="4"/>
      <c r="W2203" s="13"/>
      <c r="X2203" s="13"/>
    </row>
    <row r="2204">
      <c r="A2204" s="4"/>
      <c r="B2204" s="4"/>
      <c r="C2204" s="4"/>
      <c r="D2204" s="4"/>
      <c r="E2204" s="4"/>
      <c r="F2204" s="4"/>
      <c r="G2204" s="13"/>
      <c r="H2204" s="13"/>
      <c r="I2204" s="13"/>
      <c r="J2204" s="4"/>
      <c r="K2204" s="4"/>
      <c r="L2204" s="4"/>
      <c r="M2204" s="4"/>
      <c r="Q2204" s="4"/>
      <c r="R2204" s="4"/>
      <c r="S2204" s="4"/>
      <c r="T2204" s="4"/>
      <c r="U2204" s="4"/>
      <c r="V2204" s="4"/>
      <c r="W2204" s="13"/>
      <c r="X2204" s="13"/>
    </row>
    <row r="2205">
      <c r="A2205" s="4"/>
      <c r="B2205" s="4"/>
      <c r="C2205" s="4"/>
      <c r="D2205" s="4"/>
      <c r="E2205" s="4"/>
      <c r="F2205" s="4"/>
      <c r="G2205" s="13"/>
      <c r="H2205" s="13"/>
      <c r="I2205" s="13"/>
      <c r="J2205" s="4"/>
      <c r="K2205" s="4"/>
      <c r="L2205" s="4"/>
      <c r="M2205" s="4"/>
      <c r="Q2205" s="4"/>
      <c r="R2205" s="4"/>
      <c r="S2205" s="4"/>
      <c r="T2205" s="4"/>
      <c r="U2205" s="4"/>
      <c r="V2205" s="4"/>
      <c r="W2205" s="13"/>
      <c r="X2205" s="13"/>
    </row>
    <row r="2206">
      <c r="A2206" s="4"/>
      <c r="B2206" s="4"/>
      <c r="C2206" s="4"/>
      <c r="D2206" s="4"/>
      <c r="E2206" s="4"/>
      <c r="F2206" s="4"/>
      <c r="G2206" s="13"/>
      <c r="H2206" s="13"/>
      <c r="I2206" s="13"/>
      <c r="J2206" s="4"/>
      <c r="K2206" s="4"/>
      <c r="L2206" s="4"/>
      <c r="M2206" s="4"/>
      <c r="Q2206" s="4"/>
      <c r="R2206" s="4"/>
      <c r="S2206" s="4"/>
      <c r="T2206" s="4"/>
      <c r="U2206" s="4"/>
      <c r="V2206" s="4"/>
      <c r="W2206" s="13"/>
      <c r="X2206" s="13"/>
    </row>
    <row r="2207">
      <c r="A2207" s="4"/>
      <c r="B2207" s="4"/>
      <c r="C2207" s="4"/>
      <c r="D2207" s="4"/>
      <c r="E2207" s="4"/>
      <c r="F2207" s="4"/>
      <c r="G2207" s="13"/>
      <c r="H2207" s="13"/>
      <c r="I2207" s="13"/>
      <c r="J2207" s="4"/>
      <c r="K2207" s="4"/>
      <c r="L2207" s="4"/>
      <c r="M2207" s="4"/>
      <c r="Q2207" s="4"/>
      <c r="R2207" s="4"/>
      <c r="S2207" s="4"/>
      <c r="T2207" s="4"/>
      <c r="U2207" s="4"/>
      <c r="V2207" s="4"/>
      <c r="W2207" s="13"/>
      <c r="X2207" s="13"/>
    </row>
    <row r="2208">
      <c r="A2208" s="4"/>
      <c r="B2208" s="4"/>
      <c r="C2208" s="4"/>
      <c r="D2208" s="4"/>
      <c r="E2208" s="4"/>
      <c r="F2208" s="4"/>
      <c r="G2208" s="13"/>
      <c r="H2208" s="13"/>
      <c r="I2208" s="13"/>
      <c r="J2208" s="4"/>
      <c r="K2208" s="4"/>
      <c r="L2208" s="4"/>
      <c r="M2208" s="4"/>
      <c r="Q2208" s="4"/>
      <c r="R2208" s="4"/>
      <c r="S2208" s="4"/>
      <c r="T2208" s="4"/>
      <c r="U2208" s="4"/>
      <c r="V2208" s="4"/>
      <c r="W2208" s="13"/>
      <c r="X2208" s="13"/>
    </row>
    <row r="2209">
      <c r="A2209" s="4"/>
      <c r="B2209" s="4"/>
      <c r="C2209" s="4"/>
      <c r="D2209" s="4"/>
      <c r="E2209" s="4"/>
      <c r="F2209" s="4"/>
      <c r="G2209" s="13"/>
      <c r="H2209" s="13"/>
      <c r="I2209" s="13"/>
      <c r="J2209" s="4"/>
      <c r="K2209" s="4"/>
      <c r="L2209" s="4"/>
      <c r="M2209" s="4"/>
      <c r="Q2209" s="4"/>
      <c r="R2209" s="4"/>
      <c r="S2209" s="4"/>
      <c r="T2209" s="4"/>
      <c r="U2209" s="4"/>
      <c r="V2209" s="4"/>
      <c r="W2209" s="13"/>
      <c r="X2209" s="13"/>
    </row>
    <row r="2210">
      <c r="A2210" s="4"/>
      <c r="B2210" s="4"/>
      <c r="C2210" s="4"/>
      <c r="D2210" s="4"/>
      <c r="E2210" s="4"/>
      <c r="F2210" s="4"/>
      <c r="G2210" s="13"/>
      <c r="H2210" s="13"/>
      <c r="I2210" s="13"/>
      <c r="J2210" s="4"/>
      <c r="K2210" s="4"/>
      <c r="L2210" s="4"/>
      <c r="M2210" s="4"/>
      <c r="Q2210" s="4"/>
      <c r="R2210" s="4"/>
      <c r="S2210" s="4"/>
      <c r="T2210" s="4"/>
      <c r="U2210" s="4"/>
      <c r="V2210" s="4"/>
      <c r="W2210" s="13"/>
      <c r="X2210" s="13"/>
    </row>
    <row r="2211">
      <c r="A2211" s="4"/>
      <c r="B2211" s="4"/>
      <c r="C2211" s="4"/>
      <c r="D2211" s="4"/>
      <c r="E2211" s="4"/>
      <c r="F2211" s="4"/>
      <c r="G2211" s="13"/>
      <c r="H2211" s="13"/>
      <c r="I2211" s="13"/>
      <c r="J2211" s="4"/>
      <c r="K2211" s="4"/>
      <c r="L2211" s="4"/>
      <c r="M2211" s="4"/>
      <c r="Q2211" s="4"/>
      <c r="R2211" s="4"/>
      <c r="S2211" s="4"/>
      <c r="T2211" s="4"/>
      <c r="U2211" s="4"/>
      <c r="V2211" s="4"/>
      <c r="W2211" s="13"/>
      <c r="X2211" s="13"/>
    </row>
    <row r="2212">
      <c r="A2212" s="4"/>
      <c r="B2212" s="4"/>
      <c r="C2212" s="4"/>
      <c r="D2212" s="4"/>
      <c r="E2212" s="4"/>
      <c r="F2212" s="4"/>
      <c r="G2212" s="13"/>
      <c r="H2212" s="13"/>
      <c r="I2212" s="13"/>
      <c r="J2212" s="4"/>
      <c r="K2212" s="4"/>
      <c r="L2212" s="4"/>
      <c r="M2212" s="4"/>
      <c r="Q2212" s="4"/>
      <c r="R2212" s="4"/>
      <c r="S2212" s="4"/>
      <c r="T2212" s="4"/>
      <c r="U2212" s="4"/>
      <c r="V2212" s="4"/>
      <c r="W2212" s="13"/>
      <c r="X2212" s="13"/>
    </row>
    <row r="2213">
      <c r="A2213" s="4"/>
      <c r="B2213" s="4"/>
      <c r="C2213" s="4"/>
      <c r="D2213" s="4"/>
      <c r="E2213" s="4"/>
      <c r="F2213" s="4"/>
      <c r="G2213" s="13"/>
      <c r="H2213" s="13"/>
      <c r="I2213" s="13"/>
      <c r="J2213" s="4"/>
      <c r="K2213" s="4"/>
      <c r="L2213" s="4"/>
      <c r="M2213" s="4"/>
      <c r="Q2213" s="4"/>
      <c r="R2213" s="4"/>
      <c r="S2213" s="4"/>
      <c r="T2213" s="4"/>
      <c r="U2213" s="4"/>
      <c r="V2213" s="4"/>
      <c r="W2213" s="13"/>
      <c r="X2213" s="13"/>
    </row>
    <row r="2214">
      <c r="A2214" s="4"/>
      <c r="B2214" s="4"/>
      <c r="C2214" s="4"/>
      <c r="D2214" s="4"/>
      <c r="E2214" s="4"/>
      <c r="F2214" s="4"/>
      <c r="G2214" s="13"/>
      <c r="H2214" s="13"/>
      <c r="I2214" s="13"/>
      <c r="J2214" s="4"/>
      <c r="K2214" s="4"/>
      <c r="L2214" s="4"/>
      <c r="M2214" s="4"/>
      <c r="Q2214" s="4"/>
      <c r="R2214" s="4"/>
      <c r="S2214" s="4"/>
      <c r="T2214" s="4"/>
      <c r="U2214" s="4"/>
      <c r="V2214" s="4"/>
      <c r="W2214" s="13"/>
      <c r="X2214" s="13"/>
    </row>
    <row r="2215">
      <c r="A2215" s="4"/>
      <c r="B2215" s="4"/>
      <c r="C2215" s="4"/>
      <c r="D2215" s="4"/>
      <c r="E2215" s="4"/>
      <c r="F2215" s="4"/>
      <c r="G2215" s="13"/>
      <c r="H2215" s="13"/>
      <c r="I2215" s="13"/>
      <c r="J2215" s="4"/>
      <c r="K2215" s="4"/>
      <c r="L2215" s="4"/>
      <c r="M2215" s="4"/>
      <c r="Q2215" s="4"/>
      <c r="R2215" s="4"/>
      <c r="S2215" s="4"/>
      <c r="T2215" s="4"/>
      <c r="U2215" s="4"/>
      <c r="V2215" s="4"/>
      <c r="W2215" s="13"/>
      <c r="X2215" s="13"/>
    </row>
    <row r="2216">
      <c r="A2216" s="4"/>
      <c r="B2216" s="4"/>
      <c r="C2216" s="4"/>
      <c r="D2216" s="4"/>
      <c r="E2216" s="4"/>
      <c r="F2216" s="4"/>
      <c r="G2216" s="13"/>
      <c r="H2216" s="13"/>
      <c r="I2216" s="13"/>
      <c r="J2216" s="4"/>
      <c r="K2216" s="4"/>
      <c r="L2216" s="4"/>
      <c r="M2216" s="4"/>
      <c r="Q2216" s="4"/>
      <c r="R2216" s="4"/>
      <c r="S2216" s="4"/>
      <c r="T2216" s="4"/>
      <c r="U2216" s="4"/>
      <c r="V2216" s="4"/>
      <c r="W2216" s="13"/>
    </row>
    <row r="2217">
      <c r="A2217" s="4"/>
      <c r="B2217" s="4"/>
      <c r="C2217" s="4"/>
      <c r="D2217" s="4"/>
      <c r="E2217" s="4"/>
      <c r="F2217" s="4"/>
      <c r="G2217" s="13"/>
      <c r="H2217" s="13"/>
      <c r="I2217" s="13"/>
      <c r="J2217" s="4"/>
      <c r="K2217" s="4"/>
      <c r="L2217" s="4"/>
      <c r="M2217" s="4"/>
      <c r="Q2217" s="4"/>
      <c r="R2217" s="4"/>
      <c r="S2217" s="4"/>
      <c r="T2217" s="4"/>
      <c r="U2217" s="4"/>
      <c r="V2217" s="4"/>
      <c r="W2217" s="13"/>
      <c r="X2217" s="13"/>
    </row>
    <row r="2218">
      <c r="A2218" s="4"/>
      <c r="B2218" s="4"/>
      <c r="C2218" s="4"/>
      <c r="D2218" s="4"/>
      <c r="E2218" s="4"/>
      <c r="F2218" s="4"/>
      <c r="G2218" s="13"/>
      <c r="H2218" s="13"/>
      <c r="I2218" s="13"/>
      <c r="J2218" s="4"/>
      <c r="K2218" s="4"/>
      <c r="L2218" s="4"/>
      <c r="M2218" s="4"/>
      <c r="Q2218" s="4"/>
      <c r="R2218" s="4"/>
      <c r="S2218" s="4"/>
      <c r="T2218" s="4"/>
      <c r="U2218" s="4"/>
      <c r="V2218" s="4"/>
      <c r="W2218" s="13"/>
      <c r="X2218" s="13"/>
    </row>
    <row r="2219">
      <c r="A2219" s="4"/>
      <c r="B2219" s="4"/>
      <c r="C2219" s="4"/>
      <c r="D2219" s="4"/>
      <c r="E2219" s="4"/>
      <c r="F2219" s="4"/>
      <c r="G2219" s="13"/>
      <c r="H2219" s="13"/>
      <c r="I2219" s="13"/>
      <c r="J2219" s="4"/>
      <c r="K2219" s="4"/>
      <c r="L2219" s="4"/>
      <c r="M2219" s="4"/>
      <c r="Q2219" s="4"/>
      <c r="R2219" s="4"/>
      <c r="S2219" s="4"/>
      <c r="T2219" s="4"/>
      <c r="U2219" s="4"/>
      <c r="V2219" s="4"/>
      <c r="W2219" s="13"/>
      <c r="X2219" s="13"/>
    </row>
    <row r="2220">
      <c r="A2220" s="4"/>
      <c r="B2220" s="4"/>
      <c r="C2220" s="4"/>
      <c r="D2220" s="4"/>
      <c r="E2220" s="4"/>
      <c r="F2220" s="4"/>
      <c r="G2220" s="13"/>
      <c r="H2220" s="13"/>
      <c r="I2220" s="13"/>
      <c r="J2220" s="4"/>
      <c r="K2220" s="4"/>
      <c r="L2220" s="4"/>
      <c r="M2220" s="4"/>
      <c r="Q2220" s="4"/>
      <c r="R2220" s="4"/>
      <c r="S2220" s="4"/>
      <c r="T2220" s="4"/>
      <c r="U2220" s="4"/>
      <c r="V2220" s="4"/>
      <c r="W2220" s="13"/>
    </row>
    <row r="2221">
      <c r="A2221" s="4"/>
      <c r="B2221" s="4"/>
      <c r="C2221" s="4"/>
      <c r="D2221" s="4"/>
      <c r="E2221" s="4"/>
      <c r="F2221" s="4"/>
      <c r="G2221" s="13"/>
      <c r="H2221" s="13"/>
      <c r="I2221" s="13"/>
      <c r="J2221" s="4"/>
      <c r="K2221" s="4"/>
      <c r="L2221" s="4"/>
      <c r="M2221" s="4"/>
      <c r="Q2221" s="4"/>
      <c r="R2221" s="4"/>
      <c r="S2221" s="4"/>
      <c r="T2221" s="4"/>
      <c r="U2221" s="4"/>
      <c r="V2221" s="4"/>
      <c r="W2221" s="13"/>
      <c r="X2221" s="13"/>
    </row>
    <row r="2222">
      <c r="A2222" s="4"/>
      <c r="B2222" s="4"/>
      <c r="C2222" s="4"/>
      <c r="D2222" s="4"/>
      <c r="E2222" s="4"/>
      <c r="F2222" s="4"/>
      <c r="G2222" s="13"/>
      <c r="H2222" s="13"/>
      <c r="I2222" s="13"/>
      <c r="J2222" s="4"/>
      <c r="K2222" s="4"/>
      <c r="L2222" s="4"/>
      <c r="M2222" s="4"/>
      <c r="Q2222" s="4"/>
      <c r="R2222" s="4"/>
      <c r="S2222" s="4"/>
      <c r="T2222" s="4"/>
      <c r="U2222" s="4"/>
      <c r="V2222" s="4"/>
      <c r="W2222" s="13"/>
      <c r="X2222" s="13"/>
    </row>
    <row r="2223">
      <c r="A2223" s="4"/>
      <c r="B2223" s="4"/>
      <c r="C2223" s="4"/>
      <c r="D2223" s="4"/>
      <c r="E2223" s="4"/>
      <c r="F2223" s="4"/>
      <c r="G2223" s="13"/>
      <c r="H2223" s="13"/>
      <c r="I2223" s="13"/>
      <c r="J2223" s="4"/>
      <c r="K2223" s="4"/>
      <c r="L2223" s="4"/>
      <c r="M2223" s="4"/>
      <c r="Q2223" s="4"/>
      <c r="R2223" s="4"/>
      <c r="S2223" s="4"/>
      <c r="T2223" s="4"/>
      <c r="U2223" s="4"/>
      <c r="V2223" s="4"/>
      <c r="W2223" s="13"/>
      <c r="X2223" s="13"/>
    </row>
    <row r="2224">
      <c r="A2224" s="4"/>
      <c r="B2224" s="4"/>
      <c r="C2224" s="4"/>
      <c r="D2224" s="4"/>
      <c r="E2224" s="4"/>
      <c r="F2224" s="4"/>
      <c r="G2224" s="13"/>
      <c r="H2224" s="13"/>
      <c r="I2224" s="13"/>
      <c r="J2224" s="4"/>
      <c r="K2224" s="4"/>
      <c r="L2224" s="4"/>
      <c r="M2224" s="4"/>
      <c r="Q2224" s="4"/>
      <c r="R2224" s="4"/>
      <c r="S2224" s="4"/>
      <c r="T2224" s="4"/>
      <c r="U2224" s="4"/>
      <c r="V2224" s="4"/>
      <c r="W2224" s="13"/>
      <c r="X2224" s="13"/>
    </row>
    <row r="2225">
      <c r="A2225" s="4"/>
      <c r="B2225" s="4"/>
      <c r="C2225" s="4"/>
      <c r="D2225" s="4"/>
      <c r="E2225" s="4"/>
      <c r="F2225" s="4"/>
      <c r="G2225" s="13"/>
      <c r="H2225" s="13"/>
      <c r="I2225" s="13"/>
      <c r="J2225" s="4"/>
      <c r="K2225" s="4"/>
      <c r="L2225" s="4"/>
      <c r="M2225" s="4"/>
      <c r="Q2225" s="4"/>
      <c r="R2225" s="4"/>
      <c r="S2225" s="4"/>
      <c r="T2225" s="4"/>
      <c r="U2225" s="4"/>
      <c r="V2225" s="4"/>
      <c r="W2225" s="13"/>
      <c r="X2225" s="13"/>
    </row>
    <row r="2226">
      <c r="A2226" s="4"/>
      <c r="B2226" s="4"/>
      <c r="C2226" s="4"/>
      <c r="D2226" s="4"/>
      <c r="E2226" s="4"/>
      <c r="F2226" s="4"/>
      <c r="G2226" s="13"/>
      <c r="H2226" s="13"/>
      <c r="I2226" s="13"/>
      <c r="J2226" s="4"/>
      <c r="K2226" s="4"/>
      <c r="L2226" s="4"/>
      <c r="M2226" s="4"/>
      <c r="Q2226" s="4"/>
      <c r="R2226" s="4"/>
      <c r="S2226" s="4"/>
      <c r="T2226" s="4"/>
      <c r="U2226" s="4"/>
      <c r="V2226" s="4"/>
      <c r="W2226" s="13"/>
      <c r="X2226" s="13"/>
    </row>
    <row r="2227">
      <c r="A2227" s="4"/>
      <c r="B2227" s="4"/>
      <c r="C2227" s="4"/>
      <c r="D2227" s="4"/>
      <c r="E2227" s="4"/>
      <c r="F2227" s="4"/>
      <c r="G2227" s="13"/>
      <c r="H2227" s="13"/>
      <c r="I2227" s="13"/>
      <c r="J2227" s="4"/>
      <c r="K2227" s="4"/>
      <c r="L2227" s="4"/>
      <c r="M2227" s="4"/>
      <c r="Q2227" s="4"/>
      <c r="R2227" s="4"/>
      <c r="S2227" s="4"/>
      <c r="T2227" s="4"/>
      <c r="U2227" s="4"/>
      <c r="V2227" s="4"/>
      <c r="W2227" s="13"/>
      <c r="X2227" s="13"/>
    </row>
    <row r="2228">
      <c r="A2228" s="4"/>
      <c r="B2228" s="4"/>
      <c r="C2228" s="4"/>
      <c r="D2228" s="4"/>
      <c r="E2228" s="4"/>
      <c r="F2228" s="4"/>
      <c r="G2228" s="13"/>
      <c r="H2228" s="13"/>
      <c r="I2228" s="13"/>
      <c r="J2228" s="4"/>
      <c r="K2228" s="4"/>
      <c r="L2228" s="4"/>
      <c r="M2228" s="4"/>
      <c r="Q2228" s="4"/>
      <c r="R2228" s="4"/>
      <c r="S2228" s="4"/>
      <c r="T2228" s="4"/>
      <c r="U2228" s="4"/>
      <c r="V2228" s="4"/>
      <c r="W2228" s="13"/>
      <c r="X2228" s="13"/>
    </row>
    <row r="2229">
      <c r="A2229" s="4"/>
      <c r="B2229" s="4"/>
      <c r="C2229" s="4"/>
      <c r="D2229" s="4"/>
      <c r="E2229" s="4"/>
      <c r="F2229" s="4"/>
      <c r="G2229" s="13"/>
      <c r="H2229" s="13"/>
      <c r="I2229" s="13"/>
      <c r="J2229" s="4"/>
      <c r="K2229" s="4"/>
      <c r="L2229" s="4"/>
      <c r="M2229" s="4"/>
      <c r="Q2229" s="4"/>
      <c r="R2229" s="4"/>
      <c r="S2229" s="4"/>
      <c r="T2229" s="4"/>
      <c r="U2229" s="4"/>
      <c r="V2229" s="4"/>
      <c r="W2229" s="13"/>
      <c r="X2229" s="13"/>
    </row>
    <row r="2230">
      <c r="A2230" s="4"/>
      <c r="B2230" s="4"/>
      <c r="C2230" s="4"/>
      <c r="D2230" s="4"/>
      <c r="E2230" s="4"/>
      <c r="F2230" s="4"/>
      <c r="G2230" s="13"/>
      <c r="H2230" s="13"/>
      <c r="I2230" s="13"/>
      <c r="J2230" s="4"/>
      <c r="K2230" s="4"/>
      <c r="L2230" s="4"/>
      <c r="M2230" s="4"/>
      <c r="Q2230" s="4"/>
      <c r="R2230" s="4"/>
      <c r="S2230" s="4"/>
      <c r="T2230" s="4"/>
      <c r="U2230" s="4"/>
      <c r="V2230" s="4"/>
      <c r="W2230" s="13"/>
      <c r="X2230" s="13"/>
    </row>
    <row r="2231">
      <c r="A2231" s="4"/>
      <c r="B2231" s="4"/>
      <c r="C2231" s="4"/>
      <c r="D2231" s="4"/>
      <c r="E2231" s="4"/>
      <c r="F2231" s="4"/>
      <c r="G2231" s="13"/>
      <c r="H2231" s="13"/>
      <c r="I2231" s="13"/>
      <c r="J2231" s="4"/>
      <c r="K2231" s="4"/>
      <c r="L2231" s="4"/>
      <c r="M2231" s="4"/>
      <c r="Q2231" s="4"/>
      <c r="R2231" s="4"/>
      <c r="S2231" s="4"/>
      <c r="T2231" s="4"/>
      <c r="U2231" s="4"/>
      <c r="V2231" s="4"/>
      <c r="W2231" s="13"/>
      <c r="X2231" s="13"/>
    </row>
    <row r="2232">
      <c r="A2232" s="4"/>
      <c r="B2232" s="4"/>
      <c r="C2232" s="4"/>
      <c r="D2232" s="4"/>
      <c r="E2232" s="4"/>
      <c r="F2232" s="4"/>
      <c r="G2232" s="13"/>
      <c r="H2232" s="13"/>
      <c r="I2232" s="13"/>
      <c r="J2232" s="4"/>
      <c r="K2232" s="4"/>
      <c r="L2232" s="4"/>
      <c r="M2232" s="4"/>
      <c r="Q2232" s="4"/>
      <c r="R2232" s="4"/>
      <c r="S2232" s="4"/>
      <c r="T2232" s="4"/>
      <c r="U2232" s="4"/>
      <c r="V2232" s="4"/>
      <c r="W2232" s="13"/>
      <c r="X2232" s="13"/>
    </row>
    <row r="2233">
      <c r="A2233" s="4"/>
      <c r="B2233" s="4"/>
      <c r="C2233" s="4"/>
      <c r="D2233" s="4"/>
      <c r="E2233" s="4"/>
      <c r="F2233" s="4"/>
      <c r="G2233" s="13"/>
      <c r="H2233" s="13"/>
      <c r="I2233" s="13"/>
      <c r="J2233" s="4"/>
      <c r="K2233" s="4"/>
      <c r="L2233" s="4"/>
      <c r="M2233" s="4"/>
      <c r="Q2233" s="4"/>
      <c r="R2233" s="4"/>
      <c r="S2233" s="4"/>
      <c r="T2233" s="4"/>
      <c r="U2233" s="4"/>
      <c r="V2233" s="4"/>
      <c r="W2233" s="13"/>
    </row>
    <row r="2234">
      <c r="A2234" s="4"/>
      <c r="B2234" s="4"/>
      <c r="C2234" s="4"/>
      <c r="D2234" s="4"/>
      <c r="E2234" s="4"/>
      <c r="F2234" s="4"/>
      <c r="G2234" s="13"/>
      <c r="H2234" s="13"/>
      <c r="I2234" s="13"/>
      <c r="J2234" s="4"/>
      <c r="K2234" s="4"/>
      <c r="L2234" s="4"/>
      <c r="M2234" s="4"/>
      <c r="Q2234" s="4"/>
      <c r="R2234" s="4"/>
      <c r="S2234" s="4"/>
      <c r="T2234" s="4"/>
      <c r="U2234" s="4"/>
      <c r="V2234" s="4"/>
      <c r="W2234" s="13"/>
      <c r="X2234" s="13"/>
    </row>
    <row r="2235">
      <c r="A2235" s="4"/>
      <c r="B2235" s="4"/>
      <c r="C2235" s="4"/>
      <c r="D2235" s="4"/>
      <c r="E2235" s="4"/>
      <c r="F2235" s="4"/>
      <c r="G2235" s="13"/>
      <c r="H2235" s="13"/>
      <c r="I2235" s="13"/>
      <c r="J2235" s="4"/>
      <c r="K2235" s="4"/>
      <c r="L2235" s="4"/>
      <c r="M2235" s="4"/>
      <c r="Q2235" s="4"/>
      <c r="R2235" s="4"/>
      <c r="S2235" s="4"/>
      <c r="T2235" s="4"/>
      <c r="U2235" s="4"/>
      <c r="V2235" s="4"/>
      <c r="W2235" s="13"/>
      <c r="X2235" s="13"/>
    </row>
    <row r="2236">
      <c r="A2236" s="4"/>
      <c r="B2236" s="4"/>
      <c r="C2236" s="4"/>
      <c r="D2236" s="4"/>
      <c r="E2236" s="4"/>
      <c r="F2236" s="4"/>
      <c r="G2236" s="13"/>
      <c r="H2236" s="13"/>
      <c r="I2236" s="13"/>
      <c r="J2236" s="4"/>
      <c r="K2236" s="4"/>
      <c r="L2236" s="4"/>
      <c r="M2236" s="4"/>
      <c r="Q2236" s="4"/>
      <c r="R2236" s="4"/>
      <c r="S2236" s="4"/>
      <c r="T2236" s="4"/>
      <c r="U2236" s="4"/>
      <c r="V2236" s="4"/>
      <c r="W2236" s="13"/>
      <c r="X2236" s="13"/>
    </row>
    <row r="2237">
      <c r="A2237" s="4"/>
      <c r="B2237" s="4"/>
      <c r="C2237" s="4"/>
      <c r="D2237" s="4"/>
      <c r="E2237" s="4"/>
      <c r="F2237" s="4"/>
      <c r="G2237" s="13"/>
      <c r="J2237" s="4"/>
      <c r="K2237" s="4"/>
      <c r="L2237" s="4"/>
      <c r="M2237" s="4"/>
      <c r="Q2237" s="4"/>
      <c r="R2237" s="4"/>
      <c r="S2237" s="4"/>
      <c r="T2237" s="4"/>
      <c r="U2237" s="4"/>
      <c r="V2237" s="4"/>
      <c r="W2237" s="13"/>
    </row>
    <row r="2238">
      <c r="A2238" s="4"/>
      <c r="B2238" s="4"/>
      <c r="C2238" s="4"/>
      <c r="D2238" s="4"/>
      <c r="E2238" s="4"/>
      <c r="F2238" s="4"/>
      <c r="G2238" s="13"/>
      <c r="J2238" s="4"/>
      <c r="K2238" s="4"/>
      <c r="L2238" s="4"/>
      <c r="M2238" s="4"/>
      <c r="Q2238" s="4"/>
      <c r="R2238" s="4"/>
      <c r="S2238" s="4"/>
      <c r="T2238" s="4"/>
      <c r="U2238" s="4"/>
      <c r="V2238" s="4"/>
    </row>
    <row r="2239">
      <c r="A2239" s="4"/>
      <c r="B2239" s="4"/>
      <c r="C2239" s="4"/>
      <c r="D2239" s="4"/>
      <c r="E2239" s="4"/>
      <c r="F2239" s="4"/>
      <c r="G2239" s="13"/>
      <c r="J2239" s="4"/>
      <c r="K2239" s="4"/>
      <c r="L2239" s="4"/>
      <c r="M2239" s="4"/>
      <c r="Q2239" s="4"/>
      <c r="R2239" s="4"/>
      <c r="S2239" s="4"/>
      <c r="T2239" s="4"/>
      <c r="U2239" s="4"/>
      <c r="V2239" s="4"/>
    </row>
    <row r="2240">
      <c r="A2240" s="4"/>
      <c r="B2240" s="4"/>
      <c r="C2240" s="4"/>
      <c r="D2240" s="4"/>
      <c r="E2240" s="4"/>
      <c r="F2240" s="4"/>
      <c r="G2240" s="13"/>
      <c r="J2240" s="4"/>
      <c r="K2240" s="4"/>
      <c r="L2240" s="4"/>
      <c r="M2240" s="4"/>
      <c r="Q2240" s="4"/>
      <c r="R2240" s="4"/>
      <c r="S2240" s="4"/>
      <c r="T2240" s="4"/>
      <c r="U2240" s="4"/>
      <c r="V2240" s="4"/>
    </row>
    <row r="2241">
      <c r="A2241" s="4"/>
      <c r="B2241" s="4"/>
      <c r="C2241" s="4"/>
      <c r="D2241" s="4"/>
      <c r="E2241" s="4"/>
      <c r="F2241" s="4"/>
      <c r="G2241" s="13"/>
      <c r="J2241" s="4"/>
      <c r="K2241" s="4"/>
      <c r="L2241" s="4"/>
      <c r="M2241" s="4"/>
      <c r="Q2241" s="4"/>
      <c r="R2241" s="4"/>
      <c r="S2241" s="4"/>
      <c r="T2241" s="4"/>
      <c r="U2241" s="4"/>
      <c r="V2241" s="4"/>
      <c r="W2241" s="13"/>
    </row>
    <row r="2242">
      <c r="A2242" s="4"/>
      <c r="B2242" s="4"/>
      <c r="C2242" s="4"/>
      <c r="D2242" s="4"/>
      <c r="E2242" s="4"/>
      <c r="F2242" s="4"/>
      <c r="G2242" s="13"/>
      <c r="J2242" s="4"/>
      <c r="K2242" s="4"/>
      <c r="L2242" s="4"/>
      <c r="M2242" s="4"/>
      <c r="Q2242" s="4"/>
      <c r="R2242" s="4"/>
      <c r="S2242" s="4"/>
      <c r="T2242" s="4"/>
      <c r="U2242" s="4"/>
      <c r="V2242" s="4"/>
      <c r="W2242" s="13"/>
    </row>
    <row r="2243">
      <c r="A2243" s="4"/>
      <c r="B2243" s="4"/>
      <c r="C2243" s="4"/>
      <c r="D2243" s="4"/>
      <c r="E2243" s="4"/>
      <c r="F2243" s="4"/>
      <c r="G2243" s="13"/>
      <c r="J2243" s="4"/>
      <c r="K2243" s="4"/>
      <c r="L2243" s="4"/>
      <c r="M2243" s="4"/>
      <c r="Q2243" s="4"/>
      <c r="R2243" s="4"/>
      <c r="S2243" s="4"/>
      <c r="T2243" s="4"/>
      <c r="U2243" s="4"/>
      <c r="V2243" s="4"/>
      <c r="W2243" s="13"/>
    </row>
    <row r="2244">
      <c r="A2244" s="4"/>
      <c r="B2244" s="4"/>
      <c r="C2244" s="4"/>
      <c r="D2244" s="13"/>
      <c r="E2244" s="13"/>
      <c r="F2244" s="4"/>
    </row>
    <row r="2245">
      <c r="A2245" s="4"/>
      <c r="B2245" s="4"/>
      <c r="C2245" s="4"/>
      <c r="D2245" s="13"/>
      <c r="E2245" s="13"/>
      <c r="F2245" s="4"/>
    </row>
    <row r="2246">
      <c r="A2246" s="4"/>
      <c r="B2246" s="4"/>
      <c r="C2246" s="4"/>
      <c r="D2246" s="13"/>
      <c r="E2246" s="13"/>
      <c r="F2246" s="4"/>
    </row>
    <row r="2247">
      <c r="A2247" s="4"/>
      <c r="B2247" s="4"/>
      <c r="C2247" s="4"/>
      <c r="D2247" s="13"/>
      <c r="E2247" s="13"/>
      <c r="F2247" s="4"/>
    </row>
    <row r="2248">
      <c r="A2248" s="4"/>
      <c r="B2248" s="4"/>
      <c r="C2248" s="4"/>
      <c r="D2248" s="13"/>
      <c r="E2248" s="13"/>
      <c r="F2248" s="4"/>
    </row>
    <row r="2249">
      <c r="A2249" s="4"/>
      <c r="B2249" s="4"/>
      <c r="C2249" s="4"/>
      <c r="D2249" s="13"/>
      <c r="E2249" s="13"/>
      <c r="F2249" s="4"/>
    </row>
    <row r="2250">
      <c r="A2250" s="4"/>
      <c r="B2250" s="4"/>
      <c r="C2250" s="4"/>
      <c r="D2250" s="13"/>
      <c r="E2250" s="13"/>
      <c r="F2250" s="4"/>
    </row>
    <row r="2251">
      <c r="A2251" s="4"/>
      <c r="B2251" s="4"/>
      <c r="C2251" s="4"/>
      <c r="D2251" s="13"/>
      <c r="E2251" s="13"/>
      <c r="F2251" s="4"/>
    </row>
    <row r="2252">
      <c r="A2252" s="4"/>
      <c r="B2252" s="4"/>
      <c r="C2252" s="4"/>
      <c r="D2252" s="13"/>
      <c r="E2252" s="13"/>
      <c r="F2252" s="4"/>
    </row>
    <row r="2253">
      <c r="A2253" s="4"/>
      <c r="B2253" s="4"/>
      <c r="C2253" s="4"/>
      <c r="D2253" s="13"/>
      <c r="E2253" s="13"/>
      <c r="F2253" s="4"/>
    </row>
    <row r="2254">
      <c r="A2254" s="4"/>
      <c r="B2254" s="4"/>
      <c r="C2254" s="4"/>
      <c r="D2254" s="13"/>
      <c r="E2254" s="13"/>
      <c r="F2254" s="4"/>
    </row>
    <row r="2255">
      <c r="A2255" s="4"/>
      <c r="B2255" s="4"/>
      <c r="C2255" s="4"/>
      <c r="D2255" s="13"/>
      <c r="E2255" s="13"/>
      <c r="F2255" s="4"/>
    </row>
    <row r="2256">
      <c r="A2256" s="4"/>
      <c r="B2256" s="4"/>
      <c r="C2256" s="4"/>
      <c r="D2256" s="13"/>
      <c r="E2256" s="13"/>
      <c r="F2256" s="4"/>
    </row>
    <row r="2257">
      <c r="A2257" s="4"/>
      <c r="B2257" s="4"/>
      <c r="C2257" s="4"/>
      <c r="D2257" s="13"/>
      <c r="E2257" s="13"/>
      <c r="F2257" s="4"/>
    </row>
    <row r="2258">
      <c r="A2258" s="4"/>
      <c r="B2258" s="4"/>
      <c r="C2258" s="4"/>
      <c r="D2258" s="13"/>
      <c r="E2258" s="13"/>
      <c r="F2258" s="4"/>
    </row>
    <row r="2259">
      <c r="A2259" s="4"/>
      <c r="B2259" s="4"/>
      <c r="C2259" s="4"/>
      <c r="D2259" s="13"/>
      <c r="E2259" s="13"/>
      <c r="F2259" s="4"/>
    </row>
    <row r="2260">
      <c r="A2260" s="4"/>
      <c r="B2260" s="4"/>
      <c r="C2260" s="4"/>
      <c r="D2260" s="13"/>
      <c r="E2260" s="13"/>
      <c r="F2260" s="4"/>
    </row>
    <row r="2261">
      <c r="A2261" s="4"/>
      <c r="B2261" s="4"/>
      <c r="C2261" s="4"/>
      <c r="D2261" s="13"/>
      <c r="E2261" s="13"/>
      <c r="F2261" s="4"/>
    </row>
    <row r="2262">
      <c r="A2262" s="4"/>
      <c r="B2262" s="4"/>
      <c r="C2262" s="4"/>
      <c r="D2262" s="13"/>
      <c r="E2262" s="13"/>
      <c r="F2262" s="4"/>
    </row>
    <row r="2263">
      <c r="A2263" s="4"/>
      <c r="B2263" s="4"/>
      <c r="C2263" s="4"/>
      <c r="D2263" s="13"/>
      <c r="E2263" s="13"/>
      <c r="F2263" s="4"/>
    </row>
    <row r="2264">
      <c r="A2264" s="4"/>
      <c r="B2264" s="4"/>
      <c r="C2264" s="4"/>
      <c r="D2264" s="13"/>
      <c r="E2264" s="13"/>
      <c r="F2264" s="4"/>
    </row>
    <row r="2265">
      <c r="A2265" s="4"/>
      <c r="B2265" s="4"/>
      <c r="C2265" s="4"/>
      <c r="D2265" s="13"/>
      <c r="E2265" s="13"/>
      <c r="F2265" s="4"/>
    </row>
    <row r="2266">
      <c r="A2266" s="4"/>
      <c r="B2266" s="4"/>
      <c r="C2266" s="4"/>
      <c r="D2266" s="13"/>
      <c r="E2266" s="13"/>
      <c r="F2266" s="4"/>
    </row>
    <row r="2267">
      <c r="A2267" s="4"/>
      <c r="B2267" s="4"/>
      <c r="C2267" s="4"/>
      <c r="D2267" s="13"/>
      <c r="E2267" s="13"/>
      <c r="F2267" s="4"/>
    </row>
    <row r="2268">
      <c r="A2268" s="4"/>
      <c r="B2268" s="4"/>
      <c r="C2268" s="4"/>
      <c r="D2268" s="13"/>
      <c r="E2268" s="13"/>
      <c r="F2268" s="4"/>
    </row>
    <row r="2269">
      <c r="A2269" s="4"/>
      <c r="B2269" s="4"/>
      <c r="C2269" s="4"/>
      <c r="D2269" s="13"/>
      <c r="E2269" s="13"/>
      <c r="F2269" s="4"/>
    </row>
    <row r="2270">
      <c r="A2270" s="4"/>
      <c r="B2270" s="4"/>
      <c r="C2270" s="4"/>
      <c r="D2270" s="13"/>
      <c r="E2270" s="13"/>
      <c r="F2270" s="4"/>
    </row>
    <row r="2271">
      <c r="A2271" s="4"/>
      <c r="B2271" s="4"/>
      <c r="C2271" s="4"/>
      <c r="D2271" s="13"/>
      <c r="E2271" s="13"/>
      <c r="F2271" s="4"/>
    </row>
    <row r="2272">
      <c r="A2272" s="4"/>
      <c r="B2272" s="4"/>
      <c r="C2272" s="4"/>
      <c r="D2272" s="13"/>
      <c r="E2272" s="13"/>
      <c r="F2272" s="4"/>
    </row>
    <row r="2273">
      <c r="A2273" s="4"/>
      <c r="B2273" s="4"/>
      <c r="C2273" s="4"/>
      <c r="D2273" s="13"/>
      <c r="E2273" s="13"/>
      <c r="F2273" s="4"/>
    </row>
    <row r="2274">
      <c r="A2274" s="4"/>
      <c r="B2274" s="4"/>
      <c r="C2274" s="4"/>
      <c r="D2274" s="13"/>
      <c r="E2274" s="13"/>
      <c r="F2274" s="4"/>
    </row>
    <row r="2275">
      <c r="A2275" s="4"/>
      <c r="B2275" s="4"/>
      <c r="C2275" s="4"/>
      <c r="D2275" s="13"/>
      <c r="E2275" s="13"/>
      <c r="F2275" s="4"/>
    </row>
    <row r="2276">
      <c r="A2276" s="4"/>
      <c r="B2276" s="4"/>
      <c r="C2276" s="4"/>
      <c r="D2276" s="13"/>
      <c r="E2276" s="13"/>
      <c r="F2276" s="4"/>
    </row>
    <row r="2277">
      <c r="A2277" s="4"/>
      <c r="B2277" s="4"/>
      <c r="C2277" s="4"/>
      <c r="D2277" s="13"/>
      <c r="E2277" s="13"/>
      <c r="F2277" s="4"/>
    </row>
    <row r="2278">
      <c r="A2278" s="4"/>
      <c r="B2278" s="4"/>
      <c r="C2278" s="4"/>
      <c r="D2278" s="13"/>
      <c r="E2278" s="13"/>
      <c r="F2278" s="4"/>
    </row>
    <row r="2279">
      <c r="A2279" s="4"/>
      <c r="B2279" s="4"/>
      <c r="C2279" s="4"/>
      <c r="D2279" s="13"/>
      <c r="E2279" s="13"/>
      <c r="F2279" s="4"/>
    </row>
    <row r="2280">
      <c r="A2280" s="4"/>
      <c r="B2280" s="4"/>
      <c r="C2280" s="4"/>
      <c r="D2280" s="13"/>
      <c r="E2280" s="13"/>
      <c r="F2280" s="4"/>
    </row>
    <row r="2281">
      <c r="A2281" s="4"/>
      <c r="B2281" s="4"/>
      <c r="C2281" s="4"/>
      <c r="D2281" s="13"/>
      <c r="E2281" s="13"/>
      <c r="F2281" s="4"/>
    </row>
    <row r="2282">
      <c r="A2282" s="4"/>
      <c r="B2282" s="4"/>
      <c r="C2282" s="4"/>
      <c r="D2282" s="13"/>
      <c r="E2282" s="13"/>
      <c r="F2282" s="4"/>
    </row>
    <row r="2283">
      <c r="A2283" s="4"/>
      <c r="B2283" s="4"/>
      <c r="C2283" s="4"/>
      <c r="D2283" s="13"/>
      <c r="E2283" s="13"/>
      <c r="F2283" s="4"/>
    </row>
    <row r="2284">
      <c r="A2284" s="4"/>
      <c r="B2284" s="4"/>
      <c r="C2284" s="4"/>
      <c r="D2284" s="13"/>
      <c r="E2284" s="13"/>
      <c r="F2284" s="4"/>
    </row>
    <row r="2285">
      <c r="A2285" s="4"/>
      <c r="B2285" s="4"/>
      <c r="C2285" s="4"/>
      <c r="D2285" s="13"/>
      <c r="E2285" s="13"/>
      <c r="F2285" s="4"/>
    </row>
    <row r="2286">
      <c r="A2286" s="4"/>
      <c r="B2286" s="4"/>
      <c r="C2286" s="4"/>
      <c r="D2286" s="13"/>
      <c r="E2286" s="13"/>
      <c r="F2286" s="4"/>
    </row>
    <row r="2287">
      <c r="A2287" s="4"/>
      <c r="B2287" s="4"/>
      <c r="C2287" s="4"/>
      <c r="D2287" s="13"/>
      <c r="E2287" s="13"/>
      <c r="F2287" s="4"/>
    </row>
    <row r="2288">
      <c r="A2288" s="4"/>
      <c r="B2288" s="4"/>
      <c r="C2288" s="4"/>
      <c r="D2288" s="13"/>
      <c r="E2288" s="13"/>
      <c r="F2288" s="4"/>
    </row>
    <row r="2289">
      <c r="A2289" s="4"/>
      <c r="B2289" s="4"/>
      <c r="C2289" s="4"/>
      <c r="D2289" s="13"/>
      <c r="E2289" s="13"/>
      <c r="F2289" s="4"/>
    </row>
    <row r="2290">
      <c r="A2290" s="4"/>
      <c r="B2290" s="4"/>
      <c r="C2290" s="4"/>
      <c r="D2290" s="13"/>
      <c r="E2290" s="13"/>
      <c r="F2290" s="4"/>
    </row>
    <row r="2291">
      <c r="A2291" s="4"/>
      <c r="B2291" s="4"/>
      <c r="C2291" s="4"/>
      <c r="D2291" s="13"/>
      <c r="E2291" s="13"/>
      <c r="F2291" s="4"/>
    </row>
    <row r="2292">
      <c r="A2292" s="4"/>
      <c r="B2292" s="4"/>
      <c r="C2292" s="4"/>
      <c r="D2292" s="13"/>
      <c r="E2292" s="13"/>
      <c r="F2292" s="4"/>
    </row>
    <row r="2293">
      <c r="A2293" s="4"/>
      <c r="B2293" s="4"/>
      <c r="C2293" s="4"/>
      <c r="D2293" s="13"/>
      <c r="E2293" s="13"/>
      <c r="F2293" s="4"/>
    </row>
    <row r="2294">
      <c r="A2294" s="4"/>
      <c r="B2294" s="4"/>
      <c r="C2294" s="4"/>
      <c r="D2294" s="13"/>
      <c r="E2294" s="13"/>
      <c r="F2294" s="4"/>
    </row>
    <row r="2295">
      <c r="A2295" s="4"/>
      <c r="B2295" s="4"/>
      <c r="C2295" s="4"/>
      <c r="D2295" s="13"/>
      <c r="E2295" s="13"/>
      <c r="F2295" s="4"/>
    </row>
    <row r="2296">
      <c r="A2296" s="4"/>
      <c r="B2296" s="4"/>
      <c r="C2296" s="4"/>
      <c r="D2296" s="13"/>
      <c r="E2296" s="13"/>
      <c r="F2296" s="4"/>
    </row>
    <row r="2297">
      <c r="A2297" s="4"/>
      <c r="B2297" s="4"/>
      <c r="C2297" s="4"/>
      <c r="D2297" s="13"/>
      <c r="E2297" s="13"/>
      <c r="F2297" s="4"/>
    </row>
    <row r="2298">
      <c r="A2298" s="4"/>
      <c r="B2298" s="4"/>
      <c r="C2298" s="4"/>
      <c r="D2298" s="13"/>
      <c r="E2298" s="13"/>
      <c r="F2298" s="4"/>
    </row>
    <row r="2299">
      <c r="A2299" s="4"/>
      <c r="B2299" s="4"/>
      <c r="C2299" s="4"/>
      <c r="D2299" s="13"/>
      <c r="E2299" s="13"/>
      <c r="F2299" s="4"/>
    </row>
    <row r="2300">
      <c r="A2300" s="4"/>
      <c r="B2300" s="4"/>
      <c r="C2300" s="4"/>
      <c r="D2300" s="13"/>
      <c r="E2300" s="13"/>
      <c r="F2300" s="4"/>
    </row>
    <row r="2301">
      <c r="A2301" s="4"/>
      <c r="B2301" s="4"/>
      <c r="C2301" s="4"/>
      <c r="D2301" s="13"/>
      <c r="E2301" s="13"/>
      <c r="F2301" s="4"/>
    </row>
    <row r="2302">
      <c r="A2302" s="4"/>
      <c r="B2302" s="4"/>
      <c r="C2302" s="4"/>
      <c r="D2302" s="13"/>
      <c r="E2302" s="13"/>
      <c r="F2302" s="4"/>
    </row>
    <row r="2303">
      <c r="A2303" s="4"/>
      <c r="B2303" s="4"/>
      <c r="C2303" s="4"/>
      <c r="D2303" s="13"/>
      <c r="E2303" s="13"/>
      <c r="F2303" s="4"/>
    </row>
    <row r="2304">
      <c r="A2304" s="4"/>
      <c r="B2304" s="4"/>
      <c r="C2304" s="4"/>
      <c r="D2304" s="13"/>
      <c r="E2304" s="13"/>
      <c r="F2304" s="4"/>
    </row>
    <row r="2305">
      <c r="A2305" s="4"/>
      <c r="B2305" s="4"/>
      <c r="C2305" s="4"/>
      <c r="D2305" s="13"/>
      <c r="E2305" s="13"/>
      <c r="F2305" s="4"/>
    </row>
    <row r="2306">
      <c r="A2306" s="4"/>
      <c r="B2306" s="4"/>
      <c r="C2306" s="4"/>
      <c r="D2306" s="13"/>
      <c r="E2306" s="13"/>
      <c r="F2306" s="4"/>
    </row>
    <row r="2307">
      <c r="A2307" s="4"/>
      <c r="B2307" s="4"/>
      <c r="C2307" s="4"/>
      <c r="D2307" s="13"/>
      <c r="E2307" s="13"/>
      <c r="F2307" s="4"/>
    </row>
    <row r="2308">
      <c r="A2308" s="4"/>
      <c r="B2308" s="4"/>
      <c r="C2308" s="4"/>
      <c r="D2308" s="13"/>
      <c r="E2308" s="13"/>
      <c r="F2308" s="4"/>
    </row>
    <row r="2309">
      <c r="A2309" s="4"/>
      <c r="B2309" s="4"/>
      <c r="C2309" s="4"/>
      <c r="D2309" s="13"/>
      <c r="E2309" s="13"/>
      <c r="F2309" s="4"/>
    </row>
    <row r="2310">
      <c r="A2310" s="4"/>
      <c r="B2310" s="4"/>
      <c r="C2310" s="4"/>
      <c r="D2310" s="13"/>
      <c r="E2310" s="13"/>
      <c r="F2310" s="4"/>
    </row>
    <row r="2311">
      <c r="A2311" s="4"/>
      <c r="B2311" s="4"/>
      <c r="C2311" s="4"/>
      <c r="D2311" s="13"/>
      <c r="E2311" s="13"/>
      <c r="F2311" s="4"/>
    </row>
    <row r="2312">
      <c r="A2312" s="4"/>
      <c r="B2312" s="4"/>
      <c r="C2312" s="4"/>
      <c r="D2312" s="13"/>
      <c r="E2312" s="13"/>
      <c r="F2312" s="4"/>
    </row>
    <row r="2313">
      <c r="A2313" s="4"/>
      <c r="B2313" s="4"/>
      <c r="C2313" s="4"/>
      <c r="D2313" s="13"/>
      <c r="E2313" s="13"/>
      <c r="F2313" s="4"/>
    </row>
    <row r="2314">
      <c r="A2314" s="4"/>
      <c r="B2314" s="4"/>
      <c r="C2314" s="4"/>
      <c r="D2314" s="13"/>
      <c r="E2314" s="13"/>
      <c r="F2314" s="4"/>
    </row>
    <row r="2315">
      <c r="A2315" s="4"/>
      <c r="B2315" s="4"/>
      <c r="C2315" s="4"/>
      <c r="D2315" s="13"/>
      <c r="E2315" s="13"/>
      <c r="F2315" s="4"/>
    </row>
    <row r="2316">
      <c r="A2316" s="4"/>
      <c r="B2316" s="4"/>
      <c r="C2316" s="4"/>
      <c r="D2316" s="13"/>
      <c r="E2316" s="13"/>
      <c r="F2316" s="4"/>
    </row>
    <row r="2317">
      <c r="A2317" s="4"/>
      <c r="B2317" s="4"/>
      <c r="C2317" s="4"/>
      <c r="D2317" s="13"/>
      <c r="E2317" s="13"/>
      <c r="F2317" s="4"/>
    </row>
    <row r="2318">
      <c r="A2318" s="4"/>
      <c r="B2318" s="4"/>
      <c r="C2318" s="4"/>
      <c r="D2318" s="13"/>
      <c r="E2318" s="13"/>
      <c r="F2318" s="4"/>
    </row>
    <row r="2319">
      <c r="A2319" s="4"/>
      <c r="B2319" s="4"/>
      <c r="C2319" s="4"/>
      <c r="D2319" s="13"/>
      <c r="E2319" s="13"/>
      <c r="F2319" s="4"/>
    </row>
    <row r="2320">
      <c r="A2320" s="4"/>
      <c r="B2320" s="4"/>
      <c r="C2320" s="4"/>
      <c r="D2320" s="13"/>
      <c r="E2320" s="13"/>
      <c r="F2320" s="4"/>
    </row>
    <row r="2321">
      <c r="A2321" s="4"/>
      <c r="B2321" s="4"/>
      <c r="C2321" s="4"/>
      <c r="D2321" s="13"/>
      <c r="E2321" s="13"/>
      <c r="F2321" s="4"/>
    </row>
    <row r="2322">
      <c r="A2322" s="4"/>
      <c r="B2322" s="4"/>
      <c r="C2322" s="4"/>
      <c r="D2322" s="13"/>
      <c r="E2322" s="13"/>
      <c r="F2322" s="4"/>
    </row>
    <row r="2323">
      <c r="A2323" s="4"/>
      <c r="B2323" s="4"/>
      <c r="C2323" s="4"/>
      <c r="D2323" s="13"/>
      <c r="E2323" s="13"/>
      <c r="F2323" s="4"/>
    </row>
    <row r="2324">
      <c r="A2324" s="4"/>
      <c r="B2324" s="4"/>
      <c r="C2324" s="4"/>
      <c r="D2324" s="13"/>
      <c r="E2324" s="13"/>
      <c r="F2324" s="4"/>
    </row>
    <row r="2325">
      <c r="A2325" s="4"/>
      <c r="B2325" s="4"/>
      <c r="C2325" s="4"/>
      <c r="D2325" s="13"/>
      <c r="E2325" s="13"/>
      <c r="F2325" s="4"/>
    </row>
    <row r="2326">
      <c r="A2326" s="4"/>
      <c r="B2326" s="4"/>
      <c r="C2326" s="4"/>
      <c r="D2326" s="13"/>
      <c r="E2326" s="13"/>
      <c r="F2326" s="4"/>
    </row>
    <row r="2327">
      <c r="A2327" s="4"/>
      <c r="B2327" s="4"/>
      <c r="C2327" s="4"/>
      <c r="D2327" s="13"/>
      <c r="E2327" s="13"/>
      <c r="F2327" s="4"/>
    </row>
    <row r="2328">
      <c r="A2328" s="4"/>
      <c r="B2328" s="4"/>
      <c r="C2328" s="4"/>
      <c r="D2328" s="13"/>
      <c r="E2328" s="13"/>
      <c r="F2328" s="4"/>
    </row>
    <row r="2329">
      <c r="A2329" s="4"/>
      <c r="B2329" s="4"/>
      <c r="C2329" s="4"/>
      <c r="D2329" s="13"/>
      <c r="E2329" s="13"/>
      <c r="F2329" s="4"/>
    </row>
    <row r="2330">
      <c r="A2330" s="4"/>
      <c r="B2330" s="4"/>
      <c r="C2330" s="4"/>
      <c r="D2330" s="13"/>
      <c r="E2330" s="13"/>
      <c r="F2330" s="4"/>
    </row>
    <row r="2331">
      <c r="A2331" s="4"/>
      <c r="B2331" s="4"/>
      <c r="C2331" s="4"/>
      <c r="D2331" s="13"/>
      <c r="E2331" s="13"/>
      <c r="F2331" s="4"/>
    </row>
    <row r="2332">
      <c r="A2332" s="4"/>
      <c r="B2332" s="4"/>
      <c r="C2332" s="4"/>
      <c r="D2332" s="13"/>
      <c r="E2332" s="13"/>
      <c r="F2332" s="4"/>
    </row>
    <row r="2333">
      <c r="A2333" s="4"/>
      <c r="B2333" s="4"/>
      <c r="C2333" s="4"/>
      <c r="D2333" s="13"/>
      <c r="E2333" s="13"/>
      <c r="F2333" s="4"/>
    </row>
    <row r="2334">
      <c r="A2334" s="4"/>
      <c r="B2334" s="4"/>
      <c r="C2334" s="4"/>
      <c r="D2334" s="13"/>
      <c r="E2334" s="13"/>
      <c r="F2334" s="4"/>
    </row>
    <row r="2335">
      <c r="A2335" s="4"/>
      <c r="B2335" s="4"/>
      <c r="C2335" s="4"/>
      <c r="D2335" s="13"/>
      <c r="E2335" s="13"/>
      <c r="F2335" s="4"/>
    </row>
    <row r="2336">
      <c r="A2336" s="4"/>
      <c r="B2336" s="4"/>
      <c r="C2336" s="4"/>
      <c r="D2336" s="13"/>
      <c r="E2336" s="13"/>
      <c r="F2336" s="4"/>
    </row>
    <row r="2337">
      <c r="A2337" s="4"/>
      <c r="B2337" s="4"/>
      <c r="C2337" s="4"/>
      <c r="D2337" s="13"/>
      <c r="E2337" s="13"/>
      <c r="F2337" s="4"/>
    </row>
    <row r="2338">
      <c r="A2338" s="4"/>
      <c r="B2338" s="4"/>
      <c r="C2338" s="4"/>
      <c r="D2338" s="13"/>
      <c r="E2338" s="13"/>
      <c r="F2338" s="4"/>
    </row>
    <row r="2339">
      <c r="A2339" s="4"/>
      <c r="B2339" s="4"/>
      <c r="C2339" s="4"/>
      <c r="D2339" s="13"/>
      <c r="E2339" s="13"/>
      <c r="F2339" s="4"/>
    </row>
    <row r="2340">
      <c r="A2340" s="4"/>
      <c r="B2340" s="4"/>
      <c r="C2340" s="4"/>
      <c r="D2340" s="13"/>
      <c r="E2340" s="13"/>
      <c r="F2340" s="4"/>
    </row>
    <row r="2341">
      <c r="A2341" s="4"/>
      <c r="B2341" s="4"/>
      <c r="C2341" s="4"/>
      <c r="D2341" s="13"/>
      <c r="E2341" s="13"/>
      <c r="F2341" s="4"/>
    </row>
    <row r="2342">
      <c r="A2342" s="4"/>
      <c r="B2342" s="4"/>
      <c r="C2342" s="4"/>
      <c r="D2342" s="13"/>
      <c r="E2342" s="13"/>
      <c r="F2342" s="4"/>
    </row>
    <row r="2343">
      <c r="A2343" s="4"/>
      <c r="B2343" s="4"/>
      <c r="C2343" s="4"/>
      <c r="D2343" s="13"/>
      <c r="E2343" s="13"/>
      <c r="F2343" s="4"/>
    </row>
    <row r="2344">
      <c r="A2344" s="4"/>
      <c r="B2344" s="4"/>
      <c r="C2344" s="4"/>
      <c r="D2344" s="13"/>
      <c r="E2344" s="13"/>
      <c r="F2344" s="4"/>
    </row>
    <row r="2345">
      <c r="A2345" s="4"/>
      <c r="B2345" s="4"/>
      <c r="C2345" s="4"/>
      <c r="D2345" s="13"/>
      <c r="E2345" s="13"/>
      <c r="F2345" s="4"/>
    </row>
    <row r="2346">
      <c r="A2346" s="4"/>
      <c r="B2346" s="4"/>
      <c r="C2346" s="4"/>
      <c r="D2346" s="13"/>
      <c r="E2346" s="13"/>
      <c r="F2346" s="4"/>
    </row>
    <row r="2347">
      <c r="A2347" s="4"/>
      <c r="B2347" s="4"/>
      <c r="C2347" s="4"/>
      <c r="D2347" s="13"/>
      <c r="E2347" s="13"/>
      <c r="F2347" s="4"/>
    </row>
    <row r="2348">
      <c r="A2348" s="4"/>
      <c r="B2348" s="4"/>
      <c r="C2348" s="4"/>
      <c r="D2348" s="13"/>
      <c r="E2348" s="13"/>
      <c r="F2348" s="4"/>
    </row>
    <row r="2349">
      <c r="A2349" s="4"/>
      <c r="B2349" s="4"/>
      <c r="C2349" s="4"/>
      <c r="D2349" s="13"/>
      <c r="E2349" s="13"/>
      <c r="F2349" s="4"/>
    </row>
    <row r="2350">
      <c r="A2350" s="4"/>
      <c r="B2350" s="4"/>
      <c r="C2350" s="4"/>
      <c r="D2350" s="13"/>
      <c r="E2350" s="13"/>
      <c r="F2350" s="4"/>
    </row>
    <row r="2351">
      <c r="A2351" s="4"/>
      <c r="B2351" s="4"/>
      <c r="C2351" s="4"/>
      <c r="D2351" s="13"/>
      <c r="E2351" s="13"/>
      <c r="F2351" s="4"/>
    </row>
    <row r="2352">
      <c r="A2352" s="4"/>
      <c r="B2352" s="4"/>
      <c r="C2352" s="4"/>
      <c r="D2352" s="13"/>
      <c r="F2352" s="4"/>
    </row>
    <row r="2353">
      <c r="A2353" s="4"/>
      <c r="B2353" s="4"/>
      <c r="C2353" s="4"/>
      <c r="D2353" s="13"/>
      <c r="F2353" s="4"/>
    </row>
    <row r="2354">
      <c r="A2354" s="4"/>
      <c r="B2354" s="4"/>
      <c r="C2354" s="4"/>
      <c r="D2354" s="13"/>
      <c r="F2354" s="4"/>
    </row>
    <row r="2355">
      <c r="A2355" s="4"/>
      <c r="B2355" s="4"/>
      <c r="C2355" s="4"/>
      <c r="D2355" s="13"/>
      <c r="F2355" s="4"/>
    </row>
    <row r="2356">
      <c r="A2356" s="4"/>
      <c r="B2356" s="4"/>
      <c r="C2356" s="4"/>
      <c r="D2356" s="13"/>
      <c r="F2356" s="4"/>
    </row>
    <row r="2357">
      <c r="A2357" s="4"/>
      <c r="B2357" s="4"/>
      <c r="C2357" s="4"/>
      <c r="D2357" s="13"/>
      <c r="F2357" s="4"/>
    </row>
    <row r="2358">
      <c r="A2358" s="4"/>
      <c r="B2358" s="4"/>
      <c r="C2358" s="4"/>
      <c r="D2358" s="13"/>
      <c r="F2358" s="4"/>
    </row>
    <row r="2359">
      <c r="A2359" s="4"/>
      <c r="B2359" s="4"/>
      <c r="C2359" s="4"/>
      <c r="D2359" s="13"/>
      <c r="F2359" s="4"/>
    </row>
    <row r="2360">
      <c r="A2360" s="4"/>
      <c r="B2360" s="4"/>
      <c r="C2360" s="4"/>
      <c r="D2360" s="13"/>
      <c r="E2360" s="13"/>
      <c r="F2360" s="4"/>
    </row>
    <row r="2361">
      <c r="A2361" s="4"/>
      <c r="B2361" s="4"/>
      <c r="C2361" s="4"/>
      <c r="D2361" s="13"/>
      <c r="E2361" s="13"/>
      <c r="F2361" s="4"/>
    </row>
    <row r="2362">
      <c r="A2362" s="4"/>
      <c r="B2362" s="4"/>
      <c r="C2362" s="4"/>
      <c r="D2362" s="13"/>
      <c r="E2362" s="13"/>
      <c r="F2362" s="4"/>
    </row>
    <row r="2363">
      <c r="A2363" s="4"/>
      <c r="B2363" s="4"/>
      <c r="C2363" s="4"/>
      <c r="D2363" s="13"/>
      <c r="E2363" s="13"/>
      <c r="F2363" s="4"/>
    </row>
    <row r="2364">
      <c r="A2364" s="4"/>
      <c r="B2364" s="4"/>
      <c r="C2364" s="4"/>
      <c r="D2364" s="13"/>
      <c r="E2364" s="13"/>
      <c r="F2364" s="4"/>
    </row>
    <row r="2365">
      <c r="A2365" s="4"/>
      <c r="B2365" s="4"/>
      <c r="C2365" s="4"/>
      <c r="D2365" s="13"/>
      <c r="E2365" s="13"/>
      <c r="F2365" s="4"/>
    </row>
    <row r="2366">
      <c r="A2366" s="4"/>
      <c r="B2366" s="4"/>
      <c r="C2366" s="4"/>
      <c r="D2366" s="13"/>
      <c r="E2366" s="13"/>
      <c r="F2366" s="4"/>
    </row>
    <row r="2367">
      <c r="A2367" s="4"/>
      <c r="B2367" s="4"/>
      <c r="C2367" s="4"/>
      <c r="D2367" s="13"/>
      <c r="E2367" s="13"/>
      <c r="F2367" s="4"/>
    </row>
    <row r="2368">
      <c r="A2368" s="4"/>
      <c r="B2368" s="4"/>
      <c r="C2368" s="4"/>
      <c r="D2368" s="13"/>
      <c r="E2368" s="13"/>
      <c r="F2368" s="4"/>
    </row>
    <row r="2369">
      <c r="A2369" s="4"/>
      <c r="B2369" s="4"/>
      <c r="C2369" s="4"/>
      <c r="D2369" s="13"/>
      <c r="E2369" s="13"/>
      <c r="F2369" s="4"/>
    </row>
    <row r="2370">
      <c r="A2370" s="4"/>
      <c r="B2370" s="4"/>
      <c r="C2370" s="4"/>
      <c r="D2370" s="13"/>
      <c r="E2370" s="13"/>
      <c r="F2370" s="4"/>
    </row>
    <row r="2371">
      <c r="A2371" s="4"/>
      <c r="B2371" s="4"/>
      <c r="C2371" s="4"/>
      <c r="D2371" s="13"/>
      <c r="E2371" s="13"/>
      <c r="F2371" s="4"/>
    </row>
    <row r="2372">
      <c r="A2372" s="4"/>
      <c r="B2372" s="4"/>
      <c r="C2372" s="4"/>
      <c r="D2372" s="13"/>
      <c r="E2372" s="13"/>
      <c r="F2372" s="4"/>
    </row>
    <row r="2373">
      <c r="A2373" s="4"/>
      <c r="B2373" s="4"/>
      <c r="C2373" s="4"/>
      <c r="D2373" s="13"/>
      <c r="E2373" s="13"/>
      <c r="F2373" s="4"/>
    </row>
    <row r="2374">
      <c r="A2374" s="4"/>
      <c r="B2374" s="4"/>
      <c r="C2374" s="4"/>
      <c r="D2374" s="13"/>
      <c r="E2374" s="13"/>
      <c r="F2374" s="4"/>
    </row>
    <row r="2375">
      <c r="A2375" s="4"/>
      <c r="B2375" s="4"/>
      <c r="C2375" s="4"/>
      <c r="D2375" s="13"/>
      <c r="E2375" s="13"/>
      <c r="F2375" s="4"/>
    </row>
    <row r="2376">
      <c r="A2376" s="4"/>
      <c r="B2376" s="4"/>
      <c r="C2376" s="4"/>
      <c r="D2376" s="13"/>
      <c r="E2376" s="13"/>
      <c r="F2376" s="4"/>
    </row>
    <row r="2377">
      <c r="A2377" s="4"/>
      <c r="B2377" s="4"/>
      <c r="C2377" s="4"/>
      <c r="D2377" s="13"/>
      <c r="E2377" s="13"/>
      <c r="F2377" s="4"/>
    </row>
    <row r="2378">
      <c r="A2378" s="4"/>
      <c r="B2378" s="4"/>
      <c r="C2378" s="4"/>
      <c r="D2378" s="13"/>
      <c r="E2378" s="13"/>
      <c r="F2378" s="4"/>
    </row>
    <row r="2379">
      <c r="A2379" s="4"/>
      <c r="B2379" s="4"/>
      <c r="C2379" s="4"/>
      <c r="D2379" s="13"/>
      <c r="E2379" s="13"/>
      <c r="F2379" s="4"/>
    </row>
    <row r="2380">
      <c r="A2380" s="4"/>
      <c r="B2380" s="4"/>
      <c r="C2380" s="4"/>
      <c r="D2380" s="13"/>
      <c r="E2380" s="13"/>
      <c r="F2380" s="4"/>
    </row>
    <row r="2381">
      <c r="A2381" s="4"/>
      <c r="B2381" s="4"/>
      <c r="C2381" s="4"/>
      <c r="D2381" s="13"/>
      <c r="E2381" s="13"/>
      <c r="F2381" s="4"/>
    </row>
    <row r="2382">
      <c r="A2382" s="4"/>
      <c r="B2382" s="4"/>
      <c r="C2382" s="4"/>
      <c r="D2382" s="13"/>
      <c r="E2382" s="13"/>
      <c r="F2382" s="4"/>
    </row>
    <row r="2383">
      <c r="A2383" s="4"/>
      <c r="B2383" s="4"/>
      <c r="C2383" s="4"/>
      <c r="D2383" s="13"/>
      <c r="E2383" s="13"/>
      <c r="F2383" s="4"/>
    </row>
    <row r="2384">
      <c r="A2384" s="4"/>
      <c r="B2384" s="4"/>
      <c r="C2384" s="4"/>
      <c r="D2384" s="13"/>
      <c r="E2384" s="13"/>
      <c r="F2384" s="4"/>
    </row>
    <row r="2385">
      <c r="A2385" s="4"/>
      <c r="B2385" s="4"/>
      <c r="C2385" s="4"/>
      <c r="D2385" s="13"/>
      <c r="E2385" s="13"/>
      <c r="F2385" s="4"/>
    </row>
    <row r="2386">
      <c r="A2386" s="4"/>
      <c r="B2386" s="4"/>
      <c r="C2386" s="4"/>
      <c r="D2386" s="13"/>
      <c r="E2386" s="13"/>
      <c r="F2386" s="4"/>
    </row>
    <row r="2387">
      <c r="A2387" s="4"/>
      <c r="B2387" s="4"/>
      <c r="C2387" s="4"/>
      <c r="D2387" s="13"/>
      <c r="E2387" s="13"/>
      <c r="F2387" s="4"/>
    </row>
    <row r="2388">
      <c r="A2388" s="4"/>
      <c r="B2388" s="4"/>
      <c r="C2388" s="4"/>
      <c r="D2388" s="13"/>
      <c r="E2388" s="13"/>
      <c r="F2388" s="4"/>
    </row>
    <row r="2389">
      <c r="A2389" s="4"/>
      <c r="B2389" s="4"/>
      <c r="C2389" s="4"/>
      <c r="D2389" s="13"/>
      <c r="E2389" s="13"/>
      <c r="F2389" s="4"/>
    </row>
    <row r="2390">
      <c r="A2390" s="4"/>
      <c r="B2390" s="4"/>
      <c r="C2390" s="4"/>
      <c r="D2390" s="13"/>
      <c r="E2390" s="13"/>
      <c r="F2390" s="4"/>
    </row>
    <row r="2391">
      <c r="A2391" s="4"/>
      <c r="B2391" s="4"/>
      <c r="C2391" s="4"/>
      <c r="D2391" s="13"/>
      <c r="E2391" s="13"/>
      <c r="F2391" s="4"/>
    </row>
    <row r="2392">
      <c r="A2392" s="4"/>
      <c r="B2392" s="4"/>
      <c r="C2392" s="4"/>
      <c r="D2392" s="13"/>
      <c r="E2392" s="13"/>
      <c r="F2392" s="4"/>
    </row>
    <row r="2393">
      <c r="A2393" s="4"/>
      <c r="B2393" s="4"/>
      <c r="C2393" s="4"/>
      <c r="D2393" s="13"/>
      <c r="E2393" s="13"/>
      <c r="F2393" s="4"/>
    </row>
    <row r="2394">
      <c r="A2394" s="4"/>
      <c r="B2394" s="4"/>
      <c r="C2394" s="4"/>
      <c r="D2394" s="13"/>
      <c r="E2394" s="13"/>
      <c r="F2394" s="4"/>
    </row>
    <row r="2395">
      <c r="A2395" s="4"/>
      <c r="B2395" s="4"/>
      <c r="C2395" s="4"/>
      <c r="D2395" s="13"/>
      <c r="E2395" s="13"/>
      <c r="F2395" s="4"/>
    </row>
    <row r="2396">
      <c r="A2396" s="4"/>
      <c r="B2396" s="4"/>
      <c r="C2396" s="4"/>
      <c r="D2396" s="13"/>
      <c r="E2396" s="13"/>
      <c r="F2396" s="4"/>
    </row>
    <row r="2397">
      <c r="A2397" s="4"/>
      <c r="B2397" s="4"/>
      <c r="C2397" s="4"/>
      <c r="D2397" s="13"/>
      <c r="E2397" s="13"/>
      <c r="F2397" s="4"/>
    </row>
    <row r="2398">
      <c r="A2398" s="4"/>
      <c r="B2398" s="4"/>
      <c r="C2398" s="4"/>
      <c r="D2398" s="13"/>
      <c r="E2398" s="13"/>
      <c r="F2398" s="4"/>
    </row>
    <row r="2399">
      <c r="A2399" s="4"/>
      <c r="B2399" s="4"/>
      <c r="C2399" s="4"/>
      <c r="D2399" s="13"/>
      <c r="E2399" s="13"/>
      <c r="F2399" s="4"/>
    </row>
    <row r="2400">
      <c r="A2400" s="4"/>
      <c r="B2400" s="4"/>
      <c r="C2400" s="4"/>
      <c r="D2400" s="13"/>
      <c r="E2400" s="13"/>
      <c r="F2400" s="4"/>
    </row>
    <row r="2401">
      <c r="A2401" s="4"/>
      <c r="B2401" s="4"/>
      <c r="C2401" s="4"/>
      <c r="D2401" s="13"/>
      <c r="E2401" s="13"/>
      <c r="F2401" s="4"/>
    </row>
    <row r="2402">
      <c r="A2402" s="4"/>
      <c r="B2402" s="4"/>
      <c r="C2402" s="4"/>
      <c r="D2402" s="13"/>
      <c r="E2402" s="13"/>
      <c r="F2402" s="4"/>
    </row>
    <row r="2403">
      <c r="A2403" s="4"/>
      <c r="B2403" s="4"/>
      <c r="C2403" s="4"/>
      <c r="D2403" s="13"/>
      <c r="E2403" s="13"/>
      <c r="F2403" s="4"/>
    </row>
    <row r="2404">
      <c r="A2404" s="4"/>
      <c r="B2404" s="4"/>
      <c r="C2404" s="4"/>
      <c r="D2404" s="13"/>
      <c r="E2404" s="13"/>
      <c r="F2404" s="4"/>
    </row>
    <row r="2405">
      <c r="A2405" s="4"/>
      <c r="B2405" s="4"/>
      <c r="C2405" s="4"/>
      <c r="D2405" s="13"/>
      <c r="E2405" s="13"/>
      <c r="F2405" s="4"/>
    </row>
    <row r="2406">
      <c r="A2406" s="4"/>
      <c r="B2406" s="4"/>
      <c r="C2406" s="4"/>
      <c r="D2406" s="13"/>
      <c r="E2406" s="13"/>
      <c r="F2406" s="4"/>
    </row>
    <row r="2407">
      <c r="A2407" s="4"/>
      <c r="B2407" s="4"/>
      <c r="C2407" s="4"/>
      <c r="D2407" s="13"/>
      <c r="E2407" s="13"/>
      <c r="F2407" s="4"/>
    </row>
    <row r="2408">
      <c r="A2408" s="4"/>
      <c r="B2408" s="4"/>
      <c r="C2408" s="4"/>
      <c r="D2408" s="13"/>
      <c r="E2408" s="13"/>
      <c r="F2408" s="4"/>
    </row>
    <row r="2409">
      <c r="A2409" s="4"/>
      <c r="B2409" s="4"/>
      <c r="C2409" s="4"/>
      <c r="D2409" s="13"/>
      <c r="E2409" s="13"/>
      <c r="F2409" s="4"/>
    </row>
    <row r="2410">
      <c r="A2410" s="4"/>
      <c r="B2410" s="4"/>
      <c r="C2410" s="4"/>
      <c r="D2410" s="13"/>
      <c r="E2410" s="13"/>
      <c r="F2410" s="4"/>
    </row>
    <row r="2411">
      <c r="A2411" s="4"/>
      <c r="B2411" s="4"/>
      <c r="C2411" s="4"/>
      <c r="D2411" s="13"/>
      <c r="E2411" s="13"/>
      <c r="F2411" s="4"/>
    </row>
    <row r="2412">
      <c r="A2412" s="4"/>
      <c r="B2412" s="4"/>
      <c r="C2412" s="4"/>
      <c r="D2412" s="13"/>
      <c r="E2412" s="13"/>
      <c r="F2412" s="4"/>
    </row>
    <row r="2413">
      <c r="A2413" s="4"/>
      <c r="B2413" s="4"/>
      <c r="C2413" s="4"/>
      <c r="D2413" s="13"/>
      <c r="E2413" s="13"/>
      <c r="F2413" s="4"/>
    </row>
    <row r="2414">
      <c r="A2414" s="4"/>
      <c r="B2414" s="4"/>
      <c r="C2414" s="4"/>
      <c r="D2414" s="13"/>
      <c r="E2414" s="13"/>
      <c r="F2414" s="4"/>
    </row>
    <row r="2415">
      <c r="A2415" s="4"/>
      <c r="B2415" s="4"/>
      <c r="C2415" s="4"/>
      <c r="D2415" s="13"/>
      <c r="E2415" s="13"/>
      <c r="F2415" s="4"/>
    </row>
    <row r="2416">
      <c r="A2416" s="4"/>
      <c r="B2416" s="4"/>
      <c r="C2416" s="4"/>
      <c r="D2416" s="13"/>
      <c r="E2416" s="13"/>
      <c r="F2416" s="4"/>
    </row>
    <row r="2417">
      <c r="A2417" s="4"/>
      <c r="B2417" s="4"/>
      <c r="C2417" s="4"/>
      <c r="D2417" s="13"/>
      <c r="E2417" s="13"/>
      <c r="F2417" s="4"/>
    </row>
    <row r="2418">
      <c r="A2418" s="4"/>
      <c r="B2418" s="4"/>
      <c r="C2418" s="4"/>
      <c r="D2418" s="13"/>
      <c r="E2418" s="13"/>
      <c r="F2418" s="4"/>
    </row>
    <row r="2419">
      <c r="A2419" s="4"/>
      <c r="B2419" s="4"/>
      <c r="C2419" s="4"/>
      <c r="D2419" s="13"/>
      <c r="E2419" s="13"/>
      <c r="F2419" s="4"/>
    </row>
    <row r="2420">
      <c r="A2420" s="4"/>
      <c r="B2420" s="4"/>
      <c r="C2420" s="4"/>
      <c r="D2420" s="13"/>
      <c r="E2420" s="13"/>
      <c r="F2420" s="4"/>
    </row>
    <row r="2421">
      <c r="A2421" s="4"/>
      <c r="B2421" s="4"/>
      <c r="C2421" s="4"/>
      <c r="D2421" s="13"/>
      <c r="E2421" s="13"/>
      <c r="F2421" s="4"/>
    </row>
    <row r="2422">
      <c r="A2422" s="4"/>
      <c r="B2422" s="4"/>
      <c r="C2422" s="4"/>
      <c r="D2422" s="13"/>
      <c r="E2422" s="13"/>
      <c r="F2422" s="4"/>
    </row>
    <row r="2423">
      <c r="A2423" s="4"/>
      <c r="B2423" s="4"/>
      <c r="C2423" s="4"/>
      <c r="D2423" s="13"/>
      <c r="E2423" s="13"/>
      <c r="F2423" s="4"/>
    </row>
    <row r="2424">
      <c r="A2424" s="4"/>
      <c r="B2424" s="4"/>
      <c r="C2424" s="4"/>
      <c r="D2424" s="13"/>
      <c r="E2424" s="13"/>
      <c r="F2424" s="4"/>
    </row>
    <row r="2425">
      <c r="A2425" s="4"/>
      <c r="B2425" s="4"/>
      <c r="C2425" s="4"/>
      <c r="D2425" s="13"/>
      <c r="E2425" s="13"/>
      <c r="F2425" s="4"/>
    </row>
    <row r="2426">
      <c r="A2426" s="4"/>
      <c r="B2426" s="4"/>
      <c r="C2426" s="4"/>
      <c r="D2426" s="13"/>
      <c r="E2426" s="13"/>
      <c r="F2426" s="4"/>
    </row>
    <row r="2427">
      <c r="A2427" s="4"/>
      <c r="B2427" s="4"/>
      <c r="C2427" s="4"/>
      <c r="D2427" s="13"/>
      <c r="E2427" s="13"/>
      <c r="F2427" s="4"/>
    </row>
    <row r="2428">
      <c r="A2428" s="4"/>
      <c r="B2428" s="4"/>
      <c r="C2428" s="4"/>
      <c r="D2428" s="13"/>
      <c r="E2428" s="13"/>
      <c r="F2428" s="4"/>
    </row>
    <row r="2429">
      <c r="A2429" s="4"/>
      <c r="B2429" s="4"/>
      <c r="C2429" s="4"/>
      <c r="D2429" s="13"/>
      <c r="E2429" s="13"/>
      <c r="F2429" s="4"/>
    </row>
    <row r="2430">
      <c r="A2430" s="4"/>
      <c r="B2430" s="4"/>
      <c r="C2430" s="4"/>
      <c r="D2430" s="13"/>
      <c r="E2430" s="13"/>
      <c r="F2430" s="4"/>
    </row>
    <row r="2431">
      <c r="A2431" s="4"/>
      <c r="B2431" s="4"/>
      <c r="C2431" s="4"/>
      <c r="D2431" s="13"/>
      <c r="E2431" s="13"/>
      <c r="F2431" s="4"/>
    </row>
    <row r="2432">
      <c r="A2432" s="4"/>
      <c r="B2432" s="4"/>
      <c r="C2432" s="4"/>
      <c r="D2432" s="13"/>
      <c r="E2432" s="13"/>
      <c r="F2432" s="4"/>
    </row>
    <row r="2433">
      <c r="A2433" s="4"/>
      <c r="B2433" s="4"/>
      <c r="C2433" s="4"/>
      <c r="D2433" s="13"/>
      <c r="E2433" s="13"/>
      <c r="F2433" s="4"/>
    </row>
    <row r="2434">
      <c r="A2434" s="4"/>
      <c r="B2434" s="4"/>
      <c r="C2434" s="4"/>
      <c r="D2434" s="13"/>
      <c r="E2434" s="13"/>
      <c r="F2434" s="4"/>
    </row>
    <row r="2435">
      <c r="A2435" s="4"/>
      <c r="B2435" s="4"/>
      <c r="C2435" s="4"/>
      <c r="D2435" s="13"/>
      <c r="E2435" s="13"/>
      <c r="F2435" s="4"/>
    </row>
    <row r="2436">
      <c r="A2436" s="4"/>
      <c r="B2436" s="4"/>
      <c r="C2436" s="4"/>
      <c r="D2436" s="13"/>
      <c r="E2436" s="13"/>
      <c r="F2436" s="4"/>
    </row>
    <row r="2437">
      <c r="A2437" s="4"/>
      <c r="B2437" s="4"/>
      <c r="C2437" s="4"/>
      <c r="D2437" s="13"/>
      <c r="E2437" s="13"/>
      <c r="F2437" s="4"/>
    </row>
    <row r="2438">
      <c r="A2438" s="4"/>
      <c r="B2438" s="4"/>
      <c r="C2438" s="4"/>
      <c r="D2438" s="13"/>
      <c r="E2438" s="13"/>
      <c r="F2438" s="4"/>
    </row>
    <row r="2439">
      <c r="A2439" s="4"/>
      <c r="B2439" s="4"/>
      <c r="C2439" s="4"/>
      <c r="D2439" s="13"/>
      <c r="E2439" s="13"/>
      <c r="F2439" s="4"/>
    </row>
    <row r="2440">
      <c r="A2440" s="4"/>
      <c r="B2440" s="4"/>
      <c r="C2440" s="4"/>
      <c r="D2440" s="13"/>
      <c r="E2440" s="13"/>
      <c r="F2440" s="4"/>
    </row>
    <row r="2441">
      <c r="A2441" s="4"/>
      <c r="B2441" s="4"/>
      <c r="C2441" s="4"/>
      <c r="D2441" s="13"/>
      <c r="E2441" s="13"/>
      <c r="F2441" s="4"/>
    </row>
    <row r="2442">
      <c r="A2442" s="4"/>
      <c r="B2442" s="4"/>
      <c r="C2442" s="4"/>
      <c r="D2442" s="13"/>
      <c r="E2442" s="13"/>
      <c r="F2442" s="4"/>
    </row>
    <row r="2443">
      <c r="A2443" s="4"/>
      <c r="B2443" s="4"/>
      <c r="C2443" s="4"/>
      <c r="D2443" s="13"/>
      <c r="E2443" s="13"/>
      <c r="F2443" s="4"/>
    </row>
    <row r="2444">
      <c r="A2444" s="4"/>
      <c r="B2444" s="4"/>
      <c r="C2444" s="4"/>
      <c r="D2444" s="13"/>
      <c r="E2444" s="13"/>
      <c r="F2444" s="4"/>
    </row>
    <row r="2445">
      <c r="A2445" s="4"/>
      <c r="B2445" s="4"/>
      <c r="C2445" s="4"/>
      <c r="D2445" s="13"/>
      <c r="E2445" s="13"/>
      <c r="F2445" s="4"/>
    </row>
    <row r="2446">
      <c r="A2446" s="4"/>
      <c r="B2446" s="4"/>
      <c r="C2446" s="4"/>
      <c r="D2446" s="13"/>
      <c r="E2446" s="13"/>
      <c r="F2446" s="4"/>
    </row>
    <row r="2447">
      <c r="A2447" s="4"/>
      <c r="B2447" s="4"/>
      <c r="C2447" s="4"/>
      <c r="D2447" s="13"/>
      <c r="E2447" s="13"/>
      <c r="F2447" s="4"/>
    </row>
    <row r="2448">
      <c r="A2448" s="4"/>
      <c r="B2448" s="4"/>
      <c r="C2448" s="4"/>
      <c r="D2448" s="13"/>
      <c r="E2448" s="13"/>
      <c r="F2448" s="4"/>
    </row>
    <row r="2449">
      <c r="A2449" s="4"/>
      <c r="B2449" s="4"/>
      <c r="C2449" s="4"/>
      <c r="D2449" s="13"/>
      <c r="E2449" s="13"/>
      <c r="F2449" s="4"/>
    </row>
    <row r="2450">
      <c r="A2450" s="4"/>
      <c r="B2450" s="4"/>
      <c r="C2450" s="4"/>
      <c r="D2450" s="13"/>
      <c r="E2450" s="13"/>
      <c r="F2450" s="4"/>
    </row>
    <row r="2451">
      <c r="A2451" s="4"/>
      <c r="B2451" s="4"/>
      <c r="C2451" s="4"/>
      <c r="D2451" s="13"/>
      <c r="E2451" s="13"/>
      <c r="F2451" s="4"/>
    </row>
    <row r="2452">
      <c r="A2452" s="4"/>
      <c r="B2452" s="4"/>
      <c r="C2452" s="4"/>
      <c r="D2452" s="13"/>
      <c r="E2452" s="13"/>
      <c r="F2452" s="4"/>
    </row>
    <row r="2453">
      <c r="A2453" s="4"/>
      <c r="B2453" s="4"/>
      <c r="C2453" s="4"/>
      <c r="D2453" s="13"/>
      <c r="E2453" s="13"/>
      <c r="F2453" s="4"/>
    </row>
    <row r="2454">
      <c r="A2454" s="4"/>
      <c r="B2454" s="4"/>
      <c r="C2454" s="4"/>
      <c r="D2454" s="13"/>
      <c r="E2454" s="13"/>
      <c r="F2454" s="4"/>
    </row>
    <row r="2455">
      <c r="A2455" s="4"/>
      <c r="B2455" s="4"/>
      <c r="C2455" s="4"/>
      <c r="D2455" s="13"/>
      <c r="E2455" s="13"/>
      <c r="F2455" s="4"/>
    </row>
    <row r="2456">
      <c r="A2456" s="4"/>
      <c r="B2456" s="4"/>
      <c r="C2456" s="4"/>
      <c r="D2456" s="13"/>
      <c r="E2456" s="13"/>
      <c r="F2456" s="4"/>
    </row>
    <row r="2457">
      <c r="A2457" s="4"/>
      <c r="B2457" s="4"/>
      <c r="C2457" s="4"/>
      <c r="D2457" s="13"/>
      <c r="E2457" s="13"/>
      <c r="F2457" s="4"/>
    </row>
    <row r="2458">
      <c r="A2458" s="4"/>
      <c r="B2458" s="4"/>
      <c r="C2458" s="4"/>
      <c r="D2458" s="13"/>
      <c r="E2458" s="13"/>
      <c r="F2458" s="4"/>
    </row>
    <row r="2459">
      <c r="A2459" s="4"/>
      <c r="B2459" s="4"/>
      <c r="C2459" s="4"/>
      <c r="D2459" s="13"/>
      <c r="E2459" s="13"/>
      <c r="F2459" s="4"/>
    </row>
    <row r="2460">
      <c r="A2460" s="4"/>
      <c r="B2460" s="4"/>
      <c r="C2460" s="4"/>
      <c r="D2460" s="13"/>
      <c r="E2460" s="13"/>
      <c r="F2460" s="4"/>
    </row>
    <row r="2461">
      <c r="A2461" s="4"/>
      <c r="B2461" s="4"/>
      <c r="C2461" s="4"/>
      <c r="D2461" s="13"/>
      <c r="E2461" s="13"/>
      <c r="F2461" s="4"/>
    </row>
    <row r="2462">
      <c r="A2462" s="4"/>
      <c r="B2462" s="4"/>
      <c r="C2462" s="4"/>
      <c r="D2462" s="13"/>
      <c r="E2462" s="13"/>
      <c r="F2462" s="4"/>
    </row>
    <row r="2463">
      <c r="A2463" s="4"/>
      <c r="B2463" s="4"/>
      <c r="C2463" s="4"/>
      <c r="D2463" s="13"/>
      <c r="E2463" s="13"/>
      <c r="F2463" s="4"/>
    </row>
    <row r="2464">
      <c r="A2464" s="4"/>
      <c r="B2464" s="4"/>
      <c r="C2464" s="4"/>
      <c r="D2464" s="13"/>
      <c r="E2464" s="13"/>
      <c r="F2464" s="4"/>
    </row>
    <row r="2465">
      <c r="A2465" s="4"/>
      <c r="B2465" s="4"/>
      <c r="C2465" s="4"/>
      <c r="D2465" s="13"/>
      <c r="E2465" s="13"/>
      <c r="F2465" s="4"/>
    </row>
    <row r="2466">
      <c r="A2466" s="4"/>
      <c r="B2466" s="4"/>
      <c r="C2466" s="4"/>
      <c r="D2466" s="13"/>
      <c r="E2466" s="13"/>
      <c r="F2466" s="4"/>
    </row>
    <row r="2467">
      <c r="A2467" s="4"/>
      <c r="B2467" s="4"/>
      <c r="C2467" s="4"/>
      <c r="D2467" s="13"/>
      <c r="E2467" s="13"/>
      <c r="F2467" s="4"/>
    </row>
    <row r="2468">
      <c r="A2468" s="4"/>
      <c r="B2468" s="4"/>
      <c r="C2468" s="4"/>
      <c r="D2468" s="13"/>
      <c r="E2468" s="13"/>
      <c r="F2468" s="4"/>
    </row>
    <row r="2469">
      <c r="A2469" s="4"/>
      <c r="B2469" s="4"/>
      <c r="C2469" s="4"/>
      <c r="D2469" s="13"/>
      <c r="E2469" s="13"/>
      <c r="F2469" s="4"/>
    </row>
    <row r="2470">
      <c r="A2470" s="4"/>
      <c r="B2470" s="4"/>
      <c r="C2470" s="4"/>
      <c r="D2470" s="13"/>
      <c r="E2470" s="13"/>
      <c r="F2470" s="4"/>
    </row>
    <row r="2471">
      <c r="A2471" s="4"/>
      <c r="B2471" s="4"/>
      <c r="C2471" s="4"/>
      <c r="D2471" s="13"/>
      <c r="E2471" s="13"/>
      <c r="F2471" s="4"/>
    </row>
    <row r="2472">
      <c r="A2472" s="4"/>
      <c r="B2472" s="4"/>
      <c r="C2472" s="4"/>
      <c r="D2472" s="13"/>
      <c r="E2472" s="13"/>
      <c r="F2472" s="4"/>
    </row>
    <row r="2473">
      <c r="A2473" s="4"/>
      <c r="B2473" s="4"/>
      <c r="C2473" s="4"/>
      <c r="D2473" s="13"/>
      <c r="E2473" s="13"/>
      <c r="F2473" s="4"/>
    </row>
    <row r="2474">
      <c r="A2474" s="4"/>
      <c r="B2474" s="4"/>
      <c r="C2474" s="4"/>
      <c r="D2474" s="13"/>
      <c r="E2474" s="13"/>
      <c r="F2474" s="4"/>
    </row>
    <row r="2475">
      <c r="A2475" s="4"/>
      <c r="B2475" s="4"/>
      <c r="C2475" s="4"/>
      <c r="D2475" s="13"/>
      <c r="E2475" s="13"/>
      <c r="F2475" s="4"/>
    </row>
    <row r="2476">
      <c r="A2476" s="4"/>
      <c r="B2476" s="4"/>
      <c r="C2476" s="4"/>
      <c r="D2476" s="13"/>
      <c r="E2476" s="13"/>
      <c r="F2476" s="4"/>
    </row>
    <row r="2477">
      <c r="A2477" s="4"/>
      <c r="B2477" s="4"/>
      <c r="C2477" s="4"/>
      <c r="D2477" s="13"/>
      <c r="E2477" s="13"/>
      <c r="F2477" s="4"/>
    </row>
    <row r="2478">
      <c r="A2478" s="4"/>
      <c r="B2478" s="4"/>
      <c r="C2478" s="4"/>
      <c r="D2478" s="13"/>
      <c r="E2478" s="13"/>
      <c r="F2478" s="4"/>
    </row>
    <row r="2479">
      <c r="A2479" s="4"/>
      <c r="B2479" s="4"/>
      <c r="C2479" s="4"/>
      <c r="D2479" s="13"/>
      <c r="E2479" s="13"/>
      <c r="F2479" s="4"/>
    </row>
    <row r="2480">
      <c r="A2480" s="4"/>
      <c r="B2480" s="4"/>
      <c r="C2480" s="4"/>
      <c r="D2480" s="13"/>
      <c r="E2480" s="13"/>
      <c r="F2480" s="4"/>
    </row>
    <row r="2481">
      <c r="A2481" s="4"/>
      <c r="B2481" s="4"/>
      <c r="C2481" s="4"/>
      <c r="D2481" s="13"/>
      <c r="E2481" s="13"/>
      <c r="F2481" s="4"/>
    </row>
    <row r="2482">
      <c r="A2482" s="4"/>
      <c r="B2482" s="4"/>
      <c r="C2482" s="4"/>
      <c r="D2482" s="13"/>
      <c r="E2482" s="13"/>
      <c r="F2482" s="4"/>
    </row>
    <row r="2483">
      <c r="A2483" s="4"/>
      <c r="B2483" s="4"/>
      <c r="C2483" s="4"/>
      <c r="D2483" s="13"/>
      <c r="E2483" s="13"/>
      <c r="F2483" s="4"/>
    </row>
    <row r="2484">
      <c r="A2484" s="4"/>
      <c r="B2484" s="4"/>
      <c r="C2484" s="4"/>
      <c r="D2484" s="13"/>
      <c r="E2484" s="13"/>
      <c r="F2484" s="4"/>
    </row>
    <row r="2485">
      <c r="A2485" s="4"/>
      <c r="B2485" s="4"/>
      <c r="C2485" s="4"/>
      <c r="D2485" s="13"/>
      <c r="E2485" s="13"/>
      <c r="F2485" s="4"/>
    </row>
    <row r="2486">
      <c r="A2486" s="4"/>
      <c r="B2486" s="4"/>
      <c r="C2486" s="4"/>
      <c r="D2486" s="13"/>
      <c r="E2486" s="13"/>
      <c r="F2486" s="4"/>
    </row>
    <row r="2487">
      <c r="A2487" s="4"/>
      <c r="B2487" s="4"/>
      <c r="C2487" s="4"/>
      <c r="D2487" s="13"/>
      <c r="E2487" s="13"/>
      <c r="F2487" s="4"/>
    </row>
    <row r="2488">
      <c r="A2488" s="4"/>
      <c r="B2488" s="4"/>
      <c r="C2488" s="4"/>
      <c r="D2488" s="13"/>
      <c r="E2488" s="13"/>
      <c r="F2488" s="4"/>
    </row>
    <row r="2489">
      <c r="A2489" s="4"/>
      <c r="B2489" s="4"/>
      <c r="C2489" s="4"/>
      <c r="D2489" s="13"/>
      <c r="E2489" s="13"/>
      <c r="F2489" s="4"/>
    </row>
    <row r="2490">
      <c r="A2490" s="4"/>
      <c r="B2490" s="4"/>
      <c r="C2490" s="4"/>
      <c r="D2490" s="13"/>
      <c r="E2490" s="13"/>
      <c r="F2490" s="4"/>
    </row>
    <row r="2491">
      <c r="A2491" s="4"/>
      <c r="B2491" s="4"/>
      <c r="C2491" s="4"/>
      <c r="D2491" s="13"/>
      <c r="E2491" s="13"/>
      <c r="F2491" s="4"/>
    </row>
    <row r="2492">
      <c r="A2492" s="4"/>
      <c r="B2492" s="4"/>
      <c r="C2492" s="4"/>
      <c r="D2492" s="13"/>
      <c r="E2492" s="13"/>
      <c r="F2492" s="4"/>
    </row>
    <row r="2493">
      <c r="A2493" s="4"/>
      <c r="B2493" s="4"/>
      <c r="C2493" s="4"/>
      <c r="D2493" s="13"/>
      <c r="E2493" s="13"/>
      <c r="F2493" s="4"/>
    </row>
    <row r="2494">
      <c r="A2494" s="4"/>
      <c r="B2494" s="4"/>
      <c r="C2494" s="4"/>
      <c r="D2494" s="13"/>
      <c r="E2494" s="13"/>
      <c r="F2494" s="4"/>
    </row>
    <row r="2495">
      <c r="A2495" s="4"/>
      <c r="B2495" s="4"/>
      <c r="C2495" s="4"/>
      <c r="D2495" s="13"/>
      <c r="E2495" s="13"/>
      <c r="F2495" s="4"/>
    </row>
    <row r="2496">
      <c r="A2496" s="4"/>
      <c r="B2496" s="4"/>
      <c r="C2496" s="4"/>
      <c r="D2496" s="13"/>
      <c r="E2496" s="13"/>
      <c r="F2496" s="4"/>
    </row>
    <row r="2497">
      <c r="A2497" s="4"/>
      <c r="B2497" s="4"/>
      <c r="C2497" s="4"/>
      <c r="D2497" s="13"/>
      <c r="E2497" s="13"/>
      <c r="F2497" s="4"/>
    </row>
    <row r="2498">
      <c r="A2498" s="4"/>
      <c r="B2498" s="4"/>
      <c r="C2498" s="4"/>
      <c r="D2498" s="13"/>
      <c r="E2498" s="13"/>
      <c r="F2498" s="4"/>
    </row>
    <row r="2499">
      <c r="A2499" s="4"/>
      <c r="B2499" s="4"/>
      <c r="C2499" s="4"/>
      <c r="D2499" s="13"/>
      <c r="E2499" s="13"/>
      <c r="F2499" s="4"/>
    </row>
    <row r="2500">
      <c r="A2500" s="4"/>
      <c r="B2500" s="4"/>
      <c r="C2500" s="4"/>
      <c r="D2500" s="13"/>
      <c r="E2500" s="13"/>
      <c r="F2500" s="4"/>
    </row>
    <row r="2501">
      <c r="A2501" s="4"/>
      <c r="B2501" s="4"/>
      <c r="C2501" s="4"/>
      <c r="D2501" s="13"/>
      <c r="E2501" s="13"/>
      <c r="F2501" s="4"/>
    </row>
    <row r="2502">
      <c r="A2502" s="4"/>
      <c r="B2502" s="4"/>
      <c r="C2502" s="4"/>
      <c r="D2502" s="13"/>
      <c r="E2502" s="13"/>
      <c r="F2502" s="4"/>
    </row>
    <row r="2503">
      <c r="A2503" s="4"/>
      <c r="B2503" s="4"/>
      <c r="C2503" s="4"/>
      <c r="D2503" s="13"/>
      <c r="E2503" s="13"/>
      <c r="F2503" s="4"/>
    </row>
    <row r="2504">
      <c r="A2504" s="4"/>
      <c r="B2504" s="4"/>
      <c r="C2504" s="4"/>
      <c r="D2504" s="13"/>
      <c r="E2504" s="13"/>
      <c r="F2504" s="4"/>
    </row>
    <row r="2505">
      <c r="A2505" s="4"/>
      <c r="B2505" s="4"/>
      <c r="C2505" s="4"/>
      <c r="D2505" s="13"/>
      <c r="E2505" s="13"/>
      <c r="F2505" s="4"/>
    </row>
    <row r="2506">
      <c r="A2506" s="4"/>
      <c r="B2506" s="4"/>
      <c r="C2506" s="4"/>
      <c r="D2506" s="13"/>
      <c r="E2506" s="13"/>
      <c r="F2506" s="4"/>
    </row>
    <row r="2507">
      <c r="A2507" s="4"/>
      <c r="B2507" s="4"/>
      <c r="C2507" s="4"/>
      <c r="D2507" s="13"/>
      <c r="E2507" s="13"/>
      <c r="F2507" s="4"/>
    </row>
    <row r="2508">
      <c r="A2508" s="4"/>
      <c r="B2508" s="4"/>
      <c r="C2508" s="4"/>
      <c r="D2508" s="13"/>
      <c r="E2508" s="13"/>
      <c r="F2508" s="4"/>
    </row>
    <row r="2509">
      <c r="A2509" s="4"/>
      <c r="B2509" s="4"/>
      <c r="C2509" s="4"/>
      <c r="D2509" s="13"/>
      <c r="E2509" s="13"/>
      <c r="F2509" s="4"/>
    </row>
    <row r="2510">
      <c r="A2510" s="4"/>
      <c r="B2510" s="4"/>
      <c r="C2510" s="4"/>
      <c r="D2510" s="13"/>
      <c r="E2510" s="13"/>
      <c r="F2510" s="4"/>
    </row>
    <row r="2511">
      <c r="A2511" s="4"/>
      <c r="B2511" s="4"/>
      <c r="C2511" s="4"/>
      <c r="D2511" s="13"/>
      <c r="E2511" s="13"/>
      <c r="F2511" s="4"/>
    </row>
    <row r="2512">
      <c r="A2512" s="4"/>
      <c r="B2512" s="4"/>
      <c r="C2512" s="4"/>
      <c r="D2512" s="13"/>
      <c r="E2512" s="13"/>
      <c r="F2512" s="4"/>
    </row>
    <row r="2513">
      <c r="A2513" s="4"/>
      <c r="B2513" s="4"/>
      <c r="C2513" s="4"/>
      <c r="D2513" s="13"/>
      <c r="E2513" s="13"/>
      <c r="F2513" s="4"/>
    </row>
    <row r="2514">
      <c r="A2514" s="4"/>
      <c r="B2514" s="4"/>
      <c r="C2514" s="4"/>
      <c r="D2514" s="13"/>
      <c r="E2514" s="13"/>
      <c r="F2514" s="4"/>
    </row>
    <row r="2515">
      <c r="A2515" s="4"/>
      <c r="B2515" s="4"/>
      <c r="C2515" s="4"/>
      <c r="D2515" s="13"/>
      <c r="E2515" s="13"/>
      <c r="F2515" s="4"/>
    </row>
    <row r="2516">
      <c r="A2516" s="4"/>
      <c r="B2516" s="4"/>
      <c r="C2516" s="4"/>
      <c r="D2516" s="13"/>
      <c r="E2516" s="13"/>
      <c r="F2516" s="4"/>
    </row>
    <row r="2517">
      <c r="A2517" s="4"/>
      <c r="B2517" s="4"/>
      <c r="C2517" s="4"/>
      <c r="D2517" s="13"/>
      <c r="E2517" s="13"/>
      <c r="F2517" s="4"/>
    </row>
    <row r="2518">
      <c r="A2518" s="4"/>
      <c r="B2518" s="4"/>
      <c r="C2518" s="4"/>
      <c r="D2518" s="13"/>
      <c r="E2518" s="13"/>
      <c r="F2518" s="4"/>
    </row>
    <row r="2519">
      <c r="A2519" s="4"/>
      <c r="B2519" s="4"/>
      <c r="C2519" s="4"/>
      <c r="D2519" s="13"/>
      <c r="E2519" s="13"/>
      <c r="F2519" s="4"/>
    </row>
    <row r="2520">
      <c r="A2520" s="4"/>
      <c r="B2520" s="4"/>
      <c r="C2520" s="4"/>
      <c r="D2520" s="13"/>
      <c r="E2520" s="13"/>
      <c r="F2520" s="4"/>
    </row>
    <row r="2521">
      <c r="A2521" s="4"/>
      <c r="B2521" s="4"/>
      <c r="C2521" s="4"/>
      <c r="D2521" s="13"/>
      <c r="E2521" s="13"/>
      <c r="F2521" s="4"/>
    </row>
    <row r="2522">
      <c r="A2522" s="4"/>
      <c r="B2522" s="4"/>
      <c r="C2522" s="4"/>
      <c r="D2522" s="13"/>
      <c r="E2522" s="13"/>
      <c r="F2522" s="4"/>
    </row>
    <row r="2523">
      <c r="A2523" s="4"/>
      <c r="B2523" s="4"/>
      <c r="C2523" s="4"/>
      <c r="D2523" s="13"/>
      <c r="E2523" s="13"/>
      <c r="F2523" s="4"/>
    </row>
    <row r="2524">
      <c r="A2524" s="4"/>
      <c r="B2524" s="4"/>
      <c r="C2524" s="4"/>
      <c r="D2524" s="13"/>
      <c r="E2524" s="13"/>
      <c r="F2524" s="4"/>
    </row>
    <row r="2525">
      <c r="A2525" s="4"/>
      <c r="B2525" s="4"/>
      <c r="C2525" s="4"/>
      <c r="D2525" s="13"/>
      <c r="E2525" s="13"/>
      <c r="F2525" s="4"/>
    </row>
    <row r="2526">
      <c r="A2526" s="4"/>
      <c r="B2526" s="4"/>
      <c r="C2526" s="4"/>
      <c r="D2526" s="13"/>
      <c r="E2526" s="13"/>
      <c r="F2526" s="4"/>
    </row>
    <row r="2527">
      <c r="A2527" s="4"/>
      <c r="B2527" s="4"/>
      <c r="C2527" s="4"/>
      <c r="D2527" s="13"/>
      <c r="E2527" s="13"/>
      <c r="F2527" s="4"/>
    </row>
    <row r="2528">
      <c r="A2528" s="4"/>
      <c r="B2528" s="4"/>
      <c r="C2528" s="4"/>
      <c r="D2528" s="13"/>
      <c r="E2528" s="13"/>
      <c r="F2528" s="4"/>
    </row>
    <row r="2529">
      <c r="A2529" s="4"/>
      <c r="B2529" s="4"/>
      <c r="C2529" s="4"/>
      <c r="D2529" s="13"/>
      <c r="E2529" s="13"/>
      <c r="F2529" s="4"/>
    </row>
    <row r="2530">
      <c r="A2530" s="4"/>
      <c r="B2530" s="4"/>
      <c r="C2530" s="4"/>
      <c r="D2530" s="13"/>
      <c r="E2530" s="13"/>
      <c r="F2530" s="4"/>
    </row>
    <row r="2531">
      <c r="A2531" s="4"/>
      <c r="B2531" s="4"/>
      <c r="C2531" s="4"/>
      <c r="D2531" s="13"/>
      <c r="E2531" s="13"/>
      <c r="F2531" s="4"/>
    </row>
    <row r="2532">
      <c r="A2532" s="4"/>
      <c r="B2532" s="4"/>
      <c r="C2532" s="4"/>
      <c r="D2532" s="13"/>
      <c r="E2532" s="13"/>
      <c r="F2532" s="4"/>
    </row>
    <row r="2533">
      <c r="A2533" s="4"/>
      <c r="B2533" s="4"/>
      <c r="C2533" s="4"/>
      <c r="D2533" s="13"/>
      <c r="E2533" s="13"/>
      <c r="F2533" s="4"/>
    </row>
    <row r="2534">
      <c r="A2534" s="4"/>
      <c r="B2534" s="4"/>
      <c r="C2534" s="4"/>
      <c r="D2534" s="13"/>
      <c r="E2534" s="13"/>
      <c r="F2534" s="4"/>
    </row>
    <row r="2535">
      <c r="A2535" s="4"/>
      <c r="B2535" s="4"/>
      <c r="C2535" s="4"/>
      <c r="D2535" s="13"/>
      <c r="E2535" s="13"/>
      <c r="F2535" s="4"/>
    </row>
    <row r="2536">
      <c r="A2536" s="4"/>
      <c r="B2536" s="4"/>
      <c r="C2536" s="4"/>
      <c r="D2536" s="13"/>
      <c r="E2536" s="13"/>
      <c r="F2536" s="4"/>
    </row>
    <row r="2537">
      <c r="A2537" s="4"/>
      <c r="B2537" s="4"/>
      <c r="C2537" s="4"/>
      <c r="D2537" s="13"/>
      <c r="E2537" s="13"/>
      <c r="F2537" s="4"/>
    </row>
    <row r="2538">
      <c r="A2538" s="4"/>
      <c r="B2538" s="4"/>
      <c r="C2538" s="4"/>
      <c r="D2538" s="13"/>
      <c r="E2538" s="13"/>
      <c r="F2538" s="4"/>
    </row>
    <row r="2539">
      <c r="A2539" s="4"/>
      <c r="B2539" s="4"/>
      <c r="C2539" s="4"/>
      <c r="D2539" s="13"/>
      <c r="E2539" s="13"/>
      <c r="F2539" s="4"/>
    </row>
    <row r="2540">
      <c r="A2540" s="4"/>
      <c r="B2540" s="4"/>
      <c r="C2540" s="4"/>
      <c r="D2540" s="13"/>
      <c r="E2540" s="13"/>
      <c r="F2540" s="4"/>
    </row>
    <row r="2541">
      <c r="A2541" s="4"/>
      <c r="B2541" s="4"/>
      <c r="C2541" s="4"/>
      <c r="D2541" s="13"/>
      <c r="E2541" s="13"/>
      <c r="F2541" s="4"/>
    </row>
    <row r="2542">
      <c r="A2542" s="4"/>
      <c r="B2542" s="4"/>
      <c r="C2542" s="4"/>
      <c r="D2542" s="13"/>
      <c r="E2542" s="13"/>
      <c r="F2542" s="4"/>
    </row>
    <row r="2543">
      <c r="A2543" s="4"/>
      <c r="B2543" s="4"/>
      <c r="C2543" s="4"/>
      <c r="D2543" s="13"/>
      <c r="E2543" s="13"/>
      <c r="F2543" s="4"/>
    </row>
    <row r="2544">
      <c r="A2544" s="4"/>
      <c r="B2544" s="4"/>
      <c r="C2544" s="4"/>
      <c r="D2544" s="13"/>
      <c r="E2544" s="13"/>
      <c r="F2544" s="4"/>
    </row>
    <row r="2545">
      <c r="A2545" s="4"/>
      <c r="B2545" s="4"/>
      <c r="C2545" s="4"/>
      <c r="D2545" s="13"/>
      <c r="E2545" s="13"/>
      <c r="F2545" s="4"/>
    </row>
    <row r="2546">
      <c r="A2546" s="4"/>
      <c r="B2546" s="4"/>
      <c r="C2546" s="4"/>
      <c r="D2546" s="13"/>
      <c r="E2546" s="13"/>
      <c r="F2546" s="4"/>
    </row>
    <row r="2547">
      <c r="A2547" s="4"/>
      <c r="B2547" s="4"/>
      <c r="C2547" s="4"/>
      <c r="D2547" s="13"/>
      <c r="E2547" s="13"/>
      <c r="F2547" s="4"/>
    </row>
    <row r="2548">
      <c r="A2548" s="4"/>
      <c r="B2548" s="4"/>
      <c r="C2548" s="4"/>
      <c r="D2548" s="13"/>
      <c r="E2548" s="13"/>
      <c r="F2548" s="4"/>
    </row>
    <row r="2549">
      <c r="A2549" s="4"/>
      <c r="B2549" s="4"/>
      <c r="C2549" s="4"/>
      <c r="D2549" s="13"/>
      <c r="E2549" s="13"/>
      <c r="F2549" s="4"/>
    </row>
    <row r="2550">
      <c r="A2550" s="4"/>
      <c r="B2550" s="4"/>
      <c r="C2550" s="4"/>
      <c r="D2550" s="13"/>
      <c r="E2550" s="13"/>
      <c r="F2550" s="4"/>
    </row>
    <row r="2551">
      <c r="A2551" s="4"/>
      <c r="B2551" s="4"/>
      <c r="C2551" s="4"/>
      <c r="D2551" s="13"/>
      <c r="E2551" s="13"/>
      <c r="F2551" s="4"/>
    </row>
    <row r="2552">
      <c r="A2552" s="4"/>
      <c r="B2552" s="4"/>
      <c r="C2552" s="4"/>
      <c r="D2552" s="13"/>
      <c r="E2552" s="13"/>
      <c r="F2552" s="4"/>
    </row>
    <row r="2553">
      <c r="A2553" s="4"/>
      <c r="B2553" s="4"/>
      <c r="C2553" s="4"/>
      <c r="D2553" s="13"/>
      <c r="E2553" s="13"/>
      <c r="F2553" s="4"/>
    </row>
    <row r="2554">
      <c r="A2554" s="4"/>
      <c r="B2554" s="4"/>
      <c r="C2554" s="4"/>
      <c r="D2554" s="13"/>
      <c r="E2554" s="13"/>
      <c r="F2554" s="4"/>
    </row>
    <row r="2555">
      <c r="A2555" s="4"/>
      <c r="B2555" s="4"/>
      <c r="C2555" s="4"/>
      <c r="D2555" s="13"/>
      <c r="E2555" s="13"/>
      <c r="F2555" s="4"/>
    </row>
    <row r="2556">
      <c r="A2556" s="4"/>
      <c r="B2556" s="4"/>
      <c r="C2556" s="4"/>
      <c r="D2556" s="13"/>
      <c r="E2556" s="13"/>
      <c r="F2556" s="4"/>
    </row>
    <row r="2557">
      <c r="A2557" s="4"/>
      <c r="B2557" s="4"/>
      <c r="C2557" s="4"/>
      <c r="D2557" s="13"/>
      <c r="E2557" s="13"/>
      <c r="F2557" s="4"/>
    </row>
    <row r="2558">
      <c r="A2558" s="4"/>
      <c r="B2558" s="4"/>
      <c r="C2558" s="4"/>
      <c r="D2558" s="13"/>
      <c r="E2558" s="13"/>
      <c r="F2558" s="4"/>
    </row>
    <row r="2559">
      <c r="A2559" s="4"/>
      <c r="B2559" s="4"/>
      <c r="C2559" s="4"/>
      <c r="D2559" s="13"/>
      <c r="E2559" s="13"/>
      <c r="F2559" s="4"/>
    </row>
    <row r="2560">
      <c r="A2560" s="4"/>
      <c r="B2560" s="4"/>
      <c r="C2560" s="4"/>
      <c r="D2560" s="13"/>
      <c r="E2560" s="13"/>
      <c r="F2560" s="4"/>
    </row>
    <row r="2561">
      <c r="A2561" s="4"/>
      <c r="B2561" s="4"/>
      <c r="C2561" s="4"/>
      <c r="D2561" s="13"/>
      <c r="E2561" s="13"/>
      <c r="F2561" s="4"/>
    </row>
    <row r="2562">
      <c r="A2562" s="4"/>
      <c r="B2562" s="4"/>
      <c r="C2562" s="4"/>
      <c r="D2562" s="13"/>
      <c r="E2562" s="13"/>
      <c r="F2562" s="4"/>
    </row>
    <row r="2563">
      <c r="A2563" s="4"/>
      <c r="B2563" s="4"/>
      <c r="C2563" s="4"/>
      <c r="D2563" s="13"/>
      <c r="E2563" s="13"/>
      <c r="F2563" s="4"/>
    </row>
    <row r="2564">
      <c r="A2564" s="4"/>
      <c r="B2564" s="4"/>
      <c r="C2564" s="4"/>
      <c r="D2564" s="13"/>
      <c r="E2564" s="13"/>
      <c r="F2564" s="4"/>
    </row>
    <row r="2565">
      <c r="A2565" s="4"/>
      <c r="B2565" s="4"/>
      <c r="C2565" s="4"/>
      <c r="D2565" s="13"/>
      <c r="E2565" s="13"/>
      <c r="F2565" s="4"/>
    </row>
    <row r="2566">
      <c r="A2566" s="4"/>
      <c r="B2566" s="4"/>
      <c r="C2566" s="4"/>
      <c r="D2566" s="13"/>
      <c r="E2566" s="13"/>
      <c r="F2566" s="4"/>
    </row>
    <row r="2567">
      <c r="A2567" s="4"/>
      <c r="B2567" s="4"/>
      <c r="C2567" s="4"/>
      <c r="D2567" s="13"/>
      <c r="E2567" s="13"/>
      <c r="F2567" s="4"/>
    </row>
    <row r="2568">
      <c r="A2568" s="4"/>
      <c r="B2568" s="4"/>
      <c r="C2568" s="4"/>
      <c r="D2568" s="13"/>
      <c r="E2568" s="13"/>
      <c r="F2568" s="4"/>
    </row>
    <row r="2569">
      <c r="A2569" s="4"/>
      <c r="B2569" s="4"/>
      <c r="C2569" s="4"/>
      <c r="D2569" s="13"/>
      <c r="E2569" s="13"/>
      <c r="F2569" s="4"/>
    </row>
    <row r="2570">
      <c r="A2570" s="4"/>
      <c r="B2570" s="4"/>
      <c r="C2570" s="4"/>
      <c r="D2570" s="13"/>
      <c r="E2570" s="13"/>
      <c r="F2570" s="4"/>
    </row>
    <row r="2571">
      <c r="A2571" s="4"/>
      <c r="B2571" s="4"/>
      <c r="C2571" s="4"/>
      <c r="D2571" s="13"/>
      <c r="E2571" s="13"/>
      <c r="F2571" s="4"/>
    </row>
    <row r="2572">
      <c r="A2572" s="4"/>
      <c r="B2572" s="4"/>
      <c r="C2572" s="4"/>
      <c r="D2572" s="13"/>
      <c r="E2572" s="13"/>
      <c r="F2572" s="4"/>
    </row>
    <row r="2573">
      <c r="A2573" s="4"/>
      <c r="B2573" s="4"/>
      <c r="C2573" s="4"/>
      <c r="D2573" s="13"/>
      <c r="E2573" s="13"/>
      <c r="F2573" s="4"/>
    </row>
    <row r="2574">
      <c r="A2574" s="4"/>
      <c r="B2574" s="4"/>
      <c r="C2574" s="4"/>
      <c r="D2574" s="13"/>
      <c r="E2574" s="13"/>
      <c r="F2574" s="4"/>
    </row>
    <row r="2575">
      <c r="A2575" s="4"/>
      <c r="B2575" s="4"/>
      <c r="C2575" s="4"/>
      <c r="D2575" s="13"/>
      <c r="E2575" s="13"/>
      <c r="F2575" s="4"/>
    </row>
    <row r="2576">
      <c r="A2576" s="4"/>
      <c r="B2576" s="4"/>
      <c r="C2576" s="4"/>
      <c r="D2576" s="13"/>
      <c r="E2576" s="13"/>
      <c r="F2576" s="4"/>
    </row>
    <row r="2577">
      <c r="A2577" s="4"/>
      <c r="B2577" s="4"/>
      <c r="C2577" s="4"/>
      <c r="D2577" s="13"/>
      <c r="E2577" s="13"/>
      <c r="F2577" s="4"/>
    </row>
    <row r="2578">
      <c r="A2578" s="4"/>
      <c r="B2578" s="4"/>
      <c r="C2578" s="4"/>
      <c r="D2578" s="13"/>
      <c r="E2578" s="13"/>
      <c r="F2578" s="4"/>
    </row>
    <row r="2579">
      <c r="A2579" s="4"/>
      <c r="B2579" s="4"/>
      <c r="C2579" s="4"/>
      <c r="D2579" s="13"/>
      <c r="E2579" s="13"/>
      <c r="F2579" s="4"/>
    </row>
    <row r="2580">
      <c r="A2580" s="4"/>
      <c r="B2580" s="4"/>
      <c r="C2580" s="4"/>
      <c r="D2580" s="13"/>
      <c r="E2580" s="13"/>
      <c r="F2580" s="4"/>
    </row>
    <row r="2581">
      <c r="A2581" s="4"/>
      <c r="B2581" s="4"/>
      <c r="C2581" s="4"/>
      <c r="D2581" s="13"/>
      <c r="E2581" s="13"/>
      <c r="F2581" s="4"/>
    </row>
    <row r="2582">
      <c r="A2582" s="4"/>
      <c r="B2582" s="4"/>
      <c r="C2582" s="4"/>
      <c r="D2582" s="13"/>
      <c r="E2582" s="13"/>
      <c r="F2582" s="4"/>
    </row>
    <row r="2583">
      <c r="A2583" s="4"/>
      <c r="B2583" s="4"/>
      <c r="C2583" s="4"/>
      <c r="D2583" s="13"/>
      <c r="E2583" s="13"/>
      <c r="F2583" s="4"/>
    </row>
    <row r="2584">
      <c r="A2584" s="4"/>
      <c r="B2584" s="4"/>
      <c r="C2584" s="4"/>
      <c r="D2584" s="13"/>
      <c r="E2584" s="13"/>
      <c r="F2584" s="4"/>
    </row>
    <row r="2585">
      <c r="A2585" s="4"/>
      <c r="B2585" s="4"/>
      <c r="C2585" s="4"/>
      <c r="D2585" s="13"/>
      <c r="E2585" s="13"/>
      <c r="F2585" s="4"/>
    </row>
    <row r="2586">
      <c r="A2586" s="4"/>
      <c r="B2586" s="4"/>
      <c r="C2586" s="4"/>
      <c r="D2586" s="13"/>
      <c r="E2586" s="13"/>
      <c r="F2586" s="4"/>
    </row>
    <row r="2587">
      <c r="A2587" s="4"/>
      <c r="B2587" s="4"/>
      <c r="C2587" s="4"/>
      <c r="D2587" s="13"/>
      <c r="E2587" s="13"/>
      <c r="F2587" s="4"/>
    </row>
    <row r="2588">
      <c r="A2588" s="4"/>
      <c r="B2588" s="4"/>
      <c r="C2588" s="4"/>
      <c r="D2588" s="13"/>
      <c r="E2588" s="13"/>
      <c r="F2588" s="4"/>
    </row>
    <row r="2589">
      <c r="A2589" s="4"/>
      <c r="B2589" s="4"/>
      <c r="C2589" s="4"/>
      <c r="D2589" s="13"/>
      <c r="E2589" s="13"/>
      <c r="F2589" s="4"/>
    </row>
    <row r="2590">
      <c r="A2590" s="4"/>
      <c r="B2590" s="4"/>
      <c r="C2590" s="4"/>
      <c r="D2590" s="13"/>
      <c r="E2590" s="13"/>
      <c r="F2590" s="4"/>
    </row>
    <row r="2591">
      <c r="A2591" s="4"/>
      <c r="B2591" s="4"/>
      <c r="C2591" s="4"/>
      <c r="D2591" s="13"/>
      <c r="E2591" s="13"/>
      <c r="F2591" s="4"/>
    </row>
    <row r="2592">
      <c r="A2592" s="4"/>
      <c r="B2592" s="4"/>
      <c r="C2592" s="4"/>
      <c r="D2592" s="13"/>
      <c r="E2592" s="13"/>
      <c r="F2592" s="4"/>
    </row>
    <row r="2593">
      <c r="A2593" s="4"/>
      <c r="B2593" s="4"/>
      <c r="C2593" s="4"/>
      <c r="D2593" s="13"/>
      <c r="E2593" s="13"/>
      <c r="F2593" s="4"/>
    </row>
    <row r="2594">
      <c r="A2594" s="4"/>
      <c r="B2594" s="4"/>
      <c r="C2594" s="4"/>
      <c r="D2594" s="13"/>
      <c r="E2594" s="13"/>
      <c r="F2594" s="4"/>
    </row>
    <row r="2595">
      <c r="A2595" s="4"/>
      <c r="B2595" s="4"/>
      <c r="C2595" s="4"/>
      <c r="D2595" s="13"/>
      <c r="E2595" s="13"/>
      <c r="F2595" s="4"/>
    </row>
    <row r="2596">
      <c r="A2596" s="4"/>
      <c r="B2596" s="4"/>
      <c r="C2596" s="4"/>
      <c r="D2596" s="13"/>
      <c r="E2596" s="13"/>
      <c r="F2596" s="4"/>
    </row>
    <row r="2597">
      <c r="A2597" s="4"/>
      <c r="B2597" s="4"/>
      <c r="C2597" s="4"/>
      <c r="D2597" s="13"/>
      <c r="E2597" s="13"/>
      <c r="F2597" s="4"/>
    </row>
    <row r="2598">
      <c r="A2598" s="4"/>
      <c r="B2598" s="4"/>
      <c r="C2598" s="4"/>
      <c r="D2598" s="13"/>
      <c r="E2598" s="13"/>
      <c r="F2598" s="4"/>
    </row>
    <row r="2599">
      <c r="A2599" s="4"/>
      <c r="B2599" s="4"/>
      <c r="C2599" s="4"/>
      <c r="D2599" s="13"/>
      <c r="E2599" s="13"/>
      <c r="F2599" s="4"/>
    </row>
    <row r="2600">
      <c r="A2600" s="4"/>
      <c r="B2600" s="4"/>
      <c r="C2600" s="4"/>
      <c r="D2600" s="13"/>
      <c r="E2600" s="13"/>
      <c r="F2600" s="4"/>
    </row>
    <row r="2601">
      <c r="A2601" s="4"/>
      <c r="B2601" s="4"/>
      <c r="C2601" s="4"/>
      <c r="D2601" s="13"/>
      <c r="E2601" s="13"/>
      <c r="F2601" s="4"/>
    </row>
    <row r="2602">
      <c r="A2602" s="4"/>
      <c r="B2602" s="4"/>
      <c r="C2602" s="4"/>
      <c r="D2602" s="13"/>
      <c r="E2602" s="13"/>
      <c r="F2602" s="4"/>
    </row>
    <row r="2603">
      <c r="A2603" s="4"/>
      <c r="B2603" s="4"/>
      <c r="C2603" s="4"/>
      <c r="D2603" s="13"/>
      <c r="E2603" s="13"/>
      <c r="F2603" s="4"/>
    </row>
    <row r="2604">
      <c r="A2604" s="4"/>
      <c r="B2604" s="4"/>
      <c r="C2604" s="4"/>
      <c r="D2604" s="13"/>
      <c r="E2604" s="13"/>
      <c r="F2604" s="4"/>
    </row>
    <row r="2605">
      <c r="A2605" s="4"/>
      <c r="B2605" s="4"/>
      <c r="C2605" s="4"/>
      <c r="D2605" s="13"/>
      <c r="E2605" s="13"/>
      <c r="F2605" s="4"/>
    </row>
    <row r="2606">
      <c r="A2606" s="4"/>
      <c r="B2606" s="4"/>
      <c r="C2606" s="4"/>
      <c r="D2606" s="13"/>
      <c r="E2606" s="13"/>
      <c r="F2606" s="4"/>
    </row>
    <row r="2607">
      <c r="A2607" s="4"/>
      <c r="B2607" s="4"/>
      <c r="C2607" s="4"/>
      <c r="D2607" s="13"/>
      <c r="E2607" s="13"/>
      <c r="F2607" s="4"/>
    </row>
    <row r="2608">
      <c r="A2608" s="4"/>
      <c r="B2608" s="4"/>
      <c r="C2608" s="4"/>
      <c r="D2608" s="13"/>
      <c r="E2608" s="13"/>
      <c r="F2608" s="4"/>
    </row>
    <row r="2609">
      <c r="A2609" s="4"/>
      <c r="B2609" s="4"/>
      <c r="C2609" s="4"/>
      <c r="D2609" s="13"/>
      <c r="E2609" s="13"/>
      <c r="F2609" s="4"/>
    </row>
    <row r="2610">
      <c r="A2610" s="4"/>
      <c r="B2610" s="4"/>
      <c r="C2610" s="4"/>
      <c r="D2610" s="13"/>
      <c r="E2610" s="13"/>
      <c r="F2610" s="4"/>
    </row>
    <row r="2611">
      <c r="A2611" s="4"/>
      <c r="B2611" s="4"/>
      <c r="C2611" s="4"/>
      <c r="D2611" s="13"/>
      <c r="E2611" s="13"/>
      <c r="F2611" s="4"/>
    </row>
    <row r="2612">
      <c r="A2612" s="4"/>
      <c r="B2612" s="4"/>
      <c r="C2612" s="4"/>
      <c r="D2612" s="13"/>
      <c r="E2612" s="13"/>
      <c r="F2612" s="4"/>
    </row>
    <row r="2613">
      <c r="A2613" s="4"/>
      <c r="B2613" s="4"/>
      <c r="C2613" s="4"/>
      <c r="D2613" s="13"/>
      <c r="E2613" s="13"/>
      <c r="F2613" s="4"/>
    </row>
    <row r="2614">
      <c r="A2614" s="4"/>
      <c r="B2614" s="4"/>
      <c r="C2614" s="4"/>
      <c r="D2614" s="13"/>
      <c r="E2614" s="13"/>
      <c r="F2614" s="4"/>
    </row>
    <row r="2615">
      <c r="A2615" s="4"/>
      <c r="B2615" s="4"/>
      <c r="C2615" s="4"/>
      <c r="D2615" s="13"/>
      <c r="E2615" s="13"/>
      <c r="F2615" s="4"/>
    </row>
    <row r="2616">
      <c r="A2616" s="4"/>
      <c r="B2616" s="4"/>
      <c r="C2616" s="4"/>
      <c r="D2616" s="13"/>
      <c r="E2616" s="13"/>
      <c r="F2616" s="4"/>
    </row>
    <row r="2617">
      <c r="A2617" s="4"/>
      <c r="B2617" s="4"/>
      <c r="C2617" s="4"/>
      <c r="D2617" s="13"/>
      <c r="E2617" s="13"/>
      <c r="F2617" s="4"/>
    </row>
    <row r="2618">
      <c r="A2618" s="4"/>
      <c r="B2618" s="4"/>
      <c r="C2618" s="4"/>
      <c r="D2618" s="13"/>
      <c r="E2618" s="13"/>
      <c r="F2618" s="4"/>
    </row>
    <row r="2619">
      <c r="A2619" s="4"/>
      <c r="B2619" s="4"/>
      <c r="C2619" s="4"/>
      <c r="D2619" s="13"/>
      <c r="E2619" s="13"/>
      <c r="F2619" s="4"/>
    </row>
    <row r="2620">
      <c r="A2620" s="4"/>
      <c r="B2620" s="4"/>
      <c r="C2620" s="4"/>
      <c r="D2620" s="13"/>
      <c r="E2620" s="13"/>
      <c r="F2620" s="4"/>
    </row>
    <row r="2621">
      <c r="A2621" s="4"/>
      <c r="B2621" s="4"/>
      <c r="C2621" s="4"/>
      <c r="D2621" s="13"/>
      <c r="E2621" s="13"/>
      <c r="F2621" s="4"/>
    </row>
    <row r="2622">
      <c r="A2622" s="4"/>
      <c r="B2622" s="4"/>
      <c r="C2622" s="4"/>
      <c r="D2622" s="13"/>
      <c r="E2622" s="13"/>
      <c r="F2622" s="4"/>
    </row>
    <row r="2623">
      <c r="A2623" s="4"/>
      <c r="B2623" s="4"/>
      <c r="C2623" s="4"/>
      <c r="D2623" s="13"/>
      <c r="E2623" s="13"/>
      <c r="F2623" s="4"/>
    </row>
    <row r="2624">
      <c r="A2624" s="4"/>
      <c r="B2624" s="4"/>
      <c r="C2624" s="4"/>
      <c r="D2624" s="13"/>
      <c r="E2624" s="13"/>
      <c r="F2624" s="4"/>
    </row>
    <row r="2625">
      <c r="A2625" s="4"/>
      <c r="B2625" s="4"/>
      <c r="C2625" s="4"/>
      <c r="D2625" s="13"/>
      <c r="E2625" s="13"/>
      <c r="F2625" s="4"/>
    </row>
    <row r="2626">
      <c r="A2626" s="4"/>
      <c r="B2626" s="4"/>
      <c r="C2626" s="4"/>
      <c r="D2626" s="13"/>
      <c r="E2626" s="13"/>
      <c r="F2626" s="4"/>
    </row>
    <row r="2627">
      <c r="A2627" s="4"/>
      <c r="B2627" s="4"/>
      <c r="C2627" s="4"/>
      <c r="D2627" s="13"/>
      <c r="E2627" s="13"/>
      <c r="F2627" s="4"/>
    </row>
    <row r="2628">
      <c r="A2628" s="4"/>
      <c r="B2628" s="4"/>
      <c r="C2628" s="4"/>
      <c r="D2628" s="13"/>
      <c r="E2628" s="13"/>
      <c r="F2628" s="4"/>
    </row>
    <row r="2629">
      <c r="A2629" s="4"/>
      <c r="B2629" s="4"/>
      <c r="C2629" s="4"/>
      <c r="D2629" s="13"/>
      <c r="E2629" s="13"/>
      <c r="F2629" s="4"/>
    </row>
    <row r="2630">
      <c r="A2630" s="4"/>
      <c r="B2630" s="4"/>
      <c r="C2630" s="4"/>
      <c r="D2630" s="13"/>
      <c r="E2630" s="13"/>
      <c r="F2630" s="4"/>
    </row>
    <row r="2631">
      <c r="A2631" s="4"/>
      <c r="B2631" s="4"/>
      <c r="C2631" s="4"/>
      <c r="D2631" s="13"/>
      <c r="E2631" s="13"/>
      <c r="F2631" s="4"/>
    </row>
    <row r="2632">
      <c r="A2632" s="4"/>
      <c r="B2632" s="4"/>
      <c r="C2632" s="4"/>
      <c r="D2632" s="13"/>
      <c r="E2632" s="13"/>
      <c r="F2632" s="4"/>
    </row>
    <row r="2633">
      <c r="A2633" s="4"/>
      <c r="B2633" s="4"/>
      <c r="C2633" s="4"/>
      <c r="D2633" s="13"/>
      <c r="E2633" s="13"/>
      <c r="F2633" s="4"/>
    </row>
    <row r="2634">
      <c r="A2634" s="4"/>
      <c r="B2634" s="4"/>
      <c r="C2634" s="4"/>
      <c r="D2634" s="13"/>
      <c r="E2634" s="13"/>
      <c r="F2634" s="4"/>
    </row>
    <row r="2635">
      <c r="A2635" s="4"/>
      <c r="B2635" s="4"/>
      <c r="C2635" s="4"/>
      <c r="D2635" s="13"/>
      <c r="E2635" s="13"/>
      <c r="F2635" s="4"/>
    </row>
    <row r="2636">
      <c r="A2636" s="4"/>
      <c r="B2636" s="4"/>
      <c r="C2636" s="4"/>
      <c r="D2636" s="13"/>
      <c r="E2636" s="13"/>
      <c r="F2636" s="4"/>
    </row>
    <row r="2637">
      <c r="A2637" s="4"/>
      <c r="B2637" s="4"/>
      <c r="C2637" s="4"/>
      <c r="D2637" s="13"/>
      <c r="E2637" s="13"/>
      <c r="F2637" s="4"/>
    </row>
    <row r="2638">
      <c r="A2638" s="4"/>
      <c r="B2638" s="4"/>
      <c r="C2638" s="4"/>
      <c r="D2638" s="13"/>
      <c r="E2638" s="13"/>
      <c r="F2638" s="4"/>
    </row>
    <row r="2639">
      <c r="A2639" s="4"/>
      <c r="B2639" s="4"/>
      <c r="C2639" s="4"/>
      <c r="D2639" s="13"/>
      <c r="E2639" s="13"/>
      <c r="F2639" s="4"/>
    </row>
    <row r="2640">
      <c r="A2640" s="4"/>
      <c r="B2640" s="4"/>
      <c r="C2640" s="4"/>
      <c r="D2640" s="13"/>
      <c r="E2640" s="13"/>
      <c r="F2640" s="4"/>
    </row>
    <row r="2641">
      <c r="A2641" s="4"/>
      <c r="B2641" s="4"/>
      <c r="C2641" s="4"/>
      <c r="D2641" s="13"/>
      <c r="E2641" s="13"/>
      <c r="F2641" s="4"/>
    </row>
    <row r="2642">
      <c r="A2642" s="4"/>
      <c r="B2642" s="4"/>
      <c r="C2642" s="4"/>
      <c r="D2642" s="13"/>
      <c r="E2642" s="13"/>
      <c r="F2642" s="4"/>
    </row>
    <row r="2643">
      <c r="A2643" s="4"/>
      <c r="B2643" s="4"/>
      <c r="C2643" s="4"/>
      <c r="D2643" s="13"/>
      <c r="E2643" s="13"/>
      <c r="F2643" s="4"/>
    </row>
    <row r="2644">
      <c r="A2644" s="4"/>
      <c r="B2644" s="4"/>
      <c r="C2644" s="4"/>
      <c r="D2644" s="13"/>
      <c r="E2644" s="13"/>
      <c r="F2644" s="4"/>
    </row>
    <row r="2645">
      <c r="A2645" s="4"/>
      <c r="B2645" s="4"/>
      <c r="C2645" s="4"/>
      <c r="D2645" s="13"/>
      <c r="E2645" s="13"/>
      <c r="F2645" s="4"/>
    </row>
    <row r="2646">
      <c r="A2646" s="4"/>
      <c r="B2646" s="4"/>
      <c r="C2646" s="4"/>
      <c r="D2646" s="13"/>
      <c r="E2646" s="13"/>
      <c r="F2646" s="4"/>
    </row>
    <row r="2647">
      <c r="A2647" s="4"/>
      <c r="B2647" s="4"/>
      <c r="C2647" s="4"/>
      <c r="D2647" s="13"/>
      <c r="E2647" s="13"/>
      <c r="F2647" s="4"/>
    </row>
    <row r="2648">
      <c r="A2648" s="4"/>
      <c r="B2648" s="4"/>
      <c r="C2648" s="4"/>
      <c r="D2648" s="13"/>
      <c r="E2648" s="13"/>
      <c r="F2648" s="4"/>
    </row>
    <row r="2649">
      <c r="A2649" s="4"/>
      <c r="B2649" s="4"/>
      <c r="C2649" s="4"/>
      <c r="D2649" s="13"/>
      <c r="E2649" s="13"/>
      <c r="F2649" s="4"/>
    </row>
    <row r="2650">
      <c r="A2650" s="4"/>
      <c r="B2650" s="4"/>
      <c r="C2650" s="4"/>
      <c r="D2650" s="13"/>
      <c r="E2650" s="13"/>
      <c r="F2650" s="4"/>
    </row>
    <row r="2651">
      <c r="A2651" s="4"/>
      <c r="B2651" s="4"/>
      <c r="C2651" s="4"/>
      <c r="D2651" s="13"/>
      <c r="E2651" s="13"/>
      <c r="F2651" s="4"/>
    </row>
    <row r="2652">
      <c r="A2652" s="4"/>
      <c r="B2652" s="4"/>
      <c r="C2652" s="4"/>
      <c r="D2652" s="13"/>
      <c r="E2652" s="13"/>
      <c r="F2652" s="4"/>
    </row>
    <row r="2653">
      <c r="A2653" s="4"/>
      <c r="B2653" s="4"/>
      <c r="C2653" s="4"/>
      <c r="D2653" s="13"/>
      <c r="E2653" s="13"/>
      <c r="F2653" s="4"/>
    </row>
    <row r="2654">
      <c r="A2654" s="4"/>
      <c r="B2654" s="4"/>
      <c r="C2654" s="4"/>
      <c r="D2654" s="13"/>
      <c r="E2654" s="13"/>
      <c r="F2654" s="4"/>
    </row>
    <row r="2655">
      <c r="A2655" s="4"/>
      <c r="B2655" s="4"/>
      <c r="C2655" s="4"/>
      <c r="D2655" s="13"/>
      <c r="E2655" s="13"/>
      <c r="F2655" s="4"/>
    </row>
    <row r="2656">
      <c r="A2656" s="4"/>
      <c r="B2656" s="4"/>
      <c r="C2656" s="4"/>
      <c r="D2656" s="13"/>
      <c r="E2656" s="13"/>
      <c r="F2656" s="4"/>
    </row>
    <row r="2657">
      <c r="A2657" s="4"/>
      <c r="B2657" s="4"/>
      <c r="C2657" s="4"/>
      <c r="D2657" s="13"/>
      <c r="E2657" s="13"/>
      <c r="F2657" s="4"/>
    </row>
    <row r="2658">
      <c r="A2658" s="4"/>
      <c r="B2658" s="4"/>
      <c r="C2658" s="4"/>
      <c r="D2658" s="13"/>
      <c r="E2658" s="13"/>
      <c r="F2658" s="4"/>
    </row>
    <row r="2659">
      <c r="A2659" s="4"/>
      <c r="B2659" s="4"/>
      <c r="C2659" s="4"/>
      <c r="D2659" s="13"/>
      <c r="E2659" s="13"/>
      <c r="F2659" s="4"/>
    </row>
    <row r="2660">
      <c r="A2660" s="4"/>
      <c r="B2660" s="4"/>
      <c r="C2660" s="4"/>
      <c r="D2660" s="13"/>
      <c r="E2660" s="13"/>
      <c r="F2660" s="4"/>
    </row>
    <row r="2661">
      <c r="A2661" s="4"/>
      <c r="B2661" s="4"/>
      <c r="C2661" s="4"/>
      <c r="D2661" s="13"/>
      <c r="E2661" s="13"/>
      <c r="F2661" s="4"/>
    </row>
    <row r="2662">
      <c r="A2662" s="4"/>
      <c r="B2662" s="4"/>
      <c r="C2662" s="4"/>
      <c r="D2662" s="13"/>
      <c r="E2662" s="13"/>
      <c r="F2662" s="4"/>
    </row>
    <row r="2663">
      <c r="A2663" s="4"/>
      <c r="B2663" s="4"/>
      <c r="C2663" s="4"/>
      <c r="D2663" s="13"/>
      <c r="E2663" s="13"/>
      <c r="F2663" s="4"/>
    </row>
    <row r="2664">
      <c r="A2664" s="4"/>
      <c r="B2664" s="4"/>
      <c r="C2664" s="4"/>
      <c r="D2664" s="13"/>
      <c r="E2664" s="13"/>
      <c r="F2664" s="4"/>
    </row>
    <row r="2665">
      <c r="A2665" s="4"/>
      <c r="B2665" s="4"/>
      <c r="C2665" s="4"/>
      <c r="D2665" s="13"/>
      <c r="E2665" s="13"/>
      <c r="F2665" s="4"/>
    </row>
    <row r="2666">
      <c r="A2666" s="4"/>
      <c r="B2666" s="4"/>
      <c r="C2666" s="4"/>
      <c r="D2666" s="13"/>
      <c r="E2666" s="13"/>
      <c r="F2666" s="4"/>
    </row>
    <row r="2667">
      <c r="A2667" s="4"/>
      <c r="B2667" s="4"/>
      <c r="C2667" s="4"/>
      <c r="D2667" s="13"/>
      <c r="E2667" s="13"/>
      <c r="F2667" s="4"/>
    </row>
    <row r="2668">
      <c r="A2668" s="4"/>
      <c r="B2668" s="4"/>
      <c r="C2668" s="4"/>
      <c r="D2668" s="13"/>
      <c r="E2668" s="13"/>
      <c r="F2668" s="4"/>
    </row>
    <row r="2669">
      <c r="A2669" s="4"/>
      <c r="B2669" s="4"/>
      <c r="C2669" s="4"/>
      <c r="D2669" s="13"/>
      <c r="E2669" s="13"/>
      <c r="F2669" s="4"/>
    </row>
    <row r="2670">
      <c r="A2670" s="4"/>
      <c r="B2670" s="4"/>
      <c r="C2670" s="4"/>
      <c r="D2670" s="13"/>
      <c r="E2670" s="13"/>
      <c r="F2670" s="4"/>
    </row>
    <row r="2671">
      <c r="A2671" s="4"/>
      <c r="B2671" s="4"/>
      <c r="C2671" s="4"/>
      <c r="D2671" s="13"/>
      <c r="E2671" s="13"/>
      <c r="F2671" s="4"/>
    </row>
    <row r="2672">
      <c r="A2672" s="4"/>
      <c r="B2672" s="4"/>
      <c r="C2672" s="4"/>
      <c r="D2672" s="13"/>
      <c r="E2672" s="13"/>
      <c r="F2672" s="4"/>
    </row>
    <row r="2673">
      <c r="A2673" s="4"/>
      <c r="B2673" s="4"/>
      <c r="C2673" s="4"/>
      <c r="D2673" s="13"/>
      <c r="E2673" s="13"/>
      <c r="F2673" s="4"/>
    </row>
    <row r="2674">
      <c r="A2674" s="4"/>
      <c r="B2674" s="4"/>
      <c r="C2674" s="4"/>
      <c r="D2674" s="13"/>
      <c r="E2674" s="13"/>
      <c r="F2674" s="4"/>
    </row>
    <row r="2675">
      <c r="A2675" s="4"/>
      <c r="B2675" s="4"/>
      <c r="C2675" s="4"/>
      <c r="D2675" s="13"/>
      <c r="E2675" s="13"/>
      <c r="F2675" s="4"/>
    </row>
    <row r="2676">
      <c r="A2676" s="4"/>
      <c r="B2676" s="4"/>
      <c r="C2676" s="4"/>
      <c r="D2676" s="13"/>
      <c r="E2676" s="13"/>
      <c r="F2676" s="4"/>
    </row>
    <row r="2677">
      <c r="A2677" s="4"/>
      <c r="B2677" s="4"/>
      <c r="C2677" s="4"/>
      <c r="D2677" s="13"/>
      <c r="E2677" s="13"/>
      <c r="F2677" s="4"/>
    </row>
    <row r="2678">
      <c r="A2678" s="4"/>
      <c r="B2678" s="4"/>
      <c r="C2678" s="4"/>
      <c r="D2678" s="13"/>
      <c r="E2678" s="13"/>
      <c r="F2678" s="4"/>
    </row>
    <row r="2679">
      <c r="A2679" s="4"/>
      <c r="B2679" s="4"/>
      <c r="C2679" s="4"/>
      <c r="D2679" s="13"/>
      <c r="E2679" s="13"/>
      <c r="F2679" s="4"/>
    </row>
    <row r="2680">
      <c r="A2680" s="4"/>
      <c r="B2680" s="4"/>
      <c r="C2680" s="4"/>
      <c r="D2680" s="13"/>
      <c r="E2680" s="13"/>
      <c r="F2680" s="4"/>
    </row>
    <row r="2681">
      <c r="A2681" s="4"/>
      <c r="B2681" s="4"/>
      <c r="C2681" s="4"/>
      <c r="D2681" s="13"/>
      <c r="E2681" s="13"/>
      <c r="F2681" s="4"/>
    </row>
    <row r="2682">
      <c r="A2682" s="4"/>
      <c r="B2682" s="4"/>
      <c r="C2682" s="4"/>
      <c r="D2682" s="13"/>
      <c r="E2682" s="13"/>
      <c r="F2682" s="4"/>
    </row>
    <row r="2683">
      <c r="A2683" s="4"/>
      <c r="B2683" s="4"/>
      <c r="C2683" s="4"/>
      <c r="D2683" s="13"/>
      <c r="E2683" s="13"/>
      <c r="F2683" s="4"/>
    </row>
    <row r="2684">
      <c r="A2684" s="4"/>
      <c r="B2684" s="4"/>
      <c r="C2684" s="4"/>
      <c r="D2684" s="13"/>
      <c r="E2684" s="13"/>
      <c r="F2684" s="4"/>
    </row>
    <row r="2685">
      <c r="A2685" s="4"/>
      <c r="B2685" s="4"/>
      <c r="C2685" s="4"/>
      <c r="D2685" s="13"/>
      <c r="E2685" s="13"/>
      <c r="F2685" s="4"/>
    </row>
    <row r="2686">
      <c r="A2686" s="4"/>
      <c r="B2686" s="4"/>
      <c r="C2686" s="4"/>
      <c r="D2686" s="13"/>
      <c r="E2686" s="13"/>
      <c r="F2686" s="4"/>
    </row>
    <row r="2687">
      <c r="A2687" s="4"/>
      <c r="B2687" s="4"/>
      <c r="C2687" s="4"/>
      <c r="D2687" s="13"/>
      <c r="E2687" s="13"/>
      <c r="F2687" s="4"/>
    </row>
    <row r="2688">
      <c r="A2688" s="4"/>
      <c r="B2688" s="4"/>
      <c r="C2688" s="4"/>
      <c r="D2688" s="13"/>
      <c r="E2688" s="13"/>
      <c r="F2688" s="4"/>
    </row>
    <row r="2689">
      <c r="A2689" s="4"/>
      <c r="B2689" s="4"/>
      <c r="C2689" s="4"/>
      <c r="D2689" s="13"/>
      <c r="E2689" s="13"/>
      <c r="F2689" s="4"/>
    </row>
    <row r="2690">
      <c r="A2690" s="4"/>
      <c r="B2690" s="4"/>
      <c r="C2690" s="4"/>
      <c r="D2690" s="13"/>
      <c r="E2690" s="13"/>
      <c r="F2690" s="4"/>
    </row>
    <row r="2691">
      <c r="A2691" s="4"/>
      <c r="B2691" s="4"/>
      <c r="C2691" s="4"/>
      <c r="D2691" s="13"/>
      <c r="E2691" s="13"/>
      <c r="F2691" s="4"/>
    </row>
    <row r="2692">
      <c r="A2692" s="4"/>
      <c r="B2692" s="4"/>
      <c r="C2692" s="4"/>
      <c r="D2692" s="13"/>
      <c r="E2692" s="13"/>
      <c r="F2692" s="4"/>
    </row>
    <row r="2693">
      <c r="A2693" s="4"/>
      <c r="B2693" s="4"/>
      <c r="C2693" s="4"/>
      <c r="D2693" s="13"/>
      <c r="E2693" s="13"/>
      <c r="F2693" s="4"/>
    </row>
    <row r="2694">
      <c r="A2694" s="4"/>
      <c r="B2694" s="4"/>
      <c r="C2694" s="4"/>
      <c r="D2694" s="13"/>
      <c r="E2694" s="13"/>
      <c r="F2694" s="4"/>
    </row>
    <row r="2695">
      <c r="A2695" s="4"/>
      <c r="B2695" s="4"/>
      <c r="C2695" s="4"/>
      <c r="D2695" s="13"/>
      <c r="E2695" s="13"/>
      <c r="F2695" s="4"/>
    </row>
    <row r="2696">
      <c r="A2696" s="4"/>
      <c r="B2696" s="4"/>
      <c r="C2696" s="4"/>
      <c r="D2696" s="13"/>
      <c r="E2696" s="13"/>
      <c r="F2696" s="4"/>
    </row>
    <row r="2697">
      <c r="A2697" s="4"/>
      <c r="B2697" s="4"/>
      <c r="C2697" s="4"/>
      <c r="D2697" s="13"/>
      <c r="E2697" s="13"/>
      <c r="F2697" s="4"/>
    </row>
    <row r="2698">
      <c r="A2698" s="4"/>
      <c r="B2698" s="4"/>
      <c r="C2698" s="4"/>
      <c r="D2698" s="13"/>
      <c r="E2698" s="13"/>
      <c r="F2698" s="4"/>
    </row>
    <row r="2699">
      <c r="A2699" s="4"/>
      <c r="B2699" s="4"/>
      <c r="C2699" s="4"/>
      <c r="D2699" s="13"/>
      <c r="E2699" s="13"/>
      <c r="F2699" s="4"/>
    </row>
    <row r="2700">
      <c r="A2700" s="4"/>
      <c r="B2700" s="4"/>
      <c r="C2700" s="4"/>
      <c r="D2700" s="13"/>
      <c r="E2700" s="13"/>
      <c r="F2700" s="4"/>
    </row>
    <row r="2701">
      <c r="A2701" s="4"/>
      <c r="B2701" s="4"/>
      <c r="C2701" s="4"/>
      <c r="D2701" s="13"/>
      <c r="E2701" s="13"/>
      <c r="F2701" s="4"/>
    </row>
    <row r="2702">
      <c r="A2702" s="4"/>
      <c r="B2702" s="4"/>
      <c r="C2702" s="4"/>
      <c r="D2702" s="13"/>
      <c r="E2702" s="13"/>
      <c r="F2702" s="4"/>
    </row>
    <row r="2703">
      <c r="A2703" s="4"/>
      <c r="B2703" s="4"/>
      <c r="C2703" s="4"/>
      <c r="D2703" s="13"/>
      <c r="E2703" s="13"/>
      <c r="F2703" s="4"/>
    </row>
    <row r="2704">
      <c r="A2704" s="4"/>
      <c r="B2704" s="4"/>
      <c r="C2704" s="4"/>
      <c r="D2704" s="13"/>
      <c r="E2704" s="13"/>
      <c r="F2704" s="4"/>
    </row>
    <row r="2705">
      <c r="A2705" s="4"/>
      <c r="B2705" s="4"/>
      <c r="C2705" s="4"/>
      <c r="D2705" s="13"/>
      <c r="E2705" s="13"/>
      <c r="F2705" s="4"/>
    </row>
    <row r="2706">
      <c r="A2706" s="4"/>
      <c r="B2706" s="4"/>
      <c r="C2706" s="4"/>
      <c r="D2706" s="13"/>
      <c r="E2706" s="13"/>
      <c r="F2706" s="4"/>
    </row>
    <row r="2707">
      <c r="A2707" s="4"/>
      <c r="B2707" s="4"/>
      <c r="C2707" s="4"/>
      <c r="D2707" s="13"/>
      <c r="E2707" s="13"/>
      <c r="F2707" s="4"/>
    </row>
    <row r="2708">
      <c r="A2708" s="4"/>
      <c r="B2708" s="4"/>
      <c r="C2708" s="4"/>
      <c r="D2708" s="13"/>
      <c r="E2708" s="13"/>
      <c r="F2708" s="4"/>
    </row>
    <row r="2709">
      <c r="A2709" s="4"/>
      <c r="B2709" s="4"/>
      <c r="C2709" s="4"/>
      <c r="D2709" s="13"/>
      <c r="E2709" s="13"/>
      <c r="F2709" s="4"/>
    </row>
    <row r="2710">
      <c r="A2710" s="4"/>
      <c r="B2710" s="4"/>
      <c r="C2710" s="4"/>
      <c r="D2710" s="13"/>
      <c r="E2710" s="13"/>
      <c r="F2710" s="4"/>
    </row>
    <row r="2711">
      <c r="A2711" s="4"/>
      <c r="B2711" s="4"/>
      <c r="C2711" s="4"/>
      <c r="D2711" s="13"/>
      <c r="E2711" s="13"/>
      <c r="F2711" s="4"/>
    </row>
    <row r="2712">
      <c r="A2712" s="4"/>
      <c r="B2712" s="4"/>
      <c r="C2712" s="4"/>
      <c r="D2712" s="13"/>
      <c r="E2712" s="13"/>
      <c r="F2712" s="4"/>
    </row>
    <row r="2713">
      <c r="A2713" s="4"/>
      <c r="B2713" s="4"/>
      <c r="C2713" s="4"/>
      <c r="D2713" s="13"/>
      <c r="E2713" s="13"/>
      <c r="F2713" s="4"/>
    </row>
    <row r="2714">
      <c r="A2714" s="4"/>
      <c r="B2714" s="4"/>
      <c r="C2714" s="4"/>
      <c r="D2714" s="13"/>
      <c r="E2714" s="13"/>
      <c r="F2714" s="4"/>
    </row>
    <row r="2715">
      <c r="A2715" s="4"/>
      <c r="B2715" s="4"/>
      <c r="C2715" s="4"/>
      <c r="D2715" s="13"/>
      <c r="E2715" s="13"/>
      <c r="F2715" s="4"/>
    </row>
    <row r="2716">
      <c r="A2716" s="4"/>
      <c r="B2716" s="4"/>
      <c r="C2716" s="4"/>
      <c r="D2716" s="13"/>
      <c r="E2716" s="13"/>
      <c r="F2716" s="4"/>
    </row>
    <row r="2717">
      <c r="A2717" s="4"/>
      <c r="B2717" s="4"/>
      <c r="C2717" s="4"/>
      <c r="D2717" s="13"/>
      <c r="E2717" s="13"/>
      <c r="F2717" s="4"/>
    </row>
    <row r="2718">
      <c r="A2718" s="4"/>
      <c r="B2718" s="4"/>
      <c r="C2718" s="4"/>
      <c r="D2718" s="13"/>
      <c r="E2718" s="13"/>
      <c r="F2718" s="4"/>
    </row>
    <row r="2719">
      <c r="A2719" s="4"/>
      <c r="B2719" s="4"/>
      <c r="C2719" s="4"/>
      <c r="D2719" s="13"/>
      <c r="E2719" s="13"/>
      <c r="F2719" s="4"/>
    </row>
    <row r="2720">
      <c r="A2720" s="4"/>
      <c r="B2720" s="4"/>
      <c r="C2720" s="4"/>
      <c r="D2720" s="13"/>
      <c r="E2720" s="13"/>
      <c r="F2720" s="4"/>
    </row>
    <row r="2721">
      <c r="A2721" s="4"/>
      <c r="B2721" s="4"/>
      <c r="C2721" s="4"/>
      <c r="D2721" s="13"/>
      <c r="E2721" s="13"/>
      <c r="F2721" s="4"/>
    </row>
    <row r="2722">
      <c r="A2722" s="4"/>
      <c r="B2722" s="4"/>
      <c r="C2722" s="4"/>
      <c r="D2722" s="13"/>
      <c r="E2722" s="13"/>
      <c r="F2722" s="4"/>
    </row>
    <row r="2723">
      <c r="A2723" s="4"/>
      <c r="B2723" s="4"/>
      <c r="C2723" s="4"/>
      <c r="D2723" s="13"/>
      <c r="E2723" s="13"/>
      <c r="F2723" s="4"/>
    </row>
    <row r="2724">
      <c r="A2724" s="4"/>
      <c r="B2724" s="4"/>
      <c r="C2724" s="4"/>
      <c r="D2724" s="13"/>
      <c r="E2724" s="13"/>
      <c r="F2724" s="4"/>
    </row>
    <row r="2725">
      <c r="A2725" s="4"/>
      <c r="B2725" s="4"/>
      <c r="C2725" s="4"/>
      <c r="D2725" s="13"/>
      <c r="E2725" s="13"/>
      <c r="F2725" s="4"/>
    </row>
    <row r="2726">
      <c r="A2726" s="4"/>
      <c r="B2726" s="4"/>
      <c r="C2726" s="4"/>
      <c r="D2726" s="13"/>
      <c r="E2726" s="13"/>
      <c r="F2726" s="4"/>
    </row>
    <row r="2727">
      <c r="A2727" s="4"/>
      <c r="B2727" s="4"/>
      <c r="C2727" s="4"/>
      <c r="D2727" s="13"/>
      <c r="E2727" s="13"/>
      <c r="F2727" s="4"/>
    </row>
    <row r="2728">
      <c r="A2728" s="4"/>
      <c r="B2728" s="4"/>
      <c r="C2728" s="4"/>
      <c r="D2728" s="13"/>
      <c r="E2728" s="13"/>
      <c r="F2728" s="4"/>
    </row>
    <row r="2729">
      <c r="A2729" s="4"/>
      <c r="B2729" s="4"/>
      <c r="C2729" s="4"/>
      <c r="D2729" s="13"/>
      <c r="E2729" s="13"/>
      <c r="F2729" s="4"/>
    </row>
    <row r="2730">
      <c r="A2730" s="4"/>
      <c r="B2730" s="4"/>
      <c r="C2730" s="4"/>
      <c r="D2730" s="13"/>
      <c r="E2730" s="13"/>
      <c r="F2730" s="4"/>
    </row>
    <row r="2731">
      <c r="A2731" s="4"/>
      <c r="B2731" s="4"/>
      <c r="C2731" s="4"/>
      <c r="D2731" s="13"/>
      <c r="E2731" s="13"/>
      <c r="F2731" s="4"/>
    </row>
    <row r="2732">
      <c r="A2732" s="4"/>
      <c r="B2732" s="4"/>
      <c r="C2732" s="4"/>
      <c r="D2732" s="13"/>
      <c r="E2732" s="13"/>
      <c r="F2732" s="4"/>
    </row>
    <row r="2733">
      <c r="A2733" s="4"/>
      <c r="B2733" s="4"/>
      <c r="C2733" s="4"/>
      <c r="D2733" s="13"/>
      <c r="E2733" s="13"/>
      <c r="F2733" s="4"/>
    </row>
    <row r="2734">
      <c r="A2734" s="4"/>
      <c r="B2734" s="4"/>
      <c r="C2734" s="4"/>
      <c r="D2734" s="13"/>
      <c r="E2734" s="13"/>
      <c r="F2734" s="4"/>
    </row>
    <row r="2735">
      <c r="A2735" s="4"/>
      <c r="B2735" s="4"/>
      <c r="C2735" s="4"/>
      <c r="D2735" s="13"/>
      <c r="E2735" s="13"/>
      <c r="F2735" s="4"/>
    </row>
    <row r="2736">
      <c r="A2736" s="4"/>
      <c r="B2736" s="4"/>
      <c r="C2736" s="4"/>
      <c r="D2736" s="13"/>
      <c r="E2736" s="13"/>
      <c r="F2736" s="4"/>
    </row>
    <row r="2737">
      <c r="A2737" s="4"/>
      <c r="B2737" s="4"/>
      <c r="C2737" s="4"/>
      <c r="D2737" s="13"/>
      <c r="E2737" s="13"/>
      <c r="F2737" s="4"/>
    </row>
    <row r="2738">
      <c r="A2738" s="4"/>
      <c r="B2738" s="4"/>
      <c r="C2738" s="4"/>
      <c r="D2738" s="13"/>
      <c r="E2738" s="13"/>
      <c r="F2738" s="4"/>
    </row>
    <row r="2739">
      <c r="A2739" s="4"/>
      <c r="B2739" s="4"/>
      <c r="C2739" s="4"/>
      <c r="D2739" s="13"/>
      <c r="E2739" s="13"/>
      <c r="F2739" s="4"/>
    </row>
    <row r="2740">
      <c r="A2740" s="4"/>
      <c r="B2740" s="4"/>
      <c r="C2740" s="4"/>
      <c r="D2740" s="13"/>
      <c r="E2740" s="13"/>
      <c r="F2740" s="4"/>
    </row>
    <row r="2741">
      <c r="A2741" s="4"/>
      <c r="B2741" s="4"/>
      <c r="C2741" s="4"/>
      <c r="D2741" s="13"/>
      <c r="E2741" s="13"/>
      <c r="F2741" s="4"/>
    </row>
    <row r="2742">
      <c r="A2742" s="4"/>
      <c r="B2742" s="4"/>
      <c r="C2742" s="4"/>
      <c r="D2742" s="13"/>
      <c r="E2742" s="13"/>
      <c r="F2742" s="4"/>
    </row>
    <row r="2743">
      <c r="A2743" s="4"/>
      <c r="B2743" s="4"/>
      <c r="C2743" s="4"/>
      <c r="D2743" s="13"/>
      <c r="E2743" s="13"/>
      <c r="F2743" s="4"/>
    </row>
    <row r="2744">
      <c r="A2744" s="4"/>
      <c r="B2744" s="4"/>
      <c r="C2744" s="4"/>
      <c r="D2744" s="13"/>
      <c r="E2744" s="13"/>
      <c r="F2744" s="4"/>
    </row>
    <row r="2745">
      <c r="A2745" s="4"/>
      <c r="B2745" s="4"/>
      <c r="C2745" s="4"/>
      <c r="D2745" s="13"/>
      <c r="E2745" s="13"/>
      <c r="F2745" s="4"/>
    </row>
    <row r="2746">
      <c r="A2746" s="4"/>
      <c r="B2746" s="4"/>
      <c r="C2746" s="4"/>
      <c r="D2746" s="13"/>
      <c r="E2746" s="13"/>
      <c r="F2746" s="4"/>
    </row>
    <row r="2747">
      <c r="A2747" s="4"/>
      <c r="B2747" s="4"/>
      <c r="C2747" s="4"/>
      <c r="D2747" s="13"/>
      <c r="E2747" s="13"/>
      <c r="F2747" s="4"/>
    </row>
    <row r="2748">
      <c r="A2748" s="4"/>
      <c r="B2748" s="4"/>
      <c r="C2748" s="4"/>
      <c r="D2748" s="13"/>
      <c r="E2748" s="13"/>
      <c r="F2748" s="4"/>
    </row>
    <row r="2749">
      <c r="A2749" s="4"/>
      <c r="B2749" s="4"/>
      <c r="C2749" s="4"/>
      <c r="D2749" s="13"/>
      <c r="E2749" s="13"/>
      <c r="F2749" s="4"/>
    </row>
    <row r="2750">
      <c r="A2750" s="4"/>
      <c r="B2750" s="4"/>
      <c r="C2750" s="4"/>
      <c r="D2750" s="13"/>
      <c r="E2750" s="13"/>
      <c r="F2750" s="4"/>
    </row>
    <row r="2751">
      <c r="A2751" s="4"/>
      <c r="B2751" s="4"/>
      <c r="C2751" s="4"/>
      <c r="D2751" s="13"/>
      <c r="E2751" s="13"/>
      <c r="F2751" s="4"/>
    </row>
    <row r="2752">
      <c r="A2752" s="4"/>
      <c r="B2752" s="4"/>
      <c r="C2752" s="4"/>
      <c r="D2752" s="13"/>
      <c r="E2752" s="13"/>
      <c r="F2752" s="4"/>
    </row>
    <row r="2753">
      <c r="A2753" s="4"/>
      <c r="B2753" s="4"/>
      <c r="C2753" s="4"/>
      <c r="D2753" s="13"/>
      <c r="E2753" s="13"/>
      <c r="F2753" s="4"/>
    </row>
    <row r="2754">
      <c r="A2754" s="4"/>
      <c r="B2754" s="4"/>
      <c r="C2754" s="4"/>
      <c r="D2754" s="13"/>
      <c r="E2754" s="13"/>
      <c r="F2754" s="4"/>
    </row>
    <row r="2755">
      <c r="A2755" s="4"/>
      <c r="B2755" s="4"/>
      <c r="C2755" s="4"/>
      <c r="D2755" s="13"/>
      <c r="E2755" s="13"/>
      <c r="F2755" s="4"/>
    </row>
    <row r="2756">
      <c r="A2756" s="4"/>
      <c r="B2756" s="4"/>
      <c r="C2756" s="4"/>
      <c r="D2756" s="13"/>
      <c r="E2756" s="13"/>
      <c r="F2756" s="4"/>
    </row>
    <row r="2757">
      <c r="A2757" s="4"/>
      <c r="B2757" s="4"/>
      <c r="C2757" s="4"/>
      <c r="D2757" s="13"/>
      <c r="E2757" s="13"/>
      <c r="F2757" s="4"/>
    </row>
    <row r="2758">
      <c r="A2758" s="4"/>
      <c r="B2758" s="4"/>
      <c r="C2758" s="4"/>
      <c r="D2758" s="13"/>
      <c r="E2758" s="13"/>
      <c r="F2758" s="4"/>
    </row>
    <row r="2759">
      <c r="A2759" s="4"/>
      <c r="B2759" s="4"/>
      <c r="C2759" s="4"/>
      <c r="D2759" s="13"/>
      <c r="E2759" s="13"/>
      <c r="F2759" s="4"/>
    </row>
    <row r="2760">
      <c r="A2760" s="4"/>
      <c r="B2760" s="4"/>
      <c r="C2760" s="4"/>
      <c r="D2760" s="13"/>
      <c r="E2760" s="13"/>
      <c r="F2760" s="4"/>
    </row>
    <row r="2761">
      <c r="A2761" s="4"/>
      <c r="B2761" s="4"/>
      <c r="C2761" s="4"/>
      <c r="D2761" s="13"/>
      <c r="E2761" s="13"/>
      <c r="F2761" s="4"/>
    </row>
    <row r="2762">
      <c r="A2762" s="4"/>
      <c r="B2762" s="4"/>
      <c r="C2762" s="4"/>
      <c r="D2762" s="13"/>
      <c r="E2762" s="13"/>
      <c r="F2762" s="4"/>
    </row>
    <row r="2763">
      <c r="A2763" s="4"/>
      <c r="B2763" s="4"/>
      <c r="C2763" s="4"/>
      <c r="D2763" s="13"/>
      <c r="E2763" s="13"/>
      <c r="F2763" s="4"/>
    </row>
    <row r="2764">
      <c r="A2764" s="4"/>
      <c r="B2764" s="4"/>
      <c r="C2764" s="4"/>
      <c r="D2764" s="13"/>
      <c r="E2764" s="13"/>
      <c r="F2764" s="4"/>
    </row>
    <row r="2765">
      <c r="A2765" s="4"/>
      <c r="B2765" s="4"/>
      <c r="C2765" s="4"/>
      <c r="D2765" s="13"/>
      <c r="E2765" s="13"/>
      <c r="F2765" s="4"/>
    </row>
    <row r="2766">
      <c r="A2766" s="4"/>
      <c r="B2766" s="4"/>
      <c r="C2766" s="4"/>
      <c r="D2766" s="13"/>
      <c r="E2766" s="13"/>
      <c r="F2766" s="4"/>
    </row>
    <row r="2767">
      <c r="A2767" s="4"/>
      <c r="B2767" s="4"/>
      <c r="C2767" s="4"/>
      <c r="D2767" s="13"/>
      <c r="E2767" s="13"/>
      <c r="F2767" s="4"/>
    </row>
    <row r="2768">
      <c r="A2768" s="4"/>
      <c r="B2768" s="4"/>
      <c r="C2768" s="4"/>
      <c r="D2768" s="13"/>
      <c r="E2768" s="13"/>
      <c r="F2768" s="4"/>
    </row>
    <row r="2769">
      <c r="A2769" s="4"/>
      <c r="B2769" s="4"/>
      <c r="C2769" s="4"/>
      <c r="D2769" s="13"/>
      <c r="E2769" s="13"/>
      <c r="F2769" s="4"/>
    </row>
    <row r="2770">
      <c r="A2770" s="4"/>
      <c r="B2770" s="4"/>
      <c r="C2770" s="4"/>
      <c r="D2770" s="13"/>
      <c r="E2770" s="13"/>
      <c r="F2770" s="4"/>
    </row>
    <row r="2771">
      <c r="A2771" s="4"/>
      <c r="B2771" s="4"/>
      <c r="C2771" s="4"/>
      <c r="D2771" s="13"/>
      <c r="E2771" s="13"/>
      <c r="F2771" s="4"/>
    </row>
    <row r="2772">
      <c r="A2772" s="4"/>
      <c r="B2772" s="4"/>
      <c r="C2772" s="4"/>
      <c r="D2772" s="13"/>
      <c r="E2772" s="13"/>
      <c r="F2772" s="4"/>
    </row>
    <row r="2773">
      <c r="A2773" s="4"/>
      <c r="B2773" s="4"/>
      <c r="C2773" s="4"/>
      <c r="D2773" s="13"/>
      <c r="E2773" s="13"/>
      <c r="F2773" s="4"/>
    </row>
    <row r="2774">
      <c r="A2774" s="4"/>
      <c r="B2774" s="4"/>
      <c r="C2774" s="4"/>
      <c r="D2774" s="13"/>
      <c r="E2774" s="13"/>
      <c r="F2774" s="4"/>
    </row>
    <row r="2775">
      <c r="A2775" s="4"/>
      <c r="B2775" s="4"/>
      <c r="C2775" s="4"/>
      <c r="D2775" s="13"/>
      <c r="E2775" s="13"/>
      <c r="F2775" s="4"/>
    </row>
    <row r="2776">
      <c r="A2776" s="4"/>
      <c r="B2776" s="4"/>
      <c r="C2776" s="4"/>
      <c r="D2776" s="13"/>
      <c r="E2776" s="13"/>
      <c r="F2776" s="4"/>
    </row>
    <row r="2777">
      <c r="A2777" s="4"/>
      <c r="B2777" s="4"/>
      <c r="C2777" s="4"/>
      <c r="D2777" s="13"/>
      <c r="E2777" s="13"/>
      <c r="F2777" s="4"/>
    </row>
    <row r="2778">
      <c r="A2778" s="4"/>
      <c r="B2778" s="4"/>
      <c r="C2778" s="4"/>
      <c r="D2778" s="13"/>
      <c r="E2778" s="13"/>
      <c r="F2778" s="4"/>
    </row>
    <row r="2779">
      <c r="A2779" s="4"/>
      <c r="B2779" s="4"/>
      <c r="C2779" s="4"/>
      <c r="D2779" s="13"/>
      <c r="E2779" s="13"/>
      <c r="F2779" s="4"/>
    </row>
    <row r="2780">
      <c r="A2780" s="4"/>
      <c r="B2780" s="4"/>
      <c r="C2780" s="4"/>
      <c r="D2780" s="13"/>
      <c r="E2780" s="13"/>
      <c r="F2780" s="4"/>
    </row>
    <row r="2781">
      <c r="A2781" s="4"/>
      <c r="B2781" s="4"/>
      <c r="C2781" s="4"/>
      <c r="D2781" s="13"/>
      <c r="E2781" s="13"/>
      <c r="F2781" s="4"/>
    </row>
    <row r="2782">
      <c r="A2782" s="4"/>
      <c r="B2782" s="4"/>
      <c r="C2782" s="4"/>
      <c r="D2782" s="13"/>
      <c r="E2782" s="13"/>
      <c r="F2782" s="4"/>
    </row>
    <row r="2783">
      <c r="A2783" s="4"/>
      <c r="B2783" s="4"/>
      <c r="C2783" s="4"/>
      <c r="D2783" s="13"/>
      <c r="E2783" s="13"/>
      <c r="F2783" s="4"/>
    </row>
    <row r="2784">
      <c r="A2784" s="4"/>
      <c r="B2784" s="4"/>
      <c r="C2784" s="4"/>
      <c r="D2784" s="13"/>
      <c r="E2784" s="13"/>
      <c r="F2784" s="4"/>
    </row>
    <row r="2785">
      <c r="A2785" s="4"/>
      <c r="B2785" s="4"/>
      <c r="C2785" s="4"/>
      <c r="D2785" s="13"/>
      <c r="E2785" s="13"/>
      <c r="F2785" s="4"/>
    </row>
    <row r="2786">
      <c r="A2786" s="4"/>
      <c r="B2786" s="4"/>
      <c r="C2786" s="4"/>
      <c r="D2786" s="13"/>
      <c r="E2786" s="13"/>
      <c r="F2786" s="4"/>
    </row>
    <row r="2787">
      <c r="A2787" s="4"/>
      <c r="B2787" s="4"/>
      <c r="C2787" s="4"/>
      <c r="D2787" s="13"/>
      <c r="E2787" s="13"/>
      <c r="F2787" s="4"/>
    </row>
    <row r="2788">
      <c r="A2788" s="4"/>
      <c r="B2788" s="4"/>
      <c r="C2788" s="4"/>
      <c r="D2788" s="13"/>
      <c r="E2788" s="13"/>
      <c r="F2788" s="4"/>
    </row>
    <row r="2789">
      <c r="A2789" s="4"/>
      <c r="B2789" s="4"/>
      <c r="C2789" s="4"/>
      <c r="D2789" s="13"/>
      <c r="E2789" s="13"/>
      <c r="F2789" s="4"/>
    </row>
    <row r="2790">
      <c r="A2790" s="4"/>
      <c r="B2790" s="4"/>
      <c r="C2790" s="4"/>
      <c r="D2790" s="13"/>
      <c r="E2790" s="13"/>
      <c r="F2790" s="4"/>
    </row>
    <row r="2791">
      <c r="A2791" s="4"/>
      <c r="B2791" s="4"/>
      <c r="C2791" s="4"/>
      <c r="D2791" s="13"/>
      <c r="E2791" s="13"/>
      <c r="F2791" s="4"/>
    </row>
    <row r="2792">
      <c r="A2792" s="4"/>
      <c r="B2792" s="4"/>
      <c r="C2792" s="4"/>
      <c r="D2792" s="13"/>
      <c r="E2792" s="13"/>
      <c r="F2792" s="4"/>
    </row>
    <row r="2793">
      <c r="A2793" s="4"/>
      <c r="B2793" s="4"/>
      <c r="C2793" s="4"/>
      <c r="D2793" s="13"/>
      <c r="E2793" s="13"/>
      <c r="F2793" s="4"/>
    </row>
    <row r="2794">
      <c r="A2794" s="4"/>
      <c r="B2794" s="4"/>
      <c r="C2794" s="4"/>
      <c r="D2794" s="13"/>
      <c r="E2794" s="13"/>
      <c r="F2794" s="4"/>
    </row>
    <row r="2795">
      <c r="A2795" s="4"/>
      <c r="B2795" s="4"/>
      <c r="C2795" s="4"/>
      <c r="D2795" s="13"/>
      <c r="E2795" s="13"/>
      <c r="F2795" s="4"/>
    </row>
    <row r="2796">
      <c r="A2796" s="4"/>
      <c r="B2796" s="4"/>
      <c r="C2796" s="4"/>
      <c r="D2796" s="13"/>
      <c r="E2796" s="13"/>
      <c r="F2796" s="4"/>
    </row>
    <row r="2797">
      <c r="A2797" s="4"/>
      <c r="B2797" s="4"/>
      <c r="C2797" s="4"/>
      <c r="D2797" s="13"/>
      <c r="E2797" s="13"/>
      <c r="F2797" s="4"/>
    </row>
    <row r="2798">
      <c r="A2798" s="4"/>
      <c r="B2798" s="4"/>
      <c r="C2798" s="4"/>
      <c r="D2798" s="13"/>
      <c r="E2798" s="13"/>
      <c r="F2798" s="4"/>
    </row>
    <row r="2799">
      <c r="A2799" s="4"/>
      <c r="B2799" s="4"/>
      <c r="C2799" s="4"/>
      <c r="D2799" s="13"/>
      <c r="E2799" s="13"/>
      <c r="F2799" s="4"/>
    </row>
    <row r="2800">
      <c r="A2800" s="4"/>
      <c r="B2800" s="4"/>
      <c r="C2800" s="4"/>
      <c r="D2800" s="13"/>
      <c r="E2800" s="13"/>
      <c r="F2800" s="4"/>
    </row>
    <row r="2801">
      <c r="A2801" s="4"/>
      <c r="B2801" s="4"/>
      <c r="C2801" s="4"/>
      <c r="D2801" s="13"/>
      <c r="E2801" s="13"/>
      <c r="F2801" s="4"/>
    </row>
    <row r="2802">
      <c r="A2802" s="4"/>
      <c r="B2802" s="4"/>
      <c r="C2802" s="4"/>
      <c r="D2802" s="13"/>
      <c r="E2802" s="13"/>
      <c r="F2802" s="4"/>
    </row>
    <row r="2803">
      <c r="A2803" s="4"/>
      <c r="B2803" s="4"/>
      <c r="C2803" s="4"/>
      <c r="D2803" s="13"/>
      <c r="E2803" s="13"/>
      <c r="F2803" s="4"/>
    </row>
    <row r="2804">
      <c r="A2804" s="4"/>
      <c r="B2804" s="4"/>
      <c r="C2804" s="4"/>
      <c r="D2804" s="13"/>
      <c r="E2804" s="13"/>
      <c r="F2804" s="4"/>
    </row>
    <row r="2805">
      <c r="A2805" s="4"/>
      <c r="B2805" s="4"/>
      <c r="C2805" s="4"/>
      <c r="D2805" s="13"/>
      <c r="E2805" s="13"/>
      <c r="F2805" s="4"/>
    </row>
    <row r="2806">
      <c r="A2806" s="4"/>
      <c r="B2806" s="4"/>
      <c r="C2806" s="4"/>
      <c r="D2806" s="13"/>
      <c r="E2806" s="13"/>
      <c r="F2806" s="4"/>
    </row>
    <row r="2807">
      <c r="A2807" s="4"/>
      <c r="B2807" s="4"/>
      <c r="C2807" s="4"/>
      <c r="D2807" s="13"/>
      <c r="E2807" s="13"/>
      <c r="F2807" s="4"/>
    </row>
    <row r="2808">
      <c r="A2808" s="4"/>
      <c r="B2808" s="4"/>
      <c r="C2808" s="4"/>
      <c r="D2808" s="13"/>
      <c r="E2808" s="13"/>
      <c r="F2808" s="4"/>
    </row>
    <row r="2809">
      <c r="A2809" s="4"/>
      <c r="B2809" s="4"/>
      <c r="C2809" s="4"/>
      <c r="D2809" s="13"/>
      <c r="E2809" s="13"/>
      <c r="F2809" s="4"/>
    </row>
    <row r="2810">
      <c r="A2810" s="4"/>
      <c r="B2810" s="4"/>
      <c r="C2810" s="4"/>
      <c r="D2810" s="13"/>
      <c r="E2810" s="13"/>
      <c r="F2810" s="4"/>
    </row>
    <row r="2811">
      <c r="A2811" s="4"/>
      <c r="B2811" s="4"/>
      <c r="C2811" s="4"/>
      <c r="D2811" s="13"/>
      <c r="E2811" s="13"/>
      <c r="F2811" s="4"/>
    </row>
    <row r="2812">
      <c r="A2812" s="4"/>
      <c r="B2812" s="4"/>
      <c r="C2812" s="4"/>
      <c r="D2812" s="13"/>
      <c r="E2812" s="13"/>
      <c r="F2812" s="4"/>
    </row>
    <row r="2813">
      <c r="A2813" s="4"/>
      <c r="B2813" s="4"/>
      <c r="C2813" s="4"/>
      <c r="D2813" s="13"/>
      <c r="E2813" s="13"/>
      <c r="F2813" s="4"/>
    </row>
    <row r="2814">
      <c r="A2814" s="4"/>
      <c r="B2814" s="4"/>
      <c r="C2814" s="4"/>
      <c r="D2814" s="13"/>
      <c r="E2814" s="13"/>
      <c r="F2814" s="4"/>
    </row>
    <row r="2815">
      <c r="A2815" s="4"/>
      <c r="B2815" s="4"/>
      <c r="C2815" s="4"/>
      <c r="D2815" s="13"/>
      <c r="E2815" s="13"/>
      <c r="F2815" s="4"/>
    </row>
    <row r="2816">
      <c r="A2816" s="4"/>
      <c r="B2816" s="4"/>
      <c r="C2816" s="4"/>
      <c r="D2816" s="13"/>
      <c r="E2816" s="13"/>
      <c r="F2816" s="4"/>
    </row>
    <row r="2817">
      <c r="A2817" s="4"/>
      <c r="B2817" s="4"/>
      <c r="C2817" s="4"/>
      <c r="D2817" s="13"/>
      <c r="E2817" s="13"/>
      <c r="F2817" s="4"/>
    </row>
    <row r="2818">
      <c r="A2818" s="4"/>
      <c r="B2818" s="4"/>
      <c r="C2818" s="4"/>
      <c r="D2818" s="13"/>
      <c r="E2818" s="13"/>
      <c r="F2818" s="4"/>
    </row>
    <row r="2819">
      <c r="A2819" s="4"/>
      <c r="B2819" s="4"/>
      <c r="C2819" s="4"/>
      <c r="D2819" s="13"/>
      <c r="E2819" s="13"/>
      <c r="F2819" s="4"/>
    </row>
    <row r="2820">
      <c r="A2820" s="4"/>
      <c r="B2820" s="4"/>
      <c r="C2820" s="4"/>
      <c r="D2820" s="13"/>
      <c r="E2820" s="13"/>
      <c r="F2820" s="4"/>
    </row>
    <row r="2821">
      <c r="A2821" s="4"/>
      <c r="B2821" s="4"/>
      <c r="C2821" s="4"/>
      <c r="D2821" s="13"/>
      <c r="E2821" s="13"/>
      <c r="F2821" s="4"/>
    </row>
    <row r="2822">
      <c r="A2822" s="4"/>
      <c r="B2822" s="4"/>
      <c r="C2822" s="4"/>
      <c r="D2822" s="13"/>
      <c r="E2822" s="13"/>
      <c r="F2822" s="4"/>
    </row>
    <row r="2823">
      <c r="A2823" s="4"/>
      <c r="B2823" s="4"/>
      <c r="C2823" s="4"/>
      <c r="D2823" s="13"/>
      <c r="E2823" s="13"/>
      <c r="F2823" s="4"/>
    </row>
    <row r="2824">
      <c r="A2824" s="4"/>
      <c r="B2824" s="4"/>
      <c r="C2824" s="4"/>
      <c r="D2824" s="13"/>
      <c r="E2824" s="13"/>
      <c r="F2824" s="4"/>
    </row>
    <row r="2825">
      <c r="A2825" s="4"/>
      <c r="B2825" s="4"/>
      <c r="C2825" s="4"/>
      <c r="D2825" s="13"/>
      <c r="E2825" s="13"/>
      <c r="F2825" s="4"/>
    </row>
    <row r="2826">
      <c r="A2826" s="4"/>
      <c r="B2826" s="4"/>
      <c r="C2826" s="4"/>
      <c r="D2826" s="13"/>
      <c r="E2826" s="13"/>
      <c r="F2826" s="4"/>
    </row>
    <row r="2827">
      <c r="A2827" s="4"/>
      <c r="B2827" s="4"/>
      <c r="C2827" s="4"/>
      <c r="D2827" s="13"/>
      <c r="E2827" s="13"/>
      <c r="F2827" s="4"/>
    </row>
    <row r="2828">
      <c r="A2828" s="4"/>
      <c r="B2828" s="4"/>
      <c r="C2828" s="4"/>
      <c r="D2828" s="13"/>
      <c r="E2828" s="13"/>
      <c r="F2828" s="4"/>
    </row>
    <row r="2829">
      <c r="A2829" s="4"/>
      <c r="B2829" s="4"/>
      <c r="C2829" s="4"/>
      <c r="D2829" s="13"/>
      <c r="E2829" s="13"/>
      <c r="F2829" s="4"/>
    </row>
    <row r="2830">
      <c r="A2830" s="4"/>
      <c r="B2830" s="4"/>
      <c r="C2830" s="4"/>
      <c r="D2830" s="13"/>
      <c r="E2830" s="13"/>
      <c r="F2830" s="4"/>
    </row>
    <row r="2831">
      <c r="A2831" s="4"/>
      <c r="B2831" s="4"/>
      <c r="C2831" s="4"/>
      <c r="D2831" s="13"/>
      <c r="E2831" s="13"/>
      <c r="F2831" s="4"/>
    </row>
    <row r="2832">
      <c r="A2832" s="4"/>
      <c r="B2832" s="4"/>
      <c r="C2832" s="4"/>
      <c r="D2832" s="13"/>
      <c r="E2832" s="13"/>
      <c r="F2832" s="4"/>
    </row>
    <row r="2833">
      <c r="A2833" s="4"/>
      <c r="B2833" s="4"/>
      <c r="C2833" s="4"/>
      <c r="D2833" s="13"/>
      <c r="E2833" s="13"/>
      <c r="F2833" s="4"/>
    </row>
    <row r="2834">
      <c r="A2834" s="4"/>
      <c r="B2834" s="4"/>
      <c r="C2834" s="4"/>
      <c r="D2834" s="13"/>
      <c r="E2834" s="13"/>
      <c r="F2834" s="4"/>
    </row>
    <row r="2835">
      <c r="A2835" s="4"/>
      <c r="B2835" s="4"/>
      <c r="C2835" s="4"/>
      <c r="D2835" s="13"/>
      <c r="E2835" s="13"/>
      <c r="F2835" s="4"/>
    </row>
    <row r="2836">
      <c r="A2836" s="4"/>
      <c r="B2836" s="4"/>
      <c r="C2836" s="4"/>
      <c r="D2836" s="13"/>
      <c r="E2836" s="13"/>
      <c r="F2836" s="4"/>
    </row>
    <row r="2837">
      <c r="A2837" s="4"/>
      <c r="B2837" s="4"/>
      <c r="C2837" s="4"/>
      <c r="D2837" s="13"/>
      <c r="E2837" s="13"/>
      <c r="F2837" s="4"/>
    </row>
    <row r="2838">
      <c r="A2838" s="4"/>
      <c r="B2838" s="4"/>
      <c r="C2838" s="4"/>
      <c r="D2838" s="13"/>
      <c r="E2838" s="13"/>
      <c r="F2838" s="4"/>
    </row>
    <row r="2839">
      <c r="A2839" s="4"/>
      <c r="B2839" s="4"/>
      <c r="C2839" s="4"/>
      <c r="D2839" s="13"/>
      <c r="E2839" s="13"/>
      <c r="F2839" s="4"/>
    </row>
    <row r="2840">
      <c r="A2840" s="4"/>
      <c r="B2840" s="4"/>
      <c r="C2840" s="4"/>
      <c r="D2840" s="13"/>
      <c r="E2840" s="13"/>
      <c r="F2840" s="4"/>
    </row>
    <row r="2841">
      <c r="A2841" s="4"/>
      <c r="B2841" s="4"/>
      <c r="C2841" s="4"/>
      <c r="D2841" s="13"/>
      <c r="E2841" s="13"/>
      <c r="F2841" s="4"/>
    </row>
    <row r="2842">
      <c r="A2842" s="4"/>
      <c r="B2842" s="4"/>
      <c r="C2842" s="4"/>
      <c r="D2842" s="13"/>
      <c r="E2842" s="13"/>
      <c r="F2842" s="4"/>
    </row>
    <row r="2843">
      <c r="A2843" s="4"/>
      <c r="B2843" s="4"/>
      <c r="C2843" s="4"/>
      <c r="D2843" s="13"/>
      <c r="E2843" s="13"/>
      <c r="F2843" s="4"/>
    </row>
    <row r="2844">
      <c r="A2844" s="4"/>
      <c r="B2844" s="4"/>
      <c r="C2844" s="4"/>
      <c r="D2844" s="13"/>
      <c r="E2844" s="13"/>
      <c r="F2844" s="4"/>
    </row>
    <row r="2845">
      <c r="A2845" s="4"/>
      <c r="B2845" s="4"/>
      <c r="C2845" s="4"/>
      <c r="D2845" s="13"/>
      <c r="E2845" s="13"/>
      <c r="F2845" s="4"/>
    </row>
    <row r="2846">
      <c r="A2846" s="4"/>
      <c r="B2846" s="4"/>
      <c r="C2846" s="4"/>
      <c r="D2846" s="13"/>
      <c r="E2846" s="13"/>
      <c r="F2846" s="4"/>
    </row>
    <row r="2847">
      <c r="A2847" s="4"/>
      <c r="B2847" s="4"/>
      <c r="C2847" s="4"/>
      <c r="D2847" s="13"/>
      <c r="E2847" s="13"/>
      <c r="F2847" s="4"/>
    </row>
    <row r="2848">
      <c r="A2848" s="4"/>
      <c r="B2848" s="4"/>
      <c r="C2848" s="4"/>
      <c r="D2848" s="13"/>
      <c r="E2848" s="13"/>
      <c r="F2848" s="4"/>
    </row>
    <row r="2849">
      <c r="A2849" s="4"/>
      <c r="B2849" s="4"/>
      <c r="C2849" s="4"/>
      <c r="D2849" s="13"/>
      <c r="E2849" s="13"/>
      <c r="F2849" s="4"/>
    </row>
    <row r="2850">
      <c r="A2850" s="4"/>
      <c r="B2850" s="4"/>
      <c r="C2850" s="4"/>
      <c r="D2850" s="13"/>
      <c r="E2850" s="13"/>
      <c r="F2850" s="4"/>
    </row>
    <row r="2851">
      <c r="A2851" s="4"/>
      <c r="B2851" s="4"/>
      <c r="C2851" s="4"/>
      <c r="D2851" s="13"/>
      <c r="E2851" s="13"/>
      <c r="F2851" s="4"/>
    </row>
    <row r="2852">
      <c r="A2852" s="4"/>
      <c r="B2852" s="4"/>
      <c r="C2852" s="4"/>
      <c r="D2852" s="13"/>
      <c r="E2852" s="13"/>
      <c r="F2852" s="4"/>
    </row>
    <row r="2853">
      <c r="A2853" s="4"/>
      <c r="B2853" s="4"/>
      <c r="C2853" s="4"/>
      <c r="D2853" s="13"/>
      <c r="E2853" s="13"/>
      <c r="F2853" s="4"/>
    </row>
    <row r="2854">
      <c r="A2854" s="4"/>
      <c r="B2854" s="4"/>
      <c r="C2854" s="4"/>
      <c r="D2854" s="13"/>
      <c r="E2854" s="13"/>
      <c r="F2854" s="4"/>
    </row>
    <row r="2855">
      <c r="A2855" s="4"/>
      <c r="B2855" s="4"/>
      <c r="C2855" s="4"/>
      <c r="D2855" s="13"/>
      <c r="E2855" s="13"/>
      <c r="F2855" s="4"/>
    </row>
    <row r="2856">
      <c r="A2856" s="4"/>
      <c r="B2856" s="4"/>
      <c r="C2856" s="4"/>
      <c r="D2856" s="13"/>
      <c r="E2856" s="13"/>
      <c r="F2856" s="4"/>
    </row>
    <row r="2857">
      <c r="A2857" s="4"/>
      <c r="B2857" s="4"/>
      <c r="C2857" s="4"/>
      <c r="D2857" s="13"/>
      <c r="E2857" s="13"/>
      <c r="F2857" s="4"/>
    </row>
    <row r="2858">
      <c r="A2858" s="4"/>
      <c r="B2858" s="4"/>
      <c r="C2858" s="4"/>
      <c r="D2858" s="13"/>
      <c r="E2858" s="13"/>
      <c r="F2858" s="4"/>
    </row>
    <row r="2859">
      <c r="A2859" s="4"/>
      <c r="B2859" s="4"/>
      <c r="C2859" s="4"/>
      <c r="D2859" s="13"/>
      <c r="E2859" s="13"/>
      <c r="F2859" s="4"/>
    </row>
    <row r="2860">
      <c r="A2860" s="4"/>
      <c r="B2860" s="4"/>
      <c r="C2860" s="4"/>
      <c r="D2860" s="13"/>
      <c r="E2860" s="13"/>
      <c r="F2860" s="4"/>
    </row>
    <row r="2861">
      <c r="A2861" s="4"/>
      <c r="B2861" s="4"/>
      <c r="C2861" s="4"/>
      <c r="D2861" s="13"/>
      <c r="E2861" s="13"/>
      <c r="F2861" s="4"/>
    </row>
    <row r="2862">
      <c r="A2862" s="4"/>
      <c r="B2862" s="4"/>
      <c r="C2862" s="4"/>
      <c r="D2862" s="13"/>
      <c r="E2862" s="13"/>
      <c r="F2862" s="4"/>
    </row>
    <row r="2863">
      <c r="A2863" s="4"/>
      <c r="B2863" s="4"/>
      <c r="C2863" s="4"/>
      <c r="D2863" s="13"/>
      <c r="E2863" s="13"/>
      <c r="F2863" s="4"/>
    </row>
    <row r="2864">
      <c r="A2864" s="4"/>
      <c r="B2864" s="4"/>
      <c r="C2864" s="4"/>
      <c r="D2864" s="13"/>
      <c r="E2864" s="13"/>
      <c r="F2864" s="4"/>
    </row>
    <row r="2865">
      <c r="A2865" s="4"/>
      <c r="B2865" s="4"/>
      <c r="C2865" s="4"/>
      <c r="D2865" s="13"/>
      <c r="E2865" s="13"/>
      <c r="F2865" s="4"/>
    </row>
    <row r="2866">
      <c r="A2866" s="4"/>
      <c r="B2866" s="4"/>
      <c r="C2866" s="4"/>
      <c r="D2866" s="13"/>
      <c r="E2866" s="13"/>
      <c r="F2866" s="4"/>
    </row>
    <row r="2867">
      <c r="A2867" s="4"/>
      <c r="B2867" s="4"/>
      <c r="C2867" s="4"/>
      <c r="D2867" s="13"/>
      <c r="E2867" s="13"/>
      <c r="F2867" s="4"/>
    </row>
    <row r="2868">
      <c r="A2868" s="4"/>
      <c r="B2868" s="4"/>
      <c r="C2868" s="4"/>
      <c r="D2868" s="13"/>
      <c r="E2868" s="13"/>
      <c r="F2868" s="4"/>
    </row>
    <row r="2869">
      <c r="A2869" s="4"/>
      <c r="B2869" s="4"/>
      <c r="C2869" s="4"/>
      <c r="D2869" s="13"/>
      <c r="E2869" s="13"/>
      <c r="F2869" s="4"/>
    </row>
    <row r="2870">
      <c r="A2870" s="4"/>
      <c r="B2870" s="4"/>
      <c r="C2870" s="4"/>
      <c r="D2870" s="13"/>
      <c r="E2870" s="13"/>
      <c r="F2870" s="4"/>
    </row>
    <row r="2871">
      <c r="A2871" s="4"/>
      <c r="B2871" s="4"/>
      <c r="C2871" s="4"/>
      <c r="D2871" s="13"/>
      <c r="E2871" s="13"/>
      <c r="F2871" s="4"/>
    </row>
    <row r="2872">
      <c r="A2872" s="4"/>
      <c r="B2872" s="4"/>
      <c r="C2872" s="4"/>
      <c r="D2872" s="13"/>
      <c r="E2872" s="13"/>
      <c r="F2872" s="4"/>
    </row>
    <row r="2873">
      <c r="A2873" s="4"/>
      <c r="B2873" s="4"/>
      <c r="C2873" s="4"/>
      <c r="D2873" s="13"/>
      <c r="E2873" s="13"/>
      <c r="F2873" s="4"/>
    </row>
    <row r="2874">
      <c r="A2874" s="4"/>
      <c r="B2874" s="4"/>
      <c r="C2874" s="4"/>
      <c r="D2874" s="13"/>
      <c r="E2874" s="13"/>
      <c r="F2874" s="4"/>
    </row>
    <row r="2875">
      <c r="A2875" s="4"/>
      <c r="B2875" s="4"/>
      <c r="C2875" s="4"/>
      <c r="D2875" s="13"/>
      <c r="E2875" s="13"/>
      <c r="F2875" s="4"/>
    </row>
    <row r="2876">
      <c r="A2876" s="4"/>
      <c r="B2876" s="4"/>
      <c r="C2876" s="4"/>
      <c r="D2876" s="13"/>
      <c r="E2876" s="13"/>
      <c r="F2876" s="4"/>
    </row>
    <row r="2877">
      <c r="A2877" s="4"/>
      <c r="B2877" s="4"/>
      <c r="C2877" s="4"/>
      <c r="D2877" s="13"/>
      <c r="E2877" s="13"/>
      <c r="F2877" s="4"/>
    </row>
    <row r="2878">
      <c r="A2878" s="4"/>
      <c r="B2878" s="4"/>
      <c r="C2878" s="4"/>
      <c r="D2878" s="13"/>
      <c r="E2878" s="13"/>
      <c r="F2878" s="4"/>
    </row>
    <row r="2879">
      <c r="A2879" s="4"/>
      <c r="B2879" s="4"/>
      <c r="C2879" s="4"/>
      <c r="D2879" s="13"/>
      <c r="E2879" s="13"/>
      <c r="F2879" s="4"/>
    </row>
    <row r="2880">
      <c r="A2880" s="4"/>
      <c r="B2880" s="4"/>
      <c r="C2880" s="4"/>
      <c r="D2880" s="13"/>
      <c r="E2880" s="13"/>
      <c r="F2880" s="4"/>
    </row>
    <row r="2881">
      <c r="A2881" s="4"/>
      <c r="B2881" s="4"/>
      <c r="C2881" s="4"/>
      <c r="D2881" s="13"/>
      <c r="E2881" s="13"/>
      <c r="F2881" s="4"/>
    </row>
    <row r="2882">
      <c r="A2882" s="4"/>
      <c r="B2882" s="4"/>
      <c r="C2882" s="4"/>
      <c r="D2882" s="13"/>
      <c r="E2882" s="13"/>
      <c r="F2882" s="4"/>
    </row>
    <row r="2883">
      <c r="A2883" s="4"/>
      <c r="B2883" s="4"/>
      <c r="C2883" s="4"/>
      <c r="D2883" s="13"/>
      <c r="E2883" s="13"/>
      <c r="F2883" s="4"/>
    </row>
    <row r="2884">
      <c r="A2884" s="4"/>
      <c r="B2884" s="4"/>
      <c r="C2884" s="4"/>
      <c r="D2884" s="13"/>
      <c r="E2884" s="13"/>
      <c r="F2884" s="4"/>
    </row>
    <row r="2885">
      <c r="A2885" s="4"/>
      <c r="B2885" s="4"/>
      <c r="C2885" s="4"/>
      <c r="D2885" s="13"/>
      <c r="E2885" s="13"/>
      <c r="F2885" s="4"/>
    </row>
    <row r="2886">
      <c r="A2886" s="4"/>
      <c r="B2886" s="4"/>
      <c r="C2886" s="4"/>
      <c r="D2886" s="13"/>
      <c r="E2886" s="13"/>
      <c r="F2886" s="4"/>
    </row>
    <row r="2887">
      <c r="A2887" s="4"/>
      <c r="B2887" s="4"/>
      <c r="C2887" s="4"/>
      <c r="D2887" s="13"/>
      <c r="E2887" s="13"/>
      <c r="F2887" s="4"/>
    </row>
    <row r="2888">
      <c r="A2888" s="4"/>
      <c r="B2888" s="4"/>
      <c r="C2888" s="4"/>
      <c r="D2888" s="13"/>
      <c r="E2888" s="13"/>
      <c r="F2888" s="4"/>
    </row>
    <row r="2889">
      <c r="A2889" s="4"/>
      <c r="B2889" s="4"/>
      <c r="C2889" s="4"/>
      <c r="D2889" s="13"/>
      <c r="E2889" s="13"/>
      <c r="F2889" s="4"/>
    </row>
    <row r="2890">
      <c r="A2890" s="4"/>
      <c r="B2890" s="4"/>
      <c r="C2890" s="4"/>
      <c r="D2890" s="13"/>
      <c r="E2890" s="13"/>
      <c r="F2890" s="4"/>
    </row>
    <row r="2891">
      <c r="A2891" s="4"/>
      <c r="B2891" s="4"/>
      <c r="C2891" s="4"/>
      <c r="D2891" s="13"/>
      <c r="E2891" s="13"/>
      <c r="F2891" s="4"/>
    </row>
    <row r="2892">
      <c r="A2892" s="4"/>
      <c r="B2892" s="4"/>
      <c r="C2892" s="4"/>
      <c r="D2892" s="13"/>
      <c r="E2892" s="13"/>
      <c r="F2892" s="4"/>
    </row>
    <row r="2893">
      <c r="A2893" s="4"/>
      <c r="B2893" s="4"/>
      <c r="C2893" s="4"/>
      <c r="D2893" s="13"/>
      <c r="E2893" s="13"/>
      <c r="F2893" s="4"/>
    </row>
    <row r="2894">
      <c r="A2894" s="4"/>
      <c r="B2894" s="4"/>
      <c r="C2894" s="4"/>
      <c r="D2894" s="13"/>
      <c r="E2894" s="13"/>
      <c r="F2894" s="4"/>
    </row>
    <row r="2895">
      <c r="A2895" s="4"/>
      <c r="B2895" s="4"/>
      <c r="C2895" s="4"/>
      <c r="D2895" s="13"/>
      <c r="E2895" s="13"/>
      <c r="F2895" s="4"/>
    </row>
    <row r="2896">
      <c r="A2896" s="4"/>
      <c r="B2896" s="4"/>
      <c r="C2896" s="4"/>
      <c r="D2896" s="13"/>
      <c r="E2896" s="13"/>
      <c r="F2896" s="4"/>
    </row>
    <row r="2897">
      <c r="A2897" s="4"/>
      <c r="B2897" s="4"/>
      <c r="C2897" s="4"/>
      <c r="D2897" s="13"/>
      <c r="E2897" s="13"/>
      <c r="F2897" s="4"/>
    </row>
    <row r="2898">
      <c r="A2898" s="4"/>
      <c r="B2898" s="4"/>
      <c r="C2898" s="4"/>
      <c r="D2898" s="13"/>
      <c r="E2898" s="13"/>
      <c r="F2898" s="4"/>
    </row>
    <row r="2899">
      <c r="A2899" s="4"/>
      <c r="B2899" s="4"/>
      <c r="C2899" s="4"/>
      <c r="D2899" s="13"/>
      <c r="E2899" s="13"/>
      <c r="F2899" s="4"/>
    </row>
    <row r="2900">
      <c r="A2900" s="4"/>
      <c r="B2900" s="4"/>
      <c r="C2900" s="4"/>
      <c r="D2900" s="13"/>
      <c r="E2900" s="13"/>
      <c r="F2900" s="4"/>
    </row>
    <row r="2901">
      <c r="A2901" s="4"/>
      <c r="B2901" s="4"/>
      <c r="C2901" s="4"/>
      <c r="D2901" s="13"/>
      <c r="E2901" s="13"/>
      <c r="F2901" s="4"/>
    </row>
    <row r="2902">
      <c r="A2902" s="4"/>
      <c r="B2902" s="4"/>
      <c r="C2902" s="4"/>
      <c r="D2902" s="13"/>
      <c r="E2902" s="13"/>
      <c r="F2902" s="4"/>
    </row>
    <row r="2903">
      <c r="A2903" s="4"/>
      <c r="B2903" s="4"/>
      <c r="C2903" s="4"/>
      <c r="D2903" s="13"/>
      <c r="E2903" s="13"/>
      <c r="F2903" s="4"/>
    </row>
    <row r="2904">
      <c r="A2904" s="4"/>
      <c r="B2904" s="4"/>
      <c r="C2904" s="4"/>
      <c r="D2904" s="13"/>
      <c r="E2904" s="13"/>
      <c r="F2904" s="4"/>
    </row>
    <row r="2905">
      <c r="A2905" s="4"/>
      <c r="B2905" s="4"/>
      <c r="C2905" s="4"/>
      <c r="D2905" s="13"/>
      <c r="E2905" s="13"/>
      <c r="F2905" s="4"/>
    </row>
    <row r="2906">
      <c r="A2906" s="4"/>
      <c r="B2906" s="4"/>
      <c r="C2906" s="4"/>
      <c r="D2906" s="13"/>
      <c r="E2906" s="13"/>
      <c r="F2906" s="4"/>
    </row>
    <row r="2907">
      <c r="A2907" s="4"/>
      <c r="B2907" s="4"/>
      <c r="C2907" s="4"/>
      <c r="D2907" s="13"/>
      <c r="E2907" s="13"/>
      <c r="F2907" s="4"/>
    </row>
    <row r="2908">
      <c r="A2908" s="4"/>
      <c r="B2908" s="4"/>
      <c r="C2908" s="4"/>
      <c r="D2908" s="13"/>
      <c r="E2908" s="13"/>
      <c r="F2908" s="4"/>
    </row>
    <row r="2909">
      <c r="A2909" s="4"/>
      <c r="B2909" s="4"/>
      <c r="C2909" s="4"/>
      <c r="D2909" s="13"/>
      <c r="E2909" s="13"/>
      <c r="F2909" s="4"/>
    </row>
    <row r="2910">
      <c r="A2910" s="4"/>
      <c r="B2910" s="4"/>
      <c r="C2910" s="4"/>
      <c r="D2910" s="13"/>
      <c r="E2910" s="13"/>
      <c r="F2910" s="4"/>
    </row>
    <row r="2911">
      <c r="A2911" s="4"/>
      <c r="B2911" s="4"/>
      <c r="C2911" s="4"/>
      <c r="D2911" s="13"/>
      <c r="E2911" s="13"/>
      <c r="F2911" s="4"/>
    </row>
    <row r="2912">
      <c r="A2912" s="4"/>
      <c r="B2912" s="4"/>
      <c r="C2912" s="4"/>
      <c r="D2912" s="13"/>
      <c r="E2912" s="13"/>
      <c r="F2912" s="4"/>
    </row>
    <row r="2913">
      <c r="A2913" s="4"/>
      <c r="B2913" s="4"/>
      <c r="C2913" s="4"/>
      <c r="D2913" s="13"/>
      <c r="E2913" s="13"/>
      <c r="F2913" s="4"/>
    </row>
    <row r="2914">
      <c r="A2914" s="4"/>
      <c r="B2914" s="4"/>
      <c r="C2914" s="4"/>
      <c r="D2914" s="13"/>
      <c r="E2914" s="13"/>
      <c r="F2914" s="4"/>
    </row>
    <row r="2915">
      <c r="A2915" s="4"/>
      <c r="B2915" s="4"/>
      <c r="C2915" s="4"/>
      <c r="D2915" s="13"/>
      <c r="E2915" s="13"/>
      <c r="F2915" s="4"/>
    </row>
    <row r="2916">
      <c r="A2916" s="4"/>
      <c r="B2916" s="4"/>
      <c r="C2916" s="4"/>
      <c r="D2916" s="13"/>
      <c r="E2916" s="13"/>
      <c r="F2916" s="4"/>
    </row>
    <row r="2917">
      <c r="A2917" s="4"/>
      <c r="B2917" s="4"/>
      <c r="C2917" s="4"/>
      <c r="D2917" s="13"/>
      <c r="E2917" s="13"/>
      <c r="F2917" s="4"/>
    </row>
    <row r="2918">
      <c r="A2918" s="4"/>
      <c r="B2918" s="4"/>
      <c r="C2918" s="4"/>
      <c r="D2918" s="13"/>
      <c r="E2918" s="13"/>
      <c r="F2918" s="4"/>
    </row>
    <row r="2919">
      <c r="A2919" s="4"/>
      <c r="B2919" s="4"/>
      <c r="C2919" s="4"/>
      <c r="D2919" s="13"/>
      <c r="E2919" s="13"/>
      <c r="F2919" s="4"/>
    </row>
    <row r="2920">
      <c r="A2920" s="4"/>
      <c r="B2920" s="4"/>
      <c r="C2920" s="4"/>
      <c r="D2920" s="13"/>
      <c r="E2920" s="13"/>
      <c r="F2920" s="4"/>
    </row>
    <row r="2921">
      <c r="A2921" s="4"/>
      <c r="B2921" s="4"/>
      <c r="C2921" s="4"/>
      <c r="D2921" s="13"/>
      <c r="E2921" s="13"/>
      <c r="F2921" s="4"/>
    </row>
    <row r="2922">
      <c r="A2922" s="4"/>
      <c r="B2922" s="4"/>
      <c r="C2922" s="4"/>
      <c r="D2922" s="13"/>
      <c r="E2922" s="13"/>
      <c r="F2922" s="4"/>
    </row>
    <row r="2923">
      <c r="A2923" s="4"/>
      <c r="B2923" s="4"/>
      <c r="C2923" s="4"/>
      <c r="D2923" s="13"/>
      <c r="E2923" s="13"/>
      <c r="F2923" s="4"/>
    </row>
    <row r="2924">
      <c r="A2924" s="4"/>
      <c r="B2924" s="4"/>
      <c r="C2924" s="4"/>
      <c r="D2924" s="13"/>
      <c r="E2924" s="13"/>
      <c r="F2924" s="4"/>
    </row>
    <row r="2925">
      <c r="A2925" s="4"/>
      <c r="B2925" s="4"/>
      <c r="C2925" s="4"/>
      <c r="D2925" s="13"/>
      <c r="E2925" s="13"/>
      <c r="F2925" s="4"/>
    </row>
    <row r="2926">
      <c r="A2926" s="4"/>
      <c r="B2926" s="4"/>
      <c r="C2926" s="4"/>
      <c r="D2926" s="13"/>
      <c r="E2926" s="13"/>
      <c r="F2926" s="4"/>
    </row>
    <row r="2927">
      <c r="A2927" s="4"/>
      <c r="B2927" s="4"/>
      <c r="C2927" s="4"/>
      <c r="D2927" s="13"/>
      <c r="E2927" s="13"/>
      <c r="F2927" s="4"/>
    </row>
    <row r="2928">
      <c r="A2928" s="4"/>
      <c r="B2928" s="4"/>
      <c r="C2928" s="4"/>
      <c r="D2928" s="13"/>
      <c r="E2928" s="13"/>
      <c r="F2928" s="4"/>
    </row>
    <row r="2929">
      <c r="A2929" s="4"/>
      <c r="B2929" s="4"/>
      <c r="C2929" s="4"/>
      <c r="D2929" s="13"/>
      <c r="E2929" s="13"/>
      <c r="F2929" s="4"/>
    </row>
    <row r="2930">
      <c r="A2930" s="4"/>
      <c r="B2930" s="4"/>
      <c r="C2930" s="4"/>
      <c r="D2930" s="13"/>
      <c r="E2930" s="13"/>
      <c r="F2930" s="4"/>
    </row>
    <row r="2931">
      <c r="A2931" s="4"/>
      <c r="B2931" s="4"/>
      <c r="C2931" s="4"/>
      <c r="D2931" s="13"/>
      <c r="E2931" s="13"/>
      <c r="F2931" s="4"/>
    </row>
    <row r="2932">
      <c r="A2932" s="4"/>
      <c r="B2932" s="4"/>
      <c r="C2932" s="4"/>
      <c r="D2932" s="13"/>
      <c r="E2932" s="13"/>
      <c r="F2932" s="4"/>
    </row>
    <row r="2933">
      <c r="A2933" s="4"/>
      <c r="B2933" s="4"/>
      <c r="C2933" s="4"/>
      <c r="D2933" s="13"/>
      <c r="E2933" s="13"/>
      <c r="F2933" s="4"/>
    </row>
    <row r="2934">
      <c r="A2934" s="4"/>
      <c r="B2934" s="4"/>
      <c r="C2934" s="4"/>
      <c r="D2934" s="13"/>
      <c r="E2934" s="13"/>
      <c r="F2934" s="4"/>
    </row>
    <row r="2935">
      <c r="A2935" s="4"/>
      <c r="B2935" s="4"/>
      <c r="C2935" s="4"/>
      <c r="D2935" s="13"/>
      <c r="E2935" s="13"/>
      <c r="F2935" s="4"/>
    </row>
    <row r="2936">
      <c r="A2936" s="4"/>
      <c r="B2936" s="4"/>
      <c r="C2936" s="4"/>
      <c r="D2936" s="13"/>
      <c r="E2936" s="13"/>
      <c r="F2936" s="4"/>
    </row>
    <row r="2937">
      <c r="A2937" s="4"/>
      <c r="B2937" s="4"/>
      <c r="C2937" s="4"/>
      <c r="D2937" s="13"/>
      <c r="E2937" s="13"/>
      <c r="F2937" s="4"/>
    </row>
    <row r="2938">
      <c r="A2938" s="4"/>
      <c r="B2938" s="4"/>
      <c r="C2938" s="4"/>
      <c r="D2938" s="13"/>
      <c r="E2938" s="13"/>
      <c r="F2938" s="4"/>
    </row>
    <row r="2939">
      <c r="A2939" s="4"/>
      <c r="B2939" s="4"/>
      <c r="C2939" s="4"/>
      <c r="D2939" s="13"/>
      <c r="E2939" s="13"/>
      <c r="F2939" s="4"/>
    </row>
    <row r="2940">
      <c r="A2940" s="4"/>
      <c r="B2940" s="4"/>
      <c r="C2940" s="4"/>
      <c r="D2940" s="13"/>
      <c r="E2940" s="13"/>
      <c r="F2940" s="4"/>
    </row>
    <row r="2941">
      <c r="A2941" s="4"/>
      <c r="B2941" s="4"/>
      <c r="C2941" s="4"/>
      <c r="D2941" s="13"/>
      <c r="E2941" s="13"/>
      <c r="F2941" s="4"/>
    </row>
    <row r="2942">
      <c r="A2942" s="4"/>
      <c r="B2942" s="4"/>
      <c r="C2942" s="4"/>
      <c r="D2942" s="13"/>
      <c r="E2942" s="13"/>
      <c r="F2942" s="4"/>
    </row>
    <row r="2943">
      <c r="A2943" s="4"/>
      <c r="B2943" s="4"/>
      <c r="C2943" s="4"/>
      <c r="D2943" s="13"/>
      <c r="E2943" s="13"/>
      <c r="F2943" s="4"/>
    </row>
    <row r="2944">
      <c r="A2944" s="4"/>
      <c r="B2944" s="4"/>
      <c r="C2944" s="4"/>
      <c r="D2944" s="13"/>
      <c r="E2944" s="13"/>
      <c r="F2944" s="4"/>
    </row>
    <row r="2945">
      <c r="A2945" s="4"/>
      <c r="B2945" s="4"/>
      <c r="C2945" s="4"/>
      <c r="D2945" s="13"/>
      <c r="E2945" s="13"/>
      <c r="F2945" s="4"/>
    </row>
    <row r="2946">
      <c r="A2946" s="4"/>
      <c r="B2946" s="4"/>
      <c r="C2946" s="4"/>
      <c r="D2946" s="13"/>
      <c r="E2946" s="13"/>
      <c r="F2946" s="4"/>
    </row>
    <row r="2947">
      <c r="A2947" s="4"/>
      <c r="B2947" s="4"/>
      <c r="C2947" s="4"/>
      <c r="D2947" s="13"/>
      <c r="F2947" s="4"/>
    </row>
    <row r="2948">
      <c r="A2948" s="4"/>
      <c r="B2948" s="4"/>
      <c r="C2948" s="4"/>
      <c r="D2948" s="13"/>
      <c r="F2948" s="4"/>
    </row>
    <row r="2949">
      <c r="A2949" s="4"/>
      <c r="B2949" s="4"/>
      <c r="C2949" s="4"/>
      <c r="D2949" s="13"/>
      <c r="F2949" s="4"/>
    </row>
    <row r="2950">
      <c r="A2950" s="4"/>
      <c r="B2950" s="4"/>
      <c r="C2950" s="4"/>
      <c r="D2950" s="13"/>
      <c r="F2950" s="4"/>
    </row>
    <row r="2951">
      <c r="A2951" s="4"/>
      <c r="B2951" s="4"/>
      <c r="C2951" s="4"/>
      <c r="D2951" s="13"/>
      <c r="F2951" s="4"/>
    </row>
    <row r="2952">
      <c r="A2952" s="4"/>
      <c r="B2952" s="4"/>
      <c r="C2952" s="4"/>
      <c r="D2952" s="13"/>
      <c r="F2952" s="4"/>
    </row>
    <row r="2953">
      <c r="A2953" s="4"/>
      <c r="B2953" s="4"/>
      <c r="C2953" s="4"/>
      <c r="D2953" s="13"/>
      <c r="F2953" s="4"/>
    </row>
    <row r="2954">
      <c r="A2954" s="4"/>
      <c r="B2954" s="4"/>
      <c r="C2954" s="4"/>
      <c r="D2954" s="13"/>
      <c r="F2954" s="4"/>
    </row>
    <row r="2955">
      <c r="A2955" s="4"/>
      <c r="B2955" s="4"/>
      <c r="C2955" s="4"/>
      <c r="D2955" s="13"/>
      <c r="F2955" s="4"/>
    </row>
    <row r="2956">
      <c r="A2956" s="4"/>
      <c r="B2956" s="4"/>
      <c r="C2956" s="4"/>
      <c r="D2956" s="13"/>
      <c r="F2956" s="4"/>
    </row>
    <row r="2957">
      <c r="A2957" s="4"/>
      <c r="B2957" s="4"/>
      <c r="C2957" s="4"/>
      <c r="D2957" s="13"/>
      <c r="F2957" s="4"/>
    </row>
    <row r="2958">
      <c r="A2958" s="4"/>
      <c r="B2958" s="4"/>
      <c r="C2958" s="4"/>
      <c r="D2958" s="13"/>
      <c r="E2958" s="13"/>
      <c r="F2958" s="4"/>
    </row>
    <row r="2959">
      <c r="A2959" s="4"/>
      <c r="B2959" s="4"/>
      <c r="C2959" s="4"/>
      <c r="D2959" s="13"/>
      <c r="E2959" s="13"/>
      <c r="F2959" s="4"/>
    </row>
    <row r="2960">
      <c r="A2960" s="4"/>
      <c r="B2960" s="4"/>
      <c r="C2960" s="4"/>
      <c r="D2960" s="13"/>
      <c r="E2960" s="13"/>
      <c r="F2960" s="4"/>
    </row>
    <row r="2961">
      <c r="A2961" s="4"/>
      <c r="B2961" s="4"/>
      <c r="C2961" s="4"/>
      <c r="D2961" s="13"/>
      <c r="E2961" s="13"/>
      <c r="F2961" s="4"/>
    </row>
    <row r="2962">
      <c r="A2962" s="4"/>
      <c r="B2962" s="4"/>
      <c r="C2962" s="4"/>
      <c r="D2962" s="13"/>
      <c r="E2962" s="13"/>
      <c r="F2962" s="4"/>
    </row>
    <row r="2963">
      <c r="A2963" s="4"/>
      <c r="B2963" s="4"/>
      <c r="C2963" s="4"/>
      <c r="D2963" s="13"/>
      <c r="E2963" s="13"/>
      <c r="F2963" s="4"/>
    </row>
    <row r="2964">
      <c r="A2964" s="4"/>
      <c r="B2964" s="4"/>
      <c r="C2964" s="4"/>
      <c r="D2964" s="13"/>
      <c r="E2964" s="13"/>
      <c r="F2964" s="4"/>
    </row>
    <row r="2965">
      <c r="A2965" s="4"/>
      <c r="B2965" s="4"/>
      <c r="C2965" s="4"/>
      <c r="D2965" s="13"/>
      <c r="E2965" s="13"/>
      <c r="F2965" s="4"/>
    </row>
    <row r="2966">
      <c r="A2966" s="4"/>
      <c r="B2966" s="4"/>
      <c r="C2966" s="4"/>
      <c r="D2966" s="13"/>
      <c r="E2966" s="13"/>
      <c r="F2966" s="4"/>
    </row>
    <row r="2967">
      <c r="A2967" s="4"/>
      <c r="B2967" s="4"/>
      <c r="C2967" s="4"/>
      <c r="D2967" s="13"/>
      <c r="E2967" s="13"/>
      <c r="F2967" s="4"/>
    </row>
    <row r="2968">
      <c r="A2968" s="4"/>
      <c r="B2968" s="4"/>
      <c r="C2968" s="4"/>
      <c r="D2968" s="13"/>
      <c r="E2968" s="13"/>
      <c r="F2968" s="4"/>
    </row>
    <row r="2969">
      <c r="A2969" s="4"/>
      <c r="B2969" s="4"/>
      <c r="C2969" s="4"/>
      <c r="D2969" s="13"/>
      <c r="E2969" s="13"/>
      <c r="F2969" s="4"/>
    </row>
    <row r="2970">
      <c r="A2970" s="4"/>
      <c r="B2970" s="4"/>
      <c r="C2970" s="4"/>
      <c r="D2970" s="13"/>
      <c r="E2970" s="13"/>
      <c r="F2970" s="4"/>
    </row>
    <row r="2971">
      <c r="A2971" s="4"/>
      <c r="B2971" s="4"/>
      <c r="C2971" s="4"/>
      <c r="D2971" s="13"/>
      <c r="E2971" s="13"/>
      <c r="F2971" s="4"/>
    </row>
    <row r="2972">
      <c r="A2972" s="4"/>
      <c r="B2972" s="4"/>
      <c r="C2972" s="4"/>
      <c r="D2972" s="13"/>
      <c r="E2972" s="13"/>
      <c r="F2972" s="4"/>
    </row>
    <row r="2973">
      <c r="A2973" s="4"/>
      <c r="B2973" s="4"/>
      <c r="C2973" s="4"/>
      <c r="D2973" s="13"/>
      <c r="E2973" s="13"/>
      <c r="F2973" s="4"/>
    </row>
    <row r="2974">
      <c r="A2974" s="4"/>
      <c r="B2974" s="4"/>
      <c r="C2974" s="4"/>
      <c r="D2974" s="13"/>
      <c r="E2974" s="13"/>
      <c r="F2974" s="4"/>
    </row>
    <row r="2975">
      <c r="A2975" s="4"/>
      <c r="B2975" s="4"/>
      <c r="C2975" s="4"/>
      <c r="D2975" s="13"/>
      <c r="E2975" s="13"/>
      <c r="F2975" s="4"/>
    </row>
    <row r="2976">
      <c r="A2976" s="4"/>
      <c r="B2976" s="4"/>
      <c r="C2976" s="4"/>
      <c r="D2976" s="13"/>
      <c r="E2976" s="13"/>
      <c r="F2976" s="4"/>
    </row>
    <row r="2977">
      <c r="A2977" s="4"/>
      <c r="B2977" s="4"/>
      <c r="C2977" s="4"/>
      <c r="D2977" s="13"/>
      <c r="E2977" s="13"/>
      <c r="F2977" s="4"/>
    </row>
    <row r="2978">
      <c r="A2978" s="4"/>
      <c r="B2978" s="4"/>
      <c r="C2978" s="4"/>
      <c r="D2978" s="13"/>
      <c r="E2978" s="13"/>
      <c r="F2978" s="4"/>
    </row>
    <row r="2979">
      <c r="A2979" s="4"/>
      <c r="B2979" s="4"/>
      <c r="C2979" s="4"/>
      <c r="D2979" s="13"/>
      <c r="E2979" s="13"/>
      <c r="F2979" s="4"/>
    </row>
    <row r="2980">
      <c r="A2980" s="4"/>
      <c r="B2980" s="4"/>
      <c r="C2980" s="4"/>
      <c r="D2980" s="13"/>
      <c r="E2980" s="13"/>
      <c r="F2980" s="4"/>
    </row>
    <row r="2981">
      <c r="A2981" s="4"/>
      <c r="B2981" s="4"/>
      <c r="C2981" s="4"/>
      <c r="D2981" s="13"/>
      <c r="E2981" s="13"/>
      <c r="F2981" s="4"/>
    </row>
    <row r="2982">
      <c r="A2982" s="4"/>
      <c r="B2982" s="4"/>
      <c r="C2982" s="4"/>
      <c r="D2982" s="13"/>
      <c r="E2982" s="13"/>
      <c r="F2982" s="4"/>
    </row>
    <row r="2983">
      <c r="A2983" s="4"/>
      <c r="B2983" s="4"/>
      <c r="C2983" s="4"/>
      <c r="D2983" s="13"/>
      <c r="E2983" s="13"/>
      <c r="F2983" s="4"/>
    </row>
    <row r="2984">
      <c r="A2984" s="4"/>
      <c r="B2984" s="4"/>
      <c r="C2984" s="4"/>
      <c r="D2984" s="13"/>
      <c r="E2984" s="13"/>
      <c r="F2984" s="4"/>
    </row>
    <row r="2985">
      <c r="A2985" s="4"/>
      <c r="B2985" s="4"/>
      <c r="C2985" s="4"/>
      <c r="D2985" s="13"/>
      <c r="E2985" s="13"/>
      <c r="F2985" s="4"/>
    </row>
    <row r="2986">
      <c r="A2986" s="4"/>
      <c r="B2986" s="4"/>
      <c r="C2986" s="4"/>
      <c r="D2986" s="13"/>
      <c r="E2986" s="13"/>
      <c r="F2986" s="4"/>
    </row>
    <row r="2987">
      <c r="A2987" s="4"/>
      <c r="B2987" s="4"/>
      <c r="C2987" s="4"/>
      <c r="D2987" s="13"/>
      <c r="E2987" s="13"/>
      <c r="F2987" s="4"/>
    </row>
    <row r="2988">
      <c r="A2988" s="4"/>
      <c r="B2988" s="4"/>
      <c r="C2988" s="4"/>
      <c r="D2988" s="13"/>
      <c r="E2988" s="13"/>
      <c r="F2988" s="4"/>
    </row>
    <row r="2989">
      <c r="A2989" s="4"/>
      <c r="B2989" s="4"/>
      <c r="C2989" s="4"/>
      <c r="D2989" s="13"/>
      <c r="E2989" s="13"/>
      <c r="F2989" s="4"/>
    </row>
    <row r="2990">
      <c r="A2990" s="4"/>
      <c r="B2990" s="4"/>
      <c r="C2990" s="4"/>
      <c r="D2990" s="13"/>
      <c r="E2990" s="13"/>
      <c r="F2990" s="4"/>
    </row>
    <row r="2991">
      <c r="A2991" s="4"/>
      <c r="B2991" s="4"/>
      <c r="C2991" s="4"/>
      <c r="D2991" s="13"/>
      <c r="E2991" s="13"/>
      <c r="F2991" s="4"/>
    </row>
    <row r="2992">
      <c r="A2992" s="4"/>
      <c r="B2992" s="4"/>
      <c r="C2992" s="4"/>
      <c r="D2992" s="13"/>
      <c r="E2992" s="13"/>
      <c r="F2992" s="4"/>
    </row>
    <row r="2993">
      <c r="A2993" s="4"/>
      <c r="B2993" s="4"/>
      <c r="C2993" s="4"/>
      <c r="D2993" s="13"/>
      <c r="E2993" s="13"/>
      <c r="F2993" s="4"/>
    </row>
    <row r="2994">
      <c r="A2994" s="4"/>
      <c r="B2994" s="4"/>
      <c r="C2994" s="4"/>
      <c r="D2994" s="13"/>
      <c r="E2994" s="13"/>
      <c r="F2994" s="4"/>
    </row>
    <row r="2995">
      <c r="A2995" s="4"/>
      <c r="B2995" s="4"/>
      <c r="C2995" s="4"/>
      <c r="D2995" s="13"/>
      <c r="E2995" s="13"/>
      <c r="F2995" s="4"/>
    </row>
    <row r="2996">
      <c r="A2996" s="4"/>
      <c r="B2996" s="4"/>
      <c r="C2996" s="4"/>
      <c r="D2996" s="13"/>
      <c r="E2996" s="13"/>
      <c r="F2996" s="4"/>
    </row>
    <row r="2997">
      <c r="A2997" s="4"/>
      <c r="B2997" s="4"/>
      <c r="C2997" s="4"/>
      <c r="D2997" s="13"/>
      <c r="E2997" s="13"/>
      <c r="F2997" s="4"/>
    </row>
    <row r="2998">
      <c r="A2998" s="4"/>
      <c r="B2998" s="4"/>
      <c r="C2998" s="4"/>
      <c r="D2998" s="13"/>
      <c r="E2998" s="13"/>
      <c r="F2998" s="4"/>
    </row>
    <row r="2999">
      <c r="A2999" s="4"/>
      <c r="B2999" s="4"/>
      <c r="C2999" s="4"/>
      <c r="D2999" s="13"/>
      <c r="E2999" s="13"/>
      <c r="F2999" s="4"/>
    </row>
    <row r="3000">
      <c r="A3000" s="4"/>
      <c r="B3000" s="4"/>
      <c r="C3000" s="4"/>
      <c r="D3000" s="13"/>
      <c r="E3000" s="13"/>
      <c r="F3000" s="4"/>
    </row>
    <row r="3001">
      <c r="A3001" s="4"/>
      <c r="B3001" s="4"/>
      <c r="C3001" s="4"/>
      <c r="D3001" s="13"/>
      <c r="E3001" s="13"/>
      <c r="F3001" s="4"/>
    </row>
    <row r="3002">
      <c r="A3002" s="4"/>
      <c r="B3002" s="4"/>
      <c r="C3002" s="4"/>
      <c r="D3002" s="13"/>
      <c r="E3002" s="13"/>
      <c r="F3002" s="4"/>
    </row>
    <row r="3003">
      <c r="A3003" s="4"/>
      <c r="B3003" s="4"/>
      <c r="C3003" s="4"/>
      <c r="D3003" s="13"/>
      <c r="E3003" s="13"/>
      <c r="F3003" s="4"/>
    </row>
    <row r="3004">
      <c r="A3004" s="4"/>
      <c r="B3004" s="4"/>
      <c r="C3004" s="4"/>
      <c r="D3004" s="13"/>
      <c r="E3004" s="13"/>
      <c r="F3004" s="4"/>
    </row>
    <row r="3005">
      <c r="A3005" s="4"/>
      <c r="B3005" s="4"/>
      <c r="C3005" s="4"/>
      <c r="D3005" s="13"/>
      <c r="E3005" s="13"/>
      <c r="F3005" s="4"/>
    </row>
    <row r="3006">
      <c r="A3006" s="4"/>
      <c r="B3006" s="4"/>
      <c r="C3006" s="4"/>
      <c r="D3006" s="13"/>
      <c r="E3006" s="13"/>
      <c r="F3006" s="4"/>
    </row>
    <row r="3007">
      <c r="A3007" s="4"/>
      <c r="B3007" s="4"/>
      <c r="C3007" s="4"/>
      <c r="D3007" s="13"/>
      <c r="E3007" s="13"/>
      <c r="F3007" s="4"/>
    </row>
    <row r="3008">
      <c r="A3008" s="4"/>
      <c r="B3008" s="4"/>
      <c r="C3008" s="4"/>
      <c r="D3008" s="13"/>
      <c r="E3008" s="13"/>
      <c r="F3008" s="4"/>
    </row>
    <row r="3009">
      <c r="A3009" s="4"/>
      <c r="B3009" s="4"/>
      <c r="C3009" s="4"/>
      <c r="D3009" s="13"/>
      <c r="E3009" s="13"/>
      <c r="F3009" s="4"/>
    </row>
    <row r="3010">
      <c r="A3010" s="4"/>
      <c r="B3010" s="4"/>
      <c r="C3010" s="4"/>
      <c r="D3010" s="13"/>
      <c r="E3010" s="13"/>
      <c r="F3010" s="4"/>
    </row>
    <row r="3011">
      <c r="A3011" s="4"/>
      <c r="B3011" s="4"/>
      <c r="C3011" s="4"/>
      <c r="D3011" s="13"/>
      <c r="E3011" s="13"/>
      <c r="F3011" s="4"/>
    </row>
    <row r="3012">
      <c r="A3012" s="4"/>
      <c r="B3012" s="4"/>
      <c r="C3012" s="4"/>
      <c r="D3012" s="13"/>
      <c r="E3012" s="13"/>
      <c r="F3012" s="4"/>
    </row>
    <row r="3013">
      <c r="A3013" s="4"/>
      <c r="B3013" s="4"/>
      <c r="C3013" s="4"/>
      <c r="D3013" s="13"/>
      <c r="E3013" s="13"/>
      <c r="F3013" s="4"/>
    </row>
    <row r="3014">
      <c r="A3014" s="4"/>
      <c r="B3014" s="4"/>
      <c r="C3014" s="4"/>
      <c r="D3014" s="13"/>
      <c r="E3014" s="13"/>
      <c r="F3014" s="4"/>
    </row>
    <row r="3015">
      <c r="A3015" s="4"/>
      <c r="B3015" s="4"/>
      <c r="C3015" s="4"/>
      <c r="D3015" s="13"/>
      <c r="E3015" s="13"/>
      <c r="F3015" s="4"/>
    </row>
    <row r="3016">
      <c r="A3016" s="4"/>
      <c r="B3016" s="4"/>
      <c r="C3016" s="4"/>
      <c r="D3016" s="13"/>
      <c r="E3016" s="13"/>
      <c r="F3016" s="4"/>
    </row>
    <row r="3017">
      <c r="A3017" s="4"/>
      <c r="B3017" s="4"/>
      <c r="C3017" s="4"/>
      <c r="D3017" s="13"/>
      <c r="E3017" s="13"/>
      <c r="F3017" s="4"/>
    </row>
    <row r="3018">
      <c r="A3018" s="4"/>
      <c r="B3018" s="4"/>
      <c r="C3018" s="4"/>
      <c r="D3018" s="13"/>
      <c r="E3018" s="13"/>
      <c r="F3018" s="4"/>
    </row>
    <row r="3019">
      <c r="A3019" s="4"/>
      <c r="B3019" s="4"/>
      <c r="C3019" s="4"/>
      <c r="D3019" s="13"/>
      <c r="E3019" s="13"/>
      <c r="F3019" s="4"/>
    </row>
    <row r="3020">
      <c r="A3020" s="4"/>
      <c r="B3020" s="4"/>
      <c r="C3020" s="4"/>
      <c r="D3020" s="13"/>
      <c r="E3020" s="13"/>
      <c r="F3020" s="4"/>
    </row>
    <row r="3021">
      <c r="A3021" s="4"/>
      <c r="B3021" s="4"/>
      <c r="C3021" s="4"/>
      <c r="D3021" s="13"/>
      <c r="E3021" s="13"/>
      <c r="F3021" s="4"/>
    </row>
    <row r="3022">
      <c r="A3022" s="4"/>
      <c r="B3022" s="4"/>
      <c r="C3022" s="4"/>
      <c r="D3022" s="13"/>
      <c r="E3022" s="13"/>
      <c r="F3022" s="4"/>
    </row>
    <row r="3023">
      <c r="A3023" s="4"/>
      <c r="B3023" s="4"/>
      <c r="C3023" s="4"/>
      <c r="D3023" s="13"/>
      <c r="E3023" s="13"/>
      <c r="F3023" s="4"/>
    </row>
    <row r="3024">
      <c r="A3024" s="4"/>
      <c r="B3024" s="4"/>
      <c r="C3024" s="4"/>
      <c r="D3024" s="13"/>
      <c r="E3024" s="13"/>
      <c r="F3024" s="4"/>
    </row>
    <row r="3025">
      <c r="A3025" s="4"/>
      <c r="B3025" s="4"/>
      <c r="C3025" s="4"/>
      <c r="D3025" s="13"/>
      <c r="E3025" s="13"/>
      <c r="F3025" s="4"/>
    </row>
    <row r="3026">
      <c r="A3026" s="4"/>
      <c r="B3026" s="4"/>
      <c r="C3026" s="4"/>
      <c r="D3026" s="13"/>
      <c r="E3026" s="13"/>
      <c r="F3026" s="4"/>
    </row>
    <row r="3027">
      <c r="A3027" s="4"/>
      <c r="B3027" s="4"/>
      <c r="C3027" s="4"/>
      <c r="D3027" s="13"/>
      <c r="E3027" s="13"/>
      <c r="F3027" s="4"/>
    </row>
    <row r="3028">
      <c r="A3028" s="4"/>
      <c r="B3028" s="4"/>
      <c r="C3028" s="4"/>
      <c r="D3028" s="13"/>
      <c r="E3028" s="13"/>
      <c r="F3028" s="4"/>
    </row>
    <row r="3029">
      <c r="A3029" s="4"/>
      <c r="B3029" s="4"/>
      <c r="C3029" s="4"/>
      <c r="D3029" s="13"/>
      <c r="E3029" s="13"/>
      <c r="F3029" s="4"/>
    </row>
    <row r="3030">
      <c r="A3030" s="4"/>
      <c r="B3030" s="4"/>
      <c r="C3030" s="4"/>
      <c r="D3030" s="13"/>
      <c r="E3030" s="13"/>
      <c r="F3030" s="4"/>
    </row>
    <row r="3031">
      <c r="A3031" s="4"/>
      <c r="B3031" s="4"/>
      <c r="C3031" s="4"/>
      <c r="D3031" s="13"/>
      <c r="E3031" s="13"/>
      <c r="F3031" s="4"/>
    </row>
    <row r="3032">
      <c r="A3032" s="4"/>
      <c r="B3032" s="4"/>
      <c r="C3032" s="4"/>
      <c r="D3032" s="13"/>
      <c r="E3032" s="13"/>
      <c r="F3032" s="4"/>
    </row>
    <row r="3033">
      <c r="A3033" s="4"/>
      <c r="B3033" s="4"/>
      <c r="C3033" s="4"/>
      <c r="D3033" s="13"/>
      <c r="E3033" s="13"/>
      <c r="F3033" s="4"/>
    </row>
    <row r="3034">
      <c r="A3034" s="4"/>
      <c r="B3034" s="4"/>
      <c r="C3034" s="4"/>
      <c r="D3034" s="13"/>
      <c r="E3034" s="13"/>
      <c r="F3034" s="4"/>
    </row>
    <row r="3035">
      <c r="A3035" s="4"/>
      <c r="B3035" s="4"/>
      <c r="C3035" s="4"/>
      <c r="D3035" s="13"/>
      <c r="E3035" s="13"/>
      <c r="F3035" s="4"/>
    </row>
    <row r="3036">
      <c r="A3036" s="4"/>
      <c r="B3036" s="4"/>
      <c r="C3036" s="4"/>
      <c r="D3036" s="13"/>
      <c r="E3036" s="13"/>
      <c r="F3036" s="4"/>
    </row>
    <row r="3037">
      <c r="A3037" s="4"/>
      <c r="B3037" s="4"/>
      <c r="C3037" s="4"/>
      <c r="D3037" s="13"/>
      <c r="E3037" s="13"/>
      <c r="F3037" s="4"/>
    </row>
    <row r="3038">
      <c r="A3038" s="4"/>
      <c r="B3038" s="4"/>
      <c r="C3038" s="4"/>
      <c r="D3038" s="13"/>
      <c r="E3038" s="13"/>
      <c r="F3038" s="4"/>
    </row>
    <row r="3039">
      <c r="A3039" s="4"/>
      <c r="B3039" s="4"/>
      <c r="C3039" s="4"/>
      <c r="D3039" s="13"/>
      <c r="E3039" s="13"/>
      <c r="F3039" s="4"/>
    </row>
    <row r="3040">
      <c r="A3040" s="4"/>
      <c r="B3040" s="4"/>
      <c r="C3040" s="4"/>
      <c r="D3040" s="13"/>
      <c r="E3040" s="13"/>
      <c r="F3040" s="4"/>
    </row>
    <row r="3041">
      <c r="A3041" s="4"/>
      <c r="B3041" s="4"/>
      <c r="C3041" s="4"/>
      <c r="D3041" s="13"/>
      <c r="E3041" s="13"/>
      <c r="F3041" s="4"/>
    </row>
    <row r="3042">
      <c r="A3042" s="4"/>
      <c r="B3042" s="4"/>
      <c r="C3042" s="4"/>
      <c r="D3042" s="13"/>
      <c r="E3042" s="13"/>
      <c r="F3042" s="4"/>
    </row>
    <row r="3043">
      <c r="A3043" s="4"/>
      <c r="B3043" s="4"/>
      <c r="C3043" s="4"/>
      <c r="D3043" s="13"/>
      <c r="E3043" s="13"/>
      <c r="F3043" s="4"/>
    </row>
    <row r="3044">
      <c r="A3044" s="4"/>
      <c r="B3044" s="4"/>
      <c r="C3044" s="4"/>
      <c r="D3044" s="13"/>
      <c r="E3044" s="13"/>
      <c r="F3044" s="4"/>
    </row>
    <row r="3045">
      <c r="A3045" s="4"/>
      <c r="B3045" s="4"/>
      <c r="C3045" s="4"/>
      <c r="D3045" s="13"/>
      <c r="E3045" s="13"/>
      <c r="F3045" s="4"/>
    </row>
    <row r="3046">
      <c r="A3046" s="4"/>
      <c r="B3046" s="4"/>
      <c r="C3046" s="4"/>
      <c r="D3046" s="13"/>
      <c r="E3046" s="13"/>
      <c r="F3046" s="4"/>
    </row>
    <row r="3047">
      <c r="A3047" s="4"/>
      <c r="B3047" s="4"/>
      <c r="C3047" s="4"/>
      <c r="D3047" s="13"/>
      <c r="E3047" s="13"/>
      <c r="F3047" s="4"/>
    </row>
    <row r="3048">
      <c r="A3048" s="4"/>
      <c r="B3048" s="4"/>
      <c r="C3048" s="4"/>
      <c r="D3048" s="13"/>
      <c r="E3048" s="13"/>
      <c r="F3048" s="4"/>
    </row>
    <row r="3049">
      <c r="A3049" s="4"/>
      <c r="B3049" s="4"/>
      <c r="C3049" s="4"/>
      <c r="D3049" s="13"/>
      <c r="E3049" s="13"/>
      <c r="F3049" s="4"/>
    </row>
    <row r="3050">
      <c r="A3050" s="4"/>
      <c r="B3050" s="4"/>
      <c r="C3050" s="4"/>
      <c r="D3050" s="13"/>
      <c r="E3050" s="13"/>
      <c r="F3050" s="4"/>
    </row>
    <row r="3051">
      <c r="A3051" s="4"/>
      <c r="B3051" s="4"/>
      <c r="C3051" s="4"/>
      <c r="D3051" s="13"/>
      <c r="E3051" s="13"/>
      <c r="F3051" s="4"/>
    </row>
    <row r="3052">
      <c r="A3052" s="4"/>
      <c r="B3052" s="4"/>
      <c r="C3052" s="4"/>
      <c r="D3052" s="13"/>
      <c r="E3052" s="13"/>
      <c r="F3052" s="4"/>
    </row>
    <row r="3053">
      <c r="A3053" s="4"/>
      <c r="B3053" s="4"/>
      <c r="C3053" s="4"/>
      <c r="D3053" s="13"/>
      <c r="E3053" s="13"/>
      <c r="F3053" s="4"/>
    </row>
    <row r="3054">
      <c r="A3054" s="4"/>
      <c r="B3054" s="4"/>
      <c r="C3054" s="4"/>
      <c r="D3054" s="13"/>
      <c r="E3054" s="13"/>
      <c r="F3054" s="4"/>
    </row>
    <row r="3055">
      <c r="A3055" s="4"/>
      <c r="B3055" s="4"/>
      <c r="C3055" s="4"/>
      <c r="D3055" s="13"/>
      <c r="E3055" s="13"/>
      <c r="F3055" s="4"/>
    </row>
    <row r="3056">
      <c r="A3056" s="4"/>
      <c r="B3056" s="4"/>
      <c r="C3056" s="4"/>
      <c r="D3056" s="13"/>
      <c r="E3056" s="13"/>
      <c r="F3056" s="4"/>
    </row>
    <row r="3057">
      <c r="A3057" s="4"/>
      <c r="B3057" s="4"/>
      <c r="C3057" s="4"/>
      <c r="D3057" s="13"/>
      <c r="E3057" s="13"/>
      <c r="F3057" s="4"/>
    </row>
    <row r="3058">
      <c r="A3058" s="4"/>
      <c r="B3058" s="4"/>
      <c r="C3058" s="4"/>
      <c r="D3058" s="13"/>
      <c r="E3058" s="13"/>
      <c r="F3058" s="4"/>
    </row>
    <row r="3059">
      <c r="A3059" s="4"/>
      <c r="B3059" s="4"/>
      <c r="C3059" s="4"/>
      <c r="D3059" s="13"/>
      <c r="E3059" s="13"/>
      <c r="F3059" s="4"/>
    </row>
    <row r="3060">
      <c r="A3060" s="4"/>
      <c r="B3060" s="4"/>
      <c r="C3060" s="4"/>
      <c r="D3060" s="13"/>
      <c r="E3060" s="13"/>
      <c r="F3060" s="4"/>
    </row>
    <row r="3061">
      <c r="A3061" s="4"/>
      <c r="B3061" s="4"/>
      <c r="C3061" s="4"/>
      <c r="D3061" s="13"/>
      <c r="E3061" s="13"/>
      <c r="F3061" s="4"/>
    </row>
    <row r="3062">
      <c r="A3062" s="4"/>
      <c r="B3062" s="4"/>
      <c r="C3062" s="4"/>
      <c r="D3062" s="13"/>
      <c r="E3062" s="13"/>
      <c r="F3062" s="4"/>
    </row>
    <row r="3063">
      <c r="A3063" s="4"/>
      <c r="B3063" s="4"/>
      <c r="C3063" s="4"/>
      <c r="D3063" s="13"/>
      <c r="E3063" s="13"/>
      <c r="F3063" s="4"/>
    </row>
    <row r="3064">
      <c r="A3064" s="4"/>
      <c r="B3064" s="4"/>
      <c r="C3064" s="4"/>
      <c r="D3064" s="13"/>
      <c r="F3064" s="4"/>
    </row>
    <row r="3065">
      <c r="A3065" s="4"/>
      <c r="B3065" s="4"/>
      <c r="C3065" s="4"/>
      <c r="D3065" s="13"/>
      <c r="F3065" s="4"/>
    </row>
    <row r="3066">
      <c r="A3066" s="4"/>
      <c r="B3066" s="4"/>
      <c r="C3066" s="4"/>
      <c r="D3066" s="13"/>
      <c r="F3066" s="4"/>
    </row>
    <row r="3067">
      <c r="A3067" s="4"/>
      <c r="B3067" s="4"/>
      <c r="C3067" s="4"/>
      <c r="D3067" s="13"/>
      <c r="F3067" s="4"/>
    </row>
    <row r="3068">
      <c r="A3068" s="4"/>
      <c r="B3068" s="4"/>
      <c r="C3068" s="4"/>
      <c r="D3068" s="13"/>
      <c r="F3068" s="4"/>
    </row>
    <row r="3069">
      <c r="A3069" s="4"/>
      <c r="B3069" s="4"/>
      <c r="C3069" s="4"/>
      <c r="D3069" s="13"/>
      <c r="F3069" s="4"/>
    </row>
    <row r="3070">
      <c r="A3070" s="4"/>
      <c r="B3070" s="4"/>
      <c r="C3070" s="4"/>
      <c r="D3070" s="13"/>
      <c r="F3070" s="4"/>
    </row>
    <row r="3071">
      <c r="A3071" s="4"/>
      <c r="B3071" s="4"/>
      <c r="C3071" s="4"/>
      <c r="D3071" s="13"/>
      <c r="F3071" s="4"/>
    </row>
    <row r="3072">
      <c r="A3072" s="4"/>
      <c r="B3072" s="4"/>
      <c r="C3072" s="4"/>
      <c r="D3072" s="13"/>
      <c r="F3072" s="4"/>
    </row>
    <row r="3073">
      <c r="A3073" s="4"/>
      <c r="B3073" s="4"/>
      <c r="C3073" s="4"/>
      <c r="D3073" s="13"/>
      <c r="F3073" s="4"/>
    </row>
    <row r="3074">
      <c r="A3074" s="4"/>
      <c r="B3074" s="4"/>
      <c r="C3074" s="4"/>
      <c r="D3074" s="13"/>
      <c r="F3074" s="4"/>
    </row>
    <row r="3075">
      <c r="A3075" s="4"/>
      <c r="B3075" s="4"/>
      <c r="C3075" s="4"/>
      <c r="D3075" s="13"/>
      <c r="F3075" s="4"/>
    </row>
    <row r="3076">
      <c r="A3076" s="4"/>
      <c r="B3076" s="4"/>
      <c r="C3076" s="4"/>
      <c r="D3076" s="13"/>
      <c r="F3076" s="4"/>
    </row>
    <row r="3077">
      <c r="A3077" s="4"/>
      <c r="B3077" s="4"/>
      <c r="C3077" s="4"/>
      <c r="D3077" s="13"/>
      <c r="F3077" s="4"/>
    </row>
    <row r="3078">
      <c r="A3078" s="4"/>
      <c r="B3078" s="4"/>
      <c r="C3078" s="4"/>
      <c r="D3078" s="13"/>
      <c r="F3078" s="4"/>
    </row>
    <row r="3079">
      <c r="A3079" s="4"/>
      <c r="B3079" s="4"/>
      <c r="C3079" s="4"/>
      <c r="D3079" s="13"/>
      <c r="F3079" s="4"/>
    </row>
    <row r="3080">
      <c r="A3080" s="4"/>
      <c r="B3080" s="4"/>
      <c r="C3080" s="4"/>
      <c r="D3080" s="13"/>
      <c r="F3080" s="4"/>
    </row>
    <row r="3081">
      <c r="A3081" s="4"/>
      <c r="B3081" s="4"/>
      <c r="C3081" s="4"/>
      <c r="D3081" s="13"/>
      <c r="F3081" s="4"/>
    </row>
    <row r="3082">
      <c r="A3082" s="4"/>
      <c r="B3082" s="4"/>
      <c r="C3082" s="4"/>
      <c r="D3082" s="13"/>
      <c r="F3082" s="4"/>
    </row>
    <row r="3083">
      <c r="A3083" s="4"/>
      <c r="B3083" s="4"/>
      <c r="C3083" s="4"/>
      <c r="D3083" s="13"/>
      <c r="F3083" s="4"/>
    </row>
    <row r="3084">
      <c r="A3084" s="4"/>
      <c r="B3084" s="4"/>
      <c r="C3084" s="4"/>
      <c r="D3084" s="13"/>
      <c r="F3084" s="4"/>
    </row>
    <row r="3085">
      <c r="A3085" s="4"/>
      <c r="B3085" s="4"/>
      <c r="C3085" s="4"/>
      <c r="D3085" s="13"/>
      <c r="F3085" s="4"/>
    </row>
    <row r="3086">
      <c r="A3086" s="4"/>
      <c r="B3086" s="4"/>
      <c r="C3086" s="4"/>
      <c r="D3086" s="13"/>
      <c r="F3086" s="4"/>
    </row>
    <row r="3087">
      <c r="A3087" s="4"/>
      <c r="B3087" s="4"/>
      <c r="C3087" s="4"/>
      <c r="D3087" s="13"/>
      <c r="F3087" s="4"/>
    </row>
    <row r="3088">
      <c r="A3088" s="4"/>
      <c r="B3088" s="4"/>
      <c r="C3088" s="4"/>
      <c r="D3088" s="13"/>
      <c r="F3088" s="4"/>
    </row>
    <row r="3089">
      <c r="A3089" s="4"/>
      <c r="B3089" s="4"/>
      <c r="C3089" s="4"/>
      <c r="D3089" s="13"/>
      <c r="F3089" s="4"/>
    </row>
    <row r="3090">
      <c r="A3090" s="4"/>
      <c r="B3090" s="4"/>
      <c r="C3090" s="4"/>
      <c r="D3090" s="13"/>
      <c r="F3090" s="4"/>
    </row>
    <row r="3091">
      <c r="A3091" s="4"/>
      <c r="B3091" s="4"/>
      <c r="C3091" s="4"/>
      <c r="D3091" s="13"/>
      <c r="F3091" s="4"/>
    </row>
    <row r="3092">
      <c r="A3092" s="4"/>
      <c r="B3092" s="4"/>
      <c r="C3092" s="4"/>
      <c r="D3092" s="13"/>
      <c r="F3092" s="4"/>
    </row>
    <row r="3093">
      <c r="A3093" s="4"/>
      <c r="B3093" s="4"/>
      <c r="C3093" s="4"/>
      <c r="D3093" s="13"/>
      <c r="F3093" s="4"/>
    </row>
    <row r="3094">
      <c r="A3094" s="4"/>
      <c r="B3094" s="4"/>
      <c r="C3094" s="4"/>
      <c r="D3094" s="13"/>
      <c r="F3094" s="4"/>
    </row>
    <row r="3095">
      <c r="A3095" s="4"/>
      <c r="B3095" s="4"/>
      <c r="C3095" s="4"/>
      <c r="D3095" s="13"/>
      <c r="F3095" s="4"/>
    </row>
    <row r="3096">
      <c r="A3096" s="4"/>
      <c r="B3096" s="4"/>
      <c r="C3096" s="4"/>
      <c r="D3096" s="13"/>
      <c r="F3096" s="4"/>
    </row>
    <row r="3097">
      <c r="A3097" s="4"/>
      <c r="B3097" s="4"/>
      <c r="C3097" s="4"/>
      <c r="D3097" s="13"/>
      <c r="F3097" s="4"/>
    </row>
    <row r="3098">
      <c r="A3098" s="4"/>
      <c r="B3098" s="4"/>
      <c r="C3098" s="4"/>
      <c r="D3098" s="13"/>
      <c r="F3098" s="4"/>
    </row>
    <row r="3099">
      <c r="A3099" s="4"/>
      <c r="B3099" s="4"/>
      <c r="C3099" s="4"/>
      <c r="D3099" s="13"/>
      <c r="F3099" s="4"/>
    </row>
    <row r="3100">
      <c r="A3100" s="4"/>
      <c r="B3100" s="4"/>
      <c r="C3100" s="4"/>
      <c r="D3100" s="13"/>
      <c r="F3100" s="4"/>
    </row>
    <row r="3101">
      <c r="A3101" s="4"/>
      <c r="B3101" s="4"/>
      <c r="C3101" s="4"/>
      <c r="D3101" s="13"/>
      <c r="E3101" s="13"/>
      <c r="F3101" s="4"/>
    </row>
    <row r="3102">
      <c r="A3102" s="4"/>
      <c r="B3102" s="4"/>
      <c r="C3102" s="4"/>
      <c r="D3102" s="13"/>
      <c r="E3102" s="13"/>
      <c r="F3102" s="4"/>
    </row>
    <row r="3103">
      <c r="A3103" s="4"/>
      <c r="B3103" s="4"/>
      <c r="C3103" s="4"/>
      <c r="D3103" s="13"/>
      <c r="E3103" s="13"/>
      <c r="F3103" s="4"/>
    </row>
    <row r="3104">
      <c r="A3104" s="4"/>
      <c r="B3104" s="4"/>
      <c r="C3104" s="4"/>
      <c r="D3104" s="13"/>
      <c r="E3104" s="13"/>
      <c r="F3104" s="4"/>
    </row>
    <row r="3105">
      <c r="A3105" s="4"/>
      <c r="B3105" s="4"/>
      <c r="C3105" s="4"/>
      <c r="D3105" s="13"/>
      <c r="E3105" s="13"/>
      <c r="F3105" s="4"/>
    </row>
    <row r="3106">
      <c r="A3106" s="4"/>
      <c r="B3106" s="4"/>
      <c r="C3106" s="4"/>
      <c r="D3106" s="13"/>
      <c r="E3106" s="13"/>
      <c r="F3106" s="4"/>
    </row>
    <row r="3107">
      <c r="A3107" s="4"/>
      <c r="B3107" s="4"/>
      <c r="C3107" s="4"/>
      <c r="D3107" s="13"/>
      <c r="E3107" s="13"/>
      <c r="F3107" s="4"/>
    </row>
    <row r="3108">
      <c r="A3108" s="4"/>
      <c r="B3108" s="4"/>
      <c r="C3108" s="4"/>
      <c r="D3108" s="13"/>
      <c r="E3108" s="13"/>
      <c r="F3108" s="4"/>
    </row>
    <row r="3109">
      <c r="A3109" s="4"/>
      <c r="B3109" s="4"/>
      <c r="C3109" s="4"/>
      <c r="D3109" s="13"/>
      <c r="E3109" s="13"/>
      <c r="F3109" s="4"/>
    </row>
    <row r="3110">
      <c r="A3110" s="4"/>
      <c r="B3110" s="4"/>
      <c r="C3110" s="4"/>
      <c r="D3110" s="13"/>
      <c r="E3110" s="13"/>
      <c r="F3110" s="4"/>
    </row>
    <row r="3111">
      <c r="A3111" s="4"/>
      <c r="B3111" s="4"/>
      <c r="C3111" s="4"/>
      <c r="D3111" s="13"/>
      <c r="E3111" s="13"/>
      <c r="F3111" s="4"/>
    </row>
    <row r="3112">
      <c r="A3112" s="4"/>
      <c r="B3112" s="4"/>
      <c r="C3112" s="4"/>
      <c r="D3112" s="13"/>
      <c r="E3112" s="13"/>
      <c r="F3112" s="4"/>
    </row>
    <row r="3113">
      <c r="A3113" s="4"/>
      <c r="B3113" s="4"/>
      <c r="C3113" s="4"/>
      <c r="D3113" s="13"/>
      <c r="E3113" s="13"/>
      <c r="F3113" s="4"/>
    </row>
    <row r="3114">
      <c r="A3114" s="4"/>
      <c r="B3114" s="4"/>
      <c r="C3114" s="4"/>
      <c r="D3114" s="13"/>
      <c r="E3114" s="13"/>
      <c r="F3114" s="4"/>
    </row>
    <row r="3115">
      <c r="A3115" s="4"/>
      <c r="B3115" s="4"/>
      <c r="C3115" s="4"/>
      <c r="D3115" s="13"/>
      <c r="E3115" s="13"/>
      <c r="F3115" s="4"/>
    </row>
    <row r="3116">
      <c r="A3116" s="4"/>
      <c r="B3116" s="4"/>
      <c r="C3116" s="4"/>
      <c r="D3116" s="13"/>
      <c r="E3116" s="13"/>
      <c r="F3116" s="4"/>
    </row>
    <row r="3117">
      <c r="A3117" s="4"/>
      <c r="B3117" s="4"/>
      <c r="C3117" s="4"/>
      <c r="D3117" s="13"/>
      <c r="E3117" s="13"/>
      <c r="F3117" s="4"/>
    </row>
    <row r="3118">
      <c r="A3118" s="4"/>
      <c r="B3118" s="4"/>
      <c r="C3118" s="4"/>
      <c r="D3118" s="13"/>
      <c r="E3118" s="13"/>
      <c r="F3118" s="4"/>
    </row>
    <row r="3119">
      <c r="A3119" s="4"/>
      <c r="B3119" s="4"/>
      <c r="C3119" s="4"/>
      <c r="D3119" s="13"/>
      <c r="E3119" s="13"/>
      <c r="F3119" s="4"/>
    </row>
    <row r="3120">
      <c r="A3120" s="4"/>
      <c r="B3120" s="4"/>
      <c r="C3120" s="4"/>
      <c r="D3120" s="13"/>
      <c r="E3120" s="13"/>
      <c r="F3120" s="4"/>
    </row>
    <row r="3121">
      <c r="A3121" s="4"/>
      <c r="B3121" s="4"/>
      <c r="C3121" s="4"/>
      <c r="D3121" s="13"/>
      <c r="E3121" s="13"/>
      <c r="F3121" s="4"/>
    </row>
    <row r="3122">
      <c r="A3122" s="4"/>
      <c r="B3122" s="4"/>
      <c r="C3122" s="4"/>
      <c r="D3122" s="13"/>
      <c r="E3122" s="13"/>
      <c r="F3122" s="4"/>
    </row>
    <row r="3123">
      <c r="A3123" s="4"/>
      <c r="B3123" s="4"/>
      <c r="C3123" s="4"/>
      <c r="D3123" s="13"/>
      <c r="E3123" s="13"/>
      <c r="F3123" s="4"/>
    </row>
    <row r="3124">
      <c r="A3124" s="4"/>
      <c r="B3124" s="4"/>
      <c r="C3124" s="4"/>
      <c r="D3124" s="13"/>
      <c r="E3124" s="13"/>
      <c r="F3124" s="4"/>
    </row>
    <row r="3125">
      <c r="A3125" s="4"/>
      <c r="B3125" s="4"/>
      <c r="C3125" s="4"/>
      <c r="D3125" s="13"/>
      <c r="E3125" s="13"/>
      <c r="F3125" s="4"/>
    </row>
    <row r="3126">
      <c r="A3126" s="4"/>
      <c r="B3126" s="4"/>
      <c r="C3126" s="4"/>
      <c r="D3126" s="13"/>
      <c r="E3126" s="13"/>
      <c r="F3126" s="4"/>
    </row>
    <row r="3127">
      <c r="A3127" s="4"/>
      <c r="B3127" s="4"/>
      <c r="C3127" s="4"/>
      <c r="D3127" s="13"/>
      <c r="E3127" s="13"/>
      <c r="F3127" s="4"/>
    </row>
    <row r="3128">
      <c r="A3128" s="4"/>
      <c r="B3128" s="4"/>
      <c r="C3128" s="4"/>
      <c r="D3128" s="13"/>
      <c r="E3128" s="13"/>
      <c r="F3128" s="4"/>
    </row>
    <row r="3129">
      <c r="A3129" s="4"/>
      <c r="B3129" s="4"/>
      <c r="C3129" s="4"/>
      <c r="D3129" s="13"/>
      <c r="E3129" s="13"/>
      <c r="F3129" s="4"/>
    </row>
    <row r="3130">
      <c r="A3130" s="4"/>
      <c r="B3130" s="4"/>
      <c r="C3130" s="4"/>
      <c r="D3130" s="13"/>
      <c r="E3130" s="13"/>
      <c r="F3130" s="4"/>
    </row>
    <row r="3131">
      <c r="A3131" s="4"/>
      <c r="B3131" s="4"/>
      <c r="C3131" s="4"/>
      <c r="D3131" s="13"/>
      <c r="E3131" s="13"/>
      <c r="F3131" s="4"/>
    </row>
    <row r="3132">
      <c r="A3132" s="4"/>
      <c r="B3132" s="4"/>
      <c r="C3132" s="4"/>
      <c r="D3132" s="13"/>
      <c r="E3132" s="13"/>
      <c r="F3132" s="4"/>
    </row>
    <row r="3133">
      <c r="A3133" s="4"/>
      <c r="B3133" s="4"/>
      <c r="C3133" s="4"/>
      <c r="D3133" s="13"/>
      <c r="E3133" s="13"/>
      <c r="F3133" s="4"/>
    </row>
    <row r="3134">
      <c r="A3134" s="4"/>
      <c r="B3134" s="4"/>
      <c r="C3134" s="4"/>
      <c r="D3134" s="13"/>
      <c r="E3134" s="13"/>
      <c r="F3134" s="4"/>
    </row>
    <row r="3135">
      <c r="A3135" s="4"/>
      <c r="B3135" s="4"/>
      <c r="C3135" s="4"/>
      <c r="D3135" s="13"/>
      <c r="E3135" s="13"/>
      <c r="F3135" s="4"/>
    </row>
    <row r="3136">
      <c r="A3136" s="4"/>
      <c r="B3136" s="4"/>
      <c r="C3136" s="4"/>
      <c r="D3136" s="13"/>
      <c r="E3136" s="13"/>
      <c r="F3136" s="4"/>
    </row>
    <row r="3137">
      <c r="A3137" s="4"/>
      <c r="B3137" s="4"/>
      <c r="C3137" s="4"/>
      <c r="D3137" s="13"/>
      <c r="E3137" s="13"/>
      <c r="F3137" s="4"/>
    </row>
    <row r="3138">
      <c r="A3138" s="4"/>
      <c r="B3138" s="4"/>
      <c r="C3138" s="4"/>
      <c r="D3138" s="13"/>
      <c r="E3138" s="13"/>
      <c r="F3138" s="4"/>
    </row>
    <row r="3139">
      <c r="A3139" s="4"/>
      <c r="B3139" s="4"/>
      <c r="C3139" s="4"/>
      <c r="D3139" s="13"/>
      <c r="E3139" s="13"/>
      <c r="F3139" s="4"/>
    </row>
    <row r="3140">
      <c r="A3140" s="4"/>
      <c r="B3140" s="4"/>
      <c r="C3140" s="4"/>
      <c r="D3140" s="13"/>
      <c r="E3140" s="13"/>
      <c r="F3140" s="4"/>
    </row>
    <row r="3141">
      <c r="A3141" s="4"/>
      <c r="B3141" s="4"/>
      <c r="C3141" s="4"/>
      <c r="D3141" s="13"/>
      <c r="E3141" s="13"/>
      <c r="F3141" s="4"/>
    </row>
    <row r="3142">
      <c r="A3142" s="4"/>
      <c r="B3142" s="4"/>
      <c r="C3142" s="4"/>
      <c r="D3142" s="13"/>
      <c r="E3142" s="13"/>
      <c r="F3142" s="4"/>
    </row>
    <row r="3143">
      <c r="A3143" s="4"/>
      <c r="B3143" s="4"/>
      <c r="C3143" s="4"/>
      <c r="D3143" s="13"/>
      <c r="E3143" s="13"/>
      <c r="F3143" s="4"/>
    </row>
    <row r="3144">
      <c r="A3144" s="4"/>
      <c r="B3144" s="4"/>
      <c r="C3144" s="4"/>
      <c r="D3144" s="13"/>
      <c r="E3144" s="13"/>
      <c r="F3144" s="4"/>
    </row>
    <row r="3145">
      <c r="A3145" s="4"/>
      <c r="B3145" s="4"/>
      <c r="C3145" s="4"/>
      <c r="D3145" s="13"/>
      <c r="E3145" s="13"/>
      <c r="F3145" s="4"/>
    </row>
    <row r="3146">
      <c r="A3146" s="4"/>
      <c r="B3146" s="4"/>
      <c r="C3146" s="4"/>
      <c r="D3146" s="13"/>
      <c r="E3146" s="13"/>
      <c r="F3146" s="4"/>
    </row>
    <row r="3147">
      <c r="A3147" s="4"/>
      <c r="B3147" s="4"/>
      <c r="C3147" s="4"/>
      <c r="D3147" s="13"/>
      <c r="E3147" s="13"/>
      <c r="F3147" s="4"/>
    </row>
    <row r="3148">
      <c r="A3148" s="4"/>
      <c r="B3148" s="4"/>
      <c r="C3148" s="4"/>
      <c r="D3148" s="13"/>
      <c r="E3148" s="13"/>
      <c r="F3148" s="4"/>
    </row>
    <row r="3149">
      <c r="A3149" s="4"/>
      <c r="B3149" s="4"/>
      <c r="C3149" s="4"/>
      <c r="D3149" s="13"/>
      <c r="E3149" s="13"/>
      <c r="F3149" s="4"/>
    </row>
    <row r="3150">
      <c r="A3150" s="4"/>
      <c r="B3150" s="4"/>
      <c r="C3150" s="4"/>
      <c r="D3150" s="13"/>
      <c r="E3150" s="13"/>
      <c r="F3150" s="4"/>
    </row>
    <row r="3151">
      <c r="A3151" s="4"/>
      <c r="B3151" s="4"/>
      <c r="C3151" s="4"/>
      <c r="D3151" s="13"/>
      <c r="E3151" s="13"/>
      <c r="F3151" s="4"/>
    </row>
    <row r="3152">
      <c r="A3152" s="4"/>
      <c r="B3152" s="4"/>
      <c r="C3152" s="4"/>
      <c r="D3152" s="13"/>
      <c r="E3152" s="13"/>
      <c r="F3152" s="4"/>
    </row>
    <row r="3153">
      <c r="A3153" s="4"/>
      <c r="B3153" s="4"/>
      <c r="C3153" s="4"/>
      <c r="D3153" s="13"/>
      <c r="E3153" s="13"/>
      <c r="F3153" s="4"/>
    </row>
    <row r="3154">
      <c r="A3154" s="4"/>
      <c r="B3154" s="4"/>
      <c r="C3154" s="4"/>
      <c r="D3154" s="13"/>
      <c r="E3154" s="13"/>
      <c r="F3154" s="4"/>
    </row>
    <row r="3155">
      <c r="A3155" s="4"/>
      <c r="B3155" s="4"/>
      <c r="C3155" s="4"/>
      <c r="D3155" s="13"/>
      <c r="E3155" s="13"/>
      <c r="F3155" s="4"/>
    </row>
    <row r="3156">
      <c r="A3156" s="4"/>
      <c r="B3156" s="4"/>
      <c r="C3156" s="4"/>
      <c r="D3156" s="13"/>
      <c r="E3156" s="13"/>
      <c r="F3156" s="4"/>
    </row>
    <row r="3157">
      <c r="A3157" s="4"/>
      <c r="B3157" s="4"/>
      <c r="C3157" s="4"/>
      <c r="D3157" s="13"/>
      <c r="E3157" s="13"/>
      <c r="F3157" s="4"/>
    </row>
    <row r="3158">
      <c r="A3158" s="4"/>
      <c r="B3158" s="4"/>
      <c r="C3158" s="4"/>
      <c r="D3158" s="13"/>
      <c r="E3158" s="13"/>
      <c r="F3158" s="4"/>
    </row>
    <row r="3159">
      <c r="A3159" s="4"/>
      <c r="B3159" s="4"/>
      <c r="C3159" s="4"/>
      <c r="D3159" s="13"/>
      <c r="E3159" s="13"/>
      <c r="F3159" s="4"/>
    </row>
    <row r="3160">
      <c r="A3160" s="4"/>
      <c r="B3160" s="4"/>
      <c r="C3160" s="4"/>
      <c r="D3160" s="13"/>
      <c r="E3160" s="13"/>
      <c r="F3160" s="4"/>
    </row>
    <row r="3161">
      <c r="A3161" s="4"/>
      <c r="B3161" s="4"/>
      <c r="C3161" s="4"/>
      <c r="D3161" s="13"/>
      <c r="E3161" s="13"/>
      <c r="F3161" s="4"/>
    </row>
    <row r="3162">
      <c r="A3162" s="4"/>
      <c r="B3162" s="4"/>
      <c r="C3162" s="4"/>
      <c r="D3162" s="13"/>
      <c r="E3162" s="13"/>
      <c r="F3162" s="4"/>
    </row>
    <row r="3163">
      <c r="A3163" s="4"/>
      <c r="B3163" s="4"/>
      <c r="C3163" s="4"/>
      <c r="D3163" s="13"/>
      <c r="E3163" s="13"/>
      <c r="F3163" s="4"/>
    </row>
    <row r="3164">
      <c r="A3164" s="4"/>
      <c r="B3164" s="4"/>
      <c r="C3164" s="4"/>
      <c r="D3164" s="13"/>
      <c r="E3164" s="13"/>
      <c r="F3164" s="4"/>
    </row>
    <row r="3165">
      <c r="A3165" s="4"/>
      <c r="B3165" s="4"/>
      <c r="C3165" s="4"/>
      <c r="D3165" s="13"/>
      <c r="E3165" s="13"/>
      <c r="F3165" s="4"/>
    </row>
    <row r="3166">
      <c r="A3166" s="4"/>
      <c r="B3166" s="4"/>
      <c r="C3166" s="4"/>
      <c r="D3166" s="13"/>
      <c r="E3166" s="13"/>
      <c r="F3166" s="4"/>
    </row>
    <row r="3167">
      <c r="A3167" s="4"/>
      <c r="B3167" s="4"/>
      <c r="C3167" s="4"/>
      <c r="D3167" s="13"/>
      <c r="E3167" s="13"/>
      <c r="F3167" s="4"/>
    </row>
    <row r="3168">
      <c r="A3168" s="4"/>
      <c r="B3168" s="4"/>
      <c r="C3168" s="4"/>
      <c r="D3168" s="13"/>
      <c r="E3168" s="13"/>
      <c r="F3168" s="4"/>
    </row>
    <row r="3169">
      <c r="A3169" s="4"/>
      <c r="B3169" s="4"/>
      <c r="C3169" s="4"/>
      <c r="D3169" s="13"/>
      <c r="E3169" s="13"/>
      <c r="F3169" s="4"/>
    </row>
    <row r="3170">
      <c r="A3170" s="4"/>
      <c r="B3170" s="4"/>
      <c r="C3170" s="4"/>
      <c r="D3170" s="13"/>
      <c r="E3170" s="13"/>
      <c r="F3170" s="4"/>
    </row>
    <row r="3171">
      <c r="A3171" s="4"/>
      <c r="B3171" s="4"/>
      <c r="C3171" s="4"/>
      <c r="D3171" s="13"/>
      <c r="E3171" s="13"/>
      <c r="F3171" s="4"/>
    </row>
    <row r="3172">
      <c r="A3172" s="4"/>
      <c r="B3172" s="4"/>
      <c r="C3172" s="4"/>
      <c r="D3172" s="13"/>
      <c r="E3172" s="13"/>
      <c r="F3172" s="4"/>
    </row>
    <row r="3173">
      <c r="A3173" s="4"/>
      <c r="B3173" s="4"/>
      <c r="C3173" s="4"/>
      <c r="D3173" s="13"/>
      <c r="E3173" s="13"/>
      <c r="F3173" s="4"/>
    </row>
    <row r="3174">
      <c r="A3174" s="4"/>
      <c r="B3174" s="4"/>
      <c r="C3174" s="4"/>
      <c r="D3174" s="13"/>
      <c r="E3174" s="13"/>
      <c r="F3174" s="4"/>
    </row>
    <row r="3175">
      <c r="A3175" s="4"/>
      <c r="B3175" s="4"/>
      <c r="C3175" s="4"/>
      <c r="D3175" s="13"/>
      <c r="E3175" s="13"/>
      <c r="F3175" s="4"/>
    </row>
    <row r="3176">
      <c r="A3176" s="4"/>
      <c r="B3176" s="4"/>
      <c r="C3176" s="4"/>
      <c r="D3176" s="13"/>
      <c r="E3176" s="13"/>
      <c r="F3176" s="4"/>
    </row>
    <row r="3177">
      <c r="A3177" s="4"/>
      <c r="B3177" s="4"/>
      <c r="C3177" s="4"/>
      <c r="D3177" s="13"/>
      <c r="E3177" s="13"/>
      <c r="F3177" s="4"/>
    </row>
    <row r="3178">
      <c r="A3178" s="4"/>
      <c r="B3178" s="4"/>
      <c r="C3178" s="4"/>
      <c r="D3178" s="13"/>
      <c r="E3178" s="13"/>
      <c r="F3178" s="4"/>
    </row>
    <row r="3179">
      <c r="A3179" s="4"/>
      <c r="B3179" s="4"/>
      <c r="C3179" s="4"/>
      <c r="D3179" s="13"/>
      <c r="E3179" s="13"/>
      <c r="F3179" s="4"/>
    </row>
    <row r="3180">
      <c r="A3180" s="4"/>
      <c r="B3180" s="4"/>
      <c r="C3180" s="4"/>
      <c r="D3180" s="13"/>
      <c r="E3180" s="13"/>
      <c r="F3180" s="4"/>
    </row>
    <row r="3181">
      <c r="A3181" s="4"/>
      <c r="B3181" s="4"/>
      <c r="C3181" s="4"/>
      <c r="D3181" s="13"/>
      <c r="E3181" s="13"/>
      <c r="F3181" s="4"/>
    </row>
    <row r="3182">
      <c r="A3182" s="4"/>
      <c r="B3182" s="4"/>
      <c r="C3182" s="4"/>
      <c r="D3182" s="13"/>
      <c r="E3182" s="13"/>
      <c r="F3182" s="4"/>
    </row>
    <row r="3183">
      <c r="A3183" s="4"/>
      <c r="B3183" s="4"/>
      <c r="C3183" s="4"/>
      <c r="D3183" s="13"/>
      <c r="F3183" s="4"/>
    </row>
    <row r="3184">
      <c r="A3184" s="4"/>
      <c r="B3184" s="4"/>
      <c r="C3184" s="4"/>
      <c r="D3184" s="13"/>
      <c r="F3184" s="4"/>
    </row>
    <row r="3185">
      <c r="A3185" s="4"/>
      <c r="B3185" s="4"/>
      <c r="C3185" s="4"/>
      <c r="D3185" s="13"/>
      <c r="F3185" s="4"/>
    </row>
    <row r="3186">
      <c r="A3186" s="4"/>
      <c r="B3186" s="4"/>
      <c r="C3186" s="4"/>
      <c r="D3186" s="13"/>
      <c r="F3186" s="4"/>
    </row>
    <row r="3187">
      <c r="A3187" s="4"/>
      <c r="B3187" s="4"/>
      <c r="C3187" s="4"/>
      <c r="D3187" s="13"/>
      <c r="F3187" s="4"/>
    </row>
    <row r="3188">
      <c r="A3188" s="4"/>
      <c r="B3188" s="4"/>
      <c r="C3188" s="4"/>
      <c r="D3188" s="13"/>
      <c r="F3188" s="4"/>
    </row>
    <row r="3189">
      <c r="A3189" s="4"/>
      <c r="B3189" s="4"/>
      <c r="C3189" s="4"/>
      <c r="D3189" s="13"/>
      <c r="F3189" s="4"/>
    </row>
    <row r="3190">
      <c r="A3190" s="4"/>
      <c r="B3190" s="4"/>
      <c r="C3190" s="4"/>
      <c r="D3190" s="13"/>
      <c r="F3190" s="4"/>
    </row>
    <row r="3191">
      <c r="A3191" s="4"/>
      <c r="B3191" s="4"/>
      <c r="C3191" s="4"/>
      <c r="D3191" s="13"/>
      <c r="F3191" s="4"/>
    </row>
    <row r="3192">
      <c r="A3192" s="4"/>
      <c r="B3192" s="4"/>
      <c r="C3192" s="4"/>
      <c r="D3192" s="13"/>
      <c r="F3192" s="4"/>
    </row>
    <row r="3193">
      <c r="A3193" s="4"/>
      <c r="B3193" s="4"/>
      <c r="C3193" s="4"/>
      <c r="D3193" s="13"/>
      <c r="F3193" s="4"/>
    </row>
    <row r="3194">
      <c r="A3194" s="4"/>
      <c r="B3194" s="4"/>
      <c r="C3194" s="4"/>
      <c r="D3194" s="13"/>
      <c r="F3194" s="4"/>
    </row>
    <row r="3195">
      <c r="A3195" s="4"/>
      <c r="B3195" s="4"/>
      <c r="C3195" s="4"/>
      <c r="D3195" s="13"/>
      <c r="F3195" s="4"/>
    </row>
    <row r="3196">
      <c r="A3196" s="4"/>
      <c r="B3196" s="4"/>
      <c r="C3196" s="4"/>
      <c r="D3196" s="13"/>
      <c r="F3196" s="4"/>
    </row>
    <row r="3197">
      <c r="A3197" s="4"/>
      <c r="B3197" s="4"/>
      <c r="C3197" s="4"/>
      <c r="D3197" s="13"/>
      <c r="F3197" s="4"/>
    </row>
    <row r="3198">
      <c r="A3198" s="4"/>
      <c r="B3198" s="4"/>
      <c r="C3198" s="4"/>
      <c r="D3198" s="13"/>
      <c r="F3198" s="4"/>
    </row>
    <row r="3199">
      <c r="A3199" s="4"/>
      <c r="B3199" s="4"/>
      <c r="C3199" s="4"/>
      <c r="D3199" s="13"/>
      <c r="F3199" s="4"/>
    </row>
    <row r="3200">
      <c r="A3200" s="4"/>
      <c r="B3200" s="4"/>
      <c r="C3200" s="4"/>
      <c r="D3200" s="13"/>
      <c r="F3200" s="4"/>
    </row>
    <row r="3201">
      <c r="A3201" s="4"/>
      <c r="B3201" s="4"/>
      <c r="C3201" s="4"/>
      <c r="D3201" s="13"/>
      <c r="F3201" s="4"/>
    </row>
    <row r="3202">
      <c r="A3202" s="4"/>
      <c r="B3202" s="4"/>
      <c r="C3202" s="4"/>
      <c r="D3202" s="13"/>
      <c r="F3202" s="4"/>
    </row>
    <row r="3203">
      <c r="A3203" s="4"/>
      <c r="B3203" s="4"/>
      <c r="C3203" s="4"/>
      <c r="D3203" s="13"/>
      <c r="F3203" s="4"/>
    </row>
    <row r="3204">
      <c r="A3204" s="4"/>
      <c r="B3204" s="4"/>
      <c r="C3204" s="4"/>
      <c r="D3204" s="13"/>
      <c r="F3204" s="4"/>
    </row>
    <row r="3205">
      <c r="A3205" s="4"/>
      <c r="B3205" s="4"/>
      <c r="C3205" s="4"/>
      <c r="D3205" s="13"/>
      <c r="F3205" s="4"/>
    </row>
    <row r="3206">
      <c r="A3206" s="4"/>
      <c r="B3206" s="4"/>
      <c r="C3206" s="4"/>
      <c r="D3206" s="13"/>
      <c r="F3206" s="4"/>
    </row>
    <row r="3207">
      <c r="A3207" s="4"/>
      <c r="B3207" s="4"/>
      <c r="C3207" s="4"/>
      <c r="D3207" s="13"/>
      <c r="F3207" s="4"/>
    </row>
    <row r="3208">
      <c r="A3208" s="4"/>
      <c r="B3208" s="4"/>
      <c r="C3208" s="4"/>
      <c r="D3208" s="13"/>
      <c r="F3208" s="4"/>
    </row>
    <row r="3209">
      <c r="A3209" s="4"/>
      <c r="B3209" s="4"/>
      <c r="C3209" s="4"/>
      <c r="D3209" s="13"/>
      <c r="F3209" s="4"/>
    </row>
    <row r="3210">
      <c r="A3210" s="4"/>
      <c r="B3210" s="4"/>
      <c r="C3210" s="4"/>
      <c r="D3210" s="13"/>
      <c r="F3210" s="4"/>
    </row>
    <row r="3211">
      <c r="A3211" s="4"/>
      <c r="B3211" s="4"/>
      <c r="C3211" s="4"/>
      <c r="D3211" s="13"/>
      <c r="F3211" s="4"/>
    </row>
    <row r="3212">
      <c r="A3212" s="4"/>
      <c r="B3212" s="4"/>
      <c r="C3212" s="4"/>
      <c r="D3212" s="13"/>
      <c r="F3212" s="4"/>
    </row>
    <row r="3213">
      <c r="A3213" s="4"/>
      <c r="B3213" s="4"/>
      <c r="C3213" s="4"/>
      <c r="D3213" s="13"/>
      <c r="F3213" s="4"/>
    </row>
    <row r="3214">
      <c r="A3214" s="4"/>
      <c r="B3214" s="4"/>
      <c r="C3214" s="4"/>
      <c r="D3214" s="13"/>
      <c r="F3214" s="4"/>
    </row>
    <row r="3215">
      <c r="A3215" s="4"/>
      <c r="B3215" s="4"/>
      <c r="C3215" s="4"/>
      <c r="D3215" s="13"/>
      <c r="F3215" s="4"/>
    </row>
    <row r="3216">
      <c r="A3216" s="4"/>
      <c r="B3216" s="4"/>
      <c r="C3216" s="4"/>
      <c r="D3216" s="13"/>
      <c r="F3216" s="4"/>
    </row>
    <row r="3217">
      <c r="A3217" s="4"/>
      <c r="B3217" s="4"/>
      <c r="C3217" s="4"/>
      <c r="D3217" s="13"/>
      <c r="F3217" s="4"/>
    </row>
    <row r="3218">
      <c r="A3218" s="4"/>
      <c r="B3218" s="4"/>
      <c r="C3218" s="4"/>
      <c r="D3218" s="13"/>
      <c r="F3218" s="4"/>
    </row>
    <row r="3219">
      <c r="A3219" s="4"/>
      <c r="B3219" s="4"/>
      <c r="C3219" s="4"/>
      <c r="D3219" s="13"/>
      <c r="F3219" s="4"/>
    </row>
    <row r="3220">
      <c r="A3220" s="4"/>
      <c r="B3220" s="4"/>
      <c r="C3220" s="4"/>
      <c r="D3220" s="13"/>
      <c r="F3220" s="4"/>
    </row>
    <row r="3221">
      <c r="A3221" s="4"/>
      <c r="B3221" s="4"/>
      <c r="C3221" s="4"/>
      <c r="D3221" s="13"/>
      <c r="F3221" s="4"/>
    </row>
    <row r="3222">
      <c r="A3222" s="4"/>
      <c r="B3222" s="4"/>
      <c r="C3222" s="4"/>
      <c r="D3222" s="13"/>
      <c r="F3222" s="4"/>
    </row>
    <row r="3223">
      <c r="A3223" s="4"/>
      <c r="B3223" s="4"/>
      <c r="C3223" s="4"/>
      <c r="D3223" s="13"/>
      <c r="F3223" s="4"/>
    </row>
    <row r="3224">
      <c r="A3224" s="4"/>
      <c r="B3224" s="4"/>
      <c r="C3224" s="4"/>
      <c r="D3224" s="13"/>
      <c r="F3224" s="4"/>
    </row>
    <row r="3225">
      <c r="A3225" s="4"/>
      <c r="B3225" s="4"/>
      <c r="C3225" s="4"/>
      <c r="D3225" s="13"/>
      <c r="E3225" s="13"/>
      <c r="F3225" s="4"/>
    </row>
    <row r="3226">
      <c r="A3226" s="4"/>
      <c r="B3226" s="4"/>
      <c r="C3226" s="4"/>
      <c r="D3226" s="13"/>
      <c r="E3226" s="13"/>
      <c r="F3226" s="4"/>
    </row>
    <row r="3227">
      <c r="A3227" s="4"/>
      <c r="B3227" s="4"/>
      <c r="C3227" s="4"/>
      <c r="D3227" s="13"/>
      <c r="E3227" s="13"/>
      <c r="F3227" s="4"/>
    </row>
    <row r="3228">
      <c r="A3228" s="4"/>
      <c r="B3228" s="4"/>
      <c r="C3228" s="4"/>
      <c r="D3228" s="13"/>
      <c r="E3228" s="13"/>
      <c r="F3228" s="4"/>
    </row>
    <row r="3229">
      <c r="A3229" s="4"/>
      <c r="B3229" s="4"/>
      <c r="C3229" s="4"/>
      <c r="D3229" s="13"/>
      <c r="E3229" s="13"/>
      <c r="F3229" s="4"/>
    </row>
    <row r="3230">
      <c r="A3230" s="4"/>
      <c r="B3230" s="4"/>
      <c r="C3230" s="4"/>
      <c r="D3230" s="13"/>
      <c r="E3230" s="13"/>
      <c r="F3230" s="4"/>
    </row>
    <row r="3231">
      <c r="A3231" s="4"/>
      <c r="B3231" s="4"/>
      <c r="C3231" s="4"/>
      <c r="D3231" s="13"/>
      <c r="E3231" s="13"/>
      <c r="F3231" s="4"/>
    </row>
    <row r="3232">
      <c r="A3232" s="4"/>
      <c r="B3232" s="4"/>
      <c r="C3232" s="4"/>
      <c r="D3232" s="13"/>
      <c r="E3232" s="13"/>
      <c r="F3232" s="4"/>
    </row>
    <row r="3233">
      <c r="A3233" s="4"/>
      <c r="B3233" s="4"/>
      <c r="C3233" s="4"/>
      <c r="D3233" s="13"/>
      <c r="E3233" s="13"/>
      <c r="F3233" s="4"/>
    </row>
    <row r="3234">
      <c r="A3234" s="4"/>
      <c r="B3234" s="4"/>
      <c r="C3234" s="4"/>
      <c r="D3234" s="13"/>
      <c r="E3234" s="13"/>
      <c r="F3234" s="4"/>
    </row>
    <row r="3235">
      <c r="A3235" s="4"/>
      <c r="B3235" s="4"/>
      <c r="C3235" s="4"/>
      <c r="D3235" s="13"/>
      <c r="E3235" s="13"/>
      <c r="F3235" s="4"/>
    </row>
    <row r="3236">
      <c r="A3236" s="4"/>
      <c r="B3236" s="4"/>
      <c r="C3236" s="4"/>
      <c r="D3236" s="13"/>
      <c r="E3236" s="13"/>
      <c r="F3236" s="4"/>
    </row>
    <row r="3237">
      <c r="A3237" s="4"/>
      <c r="B3237" s="4"/>
      <c r="C3237" s="4"/>
      <c r="D3237" s="13"/>
      <c r="E3237" s="13"/>
      <c r="F3237" s="4"/>
    </row>
    <row r="3238">
      <c r="A3238" s="4"/>
      <c r="B3238" s="4"/>
      <c r="C3238" s="4"/>
      <c r="D3238" s="13"/>
      <c r="E3238" s="13"/>
      <c r="F3238" s="4"/>
    </row>
    <row r="3239">
      <c r="A3239" s="4"/>
      <c r="B3239" s="4"/>
      <c r="C3239" s="4"/>
      <c r="D3239" s="13"/>
      <c r="E3239" s="13"/>
      <c r="F3239" s="4"/>
    </row>
    <row r="3240">
      <c r="A3240" s="4"/>
      <c r="B3240" s="4"/>
      <c r="C3240" s="4"/>
      <c r="D3240" s="13"/>
      <c r="E3240" s="13"/>
      <c r="F3240" s="4"/>
    </row>
    <row r="3241">
      <c r="A3241" s="4"/>
      <c r="B3241" s="4"/>
      <c r="C3241" s="4"/>
      <c r="D3241" s="13"/>
      <c r="E3241" s="13"/>
      <c r="F3241" s="4"/>
    </row>
    <row r="3242">
      <c r="A3242" s="4"/>
      <c r="B3242" s="4"/>
      <c r="C3242" s="4"/>
      <c r="D3242" s="13"/>
      <c r="E3242" s="13"/>
      <c r="F3242" s="4"/>
    </row>
    <row r="3243">
      <c r="A3243" s="4"/>
      <c r="B3243" s="4"/>
      <c r="C3243" s="4"/>
      <c r="D3243" s="13"/>
      <c r="E3243" s="13"/>
      <c r="F3243" s="4"/>
    </row>
    <row r="3244">
      <c r="A3244" s="4"/>
      <c r="B3244" s="4"/>
      <c r="C3244" s="4"/>
      <c r="D3244" s="13"/>
      <c r="E3244" s="13"/>
      <c r="F3244" s="4"/>
    </row>
    <row r="3245">
      <c r="A3245" s="4"/>
      <c r="B3245" s="4"/>
      <c r="C3245" s="4"/>
      <c r="D3245" s="13"/>
      <c r="E3245" s="13"/>
      <c r="F3245" s="4"/>
    </row>
    <row r="3246">
      <c r="A3246" s="4"/>
      <c r="B3246" s="4"/>
      <c r="C3246" s="4"/>
      <c r="D3246" s="13"/>
      <c r="E3246" s="13"/>
      <c r="F3246" s="4"/>
    </row>
    <row r="3247">
      <c r="A3247" s="4"/>
      <c r="B3247" s="4"/>
      <c r="C3247" s="4"/>
      <c r="D3247" s="13"/>
      <c r="E3247" s="13"/>
      <c r="F3247" s="4"/>
    </row>
    <row r="3248">
      <c r="A3248" s="4"/>
      <c r="B3248" s="4"/>
      <c r="C3248" s="4"/>
      <c r="D3248" s="13"/>
      <c r="E3248" s="13"/>
      <c r="F3248" s="4"/>
    </row>
    <row r="3249">
      <c r="A3249" s="4"/>
      <c r="B3249" s="4"/>
      <c r="C3249" s="4"/>
      <c r="D3249" s="13"/>
      <c r="E3249" s="13"/>
      <c r="F3249" s="4"/>
    </row>
    <row r="3250">
      <c r="A3250" s="4"/>
      <c r="B3250" s="4"/>
      <c r="C3250" s="4"/>
      <c r="D3250" s="13"/>
      <c r="E3250" s="13"/>
      <c r="F3250" s="4"/>
    </row>
    <row r="3251">
      <c r="A3251" s="4"/>
      <c r="B3251" s="4"/>
      <c r="C3251" s="4"/>
      <c r="D3251" s="13"/>
      <c r="E3251" s="13"/>
      <c r="F3251" s="4"/>
    </row>
    <row r="3252">
      <c r="A3252" s="4"/>
      <c r="B3252" s="4"/>
      <c r="C3252" s="4"/>
      <c r="D3252" s="13"/>
      <c r="E3252" s="13"/>
      <c r="F3252" s="4"/>
    </row>
    <row r="3253">
      <c r="A3253" s="4"/>
      <c r="B3253" s="4"/>
      <c r="C3253" s="4"/>
      <c r="D3253" s="13"/>
      <c r="E3253" s="13"/>
      <c r="F3253" s="4"/>
    </row>
    <row r="3254">
      <c r="A3254" s="4"/>
      <c r="B3254" s="4"/>
      <c r="C3254" s="4"/>
      <c r="D3254" s="13"/>
      <c r="E3254" s="13"/>
      <c r="F3254" s="4"/>
    </row>
    <row r="3255">
      <c r="A3255" s="4"/>
      <c r="B3255" s="4"/>
      <c r="C3255" s="4"/>
      <c r="D3255" s="13"/>
      <c r="E3255" s="13"/>
      <c r="F3255" s="4"/>
    </row>
    <row r="3256">
      <c r="A3256" s="4"/>
      <c r="B3256" s="4"/>
      <c r="C3256" s="4"/>
      <c r="D3256" s="13"/>
      <c r="E3256" s="13"/>
      <c r="F3256" s="4"/>
    </row>
    <row r="3257">
      <c r="A3257" s="4"/>
      <c r="B3257" s="4"/>
      <c r="C3257" s="4"/>
      <c r="D3257" s="13"/>
      <c r="E3257" s="13"/>
      <c r="F3257" s="4"/>
    </row>
    <row r="3258">
      <c r="A3258" s="4"/>
      <c r="B3258" s="4"/>
      <c r="C3258" s="4"/>
      <c r="D3258" s="13"/>
      <c r="E3258" s="13"/>
      <c r="F3258" s="4"/>
    </row>
    <row r="3259">
      <c r="A3259" s="4"/>
      <c r="B3259" s="4"/>
      <c r="C3259" s="4"/>
      <c r="D3259" s="13"/>
      <c r="E3259" s="13"/>
      <c r="F3259" s="4"/>
    </row>
    <row r="3260">
      <c r="A3260" s="4"/>
      <c r="B3260" s="4"/>
      <c r="C3260" s="4"/>
      <c r="D3260" s="13"/>
      <c r="E3260" s="13"/>
      <c r="F3260" s="4"/>
    </row>
    <row r="3261">
      <c r="A3261" s="4"/>
      <c r="B3261" s="4"/>
      <c r="C3261" s="4"/>
      <c r="D3261" s="13"/>
      <c r="E3261" s="13"/>
      <c r="F3261" s="4"/>
    </row>
    <row r="3262">
      <c r="A3262" s="4"/>
      <c r="B3262" s="4"/>
      <c r="C3262" s="4"/>
      <c r="D3262" s="13"/>
      <c r="E3262" s="13"/>
      <c r="F3262" s="4"/>
    </row>
    <row r="3263">
      <c r="A3263" s="4"/>
      <c r="B3263" s="4"/>
      <c r="C3263" s="4"/>
      <c r="D3263" s="13"/>
      <c r="E3263" s="13"/>
      <c r="F3263" s="4"/>
    </row>
    <row r="3264">
      <c r="A3264" s="4"/>
      <c r="B3264" s="4"/>
      <c r="C3264" s="4"/>
      <c r="D3264" s="13"/>
      <c r="E3264" s="13"/>
      <c r="F3264" s="4"/>
    </row>
    <row r="3265">
      <c r="A3265" s="4"/>
      <c r="B3265" s="4"/>
      <c r="C3265" s="4"/>
      <c r="D3265" s="13"/>
      <c r="E3265" s="13"/>
      <c r="F3265" s="4"/>
    </row>
    <row r="3266">
      <c r="A3266" s="4"/>
      <c r="B3266" s="4"/>
      <c r="C3266" s="4"/>
      <c r="D3266" s="13"/>
      <c r="E3266" s="13"/>
      <c r="F3266" s="4"/>
    </row>
    <row r="3267">
      <c r="A3267" s="4"/>
      <c r="B3267" s="4"/>
      <c r="C3267" s="4"/>
      <c r="D3267" s="13"/>
      <c r="E3267" s="13"/>
      <c r="F3267" s="4"/>
    </row>
    <row r="3268">
      <c r="A3268" s="4"/>
      <c r="B3268" s="4"/>
      <c r="C3268" s="4"/>
      <c r="D3268" s="13"/>
      <c r="E3268" s="13"/>
      <c r="F3268" s="4"/>
    </row>
    <row r="3269">
      <c r="A3269" s="4"/>
      <c r="B3269" s="4"/>
      <c r="C3269" s="4"/>
      <c r="D3269" s="13"/>
      <c r="E3269" s="13"/>
      <c r="F3269" s="4"/>
    </row>
    <row r="3270">
      <c r="A3270" s="4"/>
      <c r="B3270" s="4"/>
      <c r="C3270" s="4"/>
      <c r="D3270" s="13"/>
      <c r="E3270" s="13"/>
      <c r="F3270" s="4"/>
    </row>
    <row r="3271">
      <c r="A3271" s="4"/>
      <c r="B3271" s="4"/>
      <c r="C3271" s="4"/>
      <c r="D3271" s="13"/>
      <c r="E3271" s="13"/>
      <c r="F3271" s="4"/>
    </row>
    <row r="3272">
      <c r="A3272" s="4"/>
      <c r="B3272" s="4"/>
      <c r="C3272" s="4"/>
      <c r="D3272" s="13"/>
      <c r="E3272" s="13"/>
      <c r="F3272" s="4"/>
    </row>
    <row r="3273">
      <c r="A3273" s="4"/>
      <c r="B3273" s="4"/>
      <c r="C3273" s="4"/>
      <c r="D3273" s="13"/>
      <c r="E3273" s="13"/>
      <c r="F3273" s="4"/>
    </row>
    <row r="3274">
      <c r="A3274" s="4"/>
      <c r="B3274" s="4"/>
      <c r="C3274" s="4"/>
      <c r="D3274" s="13"/>
      <c r="F3274" s="4"/>
    </row>
    <row r="3275">
      <c r="A3275" s="4"/>
      <c r="B3275" s="4"/>
      <c r="C3275" s="4"/>
      <c r="D3275" s="13"/>
      <c r="F3275" s="4"/>
    </row>
    <row r="3276">
      <c r="A3276" s="4"/>
      <c r="B3276" s="4"/>
      <c r="C3276" s="4"/>
      <c r="D3276" s="13"/>
      <c r="F3276" s="4"/>
    </row>
    <row r="3277">
      <c r="A3277" s="4"/>
      <c r="B3277" s="4"/>
      <c r="C3277" s="4"/>
      <c r="D3277" s="13"/>
      <c r="F3277" s="4"/>
    </row>
    <row r="3278">
      <c r="A3278" s="4"/>
      <c r="B3278" s="4"/>
      <c r="C3278" s="4"/>
      <c r="D3278" s="13"/>
      <c r="F3278" s="4"/>
    </row>
    <row r="3279">
      <c r="A3279" s="4"/>
      <c r="B3279" s="4"/>
      <c r="C3279" s="4"/>
      <c r="D3279" s="13"/>
      <c r="F3279" s="4"/>
    </row>
    <row r="3280">
      <c r="A3280" s="4"/>
      <c r="B3280" s="4"/>
      <c r="C3280" s="4"/>
      <c r="D3280" s="13"/>
      <c r="F3280" s="4"/>
    </row>
    <row r="3281">
      <c r="A3281" s="4"/>
      <c r="B3281" s="4"/>
      <c r="C3281" s="4"/>
      <c r="D3281" s="13"/>
      <c r="F3281" s="4"/>
    </row>
    <row r="3282">
      <c r="A3282" s="4"/>
      <c r="B3282" s="4"/>
      <c r="C3282" s="4"/>
      <c r="D3282" s="13"/>
      <c r="F3282" s="4"/>
    </row>
    <row r="3283">
      <c r="A3283" s="4"/>
      <c r="B3283" s="4"/>
      <c r="C3283" s="4"/>
      <c r="D3283" s="13"/>
      <c r="F3283" s="4"/>
    </row>
    <row r="3284">
      <c r="A3284" s="4"/>
      <c r="B3284" s="4"/>
      <c r="C3284" s="4"/>
      <c r="D3284" s="13"/>
      <c r="F3284" s="4"/>
    </row>
    <row r="3285">
      <c r="A3285" s="4"/>
      <c r="B3285" s="4"/>
      <c r="C3285" s="4"/>
      <c r="D3285" s="13"/>
      <c r="F3285" s="4"/>
    </row>
    <row r="3286">
      <c r="A3286" s="4"/>
      <c r="B3286" s="4"/>
      <c r="C3286" s="4"/>
      <c r="D3286" s="13"/>
      <c r="F3286" s="4"/>
    </row>
    <row r="3287">
      <c r="A3287" s="4"/>
      <c r="B3287" s="4"/>
      <c r="C3287" s="4"/>
      <c r="D3287" s="13"/>
      <c r="E3287" s="13"/>
      <c r="F3287" s="4"/>
    </row>
    <row r="3288">
      <c r="A3288" s="4"/>
      <c r="B3288" s="4"/>
      <c r="C3288" s="4"/>
      <c r="D3288" s="13"/>
      <c r="E3288" s="13"/>
      <c r="F3288" s="4"/>
    </row>
    <row r="3289">
      <c r="A3289" s="4"/>
      <c r="B3289" s="4"/>
      <c r="C3289" s="4"/>
      <c r="D3289" s="13"/>
      <c r="E3289" s="13"/>
      <c r="F3289" s="4"/>
    </row>
    <row r="3290">
      <c r="A3290" s="4"/>
      <c r="B3290" s="4"/>
      <c r="C3290" s="4"/>
      <c r="D3290" s="13"/>
      <c r="E3290" s="13"/>
      <c r="F3290" s="4"/>
    </row>
    <row r="3291">
      <c r="A3291" s="4"/>
      <c r="B3291" s="4"/>
      <c r="C3291" s="4"/>
      <c r="D3291" s="13"/>
      <c r="E3291" s="13"/>
      <c r="F3291" s="4"/>
    </row>
    <row r="3292">
      <c r="A3292" s="4"/>
      <c r="B3292" s="4"/>
      <c r="C3292" s="4"/>
      <c r="D3292" s="13"/>
      <c r="E3292" s="13"/>
      <c r="F3292" s="4"/>
    </row>
    <row r="3293">
      <c r="A3293" s="4"/>
      <c r="B3293" s="4"/>
      <c r="C3293" s="4"/>
      <c r="D3293" s="13"/>
      <c r="E3293" s="13"/>
      <c r="F3293" s="4"/>
    </row>
    <row r="3294">
      <c r="A3294" s="4"/>
      <c r="B3294" s="4"/>
      <c r="C3294" s="4"/>
      <c r="D3294" s="13"/>
      <c r="E3294" s="13"/>
      <c r="F3294" s="4"/>
    </row>
    <row r="3295">
      <c r="A3295" s="4"/>
      <c r="B3295" s="4"/>
      <c r="C3295" s="4"/>
      <c r="D3295" s="13"/>
      <c r="E3295" s="13"/>
      <c r="F3295" s="4"/>
    </row>
    <row r="3296">
      <c r="A3296" s="4"/>
      <c r="B3296" s="4"/>
      <c r="C3296" s="4"/>
      <c r="D3296" s="13"/>
      <c r="E3296" s="13"/>
      <c r="F3296" s="4"/>
    </row>
    <row r="3297">
      <c r="A3297" s="4"/>
      <c r="B3297" s="4"/>
      <c r="C3297" s="4"/>
      <c r="D3297" s="13"/>
      <c r="E3297" s="13"/>
      <c r="F3297" s="4"/>
    </row>
    <row r="3298">
      <c r="A3298" s="4"/>
      <c r="B3298" s="4"/>
      <c r="C3298" s="4"/>
      <c r="D3298" s="13"/>
      <c r="E3298" s="13"/>
      <c r="F3298" s="4"/>
    </row>
    <row r="3299">
      <c r="A3299" s="4"/>
      <c r="B3299" s="4"/>
      <c r="C3299" s="4"/>
      <c r="D3299" s="13"/>
      <c r="E3299" s="13"/>
      <c r="F3299" s="4"/>
    </row>
    <row r="3300">
      <c r="A3300" s="4"/>
      <c r="B3300" s="4"/>
      <c r="C3300" s="4"/>
      <c r="D3300" s="13"/>
      <c r="E3300" s="13"/>
      <c r="F3300" s="4"/>
    </row>
    <row r="3301">
      <c r="A3301" s="4"/>
      <c r="B3301" s="4"/>
      <c r="C3301" s="4"/>
      <c r="D3301" s="13"/>
      <c r="E3301" s="13"/>
      <c r="F3301" s="4"/>
    </row>
    <row r="3302">
      <c r="A3302" s="4"/>
      <c r="B3302" s="4"/>
      <c r="C3302" s="4"/>
      <c r="D3302" s="13"/>
      <c r="E3302" s="13"/>
      <c r="F3302" s="4"/>
    </row>
    <row r="3303">
      <c r="A3303" s="4"/>
      <c r="B3303" s="4"/>
      <c r="C3303" s="4"/>
      <c r="D3303" s="13"/>
      <c r="E3303" s="13"/>
      <c r="F3303" s="4"/>
    </row>
    <row r="3304">
      <c r="A3304" s="4"/>
      <c r="B3304" s="4"/>
      <c r="C3304" s="4"/>
      <c r="D3304" s="13"/>
      <c r="E3304" s="13"/>
      <c r="F3304" s="4"/>
    </row>
    <row r="3305">
      <c r="A3305" s="4"/>
      <c r="B3305" s="4"/>
      <c r="C3305" s="4"/>
      <c r="D3305" s="13"/>
      <c r="E3305" s="13"/>
      <c r="F3305" s="4"/>
    </row>
    <row r="3306">
      <c r="A3306" s="4"/>
      <c r="B3306" s="4"/>
      <c r="C3306" s="4"/>
      <c r="D3306" s="13"/>
      <c r="E3306" s="13"/>
      <c r="F3306" s="4"/>
    </row>
    <row r="3307">
      <c r="A3307" s="4"/>
      <c r="B3307" s="4"/>
      <c r="C3307" s="4"/>
      <c r="D3307" s="13"/>
      <c r="E3307" s="13"/>
      <c r="F3307" s="4"/>
    </row>
    <row r="3308">
      <c r="A3308" s="4"/>
      <c r="B3308" s="4"/>
      <c r="C3308" s="4"/>
      <c r="D3308" s="13"/>
      <c r="E3308" s="13"/>
      <c r="F3308" s="4"/>
    </row>
    <row r="3309">
      <c r="A3309" s="4"/>
      <c r="B3309" s="4"/>
      <c r="C3309" s="4"/>
      <c r="D3309" s="13"/>
      <c r="E3309" s="13"/>
      <c r="F3309" s="4"/>
    </row>
    <row r="3310">
      <c r="A3310" s="4"/>
      <c r="B3310" s="4"/>
      <c r="C3310" s="4"/>
      <c r="D3310" s="13"/>
      <c r="E3310" s="13"/>
      <c r="F3310" s="4"/>
    </row>
    <row r="3311">
      <c r="A3311" s="4"/>
      <c r="B3311" s="4"/>
      <c r="C3311" s="4"/>
      <c r="D3311" s="13"/>
      <c r="E3311" s="13"/>
      <c r="F3311" s="4"/>
    </row>
    <row r="3312">
      <c r="A3312" s="4"/>
      <c r="B3312" s="4"/>
      <c r="C3312" s="4"/>
      <c r="D3312" s="13"/>
      <c r="E3312" s="13"/>
      <c r="F3312" s="4"/>
    </row>
    <row r="3313">
      <c r="A3313" s="4"/>
      <c r="B3313" s="4"/>
      <c r="C3313" s="4"/>
      <c r="D3313" s="13"/>
      <c r="E3313" s="13"/>
      <c r="F3313" s="4"/>
    </row>
    <row r="3314">
      <c r="A3314" s="4"/>
      <c r="B3314" s="4"/>
      <c r="C3314" s="4"/>
      <c r="D3314" s="13"/>
      <c r="E3314" s="13"/>
      <c r="F3314" s="4"/>
    </row>
    <row r="3315">
      <c r="A3315" s="4"/>
      <c r="B3315" s="4"/>
      <c r="C3315" s="4"/>
      <c r="D3315" s="13"/>
      <c r="E3315" s="13"/>
      <c r="F3315" s="4"/>
    </row>
    <row r="3316">
      <c r="A3316" s="4"/>
      <c r="B3316" s="4"/>
      <c r="C3316" s="4"/>
      <c r="D3316" s="13"/>
      <c r="E3316" s="13"/>
      <c r="F3316" s="4"/>
    </row>
    <row r="3317">
      <c r="A3317" s="4"/>
      <c r="B3317" s="4"/>
      <c r="C3317" s="4"/>
      <c r="D3317" s="13"/>
      <c r="E3317" s="13"/>
      <c r="F3317" s="4"/>
    </row>
    <row r="3318">
      <c r="A3318" s="4"/>
      <c r="B3318" s="4"/>
      <c r="C3318" s="4"/>
      <c r="D3318" s="13"/>
      <c r="E3318" s="13"/>
      <c r="F3318" s="4"/>
    </row>
    <row r="3319">
      <c r="A3319" s="4"/>
      <c r="B3319" s="4"/>
      <c r="C3319" s="4"/>
      <c r="D3319" s="13"/>
      <c r="E3319" s="13"/>
      <c r="F3319" s="4"/>
    </row>
    <row r="3320">
      <c r="A3320" s="4"/>
      <c r="B3320" s="4"/>
      <c r="C3320" s="4"/>
      <c r="D3320" s="13"/>
      <c r="E3320" s="13"/>
      <c r="F3320" s="4"/>
    </row>
    <row r="3321">
      <c r="A3321" s="4"/>
      <c r="B3321" s="4"/>
      <c r="C3321" s="4"/>
      <c r="D3321" s="13"/>
      <c r="E3321" s="13"/>
      <c r="F3321" s="4"/>
    </row>
    <row r="3322">
      <c r="A3322" s="4"/>
      <c r="B3322" s="4"/>
      <c r="C3322" s="4"/>
      <c r="D3322" s="13"/>
      <c r="E3322" s="13"/>
      <c r="F3322" s="4"/>
    </row>
    <row r="3323">
      <c r="A3323" s="4"/>
      <c r="B3323" s="4"/>
      <c r="C3323" s="4"/>
      <c r="D3323" s="13"/>
      <c r="E3323" s="13"/>
      <c r="F3323" s="4"/>
    </row>
    <row r="3324">
      <c r="A3324" s="4"/>
      <c r="B3324" s="4"/>
      <c r="C3324" s="4"/>
      <c r="D3324" s="13"/>
      <c r="E3324" s="13"/>
      <c r="F3324" s="4"/>
    </row>
    <row r="3325">
      <c r="A3325" s="4"/>
      <c r="B3325" s="4"/>
      <c r="C3325" s="4"/>
      <c r="D3325" s="13"/>
      <c r="E3325" s="13"/>
      <c r="F3325" s="4"/>
    </row>
    <row r="3326">
      <c r="A3326" s="4"/>
      <c r="B3326" s="4"/>
      <c r="C3326" s="4"/>
      <c r="D3326" s="13"/>
      <c r="E3326" s="13"/>
      <c r="F3326" s="4"/>
    </row>
    <row r="3327">
      <c r="A3327" s="4"/>
      <c r="B3327" s="4"/>
      <c r="C3327" s="4"/>
      <c r="D3327" s="13"/>
      <c r="E3327" s="13"/>
      <c r="F3327" s="4"/>
    </row>
    <row r="3328">
      <c r="A3328" s="4"/>
      <c r="B3328" s="4"/>
      <c r="C3328" s="4"/>
      <c r="D3328" s="13"/>
      <c r="E3328" s="13"/>
      <c r="F3328" s="4"/>
    </row>
    <row r="3329">
      <c r="A3329" s="4"/>
      <c r="B3329" s="4"/>
      <c r="C3329" s="4"/>
      <c r="D3329" s="13"/>
      <c r="E3329" s="13"/>
      <c r="F3329" s="4"/>
    </row>
    <row r="3330">
      <c r="A3330" s="4"/>
      <c r="B3330" s="4"/>
      <c r="C3330" s="4"/>
      <c r="D3330" s="13"/>
      <c r="E3330" s="13"/>
      <c r="F3330" s="4"/>
    </row>
    <row r="3331">
      <c r="A3331" s="4"/>
      <c r="B3331" s="4"/>
      <c r="C3331" s="4"/>
      <c r="D3331" s="13"/>
      <c r="E3331" s="13"/>
      <c r="F3331" s="4"/>
    </row>
    <row r="3332">
      <c r="A3332" s="4"/>
      <c r="B3332" s="4"/>
      <c r="C3332" s="4"/>
      <c r="D3332" s="13"/>
      <c r="E3332" s="13"/>
      <c r="F3332" s="4"/>
    </row>
    <row r="3333">
      <c r="A3333" s="4"/>
      <c r="B3333" s="4"/>
      <c r="C3333" s="4"/>
      <c r="D3333" s="13"/>
      <c r="E3333" s="13"/>
      <c r="F3333" s="4"/>
    </row>
    <row r="3334">
      <c r="A3334" s="4"/>
      <c r="B3334" s="4"/>
      <c r="C3334" s="4"/>
      <c r="D3334" s="13"/>
      <c r="E3334" s="13"/>
      <c r="F3334" s="4"/>
    </row>
    <row r="3335">
      <c r="A3335" s="4"/>
      <c r="B3335" s="4"/>
      <c r="C3335" s="4"/>
      <c r="D3335" s="13"/>
      <c r="E3335" s="13"/>
      <c r="F3335" s="4"/>
    </row>
    <row r="3336">
      <c r="A3336" s="4"/>
      <c r="B3336" s="4"/>
      <c r="C3336" s="4"/>
      <c r="D3336" s="13"/>
      <c r="E3336" s="13"/>
      <c r="F3336" s="4"/>
    </row>
    <row r="3337">
      <c r="A3337" s="4"/>
      <c r="B3337" s="4"/>
      <c r="C3337" s="4"/>
      <c r="D3337" s="13"/>
      <c r="E3337" s="13"/>
      <c r="F3337" s="4"/>
    </row>
    <row r="3338">
      <c r="A3338" s="4"/>
      <c r="B3338" s="4"/>
      <c r="C3338" s="4"/>
      <c r="D3338" s="13"/>
      <c r="E3338" s="13"/>
      <c r="F3338" s="4"/>
    </row>
    <row r="3339">
      <c r="A3339" s="4"/>
      <c r="B3339" s="4"/>
      <c r="C3339" s="4"/>
      <c r="D3339" s="13"/>
      <c r="E3339" s="13"/>
      <c r="F3339" s="4"/>
    </row>
    <row r="3340">
      <c r="A3340" s="4"/>
      <c r="B3340" s="4"/>
      <c r="C3340" s="4"/>
      <c r="D3340" s="13"/>
      <c r="E3340" s="13"/>
      <c r="F3340" s="4"/>
    </row>
    <row r="3341">
      <c r="A3341" s="4"/>
      <c r="B3341" s="4"/>
      <c r="C3341" s="4"/>
      <c r="D3341" s="13"/>
      <c r="E3341" s="13"/>
      <c r="F3341" s="4"/>
    </row>
    <row r="3342">
      <c r="A3342" s="4"/>
      <c r="B3342" s="4"/>
      <c r="C3342" s="4"/>
      <c r="D3342" s="13"/>
      <c r="E3342" s="13"/>
      <c r="F3342" s="4"/>
    </row>
    <row r="3343">
      <c r="A3343" s="4"/>
      <c r="B3343" s="4"/>
      <c r="C3343" s="4"/>
      <c r="D3343" s="13"/>
      <c r="E3343" s="13"/>
      <c r="F3343" s="4"/>
    </row>
    <row r="3344">
      <c r="A3344" s="4"/>
      <c r="B3344" s="4"/>
      <c r="C3344" s="4"/>
      <c r="D3344" s="13"/>
      <c r="E3344" s="13"/>
      <c r="F3344" s="4"/>
    </row>
    <row r="3345">
      <c r="A3345" s="4"/>
      <c r="B3345" s="4"/>
      <c r="C3345" s="4"/>
      <c r="D3345" s="13"/>
      <c r="E3345" s="13"/>
      <c r="F3345" s="4"/>
    </row>
    <row r="3346">
      <c r="A3346" s="4"/>
      <c r="B3346" s="4"/>
      <c r="C3346" s="4"/>
      <c r="D3346" s="13"/>
      <c r="E3346" s="13"/>
      <c r="F3346" s="4"/>
    </row>
    <row r="3347">
      <c r="A3347" s="4"/>
      <c r="B3347" s="4"/>
      <c r="C3347" s="4"/>
      <c r="D3347" s="13"/>
      <c r="E3347" s="13"/>
      <c r="F3347" s="4"/>
    </row>
    <row r="3348">
      <c r="A3348" s="4"/>
      <c r="B3348" s="4"/>
      <c r="C3348" s="4"/>
      <c r="D3348" s="13"/>
      <c r="E3348" s="13"/>
      <c r="F3348" s="4"/>
    </row>
    <row r="3349">
      <c r="A3349" s="4"/>
      <c r="B3349" s="4"/>
      <c r="C3349" s="4"/>
      <c r="D3349" s="13"/>
      <c r="E3349" s="13"/>
      <c r="F3349" s="4"/>
    </row>
    <row r="3350">
      <c r="A3350" s="4"/>
      <c r="B3350" s="4"/>
      <c r="C3350" s="4"/>
      <c r="D3350" s="13"/>
      <c r="E3350" s="13"/>
      <c r="F3350" s="4"/>
    </row>
    <row r="3351">
      <c r="A3351" s="4"/>
      <c r="B3351" s="4"/>
      <c r="C3351" s="4"/>
      <c r="D3351" s="13"/>
      <c r="E3351" s="13"/>
      <c r="F3351" s="4"/>
    </row>
    <row r="3352">
      <c r="A3352" s="4"/>
      <c r="B3352" s="4"/>
      <c r="C3352" s="4"/>
      <c r="D3352" s="13"/>
      <c r="E3352" s="13"/>
      <c r="F3352" s="4"/>
    </row>
    <row r="3353">
      <c r="A3353" s="4"/>
      <c r="B3353" s="4"/>
      <c r="C3353" s="4"/>
      <c r="D3353" s="13"/>
      <c r="E3353" s="13"/>
      <c r="F3353" s="4"/>
    </row>
    <row r="3354">
      <c r="A3354" s="4"/>
      <c r="B3354" s="4"/>
      <c r="C3354" s="4"/>
      <c r="D3354" s="13"/>
      <c r="E3354" s="13"/>
      <c r="F3354" s="4"/>
    </row>
    <row r="3355">
      <c r="A3355" s="4"/>
      <c r="B3355" s="4"/>
      <c r="C3355" s="4"/>
      <c r="D3355" s="13"/>
      <c r="E3355" s="13"/>
      <c r="F3355" s="4"/>
    </row>
    <row r="3356">
      <c r="A3356" s="4"/>
      <c r="B3356" s="4"/>
      <c r="C3356" s="4"/>
      <c r="D3356" s="13"/>
      <c r="E3356" s="13"/>
      <c r="F3356" s="4"/>
    </row>
    <row r="3357">
      <c r="A3357" s="4"/>
      <c r="B3357" s="4"/>
      <c r="C3357" s="4"/>
      <c r="D3357" s="13"/>
      <c r="E3357" s="13"/>
      <c r="F3357" s="4"/>
    </row>
    <row r="3358">
      <c r="A3358" s="4"/>
      <c r="B3358" s="4"/>
      <c r="C3358" s="4"/>
      <c r="D3358" s="13"/>
      <c r="E3358" s="13"/>
      <c r="F3358" s="4"/>
    </row>
    <row r="3359">
      <c r="A3359" s="4"/>
      <c r="B3359" s="4"/>
      <c r="C3359" s="4"/>
      <c r="D3359" s="13"/>
      <c r="E3359" s="13"/>
      <c r="F3359" s="4"/>
    </row>
    <row r="3360">
      <c r="A3360" s="4"/>
      <c r="B3360" s="4"/>
      <c r="C3360" s="4"/>
      <c r="D3360" s="13"/>
      <c r="E3360" s="13"/>
      <c r="F3360" s="4"/>
    </row>
    <row r="3361">
      <c r="A3361" s="4"/>
      <c r="B3361" s="4"/>
      <c r="C3361" s="4"/>
      <c r="D3361" s="13"/>
      <c r="E3361" s="13"/>
      <c r="F3361" s="4"/>
    </row>
    <row r="3362">
      <c r="A3362" s="4"/>
      <c r="B3362" s="4"/>
      <c r="C3362" s="4"/>
      <c r="D3362" s="13"/>
      <c r="E3362" s="13"/>
      <c r="F3362" s="4"/>
    </row>
    <row r="3363">
      <c r="A3363" s="4"/>
      <c r="B3363" s="4"/>
      <c r="C3363" s="4"/>
      <c r="D3363" s="13"/>
      <c r="E3363" s="13"/>
      <c r="F3363" s="4"/>
    </row>
    <row r="3364">
      <c r="A3364" s="4"/>
      <c r="B3364" s="4"/>
      <c r="C3364" s="4"/>
      <c r="D3364" s="13"/>
      <c r="E3364" s="13"/>
      <c r="F3364" s="4"/>
    </row>
    <row r="3365">
      <c r="A3365" s="4"/>
      <c r="B3365" s="4"/>
      <c r="C3365" s="4"/>
      <c r="D3365" s="13"/>
      <c r="E3365" s="13"/>
      <c r="F3365" s="4"/>
    </row>
    <row r="3366">
      <c r="A3366" s="4"/>
      <c r="B3366" s="4"/>
      <c r="C3366" s="4"/>
      <c r="D3366" s="13"/>
      <c r="E3366" s="13"/>
      <c r="F3366" s="4"/>
    </row>
    <row r="3367">
      <c r="A3367" s="4"/>
      <c r="B3367" s="4"/>
      <c r="C3367" s="4"/>
      <c r="D3367" s="13"/>
      <c r="E3367" s="13"/>
      <c r="F3367" s="4"/>
    </row>
    <row r="3368">
      <c r="A3368" s="4"/>
      <c r="B3368" s="4"/>
      <c r="C3368" s="4"/>
      <c r="D3368" s="13"/>
      <c r="E3368" s="13"/>
      <c r="F3368" s="4"/>
    </row>
    <row r="3369">
      <c r="A3369" s="4"/>
      <c r="B3369" s="4"/>
      <c r="C3369" s="4"/>
      <c r="D3369" s="13"/>
      <c r="E3369" s="13"/>
      <c r="F3369" s="4"/>
    </row>
    <row r="3370">
      <c r="A3370" s="4"/>
      <c r="B3370" s="4"/>
      <c r="C3370" s="4"/>
      <c r="D3370" s="13"/>
      <c r="E3370" s="13"/>
      <c r="F3370" s="4"/>
    </row>
    <row r="3371">
      <c r="A3371" s="4"/>
      <c r="B3371" s="4"/>
      <c r="C3371" s="4"/>
      <c r="D3371" s="13"/>
      <c r="E3371" s="13"/>
      <c r="F3371" s="4"/>
    </row>
    <row r="3372">
      <c r="A3372" s="4"/>
      <c r="B3372" s="4"/>
      <c r="C3372" s="4"/>
      <c r="D3372" s="13"/>
      <c r="E3372" s="13"/>
      <c r="F3372" s="4"/>
    </row>
    <row r="3373">
      <c r="A3373" s="4"/>
      <c r="B3373" s="4"/>
      <c r="C3373" s="4"/>
      <c r="D3373" s="13"/>
      <c r="E3373" s="13"/>
      <c r="F3373" s="4"/>
    </row>
    <row r="3374">
      <c r="A3374" s="4"/>
      <c r="B3374" s="4"/>
      <c r="C3374" s="4"/>
      <c r="D3374" s="13"/>
      <c r="E3374" s="13"/>
      <c r="F3374" s="4"/>
    </row>
    <row r="3375">
      <c r="A3375" s="4"/>
      <c r="B3375" s="4"/>
      <c r="C3375" s="4"/>
      <c r="D3375" s="13"/>
      <c r="E3375" s="13"/>
      <c r="F3375" s="4"/>
    </row>
    <row r="3376">
      <c r="A3376" s="4"/>
      <c r="B3376" s="4"/>
      <c r="C3376" s="4"/>
      <c r="D3376" s="13"/>
      <c r="E3376" s="13"/>
      <c r="F3376" s="4"/>
    </row>
    <row r="3377">
      <c r="A3377" s="4"/>
      <c r="B3377" s="4"/>
      <c r="C3377" s="4"/>
      <c r="D3377" s="13"/>
      <c r="E3377" s="13"/>
      <c r="F3377" s="4"/>
    </row>
    <row r="3378">
      <c r="A3378" s="4"/>
      <c r="B3378" s="4"/>
      <c r="C3378" s="4"/>
      <c r="D3378" s="13"/>
      <c r="E3378" s="13"/>
      <c r="F3378" s="4"/>
    </row>
    <row r="3379">
      <c r="A3379" s="4"/>
      <c r="B3379" s="4"/>
      <c r="C3379" s="4"/>
      <c r="D3379" s="13"/>
      <c r="E3379" s="13"/>
      <c r="F3379" s="4"/>
    </row>
    <row r="3380">
      <c r="A3380" s="4"/>
      <c r="B3380" s="4"/>
      <c r="C3380" s="4"/>
      <c r="D3380" s="13"/>
      <c r="E3380" s="13"/>
      <c r="F3380" s="4"/>
    </row>
    <row r="3381">
      <c r="A3381" s="4"/>
      <c r="B3381" s="4"/>
      <c r="C3381" s="4"/>
      <c r="D3381" s="13"/>
      <c r="E3381" s="13"/>
      <c r="F3381" s="4"/>
    </row>
    <row r="3382">
      <c r="A3382" s="4"/>
      <c r="B3382" s="4"/>
      <c r="C3382" s="4"/>
      <c r="D3382" s="13"/>
      <c r="E3382" s="13"/>
      <c r="F3382" s="4"/>
    </row>
    <row r="3383">
      <c r="A3383" s="4"/>
      <c r="B3383" s="4"/>
      <c r="C3383" s="4"/>
      <c r="D3383" s="13"/>
      <c r="E3383" s="13"/>
      <c r="F3383" s="4"/>
    </row>
    <row r="3384">
      <c r="A3384" s="4"/>
      <c r="B3384" s="4"/>
      <c r="C3384" s="4"/>
      <c r="D3384" s="13"/>
      <c r="E3384" s="13"/>
      <c r="F3384" s="4"/>
    </row>
    <row r="3385">
      <c r="A3385" s="4"/>
      <c r="B3385" s="4"/>
      <c r="C3385" s="4"/>
      <c r="D3385" s="13"/>
      <c r="E3385" s="13"/>
      <c r="F3385" s="4"/>
    </row>
    <row r="3386">
      <c r="A3386" s="4"/>
      <c r="B3386" s="4"/>
      <c r="C3386" s="4"/>
      <c r="D3386" s="13"/>
      <c r="E3386" s="13"/>
      <c r="F3386" s="4"/>
    </row>
    <row r="3387">
      <c r="A3387" s="4"/>
      <c r="B3387" s="4"/>
      <c r="C3387" s="4"/>
      <c r="D3387" s="13"/>
      <c r="E3387" s="13"/>
      <c r="F3387" s="4"/>
    </row>
    <row r="3388">
      <c r="A3388" s="4"/>
      <c r="B3388" s="4"/>
      <c r="C3388" s="4"/>
      <c r="D3388" s="13"/>
      <c r="E3388" s="13"/>
      <c r="F3388" s="4"/>
    </row>
    <row r="3389">
      <c r="A3389" s="4"/>
      <c r="B3389" s="4"/>
      <c r="C3389" s="4"/>
      <c r="D3389" s="13"/>
      <c r="E3389" s="13"/>
      <c r="F3389" s="4"/>
    </row>
    <row r="3390">
      <c r="A3390" s="4"/>
      <c r="B3390" s="4"/>
      <c r="C3390" s="4"/>
      <c r="D3390" s="13"/>
      <c r="E3390" s="13"/>
      <c r="F3390" s="4"/>
    </row>
    <row r="3391">
      <c r="A3391" s="4"/>
      <c r="B3391" s="4"/>
      <c r="C3391" s="4"/>
      <c r="D3391" s="13"/>
      <c r="F3391" s="4"/>
    </row>
    <row r="3392">
      <c r="A3392" s="4"/>
      <c r="B3392" s="4"/>
      <c r="C3392" s="4"/>
      <c r="D3392" s="13"/>
      <c r="F3392" s="4"/>
    </row>
    <row r="3393">
      <c r="A3393" s="4"/>
      <c r="B3393" s="4"/>
      <c r="C3393" s="4"/>
      <c r="D3393" s="13"/>
      <c r="E3393" s="13"/>
      <c r="F3393" s="4"/>
    </row>
    <row r="3394">
      <c r="A3394" s="4"/>
      <c r="B3394" s="4"/>
      <c r="C3394" s="4"/>
      <c r="D3394" s="13"/>
      <c r="E3394" s="13"/>
      <c r="F3394" s="4"/>
    </row>
    <row r="3395">
      <c r="A3395" s="4"/>
      <c r="B3395" s="4"/>
      <c r="C3395" s="4"/>
      <c r="D3395" s="13"/>
      <c r="E3395" s="13"/>
      <c r="F3395" s="4"/>
    </row>
    <row r="3396">
      <c r="A3396" s="4"/>
      <c r="B3396" s="4"/>
      <c r="C3396" s="4"/>
      <c r="D3396" s="13"/>
      <c r="E3396" s="13"/>
      <c r="F3396" s="4"/>
    </row>
    <row r="3397">
      <c r="A3397" s="4"/>
      <c r="B3397" s="4"/>
      <c r="C3397" s="4"/>
      <c r="D3397" s="13"/>
      <c r="E3397" s="13"/>
      <c r="F3397" s="4"/>
    </row>
    <row r="3398">
      <c r="A3398" s="4"/>
      <c r="B3398" s="4"/>
      <c r="C3398" s="4"/>
      <c r="D3398" s="13"/>
      <c r="E3398" s="13"/>
      <c r="F3398" s="4"/>
    </row>
    <row r="3399">
      <c r="A3399" s="4"/>
      <c r="B3399" s="4"/>
      <c r="C3399" s="4"/>
      <c r="D3399" s="13"/>
      <c r="E3399" s="13"/>
      <c r="F3399" s="4"/>
    </row>
    <row r="3400">
      <c r="A3400" s="4"/>
      <c r="B3400" s="4"/>
      <c r="C3400" s="4"/>
      <c r="D3400" s="13"/>
      <c r="E3400" s="13"/>
      <c r="F3400" s="4"/>
    </row>
    <row r="3401">
      <c r="A3401" s="4"/>
      <c r="B3401" s="4"/>
      <c r="C3401" s="4"/>
      <c r="D3401" s="13"/>
      <c r="E3401" s="13"/>
      <c r="F3401" s="4"/>
    </row>
    <row r="3402">
      <c r="A3402" s="4"/>
      <c r="B3402" s="4"/>
      <c r="C3402" s="4"/>
      <c r="D3402" s="13"/>
      <c r="E3402" s="13"/>
      <c r="F3402" s="4"/>
    </row>
    <row r="3403">
      <c r="A3403" s="4"/>
      <c r="B3403" s="4"/>
      <c r="C3403" s="4"/>
      <c r="D3403" s="13"/>
      <c r="E3403" s="13"/>
      <c r="F3403" s="4"/>
    </row>
    <row r="3404">
      <c r="A3404" s="4"/>
      <c r="B3404" s="4"/>
      <c r="C3404" s="4"/>
      <c r="D3404" s="13"/>
      <c r="E3404" s="13"/>
      <c r="F3404" s="4"/>
    </row>
    <row r="3405">
      <c r="A3405" s="4"/>
      <c r="B3405" s="4"/>
      <c r="C3405" s="4"/>
      <c r="D3405" s="13"/>
      <c r="E3405" s="13"/>
      <c r="F3405" s="4"/>
    </row>
    <row r="3406">
      <c r="A3406" s="4"/>
      <c r="B3406" s="4"/>
      <c r="C3406" s="4"/>
      <c r="D3406" s="13"/>
      <c r="E3406" s="13"/>
      <c r="F3406" s="4"/>
    </row>
    <row r="3407">
      <c r="A3407" s="4"/>
      <c r="B3407" s="4"/>
      <c r="C3407" s="4"/>
      <c r="D3407" s="13"/>
      <c r="E3407" s="13"/>
      <c r="F3407" s="4"/>
    </row>
    <row r="3408">
      <c r="A3408" s="4"/>
      <c r="B3408" s="4"/>
      <c r="C3408" s="4"/>
      <c r="D3408" s="13"/>
      <c r="E3408" s="13"/>
      <c r="F3408" s="4"/>
    </row>
    <row r="3409">
      <c r="A3409" s="4"/>
      <c r="B3409" s="4"/>
      <c r="C3409" s="4"/>
      <c r="D3409" s="13"/>
      <c r="E3409" s="13"/>
      <c r="F3409" s="4"/>
    </row>
    <row r="3410">
      <c r="A3410" s="4"/>
      <c r="B3410" s="4"/>
      <c r="C3410" s="4"/>
      <c r="D3410" s="13"/>
      <c r="E3410" s="13"/>
      <c r="F3410" s="4"/>
    </row>
    <row r="3411">
      <c r="A3411" s="4"/>
      <c r="B3411" s="4"/>
      <c r="C3411" s="4"/>
      <c r="D3411" s="13"/>
      <c r="E3411" s="13"/>
      <c r="F3411" s="4"/>
    </row>
    <row r="3412">
      <c r="A3412" s="4"/>
      <c r="B3412" s="4"/>
      <c r="C3412" s="4"/>
      <c r="D3412" s="13"/>
      <c r="E3412" s="13"/>
      <c r="F3412" s="4"/>
    </row>
    <row r="3413">
      <c r="A3413" s="4"/>
      <c r="B3413" s="4"/>
      <c r="C3413" s="4"/>
      <c r="D3413" s="13"/>
      <c r="E3413" s="13"/>
      <c r="F3413" s="4"/>
    </row>
    <row r="3414">
      <c r="A3414" s="4"/>
      <c r="B3414" s="4"/>
      <c r="C3414" s="4"/>
      <c r="D3414" s="13"/>
      <c r="E3414" s="13"/>
      <c r="F3414" s="4"/>
    </row>
    <row r="3415">
      <c r="A3415" s="4"/>
      <c r="B3415" s="4"/>
      <c r="C3415" s="4"/>
      <c r="D3415" s="13"/>
      <c r="E3415" s="13"/>
      <c r="F3415" s="4"/>
    </row>
    <row r="3416">
      <c r="A3416" s="4"/>
      <c r="B3416" s="4"/>
      <c r="C3416" s="4"/>
      <c r="D3416" s="13"/>
      <c r="E3416" s="13"/>
      <c r="F3416" s="4"/>
    </row>
    <row r="3417">
      <c r="A3417" s="4"/>
      <c r="B3417" s="4"/>
      <c r="C3417" s="4"/>
      <c r="D3417" s="13"/>
      <c r="E3417" s="13"/>
      <c r="F3417" s="4"/>
    </row>
    <row r="3418">
      <c r="A3418" s="4"/>
      <c r="B3418" s="4"/>
      <c r="C3418" s="4"/>
      <c r="D3418" s="13"/>
      <c r="E3418" s="13"/>
      <c r="F3418" s="4"/>
    </row>
    <row r="3419">
      <c r="A3419" s="4"/>
      <c r="B3419" s="4"/>
      <c r="C3419" s="4"/>
      <c r="D3419" s="13"/>
      <c r="E3419" s="13"/>
      <c r="F3419" s="4"/>
    </row>
    <row r="3420">
      <c r="A3420" s="4"/>
      <c r="B3420" s="4"/>
      <c r="C3420" s="4"/>
      <c r="D3420" s="13"/>
      <c r="E3420" s="13"/>
      <c r="F3420" s="4"/>
    </row>
    <row r="3421">
      <c r="A3421" s="4"/>
      <c r="B3421" s="4"/>
      <c r="C3421" s="4"/>
      <c r="D3421" s="13"/>
      <c r="E3421" s="13"/>
      <c r="F3421" s="4"/>
    </row>
    <row r="3422">
      <c r="A3422" s="4"/>
      <c r="B3422" s="4"/>
      <c r="C3422" s="4"/>
      <c r="D3422" s="13"/>
      <c r="E3422" s="13"/>
      <c r="F3422" s="4"/>
    </row>
    <row r="3423">
      <c r="A3423" s="4"/>
      <c r="B3423" s="4"/>
      <c r="C3423" s="4"/>
      <c r="D3423" s="13"/>
      <c r="E3423" s="13"/>
      <c r="F3423" s="4"/>
    </row>
    <row r="3424">
      <c r="A3424" s="4"/>
      <c r="B3424" s="4"/>
      <c r="C3424" s="4"/>
      <c r="D3424" s="13"/>
      <c r="E3424" s="13"/>
      <c r="F3424" s="4"/>
    </row>
    <row r="3425">
      <c r="A3425" s="4"/>
      <c r="B3425" s="4"/>
      <c r="C3425" s="4"/>
      <c r="D3425" s="13"/>
      <c r="E3425" s="13"/>
      <c r="F3425" s="4"/>
    </row>
    <row r="3426">
      <c r="A3426" s="4"/>
      <c r="B3426" s="4"/>
      <c r="C3426" s="4"/>
      <c r="D3426" s="13"/>
      <c r="E3426" s="13"/>
      <c r="F3426" s="4"/>
    </row>
    <row r="3427">
      <c r="A3427" s="4"/>
      <c r="B3427" s="4"/>
      <c r="C3427" s="4"/>
      <c r="D3427" s="13"/>
      <c r="E3427" s="13"/>
      <c r="F3427" s="4"/>
    </row>
    <row r="3428">
      <c r="A3428" s="4"/>
      <c r="B3428" s="4"/>
      <c r="C3428" s="4"/>
      <c r="D3428" s="13"/>
      <c r="E3428" s="13"/>
      <c r="F3428" s="4"/>
    </row>
    <row r="3429">
      <c r="A3429" s="4"/>
      <c r="B3429" s="4"/>
      <c r="C3429" s="4"/>
      <c r="D3429" s="13"/>
      <c r="E3429" s="13"/>
      <c r="F3429" s="4"/>
    </row>
    <row r="3430">
      <c r="A3430" s="4"/>
      <c r="B3430" s="4"/>
      <c r="C3430" s="4"/>
      <c r="D3430" s="13"/>
      <c r="E3430" s="13"/>
      <c r="F3430" s="4"/>
    </row>
    <row r="3431">
      <c r="A3431" s="4"/>
      <c r="B3431" s="4"/>
      <c r="C3431" s="4"/>
      <c r="D3431" s="13"/>
      <c r="E3431" s="13"/>
      <c r="F3431" s="4"/>
    </row>
    <row r="3432">
      <c r="A3432" s="4"/>
      <c r="B3432" s="4"/>
      <c r="C3432" s="4"/>
      <c r="D3432" s="13"/>
      <c r="E3432" s="13"/>
      <c r="F3432" s="4"/>
    </row>
    <row r="3433">
      <c r="A3433" s="4"/>
      <c r="B3433" s="4"/>
      <c r="C3433" s="4"/>
      <c r="D3433" s="13"/>
      <c r="E3433" s="13"/>
      <c r="F3433" s="4"/>
    </row>
    <row r="3434">
      <c r="A3434" s="4"/>
      <c r="B3434" s="4"/>
      <c r="C3434" s="4"/>
      <c r="D3434" s="13"/>
      <c r="E3434" s="13"/>
      <c r="F3434" s="4"/>
    </row>
    <row r="3435">
      <c r="A3435" s="4"/>
      <c r="B3435" s="4"/>
      <c r="C3435" s="4"/>
      <c r="D3435" s="13"/>
      <c r="E3435" s="13"/>
      <c r="F3435" s="4"/>
    </row>
    <row r="3436">
      <c r="A3436" s="4"/>
      <c r="B3436" s="4"/>
      <c r="C3436" s="4"/>
      <c r="D3436" s="13"/>
      <c r="E3436" s="13"/>
      <c r="F3436" s="4"/>
    </row>
    <row r="3437">
      <c r="A3437" s="4"/>
      <c r="B3437" s="4"/>
      <c r="C3437" s="4"/>
      <c r="D3437" s="13"/>
      <c r="E3437" s="13"/>
      <c r="F3437" s="4"/>
    </row>
    <row r="3438">
      <c r="A3438" s="4"/>
      <c r="B3438" s="4"/>
      <c r="C3438" s="4"/>
      <c r="D3438" s="13"/>
      <c r="E3438" s="13"/>
      <c r="F3438" s="4"/>
    </row>
    <row r="3439">
      <c r="A3439" s="4"/>
      <c r="B3439" s="4"/>
      <c r="C3439" s="4"/>
      <c r="D3439" s="13"/>
      <c r="E3439" s="13"/>
      <c r="F3439" s="4"/>
    </row>
    <row r="3440">
      <c r="A3440" s="4"/>
      <c r="B3440" s="4"/>
      <c r="C3440" s="4"/>
      <c r="D3440" s="13"/>
      <c r="E3440" s="13"/>
      <c r="F3440" s="4"/>
    </row>
    <row r="3441">
      <c r="A3441" s="4"/>
      <c r="B3441" s="4"/>
      <c r="C3441" s="4"/>
      <c r="D3441" s="13"/>
      <c r="E3441" s="13"/>
      <c r="F3441" s="4"/>
    </row>
    <row r="3442">
      <c r="A3442" s="4"/>
      <c r="B3442" s="4"/>
      <c r="C3442" s="4"/>
      <c r="D3442" s="13"/>
      <c r="E3442" s="13"/>
      <c r="F3442" s="4"/>
    </row>
    <row r="3443">
      <c r="A3443" s="4"/>
      <c r="B3443" s="4"/>
      <c r="C3443" s="4"/>
      <c r="D3443" s="13"/>
      <c r="E3443" s="13"/>
      <c r="F3443" s="4"/>
    </row>
    <row r="3444">
      <c r="A3444" s="4"/>
      <c r="B3444" s="4"/>
      <c r="C3444" s="4"/>
      <c r="D3444" s="13"/>
      <c r="E3444" s="13"/>
      <c r="F3444" s="4"/>
    </row>
    <row r="3445">
      <c r="A3445" s="4"/>
      <c r="B3445" s="4"/>
      <c r="C3445" s="4"/>
      <c r="D3445" s="13"/>
      <c r="E3445" s="13"/>
      <c r="F3445" s="4"/>
    </row>
    <row r="3446">
      <c r="A3446" s="4"/>
      <c r="B3446" s="4"/>
      <c r="C3446" s="4"/>
      <c r="D3446" s="13"/>
      <c r="E3446" s="13"/>
      <c r="F3446" s="4"/>
    </row>
    <row r="3447">
      <c r="A3447" s="4"/>
      <c r="B3447" s="4"/>
      <c r="C3447" s="4"/>
      <c r="D3447" s="13"/>
      <c r="E3447" s="13"/>
      <c r="F3447" s="4"/>
    </row>
    <row r="3448">
      <c r="A3448" s="4"/>
      <c r="B3448" s="4"/>
      <c r="C3448" s="4"/>
      <c r="D3448" s="13"/>
      <c r="E3448" s="13"/>
      <c r="F3448" s="4"/>
    </row>
    <row r="3449">
      <c r="A3449" s="4"/>
      <c r="B3449" s="4"/>
      <c r="C3449" s="4"/>
      <c r="D3449" s="13"/>
      <c r="E3449" s="13"/>
      <c r="F3449" s="4"/>
    </row>
    <row r="3450">
      <c r="A3450" s="4"/>
      <c r="B3450" s="4"/>
      <c r="C3450" s="4"/>
      <c r="D3450" s="13"/>
      <c r="E3450" s="13"/>
      <c r="F3450" s="4"/>
    </row>
    <row r="3451">
      <c r="A3451" s="4"/>
      <c r="B3451" s="4"/>
      <c r="C3451" s="4"/>
      <c r="D3451" s="13"/>
      <c r="E3451" s="13"/>
      <c r="F3451" s="4"/>
    </row>
    <row r="3452">
      <c r="A3452" s="4"/>
      <c r="B3452" s="4"/>
      <c r="C3452" s="4"/>
      <c r="D3452" s="13"/>
      <c r="E3452" s="13"/>
      <c r="F3452" s="4"/>
    </row>
    <row r="3453">
      <c r="A3453" s="4"/>
      <c r="B3453" s="4"/>
      <c r="C3453" s="4"/>
      <c r="D3453" s="13"/>
      <c r="E3453" s="13"/>
      <c r="F3453" s="4"/>
    </row>
    <row r="3454">
      <c r="A3454" s="4"/>
      <c r="B3454" s="4"/>
      <c r="C3454" s="4"/>
      <c r="D3454" s="13"/>
      <c r="E3454" s="13"/>
      <c r="F3454" s="4"/>
    </row>
    <row r="3455">
      <c r="A3455" s="4"/>
      <c r="B3455" s="4"/>
      <c r="C3455" s="4"/>
      <c r="D3455" s="13"/>
      <c r="E3455" s="13"/>
      <c r="F3455" s="4"/>
    </row>
    <row r="3456">
      <c r="A3456" s="4"/>
      <c r="B3456" s="4"/>
      <c r="C3456" s="4"/>
      <c r="D3456" s="13"/>
      <c r="E3456" s="13"/>
      <c r="F3456" s="4"/>
    </row>
    <row r="3457">
      <c r="A3457" s="4"/>
      <c r="B3457" s="4"/>
      <c r="C3457" s="4"/>
      <c r="D3457" s="13"/>
      <c r="E3457" s="13"/>
      <c r="F3457" s="4"/>
    </row>
    <row r="3458">
      <c r="A3458" s="4"/>
      <c r="B3458" s="4"/>
      <c r="C3458" s="4"/>
      <c r="D3458" s="13"/>
      <c r="E3458" s="13"/>
      <c r="F3458" s="4"/>
    </row>
    <row r="3459">
      <c r="A3459" s="4"/>
      <c r="B3459" s="4"/>
      <c r="C3459" s="4"/>
      <c r="D3459" s="13"/>
      <c r="E3459" s="13"/>
      <c r="F3459" s="4"/>
    </row>
    <row r="3460">
      <c r="A3460" s="4"/>
      <c r="B3460" s="4"/>
      <c r="C3460" s="4"/>
      <c r="D3460" s="13"/>
      <c r="E3460" s="13"/>
      <c r="F3460" s="4"/>
    </row>
    <row r="3461">
      <c r="A3461" s="4"/>
      <c r="B3461" s="4"/>
      <c r="C3461" s="4"/>
      <c r="D3461" s="13"/>
      <c r="E3461" s="13"/>
      <c r="F3461" s="4"/>
    </row>
    <row r="3462">
      <c r="A3462" s="4"/>
      <c r="B3462" s="4"/>
      <c r="C3462" s="4"/>
      <c r="D3462" s="13"/>
      <c r="E3462" s="13"/>
      <c r="F3462" s="4"/>
    </row>
    <row r="3463">
      <c r="A3463" s="4"/>
      <c r="B3463" s="4"/>
      <c r="C3463" s="4"/>
      <c r="D3463" s="13"/>
      <c r="E3463" s="13"/>
      <c r="F3463" s="4"/>
    </row>
    <row r="3464">
      <c r="A3464" s="4"/>
      <c r="B3464" s="4"/>
      <c r="C3464" s="4"/>
      <c r="D3464" s="13"/>
      <c r="E3464" s="13"/>
      <c r="F3464" s="4"/>
    </row>
    <row r="3465">
      <c r="A3465" s="4"/>
      <c r="B3465" s="4"/>
      <c r="C3465" s="4"/>
      <c r="D3465" s="13"/>
      <c r="E3465" s="13"/>
      <c r="F3465" s="4"/>
    </row>
    <row r="3466">
      <c r="A3466" s="4"/>
      <c r="B3466" s="4"/>
      <c r="C3466" s="4"/>
      <c r="D3466" s="13"/>
      <c r="E3466" s="13"/>
      <c r="F3466" s="4"/>
    </row>
    <row r="3467">
      <c r="A3467" s="4"/>
      <c r="B3467" s="4"/>
      <c r="C3467" s="4"/>
      <c r="D3467" s="13"/>
      <c r="E3467" s="13"/>
      <c r="F3467" s="4"/>
    </row>
    <row r="3468">
      <c r="A3468" s="4"/>
      <c r="B3468" s="4"/>
      <c r="C3468" s="4"/>
      <c r="D3468" s="13"/>
      <c r="E3468" s="13"/>
      <c r="F3468" s="4"/>
    </row>
    <row r="3469">
      <c r="A3469" s="4"/>
      <c r="B3469" s="4"/>
      <c r="C3469" s="4"/>
      <c r="D3469" s="13"/>
      <c r="E3469" s="13"/>
      <c r="F3469" s="4"/>
    </row>
    <row r="3470">
      <c r="A3470" s="4"/>
      <c r="B3470" s="4"/>
      <c r="C3470" s="4"/>
      <c r="D3470" s="13"/>
      <c r="E3470" s="13"/>
      <c r="F3470" s="4"/>
    </row>
    <row r="3471">
      <c r="A3471" s="4"/>
      <c r="B3471" s="4"/>
      <c r="C3471" s="4"/>
      <c r="D3471" s="13"/>
      <c r="E3471" s="13"/>
      <c r="F3471" s="4"/>
    </row>
    <row r="3472">
      <c r="A3472" s="4"/>
      <c r="B3472" s="4"/>
      <c r="C3472" s="4"/>
      <c r="D3472" s="13"/>
      <c r="E3472" s="13"/>
      <c r="F3472" s="4"/>
    </row>
    <row r="3473">
      <c r="A3473" s="4"/>
      <c r="B3473" s="4"/>
      <c r="C3473" s="4"/>
      <c r="D3473" s="13"/>
      <c r="E3473" s="13"/>
      <c r="F3473" s="4"/>
    </row>
    <row r="3474">
      <c r="A3474" s="4"/>
      <c r="B3474" s="4"/>
      <c r="C3474" s="4"/>
      <c r="D3474" s="13"/>
      <c r="E3474" s="13"/>
      <c r="F3474" s="4"/>
    </row>
    <row r="3475">
      <c r="A3475" s="4"/>
      <c r="B3475" s="4"/>
      <c r="C3475" s="4"/>
      <c r="D3475" s="13"/>
      <c r="E3475" s="13"/>
      <c r="F3475" s="4"/>
    </row>
    <row r="3476">
      <c r="A3476" s="4"/>
      <c r="B3476" s="4"/>
      <c r="C3476" s="4"/>
      <c r="D3476" s="13"/>
      <c r="E3476" s="13"/>
      <c r="F3476" s="4"/>
    </row>
    <row r="3477">
      <c r="A3477" s="4"/>
      <c r="B3477" s="4"/>
      <c r="C3477" s="4"/>
      <c r="D3477" s="13"/>
      <c r="E3477" s="13"/>
      <c r="F3477" s="4"/>
    </row>
    <row r="3478">
      <c r="A3478" s="4"/>
      <c r="B3478" s="4"/>
      <c r="C3478" s="4"/>
      <c r="D3478" s="13"/>
      <c r="E3478" s="13"/>
      <c r="F3478" s="4"/>
    </row>
    <row r="3479">
      <c r="A3479" s="4"/>
      <c r="B3479" s="4"/>
      <c r="C3479" s="4"/>
      <c r="D3479" s="13"/>
      <c r="E3479" s="13"/>
      <c r="F3479" s="4"/>
    </row>
    <row r="3480">
      <c r="A3480" s="4"/>
      <c r="B3480" s="4"/>
      <c r="C3480" s="4"/>
      <c r="D3480" s="13"/>
      <c r="E3480" s="13"/>
      <c r="F3480" s="4"/>
    </row>
    <row r="3481">
      <c r="A3481" s="4"/>
      <c r="B3481" s="4"/>
      <c r="C3481" s="4"/>
      <c r="D3481" s="13"/>
      <c r="E3481" s="13"/>
      <c r="F3481" s="4"/>
    </row>
    <row r="3482">
      <c r="A3482" s="4"/>
      <c r="B3482" s="4"/>
      <c r="C3482" s="4"/>
      <c r="D3482" s="13"/>
      <c r="E3482" s="13"/>
      <c r="F3482" s="4"/>
    </row>
    <row r="3483">
      <c r="A3483" s="4"/>
      <c r="B3483" s="4"/>
      <c r="C3483" s="4"/>
      <c r="D3483" s="13"/>
      <c r="E3483" s="13"/>
      <c r="F3483" s="4"/>
    </row>
    <row r="3484">
      <c r="A3484" s="4"/>
      <c r="B3484" s="4"/>
      <c r="C3484" s="4"/>
      <c r="D3484" s="13"/>
      <c r="E3484" s="13"/>
      <c r="F3484" s="4"/>
    </row>
    <row r="3485">
      <c r="A3485" s="4"/>
      <c r="B3485" s="4"/>
      <c r="C3485" s="4"/>
      <c r="D3485" s="13"/>
      <c r="E3485" s="13"/>
      <c r="F3485" s="4"/>
    </row>
    <row r="3486">
      <c r="A3486" s="4"/>
      <c r="B3486" s="4"/>
      <c r="C3486" s="4"/>
      <c r="D3486" s="13"/>
      <c r="E3486" s="13"/>
      <c r="F3486" s="4"/>
    </row>
    <row r="3487">
      <c r="A3487" s="4"/>
      <c r="B3487" s="4"/>
      <c r="C3487" s="4"/>
      <c r="D3487" s="13"/>
      <c r="E3487" s="13"/>
      <c r="F3487" s="4"/>
    </row>
    <row r="3488">
      <c r="A3488" s="4"/>
      <c r="B3488" s="4"/>
      <c r="C3488" s="4"/>
      <c r="D3488" s="13"/>
      <c r="E3488" s="13"/>
      <c r="F3488" s="4"/>
    </row>
    <row r="3489">
      <c r="A3489" s="4"/>
      <c r="B3489" s="4"/>
      <c r="C3489" s="4"/>
      <c r="D3489" s="13"/>
      <c r="E3489" s="13"/>
      <c r="F3489" s="4"/>
    </row>
    <row r="3490">
      <c r="A3490" s="4"/>
      <c r="B3490" s="4"/>
      <c r="C3490" s="4"/>
      <c r="D3490" s="13"/>
      <c r="E3490" s="13"/>
      <c r="F3490" s="4"/>
    </row>
    <row r="3491">
      <c r="A3491" s="4"/>
      <c r="B3491" s="4"/>
      <c r="C3491" s="4"/>
      <c r="D3491" s="13"/>
      <c r="E3491" s="13"/>
      <c r="F3491" s="4"/>
    </row>
    <row r="3492">
      <c r="A3492" s="4"/>
      <c r="B3492" s="4"/>
      <c r="C3492" s="4"/>
      <c r="D3492" s="13"/>
      <c r="E3492" s="13"/>
      <c r="F3492" s="4"/>
    </row>
    <row r="3493">
      <c r="A3493" s="4"/>
      <c r="B3493" s="4"/>
      <c r="C3493" s="4"/>
      <c r="D3493" s="13"/>
      <c r="E3493" s="13"/>
      <c r="F3493" s="4"/>
    </row>
    <row r="3494">
      <c r="A3494" s="4"/>
      <c r="B3494" s="4"/>
      <c r="C3494" s="4"/>
      <c r="D3494" s="13"/>
      <c r="E3494" s="13"/>
      <c r="F3494" s="4"/>
    </row>
    <row r="3495">
      <c r="A3495" s="4"/>
      <c r="B3495" s="4"/>
      <c r="C3495" s="4"/>
      <c r="D3495" s="13"/>
      <c r="E3495" s="13"/>
      <c r="F3495" s="4"/>
    </row>
    <row r="3496">
      <c r="A3496" s="4"/>
      <c r="B3496" s="4"/>
      <c r="C3496" s="4"/>
      <c r="D3496" s="13"/>
      <c r="E3496" s="13"/>
      <c r="F3496" s="4"/>
    </row>
    <row r="3497">
      <c r="A3497" s="4"/>
      <c r="B3497" s="4"/>
      <c r="C3497" s="4"/>
      <c r="D3497" s="13"/>
      <c r="E3497" s="13"/>
      <c r="F3497" s="4"/>
    </row>
    <row r="3498">
      <c r="A3498" s="4"/>
      <c r="B3498" s="4"/>
      <c r="C3498" s="4"/>
      <c r="D3498" s="13"/>
      <c r="E3498" s="13"/>
      <c r="F3498" s="4"/>
    </row>
    <row r="3499">
      <c r="A3499" s="4"/>
      <c r="B3499" s="4"/>
      <c r="C3499" s="4"/>
      <c r="D3499" s="13"/>
      <c r="E3499" s="13"/>
      <c r="F3499" s="4"/>
    </row>
    <row r="3500">
      <c r="A3500" s="4"/>
      <c r="B3500" s="4"/>
      <c r="C3500" s="4"/>
      <c r="D3500" s="13"/>
      <c r="E3500" s="13"/>
      <c r="F3500" s="4"/>
    </row>
    <row r="3501">
      <c r="A3501" s="4"/>
      <c r="B3501" s="4"/>
      <c r="C3501" s="4"/>
      <c r="D3501" s="13"/>
      <c r="E3501" s="13"/>
      <c r="F3501" s="4"/>
    </row>
    <row r="3502">
      <c r="A3502" s="4"/>
      <c r="B3502" s="4"/>
      <c r="C3502" s="4"/>
      <c r="D3502" s="13"/>
      <c r="E3502" s="13"/>
      <c r="F3502" s="4"/>
    </row>
    <row r="3503">
      <c r="A3503" s="4"/>
      <c r="B3503" s="4"/>
      <c r="C3503" s="4"/>
      <c r="D3503" s="13"/>
      <c r="E3503" s="13"/>
      <c r="F3503" s="4"/>
    </row>
    <row r="3504">
      <c r="A3504" s="4"/>
      <c r="B3504" s="4"/>
      <c r="C3504" s="4"/>
      <c r="D3504" s="13"/>
      <c r="E3504" s="13"/>
      <c r="F3504" s="4"/>
    </row>
    <row r="3505">
      <c r="A3505" s="4"/>
      <c r="B3505" s="4"/>
      <c r="C3505" s="4"/>
      <c r="D3505" s="13"/>
      <c r="E3505" s="13"/>
      <c r="F3505" s="4"/>
    </row>
    <row r="3506">
      <c r="A3506" s="4"/>
      <c r="B3506" s="4"/>
      <c r="C3506" s="4"/>
      <c r="D3506" s="13"/>
      <c r="E3506" s="13"/>
      <c r="F3506" s="4"/>
    </row>
    <row r="3507">
      <c r="A3507" s="4"/>
      <c r="B3507" s="4"/>
      <c r="C3507" s="4"/>
      <c r="D3507" s="13"/>
      <c r="E3507" s="13"/>
      <c r="F3507" s="4"/>
    </row>
    <row r="3508">
      <c r="A3508" s="4"/>
      <c r="B3508" s="4"/>
      <c r="C3508" s="4"/>
      <c r="D3508" s="13"/>
      <c r="E3508" s="13"/>
      <c r="F3508" s="4"/>
    </row>
    <row r="3509">
      <c r="A3509" s="4"/>
      <c r="B3509" s="4"/>
      <c r="C3509" s="4"/>
      <c r="D3509" s="13"/>
      <c r="E3509" s="13"/>
      <c r="F3509" s="4"/>
    </row>
    <row r="3510">
      <c r="A3510" s="4"/>
      <c r="B3510" s="4"/>
      <c r="C3510" s="4"/>
      <c r="D3510" s="13"/>
      <c r="E3510" s="13"/>
      <c r="F3510" s="4"/>
    </row>
    <row r="3511">
      <c r="A3511" s="4"/>
      <c r="B3511" s="4"/>
      <c r="C3511" s="4"/>
      <c r="D3511" s="13"/>
      <c r="E3511" s="13"/>
      <c r="F3511" s="4"/>
    </row>
    <row r="3512">
      <c r="A3512" s="4"/>
      <c r="B3512" s="4"/>
      <c r="C3512" s="4"/>
      <c r="D3512" s="13"/>
      <c r="E3512" s="13"/>
      <c r="F3512" s="4"/>
    </row>
    <row r="3513">
      <c r="A3513" s="4"/>
      <c r="B3513" s="4"/>
      <c r="C3513" s="4"/>
      <c r="D3513" s="13"/>
      <c r="E3513" s="13"/>
      <c r="F3513" s="4"/>
    </row>
    <row r="3514">
      <c r="A3514" s="4"/>
      <c r="B3514" s="4"/>
      <c r="C3514" s="4"/>
      <c r="D3514" s="13"/>
      <c r="E3514" s="13"/>
      <c r="F3514" s="4"/>
    </row>
    <row r="3515">
      <c r="A3515" s="4"/>
      <c r="B3515" s="4"/>
      <c r="C3515" s="4"/>
      <c r="D3515" s="13"/>
      <c r="E3515" s="13"/>
      <c r="F3515" s="4"/>
    </row>
    <row r="3516">
      <c r="A3516" s="4"/>
      <c r="B3516" s="4"/>
      <c r="C3516" s="4"/>
      <c r="D3516" s="13"/>
      <c r="E3516" s="13"/>
      <c r="F3516" s="4"/>
    </row>
    <row r="3517">
      <c r="A3517" s="4"/>
      <c r="B3517" s="4"/>
      <c r="C3517" s="4"/>
      <c r="D3517" s="13"/>
      <c r="E3517" s="13"/>
      <c r="F3517" s="4"/>
    </row>
    <row r="3518">
      <c r="A3518" s="4"/>
      <c r="B3518" s="4"/>
      <c r="C3518" s="4"/>
      <c r="D3518" s="13"/>
      <c r="E3518" s="13"/>
      <c r="F3518" s="4"/>
    </row>
    <row r="3519">
      <c r="A3519" s="4"/>
      <c r="B3519" s="4"/>
      <c r="C3519" s="4"/>
      <c r="D3519" s="13"/>
      <c r="E3519" s="13"/>
      <c r="F3519" s="4"/>
    </row>
    <row r="3520">
      <c r="A3520" s="4"/>
      <c r="B3520" s="4"/>
      <c r="C3520" s="4"/>
      <c r="D3520" s="13"/>
      <c r="E3520" s="13"/>
      <c r="F3520" s="4"/>
    </row>
    <row r="3521">
      <c r="A3521" s="4"/>
      <c r="B3521" s="4"/>
      <c r="C3521" s="4"/>
      <c r="D3521" s="13"/>
      <c r="E3521" s="13"/>
      <c r="F3521" s="4"/>
    </row>
    <row r="3522">
      <c r="A3522" s="4"/>
      <c r="B3522" s="4"/>
      <c r="C3522" s="4"/>
      <c r="D3522" s="13"/>
      <c r="E3522" s="13"/>
      <c r="F3522" s="4"/>
    </row>
    <row r="3523">
      <c r="A3523" s="4"/>
      <c r="B3523" s="4"/>
      <c r="C3523" s="4"/>
      <c r="D3523" s="13"/>
      <c r="E3523" s="13"/>
      <c r="F3523" s="4"/>
    </row>
    <row r="3524">
      <c r="A3524" s="4"/>
      <c r="B3524" s="4"/>
      <c r="C3524" s="4"/>
      <c r="D3524" s="13"/>
      <c r="E3524" s="13"/>
      <c r="F3524" s="4"/>
    </row>
    <row r="3525">
      <c r="A3525" s="4"/>
      <c r="B3525" s="4"/>
      <c r="C3525" s="4"/>
      <c r="D3525" s="13"/>
      <c r="E3525" s="13"/>
      <c r="F3525" s="4"/>
    </row>
    <row r="3526">
      <c r="A3526" s="4"/>
      <c r="B3526" s="4"/>
      <c r="C3526" s="4"/>
      <c r="D3526" s="13"/>
      <c r="E3526" s="13"/>
      <c r="F3526" s="4"/>
    </row>
    <row r="3527">
      <c r="A3527" s="4"/>
      <c r="B3527" s="4"/>
      <c r="C3527" s="4"/>
      <c r="D3527" s="13"/>
      <c r="E3527" s="13"/>
      <c r="F3527" s="4"/>
    </row>
    <row r="3528">
      <c r="A3528" s="4"/>
      <c r="B3528" s="4"/>
      <c r="C3528" s="4"/>
      <c r="D3528" s="13"/>
      <c r="E3528" s="13"/>
      <c r="F3528" s="4"/>
    </row>
    <row r="3529">
      <c r="A3529" s="4"/>
      <c r="B3529" s="4"/>
      <c r="C3529" s="4"/>
      <c r="D3529" s="13"/>
      <c r="E3529" s="13"/>
      <c r="F3529" s="4"/>
    </row>
    <row r="3530">
      <c r="A3530" s="4"/>
      <c r="B3530" s="4"/>
      <c r="C3530" s="4"/>
      <c r="D3530" s="13"/>
      <c r="E3530" s="13"/>
      <c r="F3530" s="4"/>
    </row>
    <row r="3531">
      <c r="A3531" s="4"/>
      <c r="B3531" s="4"/>
      <c r="C3531" s="4"/>
      <c r="D3531" s="13"/>
      <c r="E3531" s="13"/>
      <c r="F3531" s="4"/>
    </row>
    <row r="3532">
      <c r="A3532" s="4"/>
      <c r="B3532" s="4"/>
      <c r="C3532" s="4"/>
      <c r="D3532" s="13"/>
      <c r="E3532" s="13"/>
      <c r="F3532" s="4"/>
    </row>
    <row r="3533">
      <c r="A3533" s="4"/>
      <c r="B3533" s="4"/>
      <c r="C3533" s="4"/>
      <c r="D3533" s="13"/>
      <c r="E3533" s="13"/>
      <c r="F3533" s="4"/>
    </row>
    <row r="3534">
      <c r="A3534" s="4"/>
      <c r="B3534" s="4"/>
      <c r="C3534" s="4"/>
      <c r="D3534" s="13"/>
      <c r="E3534" s="13"/>
      <c r="F3534" s="4"/>
    </row>
    <row r="3535">
      <c r="A3535" s="4"/>
      <c r="B3535" s="4"/>
      <c r="C3535" s="4"/>
      <c r="D3535" s="13"/>
      <c r="E3535" s="13"/>
      <c r="F3535" s="4"/>
    </row>
    <row r="3536">
      <c r="A3536" s="4"/>
      <c r="B3536" s="4"/>
      <c r="C3536" s="4"/>
      <c r="D3536" s="13"/>
      <c r="E3536" s="13"/>
      <c r="F3536" s="4"/>
    </row>
    <row r="3537">
      <c r="A3537" s="4"/>
      <c r="B3537" s="4"/>
      <c r="C3537" s="4"/>
      <c r="D3537" s="13"/>
      <c r="E3537" s="13"/>
      <c r="F3537" s="4"/>
    </row>
    <row r="3538">
      <c r="A3538" s="4"/>
      <c r="B3538" s="4"/>
      <c r="C3538" s="4"/>
      <c r="D3538" s="13"/>
      <c r="E3538" s="13"/>
      <c r="F3538" s="4"/>
    </row>
    <row r="3539">
      <c r="A3539" s="4"/>
      <c r="B3539" s="4"/>
      <c r="C3539" s="4"/>
      <c r="D3539" s="13"/>
      <c r="E3539" s="13"/>
      <c r="F3539" s="4"/>
    </row>
    <row r="3540">
      <c r="A3540" s="4"/>
      <c r="B3540" s="4"/>
      <c r="C3540" s="4"/>
      <c r="D3540" s="13"/>
      <c r="E3540" s="13"/>
      <c r="F3540" s="4"/>
    </row>
    <row r="3541">
      <c r="A3541" s="4"/>
      <c r="B3541" s="4"/>
      <c r="C3541" s="4"/>
      <c r="D3541" s="13"/>
      <c r="E3541" s="13"/>
      <c r="F3541" s="4"/>
    </row>
    <row r="3542">
      <c r="A3542" s="4"/>
      <c r="B3542" s="4"/>
      <c r="C3542" s="4"/>
      <c r="D3542" s="13"/>
      <c r="E3542" s="13"/>
      <c r="F3542" s="4"/>
    </row>
    <row r="3543">
      <c r="A3543" s="4"/>
      <c r="B3543" s="4"/>
      <c r="C3543" s="4"/>
      <c r="D3543" s="13"/>
      <c r="E3543" s="13"/>
      <c r="F3543" s="4"/>
    </row>
    <row r="3544">
      <c r="A3544" s="4"/>
      <c r="B3544" s="4"/>
      <c r="C3544" s="4"/>
      <c r="D3544" s="13"/>
      <c r="E3544" s="13"/>
      <c r="F3544" s="4"/>
    </row>
    <row r="3545">
      <c r="A3545" s="4"/>
      <c r="B3545" s="4"/>
      <c r="C3545" s="4"/>
      <c r="D3545" s="13"/>
      <c r="E3545" s="13"/>
      <c r="F3545" s="4"/>
    </row>
    <row r="3546">
      <c r="A3546" s="4"/>
      <c r="B3546" s="4"/>
      <c r="C3546" s="4"/>
      <c r="D3546" s="13"/>
      <c r="E3546" s="13"/>
      <c r="F3546" s="4"/>
    </row>
    <row r="3547">
      <c r="A3547" s="4"/>
      <c r="B3547" s="4"/>
      <c r="C3547" s="4"/>
      <c r="D3547" s="13"/>
      <c r="E3547" s="13"/>
      <c r="F3547" s="4"/>
    </row>
    <row r="3548">
      <c r="A3548" s="4"/>
      <c r="B3548" s="4"/>
      <c r="C3548" s="4"/>
      <c r="D3548" s="13"/>
      <c r="E3548" s="13"/>
      <c r="F3548" s="4"/>
    </row>
    <row r="3549">
      <c r="A3549" s="4"/>
      <c r="B3549" s="4"/>
      <c r="C3549" s="4"/>
      <c r="D3549" s="13"/>
      <c r="E3549" s="13"/>
      <c r="F3549" s="4"/>
    </row>
    <row r="3550">
      <c r="A3550" s="4"/>
      <c r="B3550" s="4"/>
      <c r="C3550" s="4"/>
      <c r="D3550" s="13"/>
      <c r="E3550" s="13"/>
      <c r="F3550" s="4"/>
    </row>
    <row r="3551">
      <c r="A3551" s="4"/>
      <c r="B3551" s="4"/>
      <c r="C3551" s="4"/>
      <c r="D3551" s="13"/>
      <c r="E3551" s="13"/>
      <c r="F3551" s="4"/>
    </row>
    <row r="3552">
      <c r="A3552" s="4"/>
      <c r="B3552" s="4"/>
      <c r="C3552" s="4"/>
      <c r="D3552" s="13"/>
      <c r="E3552" s="13"/>
      <c r="F3552" s="4"/>
    </row>
    <row r="3553">
      <c r="A3553" s="4"/>
      <c r="B3553" s="4"/>
      <c r="C3553" s="4"/>
      <c r="D3553" s="13"/>
      <c r="E3553" s="13"/>
      <c r="F3553" s="4"/>
    </row>
    <row r="3554">
      <c r="A3554" s="4"/>
      <c r="B3554" s="4"/>
      <c r="C3554" s="4"/>
      <c r="D3554" s="13"/>
      <c r="E3554" s="13"/>
      <c r="F3554" s="4"/>
    </row>
    <row r="3555">
      <c r="A3555" s="4"/>
      <c r="B3555" s="4"/>
      <c r="C3555" s="4"/>
      <c r="D3555" s="13"/>
      <c r="E3555" s="13"/>
      <c r="F3555" s="4"/>
    </row>
    <row r="3556">
      <c r="A3556" s="4"/>
      <c r="B3556" s="4"/>
      <c r="C3556" s="4"/>
      <c r="D3556" s="13"/>
      <c r="E3556" s="13"/>
      <c r="F3556" s="4"/>
    </row>
    <row r="3557">
      <c r="A3557" s="4"/>
      <c r="B3557" s="4"/>
      <c r="C3557" s="4"/>
      <c r="D3557" s="13"/>
      <c r="E3557" s="13"/>
      <c r="F3557" s="4"/>
    </row>
    <row r="3558">
      <c r="A3558" s="4"/>
      <c r="B3558" s="4"/>
      <c r="C3558" s="4"/>
      <c r="D3558" s="13"/>
      <c r="E3558" s="13"/>
      <c r="F3558" s="4"/>
    </row>
    <row r="3559">
      <c r="A3559" s="4"/>
      <c r="B3559" s="4"/>
      <c r="C3559" s="4"/>
      <c r="D3559" s="13"/>
      <c r="E3559" s="13"/>
      <c r="F3559" s="4"/>
    </row>
    <row r="3560">
      <c r="A3560" s="4"/>
      <c r="B3560" s="4"/>
      <c r="C3560" s="4"/>
      <c r="D3560" s="13"/>
      <c r="E3560" s="13"/>
      <c r="F3560" s="4"/>
    </row>
    <row r="3561">
      <c r="A3561" s="4"/>
      <c r="B3561" s="4"/>
      <c r="C3561" s="4"/>
      <c r="D3561" s="13"/>
      <c r="E3561" s="13"/>
      <c r="F3561" s="4"/>
    </row>
    <row r="3562">
      <c r="A3562" s="4"/>
      <c r="B3562" s="4"/>
      <c r="C3562" s="4"/>
      <c r="D3562" s="13"/>
      <c r="E3562" s="13"/>
      <c r="F3562" s="4"/>
    </row>
    <row r="3563">
      <c r="A3563" s="4"/>
      <c r="B3563" s="4"/>
      <c r="C3563" s="4"/>
      <c r="D3563" s="13"/>
      <c r="E3563" s="13"/>
      <c r="F3563" s="4"/>
    </row>
    <row r="3564">
      <c r="A3564" s="4"/>
      <c r="B3564" s="4"/>
      <c r="C3564" s="4"/>
      <c r="D3564" s="13"/>
      <c r="E3564" s="13"/>
      <c r="F3564" s="4"/>
    </row>
    <row r="3565">
      <c r="A3565" s="4"/>
      <c r="B3565" s="4"/>
      <c r="C3565" s="4"/>
      <c r="D3565" s="13"/>
      <c r="E3565" s="13"/>
      <c r="F3565" s="4"/>
    </row>
    <row r="3566">
      <c r="A3566" s="4"/>
      <c r="B3566" s="4"/>
      <c r="C3566" s="4"/>
      <c r="D3566" s="13"/>
      <c r="E3566" s="13"/>
      <c r="F3566" s="4"/>
    </row>
    <row r="3567">
      <c r="A3567" s="4"/>
      <c r="B3567" s="4"/>
      <c r="C3567" s="4"/>
      <c r="D3567" s="13"/>
      <c r="E3567" s="13"/>
      <c r="F3567" s="4"/>
    </row>
    <row r="3568">
      <c r="A3568" s="4"/>
      <c r="B3568" s="4"/>
      <c r="C3568" s="4"/>
      <c r="D3568" s="13"/>
      <c r="E3568" s="13"/>
      <c r="F3568" s="4"/>
    </row>
    <row r="3569">
      <c r="A3569" s="4"/>
      <c r="B3569" s="4"/>
      <c r="C3569" s="4"/>
      <c r="D3569" s="13"/>
      <c r="E3569" s="13"/>
      <c r="F3569" s="4"/>
    </row>
    <row r="3570">
      <c r="A3570" s="4"/>
      <c r="B3570" s="4"/>
      <c r="C3570" s="4"/>
      <c r="D3570" s="13"/>
      <c r="E3570" s="13"/>
      <c r="F3570" s="4"/>
    </row>
    <row r="3571">
      <c r="A3571" s="4"/>
      <c r="B3571" s="4"/>
      <c r="C3571" s="4"/>
      <c r="D3571" s="13"/>
      <c r="E3571" s="13"/>
      <c r="F3571" s="4"/>
    </row>
    <row r="3572">
      <c r="A3572" s="4"/>
      <c r="B3572" s="4"/>
      <c r="C3572" s="4"/>
      <c r="D3572" s="13"/>
      <c r="E3572" s="13"/>
      <c r="F3572" s="4"/>
    </row>
    <row r="3573">
      <c r="A3573" s="4"/>
      <c r="B3573" s="4"/>
      <c r="C3573" s="4"/>
      <c r="D3573" s="13"/>
      <c r="E3573" s="13"/>
      <c r="F3573" s="4"/>
    </row>
    <row r="3574">
      <c r="A3574" s="4"/>
      <c r="B3574" s="4"/>
      <c r="C3574" s="4"/>
      <c r="D3574" s="13"/>
      <c r="E3574" s="13"/>
      <c r="F3574" s="4"/>
    </row>
    <row r="3575">
      <c r="A3575" s="4"/>
      <c r="B3575" s="4"/>
      <c r="C3575" s="4"/>
      <c r="D3575" s="13"/>
      <c r="E3575" s="13"/>
      <c r="F3575" s="4"/>
    </row>
    <row r="3576">
      <c r="A3576" s="4"/>
      <c r="B3576" s="4"/>
      <c r="C3576" s="4"/>
      <c r="D3576" s="13"/>
      <c r="E3576" s="13"/>
      <c r="F3576" s="4"/>
    </row>
    <row r="3577">
      <c r="A3577" s="4"/>
      <c r="B3577" s="4"/>
      <c r="C3577" s="4"/>
      <c r="D3577" s="13"/>
      <c r="E3577" s="13"/>
      <c r="F3577" s="4"/>
    </row>
    <row r="3578">
      <c r="A3578" s="4"/>
      <c r="B3578" s="4"/>
      <c r="C3578" s="4"/>
      <c r="D3578" s="13"/>
      <c r="E3578" s="13"/>
      <c r="F3578" s="4"/>
    </row>
    <row r="3579">
      <c r="A3579" s="4"/>
      <c r="B3579" s="4"/>
      <c r="C3579" s="4"/>
      <c r="D3579" s="13"/>
      <c r="E3579" s="13"/>
      <c r="F3579" s="4"/>
    </row>
    <row r="3580">
      <c r="A3580" s="4"/>
      <c r="B3580" s="4"/>
      <c r="C3580" s="4"/>
      <c r="D3580" s="13"/>
      <c r="E3580" s="13"/>
      <c r="F3580" s="4"/>
    </row>
    <row r="3581">
      <c r="A3581" s="4"/>
      <c r="B3581" s="4"/>
      <c r="C3581" s="4"/>
      <c r="D3581" s="13"/>
      <c r="E3581" s="13"/>
      <c r="F3581" s="4"/>
    </row>
    <row r="3582">
      <c r="A3582" s="4"/>
      <c r="B3582" s="4"/>
      <c r="C3582" s="4"/>
      <c r="D3582" s="13"/>
      <c r="E3582" s="13"/>
      <c r="F3582" s="4"/>
    </row>
    <row r="3583">
      <c r="A3583" s="4"/>
      <c r="B3583" s="4"/>
      <c r="C3583" s="4"/>
      <c r="D3583" s="13"/>
      <c r="E3583" s="13"/>
      <c r="F3583" s="4"/>
    </row>
    <row r="3584">
      <c r="A3584" s="4"/>
      <c r="B3584" s="4"/>
      <c r="C3584" s="4"/>
      <c r="D3584" s="13"/>
      <c r="E3584" s="13"/>
      <c r="F3584" s="4"/>
    </row>
    <row r="3585">
      <c r="A3585" s="4"/>
      <c r="B3585" s="4"/>
      <c r="C3585" s="4"/>
      <c r="D3585" s="13"/>
      <c r="E3585" s="13"/>
      <c r="F3585" s="4"/>
    </row>
    <row r="3586">
      <c r="A3586" s="4"/>
      <c r="B3586" s="4"/>
      <c r="C3586" s="4"/>
      <c r="D3586" s="13"/>
      <c r="E3586" s="13"/>
      <c r="F3586" s="4"/>
    </row>
    <row r="3587">
      <c r="A3587" s="4"/>
      <c r="B3587" s="4"/>
      <c r="C3587" s="4"/>
      <c r="D3587" s="13"/>
      <c r="E3587" s="13"/>
      <c r="F3587" s="4"/>
    </row>
    <row r="3588">
      <c r="A3588" s="4"/>
      <c r="B3588" s="4"/>
      <c r="C3588" s="4"/>
      <c r="D3588" s="13"/>
      <c r="E3588" s="13"/>
      <c r="F3588" s="4"/>
    </row>
    <row r="3589">
      <c r="A3589" s="4"/>
      <c r="B3589" s="4"/>
      <c r="C3589" s="4"/>
      <c r="D3589" s="13"/>
      <c r="E3589" s="13"/>
      <c r="F3589" s="4"/>
    </row>
    <row r="3590">
      <c r="A3590" s="4"/>
      <c r="B3590" s="4"/>
      <c r="C3590" s="4"/>
      <c r="D3590" s="13"/>
      <c r="E3590" s="13"/>
      <c r="F3590" s="4"/>
    </row>
    <row r="3591">
      <c r="A3591" s="4"/>
      <c r="B3591" s="4"/>
      <c r="C3591" s="4"/>
      <c r="D3591" s="13"/>
      <c r="E3591" s="13"/>
      <c r="F3591" s="4"/>
    </row>
    <row r="3592">
      <c r="A3592" s="4"/>
      <c r="B3592" s="4"/>
      <c r="C3592" s="4"/>
      <c r="D3592" s="13"/>
      <c r="E3592" s="13"/>
      <c r="F3592" s="4"/>
    </row>
    <row r="3593">
      <c r="A3593" s="4"/>
      <c r="B3593" s="4"/>
      <c r="C3593" s="4"/>
      <c r="D3593" s="13"/>
      <c r="E3593" s="13"/>
      <c r="F3593" s="4"/>
    </row>
    <row r="3594">
      <c r="A3594" s="4"/>
      <c r="B3594" s="4"/>
      <c r="C3594" s="4"/>
      <c r="D3594" s="13"/>
      <c r="E3594" s="13"/>
      <c r="F3594" s="4"/>
    </row>
    <row r="3595">
      <c r="A3595" s="4"/>
      <c r="B3595" s="4"/>
      <c r="C3595" s="4"/>
      <c r="D3595" s="13"/>
      <c r="E3595" s="13"/>
      <c r="F3595" s="4"/>
    </row>
    <row r="3596">
      <c r="A3596" s="4"/>
      <c r="B3596" s="4"/>
      <c r="C3596" s="4"/>
      <c r="D3596" s="13"/>
      <c r="E3596" s="13"/>
      <c r="F3596" s="4"/>
    </row>
    <row r="3597">
      <c r="A3597" s="4"/>
      <c r="B3597" s="4"/>
      <c r="C3597" s="4"/>
      <c r="D3597" s="13"/>
      <c r="E3597" s="13"/>
      <c r="F3597" s="4"/>
    </row>
    <row r="3598">
      <c r="A3598" s="4"/>
      <c r="B3598" s="4"/>
      <c r="C3598" s="4"/>
      <c r="D3598" s="13"/>
      <c r="E3598" s="13"/>
      <c r="F3598" s="4"/>
    </row>
    <row r="3599">
      <c r="A3599" s="4"/>
      <c r="B3599" s="4"/>
      <c r="C3599" s="4"/>
      <c r="D3599" s="13"/>
      <c r="E3599" s="13"/>
      <c r="F3599" s="4"/>
    </row>
    <row r="3600">
      <c r="A3600" s="4"/>
      <c r="B3600" s="4"/>
      <c r="C3600" s="4"/>
      <c r="D3600" s="13"/>
      <c r="E3600" s="13"/>
      <c r="F3600" s="4"/>
    </row>
    <row r="3601">
      <c r="A3601" s="4"/>
      <c r="B3601" s="4"/>
      <c r="C3601" s="4"/>
      <c r="D3601" s="13"/>
      <c r="E3601" s="13"/>
      <c r="F3601" s="4"/>
    </row>
    <row r="3602">
      <c r="A3602" s="4"/>
      <c r="B3602" s="4"/>
      <c r="C3602" s="4"/>
      <c r="D3602" s="13"/>
      <c r="E3602" s="13"/>
      <c r="F3602" s="4"/>
    </row>
    <row r="3603">
      <c r="A3603" s="4"/>
      <c r="B3603" s="4"/>
      <c r="C3603" s="4"/>
      <c r="D3603" s="13"/>
      <c r="E3603" s="13"/>
      <c r="F3603" s="4"/>
    </row>
    <row r="3604">
      <c r="A3604" s="4"/>
      <c r="B3604" s="4"/>
      <c r="C3604" s="4"/>
      <c r="D3604" s="13"/>
      <c r="E3604" s="13"/>
      <c r="F3604" s="4"/>
    </row>
    <row r="3605">
      <c r="A3605" s="4"/>
      <c r="B3605" s="4"/>
      <c r="C3605" s="4"/>
      <c r="D3605" s="13"/>
      <c r="E3605" s="13"/>
      <c r="F3605" s="4"/>
    </row>
    <row r="3606">
      <c r="A3606" s="4"/>
      <c r="B3606" s="4"/>
      <c r="C3606" s="4"/>
      <c r="D3606" s="13"/>
      <c r="E3606" s="13"/>
      <c r="F3606" s="4"/>
    </row>
    <row r="3607">
      <c r="A3607" s="4"/>
      <c r="B3607" s="4"/>
      <c r="C3607" s="4"/>
      <c r="D3607" s="13"/>
      <c r="E3607" s="13"/>
      <c r="F3607" s="4"/>
    </row>
    <row r="3608">
      <c r="A3608" s="4"/>
      <c r="B3608" s="4"/>
      <c r="C3608" s="4"/>
      <c r="D3608" s="13"/>
      <c r="E3608" s="13"/>
      <c r="F3608" s="4"/>
    </row>
    <row r="3609">
      <c r="A3609" s="4"/>
      <c r="B3609" s="4"/>
      <c r="C3609" s="4"/>
      <c r="D3609" s="13"/>
      <c r="E3609" s="13"/>
      <c r="F3609" s="4"/>
    </row>
    <row r="3610">
      <c r="A3610" s="4"/>
      <c r="B3610" s="4"/>
      <c r="C3610" s="4"/>
      <c r="D3610" s="13"/>
      <c r="E3610" s="13"/>
      <c r="F3610" s="4"/>
    </row>
    <row r="3611">
      <c r="A3611" s="4"/>
      <c r="B3611" s="4"/>
      <c r="C3611" s="4"/>
      <c r="D3611" s="13"/>
      <c r="E3611" s="13"/>
      <c r="F3611" s="4"/>
    </row>
    <row r="3612">
      <c r="A3612" s="4"/>
      <c r="B3612" s="4"/>
      <c r="C3612" s="4"/>
      <c r="D3612" s="13"/>
      <c r="E3612" s="13"/>
      <c r="F3612" s="4"/>
    </row>
    <row r="3613">
      <c r="A3613" s="4"/>
      <c r="B3613" s="4"/>
      <c r="C3613" s="4"/>
      <c r="D3613" s="13"/>
      <c r="E3613" s="13"/>
      <c r="F3613" s="4"/>
    </row>
    <row r="3614">
      <c r="A3614" s="4"/>
      <c r="B3614" s="4"/>
      <c r="C3614" s="4"/>
      <c r="D3614" s="13"/>
      <c r="E3614" s="13"/>
      <c r="F3614" s="4"/>
    </row>
    <row r="3615">
      <c r="A3615" s="4"/>
      <c r="B3615" s="4"/>
      <c r="C3615" s="4"/>
      <c r="D3615" s="13"/>
      <c r="E3615" s="13"/>
      <c r="F3615" s="4"/>
    </row>
    <row r="3616">
      <c r="A3616" s="4"/>
      <c r="B3616" s="4"/>
      <c r="C3616" s="4"/>
      <c r="D3616" s="13"/>
      <c r="E3616" s="13"/>
      <c r="F3616" s="4"/>
    </row>
    <row r="3617">
      <c r="A3617" s="4"/>
      <c r="B3617" s="4"/>
      <c r="C3617" s="4"/>
      <c r="D3617" s="13"/>
      <c r="E3617" s="13"/>
      <c r="F3617" s="4"/>
    </row>
    <row r="3618">
      <c r="A3618" s="4"/>
      <c r="B3618" s="4"/>
      <c r="C3618" s="4"/>
      <c r="D3618" s="13"/>
      <c r="E3618" s="13"/>
      <c r="F3618" s="4"/>
    </row>
    <row r="3619">
      <c r="A3619" s="4"/>
      <c r="B3619" s="4"/>
      <c r="C3619" s="4"/>
      <c r="D3619" s="13"/>
      <c r="E3619" s="13"/>
      <c r="F3619" s="4"/>
    </row>
    <row r="3620">
      <c r="A3620" s="4"/>
      <c r="B3620" s="4"/>
      <c r="C3620" s="4"/>
      <c r="D3620" s="13"/>
      <c r="E3620" s="13"/>
      <c r="F3620" s="4"/>
    </row>
    <row r="3621">
      <c r="A3621" s="4"/>
      <c r="B3621" s="4"/>
      <c r="C3621" s="4"/>
      <c r="D3621" s="13"/>
      <c r="E3621" s="13"/>
      <c r="F3621" s="4"/>
    </row>
    <row r="3622">
      <c r="A3622" s="4"/>
      <c r="B3622" s="4"/>
      <c r="C3622" s="4"/>
      <c r="D3622" s="13"/>
      <c r="E3622" s="13"/>
      <c r="F3622" s="4"/>
    </row>
    <row r="3623">
      <c r="A3623" s="4"/>
      <c r="B3623" s="4"/>
      <c r="C3623" s="4"/>
      <c r="D3623" s="13"/>
      <c r="E3623" s="13"/>
      <c r="F3623" s="4"/>
    </row>
    <row r="3624">
      <c r="A3624" s="4"/>
      <c r="B3624" s="4"/>
      <c r="C3624" s="4"/>
      <c r="D3624" s="13"/>
      <c r="E3624" s="13"/>
      <c r="F3624" s="4"/>
    </row>
    <row r="3625">
      <c r="A3625" s="4"/>
      <c r="B3625" s="4"/>
      <c r="C3625" s="4"/>
      <c r="D3625" s="13"/>
      <c r="E3625" s="13"/>
      <c r="F3625" s="4"/>
    </row>
    <row r="3626">
      <c r="A3626" s="4"/>
      <c r="B3626" s="4"/>
      <c r="C3626" s="4"/>
      <c r="D3626" s="13"/>
      <c r="E3626" s="13"/>
      <c r="F3626" s="4"/>
    </row>
    <row r="3627">
      <c r="A3627" s="4"/>
      <c r="B3627" s="4"/>
      <c r="C3627" s="4"/>
      <c r="D3627" s="13"/>
      <c r="E3627" s="13"/>
      <c r="F3627" s="4"/>
    </row>
    <row r="3628">
      <c r="A3628" s="4"/>
      <c r="B3628" s="4"/>
      <c r="C3628" s="4"/>
      <c r="D3628" s="13"/>
      <c r="E3628" s="13"/>
      <c r="F3628" s="4"/>
    </row>
    <row r="3629">
      <c r="A3629" s="4"/>
      <c r="B3629" s="4"/>
      <c r="C3629" s="4"/>
      <c r="D3629" s="13"/>
      <c r="E3629" s="13"/>
      <c r="F3629" s="4"/>
    </row>
    <row r="3630">
      <c r="A3630" s="4"/>
      <c r="B3630" s="4"/>
      <c r="C3630" s="4"/>
      <c r="D3630" s="13"/>
      <c r="E3630" s="13"/>
      <c r="F3630" s="4"/>
    </row>
    <row r="3631">
      <c r="A3631" s="4"/>
      <c r="B3631" s="4"/>
      <c r="C3631" s="4"/>
      <c r="D3631" s="13"/>
      <c r="E3631" s="13"/>
      <c r="F3631" s="4"/>
    </row>
    <row r="3632">
      <c r="A3632" s="4"/>
      <c r="B3632" s="4"/>
      <c r="C3632" s="4"/>
      <c r="D3632" s="13"/>
      <c r="E3632" s="13"/>
      <c r="F3632" s="4"/>
    </row>
    <row r="3633">
      <c r="A3633" s="4"/>
      <c r="B3633" s="4"/>
      <c r="C3633" s="4"/>
      <c r="D3633" s="13"/>
      <c r="E3633" s="13"/>
      <c r="F3633" s="4"/>
    </row>
    <row r="3634">
      <c r="A3634" s="4"/>
      <c r="B3634" s="4"/>
      <c r="C3634" s="4"/>
      <c r="D3634" s="13"/>
      <c r="E3634" s="13"/>
      <c r="F3634" s="4"/>
    </row>
    <row r="3635">
      <c r="A3635" s="4"/>
      <c r="B3635" s="4"/>
      <c r="C3635" s="4"/>
      <c r="D3635" s="13"/>
      <c r="E3635" s="13"/>
      <c r="F3635" s="4"/>
    </row>
    <row r="3636">
      <c r="A3636" s="4"/>
      <c r="B3636" s="4"/>
      <c r="C3636" s="4"/>
      <c r="D3636" s="13"/>
      <c r="E3636" s="13"/>
      <c r="F3636" s="4"/>
    </row>
    <row r="3637">
      <c r="A3637" s="4"/>
      <c r="B3637" s="4"/>
      <c r="C3637" s="4"/>
      <c r="D3637" s="13"/>
      <c r="E3637" s="13"/>
      <c r="F3637" s="4"/>
    </row>
    <row r="3638">
      <c r="A3638" s="4"/>
      <c r="B3638" s="4"/>
      <c r="C3638" s="4"/>
      <c r="D3638" s="13"/>
      <c r="E3638" s="13"/>
      <c r="F3638" s="4"/>
    </row>
    <row r="3639">
      <c r="A3639" s="4"/>
      <c r="B3639" s="4"/>
      <c r="C3639" s="4"/>
      <c r="D3639" s="13"/>
      <c r="E3639" s="13"/>
      <c r="F3639" s="4"/>
    </row>
    <row r="3640">
      <c r="A3640" s="4"/>
      <c r="B3640" s="4"/>
      <c r="C3640" s="4"/>
      <c r="D3640" s="13"/>
      <c r="E3640" s="13"/>
      <c r="F3640" s="4"/>
    </row>
    <row r="3641">
      <c r="A3641" s="4"/>
      <c r="B3641" s="4"/>
      <c r="C3641" s="4"/>
      <c r="D3641" s="13"/>
      <c r="E3641" s="13"/>
      <c r="F3641" s="4"/>
    </row>
    <row r="3642">
      <c r="A3642" s="4"/>
      <c r="B3642" s="4"/>
      <c r="C3642" s="4"/>
      <c r="D3642" s="13"/>
      <c r="E3642" s="13"/>
      <c r="F3642" s="4"/>
    </row>
    <row r="3643">
      <c r="A3643" s="4"/>
      <c r="B3643" s="4"/>
      <c r="C3643" s="4"/>
      <c r="D3643" s="13"/>
      <c r="E3643" s="13"/>
      <c r="F3643" s="4"/>
    </row>
    <row r="3644">
      <c r="A3644" s="4"/>
      <c r="B3644" s="4"/>
      <c r="C3644" s="4"/>
      <c r="D3644" s="13"/>
      <c r="E3644" s="13"/>
      <c r="F3644" s="4"/>
    </row>
    <row r="3645">
      <c r="A3645" s="4"/>
      <c r="B3645" s="4"/>
      <c r="C3645" s="4"/>
      <c r="D3645" s="13"/>
      <c r="E3645" s="13"/>
      <c r="F3645" s="4"/>
    </row>
    <row r="3646">
      <c r="A3646" s="4"/>
      <c r="B3646" s="4"/>
      <c r="C3646" s="4"/>
      <c r="D3646" s="13"/>
      <c r="E3646" s="13"/>
      <c r="F3646" s="4"/>
    </row>
    <row r="3647">
      <c r="A3647" s="4"/>
      <c r="B3647" s="4"/>
      <c r="C3647" s="4"/>
      <c r="D3647" s="13"/>
      <c r="E3647" s="13"/>
      <c r="F3647" s="4"/>
    </row>
    <row r="3648">
      <c r="A3648" s="4"/>
      <c r="B3648" s="4"/>
      <c r="C3648" s="4"/>
      <c r="D3648" s="13"/>
      <c r="E3648" s="13"/>
      <c r="F3648" s="4"/>
    </row>
    <row r="3649">
      <c r="A3649" s="4"/>
      <c r="B3649" s="4"/>
      <c r="C3649" s="4"/>
      <c r="D3649" s="13"/>
      <c r="E3649" s="13"/>
      <c r="F3649" s="4"/>
    </row>
    <row r="3650">
      <c r="A3650" s="4"/>
      <c r="B3650" s="4"/>
      <c r="C3650" s="4"/>
      <c r="D3650" s="13"/>
      <c r="E3650" s="13"/>
      <c r="F3650" s="4"/>
    </row>
    <row r="3651">
      <c r="A3651" s="4"/>
      <c r="B3651" s="4"/>
      <c r="C3651" s="4"/>
      <c r="D3651" s="13"/>
      <c r="E3651" s="13"/>
      <c r="F3651" s="4"/>
    </row>
    <row r="3652">
      <c r="A3652" s="4"/>
      <c r="B3652" s="4"/>
      <c r="C3652" s="4"/>
      <c r="D3652" s="13"/>
      <c r="E3652" s="13"/>
      <c r="F3652" s="4"/>
    </row>
    <row r="3653">
      <c r="A3653" s="4"/>
      <c r="B3653" s="4"/>
      <c r="C3653" s="4"/>
      <c r="D3653" s="13"/>
      <c r="E3653" s="13"/>
      <c r="F3653" s="4"/>
    </row>
    <row r="3654">
      <c r="A3654" s="4"/>
      <c r="B3654" s="4"/>
      <c r="C3654" s="4"/>
      <c r="D3654" s="13"/>
      <c r="E3654" s="13"/>
      <c r="F3654" s="4"/>
    </row>
    <row r="3655">
      <c r="A3655" s="4"/>
      <c r="B3655" s="4"/>
      <c r="C3655" s="4"/>
      <c r="D3655" s="13"/>
      <c r="E3655" s="13"/>
      <c r="F3655" s="4"/>
    </row>
    <row r="3656">
      <c r="A3656" s="4"/>
      <c r="B3656" s="4"/>
      <c r="C3656" s="4"/>
      <c r="D3656" s="13"/>
      <c r="E3656" s="13"/>
      <c r="F3656" s="4"/>
    </row>
    <row r="3657">
      <c r="A3657" s="4"/>
      <c r="B3657" s="4"/>
      <c r="C3657" s="4"/>
      <c r="D3657" s="13"/>
      <c r="E3657" s="13"/>
      <c r="F3657" s="4"/>
    </row>
    <row r="3658">
      <c r="A3658" s="4"/>
      <c r="B3658" s="4"/>
      <c r="C3658" s="4"/>
      <c r="D3658" s="13"/>
      <c r="E3658" s="13"/>
      <c r="F3658" s="4"/>
    </row>
    <row r="3659">
      <c r="A3659" s="4"/>
      <c r="B3659" s="4"/>
      <c r="C3659" s="4"/>
      <c r="D3659" s="13"/>
      <c r="E3659" s="13"/>
      <c r="F3659" s="4"/>
    </row>
    <row r="3660">
      <c r="A3660" s="4"/>
      <c r="B3660" s="4"/>
      <c r="C3660" s="4"/>
      <c r="D3660" s="13"/>
      <c r="E3660" s="13"/>
      <c r="F3660" s="4"/>
    </row>
    <row r="3661">
      <c r="A3661" s="4"/>
      <c r="B3661" s="4"/>
      <c r="C3661" s="4"/>
      <c r="D3661" s="13"/>
      <c r="E3661" s="13"/>
      <c r="F3661" s="4"/>
    </row>
    <row r="3662">
      <c r="A3662" s="4"/>
      <c r="B3662" s="4"/>
      <c r="C3662" s="4"/>
      <c r="D3662" s="13"/>
      <c r="E3662" s="13"/>
      <c r="F3662" s="4"/>
    </row>
    <row r="3663">
      <c r="A3663" s="4"/>
      <c r="B3663" s="4"/>
      <c r="C3663" s="4"/>
      <c r="D3663" s="13"/>
      <c r="E3663" s="13"/>
      <c r="F3663" s="4"/>
    </row>
    <row r="3664">
      <c r="A3664" s="4"/>
      <c r="B3664" s="4"/>
      <c r="C3664" s="4"/>
      <c r="D3664" s="13"/>
      <c r="E3664" s="13"/>
      <c r="F3664" s="4"/>
    </row>
    <row r="3665">
      <c r="A3665" s="4"/>
      <c r="B3665" s="4"/>
      <c r="C3665" s="4"/>
      <c r="D3665" s="13"/>
      <c r="E3665" s="13"/>
      <c r="F3665" s="4"/>
    </row>
    <row r="3666">
      <c r="A3666" s="4"/>
      <c r="B3666" s="4"/>
      <c r="C3666" s="4"/>
      <c r="D3666" s="13"/>
      <c r="E3666" s="13"/>
      <c r="F3666" s="4"/>
    </row>
    <row r="3667">
      <c r="A3667" s="4"/>
      <c r="B3667" s="4"/>
      <c r="C3667" s="4"/>
      <c r="D3667" s="13"/>
      <c r="E3667" s="13"/>
      <c r="F3667" s="4"/>
    </row>
    <row r="3668">
      <c r="A3668" s="4"/>
      <c r="B3668" s="4"/>
      <c r="C3668" s="4"/>
      <c r="D3668" s="13"/>
      <c r="E3668" s="13"/>
      <c r="F3668" s="4"/>
    </row>
    <row r="3669">
      <c r="A3669" s="4"/>
      <c r="B3669" s="4"/>
      <c r="C3669" s="4"/>
      <c r="D3669" s="13"/>
      <c r="E3669" s="13"/>
      <c r="F3669" s="4"/>
    </row>
    <row r="3670">
      <c r="A3670" s="4"/>
      <c r="B3670" s="4"/>
      <c r="C3670" s="4"/>
      <c r="D3670" s="13"/>
      <c r="E3670" s="13"/>
      <c r="F3670" s="4"/>
    </row>
    <row r="3671">
      <c r="A3671" s="4"/>
      <c r="B3671" s="4"/>
      <c r="C3671" s="4"/>
      <c r="D3671" s="13"/>
      <c r="E3671" s="13"/>
      <c r="F3671" s="4"/>
    </row>
    <row r="3672">
      <c r="A3672" s="4"/>
      <c r="B3672" s="4"/>
      <c r="C3672" s="4"/>
      <c r="D3672" s="13"/>
      <c r="E3672" s="13"/>
      <c r="F3672" s="4"/>
    </row>
    <row r="3673">
      <c r="A3673" s="4"/>
      <c r="B3673" s="4"/>
      <c r="C3673" s="4"/>
      <c r="D3673" s="13"/>
      <c r="E3673" s="13"/>
      <c r="F3673" s="4"/>
    </row>
    <row r="3674">
      <c r="A3674" s="4"/>
      <c r="B3674" s="4"/>
      <c r="C3674" s="4"/>
      <c r="D3674" s="13"/>
      <c r="E3674" s="13"/>
      <c r="F3674" s="4"/>
    </row>
    <row r="3675">
      <c r="A3675" s="4"/>
      <c r="B3675" s="4"/>
      <c r="C3675" s="4"/>
      <c r="D3675" s="13"/>
      <c r="E3675" s="13"/>
      <c r="F3675" s="4"/>
    </row>
    <row r="3676">
      <c r="A3676" s="4"/>
      <c r="B3676" s="4"/>
      <c r="C3676" s="4"/>
      <c r="D3676" s="13"/>
      <c r="E3676" s="13"/>
      <c r="F3676" s="4"/>
    </row>
    <row r="3677">
      <c r="A3677" s="4"/>
      <c r="B3677" s="4"/>
      <c r="C3677" s="4"/>
      <c r="D3677" s="13"/>
      <c r="E3677" s="13"/>
      <c r="F3677" s="4"/>
    </row>
    <row r="3678">
      <c r="A3678" s="4"/>
      <c r="B3678" s="4"/>
      <c r="C3678" s="4"/>
      <c r="D3678" s="13"/>
      <c r="E3678" s="13"/>
      <c r="F3678" s="4"/>
    </row>
    <row r="3679">
      <c r="A3679" s="4"/>
      <c r="B3679" s="4"/>
      <c r="C3679" s="4"/>
      <c r="D3679" s="13"/>
      <c r="E3679" s="13"/>
      <c r="F3679" s="4"/>
    </row>
    <row r="3680">
      <c r="A3680" s="4"/>
      <c r="B3680" s="4"/>
      <c r="C3680" s="4"/>
      <c r="D3680" s="13"/>
      <c r="E3680" s="13"/>
      <c r="F3680" s="4"/>
    </row>
    <row r="3681">
      <c r="A3681" s="4"/>
      <c r="B3681" s="4"/>
      <c r="C3681" s="4"/>
      <c r="D3681" s="13"/>
      <c r="E3681" s="13"/>
      <c r="F3681" s="4"/>
    </row>
    <row r="3682">
      <c r="A3682" s="4"/>
      <c r="B3682" s="4"/>
      <c r="C3682" s="4"/>
      <c r="D3682" s="13"/>
      <c r="E3682" s="13"/>
      <c r="F3682" s="4"/>
    </row>
    <row r="3683">
      <c r="A3683" s="4"/>
      <c r="B3683" s="4"/>
      <c r="C3683" s="4"/>
      <c r="D3683" s="13"/>
      <c r="E3683" s="13"/>
      <c r="F3683" s="4"/>
    </row>
    <row r="3684">
      <c r="A3684" s="4"/>
      <c r="B3684" s="4"/>
      <c r="C3684" s="4"/>
      <c r="D3684" s="13"/>
      <c r="E3684" s="13"/>
      <c r="F3684" s="4"/>
    </row>
    <row r="3685">
      <c r="A3685" s="4"/>
      <c r="B3685" s="4"/>
      <c r="C3685" s="4"/>
      <c r="D3685" s="13"/>
      <c r="E3685" s="13"/>
      <c r="F3685" s="4"/>
    </row>
    <row r="3686">
      <c r="A3686" s="4"/>
      <c r="B3686" s="4"/>
      <c r="C3686" s="4"/>
      <c r="D3686" s="13"/>
      <c r="E3686" s="13"/>
      <c r="F3686" s="4"/>
    </row>
    <row r="3687">
      <c r="A3687" s="4"/>
      <c r="B3687" s="4"/>
      <c r="C3687" s="4"/>
      <c r="D3687" s="13"/>
      <c r="E3687" s="13"/>
      <c r="F3687" s="4"/>
    </row>
    <row r="3688">
      <c r="A3688" s="4"/>
      <c r="B3688" s="4"/>
      <c r="C3688" s="4"/>
      <c r="D3688" s="13"/>
      <c r="E3688" s="13"/>
      <c r="F3688" s="4"/>
    </row>
    <row r="3689">
      <c r="A3689" s="4"/>
      <c r="B3689" s="4"/>
      <c r="C3689" s="4"/>
      <c r="D3689" s="13"/>
      <c r="E3689" s="13"/>
      <c r="F3689" s="4"/>
    </row>
    <row r="3690">
      <c r="A3690" s="4"/>
      <c r="B3690" s="4"/>
      <c r="C3690" s="4"/>
      <c r="D3690" s="13"/>
      <c r="E3690" s="13"/>
      <c r="F3690" s="4"/>
    </row>
    <row r="3691">
      <c r="A3691" s="4"/>
      <c r="B3691" s="4"/>
      <c r="C3691" s="4"/>
      <c r="D3691" s="13"/>
      <c r="E3691" s="13"/>
      <c r="F3691" s="4"/>
    </row>
    <row r="3692">
      <c r="A3692" s="4"/>
      <c r="B3692" s="4"/>
      <c r="C3692" s="4"/>
      <c r="D3692" s="13"/>
      <c r="E3692" s="13"/>
      <c r="F3692" s="4"/>
    </row>
    <row r="3693">
      <c r="A3693" s="4"/>
      <c r="B3693" s="4"/>
      <c r="C3693" s="4"/>
      <c r="D3693" s="13"/>
      <c r="E3693" s="13"/>
      <c r="F3693" s="4"/>
    </row>
    <row r="3694">
      <c r="A3694" s="4"/>
      <c r="B3694" s="4"/>
      <c r="C3694" s="4"/>
      <c r="D3694" s="13"/>
      <c r="E3694" s="13"/>
      <c r="F3694" s="4"/>
    </row>
    <row r="3695">
      <c r="A3695" s="4"/>
      <c r="B3695" s="4"/>
      <c r="C3695" s="4"/>
      <c r="D3695" s="13"/>
      <c r="E3695" s="13"/>
      <c r="F3695" s="4"/>
    </row>
    <row r="3696">
      <c r="A3696" s="4"/>
      <c r="B3696" s="4"/>
      <c r="C3696" s="4"/>
      <c r="D3696" s="13"/>
      <c r="E3696" s="13"/>
      <c r="F3696" s="4"/>
    </row>
    <row r="3697">
      <c r="A3697" s="4"/>
      <c r="B3697" s="4"/>
      <c r="C3697" s="4"/>
      <c r="D3697" s="13"/>
      <c r="E3697" s="13"/>
      <c r="F3697" s="4"/>
    </row>
    <row r="3698">
      <c r="A3698" s="4"/>
      <c r="B3698" s="4"/>
      <c r="C3698" s="4"/>
      <c r="D3698" s="13"/>
      <c r="E3698" s="13"/>
      <c r="F3698" s="4"/>
    </row>
    <row r="3699">
      <c r="A3699" s="4"/>
      <c r="B3699" s="4"/>
      <c r="C3699" s="4"/>
      <c r="D3699" s="13"/>
      <c r="E3699" s="13"/>
      <c r="F3699" s="4"/>
    </row>
    <row r="3700">
      <c r="A3700" s="4"/>
      <c r="B3700" s="4"/>
      <c r="C3700" s="4"/>
      <c r="D3700" s="13"/>
      <c r="E3700" s="13"/>
      <c r="F3700" s="4"/>
    </row>
    <row r="3701">
      <c r="A3701" s="4"/>
      <c r="B3701" s="4"/>
      <c r="C3701" s="4"/>
      <c r="D3701" s="13"/>
      <c r="E3701" s="13"/>
      <c r="F3701" s="4"/>
    </row>
    <row r="3702">
      <c r="A3702" s="4"/>
      <c r="B3702" s="4"/>
      <c r="C3702" s="4"/>
      <c r="D3702" s="13"/>
      <c r="E3702" s="13"/>
      <c r="F3702" s="4"/>
    </row>
    <row r="3703">
      <c r="A3703" s="4"/>
      <c r="B3703" s="4"/>
      <c r="C3703" s="4"/>
      <c r="D3703" s="13"/>
      <c r="E3703" s="13"/>
      <c r="F3703" s="4"/>
    </row>
    <row r="3704">
      <c r="A3704" s="4"/>
      <c r="B3704" s="4"/>
      <c r="C3704" s="4"/>
      <c r="D3704" s="13"/>
      <c r="E3704" s="13"/>
      <c r="F3704" s="4"/>
    </row>
    <row r="3705">
      <c r="A3705" s="4"/>
      <c r="B3705" s="4"/>
      <c r="C3705" s="4"/>
      <c r="D3705" s="13"/>
      <c r="E3705" s="13"/>
      <c r="F3705" s="4"/>
    </row>
    <row r="3706">
      <c r="A3706" s="4"/>
      <c r="B3706" s="4"/>
      <c r="C3706" s="4"/>
      <c r="D3706" s="13"/>
      <c r="E3706" s="13"/>
      <c r="F3706" s="4"/>
    </row>
    <row r="3707">
      <c r="A3707" s="4"/>
      <c r="B3707" s="4"/>
      <c r="C3707" s="4"/>
      <c r="D3707" s="13"/>
      <c r="E3707" s="13"/>
      <c r="F3707" s="4"/>
    </row>
    <row r="3708">
      <c r="A3708" s="4"/>
      <c r="B3708" s="4"/>
      <c r="C3708" s="4"/>
      <c r="D3708" s="13"/>
      <c r="E3708" s="13"/>
      <c r="F3708" s="4"/>
    </row>
    <row r="3709">
      <c r="A3709" s="4"/>
      <c r="B3709" s="4"/>
      <c r="C3709" s="4"/>
      <c r="D3709" s="13"/>
      <c r="E3709" s="13"/>
      <c r="F3709" s="4"/>
    </row>
    <row r="3710">
      <c r="A3710" s="4"/>
      <c r="B3710" s="4"/>
      <c r="C3710" s="4"/>
      <c r="D3710" s="13"/>
      <c r="E3710" s="13"/>
      <c r="F3710" s="4"/>
    </row>
    <row r="3711">
      <c r="A3711" s="4"/>
      <c r="B3711" s="4"/>
      <c r="C3711" s="4"/>
      <c r="D3711" s="13"/>
      <c r="E3711" s="13"/>
      <c r="F3711" s="4"/>
    </row>
    <row r="3712">
      <c r="A3712" s="4"/>
      <c r="B3712" s="4"/>
      <c r="C3712" s="4"/>
      <c r="D3712" s="13"/>
      <c r="E3712" s="13"/>
      <c r="F3712" s="4"/>
    </row>
    <row r="3713">
      <c r="A3713" s="4"/>
      <c r="B3713" s="4"/>
      <c r="C3713" s="4"/>
      <c r="D3713" s="13"/>
      <c r="E3713" s="13"/>
      <c r="F3713" s="4"/>
    </row>
    <row r="3714">
      <c r="A3714" s="4"/>
      <c r="B3714" s="4"/>
      <c r="C3714" s="4"/>
      <c r="D3714" s="13"/>
      <c r="E3714" s="13"/>
      <c r="F3714" s="4"/>
    </row>
    <row r="3715">
      <c r="A3715" s="4"/>
      <c r="B3715" s="4"/>
      <c r="C3715" s="4"/>
      <c r="D3715" s="13"/>
      <c r="E3715" s="13"/>
      <c r="F3715" s="4"/>
    </row>
    <row r="3716">
      <c r="A3716" s="4"/>
      <c r="B3716" s="4"/>
      <c r="C3716" s="4"/>
      <c r="D3716" s="13"/>
      <c r="E3716" s="13"/>
      <c r="F3716" s="4"/>
    </row>
    <row r="3717">
      <c r="A3717" s="4"/>
      <c r="B3717" s="4"/>
      <c r="C3717" s="4"/>
      <c r="D3717" s="13"/>
      <c r="E3717" s="13"/>
      <c r="F3717" s="4"/>
    </row>
    <row r="3718">
      <c r="A3718" s="4"/>
      <c r="B3718" s="4"/>
      <c r="C3718" s="4"/>
      <c r="D3718" s="13"/>
      <c r="E3718" s="13"/>
      <c r="F3718" s="4"/>
    </row>
    <row r="3719">
      <c r="A3719" s="4"/>
      <c r="B3719" s="4"/>
      <c r="C3719" s="4"/>
      <c r="D3719" s="13"/>
      <c r="E3719" s="13"/>
      <c r="F3719" s="4"/>
    </row>
    <row r="3720">
      <c r="A3720" s="4"/>
      <c r="B3720" s="4"/>
      <c r="C3720" s="4"/>
      <c r="D3720" s="13"/>
      <c r="E3720" s="13"/>
      <c r="F3720" s="4"/>
    </row>
    <row r="3721">
      <c r="A3721" s="4"/>
      <c r="B3721" s="4"/>
      <c r="C3721" s="4"/>
      <c r="D3721" s="13"/>
      <c r="E3721" s="13"/>
      <c r="F3721" s="4"/>
    </row>
    <row r="3722">
      <c r="A3722" s="4"/>
      <c r="B3722" s="4"/>
      <c r="C3722" s="4"/>
      <c r="D3722" s="13"/>
      <c r="E3722" s="13"/>
      <c r="F3722" s="4"/>
    </row>
    <row r="3723">
      <c r="A3723" s="4"/>
      <c r="B3723" s="4"/>
      <c r="C3723" s="4"/>
      <c r="D3723" s="13"/>
      <c r="E3723" s="13"/>
      <c r="F3723" s="4"/>
    </row>
    <row r="3724">
      <c r="A3724" s="4"/>
      <c r="B3724" s="4"/>
      <c r="C3724" s="4"/>
      <c r="D3724" s="13"/>
      <c r="E3724" s="13"/>
      <c r="F3724" s="4"/>
    </row>
    <row r="3725">
      <c r="A3725" s="4"/>
      <c r="B3725" s="4"/>
      <c r="C3725" s="4"/>
      <c r="D3725" s="13"/>
      <c r="E3725" s="13"/>
      <c r="F3725" s="4"/>
    </row>
    <row r="3726">
      <c r="A3726" s="4"/>
      <c r="B3726" s="4"/>
      <c r="C3726" s="4"/>
      <c r="D3726" s="13"/>
      <c r="E3726" s="13"/>
      <c r="F3726" s="4"/>
    </row>
    <row r="3727">
      <c r="A3727" s="4"/>
      <c r="B3727" s="4"/>
      <c r="C3727" s="4"/>
      <c r="D3727" s="13"/>
      <c r="E3727" s="13"/>
      <c r="F3727" s="4"/>
    </row>
    <row r="3728">
      <c r="A3728" s="4"/>
      <c r="B3728" s="4"/>
      <c r="C3728" s="4"/>
      <c r="D3728" s="13"/>
      <c r="E3728" s="13"/>
      <c r="F3728" s="4"/>
    </row>
    <row r="3729">
      <c r="A3729" s="4"/>
      <c r="B3729" s="4"/>
      <c r="C3729" s="4"/>
      <c r="D3729" s="13"/>
      <c r="E3729" s="13"/>
      <c r="F3729" s="4"/>
    </row>
    <row r="3730">
      <c r="A3730" s="4"/>
      <c r="B3730" s="4"/>
      <c r="C3730" s="4"/>
      <c r="D3730" s="13"/>
      <c r="E3730" s="13"/>
      <c r="F3730" s="4"/>
    </row>
    <row r="3731">
      <c r="A3731" s="4"/>
      <c r="B3731" s="4"/>
      <c r="C3731" s="4"/>
      <c r="D3731" s="13"/>
      <c r="E3731" s="13"/>
      <c r="F3731" s="4"/>
    </row>
    <row r="3732">
      <c r="A3732" s="4"/>
      <c r="B3732" s="4"/>
      <c r="C3732" s="4"/>
      <c r="D3732" s="13"/>
      <c r="E3732" s="13"/>
      <c r="F3732" s="4"/>
    </row>
    <row r="3733">
      <c r="A3733" s="4"/>
      <c r="B3733" s="4"/>
      <c r="C3733" s="4"/>
      <c r="D3733" s="13"/>
      <c r="E3733" s="13"/>
      <c r="F3733" s="4"/>
    </row>
    <row r="3734">
      <c r="A3734" s="4"/>
      <c r="B3734" s="4"/>
      <c r="C3734" s="4"/>
      <c r="D3734" s="13"/>
      <c r="E3734" s="13"/>
      <c r="F3734" s="4"/>
    </row>
    <row r="3735">
      <c r="A3735" s="4"/>
      <c r="B3735" s="4"/>
      <c r="C3735" s="4"/>
      <c r="D3735" s="13"/>
      <c r="E3735" s="13"/>
      <c r="F3735" s="4"/>
    </row>
    <row r="3736">
      <c r="A3736" s="4"/>
      <c r="B3736" s="4"/>
      <c r="C3736" s="4"/>
      <c r="D3736" s="13"/>
      <c r="E3736" s="13"/>
      <c r="F3736" s="4"/>
    </row>
    <row r="3737">
      <c r="A3737" s="4"/>
      <c r="B3737" s="4"/>
      <c r="C3737" s="4"/>
      <c r="D3737" s="13"/>
      <c r="E3737" s="13"/>
      <c r="F3737" s="4"/>
    </row>
    <row r="3738">
      <c r="A3738" s="4"/>
      <c r="B3738" s="4"/>
      <c r="C3738" s="4"/>
      <c r="D3738" s="13"/>
      <c r="E3738" s="13"/>
      <c r="F3738" s="4"/>
    </row>
    <row r="3739">
      <c r="A3739" s="4"/>
      <c r="B3739" s="4"/>
      <c r="C3739" s="4"/>
      <c r="D3739" s="13"/>
      <c r="E3739" s="13"/>
      <c r="F3739" s="4"/>
    </row>
    <row r="3740">
      <c r="A3740" s="4"/>
      <c r="B3740" s="4"/>
      <c r="C3740" s="4"/>
      <c r="D3740" s="13"/>
      <c r="E3740" s="13"/>
      <c r="F3740" s="4"/>
    </row>
    <row r="3741">
      <c r="A3741" s="4"/>
      <c r="B3741" s="4"/>
      <c r="C3741" s="4"/>
      <c r="D3741" s="13"/>
      <c r="E3741" s="13"/>
      <c r="F3741" s="4"/>
    </row>
    <row r="3742">
      <c r="A3742" s="4"/>
      <c r="B3742" s="4"/>
      <c r="C3742" s="4"/>
      <c r="D3742" s="13"/>
      <c r="E3742" s="13"/>
      <c r="F3742" s="4"/>
    </row>
    <row r="3743">
      <c r="A3743" s="4"/>
      <c r="B3743" s="4"/>
      <c r="C3743" s="4"/>
      <c r="D3743" s="13"/>
      <c r="E3743" s="13"/>
      <c r="F3743" s="4"/>
    </row>
    <row r="3744">
      <c r="A3744" s="4"/>
      <c r="B3744" s="4"/>
      <c r="C3744" s="4"/>
      <c r="D3744" s="13"/>
      <c r="E3744" s="13"/>
      <c r="F3744" s="4"/>
    </row>
    <row r="3745">
      <c r="A3745" s="4"/>
      <c r="B3745" s="4"/>
      <c r="C3745" s="4"/>
      <c r="D3745" s="13"/>
      <c r="E3745" s="13"/>
      <c r="F3745" s="4"/>
    </row>
    <row r="3746">
      <c r="A3746" s="4"/>
      <c r="B3746" s="4"/>
      <c r="C3746" s="4"/>
      <c r="D3746" s="13"/>
      <c r="E3746" s="13"/>
      <c r="F3746" s="4"/>
    </row>
    <row r="3747">
      <c r="A3747" s="4"/>
      <c r="B3747" s="4"/>
      <c r="C3747" s="4"/>
      <c r="D3747" s="13"/>
      <c r="E3747" s="13"/>
      <c r="F3747" s="4"/>
    </row>
    <row r="3748">
      <c r="A3748" s="4"/>
      <c r="B3748" s="4"/>
      <c r="C3748" s="4"/>
      <c r="D3748" s="13"/>
      <c r="E3748" s="13"/>
      <c r="F3748" s="4"/>
    </row>
    <row r="3749">
      <c r="A3749" s="4"/>
      <c r="B3749" s="4"/>
      <c r="C3749" s="4"/>
      <c r="D3749" s="13"/>
      <c r="E3749" s="13"/>
      <c r="F3749" s="4"/>
    </row>
    <row r="3750">
      <c r="A3750" s="4"/>
      <c r="B3750" s="4"/>
      <c r="C3750" s="4"/>
      <c r="D3750" s="13"/>
      <c r="E3750" s="13"/>
      <c r="F3750" s="4"/>
    </row>
    <row r="3751">
      <c r="A3751" s="4"/>
      <c r="B3751" s="4"/>
      <c r="C3751" s="4"/>
      <c r="D3751" s="13"/>
      <c r="E3751" s="13"/>
      <c r="F3751" s="4"/>
    </row>
    <row r="3752">
      <c r="A3752" s="4"/>
      <c r="B3752" s="4"/>
      <c r="C3752" s="4"/>
      <c r="D3752" s="13"/>
      <c r="E3752" s="13"/>
      <c r="F3752" s="4"/>
    </row>
    <row r="3753">
      <c r="A3753" s="4"/>
      <c r="B3753" s="4"/>
      <c r="C3753" s="4"/>
      <c r="D3753" s="13"/>
      <c r="E3753" s="13"/>
      <c r="F3753" s="4"/>
    </row>
    <row r="3754">
      <c r="A3754" s="4"/>
      <c r="B3754" s="4"/>
      <c r="C3754" s="4"/>
      <c r="D3754" s="13"/>
      <c r="E3754" s="13"/>
      <c r="F3754" s="4"/>
    </row>
    <row r="3755">
      <c r="A3755" s="4"/>
      <c r="B3755" s="4"/>
      <c r="C3755" s="4"/>
      <c r="D3755" s="13"/>
      <c r="E3755" s="13"/>
      <c r="F3755" s="4"/>
    </row>
    <row r="3756">
      <c r="A3756" s="4"/>
      <c r="B3756" s="4"/>
      <c r="C3756" s="4"/>
      <c r="D3756" s="13"/>
      <c r="E3756" s="13"/>
      <c r="F3756" s="4"/>
    </row>
    <row r="3757">
      <c r="A3757" s="4"/>
      <c r="B3757" s="4"/>
      <c r="C3757" s="4"/>
      <c r="D3757" s="13"/>
      <c r="E3757" s="13"/>
      <c r="F3757" s="4"/>
    </row>
    <row r="3758">
      <c r="A3758" s="4"/>
      <c r="B3758" s="4"/>
      <c r="C3758" s="4"/>
      <c r="D3758" s="13"/>
      <c r="E3758" s="13"/>
      <c r="F3758" s="4"/>
    </row>
    <row r="3759">
      <c r="A3759" s="4"/>
      <c r="B3759" s="4"/>
      <c r="C3759" s="4"/>
      <c r="D3759" s="13"/>
      <c r="E3759" s="13"/>
      <c r="F3759" s="4"/>
    </row>
    <row r="3760">
      <c r="A3760" s="4"/>
      <c r="B3760" s="4"/>
      <c r="C3760" s="4"/>
      <c r="D3760" s="13"/>
      <c r="E3760" s="13"/>
      <c r="F3760" s="4"/>
    </row>
    <row r="3761">
      <c r="A3761" s="4"/>
      <c r="B3761" s="4"/>
      <c r="C3761" s="4"/>
      <c r="D3761" s="13"/>
      <c r="E3761" s="13"/>
      <c r="F3761" s="4"/>
    </row>
    <row r="3762">
      <c r="A3762" s="4"/>
      <c r="B3762" s="4"/>
      <c r="C3762" s="4"/>
      <c r="D3762" s="13"/>
      <c r="E3762" s="13"/>
      <c r="F3762" s="4"/>
    </row>
    <row r="3763">
      <c r="A3763" s="4"/>
      <c r="B3763" s="4"/>
      <c r="C3763" s="4"/>
      <c r="D3763" s="13"/>
      <c r="E3763" s="13"/>
      <c r="F3763" s="4"/>
    </row>
    <row r="3764">
      <c r="A3764" s="4"/>
      <c r="B3764" s="4"/>
      <c r="C3764" s="4"/>
      <c r="D3764" s="13"/>
      <c r="E3764" s="13"/>
      <c r="F3764" s="4"/>
    </row>
    <row r="3765">
      <c r="A3765" s="4"/>
      <c r="B3765" s="4"/>
      <c r="C3765" s="4"/>
      <c r="D3765" s="13"/>
      <c r="E3765" s="13"/>
      <c r="F3765" s="4"/>
    </row>
    <row r="3766">
      <c r="A3766" s="4"/>
      <c r="B3766" s="4"/>
      <c r="C3766" s="4"/>
      <c r="D3766" s="13"/>
      <c r="E3766" s="13"/>
      <c r="F3766" s="4"/>
    </row>
    <row r="3767">
      <c r="A3767" s="4"/>
      <c r="B3767" s="4"/>
      <c r="C3767" s="4"/>
      <c r="D3767" s="13"/>
      <c r="E3767" s="13"/>
      <c r="F3767" s="4"/>
    </row>
    <row r="3768">
      <c r="A3768" s="4"/>
      <c r="B3768" s="4"/>
      <c r="C3768" s="4"/>
      <c r="D3768" s="13"/>
      <c r="E3768" s="13"/>
      <c r="F3768" s="4"/>
    </row>
    <row r="3769">
      <c r="A3769" s="4"/>
      <c r="B3769" s="4"/>
      <c r="C3769" s="4"/>
      <c r="D3769" s="13"/>
      <c r="E3769" s="13"/>
      <c r="F3769" s="4"/>
    </row>
    <row r="3770">
      <c r="A3770" s="4"/>
      <c r="B3770" s="4"/>
      <c r="C3770" s="4"/>
      <c r="D3770" s="13"/>
      <c r="E3770" s="13"/>
      <c r="F3770" s="4"/>
    </row>
    <row r="3771">
      <c r="A3771" s="4"/>
      <c r="B3771" s="4"/>
      <c r="C3771" s="4"/>
      <c r="D3771" s="13"/>
      <c r="E3771" s="13"/>
      <c r="F3771" s="4"/>
    </row>
    <row r="3772">
      <c r="A3772" s="4"/>
      <c r="B3772" s="4"/>
      <c r="C3772" s="4"/>
      <c r="D3772" s="13"/>
      <c r="E3772" s="13"/>
      <c r="F3772" s="4"/>
    </row>
    <row r="3773">
      <c r="A3773" s="4"/>
      <c r="B3773" s="4"/>
      <c r="C3773" s="4"/>
      <c r="D3773" s="13"/>
      <c r="E3773" s="13"/>
      <c r="F3773" s="4"/>
    </row>
    <row r="3774">
      <c r="A3774" s="4"/>
      <c r="B3774" s="4"/>
      <c r="C3774" s="4"/>
      <c r="D3774" s="13"/>
      <c r="E3774" s="13"/>
      <c r="F3774" s="4"/>
    </row>
    <row r="3775">
      <c r="A3775" s="4"/>
      <c r="B3775" s="4"/>
      <c r="C3775" s="4"/>
      <c r="D3775" s="13"/>
      <c r="E3775" s="13"/>
      <c r="F3775" s="4"/>
    </row>
    <row r="3776">
      <c r="A3776" s="4"/>
      <c r="B3776" s="4"/>
      <c r="C3776" s="4"/>
      <c r="D3776" s="13"/>
      <c r="E3776" s="13"/>
      <c r="F3776" s="4"/>
    </row>
    <row r="3777">
      <c r="A3777" s="4"/>
      <c r="B3777" s="4"/>
      <c r="C3777" s="4"/>
      <c r="D3777" s="13"/>
      <c r="E3777" s="13"/>
      <c r="F3777" s="4"/>
    </row>
    <row r="3778">
      <c r="A3778" s="4"/>
      <c r="B3778" s="4"/>
      <c r="C3778" s="4"/>
      <c r="D3778" s="13"/>
      <c r="E3778" s="13"/>
      <c r="F3778" s="4"/>
    </row>
    <row r="3779">
      <c r="A3779" s="4"/>
      <c r="B3779" s="4"/>
      <c r="C3779" s="4"/>
      <c r="D3779" s="13"/>
      <c r="E3779" s="13"/>
      <c r="F3779" s="4"/>
    </row>
    <row r="3780">
      <c r="A3780" s="4"/>
      <c r="B3780" s="4"/>
      <c r="C3780" s="4"/>
      <c r="D3780" s="13"/>
      <c r="E3780" s="13"/>
      <c r="F3780" s="4"/>
    </row>
    <row r="3781">
      <c r="A3781" s="4"/>
      <c r="B3781" s="4"/>
      <c r="C3781" s="4"/>
      <c r="D3781" s="13"/>
      <c r="E3781" s="13"/>
      <c r="F3781" s="4"/>
    </row>
    <row r="3782">
      <c r="A3782" s="4"/>
      <c r="B3782" s="4"/>
      <c r="C3782" s="4"/>
      <c r="D3782" s="13"/>
      <c r="E3782" s="13"/>
      <c r="F3782" s="4"/>
    </row>
    <row r="3783">
      <c r="A3783" s="4"/>
      <c r="B3783" s="4"/>
      <c r="C3783" s="4"/>
      <c r="D3783" s="13"/>
      <c r="E3783" s="13"/>
      <c r="F3783" s="4"/>
    </row>
    <row r="3784">
      <c r="A3784" s="4"/>
      <c r="B3784" s="4"/>
      <c r="C3784" s="4"/>
      <c r="D3784" s="13"/>
      <c r="E3784" s="13"/>
      <c r="F3784" s="4"/>
    </row>
    <row r="3785">
      <c r="A3785" s="4"/>
      <c r="B3785" s="4"/>
      <c r="C3785" s="4"/>
      <c r="D3785" s="13"/>
      <c r="E3785" s="13"/>
      <c r="F3785" s="4"/>
    </row>
    <row r="3786">
      <c r="A3786" s="4"/>
      <c r="B3786" s="4"/>
      <c r="C3786" s="4"/>
      <c r="D3786" s="13"/>
      <c r="E3786" s="13"/>
      <c r="F3786" s="4"/>
    </row>
    <row r="3787">
      <c r="A3787" s="4"/>
      <c r="B3787" s="4"/>
      <c r="C3787" s="4"/>
      <c r="D3787" s="13"/>
      <c r="E3787" s="13"/>
      <c r="F3787" s="4"/>
    </row>
    <row r="3788">
      <c r="A3788" s="4"/>
      <c r="B3788" s="4"/>
      <c r="C3788" s="4"/>
      <c r="D3788" s="13"/>
      <c r="E3788" s="13"/>
      <c r="F3788" s="4"/>
    </row>
    <row r="3789">
      <c r="A3789" s="4"/>
      <c r="B3789" s="4"/>
      <c r="C3789" s="4"/>
      <c r="D3789" s="13"/>
      <c r="E3789" s="13"/>
      <c r="F3789" s="4"/>
    </row>
    <row r="3790">
      <c r="A3790" s="4"/>
      <c r="B3790" s="4"/>
      <c r="C3790" s="4"/>
      <c r="D3790" s="13"/>
      <c r="E3790" s="13"/>
      <c r="F3790" s="4"/>
    </row>
    <row r="3791">
      <c r="A3791" s="4"/>
      <c r="B3791" s="4"/>
      <c r="C3791" s="4"/>
      <c r="D3791" s="13"/>
      <c r="E3791" s="13"/>
      <c r="F3791" s="4"/>
    </row>
    <row r="3792">
      <c r="A3792" s="4"/>
      <c r="B3792" s="4"/>
      <c r="C3792" s="4"/>
      <c r="D3792" s="13"/>
      <c r="E3792" s="13"/>
      <c r="F3792" s="4"/>
    </row>
    <row r="3793">
      <c r="A3793" s="4"/>
      <c r="B3793" s="4"/>
      <c r="C3793" s="4"/>
      <c r="D3793" s="13"/>
      <c r="E3793" s="13"/>
      <c r="F3793" s="4"/>
    </row>
    <row r="3794">
      <c r="A3794" s="4"/>
      <c r="B3794" s="4"/>
      <c r="C3794" s="4"/>
      <c r="D3794" s="13"/>
      <c r="E3794" s="13"/>
      <c r="F3794" s="4"/>
    </row>
    <row r="3795">
      <c r="A3795" s="4"/>
      <c r="B3795" s="4"/>
      <c r="C3795" s="4"/>
      <c r="D3795" s="13"/>
      <c r="E3795" s="13"/>
      <c r="F3795" s="4"/>
    </row>
    <row r="3796">
      <c r="A3796" s="4"/>
      <c r="B3796" s="4"/>
      <c r="C3796" s="4"/>
      <c r="D3796" s="13"/>
      <c r="E3796" s="13"/>
      <c r="F3796" s="4"/>
    </row>
    <row r="3797">
      <c r="A3797" s="4"/>
      <c r="B3797" s="4"/>
      <c r="C3797" s="4"/>
      <c r="D3797" s="13"/>
      <c r="E3797" s="13"/>
      <c r="F3797" s="4"/>
    </row>
    <row r="3798">
      <c r="A3798" s="4"/>
      <c r="B3798" s="4"/>
      <c r="C3798" s="4"/>
      <c r="D3798" s="13"/>
      <c r="E3798" s="13"/>
      <c r="F3798" s="4"/>
    </row>
    <row r="3799">
      <c r="A3799" s="4"/>
      <c r="B3799" s="4"/>
      <c r="C3799" s="4"/>
      <c r="D3799" s="13"/>
      <c r="E3799" s="13"/>
      <c r="F3799" s="4"/>
    </row>
    <row r="3800">
      <c r="A3800" s="4"/>
      <c r="B3800" s="4"/>
      <c r="C3800" s="4"/>
      <c r="D3800" s="13"/>
      <c r="E3800" s="13"/>
      <c r="F3800" s="4"/>
    </row>
    <row r="3801">
      <c r="A3801" s="4"/>
      <c r="B3801" s="4"/>
      <c r="C3801" s="4"/>
      <c r="D3801" s="13"/>
      <c r="E3801" s="13"/>
      <c r="F3801" s="4"/>
    </row>
    <row r="3802">
      <c r="A3802" s="4"/>
      <c r="B3802" s="4"/>
      <c r="C3802" s="4"/>
      <c r="D3802" s="13"/>
      <c r="E3802" s="13"/>
      <c r="F3802" s="4"/>
    </row>
    <row r="3803">
      <c r="A3803" s="4"/>
      <c r="B3803" s="4"/>
      <c r="C3803" s="4"/>
      <c r="D3803" s="13"/>
      <c r="E3803" s="13"/>
      <c r="F3803" s="4"/>
    </row>
    <row r="3804">
      <c r="A3804" s="4"/>
      <c r="B3804" s="4"/>
      <c r="C3804" s="4"/>
      <c r="D3804" s="13"/>
      <c r="E3804" s="13"/>
      <c r="F3804" s="4"/>
    </row>
    <row r="3805">
      <c r="A3805" s="4"/>
      <c r="B3805" s="4"/>
      <c r="C3805" s="4"/>
      <c r="D3805" s="13"/>
      <c r="E3805" s="13"/>
      <c r="F3805" s="4"/>
    </row>
    <row r="3806">
      <c r="A3806" s="4"/>
      <c r="B3806" s="4"/>
      <c r="C3806" s="4"/>
      <c r="D3806" s="13"/>
      <c r="E3806" s="13"/>
      <c r="F3806" s="4"/>
    </row>
    <row r="3807">
      <c r="A3807" s="4"/>
      <c r="B3807" s="4"/>
      <c r="C3807" s="4"/>
      <c r="D3807" s="13"/>
      <c r="E3807" s="13"/>
      <c r="F3807" s="4"/>
    </row>
    <row r="3808">
      <c r="A3808" s="4"/>
      <c r="B3808" s="4"/>
      <c r="C3808" s="4"/>
      <c r="D3808" s="13"/>
      <c r="E3808" s="13"/>
      <c r="F3808" s="4"/>
    </row>
    <row r="3809">
      <c r="A3809" s="4"/>
      <c r="B3809" s="4"/>
      <c r="C3809" s="4"/>
      <c r="D3809" s="13"/>
      <c r="E3809" s="13"/>
      <c r="F3809" s="4"/>
    </row>
    <row r="3810">
      <c r="A3810" s="4"/>
      <c r="B3810" s="4"/>
      <c r="C3810" s="4"/>
      <c r="D3810" s="13"/>
      <c r="E3810" s="13"/>
      <c r="F3810" s="4"/>
    </row>
    <row r="3811">
      <c r="A3811" s="4"/>
      <c r="B3811" s="4"/>
      <c r="C3811" s="4"/>
      <c r="D3811" s="13"/>
      <c r="E3811" s="13"/>
      <c r="F3811" s="4"/>
    </row>
    <row r="3812">
      <c r="A3812" s="4"/>
      <c r="B3812" s="4"/>
      <c r="C3812" s="4"/>
      <c r="D3812" s="13"/>
      <c r="E3812" s="13"/>
      <c r="F3812" s="4"/>
    </row>
    <row r="3813">
      <c r="A3813" s="4"/>
      <c r="B3813" s="4"/>
      <c r="C3813" s="4"/>
      <c r="D3813" s="13"/>
      <c r="E3813" s="13"/>
      <c r="F3813" s="4"/>
    </row>
    <row r="3814">
      <c r="A3814" s="4"/>
      <c r="B3814" s="4"/>
      <c r="C3814" s="4"/>
      <c r="D3814" s="13"/>
      <c r="E3814" s="13"/>
      <c r="F3814" s="4"/>
    </row>
    <row r="3815">
      <c r="A3815" s="4"/>
      <c r="B3815" s="4"/>
      <c r="C3815" s="4"/>
      <c r="D3815" s="13"/>
      <c r="E3815" s="13"/>
      <c r="F3815" s="4"/>
    </row>
    <row r="3816">
      <c r="A3816" s="4"/>
      <c r="B3816" s="4"/>
      <c r="C3816" s="4"/>
      <c r="D3816" s="13"/>
      <c r="E3816" s="13"/>
      <c r="F3816" s="4"/>
    </row>
    <row r="3817">
      <c r="A3817" s="4"/>
      <c r="B3817" s="4"/>
      <c r="C3817" s="4"/>
      <c r="D3817" s="13"/>
      <c r="E3817" s="13"/>
      <c r="F3817" s="4"/>
    </row>
    <row r="3818">
      <c r="A3818" s="4"/>
      <c r="B3818" s="4"/>
      <c r="C3818" s="4"/>
      <c r="D3818" s="13"/>
      <c r="E3818" s="13"/>
      <c r="F3818" s="4"/>
    </row>
    <row r="3819">
      <c r="A3819" s="4"/>
      <c r="B3819" s="4"/>
      <c r="C3819" s="4"/>
      <c r="D3819" s="13"/>
      <c r="E3819" s="13"/>
      <c r="F3819" s="4"/>
    </row>
    <row r="3820">
      <c r="A3820" s="4"/>
      <c r="B3820" s="4"/>
      <c r="C3820" s="4"/>
      <c r="D3820" s="13"/>
      <c r="E3820" s="13"/>
      <c r="F3820" s="4"/>
    </row>
    <row r="3821">
      <c r="A3821" s="4"/>
      <c r="B3821" s="4"/>
      <c r="C3821" s="4"/>
      <c r="D3821" s="13"/>
      <c r="E3821" s="13"/>
      <c r="F3821" s="4"/>
    </row>
    <row r="3822">
      <c r="A3822" s="4"/>
      <c r="B3822" s="4"/>
      <c r="C3822" s="4"/>
      <c r="D3822" s="13"/>
      <c r="E3822" s="13"/>
      <c r="F3822" s="4"/>
    </row>
    <row r="3823">
      <c r="A3823" s="4"/>
      <c r="B3823" s="4"/>
      <c r="C3823" s="4"/>
      <c r="D3823" s="13"/>
      <c r="E3823" s="13"/>
      <c r="F3823" s="4"/>
    </row>
    <row r="3824">
      <c r="A3824" s="4"/>
      <c r="B3824" s="4"/>
      <c r="C3824" s="4"/>
      <c r="D3824" s="13"/>
      <c r="E3824" s="13"/>
      <c r="F3824" s="4"/>
    </row>
    <row r="3825">
      <c r="A3825" s="4"/>
      <c r="B3825" s="4"/>
      <c r="C3825" s="4"/>
      <c r="D3825" s="13"/>
      <c r="E3825" s="13"/>
      <c r="F3825" s="4"/>
    </row>
    <row r="3826">
      <c r="A3826" s="4"/>
      <c r="B3826" s="4"/>
      <c r="C3826" s="4"/>
      <c r="D3826" s="13"/>
      <c r="E3826" s="13"/>
      <c r="F3826" s="4"/>
    </row>
    <row r="3827">
      <c r="A3827" s="4"/>
      <c r="B3827" s="4"/>
      <c r="C3827" s="4"/>
      <c r="D3827" s="13"/>
      <c r="E3827" s="13"/>
      <c r="F3827" s="4"/>
    </row>
    <row r="3828">
      <c r="A3828" s="4"/>
      <c r="B3828" s="4"/>
      <c r="C3828" s="4"/>
      <c r="D3828" s="13"/>
      <c r="E3828" s="13"/>
      <c r="F3828" s="4"/>
    </row>
    <row r="3829">
      <c r="A3829" s="4"/>
      <c r="B3829" s="4"/>
      <c r="C3829" s="4"/>
      <c r="D3829" s="13"/>
      <c r="E3829" s="13"/>
      <c r="F3829" s="4"/>
    </row>
    <row r="3830">
      <c r="A3830" s="4"/>
      <c r="B3830" s="4"/>
      <c r="C3830" s="4"/>
      <c r="D3830" s="13"/>
      <c r="E3830" s="13"/>
      <c r="F3830" s="4"/>
    </row>
    <row r="3831">
      <c r="A3831" s="4"/>
      <c r="B3831" s="4"/>
      <c r="C3831" s="4"/>
      <c r="D3831" s="13"/>
      <c r="E3831" s="13"/>
      <c r="F3831" s="4"/>
    </row>
    <row r="3832">
      <c r="A3832" s="4"/>
      <c r="B3832" s="4"/>
      <c r="C3832" s="4"/>
      <c r="D3832" s="13"/>
      <c r="E3832" s="13"/>
      <c r="F3832" s="4"/>
    </row>
    <row r="3833">
      <c r="A3833" s="4"/>
      <c r="B3833" s="4"/>
      <c r="C3833" s="4"/>
      <c r="D3833" s="13"/>
      <c r="E3833" s="13"/>
      <c r="F3833" s="4"/>
    </row>
    <row r="3834">
      <c r="A3834" s="4"/>
      <c r="B3834" s="4"/>
      <c r="C3834" s="4"/>
      <c r="D3834" s="13"/>
      <c r="E3834" s="13"/>
      <c r="F3834" s="4"/>
    </row>
    <row r="3835">
      <c r="A3835" s="4"/>
      <c r="B3835" s="4"/>
      <c r="C3835" s="4"/>
      <c r="D3835" s="13"/>
      <c r="E3835" s="13"/>
      <c r="F3835" s="4"/>
    </row>
    <row r="3836">
      <c r="A3836" s="4"/>
      <c r="B3836" s="4"/>
      <c r="C3836" s="4"/>
      <c r="D3836" s="13"/>
      <c r="E3836" s="13"/>
      <c r="F3836" s="4"/>
    </row>
    <row r="3837">
      <c r="A3837" s="4"/>
      <c r="B3837" s="4"/>
      <c r="C3837" s="4"/>
      <c r="D3837" s="13"/>
      <c r="E3837" s="13"/>
      <c r="F3837" s="4"/>
    </row>
    <row r="3838">
      <c r="A3838" s="4"/>
      <c r="B3838" s="4"/>
      <c r="C3838" s="4"/>
      <c r="D3838" s="13"/>
      <c r="E3838" s="13"/>
      <c r="F3838" s="4"/>
    </row>
    <row r="3839">
      <c r="A3839" s="4"/>
      <c r="B3839" s="4"/>
      <c r="C3839" s="4"/>
      <c r="D3839" s="13"/>
      <c r="E3839" s="13"/>
      <c r="F3839" s="4"/>
    </row>
    <row r="3840">
      <c r="A3840" s="4"/>
      <c r="B3840" s="4"/>
      <c r="C3840" s="4"/>
      <c r="D3840" s="13"/>
      <c r="E3840" s="13"/>
      <c r="F3840" s="4"/>
    </row>
    <row r="3841">
      <c r="A3841" s="4"/>
      <c r="B3841" s="4"/>
      <c r="C3841" s="4"/>
      <c r="D3841" s="13"/>
      <c r="E3841" s="13"/>
      <c r="F3841" s="4"/>
    </row>
    <row r="3842">
      <c r="A3842" s="4"/>
      <c r="B3842" s="4"/>
      <c r="C3842" s="4"/>
      <c r="D3842" s="13"/>
      <c r="E3842" s="13"/>
      <c r="F3842" s="4"/>
    </row>
    <row r="3843">
      <c r="A3843" s="4"/>
      <c r="B3843" s="4"/>
      <c r="C3843" s="4"/>
      <c r="D3843" s="13"/>
      <c r="E3843" s="13"/>
      <c r="F3843" s="4"/>
    </row>
    <row r="3844">
      <c r="A3844" s="4"/>
      <c r="B3844" s="4"/>
      <c r="C3844" s="4"/>
      <c r="D3844" s="13"/>
      <c r="E3844" s="13"/>
      <c r="F3844" s="4"/>
    </row>
    <row r="3845">
      <c r="A3845" s="4"/>
      <c r="B3845" s="4"/>
      <c r="C3845" s="4"/>
      <c r="D3845" s="13"/>
      <c r="E3845" s="13"/>
      <c r="F3845" s="4"/>
    </row>
    <row r="3846">
      <c r="A3846" s="4"/>
      <c r="B3846" s="4"/>
      <c r="C3846" s="4"/>
      <c r="D3846" s="13"/>
      <c r="E3846" s="13"/>
      <c r="F3846" s="4"/>
    </row>
    <row r="3847">
      <c r="A3847" s="4"/>
      <c r="B3847" s="4"/>
      <c r="C3847" s="4"/>
      <c r="D3847" s="13"/>
      <c r="E3847" s="13"/>
      <c r="F3847" s="4"/>
    </row>
    <row r="3848">
      <c r="A3848" s="4"/>
      <c r="B3848" s="4"/>
      <c r="C3848" s="4"/>
      <c r="D3848" s="13"/>
      <c r="E3848" s="13"/>
      <c r="F3848" s="4"/>
    </row>
    <row r="3849">
      <c r="A3849" s="4"/>
      <c r="B3849" s="4"/>
      <c r="C3849" s="4"/>
      <c r="D3849" s="13"/>
      <c r="E3849" s="13"/>
      <c r="F3849" s="4"/>
    </row>
    <row r="3850">
      <c r="A3850" s="4"/>
      <c r="B3850" s="4"/>
      <c r="C3850" s="4"/>
      <c r="D3850" s="13"/>
      <c r="E3850" s="13"/>
      <c r="F3850" s="4"/>
    </row>
    <row r="3851">
      <c r="A3851" s="4"/>
      <c r="B3851" s="4"/>
      <c r="C3851" s="4"/>
      <c r="D3851" s="13"/>
      <c r="E3851" s="13"/>
      <c r="F3851" s="4"/>
    </row>
    <row r="3852">
      <c r="A3852" s="4"/>
      <c r="B3852" s="4"/>
      <c r="C3852" s="4"/>
      <c r="D3852" s="13"/>
      <c r="E3852" s="13"/>
      <c r="F3852" s="4"/>
    </row>
    <row r="3853">
      <c r="A3853" s="4"/>
      <c r="B3853" s="4"/>
      <c r="C3853" s="4"/>
      <c r="D3853" s="13"/>
      <c r="E3853" s="13"/>
      <c r="F3853" s="4"/>
    </row>
    <row r="3854">
      <c r="A3854" s="4"/>
      <c r="B3854" s="4"/>
      <c r="C3854" s="4"/>
      <c r="D3854" s="13"/>
      <c r="E3854" s="13"/>
      <c r="F3854" s="4"/>
    </row>
    <row r="3855">
      <c r="A3855" s="4"/>
      <c r="B3855" s="4"/>
      <c r="C3855" s="4"/>
      <c r="D3855" s="13"/>
      <c r="E3855" s="13"/>
      <c r="F3855" s="4"/>
    </row>
    <row r="3856">
      <c r="A3856" s="4"/>
      <c r="B3856" s="4"/>
      <c r="C3856" s="4"/>
      <c r="D3856" s="13"/>
      <c r="E3856" s="13"/>
      <c r="F3856" s="4"/>
    </row>
    <row r="3857">
      <c r="A3857" s="4"/>
      <c r="B3857" s="4"/>
      <c r="C3857" s="4"/>
      <c r="D3857" s="13"/>
      <c r="E3857" s="13"/>
      <c r="F3857" s="4"/>
    </row>
    <row r="3858">
      <c r="A3858" s="4"/>
      <c r="B3858" s="4"/>
      <c r="C3858" s="4"/>
      <c r="D3858" s="13"/>
      <c r="E3858" s="13"/>
      <c r="F3858" s="4"/>
    </row>
    <row r="3859">
      <c r="A3859" s="4"/>
      <c r="B3859" s="4"/>
      <c r="C3859" s="4"/>
      <c r="D3859" s="13"/>
      <c r="E3859" s="13"/>
      <c r="F3859" s="4"/>
    </row>
    <row r="3860">
      <c r="A3860" s="4"/>
      <c r="B3860" s="4"/>
      <c r="C3860" s="4"/>
      <c r="D3860" s="13"/>
      <c r="E3860" s="13"/>
      <c r="F3860" s="4"/>
    </row>
    <row r="3861">
      <c r="A3861" s="4"/>
      <c r="B3861" s="4"/>
      <c r="C3861" s="4"/>
      <c r="D3861" s="13"/>
      <c r="E3861" s="13"/>
      <c r="F3861" s="4"/>
    </row>
    <row r="3862">
      <c r="A3862" s="4"/>
      <c r="B3862" s="4"/>
      <c r="C3862" s="4"/>
      <c r="D3862" s="13"/>
      <c r="E3862" s="13"/>
      <c r="F3862" s="4"/>
    </row>
    <row r="3863">
      <c r="A3863" s="4"/>
      <c r="B3863" s="4"/>
      <c r="C3863" s="4"/>
      <c r="D3863" s="13"/>
      <c r="E3863" s="13"/>
      <c r="F3863" s="4"/>
    </row>
    <row r="3864">
      <c r="A3864" s="4"/>
      <c r="B3864" s="4"/>
      <c r="C3864" s="4"/>
      <c r="D3864" s="13"/>
      <c r="E3864" s="13"/>
      <c r="F3864" s="4"/>
    </row>
    <row r="3865">
      <c r="A3865" s="4"/>
      <c r="B3865" s="4"/>
      <c r="C3865" s="4"/>
      <c r="D3865" s="13"/>
      <c r="E3865" s="13"/>
      <c r="F3865" s="4"/>
    </row>
    <row r="3866">
      <c r="A3866" s="4"/>
      <c r="B3866" s="4"/>
      <c r="C3866" s="4"/>
      <c r="D3866" s="13"/>
      <c r="E3866" s="13"/>
      <c r="F3866" s="4"/>
    </row>
    <row r="3867">
      <c r="A3867" s="4"/>
      <c r="B3867" s="4"/>
      <c r="C3867" s="4"/>
      <c r="D3867" s="13"/>
      <c r="E3867" s="13"/>
      <c r="F3867" s="4"/>
    </row>
    <row r="3868">
      <c r="A3868" s="4"/>
      <c r="B3868" s="4"/>
      <c r="C3868" s="4"/>
      <c r="D3868" s="13"/>
      <c r="E3868" s="13"/>
      <c r="F3868" s="4"/>
    </row>
    <row r="3869">
      <c r="A3869" s="4"/>
      <c r="B3869" s="4"/>
      <c r="C3869" s="4"/>
      <c r="D3869" s="13"/>
      <c r="E3869" s="13"/>
      <c r="F3869" s="4"/>
    </row>
    <row r="3870">
      <c r="A3870" s="4"/>
      <c r="B3870" s="4"/>
      <c r="C3870" s="4"/>
      <c r="D3870" s="13"/>
      <c r="E3870" s="13"/>
      <c r="F3870" s="4"/>
    </row>
    <row r="3871">
      <c r="A3871" s="4"/>
      <c r="B3871" s="4"/>
      <c r="C3871" s="4"/>
      <c r="D3871" s="13"/>
      <c r="E3871" s="13"/>
      <c r="F3871" s="4"/>
    </row>
    <row r="3872">
      <c r="A3872" s="4"/>
      <c r="B3872" s="4"/>
      <c r="C3872" s="4"/>
      <c r="D3872" s="13"/>
      <c r="E3872" s="13"/>
      <c r="F3872" s="4"/>
    </row>
    <row r="3873">
      <c r="A3873" s="4"/>
      <c r="B3873" s="4"/>
      <c r="C3873" s="4"/>
      <c r="D3873" s="13"/>
      <c r="E3873" s="13"/>
      <c r="F3873" s="4"/>
    </row>
    <row r="3874">
      <c r="A3874" s="4"/>
      <c r="B3874" s="4"/>
      <c r="C3874" s="4"/>
      <c r="D3874" s="13"/>
      <c r="E3874" s="13"/>
      <c r="F3874" s="4"/>
    </row>
    <row r="3875">
      <c r="A3875" s="4"/>
      <c r="B3875" s="4"/>
      <c r="C3875" s="4"/>
      <c r="D3875" s="13"/>
      <c r="E3875" s="13"/>
      <c r="F3875" s="4"/>
    </row>
    <row r="3876">
      <c r="A3876" s="4"/>
      <c r="B3876" s="4"/>
      <c r="C3876" s="4"/>
      <c r="D3876" s="13"/>
      <c r="E3876" s="13"/>
      <c r="F3876" s="4"/>
    </row>
    <row r="3877">
      <c r="A3877" s="4"/>
      <c r="B3877" s="4"/>
      <c r="C3877" s="4"/>
      <c r="D3877" s="13"/>
      <c r="E3877" s="13"/>
      <c r="F3877" s="4"/>
    </row>
    <row r="3878">
      <c r="A3878" s="4"/>
      <c r="B3878" s="4"/>
      <c r="C3878" s="4"/>
      <c r="D3878" s="13"/>
      <c r="E3878" s="13"/>
      <c r="F3878" s="4"/>
    </row>
    <row r="3879">
      <c r="A3879" s="4"/>
      <c r="B3879" s="4"/>
      <c r="C3879" s="4"/>
      <c r="D3879" s="13"/>
      <c r="E3879" s="13"/>
      <c r="F3879" s="4"/>
    </row>
    <row r="3880">
      <c r="A3880" s="4"/>
      <c r="B3880" s="4"/>
      <c r="C3880" s="4"/>
      <c r="D3880" s="13"/>
      <c r="E3880" s="13"/>
      <c r="F3880" s="4"/>
    </row>
    <row r="3881">
      <c r="A3881" s="4"/>
      <c r="B3881" s="4"/>
      <c r="C3881" s="4"/>
      <c r="D3881" s="13"/>
      <c r="E3881" s="13"/>
      <c r="F3881" s="4"/>
    </row>
    <row r="3882">
      <c r="A3882" s="4"/>
      <c r="B3882" s="4"/>
      <c r="C3882" s="4"/>
      <c r="D3882" s="13"/>
      <c r="E3882" s="13"/>
      <c r="F3882" s="4"/>
    </row>
    <row r="3883">
      <c r="A3883" s="4"/>
      <c r="B3883" s="4"/>
      <c r="C3883" s="4"/>
      <c r="D3883" s="13"/>
      <c r="E3883" s="13"/>
      <c r="F3883" s="4"/>
    </row>
    <row r="3884">
      <c r="A3884" s="4"/>
      <c r="B3884" s="4"/>
      <c r="C3884" s="4"/>
      <c r="D3884" s="13"/>
      <c r="E3884" s="13"/>
      <c r="F3884" s="4"/>
    </row>
    <row r="3885">
      <c r="A3885" s="4"/>
      <c r="B3885" s="4"/>
      <c r="C3885" s="4"/>
      <c r="D3885" s="13"/>
      <c r="E3885" s="13"/>
      <c r="F3885" s="4"/>
    </row>
    <row r="3886">
      <c r="A3886" s="4"/>
      <c r="B3886" s="4"/>
      <c r="C3886" s="4"/>
      <c r="D3886" s="13"/>
      <c r="E3886" s="13"/>
      <c r="F3886" s="4"/>
    </row>
    <row r="3887">
      <c r="A3887" s="4"/>
      <c r="B3887" s="4"/>
      <c r="C3887" s="4"/>
      <c r="D3887" s="13"/>
      <c r="E3887" s="13"/>
      <c r="F3887" s="4"/>
    </row>
    <row r="3888">
      <c r="A3888" s="4"/>
      <c r="B3888" s="4"/>
      <c r="C3888" s="4"/>
      <c r="D3888" s="13"/>
      <c r="E3888" s="13"/>
      <c r="F3888" s="4"/>
    </row>
    <row r="3889">
      <c r="A3889" s="4"/>
      <c r="B3889" s="4"/>
      <c r="C3889" s="4"/>
      <c r="D3889" s="13"/>
      <c r="E3889" s="13"/>
      <c r="F3889" s="4"/>
    </row>
    <row r="3890">
      <c r="A3890" s="4"/>
      <c r="B3890" s="4"/>
      <c r="C3890" s="4"/>
      <c r="D3890" s="13"/>
      <c r="E3890" s="13"/>
      <c r="F3890" s="4"/>
    </row>
    <row r="3891">
      <c r="A3891" s="4"/>
      <c r="B3891" s="4"/>
      <c r="C3891" s="4"/>
      <c r="D3891" s="13"/>
      <c r="E3891" s="13"/>
      <c r="F3891" s="4"/>
    </row>
    <row r="3892">
      <c r="A3892" s="4"/>
      <c r="B3892" s="4"/>
      <c r="C3892" s="4"/>
      <c r="D3892" s="13"/>
      <c r="E3892" s="13"/>
      <c r="F3892" s="4"/>
    </row>
    <row r="3893">
      <c r="A3893" s="4"/>
      <c r="B3893" s="4"/>
      <c r="C3893" s="4"/>
      <c r="D3893" s="13"/>
      <c r="E3893" s="13"/>
      <c r="F3893" s="4"/>
    </row>
    <row r="3894">
      <c r="A3894" s="4"/>
      <c r="B3894" s="4"/>
      <c r="C3894" s="4"/>
      <c r="D3894" s="13"/>
      <c r="E3894" s="13"/>
      <c r="F3894" s="4"/>
    </row>
    <row r="3895">
      <c r="A3895" s="4"/>
      <c r="B3895" s="4"/>
      <c r="C3895" s="4"/>
      <c r="D3895" s="13"/>
      <c r="E3895" s="13"/>
      <c r="F3895" s="4"/>
    </row>
    <row r="3896">
      <c r="A3896" s="4"/>
      <c r="B3896" s="4"/>
      <c r="C3896" s="4"/>
      <c r="D3896" s="13"/>
      <c r="E3896" s="13"/>
      <c r="F3896" s="4"/>
    </row>
    <row r="3897">
      <c r="A3897" s="4"/>
      <c r="B3897" s="4"/>
      <c r="C3897" s="4"/>
      <c r="D3897" s="13"/>
      <c r="E3897" s="13"/>
      <c r="F3897" s="4"/>
    </row>
    <row r="3898">
      <c r="A3898" s="4"/>
      <c r="B3898" s="4"/>
      <c r="C3898" s="4"/>
      <c r="D3898" s="13"/>
      <c r="E3898" s="13"/>
      <c r="F3898" s="4"/>
    </row>
    <row r="3899">
      <c r="A3899" s="4"/>
      <c r="B3899" s="4"/>
      <c r="C3899" s="4"/>
      <c r="D3899" s="13"/>
      <c r="E3899" s="13"/>
      <c r="F3899" s="4"/>
    </row>
    <row r="3900">
      <c r="A3900" s="4"/>
      <c r="B3900" s="4"/>
      <c r="C3900" s="4"/>
      <c r="D3900" s="13"/>
      <c r="E3900" s="13"/>
      <c r="F3900" s="4"/>
    </row>
    <row r="3901">
      <c r="A3901" s="4"/>
      <c r="B3901" s="4"/>
      <c r="C3901" s="4"/>
      <c r="D3901" s="13"/>
      <c r="E3901" s="13"/>
      <c r="F3901" s="4"/>
    </row>
    <row r="3902">
      <c r="A3902" s="4"/>
      <c r="B3902" s="4"/>
      <c r="C3902" s="4"/>
      <c r="D3902" s="13"/>
      <c r="E3902" s="13"/>
      <c r="F3902" s="4"/>
    </row>
    <row r="3903">
      <c r="A3903" s="4"/>
      <c r="B3903" s="4"/>
      <c r="C3903" s="4"/>
      <c r="D3903" s="13"/>
      <c r="E3903" s="13"/>
      <c r="F3903" s="4"/>
    </row>
    <row r="3904">
      <c r="A3904" s="4"/>
      <c r="B3904" s="4"/>
      <c r="C3904" s="4"/>
      <c r="D3904" s="13"/>
      <c r="E3904" s="13"/>
      <c r="F3904" s="4"/>
    </row>
    <row r="3905">
      <c r="A3905" s="4"/>
      <c r="B3905" s="4"/>
      <c r="C3905" s="4"/>
      <c r="D3905" s="13"/>
      <c r="E3905" s="13"/>
      <c r="F3905" s="4"/>
    </row>
    <row r="3906">
      <c r="A3906" s="4"/>
      <c r="B3906" s="4"/>
      <c r="C3906" s="4"/>
      <c r="D3906" s="13"/>
      <c r="E3906" s="13"/>
      <c r="F3906" s="4"/>
    </row>
    <row r="3907">
      <c r="A3907" s="4"/>
      <c r="B3907" s="4"/>
      <c r="C3907" s="4"/>
      <c r="D3907" s="13"/>
      <c r="E3907" s="13"/>
      <c r="F3907" s="4"/>
    </row>
    <row r="3908">
      <c r="A3908" s="4"/>
      <c r="B3908" s="4"/>
      <c r="C3908" s="4"/>
      <c r="D3908" s="13"/>
      <c r="E3908" s="13"/>
      <c r="F3908" s="4"/>
    </row>
    <row r="3909">
      <c r="A3909" s="4"/>
      <c r="B3909" s="4"/>
      <c r="C3909" s="4"/>
      <c r="D3909" s="13"/>
      <c r="E3909" s="13"/>
      <c r="F3909" s="4"/>
    </row>
    <row r="3910">
      <c r="A3910" s="4"/>
      <c r="B3910" s="4"/>
      <c r="C3910" s="4"/>
      <c r="D3910" s="13"/>
      <c r="E3910" s="13"/>
      <c r="F3910" s="4"/>
    </row>
    <row r="3911">
      <c r="A3911" s="4"/>
      <c r="B3911" s="4"/>
      <c r="C3911" s="4"/>
      <c r="D3911" s="13"/>
      <c r="E3911" s="13"/>
      <c r="F3911" s="4"/>
    </row>
    <row r="3912">
      <c r="A3912" s="4"/>
      <c r="B3912" s="4"/>
      <c r="C3912" s="4"/>
      <c r="D3912" s="13"/>
      <c r="E3912" s="13"/>
      <c r="F3912" s="4"/>
    </row>
    <row r="3913">
      <c r="A3913" s="4"/>
      <c r="B3913" s="4"/>
      <c r="C3913" s="4"/>
      <c r="D3913" s="13"/>
      <c r="E3913" s="13"/>
      <c r="F3913" s="4"/>
    </row>
    <row r="3914">
      <c r="A3914" s="4"/>
      <c r="B3914" s="4"/>
      <c r="C3914" s="4"/>
      <c r="D3914" s="13"/>
      <c r="E3914" s="13"/>
      <c r="F3914" s="4"/>
    </row>
    <row r="3915">
      <c r="A3915" s="4"/>
      <c r="B3915" s="4"/>
      <c r="C3915" s="4"/>
      <c r="D3915" s="13"/>
      <c r="E3915" s="13"/>
      <c r="F3915" s="4"/>
    </row>
    <row r="3916">
      <c r="A3916" s="4"/>
      <c r="B3916" s="4"/>
      <c r="C3916" s="4"/>
      <c r="D3916" s="13"/>
      <c r="E3916" s="13"/>
      <c r="F3916" s="4"/>
    </row>
    <row r="3917">
      <c r="A3917" s="4"/>
      <c r="B3917" s="4"/>
      <c r="C3917" s="4"/>
      <c r="D3917" s="13"/>
      <c r="E3917" s="13"/>
      <c r="F3917" s="4"/>
    </row>
    <row r="3918">
      <c r="A3918" s="4"/>
      <c r="B3918" s="4"/>
      <c r="C3918" s="4"/>
      <c r="D3918" s="13"/>
      <c r="E3918" s="13"/>
      <c r="F3918" s="4"/>
    </row>
    <row r="3919">
      <c r="A3919" s="4"/>
      <c r="B3919" s="4"/>
      <c r="C3919" s="4"/>
      <c r="D3919" s="13"/>
      <c r="E3919" s="13"/>
      <c r="F3919" s="4"/>
    </row>
    <row r="3920">
      <c r="A3920" s="4"/>
      <c r="B3920" s="4"/>
      <c r="C3920" s="4"/>
      <c r="D3920" s="13"/>
      <c r="E3920" s="13"/>
      <c r="F3920" s="4"/>
    </row>
    <row r="3921">
      <c r="A3921" s="4"/>
      <c r="B3921" s="4"/>
      <c r="C3921" s="4"/>
      <c r="D3921" s="13"/>
      <c r="E3921" s="13"/>
      <c r="F3921" s="4"/>
    </row>
    <row r="3922">
      <c r="A3922" s="4"/>
      <c r="B3922" s="4"/>
      <c r="C3922" s="4"/>
      <c r="D3922" s="13"/>
      <c r="E3922" s="13"/>
      <c r="F3922" s="4"/>
    </row>
    <row r="3923">
      <c r="A3923" s="4"/>
      <c r="B3923" s="4"/>
      <c r="C3923" s="4"/>
      <c r="D3923" s="13"/>
      <c r="E3923" s="13"/>
      <c r="F3923" s="4"/>
    </row>
    <row r="3924">
      <c r="A3924" s="4"/>
      <c r="B3924" s="4"/>
      <c r="C3924" s="4"/>
      <c r="D3924" s="13"/>
      <c r="E3924" s="13"/>
      <c r="F3924" s="4"/>
    </row>
    <row r="3925">
      <c r="A3925" s="4"/>
      <c r="B3925" s="4"/>
      <c r="C3925" s="4"/>
      <c r="D3925" s="13"/>
      <c r="E3925" s="13"/>
      <c r="F3925" s="4"/>
    </row>
    <row r="3926">
      <c r="A3926" s="4"/>
      <c r="B3926" s="4"/>
      <c r="C3926" s="4"/>
      <c r="D3926" s="13"/>
      <c r="E3926" s="13"/>
      <c r="F3926" s="4"/>
    </row>
    <row r="3927">
      <c r="A3927" s="4"/>
      <c r="B3927" s="4"/>
      <c r="C3927" s="4"/>
      <c r="D3927" s="13"/>
      <c r="E3927" s="13"/>
      <c r="F3927" s="4"/>
    </row>
    <row r="3928">
      <c r="A3928" s="4"/>
      <c r="B3928" s="4"/>
      <c r="C3928" s="4"/>
      <c r="D3928" s="13"/>
      <c r="E3928" s="13"/>
      <c r="F3928" s="4"/>
    </row>
    <row r="3929">
      <c r="A3929" s="4"/>
      <c r="B3929" s="4"/>
      <c r="C3929" s="4"/>
      <c r="D3929" s="13"/>
      <c r="E3929" s="13"/>
      <c r="F3929" s="4"/>
    </row>
    <row r="3930">
      <c r="A3930" s="4"/>
      <c r="B3930" s="4"/>
      <c r="C3930" s="4"/>
      <c r="D3930" s="13"/>
      <c r="E3930" s="13"/>
      <c r="F3930" s="4"/>
    </row>
    <row r="3931">
      <c r="A3931" s="4"/>
      <c r="B3931" s="4"/>
      <c r="C3931" s="4"/>
      <c r="D3931" s="13"/>
      <c r="E3931" s="13"/>
      <c r="F3931" s="4"/>
    </row>
    <row r="3932">
      <c r="A3932" s="4"/>
      <c r="B3932" s="4"/>
      <c r="C3932" s="4"/>
      <c r="D3932" s="13"/>
      <c r="E3932" s="13"/>
      <c r="F3932" s="4"/>
    </row>
    <row r="3933">
      <c r="A3933" s="4"/>
      <c r="B3933" s="4"/>
      <c r="C3933" s="4"/>
      <c r="D3933" s="13"/>
      <c r="E3933" s="13"/>
      <c r="F3933" s="4"/>
    </row>
    <row r="3934">
      <c r="A3934" s="4"/>
      <c r="B3934" s="4"/>
      <c r="C3934" s="4"/>
      <c r="D3934" s="13"/>
      <c r="E3934" s="13"/>
      <c r="F3934" s="4"/>
    </row>
    <row r="3935">
      <c r="A3935" s="4"/>
      <c r="B3935" s="4"/>
      <c r="C3935" s="4"/>
      <c r="D3935" s="13"/>
      <c r="E3935" s="13"/>
      <c r="F3935" s="4"/>
    </row>
    <row r="3936">
      <c r="A3936" s="4"/>
      <c r="B3936" s="4"/>
      <c r="C3936" s="4"/>
      <c r="D3936" s="13"/>
      <c r="F3936" s="4"/>
    </row>
    <row r="3937">
      <c r="A3937" s="4"/>
      <c r="B3937" s="4"/>
      <c r="C3937" s="4"/>
      <c r="D3937" s="13"/>
      <c r="F3937" s="4"/>
    </row>
    <row r="3938">
      <c r="A3938" s="4"/>
      <c r="B3938" s="4"/>
      <c r="C3938" s="4"/>
      <c r="D3938" s="13"/>
      <c r="F3938" s="4"/>
    </row>
    <row r="3939">
      <c r="A3939" s="4"/>
      <c r="B3939" s="4"/>
      <c r="C3939" s="4"/>
      <c r="D3939" s="13"/>
      <c r="F3939" s="4"/>
    </row>
    <row r="3940">
      <c r="A3940" s="4"/>
      <c r="B3940" s="4"/>
      <c r="C3940" s="4"/>
      <c r="D3940" s="13"/>
      <c r="F3940" s="4"/>
    </row>
    <row r="3941">
      <c r="A3941" s="4"/>
      <c r="B3941" s="4"/>
      <c r="C3941" s="4"/>
      <c r="D3941" s="13"/>
      <c r="F3941" s="4"/>
    </row>
    <row r="3942">
      <c r="A3942" s="4"/>
      <c r="B3942" s="4"/>
      <c r="C3942" s="4"/>
      <c r="D3942" s="13"/>
      <c r="F3942" s="4"/>
    </row>
    <row r="3943">
      <c r="A3943" s="4"/>
      <c r="B3943" s="4"/>
      <c r="C3943" s="4"/>
      <c r="D3943" s="13"/>
      <c r="F3943" s="4"/>
    </row>
    <row r="3944">
      <c r="A3944" s="4"/>
      <c r="B3944" s="4"/>
      <c r="C3944" s="4"/>
      <c r="D3944" s="13"/>
      <c r="F3944" s="4"/>
    </row>
    <row r="3945">
      <c r="A3945" s="4"/>
      <c r="B3945" s="4"/>
      <c r="C3945" s="4"/>
      <c r="D3945" s="13"/>
      <c r="F3945" s="4"/>
    </row>
    <row r="3946">
      <c r="A3946" s="4"/>
      <c r="B3946" s="4"/>
      <c r="C3946" s="4"/>
      <c r="D3946" s="13"/>
      <c r="F3946" s="4"/>
    </row>
    <row r="3947">
      <c r="A3947" s="4"/>
      <c r="B3947" s="4"/>
      <c r="C3947" s="4"/>
      <c r="D3947" s="13"/>
      <c r="F3947" s="4"/>
    </row>
    <row r="3948">
      <c r="A3948" s="4"/>
      <c r="B3948" s="4"/>
      <c r="C3948" s="4"/>
      <c r="D3948" s="13"/>
      <c r="E3948" s="13"/>
      <c r="F3948" s="4"/>
    </row>
    <row r="3949">
      <c r="A3949" s="4"/>
      <c r="B3949" s="4"/>
      <c r="C3949" s="4"/>
      <c r="D3949" s="13"/>
      <c r="E3949" s="13"/>
      <c r="F3949" s="4"/>
    </row>
    <row r="3950">
      <c r="A3950" s="4"/>
      <c r="B3950" s="4"/>
      <c r="C3950" s="4"/>
      <c r="D3950" s="13"/>
      <c r="E3950" s="13"/>
      <c r="F3950" s="4"/>
    </row>
    <row r="3951">
      <c r="A3951" s="4"/>
      <c r="B3951" s="4"/>
      <c r="C3951" s="4"/>
      <c r="D3951" s="13"/>
      <c r="E3951" s="13"/>
      <c r="F3951" s="4"/>
    </row>
    <row r="3952">
      <c r="A3952" s="4"/>
      <c r="B3952" s="4"/>
      <c r="C3952" s="4"/>
      <c r="D3952" s="13"/>
      <c r="E3952" s="13"/>
      <c r="F3952" s="4"/>
    </row>
    <row r="3953">
      <c r="A3953" s="4"/>
      <c r="B3953" s="4"/>
      <c r="C3953" s="4"/>
      <c r="D3953" s="13"/>
      <c r="E3953" s="13"/>
      <c r="F3953" s="4"/>
    </row>
    <row r="3954">
      <c r="A3954" s="4"/>
      <c r="B3954" s="4"/>
      <c r="C3954" s="4"/>
      <c r="D3954" s="13"/>
      <c r="E3954" s="13"/>
      <c r="F3954" s="4"/>
    </row>
    <row r="3955">
      <c r="A3955" s="4"/>
      <c r="B3955" s="4"/>
      <c r="C3955" s="4"/>
      <c r="D3955" s="13"/>
      <c r="E3955" s="13"/>
      <c r="F3955" s="4"/>
    </row>
    <row r="3956">
      <c r="A3956" s="4"/>
      <c r="B3956" s="4"/>
      <c r="C3956" s="4"/>
      <c r="D3956" s="13"/>
      <c r="E3956" s="13"/>
      <c r="F3956" s="4"/>
    </row>
    <row r="3957">
      <c r="A3957" s="4"/>
      <c r="B3957" s="4"/>
      <c r="C3957" s="4"/>
      <c r="D3957" s="13"/>
      <c r="E3957" s="13"/>
      <c r="F3957" s="4"/>
    </row>
    <row r="3958">
      <c r="A3958" s="4"/>
      <c r="B3958" s="4"/>
      <c r="C3958" s="4"/>
      <c r="D3958" s="13"/>
      <c r="E3958" s="13"/>
      <c r="F3958" s="4"/>
    </row>
    <row r="3959">
      <c r="A3959" s="4"/>
      <c r="B3959" s="4"/>
      <c r="C3959" s="4"/>
      <c r="D3959" s="13"/>
      <c r="E3959" s="13"/>
      <c r="F3959" s="4"/>
    </row>
    <row r="3960">
      <c r="A3960" s="4"/>
      <c r="B3960" s="4"/>
      <c r="C3960" s="4"/>
      <c r="D3960" s="13"/>
      <c r="E3960" s="13"/>
      <c r="F3960" s="4"/>
    </row>
    <row r="3961">
      <c r="A3961" s="4"/>
      <c r="B3961" s="4"/>
      <c r="C3961" s="4"/>
      <c r="D3961" s="13"/>
      <c r="E3961" s="13"/>
      <c r="F3961" s="4"/>
    </row>
    <row r="3962">
      <c r="A3962" s="4"/>
      <c r="B3962" s="4"/>
      <c r="C3962" s="4"/>
      <c r="D3962" s="13"/>
      <c r="E3962" s="13"/>
      <c r="F3962" s="4"/>
    </row>
    <row r="3963">
      <c r="A3963" s="4"/>
      <c r="B3963" s="4"/>
      <c r="C3963" s="4"/>
      <c r="D3963" s="13"/>
      <c r="E3963" s="13"/>
      <c r="F3963" s="4"/>
    </row>
    <row r="3964">
      <c r="A3964" s="4"/>
      <c r="B3964" s="4"/>
      <c r="C3964" s="4"/>
      <c r="D3964" s="13"/>
      <c r="E3964" s="13"/>
      <c r="F3964" s="4"/>
    </row>
    <row r="3965">
      <c r="A3965" s="4"/>
      <c r="B3965" s="4"/>
      <c r="C3965" s="4"/>
      <c r="D3965" s="13"/>
      <c r="E3965" s="13"/>
      <c r="F3965" s="4"/>
    </row>
    <row r="3966">
      <c r="A3966" s="4"/>
      <c r="B3966" s="4"/>
      <c r="C3966" s="4"/>
      <c r="D3966" s="13"/>
      <c r="E3966" s="13"/>
      <c r="F3966" s="4"/>
    </row>
    <row r="3967">
      <c r="A3967" s="4"/>
      <c r="B3967" s="4"/>
      <c r="C3967" s="4"/>
      <c r="D3967" s="13"/>
      <c r="E3967" s="13"/>
      <c r="F3967" s="4"/>
    </row>
    <row r="3968">
      <c r="A3968" s="4"/>
      <c r="B3968" s="4"/>
      <c r="C3968" s="4"/>
      <c r="D3968" s="13"/>
      <c r="E3968" s="13"/>
      <c r="F3968" s="4"/>
    </row>
    <row r="3969">
      <c r="A3969" s="4"/>
      <c r="B3969" s="4"/>
      <c r="C3969" s="4"/>
      <c r="D3969" s="13"/>
      <c r="E3969" s="13"/>
      <c r="F3969" s="4"/>
    </row>
    <row r="3970">
      <c r="A3970" s="4"/>
      <c r="B3970" s="4"/>
      <c r="C3970" s="4"/>
      <c r="D3970" s="13"/>
      <c r="E3970" s="13"/>
      <c r="F3970" s="4"/>
    </row>
    <row r="3971">
      <c r="A3971" s="4"/>
      <c r="B3971" s="4"/>
      <c r="C3971" s="4"/>
      <c r="D3971" s="13"/>
      <c r="E3971" s="13"/>
      <c r="F3971" s="4"/>
    </row>
    <row r="3972">
      <c r="A3972" s="4"/>
      <c r="B3972" s="4"/>
      <c r="C3972" s="4"/>
      <c r="D3972" s="13"/>
      <c r="E3972" s="13"/>
      <c r="F3972" s="4"/>
    </row>
    <row r="3973">
      <c r="A3973" s="4"/>
      <c r="B3973" s="4"/>
      <c r="C3973" s="4"/>
      <c r="D3973" s="13"/>
      <c r="E3973" s="13"/>
      <c r="F3973" s="4"/>
    </row>
    <row r="3974">
      <c r="A3974" s="4"/>
      <c r="B3974" s="4"/>
      <c r="C3974" s="4"/>
      <c r="D3974" s="13"/>
      <c r="E3974" s="13"/>
      <c r="F3974" s="4"/>
    </row>
    <row r="3975">
      <c r="A3975" s="4"/>
      <c r="B3975" s="4"/>
      <c r="C3975" s="4"/>
      <c r="D3975" s="13"/>
      <c r="E3975" s="13"/>
      <c r="F3975" s="4"/>
    </row>
    <row r="3976">
      <c r="A3976" s="4"/>
      <c r="B3976" s="4"/>
      <c r="C3976" s="4"/>
      <c r="D3976" s="13"/>
      <c r="E3976" s="13"/>
      <c r="F3976" s="4"/>
    </row>
    <row r="3977">
      <c r="A3977" s="4"/>
      <c r="B3977" s="4"/>
      <c r="C3977" s="4"/>
      <c r="D3977" s="13"/>
      <c r="E3977" s="13"/>
      <c r="F3977" s="4"/>
    </row>
    <row r="3978">
      <c r="A3978" s="4"/>
      <c r="B3978" s="4"/>
      <c r="C3978" s="4"/>
      <c r="D3978" s="13"/>
      <c r="E3978" s="13"/>
      <c r="F3978" s="4"/>
    </row>
    <row r="3979">
      <c r="A3979" s="4"/>
      <c r="B3979" s="4"/>
      <c r="C3979" s="4"/>
      <c r="D3979" s="13"/>
      <c r="E3979" s="13"/>
      <c r="F3979" s="4"/>
    </row>
    <row r="3980">
      <c r="A3980" s="4"/>
      <c r="B3980" s="4"/>
      <c r="C3980" s="4"/>
      <c r="D3980" s="13"/>
      <c r="E3980" s="13"/>
      <c r="F3980" s="4"/>
    </row>
    <row r="3981">
      <c r="A3981" s="4"/>
      <c r="B3981" s="4"/>
      <c r="C3981" s="4"/>
      <c r="D3981" s="13"/>
      <c r="E3981" s="13"/>
      <c r="F3981" s="4"/>
    </row>
    <row r="3982">
      <c r="A3982" s="4"/>
      <c r="B3982" s="4"/>
      <c r="C3982" s="4"/>
      <c r="D3982" s="13"/>
      <c r="E3982" s="13"/>
      <c r="F3982" s="4"/>
    </row>
    <row r="3983">
      <c r="A3983" s="4"/>
      <c r="B3983" s="4"/>
      <c r="C3983" s="4"/>
      <c r="D3983" s="13"/>
      <c r="E3983" s="13"/>
      <c r="F3983" s="4"/>
    </row>
    <row r="3984">
      <c r="A3984" s="4"/>
      <c r="B3984" s="4"/>
      <c r="C3984" s="4"/>
      <c r="D3984" s="13"/>
      <c r="E3984" s="13"/>
      <c r="F3984" s="4"/>
    </row>
    <row r="3985">
      <c r="A3985" s="4"/>
      <c r="B3985" s="4"/>
      <c r="C3985" s="4"/>
      <c r="D3985" s="13"/>
      <c r="E3985" s="13"/>
      <c r="F3985" s="4"/>
    </row>
    <row r="3986">
      <c r="A3986" s="4"/>
      <c r="B3986" s="4"/>
      <c r="C3986" s="4"/>
      <c r="D3986" s="13"/>
      <c r="E3986" s="13"/>
      <c r="F3986" s="4"/>
    </row>
    <row r="3987">
      <c r="A3987" s="4"/>
      <c r="B3987" s="4"/>
      <c r="C3987" s="4"/>
      <c r="D3987" s="13"/>
      <c r="E3987" s="13"/>
      <c r="F3987" s="4"/>
    </row>
    <row r="3988">
      <c r="A3988" s="4"/>
      <c r="B3988" s="4"/>
      <c r="C3988" s="4"/>
      <c r="D3988" s="13"/>
      <c r="E3988" s="13"/>
      <c r="F3988" s="4"/>
    </row>
    <row r="3989">
      <c r="A3989" s="4"/>
      <c r="B3989" s="4"/>
      <c r="C3989" s="4"/>
      <c r="D3989" s="13"/>
      <c r="E3989" s="13"/>
      <c r="F3989" s="4"/>
    </row>
    <row r="3990">
      <c r="A3990" s="4"/>
      <c r="B3990" s="4"/>
      <c r="C3990" s="4"/>
      <c r="D3990" s="13"/>
      <c r="E3990" s="13"/>
      <c r="F3990" s="4"/>
    </row>
    <row r="3991">
      <c r="A3991" s="4"/>
      <c r="B3991" s="4"/>
      <c r="C3991" s="4"/>
      <c r="D3991" s="13"/>
      <c r="E3991" s="13"/>
      <c r="F3991" s="4"/>
    </row>
    <row r="3992">
      <c r="A3992" s="4"/>
      <c r="B3992" s="4"/>
      <c r="C3992" s="4"/>
      <c r="D3992" s="13"/>
      <c r="E3992" s="13"/>
      <c r="F3992" s="4"/>
    </row>
    <row r="3993">
      <c r="A3993" s="4"/>
      <c r="B3993" s="4"/>
      <c r="C3993" s="4"/>
      <c r="D3993" s="13"/>
      <c r="E3993" s="13"/>
      <c r="F3993" s="4"/>
    </row>
    <row r="3994">
      <c r="A3994" s="4"/>
      <c r="B3994" s="4"/>
      <c r="C3994" s="4"/>
      <c r="D3994" s="13"/>
      <c r="E3994" s="13"/>
      <c r="F3994" s="4"/>
    </row>
    <row r="3995">
      <c r="A3995" s="4"/>
      <c r="B3995" s="4"/>
      <c r="C3995" s="4"/>
      <c r="D3995" s="13"/>
      <c r="E3995" s="13"/>
      <c r="F3995" s="4"/>
    </row>
    <row r="3996">
      <c r="A3996" s="4"/>
      <c r="B3996" s="4"/>
      <c r="C3996" s="4"/>
      <c r="D3996" s="13"/>
      <c r="E3996" s="13"/>
      <c r="F3996" s="4"/>
    </row>
    <row r="3997">
      <c r="A3997" s="4"/>
      <c r="B3997" s="4"/>
      <c r="C3997" s="4"/>
      <c r="D3997" s="13"/>
      <c r="E3997" s="13"/>
      <c r="F3997" s="4"/>
    </row>
    <row r="3998">
      <c r="A3998" s="4"/>
      <c r="B3998" s="4"/>
      <c r="C3998" s="4"/>
      <c r="D3998" s="13"/>
      <c r="E3998" s="13"/>
      <c r="F3998" s="4"/>
    </row>
    <row r="3999">
      <c r="A3999" s="4"/>
      <c r="B3999" s="4"/>
      <c r="C3999" s="4"/>
      <c r="D3999" s="13"/>
      <c r="E3999" s="13"/>
      <c r="F3999" s="4"/>
    </row>
    <row r="4000">
      <c r="A4000" s="4"/>
      <c r="B4000" s="4"/>
      <c r="C4000" s="4"/>
      <c r="D4000" s="13"/>
      <c r="E4000" s="13"/>
      <c r="F4000" s="4"/>
    </row>
    <row r="4001">
      <c r="A4001" s="4"/>
      <c r="B4001" s="4"/>
      <c r="C4001" s="4"/>
      <c r="D4001" s="13"/>
      <c r="E4001" s="13"/>
      <c r="F4001" s="4"/>
    </row>
    <row r="4002">
      <c r="A4002" s="4"/>
      <c r="B4002" s="4"/>
      <c r="C4002" s="4"/>
      <c r="D4002" s="13"/>
      <c r="E4002" s="13"/>
      <c r="F4002" s="4"/>
    </row>
    <row r="4003">
      <c r="A4003" s="4"/>
      <c r="B4003" s="4"/>
      <c r="C4003" s="4"/>
      <c r="D4003" s="13"/>
      <c r="E4003" s="13"/>
      <c r="F4003" s="4"/>
    </row>
    <row r="4004">
      <c r="A4004" s="4"/>
      <c r="B4004" s="4"/>
      <c r="C4004" s="4"/>
      <c r="D4004" s="13"/>
      <c r="E4004" s="13"/>
      <c r="F4004" s="4"/>
    </row>
    <row r="4005">
      <c r="A4005" s="4"/>
      <c r="B4005" s="4"/>
      <c r="C4005" s="4"/>
      <c r="D4005" s="13"/>
      <c r="E4005" s="13"/>
      <c r="F4005" s="4"/>
    </row>
    <row r="4006">
      <c r="A4006" s="4"/>
      <c r="B4006" s="4"/>
      <c r="C4006" s="4"/>
      <c r="D4006" s="13"/>
      <c r="E4006" s="13"/>
      <c r="F4006" s="4"/>
    </row>
    <row r="4007">
      <c r="A4007" s="4"/>
      <c r="B4007" s="4"/>
      <c r="C4007" s="4"/>
      <c r="D4007" s="13"/>
      <c r="E4007" s="13"/>
      <c r="F4007" s="4"/>
    </row>
    <row r="4008">
      <c r="A4008" s="4"/>
      <c r="B4008" s="4"/>
      <c r="C4008" s="4"/>
      <c r="D4008" s="13"/>
      <c r="E4008" s="13"/>
      <c r="F4008" s="4"/>
    </row>
    <row r="4009">
      <c r="A4009" s="4"/>
      <c r="B4009" s="4"/>
      <c r="C4009" s="4"/>
      <c r="D4009" s="13"/>
      <c r="E4009" s="13"/>
      <c r="F4009" s="4"/>
    </row>
    <row r="4010">
      <c r="A4010" s="4"/>
      <c r="B4010" s="4"/>
      <c r="C4010" s="4"/>
      <c r="D4010" s="13"/>
      <c r="E4010" s="13"/>
      <c r="F4010" s="4"/>
    </row>
    <row r="4011">
      <c r="A4011" s="4"/>
      <c r="B4011" s="4"/>
      <c r="C4011" s="4"/>
      <c r="D4011" s="13"/>
      <c r="E4011" s="13"/>
      <c r="F4011" s="4"/>
    </row>
    <row r="4012">
      <c r="A4012" s="4"/>
      <c r="B4012" s="4"/>
      <c r="C4012" s="4"/>
      <c r="D4012" s="13"/>
      <c r="E4012" s="13"/>
      <c r="F4012" s="4"/>
    </row>
    <row r="4013">
      <c r="A4013" s="4"/>
      <c r="B4013" s="4"/>
      <c r="C4013" s="4"/>
      <c r="D4013" s="13"/>
      <c r="F4013" s="4"/>
    </row>
    <row r="4014">
      <c r="A4014" s="4"/>
      <c r="B4014" s="4"/>
      <c r="C4014" s="4"/>
      <c r="D4014" s="13"/>
      <c r="F4014" s="4"/>
    </row>
    <row r="4015">
      <c r="A4015" s="4"/>
      <c r="B4015" s="4"/>
      <c r="C4015" s="4"/>
      <c r="D4015" s="13"/>
      <c r="F4015" s="4"/>
    </row>
    <row r="4016">
      <c r="A4016" s="4"/>
      <c r="B4016" s="4"/>
      <c r="C4016" s="4"/>
      <c r="D4016" s="13"/>
      <c r="F4016" s="4"/>
    </row>
    <row r="4017">
      <c r="A4017" s="4"/>
      <c r="B4017" s="4"/>
      <c r="C4017" s="4"/>
      <c r="D4017" s="13"/>
      <c r="F4017" s="4"/>
    </row>
    <row r="4018">
      <c r="A4018" s="4"/>
      <c r="B4018" s="4"/>
      <c r="C4018" s="4"/>
      <c r="D4018" s="13"/>
      <c r="F4018" s="4"/>
    </row>
    <row r="4019">
      <c r="A4019" s="4"/>
      <c r="B4019" s="4"/>
      <c r="C4019" s="4"/>
      <c r="D4019" s="13"/>
      <c r="F4019" s="4"/>
    </row>
    <row r="4020">
      <c r="A4020" s="4"/>
      <c r="B4020" s="4"/>
      <c r="C4020" s="4"/>
      <c r="D4020" s="13"/>
      <c r="F4020" s="4"/>
    </row>
    <row r="4021">
      <c r="A4021" s="4"/>
      <c r="B4021" s="4"/>
      <c r="C4021" s="4"/>
      <c r="D4021" s="13"/>
      <c r="F4021" s="4"/>
    </row>
    <row r="4022">
      <c r="A4022" s="4"/>
      <c r="B4022" s="4"/>
      <c r="C4022" s="4"/>
      <c r="D4022" s="13"/>
      <c r="F4022" s="4"/>
    </row>
    <row r="4023">
      <c r="A4023" s="4"/>
      <c r="B4023" s="4"/>
      <c r="C4023" s="4"/>
      <c r="D4023" s="13"/>
      <c r="F4023" s="4"/>
    </row>
    <row r="4024">
      <c r="A4024" s="4"/>
      <c r="B4024" s="4"/>
      <c r="C4024" s="4"/>
      <c r="D4024" s="13"/>
      <c r="F4024" s="4"/>
    </row>
    <row r="4025">
      <c r="A4025" s="4"/>
      <c r="B4025" s="4"/>
      <c r="C4025" s="4"/>
      <c r="D4025" s="13"/>
      <c r="F4025" s="4"/>
    </row>
    <row r="4026">
      <c r="A4026" s="4"/>
      <c r="B4026" s="4"/>
      <c r="C4026" s="4"/>
      <c r="D4026" s="13"/>
      <c r="F4026" s="4"/>
    </row>
    <row r="4027">
      <c r="A4027" s="4"/>
      <c r="B4027" s="4"/>
      <c r="C4027" s="4"/>
      <c r="D4027" s="13"/>
      <c r="F4027" s="4"/>
    </row>
    <row r="4028">
      <c r="A4028" s="4"/>
      <c r="B4028" s="4"/>
      <c r="C4028" s="4"/>
      <c r="D4028" s="13"/>
      <c r="F4028" s="4"/>
    </row>
    <row r="4029">
      <c r="A4029" s="4"/>
      <c r="B4029" s="4"/>
      <c r="C4029" s="4"/>
      <c r="D4029" s="13"/>
      <c r="F4029" s="4"/>
    </row>
    <row r="4030">
      <c r="A4030" s="4"/>
      <c r="B4030" s="4"/>
      <c r="C4030" s="4"/>
      <c r="D4030" s="13"/>
      <c r="F4030" s="4"/>
    </row>
    <row r="4031">
      <c r="A4031" s="4"/>
      <c r="B4031" s="4"/>
      <c r="C4031" s="4"/>
      <c r="D4031" s="13"/>
      <c r="F4031" s="4"/>
    </row>
    <row r="4032">
      <c r="A4032" s="4"/>
      <c r="B4032" s="4"/>
      <c r="C4032" s="4"/>
      <c r="D4032" s="13"/>
      <c r="F4032" s="4"/>
    </row>
    <row r="4033">
      <c r="A4033" s="4"/>
      <c r="B4033" s="4"/>
      <c r="C4033" s="4"/>
      <c r="D4033" s="13"/>
      <c r="F4033" s="4"/>
    </row>
    <row r="4034">
      <c r="A4034" s="4"/>
      <c r="B4034" s="4"/>
      <c r="C4034" s="4"/>
      <c r="D4034" s="13"/>
      <c r="F4034" s="4"/>
    </row>
    <row r="4035">
      <c r="A4035" s="4"/>
      <c r="B4035" s="4"/>
      <c r="C4035" s="4"/>
      <c r="D4035" s="13"/>
      <c r="F4035" s="4"/>
    </row>
    <row r="4036">
      <c r="A4036" s="4"/>
      <c r="B4036" s="4"/>
      <c r="C4036" s="4"/>
      <c r="D4036" s="13"/>
      <c r="F4036" s="4"/>
    </row>
    <row r="4037">
      <c r="A4037" s="4"/>
      <c r="B4037" s="4"/>
      <c r="C4037" s="4"/>
      <c r="D4037" s="13"/>
      <c r="F4037" s="4"/>
    </row>
    <row r="4038">
      <c r="A4038" s="4"/>
      <c r="B4038" s="4"/>
      <c r="C4038" s="4"/>
      <c r="D4038" s="13"/>
      <c r="F4038" s="4"/>
    </row>
    <row r="4039">
      <c r="A4039" s="4"/>
      <c r="B4039" s="4"/>
      <c r="C4039" s="4"/>
      <c r="D4039" s="13"/>
      <c r="F4039" s="4"/>
    </row>
    <row r="4040">
      <c r="A4040" s="4"/>
      <c r="B4040" s="4"/>
      <c r="C4040" s="4"/>
      <c r="D4040" s="13"/>
      <c r="F4040" s="4"/>
    </row>
    <row r="4041">
      <c r="A4041" s="4"/>
      <c r="B4041" s="4"/>
      <c r="C4041" s="4"/>
      <c r="D4041" s="13"/>
      <c r="F4041" s="4"/>
    </row>
    <row r="4042">
      <c r="A4042" s="4"/>
      <c r="B4042" s="4"/>
      <c r="C4042" s="4"/>
      <c r="D4042" s="13"/>
      <c r="F4042" s="4"/>
    </row>
    <row r="4043">
      <c r="A4043" s="4"/>
      <c r="B4043" s="4"/>
      <c r="C4043" s="4"/>
      <c r="D4043" s="13"/>
      <c r="F4043" s="4"/>
    </row>
    <row r="4044">
      <c r="A4044" s="4"/>
      <c r="B4044" s="4"/>
      <c r="C4044" s="4"/>
      <c r="D4044" s="13"/>
      <c r="F4044" s="4"/>
    </row>
    <row r="4045">
      <c r="A4045" s="4"/>
      <c r="B4045" s="4"/>
      <c r="C4045" s="4"/>
      <c r="D4045" s="13"/>
      <c r="F4045" s="4"/>
    </row>
    <row r="4046">
      <c r="A4046" s="4"/>
      <c r="B4046" s="4"/>
      <c r="C4046" s="4"/>
      <c r="D4046" s="13"/>
      <c r="F4046" s="4"/>
    </row>
    <row r="4047">
      <c r="A4047" s="4"/>
      <c r="B4047" s="4"/>
      <c r="C4047" s="4"/>
      <c r="D4047" s="13"/>
      <c r="F4047" s="4"/>
    </row>
    <row r="4048">
      <c r="A4048" s="4"/>
      <c r="B4048" s="4"/>
      <c r="C4048" s="4"/>
      <c r="D4048" s="13"/>
      <c r="F4048" s="4"/>
    </row>
    <row r="4049">
      <c r="A4049" s="4"/>
      <c r="B4049" s="4"/>
      <c r="C4049" s="4"/>
      <c r="D4049" s="13"/>
      <c r="F4049" s="4"/>
    </row>
    <row r="4050">
      <c r="A4050" s="4"/>
      <c r="B4050" s="4"/>
      <c r="C4050" s="4"/>
      <c r="D4050" s="13"/>
      <c r="F4050" s="4"/>
    </row>
    <row r="4051">
      <c r="A4051" s="4"/>
      <c r="B4051" s="4"/>
      <c r="C4051" s="4"/>
      <c r="D4051" s="13"/>
      <c r="F4051" s="4"/>
    </row>
    <row r="4052">
      <c r="A4052" s="4"/>
      <c r="B4052" s="4"/>
      <c r="C4052" s="4"/>
      <c r="D4052" s="13"/>
      <c r="F4052" s="4"/>
    </row>
    <row r="4053">
      <c r="A4053" s="4"/>
      <c r="B4053" s="4"/>
      <c r="C4053" s="4"/>
      <c r="D4053" s="13"/>
      <c r="F4053" s="4"/>
    </row>
    <row r="4054">
      <c r="A4054" s="4"/>
      <c r="B4054" s="4"/>
      <c r="C4054" s="4"/>
      <c r="D4054" s="13"/>
      <c r="F4054" s="4"/>
    </row>
    <row r="4055">
      <c r="A4055" s="4"/>
      <c r="B4055" s="4"/>
      <c r="C4055" s="4"/>
      <c r="D4055" s="13"/>
      <c r="F4055" s="4"/>
    </row>
    <row r="4056">
      <c r="A4056" s="4"/>
      <c r="B4056" s="4"/>
      <c r="C4056" s="4"/>
      <c r="D4056" s="13"/>
      <c r="E4056" s="13"/>
      <c r="F4056" s="4"/>
    </row>
    <row r="4057">
      <c r="A4057" s="4"/>
      <c r="B4057" s="4"/>
      <c r="C4057" s="4"/>
      <c r="D4057" s="13"/>
      <c r="E4057" s="13"/>
      <c r="F4057" s="4"/>
    </row>
    <row r="4058">
      <c r="A4058" s="4"/>
      <c r="B4058" s="4"/>
      <c r="C4058" s="4"/>
      <c r="D4058" s="13"/>
      <c r="E4058" s="13"/>
      <c r="F4058" s="4"/>
    </row>
    <row r="4059">
      <c r="A4059" s="4"/>
      <c r="B4059" s="4"/>
      <c r="C4059" s="4"/>
      <c r="D4059" s="13"/>
      <c r="E4059" s="13"/>
      <c r="F4059" s="4"/>
    </row>
    <row r="4060">
      <c r="A4060" s="4"/>
      <c r="B4060" s="4"/>
      <c r="C4060" s="4"/>
      <c r="D4060" s="13"/>
      <c r="E4060" s="13"/>
      <c r="F4060" s="4"/>
    </row>
    <row r="4061">
      <c r="A4061" s="4"/>
      <c r="B4061" s="4"/>
      <c r="C4061" s="4"/>
      <c r="D4061" s="13"/>
      <c r="E4061" s="13"/>
      <c r="F4061" s="4"/>
    </row>
    <row r="4062">
      <c r="A4062" s="4"/>
      <c r="B4062" s="4"/>
      <c r="C4062" s="4"/>
      <c r="D4062" s="13"/>
      <c r="E4062" s="13"/>
      <c r="F4062" s="4"/>
    </row>
    <row r="4063">
      <c r="A4063" s="4"/>
      <c r="B4063" s="4"/>
      <c r="C4063" s="4"/>
      <c r="D4063" s="13"/>
      <c r="E4063" s="13"/>
      <c r="F4063" s="4"/>
    </row>
    <row r="4064">
      <c r="A4064" s="4"/>
      <c r="B4064" s="4"/>
      <c r="C4064" s="4"/>
      <c r="D4064" s="13"/>
      <c r="E4064" s="13"/>
      <c r="F4064" s="4"/>
    </row>
    <row r="4065">
      <c r="A4065" s="4"/>
      <c r="B4065" s="4"/>
      <c r="C4065" s="4"/>
      <c r="D4065" s="13"/>
      <c r="E4065" s="13"/>
      <c r="F4065" s="4"/>
    </row>
    <row r="4066">
      <c r="A4066" s="4"/>
      <c r="B4066" s="4"/>
      <c r="C4066" s="4"/>
      <c r="D4066" s="13"/>
      <c r="E4066" s="13"/>
      <c r="F4066" s="4"/>
    </row>
    <row r="4067">
      <c r="A4067" s="4"/>
      <c r="B4067" s="4"/>
      <c r="C4067" s="4"/>
      <c r="D4067" s="13"/>
      <c r="E4067" s="13"/>
      <c r="F4067" s="4"/>
    </row>
    <row r="4068">
      <c r="A4068" s="4"/>
      <c r="B4068" s="4"/>
      <c r="C4068" s="4"/>
      <c r="D4068" s="13"/>
      <c r="E4068" s="13"/>
      <c r="F4068" s="4"/>
    </row>
    <row r="4069">
      <c r="A4069" s="4"/>
      <c r="B4069" s="4"/>
      <c r="C4069" s="4"/>
      <c r="D4069" s="13"/>
      <c r="E4069" s="13"/>
      <c r="F4069" s="4"/>
    </row>
    <row r="4070">
      <c r="A4070" s="4"/>
      <c r="B4070" s="4"/>
      <c r="C4070" s="4"/>
      <c r="D4070" s="13"/>
      <c r="E4070" s="13"/>
      <c r="F4070" s="4"/>
    </row>
    <row r="4071">
      <c r="A4071" s="4"/>
      <c r="B4071" s="4"/>
      <c r="C4071" s="4"/>
      <c r="D4071" s="13"/>
      <c r="E4071" s="13"/>
      <c r="F4071" s="4"/>
    </row>
    <row r="4072">
      <c r="A4072" s="4"/>
      <c r="B4072" s="4"/>
      <c r="C4072" s="4"/>
      <c r="D4072" s="13"/>
      <c r="E4072" s="13"/>
      <c r="F4072" s="4"/>
    </row>
    <row r="4073">
      <c r="A4073" s="4"/>
      <c r="B4073" s="4"/>
      <c r="C4073" s="4"/>
      <c r="D4073" s="13"/>
      <c r="E4073" s="13"/>
      <c r="F4073" s="4"/>
    </row>
    <row r="4074">
      <c r="A4074" s="4"/>
      <c r="B4074" s="4"/>
      <c r="C4074" s="4"/>
      <c r="D4074" s="13"/>
      <c r="E4074" s="13"/>
      <c r="F4074" s="4"/>
    </row>
    <row r="4075">
      <c r="A4075" s="4"/>
      <c r="B4075" s="4"/>
      <c r="C4075" s="4"/>
      <c r="D4075" s="13"/>
      <c r="E4075" s="13"/>
      <c r="F4075" s="4"/>
    </row>
    <row r="4076">
      <c r="A4076" s="4"/>
      <c r="B4076" s="4"/>
      <c r="C4076" s="4"/>
      <c r="D4076" s="13"/>
      <c r="E4076" s="13"/>
      <c r="F4076" s="4"/>
    </row>
    <row r="4077">
      <c r="A4077" s="4"/>
      <c r="B4077" s="4"/>
      <c r="C4077" s="4"/>
      <c r="D4077" s="13"/>
      <c r="E4077" s="13"/>
      <c r="F4077" s="4"/>
    </row>
    <row r="4078">
      <c r="A4078" s="4"/>
      <c r="B4078" s="4"/>
      <c r="C4078" s="4"/>
      <c r="D4078" s="13"/>
      <c r="E4078" s="13"/>
      <c r="F4078" s="4"/>
    </row>
    <row r="4079">
      <c r="A4079" s="4"/>
      <c r="B4079" s="4"/>
      <c r="C4079" s="4"/>
      <c r="D4079" s="13"/>
      <c r="E4079" s="13"/>
      <c r="F4079" s="4"/>
    </row>
    <row r="4080">
      <c r="A4080" s="4"/>
      <c r="B4080" s="4"/>
      <c r="C4080" s="4"/>
      <c r="D4080" s="13"/>
      <c r="E4080" s="13"/>
      <c r="F4080" s="4"/>
    </row>
    <row r="4081">
      <c r="A4081" s="4"/>
      <c r="B4081" s="4"/>
      <c r="C4081" s="4"/>
      <c r="D4081" s="13"/>
      <c r="E4081" s="13"/>
      <c r="F4081" s="4"/>
    </row>
    <row r="4082">
      <c r="A4082" s="4"/>
      <c r="B4082" s="4"/>
      <c r="C4082" s="4"/>
      <c r="D4082" s="13"/>
      <c r="E4082" s="13"/>
      <c r="F4082" s="4"/>
    </row>
    <row r="4083">
      <c r="A4083" s="4"/>
      <c r="B4083" s="4"/>
      <c r="C4083" s="4"/>
      <c r="D4083" s="13"/>
      <c r="E4083" s="13"/>
      <c r="F4083" s="4"/>
    </row>
    <row r="4084">
      <c r="A4084" s="4"/>
      <c r="B4084" s="4"/>
      <c r="C4084" s="4"/>
      <c r="D4084" s="13"/>
      <c r="E4084" s="13"/>
      <c r="F4084" s="4"/>
    </row>
    <row r="4085">
      <c r="A4085" s="4"/>
      <c r="B4085" s="4"/>
      <c r="C4085" s="4"/>
      <c r="D4085" s="13"/>
      <c r="E4085" s="13"/>
      <c r="F4085" s="4"/>
    </row>
    <row r="4086">
      <c r="A4086" s="4"/>
      <c r="B4086" s="4"/>
      <c r="C4086" s="4"/>
      <c r="D4086" s="13"/>
      <c r="E4086" s="13"/>
      <c r="F4086" s="4"/>
    </row>
    <row r="4087">
      <c r="A4087" s="4"/>
      <c r="B4087" s="4"/>
      <c r="C4087" s="4"/>
      <c r="D4087" s="13"/>
      <c r="E4087" s="13"/>
      <c r="F4087" s="4"/>
    </row>
    <row r="4088">
      <c r="A4088" s="4"/>
      <c r="B4088" s="4"/>
      <c r="C4088" s="4"/>
      <c r="D4088" s="13"/>
      <c r="E4088" s="13"/>
      <c r="F4088" s="4"/>
    </row>
    <row r="4089">
      <c r="A4089" s="4"/>
      <c r="B4089" s="4"/>
      <c r="C4089" s="4"/>
      <c r="D4089" s="13"/>
      <c r="E4089" s="13"/>
      <c r="F4089" s="4"/>
    </row>
    <row r="4090">
      <c r="A4090" s="4"/>
      <c r="B4090" s="4"/>
      <c r="C4090" s="4"/>
      <c r="D4090" s="13"/>
      <c r="E4090" s="13"/>
      <c r="F4090" s="4"/>
    </row>
    <row r="4091">
      <c r="A4091" s="4"/>
      <c r="B4091" s="4"/>
      <c r="C4091" s="4"/>
      <c r="D4091" s="13"/>
      <c r="E4091" s="13"/>
      <c r="F4091" s="4"/>
    </row>
    <row r="4092">
      <c r="A4092" s="4"/>
      <c r="B4092" s="4"/>
      <c r="C4092" s="4"/>
      <c r="D4092" s="13"/>
      <c r="E4092" s="13"/>
      <c r="F4092" s="4"/>
    </row>
    <row r="4093">
      <c r="A4093" s="4"/>
      <c r="B4093" s="4"/>
      <c r="C4093" s="4"/>
      <c r="D4093" s="13"/>
      <c r="E4093" s="13"/>
      <c r="F4093" s="4"/>
    </row>
    <row r="4094">
      <c r="A4094" s="4"/>
      <c r="B4094" s="4"/>
      <c r="C4094" s="4"/>
      <c r="D4094" s="13"/>
      <c r="E4094" s="13"/>
      <c r="F4094" s="4"/>
    </row>
    <row r="4095">
      <c r="A4095" s="4"/>
      <c r="B4095" s="4"/>
      <c r="C4095" s="4"/>
      <c r="D4095" s="13"/>
      <c r="E4095" s="13"/>
      <c r="F4095" s="4"/>
    </row>
    <row r="4096">
      <c r="A4096" s="4"/>
      <c r="B4096" s="4"/>
      <c r="C4096" s="4"/>
      <c r="D4096" s="13"/>
      <c r="E4096" s="13"/>
      <c r="F4096" s="4"/>
    </row>
    <row r="4097">
      <c r="A4097" s="4"/>
      <c r="B4097" s="4"/>
      <c r="C4097" s="4"/>
      <c r="D4097" s="13"/>
      <c r="E4097" s="13"/>
      <c r="F4097" s="4"/>
    </row>
    <row r="4098">
      <c r="A4098" s="4"/>
      <c r="B4098" s="4"/>
      <c r="C4098" s="4"/>
      <c r="D4098" s="13"/>
      <c r="E4098" s="13"/>
      <c r="F4098" s="4"/>
    </row>
    <row r="4099">
      <c r="A4099" s="4"/>
      <c r="B4099" s="4"/>
      <c r="C4099" s="4"/>
      <c r="D4099" s="13"/>
      <c r="E4099" s="13"/>
      <c r="F4099" s="4"/>
    </row>
    <row r="4100">
      <c r="A4100" s="4"/>
      <c r="B4100" s="4"/>
      <c r="C4100" s="4"/>
      <c r="D4100" s="13"/>
      <c r="E4100" s="13"/>
      <c r="F4100" s="4"/>
    </row>
    <row r="4101">
      <c r="A4101" s="4"/>
      <c r="B4101" s="4"/>
      <c r="C4101" s="4"/>
      <c r="D4101" s="13"/>
      <c r="E4101" s="13"/>
      <c r="F4101" s="4"/>
    </row>
    <row r="4102">
      <c r="A4102" s="4"/>
      <c r="B4102" s="4"/>
      <c r="C4102" s="4"/>
      <c r="D4102" s="13"/>
      <c r="E4102" s="13"/>
      <c r="F4102" s="4"/>
    </row>
    <row r="4103">
      <c r="A4103" s="4"/>
      <c r="B4103" s="4"/>
      <c r="C4103" s="4"/>
      <c r="D4103" s="13"/>
      <c r="E4103" s="13"/>
      <c r="F4103" s="4"/>
    </row>
    <row r="4104">
      <c r="A4104" s="4"/>
      <c r="B4104" s="4"/>
      <c r="C4104" s="4"/>
      <c r="D4104" s="13"/>
      <c r="E4104" s="13"/>
      <c r="F4104" s="4"/>
    </row>
    <row r="4105">
      <c r="A4105" s="4"/>
      <c r="B4105" s="4"/>
      <c r="C4105" s="4"/>
      <c r="D4105" s="13"/>
      <c r="E4105" s="13"/>
      <c r="F4105" s="4"/>
    </row>
    <row r="4106">
      <c r="A4106" s="4"/>
      <c r="B4106" s="4"/>
      <c r="C4106" s="4"/>
      <c r="D4106" s="13"/>
      <c r="E4106" s="13"/>
      <c r="F4106" s="4"/>
    </row>
    <row r="4107">
      <c r="A4107" s="4"/>
      <c r="B4107" s="4"/>
      <c r="C4107" s="4"/>
      <c r="D4107" s="13"/>
      <c r="E4107" s="13"/>
      <c r="F4107" s="4"/>
    </row>
    <row r="4108">
      <c r="A4108" s="4"/>
      <c r="B4108" s="4"/>
      <c r="C4108" s="4"/>
      <c r="D4108" s="13"/>
      <c r="E4108" s="13"/>
      <c r="F4108" s="4"/>
    </row>
    <row r="4109">
      <c r="A4109" s="4"/>
      <c r="B4109" s="4"/>
      <c r="C4109" s="4"/>
      <c r="D4109" s="13"/>
      <c r="E4109" s="13"/>
      <c r="F4109" s="4"/>
    </row>
    <row r="4110">
      <c r="A4110" s="4"/>
      <c r="B4110" s="4"/>
      <c r="C4110" s="4"/>
      <c r="D4110" s="13"/>
      <c r="E4110" s="13"/>
      <c r="F4110" s="4"/>
    </row>
    <row r="4111">
      <c r="A4111" s="4"/>
      <c r="B4111" s="4"/>
      <c r="C4111" s="4"/>
      <c r="D4111" s="13"/>
      <c r="E4111" s="13"/>
      <c r="F4111" s="4"/>
    </row>
    <row r="4112">
      <c r="A4112" s="4"/>
      <c r="B4112" s="4"/>
      <c r="C4112" s="4"/>
      <c r="D4112" s="13"/>
      <c r="E4112" s="13"/>
      <c r="F4112" s="4"/>
    </row>
    <row r="4113">
      <c r="A4113" s="4"/>
      <c r="B4113" s="4"/>
      <c r="C4113" s="4"/>
      <c r="D4113" s="13"/>
      <c r="E4113" s="13"/>
      <c r="F4113" s="4"/>
    </row>
    <row r="4114">
      <c r="A4114" s="4"/>
      <c r="B4114" s="4"/>
      <c r="C4114" s="4"/>
      <c r="D4114" s="13"/>
      <c r="E4114" s="13"/>
      <c r="F4114" s="4"/>
    </row>
    <row r="4115">
      <c r="A4115" s="4"/>
      <c r="B4115" s="4"/>
      <c r="C4115" s="4"/>
      <c r="D4115" s="13"/>
      <c r="E4115" s="13"/>
      <c r="F4115" s="4"/>
    </row>
    <row r="4116">
      <c r="A4116" s="4"/>
      <c r="B4116" s="4"/>
      <c r="C4116" s="4"/>
      <c r="D4116" s="13"/>
      <c r="E4116" s="13"/>
      <c r="F4116" s="4"/>
    </row>
    <row r="4117">
      <c r="A4117" s="4"/>
      <c r="B4117" s="4"/>
      <c r="C4117" s="4"/>
      <c r="D4117" s="13"/>
      <c r="E4117" s="13"/>
      <c r="F4117" s="4"/>
    </row>
    <row r="4118">
      <c r="A4118" s="4"/>
      <c r="B4118" s="4"/>
      <c r="C4118" s="4"/>
      <c r="D4118" s="13"/>
      <c r="E4118" s="13"/>
      <c r="F4118" s="4"/>
    </row>
    <row r="4119">
      <c r="A4119" s="4"/>
      <c r="B4119" s="4"/>
      <c r="C4119" s="4"/>
      <c r="D4119" s="13"/>
      <c r="E4119" s="13"/>
      <c r="F4119" s="4"/>
    </row>
    <row r="4120">
      <c r="A4120" s="4"/>
      <c r="B4120" s="4"/>
      <c r="C4120" s="4"/>
      <c r="D4120" s="13"/>
      <c r="E4120" s="13"/>
      <c r="F4120" s="4"/>
    </row>
    <row r="4121">
      <c r="A4121" s="4"/>
      <c r="B4121" s="4"/>
      <c r="C4121" s="4"/>
      <c r="D4121" s="13"/>
      <c r="E4121" s="13"/>
      <c r="F4121" s="4"/>
    </row>
    <row r="4122">
      <c r="A4122" s="4"/>
      <c r="B4122" s="4"/>
      <c r="C4122" s="4"/>
      <c r="D4122" s="13"/>
      <c r="E4122" s="13"/>
      <c r="F4122" s="4"/>
    </row>
    <row r="4123">
      <c r="A4123" s="4"/>
      <c r="B4123" s="4"/>
      <c r="C4123" s="4"/>
      <c r="D4123" s="13"/>
      <c r="E4123" s="13"/>
      <c r="F4123" s="4"/>
    </row>
    <row r="4124">
      <c r="A4124" s="4"/>
      <c r="B4124" s="4"/>
      <c r="C4124" s="4"/>
      <c r="D4124" s="13"/>
      <c r="E4124" s="13"/>
      <c r="F4124" s="4"/>
    </row>
    <row r="4125">
      <c r="A4125" s="4"/>
      <c r="B4125" s="4"/>
      <c r="C4125" s="4"/>
      <c r="D4125" s="13"/>
      <c r="E4125" s="13"/>
      <c r="F4125" s="4"/>
    </row>
    <row r="4126">
      <c r="A4126" s="4"/>
      <c r="B4126" s="4"/>
      <c r="C4126" s="4"/>
      <c r="D4126" s="13"/>
      <c r="E4126" s="13"/>
      <c r="F4126" s="4"/>
    </row>
    <row r="4127">
      <c r="A4127" s="4"/>
      <c r="B4127" s="4"/>
      <c r="C4127" s="4"/>
      <c r="D4127" s="13"/>
      <c r="E4127" s="13"/>
      <c r="F4127" s="4"/>
    </row>
    <row r="4128">
      <c r="A4128" s="4"/>
      <c r="B4128" s="4"/>
      <c r="C4128" s="4"/>
      <c r="D4128" s="13"/>
      <c r="E4128" s="13"/>
      <c r="F4128" s="4"/>
    </row>
    <row r="4129">
      <c r="A4129" s="4"/>
      <c r="B4129" s="4"/>
      <c r="C4129" s="4"/>
      <c r="D4129" s="13"/>
      <c r="E4129" s="13"/>
      <c r="F4129" s="4"/>
    </row>
    <row r="4130">
      <c r="A4130" s="4"/>
      <c r="B4130" s="4"/>
      <c r="C4130" s="4"/>
      <c r="D4130" s="13"/>
      <c r="E4130" s="13"/>
      <c r="F4130" s="4"/>
    </row>
    <row r="4131">
      <c r="A4131" s="4"/>
      <c r="B4131" s="4"/>
      <c r="C4131" s="4"/>
      <c r="D4131" s="13"/>
      <c r="E4131" s="13"/>
      <c r="F4131" s="4"/>
    </row>
    <row r="4132">
      <c r="A4132" s="4"/>
      <c r="B4132" s="4"/>
      <c r="C4132" s="4"/>
      <c r="D4132" s="13"/>
      <c r="E4132" s="13"/>
      <c r="F4132" s="4"/>
    </row>
    <row r="4133">
      <c r="A4133" s="4"/>
      <c r="B4133" s="4"/>
      <c r="C4133" s="4"/>
      <c r="D4133" s="13"/>
      <c r="E4133" s="13"/>
      <c r="F4133" s="4"/>
    </row>
    <row r="4134">
      <c r="A4134" s="4"/>
      <c r="B4134" s="4"/>
      <c r="C4134" s="4"/>
      <c r="D4134" s="13"/>
      <c r="E4134" s="13"/>
      <c r="F4134" s="4"/>
    </row>
    <row r="4135">
      <c r="A4135" s="4"/>
      <c r="B4135" s="4"/>
      <c r="C4135" s="4"/>
      <c r="D4135" s="13"/>
      <c r="E4135" s="13"/>
      <c r="F4135" s="4"/>
    </row>
    <row r="4136">
      <c r="A4136" s="4"/>
      <c r="B4136" s="4"/>
      <c r="C4136" s="4"/>
      <c r="D4136" s="13"/>
      <c r="E4136" s="13"/>
      <c r="F4136" s="4"/>
    </row>
    <row r="4137">
      <c r="A4137" s="4"/>
      <c r="B4137" s="4"/>
      <c r="C4137" s="4"/>
      <c r="D4137" s="13"/>
      <c r="E4137" s="13"/>
      <c r="F4137" s="4"/>
    </row>
    <row r="4138">
      <c r="A4138" s="4"/>
      <c r="B4138" s="4"/>
      <c r="C4138" s="4"/>
      <c r="D4138" s="13"/>
      <c r="E4138" s="13"/>
      <c r="F4138" s="4"/>
    </row>
    <row r="4139">
      <c r="A4139" s="4"/>
      <c r="B4139" s="4"/>
      <c r="C4139" s="4"/>
      <c r="D4139" s="13"/>
      <c r="E4139" s="13"/>
      <c r="F4139" s="4"/>
    </row>
    <row r="4140">
      <c r="A4140" s="4"/>
      <c r="B4140" s="4"/>
      <c r="C4140" s="4"/>
      <c r="D4140" s="13"/>
      <c r="E4140" s="13"/>
      <c r="F4140" s="4"/>
    </row>
    <row r="4141">
      <c r="A4141" s="4"/>
      <c r="B4141" s="4"/>
      <c r="C4141" s="4"/>
      <c r="D4141" s="13"/>
      <c r="E4141" s="13"/>
      <c r="F4141" s="4"/>
    </row>
    <row r="4142">
      <c r="A4142" s="4"/>
      <c r="B4142" s="4"/>
      <c r="C4142" s="4"/>
      <c r="D4142" s="13"/>
      <c r="E4142" s="13"/>
      <c r="F4142" s="4"/>
    </row>
    <row r="4143">
      <c r="A4143" s="4"/>
      <c r="B4143" s="4"/>
      <c r="C4143" s="4"/>
      <c r="D4143" s="13"/>
      <c r="E4143" s="13"/>
      <c r="F4143" s="4"/>
    </row>
    <row r="4144">
      <c r="A4144" s="4"/>
      <c r="B4144" s="4"/>
      <c r="C4144" s="4"/>
      <c r="D4144" s="13"/>
      <c r="E4144" s="13"/>
      <c r="F4144" s="4"/>
    </row>
    <row r="4145">
      <c r="A4145" s="4"/>
      <c r="B4145" s="4"/>
      <c r="C4145" s="4"/>
      <c r="D4145" s="13"/>
      <c r="E4145" s="13"/>
      <c r="F4145" s="4"/>
    </row>
    <row r="4146">
      <c r="A4146" s="4"/>
      <c r="B4146" s="4"/>
      <c r="C4146" s="4"/>
      <c r="D4146" s="13"/>
      <c r="E4146" s="13"/>
      <c r="F4146" s="4"/>
    </row>
    <row r="4147">
      <c r="A4147" s="4"/>
      <c r="B4147" s="4"/>
      <c r="C4147" s="4"/>
      <c r="D4147" s="13"/>
      <c r="E4147" s="13"/>
      <c r="F4147" s="4"/>
    </row>
    <row r="4148">
      <c r="A4148" s="4"/>
      <c r="B4148" s="4"/>
      <c r="C4148" s="4"/>
      <c r="D4148" s="13"/>
      <c r="E4148" s="13"/>
      <c r="F4148" s="4"/>
    </row>
    <row r="4149">
      <c r="A4149" s="4"/>
      <c r="B4149" s="4"/>
      <c r="C4149" s="4"/>
      <c r="D4149" s="13"/>
      <c r="E4149" s="13"/>
      <c r="F4149" s="4"/>
    </row>
    <row r="4150">
      <c r="A4150" s="4"/>
      <c r="B4150" s="4"/>
      <c r="C4150" s="4"/>
      <c r="D4150" s="13"/>
      <c r="F4150" s="4"/>
    </row>
    <row r="4151">
      <c r="A4151" s="4"/>
      <c r="B4151" s="4"/>
      <c r="C4151" s="4"/>
      <c r="D4151" s="13"/>
      <c r="F4151" s="4"/>
    </row>
    <row r="4152">
      <c r="A4152" s="4"/>
      <c r="B4152" s="4"/>
      <c r="C4152" s="4"/>
      <c r="D4152" s="13"/>
      <c r="F4152" s="4"/>
    </row>
    <row r="4153">
      <c r="A4153" s="4"/>
      <c r="B4153" s="4"/>
      <c r="C4153" s="4"/>
      <c r="D4153" s="13"/>
      <c r="F4153" s="4"/>
    </row>
    <row r="4154">
      <c r="A4154" s="4"/>
      <c r="B4154" s="4"/>
      <c r="C4154" s="4"/>
      <c r="D4154" s="13"/>
      <c r="E4154" s="13"/>
      <c r="F4154" s="4"/>
    </row>
    <row r="4155">
      <c r="A4155" s="4"/>
      <c r="B4155" s="4"/>
      <c r="C4155" s="4"/>
      <c r="D4155" s="13"/>
      <c r="E4155" s="13"/>
      <c r="F4155" s="4"/>
    </row>
    <row r="4156">
      <c r="A4156" s="4"/>
      <c r="B4156" s="4"/>
      <c r="C4156" s="4"/>
      <c r="D4156" s="13"/>
      <c r="E4156" s="13"/>
      <c r="F4156" s="4"/>
    </row>
    <row r="4157">
      <c r="A4157" s="4"/>
      <c r="B4157" s="4"/>
      <c r="C4157" s="4"/>
      <c r="D4157" s="13"/>
      <c r="E4157" s="13"/>
      <c r="F4157" s="4"/>
    </row>
    <row r="4158">
      <c r="A4158" s="4"/>
      <c r="B4158" s="4"/>
      <c r="C4158" s="4"/>
      <c r="D4158" s="13"/>
      <c r="E4158" s="13"/>
      <c r="F4158" s="4"/>
    </row>
    <row r="4159">
      <c r="A4159" s="4"/>
      <c r="B4159" s="4"/>
      <c r="C4159" s="4"/>
      <c r="D4159" s="13"/>
      <c r="E4159" s="13"/>
      <c r="F4159" s="4"/>
    </row>
    <row r="4160">
      <c r="A4160" s="4"/>
      <c r="B4160" s="4"/>
      <c r="C4160" s="4"/>
      <c r="D4160" s="13"/>
      <c r="E4160" s="13"/>
      <c r="F4160" s="4"/>
    </row>
    <row r="4161">
      <c r="A4161" s="4"/>
      <c r="B4161" s="4"/>
      <c r="C4161" s="4"/>
      <c r="D4161" s="13"/>
      <c r="E4161" s="13"/>
      <c r="F4161" s="4"/>
    </row>
    <row r="4162">
      <c r="A4162" s="4"/>
      <c r="B4162" s="4"/>
      <c r="C4162" s="4"/>
      <c r="D4162" s="13"/>
      <c r="E4162" s="13"/>
      <c r="F4162" s="4"/>
    </row>
    <row r="4163">
      <c r="A4163" s="4"/>
      <c r="B4163" s="4"/>
      <c r="C4163" s="4"/>
      <c r="D4163" s="13"/>
      <c r="E4163" s="13"/>
      <c r="F4163" s="4"/>
    </row>
    <row r="4164">
      <c r="A4164" s="4"/>
      <c r="B4164" s="4"/>
      <c r="C4164" s="4"/>
      <c r="D4164" s="13"/>
      <c r="E4164" s="13"/>
      <c r="F4164" s="4"/>
    </row>
    <row r="4165">
      <c r="A4165" s="4"/>
      <c r="B4165" s="4"/>
      <c r="C4165" s="4"/>
      <c r="D4165" s="13"/>
      <c r="E4165" s="13"/>
      <c r="F4165" s="4"/>
    </row>
    <row r="4166">
      <c r="A4166" s="4"/>
      <c r="B4166" s="4"/>
      <c r="C4166" s="4"/>
      <c r="D4166" s="13"/>
      <c r="E4166" s="13"/>
      <c r="F4166" s="4"/>
    </row>
    <row r="4167">
      <c r="A4167" s="4"/>
      <c r="B4167" s="4"/>
      <c r="C4167" s="4"/>
      <c r="D4167" s="13"/>
      <c r="E4167" s="13"/>
      <c r="F4167" s="4"/>
    </row>
    <row r="4168">
      <c r="A4168" s="4"/>
      <c r="B4168" s="4"/>
      <c r="C4168" s="4"/>
      <c r="D4168" s="13"/>
      <c r="E4168" s="13"/>
      <c r="F4168" s="4"/>
    </row>
    <row r="4169">
      <c r="A4169" s="4"/>
      <c r="B4169" s="4"/>
      <c r="C4169" s="4"/>
      <c r="D4169" s="13"/>
      <c r="E4169" s="13"/>
      <c r="F4169" s="4"/>
    </row>
    <row r="4170">
      <c r="A4170" s="4"/>
      <c r="B4170" s="4"/>
      <c r="C4170" s="4"/>
      <c r="D4170" s="13"/>
      <c r="E4170" s="13"/>
      <c r="F4170" s="4"/>
    </row>
    <row r="4171">
      <c r="A4171" s="4"/>
      <c r="B4171" s="4"/>
      <c r="C4171" s="4"/>
      <c r="D4171" s="13"/>
      <c r="E4171" s="13"/>
      <c r="F4171" s="4"/>
    </row>
    <row r="4172">
      <c r="A4172" s="4"/>
      <c r="B4172" s="4"/>
      <c r="C4172" s="4"/>
      <c r="D4172" s="13"/>
      <c r="E4172" s="13"/>
      <c r="F4172" s="4"/>
    </row>
    <row r="4173">
      <c r="A4173" s="4"/>
      <c r="B4173" s="4"/>
      <c r="C4173" s="4"/>
      <c r="D4173" s="13"/>
      <c r="E4173" s="13"/>
      <c r="F4173" s="4"/>
    </row>
    <row r="4174">
      <c r="A4174" s="4"/>
      <c r="B4174" s="4"/>
      <c r="C4174" s="4"/>
      <c r="D4174" s="13"/>
      <c r="E4174" s="13"/>
      <c r="F4174" s="4"/>
    </row>
    <row r="4175">
      <c r="A4175" s="4"/>
      <c r="B4175" s="4"/>
      <c r="C4175" s="4"/>
      <c r="D4175" s="13"/>
      <c r="E4175" s="13"/>
      <c r="F4175" s="4"/>
    </row>
    <row r="4176">
      <c r="A4176" s="4"/>
      <c r="B4176" s="4"/>
      <c r="C4176" s="4"/>
      <c r="D4176" s="13"/>
      <c r="E4176" s="13"/>
      <c r="F4176" s="4"/>
    </row>
    <row r="4177">
      <c r="A4177" s="4"/>
      <c r="B4177" s="4"/>
      <c r="C4177" s="4"/>
      <c r="D4177" s="13"/>
      <c r="E4177" s="13"/>
      <c r="F4177" s="4"/>
    </row>
    <row r="4178">
      <c r="A4178" s="4"/>
      <c r="B4178" s="4"/>
      <c r="C4178" s="4"/>
      <c r="D4178" s="13"/>
      <c r="E4178" s="13"/>
      <c r="F4178" s="4"/>
    </row>
    <row r="4179">
      <c r="A4179" s="4"/>
      <c r="B4179" s="4"/>
      <c r="C4179" s="4"/>
      <c r="D4179" s="13"/>
      <c r="E4179" s="13"/>
      <c r="F4179" s="4"/>
    </row>
    <row r="4180">
      <c r="A4180" s="4"/>
      <c r="B4180" s="4"/>
      <c r="C4180" s="4"/>
      <c r="D4180" s="13"/>
      <c r="E4180" s="13"/>
      <c r="F4180" s="4"/>
    </row>
    <row r="4181">
      <c r="A4181" s="4"/>
      <c r="B4181" s="4"/>
      <c r="C4181" s="4"/>
      <c r="D4181" s="13"/>
      <c r="E4181" s="13"/>
      <c r="F4181" s="4"/>
    </row>
    <row r="4182">
      <c r="A4182" s="4"/>
      <c r="B4182" s="4"/>
      <c r="C4182" s="4"/>
      <c r="D4182" s="13"/>
      <c r="E4182" s="13"/>
      <c r="F4182" s="4"/>
    </row>
    <row r="4183">
      <c r="A4183" s="4"/>
      <c r="B4183" s="4"/>
      <c r="C4183" s="4"/>
      <c r="D4183" s="13"/>
      <c r="E4183" s="13"/>
      <c r="F4183" s="4"/>
    </row>
    <row r="4184">
      <c r="A4184" s="4"/>
      <c r="B4184" s="4"/>
      <c r="C4184" s="4"/>
      <c r="D4184" s="13"/>
      <c r="E4184" s="13"/>
      <c r="F4184" s="4"/>
    </row>
    <row r="4185">
      <c r="A4185" s="4"/>
      <c r="B4185" s="4"/>
      <c r="C4185" s="4"/>
      <c r="D4185" s="13"/>
      <c r="E4185" s="13"/>
      <c r="F4185" s="4"/>
    </row>
    <row r="4186">
      <c r="A4186" s="4"/>
      <c r="B4186" s="4"/>
      <c r="C4186" s="4"/>
      <c r="D4186" s="13"/>
      <c r="E4186" s="13"/>
      <c r="F4186" s="4"/>
    </row>
    <row r="4187">
      <c r="A4187" s="4"/>
      <c r="B4187" s="4"/>
      <c r="C4187" s="4"/>
      <c r="D4187" s="13"/>
      <c r="E4187" s="13"/>
      <c r="F4187" s="4"/>
    </row>
    <row r="4188">
      <c r="A4188" s="4"/>
      <c r="B4188" s="4"/>
      <c r="C4188" s="4"/>
      <c r="D4188" s="13"/>
      <c r="E4188" s="13"/>
      <c r="F4188" s="4"/>
    </row>
    <row r="4189">
      <c r="A4189" s="4"/>
      <c r="B4189" s="4"/>
      <c r="C4189" s="4"/>
      <c r="D4189" s="13"/>
      <c r="E4189" s="13"/>
      <c r="F4189" s="4"/>
    </row>
    <row r="4190">
      <c r="A4190" s="4"/>
      <c r="B4190" s="4"/>
      <c r="C4190" s="4"/>
      <c r="D4190" s="13"/>
      <c r="E4190" s="13"/>
      <c r="F4190" s="4"/>
    </row>
    <row r="4191">
      <c r="A4191" s="4"/>
      <c r="B4191" s="4"/>
      <c r="C4191" s="4"/>
      <c r="D4191" s="13"/>
      <c r="E4191" s="13"/>
      <c r="F4191" s="4"/>
    </row>
    <row r="4192">
      <c r="A4192" s="4"/>
      <c r="B4192" s="4"/>
      <c r="C4192" s="4"/>
      <c r="D4192" s="13"/>
      <c r="E4192" s="13"/>
      <c r="F4192" s="4"/>
    </row>
    <row r="4193">
      <c r="A4193" s="4"/>
      <c r="B4193" s="4"/>
      <c r="C4193" s="4"/>
      <c r="D4193" s="13"/>
      <c r="E4193" s="13"/>
      <c r="F4193" s="4"/>
    </row>
    <row r="4194">
      <c r="A4194" s="4"/>
      <c r="B4194" s="4"/>
      <c r="C4194" s="4"/>
      <c r="D4194" s="13"/>
      <c r="E4194" s="13"/>
      <c r="F4194" s="4"/>
    </row>
    <row r="4195">
      <c r="A4195" s="4"/>
      <c r="B4195" s="4"/>
      <c r="C4195" s="4"/>
      <c r="D4195" s="13"/>
      <c r="E4195" s="13"/>
      <c r="F4195" s="4"/>
    </row>
    <row r="4196">
      <c r="A4196" s="4"/>
      <c r="B4196" s="4"/>
      <c r="C4196" s="4"/>
      <c r="D4196" s="13"/>
      <c r="E4196" s="13"/>
      <c r="F4196" s="4"/>
    </row>
    <row r="4197">
      <c r="A4197" s="4"/>
      <c r="B4197" s="4"/>
      <c r="C4197" s="4"/>
      <c r="D4197" s="13"/>
      <c r="E4197" s="13"/>
      <c r="F4197" s="4"/>
    </row>
    <row r="4198">
      <c r="A4198" s="4"/>
      <c r="B4198" s="4"/>
      <c r="C4198" s="4"/>
      <c r="D4198" s="13"/>
      <c r="E4198" s="13"/>
      <c r="F4198" s="4"/>
    </row>
    <row r="4199">
      <c r="A4199" s="4"/>
      <c r="B4199" s="4"/>
      <c r="C4199" s="4"/>
      <c r="D4199" s="13"/>
      <c r="E4199" s="13"/>
      <c r="F4199" s="4"/>
    </row>
    <row r="4200">
      <c r="A4200" s="4"/>
      <c r="B4200" s="4"/>
      <c r="C4200" s="4"/>
      <c r="D4200" s="13"/>
      <c r="E4200" s="13"/>
      <c r="F4200" s="4"/>
    </row>
    <row r="4201">
      <c r="A4201" s="4"/>
      <c r="B4201" s="4"/>
      <c r="C4201" s="4"/>
      <c r="D4201" s="13"/>
      <c r="E4201" s="13"/>
      <c r="F4201" s="4"/>
    </row>
    <row r="4202">
      <c r="A4202" s="4"/>
      <c r="B4202" s="4"/>
      <c r="C4202" s="4"/>
      <c r="D4202" s="13"/>
      <c r="E4202" s="13"/>
      <c r="F4202" s="4"/>
    </row>
    <row r="4203">
      <c r="A4203" s="4"/>
      <c r="B4203" s="4"/>
      <c r="C4203" s="4"/>
      <c r="D4203" s="13"/>
      <c r="E4203" s="13"/>
      <c r="F4203" s="4"/>
    </row>
    <row r="4204">
      <c r="A4204" s="4"/>
      <c r="B4204" s="4"/>
      <c r="C4204" s="4"/>
      <c r="D4204" s="13"/>
      <c r="E4204" s="13"/>
      <c r="F4204" s="4"/>
    </row>
    <row r="4205">
      <c r="A4205" s="4"/>
      <c r="B4205" s="4"/>
      <c r="C4205" s="4"/>
      <c r="D4205" s="13"/>
      <c r="F4205" s="4"/>
    </row>
    <row r="4206">
      <c r="A4206" s="4"/>
      <c r="B4206" s="4"/>
      <c r="C4206" s="4"/>
      <c r="D4206" s="13"/>
      <c r="F4206" s="4"/>
    </row>
    <row r="4207">
      <c r="A4207" s="4"/>
      <c r="B4207" s="4"/>
      <c r="C4207" s="4"/>
      <c r="D4207" s="13"/>
      <c r="F4207" s="4"/>
    </row>
    <row r="4208">
      <c r="A4208" s="4"/>
      <c r="B4208" s="4"/>
      <c r="C4208" s="4"/>
      <c r="D4208" s="13"/>
      <c r="F4208" s="4"/>
    </row>
    <row r="4209">
      <c r="A4209" s="4"/>
      <c r="B4209" s="4"/>
      <c r="C4209" s="4"/>
      <c r="D4209" s="13"/>
      <c r="F4209" s="4"/>
    </row>
    <row r="4210">
      <c r="A4210" s="4"/>
      <c r="B4210" s="4"/>
      <c r="C4210" s="4"/>
      <c r="D4210" s="13"/>
      <c r="F4210" s="4"/>
    </row>
    <row r="4211">
      <c r="A4211" s="4"/>
      <c r="B4211" s="4"/>
      <c r="C4211" s="4"/>
      <c r="D4211" s="13"/>
      <c r="F4211" s="4"/>
    </row>
    <row r="4212">
      <c r="A4212" s="4"/>
      <c r="B4212" s="4"/>
      <c r="C4212" s="4"/>
      <c r="D4212" s="13"/>
      <c r="F4212" s="4"/>
    </row>
    <row r="4213">
      <c r="A4213" s="4"/>
      <c r="B4213" s="4"/>
      <c r="C4213" s="4"/>
      <c r="D4213" s="13"/>
      <c r="E4213" s="13"/>
      <c r="F4213" s="4"/>
    </row>
    <row r="4214">
      <c r="A4214" s="4"/>
      <c r="B4214" s="4"/>
      <c r="C4214" s="4"/>
      <c r="D4214" s="13"/>
      <c r="E4214" s="13"/>
      <c r="F4214" s="4"/>
    </row>
    <row r="4215">
      <c r="A4215" s="4"/>
      <c r="B4215" s="4"/>
      <c r="C4215" s="4"/>
      <c r="D4215" s="13"/>
      <c r="E4215" s="13"/>
      <c r="F4215" s="4"/>
    </row>
    <row r="4216">
      <c r="A4216" s="4"/>
      <c r="B4216" s="4"/>
      <c r="C4216" s="4"/>
      <c r="D4216" s="13"/>
      <c r="E4216" s="13"/>
      <c r="F4216" s="4"/>
    </row>
    <row r="4217">
      <c r="A4217" s="4"/>
      <c r="B4217" s="4"/>
      <c r="C4217" s="4"/>
      <c r="D4217" s="13"/>
      <c r="E4217" s="13"/>
      <c r="F4217" s="4"/>
    </row>
    <row r="4218">
      <c r="A4218" s="4"/>
      <c r="B4218" s="4"/>
      <c r="C4218" s="4"/>
      <c r="D4218" s="13"/>
      <c r="E4218" s="13"/>
      <c r="F4218" s="4"/>
    </row>
    <row r="4219">
      <c r="A4219" s="4"/>
      <c r="B4219" s="4"/>
      <c r="C4219" s="4"/>
      <c r="D4219" s="13"/>
      <c r="E4219" s="13"/>
      <c r="F4219" s="4"/>
    </row>
    <row r="4220">
      <c r="A4220" s="4"/>
      <c r="B4220" s="4"/>
      <c r="C4220" s="4"/>
      <c r="D4220" s="13"/>
      <c r="E4220" s="13"/>
      <c r="F4220" s="4"/>
    </row>
    <row r="4221">
      <c r="A4221" s="4"/>
      <c r="B4221" s="4"/>
      <c r="C4221" s="4"/>
      <c r="D4221" s="13"/>
      <c r="E4221" s="13"/>
      <c r="F4221" s="4"/>
    </row>
    <row r="4222">
      <c r="A4222" s="4"/>
      <c r="B4222" s="4"/>
      <c r="C4222" s="4"/>
      <c r="D4222" s="13"/>
      <c r="E4222" s="13"/>
      <c r="F4222" s="4"/>
    </row>
    <row r="4223">
      <c r="A4223" s="4"/>
      <c r="B4223" s="4"/>
      <c r="C4223" s="4"/>
      <c r="D4223" s="13"/>
      <c r="E4223" s="13"/>
      <c r="F4223" s="4"/>
    </row>
    <row r="4224">
      <c r="A4224" s="4"/>
      <c r="B4224" s="4"/>
      <c r="C4224" s="4"/>
      <c r="D4224" s="13"/>
      <c r="E4224" s="13"/>
      <c r="F4224" s="4"/>
    </row>
    <row r="4225">
      <c r="A4225" s="4"/>
      <c r="B4225" s="4"/>
      <c r="C4225" s="4"/>
      <c r="D4225" s="13"/>
      <c r="E4225" s="13"/>
      <c r="F4225" s="4"/>
    </row>
    <row r="4226">
      <c r="A4226" s="4"/>
      <c r="B4226" s="4"/>
      <c r="C4226" s="4"/>
      <c r="D4226" s="13"/>
      <c r="E4226" s="13"/>
      <c r="F4226" s="4"/>
    </row>
    <row r="4227">
      <c r="A4227" s="4"/>
      <c r="B4227" s="4"/>
      <c r="C4227" s="4"/>
      <c r="D4227" s="13"/>
      <c r="E4227" s="13"/>
      <c r="F4227" s="4"/>
    </row>
    <row r="4228">
      <c r="A4228" s="4"/>
      <c r="B4228" s="4"/>
      <c r="C4228" s="4"/>
      <c r="D4228" s="13"/>
      <c r="E4228" s="13"/>
      <c r="F4228" s="4"/>
    </row>
    <row r="4229">
      <c r="A4229" s="4"/>
      <c r="B4229" s="4"/>
      <c r="C4229" s="4"/>
      <c r="D4229" s="13"/>
      <c r="E4229" s="13"/>
      <c r="F4229" s="4"/>
    </row>
    <row r="4230">
      <c r="A4230" s="4"/>
      <c r="B4230" s="4"/>
      <c r="C4230" s="4"/>
      <c r="D4230" s="13"/>
      <c r="E4230" s="13"/>
      <c r="F4230" s="4"/>
    </row>
    <row r="4231">
      <c r="A4231" s="4"/>
      <c r="B4231" s="4"/>
      <c r="C4231" s="4"/>
      <c r="D4231" s="13"/>
      <c r="E4231" s="13"/>
      <c r="F4231" s="4"/>
    </row>
    <row r="4232">
      <c r="A4232" s="4"/>
      <c r="B4232" s="4"/>
      <c r="C4232" s="4"/>
      <c r="D4232" s="13"/>
      <c r="E4232" s="13"/>
      <c r="F4232" s="4"/>
    </row>
    <row r="4233">
      <c r="A4233" s="4"/>
      <c r="B4233" s="4"/>
      <c r="C4233" s="4"/>
      <c r="D4233" s="13"/>
      <c r="E4233" s="13"/>
      <c r="F4233" s="4"/>
    </row>
    <row r="4234">
      <c r="A4234" s="4"/>
      <c r="B4234" s="4"/>
      <c r="C4234" s="4"/>
      <c r="D4234" s="13"/>
      <c r="F4234" s="4"/>
    </row>
    <row r="4235">
      <c r="A4235" s="4"/>
      <c r="B4235" s="4"/>
      <c r="C4235" s="4"/>
      <c r="D4235" s="13"/>
      <c r="F4235" s="4"/>
    </row>
    <row r="4236">
      <c r="A4236" s="4"/>
      <c r="B4236" s="4"/>
      <c r="C4236" s="4"/>
      <c r="D4236" s="13"/>
      <c r="F4236" s="4"/>
    </row>
    <row r="4237">
      <c r="A4237" s="4"/>
      <c r="B4237" s="4"/>
      <c r="C4237" s="4"/>
      <c r="D4237" s="13"/>
      <c r="E4237" s="13"/>
      <c r="F4237" s="4"/>
    </row>
    <row r="4238">
      <c r="A4238" s="4"/>
      <c r="B4238" s="4"/>
      <c r="C4238" s="4"/>
      <c r="D4238" s="13"/>
      <c r="E4238" s="13"/>
      <c r="F4238" s="4"/>
    </row>
    <row r="4239">
      <c r="A4239" s="4"/>
      <c r="B4239" s="4"/>
      <c r="C4239" s="4"/>
      <c r="D4239" s="13"/>
      <c r="E4239" s="13"/>
      <c r="F4239" s="4"/>
    </row>
    <row r="4240">
      <c r="A4240" s="4"/>
      <c r="B4240" s="4"/>
      <c r="C4240" s="4"/>
      <c r="D4240" s="13"/>
      <c r="E4240" s="13"/>
      <c r="F4240" s="4"/>
    </row>
    <row r="4241">
      <c r="A4241" s="4"/>
      <c r="B4241" s="4"/>
      <c r="C4241" s="4"/>
      <c r="D4241" s="13"/>
      <c r="E4241" s="13"/>
      <c r="F4241" s="4"/>
    </row>
    <row r="4242">
      <c r="A4242" s="4"/>
      <c r="B4242" s="4"/>
      <c r="C4242" s="4"/>
      <c r="D4242" s="13"/>
      <c r="E4242" s="13"/>
      <c r="F4242" s="4"/>
    </row>
    <row r="4243">
      <c r="A4243" s="4"/>
      <c r="B4243" s="4"/>
      <c r="C4243" s="4"/>
      <c r="D4243" s="13"/>
      <c r="E4243" s="13"/>
      <c r="F4243" s="4"/>
    </row>
    <row r="4244">
      <c r="A4244" s="4"/>
      <c r="B4244" s="4"/>
      <c r="C4244" s="4"/>
      <c r="D4244" s="13"/>
      <c r="E4244" s="13"/>
      <c r="F4244" s="4"/>
    </row>
    <row r="4245">
      <c r="A4245" s="4"/>
      <c r="B4245" s="4"/>
      <c r="C4245" s="4"/>
      <c r="D4245" s="13"/>
      <c r="E4245" s="13"/>
      <c r="F4245" s="4"/>
    </row>
    <row r="4246">
      <c r="A4246" s="4"/>
      <c r="B4246" s="4"/>
      <c r="C4246" s="4"/>
      <c r="D4246" s="13"/>
      <c r="E4246" s="13"/>
      <c r="F4246" s="4"/>
    </row>
    <row r="4247">
      <c r="A4247" s="4"/>
      <c r="B4247" s="4"/>
      <c r="C4247" s="4"/>
      <c r="D4247" s="13"/>
      <c r="E4247" s="13"/>
      <c r="F4247" s="4"/>
    </row>
    <row r="4248">
      <c r="A4248" s="4"/>
      <c r="B4248" s="4"/>
      <c r="C4248" s="4"/>
      <c r="D4248" s="13"/>
      <c r="E4248" s="13"/>
      <c r="F4248" s="4"/>
    </row>
    <row r="4249">
      <c r="A4249" s="4"/>
      <c r="B4249" s="4"/>
      <c r="C4249" s="4"/>
      <c r="D4249" s="13"/>
      <c r="E4249" s="13"/>
      <c r="F4249" s="4"/>
    </row>
    <row r="4250">
      <c r="A4250" s="4"/>
      <c r="B4250" s="4"/>
      <c r="C4250" s="4"/>
      <c r="D4250" s="13"/>
      <c r="E4250" s="13"/>
      <c r="F4250" s="4"/>
    </row>
    <row r="4251">
      <c r="A4251" s="4"/>
      <c r="B4251" s="4"/>
      <c r="C4251" s="4"/>
      <c r="D4251" s="13"/>
      <c r="E4251" s="13"/>
      <c r="F4251" s="4"/>
    </row>
    <row r="4252">
      <c r="A4252" s="4"/>
      <c r="B4252" s="4"/>
      <c r="C4252" s="4"/>
      <c r="D4252" s="13"/>
      <c r="E4252" s="13"/>
      <c r="F4252" s="4"/>
    </row>
    <row r="4253">
      <c r="A4253" s="4"/>
      <c r="B4253" s="4"/>
      <c r="C4253" s="4"/>
      <c r="D4253" s="13"/>
      <c r="E4253" s="13"/>
      <c r="F4253" s="4"/>
    </row>
    <row r="4254">
      <c r="A4254" s="4"/>
      <c r="B4254" s="4"/>
      <c r="C4254" s="4"/>
      <c r="D4254" s="13"/>
      <c r="E4254" s="13"/>
      <c r="F4254" s="4"/>
    </row>
    <row r="4255">
      <c r="A4255" s="4"/>
      <c r="B4255" s="4"/>
      <c r="C4255" s="4"/>
      <c r="D4255" s="13"/>
      <c r="E4255" s="13"/>
      <c r="F4255" s="4"/>
    </row>
    <row r="4256">
      <c r="A4256" s="4"/>
      <c r="B4256" s="4"/>
      <c r="C4256" s="4"/>
      <c r="D4256" s="13"/>
      <c r="E4256" s="13"/>
      <c r="F4256" s="4"/>
    </row>
    <row r="4257">
      <c r="A4257" s="4"/>
      <c r="B4257" s="4"/>
      <c r="C4257" s="4"/>
      <c r="D4257" s="13"/>
      <c r="E4257" s="13"/>
      <c r="F4257" s="4"/>
    </row>
    <row r="4258">
      <c r="A4258" s="4"/>
      <c r="B4258" s="4"/>
      <c r="C4258" s="4"/>
      <c r="D4258" s="13"/>
      <c r="E4258" s="13"/>
      <c r="F4258" s="4"/>
    </row>
    <row r="4259">
      <c r="A4259" s="4"/>
      <c r="B4259" s="4"/>
      <c r="C4259" s="4"/>
      <c r="D4259" s="13"/>
      <c r="E4259" s="13"/>
      <c r="F4259" s="4"/>
    </row>
    <row r="4260">
      <c r="A4260" s="4"/>
      <c r="B4260" s="4"/>
      <c r="C4260" s="4"/>
      <c r="D4260" s="13"/>
      <c r="E4260" s="13"/>
      <c r="F4260" s="4"/>
    </row>
    <row r="4261">
      <c r="A4261" s="4"/>
      <c r="B4261" s="4"/>
      <c r="C4261" s="4"/>
      <c r="D4261" s="13"/>
      <c r="E4261" s="13"/>
      <c r="F4261" s="4"/>
    </row>
    <row r="4262">
      <c r="A4262" s="4"/>
      <c r="B4262" s="4"/>
      <c r="C4262" s="4"/>
      <c r="D4262" s="13"/>
      <c r="E4262" s="13"/>
      <c r="F4262" s="4"/>
    </row>
    <row r="4263">
      <c r="A4263" s="4"/>
      <c r="B4263" s="4"/>
      <c r="C4263" s="4"/>
      <c r="D4263" s="13"/>
      <c r="E4263" s="13"/>
      <c r="F4263" s="4"/>
    </row>
    <row r="4264">
      <c r="A4264" s="4"/>
      <c r="B4264" s="4"/>
      <c r="C4264" s="4"/>
      <c r="D4264" s="13"/>
      <c r="E4264" s="13"/>
      <c r="F4264" s="4"/>
    </row>
    <row r="4265">
      <c r="A4265" s="4"/>
      <c r="B4265" s="4"/>
      <c r="C4265" s="4"/>
      <c r="D4265" s="13"/>
      <c r="E4265" s="13"/>
      <c r="F4265" s="4"/>
    </row>
    <row r="4266">
      <c r="A4266" s="4"/>
      <c r="B4266" s="4"/>
      <c r="C4266" s="4"/>
      <c r="D4266" s="13"/>
      <c r="E4266" s="13"/>
      <c r="F4266" s="4"/>
    </row>
    <row r="4267">
      <c r="A4267" s="4"/>
      <c r="B4267" s="4"/>
      <c r="C4267" s="4"/>
      <c r="D4267" s="13"/>
      <c r="E4267" s="13"/>
      <c r="F4267" s="4"/>
    </row>
    <row r="4268">
      <c r="A4268" s="4"/>
      <c r="B4268" s="4"/>
      <c r="C4268" s="4"/>
      <c r="D4268" s="13"/>
      <c r="E4268" s="13"/>
      <c r="F4268" s="4"/>
    </row>
    <row r="4269">
      <c r="A4269" s="4"/>
      <c r="B4269" s="4"/>
      <c r="C4269" s="4"/>
      <c r="D4269" s="13"/>
      <c r="E4269" s="13"/>
      <c r="F4269" s="4"/>
    </row>
    <row r="4270">
      <c r="A4270" s="4"/>
      <c r="B4270" s="4"/>
      <c r="C4270" s="4"/>
      <c r="D4270" s="13"/>
      <c r="E4270" s="13"/>
      <c r="F4270" s="4"/>
    </row>
    <row r="4271">
      <c r="A4271" s="4"/>
      <c r="B4271" s="4"/>
      <c r="C4271" s="4"/>
      <c r="D4271" s="13"/>
      <c r="E4271" s="13"/>
      <c r="F4271" s="4"/>
    </row>
    <row r="4272">
      <c r="A4272" s="4"/>
      <c r="B4272" s="4"/>
      <c r="C4272" s="4"/>
      <c r="D4272" s="13"/>
      <c r="E4272" s="13"/>
      <c r="F4272" s="4"/>
    </row>
    <row r="4273">
      <c r="A4273" s="4"/>
      <c r="B4273" s="4"/>
      <c r="C4273" s="4"/>
      <c r="D4273" s="13"/>
      <c r="E4273" s="13"/>
      <c r="F4273" s="4"/>
    </row>
    <row r="4274">
      <c r="A4274" s="4"/>
      <c r="B4274" s="4"/>
      <c r="C4274" s="4"/>
      <c r="D4274" s="13"/>
      <c r="F4274" s="4"/>
    </row>
    <row r="4275">
      <c r="A4275" s="4"/>
      <c r="B4275" s="4"/>
      <c r="C4275" s="4"/>
      <c r="D4275" s="13"/>
      <c r="F4275" s="4"/>
    </row>
    <row r="4276">
      <c r="A4276" s="4"/>
      <c r="B4276" s="4"/>
      <c r="C4276" s="4"/>
      <c r="D4276" s="13"/>
      <c r="F4276" s="4"/>
    </row>
    <row r="4277">
      <c r="A4277" s="4"/>
      <c r="B4277" s="4"/>
      <c r="C4277" s="4"/>
      <c r="D4277" s="13"/>
      <c r="F4277" s="4"/>
    </row>
    <row r="4278">
      <c r="A4278" s="4"/>
      <c r="B4278" s="4"/>
      <c r="C4278" s="4"/>
      <c r="D4278" s="13"/>
      <c r="F4278" s="4"/>
    </row>
    <row r="4279">
      <c r="A4279" s="4"/>
      <c r="B4279" s="4"/>
      <c r="C4279" s="4"/>
      <c r="D4279" s="13"/>
      <c r="F4279" s="4"/>
    </row>
    <row r="4280">
      <c r="A4280" s="4"/>
      <c r="B4280" s="4"/>
      <c r="C4280" s="4"/>
      <c r="D4280" s="13"/>
      <c r="F4280" s="4"/>
    </row>
    <row r="4281">
      <c r="A4281" s="4"/>
      <c r="B4281" s="4"/>
      <c r="C4281" s="4"/>
      <c r="D4281" s="13"/>
      <c r="F4281" s="4"/>
    </row>
    <row r="4282">
      <c r="A4282" s="4"/>
      <c r="B4282" s="4"/>
      <c r="C4282" s="4"/>
      <c r="D4282" s="13"/>
      <c r="F4282" s="4"/>
    </row>
    <row r="4283">
      <c r="A4283" s="4"/>
      <c r="B4283" s="4"/>
      <c r="C4283" s="4"/>
      <c r="D4283" s="13"/>
      <c r="F4283" s="4"/>
    </row>
    <row r="4284">
      <c r="A4284" s="4"/>
      <c r="B4284" s="4"/>
      <c r="C4284" s="4"/>
      <c r="D4284" s="13"/>
      <c r="F4284" s="4"/>
    </row>
    <row r="4285">
      <c r="A4285" s="4"/>
      <c r="B4285" s="4"/>
      <c r="C4285" s="4"/>
      <c r="D4285" s="13"/>
      <c r="F4285" s="4"/>
    </row>
    <row r="4286">
      <c r="A4286" s="4"/>
      <c r="B4286" s="4"/>
      <c r="C4286" s="4"/>
      <c r="D4286" s="13"/>
      <c r="F4286" s="4"/>
    </row>
    <row r="4287">
      <c r="A4287" s="4"/>
      <c r="B4287" s="4"/>
      <c r="C4287" s="4"/>
      <c r="D4287" s="13"/>
      <c r="F4287" s="4"/>
    </row>
    <row r="4288">
      <c r="A4288" s="4"/>
      <c r="B4288" s="4"/>
      <c r="C4288" s="4"/>
      <c r="D4288" s="13"/>
      <c r="F4288" s="4"/>
    </row>
    <row r="4289">
      <c r="A4289" s="4"/>
      <c r="B4289" s="4"/>
      <c r="C4289" s="4"/>
      <c r="D4289" s="13"/>
      <c r="F4289" s="4"/>
    </row>
    <row r="4290">
      <c r="A4290" s="4"/>
      <c r="B4290" s="4"/>
      <c r="C4290" s="4"/>
      <c r="D4290" s="13"/>
      <c r="F4290" s="4"/>
    </row>
    <row r="4291">
      <c r="A4291" s="4"/>
      <c r="B4291" s="4"/>
      <c r="C4291" s="4"/>
      <c r="D4291" s="13"/>
      <c r="F4291" s="4"/>
    </row>
    <row r="4292">
      <c r="A4292" s="4"/>
      <c r="B4292" s="4"/>
      <c r="C4292" s="4"/>
      <c r="D4292" s="13"/>
      <c r="F4292" s="4"/>
    </row>
    <row r="4293">
      <c r="A4293" s="4"/>
      <c r="B4293" s="4"/>
      <c r="C4293" s="4"/>
      <c r="D4293" s="13"/>
      <c r="F4293" s="4"/>
    </row>
    <row r="4294">
      <c r="A4294" s="4"/>
      <c r="B4294" s="4"/>
      <c r="C4294" s="4"/>
      <c r="D4294" s="13"/>
      <c r="F4294" s="4"/>
    </row>
    <row r="4295">
      <c r="A4295" s="4"/>
      <c r="B4295" s="4"/>
      <c r="C4295" s="4"/>
      <c r="D4295" s="13"/>
      <c r="F4295" s="4"/>
    </row>
    <row r="4296">
      <c r="A4296" s="4"/>
      <c r="B4296" s="4"/>
      <c r="C4296" s="4"/>
      <c r="D4296" s="13"/>
      <c r="F4296" s="4"/>
    </row>
    <row r="4297">
      <c r="A4297" s="4"/>
      <c r="B4297" s="4"/>
      <c r="C4297" s="4"/>
      <c r="D4297" s="13"/>
      <c r="F4297" s="4"/>
    </row>
    <row r="4298">
      <c r="A4298" s="4"/>
      <c r="B4298" s="4"/>
      <c r="C4298" s="4"/>
      <c r="D4298" s="13"/>
      <c r="F4298" s="4"/>
    </row>
    <row r="4299">
      <c r="A4299" s="4"/>
      <c r="B4299" s="4"/>
      <c r="C4299" s="4"/>
      <c r="D4299" s="13"/>
      <c r="F4299" s="4"/>
    </row>
    <row r="4300">
      <c r="A4300" s="4"/>
      <c r="B4300" s="4"/>
      <c r="C4300" s="4"/>
      <c r="D4300" s="13"/>
      <c r="F4300" s="4"/>
    </row>
    <row r="4301">
      <c r="A4301" s="4"/>
      <c r="B4301" s="4"/>
      <c r="C4301" s="4"/>
      <c r="D4301" s="13"/>
      <c r="F4301" s="4"/>
    </row>
    <row r="4302">
      <c r="A4302" s="4"/>
      <c r="B4302" s="4"/>
      <c r="C4302" s="4"/>
      <c r="D4302" s="13"/>
      <c r="F4302" s="4"/>
    </row>
    <row r="4303">
      <c r="A4303" s="4"/>
      <c r="B4303" s="4"/>
      <c r="C4303" s="4"/>
      <c r="D4303" s="13"/>
      <c r="F4303" s="4"/>
    </row>
    <row r="4304">
      <c r="A4304" s="4"/>
      <c r="B4304" s="4"/>
      <c r="C4304" s="4"/>
      <c r="D4304" s="13"/>
      <c r="F4304" s="4"/>
    </row>
    <row r="4305">
      <c r="A4305" s="4"/>
      <c r="B4305" s="4"/>
      <c r="C4305" s="4"/>
      <c r="D4305" s="13"/>
      <c r="F4305" s="4"/>
    </row>
    <row r="4306">
      <c r="A4306" s="4"/>
      <c r="B4306" s="4"/>
      <c r="C4306" s="4"/>
      <c r="D4306" s="13"/>
      <c r="F4306" s="4"/>
    </row>
    <row r="4307">
      <c r="A4307" s="4"/>
      <c r="B4307" s="4"/>
      <c r="C4307" s="4"/>
      <c r="D4307" s="13"/>
      <c r="F4307" s="4"/>
    </row>
    <row r="4308">
      <c r="A4308" s="4"/>
      <c r="B4308" s="4"/>
      <c r="C4308" s="4"/>
      <c r="D4308" s="13"/>
      <c r="F4308" s="4"/>
    </row>
    <row r="4309">
      <c r="A4309" s="4"/>
      <c r="B4309" s="4"/>
      <c r="C4309" s="4"/>
      <c r="D4309" s="13"/>
      <c r="F4309" s="4"/>
    </row>
    <row r="4310">
      <c r="A4310" s="4"/>
      <c r="B4310" s="4"/>
      <c r="C4310" s="4"/>
      <c r="D4310" s="13"/>
      <c r="F4310" s="4"/>
    </row>
    <row r="4311">
      <c r="A4311" s="4"/>
      <c r="B4311" s="4"/>
      <c r="C4311" s="4"/>
      <c r="D4311" s="13"/>
      <c r="F4311" s="4"/>
    </row>
    <row r="4312">
      <c r="A4312" s="4"/>
      <c r="B4312" s="4"/>
      <c r="C4312" s="4"/>
      <c r="D4312" s="13"/>
      <c r="F4312" s="4"/>
    </row>
    <row r="4313">
      <c r="A4313" s="4"/>
      <c r="B4313" s="4"/>
      <c r="C4313" s="4"/>
      <c r="D4313" s="13"/>
      <c r="F4313" s="4"/>
    </row>
    <row r="4314">
      <c r="A4314" s="4"/>
      <c r="B4314" s="4"/>
      <c r="C4314" s="4"/>
      <c r="D4314" s="13"/>
      <c r="F4314" s="4"/>
    </row>
    <row r="4315">
      <c r="A4315" s="4"/>
      <c r="B4315" s="4"/>
      <c r="C4315" s="4"/>
      <c r="D4315" s="13"/>
      <c r="F4315" s="4"/>
    </row>
    <row r="4316">
      <c r="A4316" s="4"/>
      <c r="B4316" s="4"/>
      <c r="C4316" s="4"/>
      <c r="D4316" s="13"/>
      <c r="F4316" s="4"/>
    </row>
    <row r="4317">
      <c r="A4317" s="4"/>
      <c r="B4317" s="4"/>
      <c r="C4317" s="4"/>
      <c r="D4317" s="13"/>
      <c r="F4317" s="4"/>
    </row>
    <row r="4318">
      <c r="A4318" s="4"/>
      <c r="B4318" s="4"/>
      <c r="C4318" s="4"/>
      <c r="D4318" s="13"/>
      <c r="F4318" s="4"/>
    </row>
    <row r="4319">
      <c r="A4319" s="4"/>
      <c r="B4319" s="4"/>
      <c r="C4319" s="4"/>
      <c r="D4319" s="13"/>
      <c r="F4319" s="4"/>
    </row>
    <row r="4320">
      <c r="A4320" s="4"/>
      <c r="B4320" s="4"/>
      <c r="C4320" s="4"/>
      <c r="D4320" s="13"/>
      <c r="F4320" s="4"/>
    </row>
    <row r="4321">
      <c r="A4321" s="4"/>
      <c r="B4321" s="4"/>
      <c r="C4321" s="4"/>
      <c r="D4321" s="13"/>
      <c r="F4321" s="4"/>
    </row>
    <row r="4322">
      <c r="A4322" s="4"/>
      <c r="B4322" s="4"/>
      <c r="C4322" s="4"/>
      <c r="D4322" s="13"/>
      <c r="E4322" s="13"/>
      <c r="F4322" s="4"/>
    </row>
    <row r="4323">
      <c r="A4323" s="4"/>
      <c r="B4323" s="4"/>
      <c r="C4323" s="4"/>
      <c r="D4323" s="13"/>
      <c r="E4323" s="13"/>
      <c r="F4323" s="4"/>
    </row>
    <row r="4324">
      <c r="A4324" s="4"/>
      <c r="B4324" s="4"/>
      <c r="C4324" s="4"/>
      <c r="D4324" s="13"/>
      <c r="E4324" s="13"/>
      <c r="F4324" s="4"/>
    </row>
    <row r="4325">
      <c r="A4325" s="4"/>
      <c r="B4325" s="4"/>
      <c r="C4325" s="4"/>
      <c r="D4325" s="13"/>
      <c r="E4325" s="13"/>
      <c r="F4325" s="4"/>
    </row>
    <row r="4326">
      <c r="A4326" s="4"/>
      <c r="B4326" s="4"/>
      <c r="C4326" s="4"/>
      <c r="D4326" s="13"/>
      <c r="E4326" s="13"/>
      <c r="F4326" s="4"/>
    </row>
    <row r="4327">
      <c r="A4327" s="4"/>
      <c r="B4327" s="4"/>
      <c r="C4327" s="4"/>
      <c r="D4327" s="13"/>
      <c r="E4327" s="13"/>
      <c r="F4327" s="4"/>
    </row>
    <row r="4328">
      <c r="A4328" s="4"/>
      <c r="B4328" s="4"/>
      <c r="C4328" s="4"/>
      <c r="D4328" s="13"/>
      <c r="E4328" s="13"/>
      <c r="F4328" s="4"/>
    </row>
    <row r="4329">
      <c r="A4329" s="4"/>
      <c r="B4329" s="4"/>
      <c r="C4329" s="4"/>
      <c r="D4329" s="13"/>
      <c r="E4329" s="13"/>
      <c r="F4329" s="4"/>
    </row>
    <row r="4330">
      <c r="A4330" s="4"/>
      <c r="B4330" s="4"/>
      <c r="C4330" s="4"/>
      <c r="D4330" s="13"/>
      <c r="E4330" s="13"/>
      <c r="F4330" s="4"/>
    </row>
    <row r="4331">
      <c r="A4331" s="4"/>
      <c r="B4331" s="4"/>
      <c r="C4331" s="4"/>
      <c r="D4331" s="13"/>
      <c r="E4331" s="13"/>
      <c r="F4331" s="4"/>
    </row>
    <row r="4332">
      <c r="A4332" s="4"/>
      <c r="B4332" s="4"/>
      <c r="C4332" s="4"/>
      <c r="D4332" s="13"/>
      <c r="E4332" s="13"/>
      <c r="F4332" s="4"/>
    </row>
    <row r="4333">
      <c r="A4333" s="4"/>
      <c r="B4333" s="4"/>
      <c r="C4333" s="4"/>
      <c r="D4333" s="13"/>
      <c r="E4333" s="13"/>
      <c r="F4333" s="4"/>
    </row>
    <row r="4334">
      <c r="A4334" s="4"/>
      <c r="B4334" s="4"/>
      <c r="C4334" s="4"/>
      <c r="D4334" s="13"/>
      <c r="E4334" s="13"/>
      <c r="F4334" s="4"/>
    </row>
    <row r="4335">
      <c r="A4335" s="4"/>
      <c r="B4335" s="4"/>
      <c r="C4335" s="4"/>
      <c r="D4335" s="13"/>
      <c r="E4335" s="13"/>
      <c r="F4335" s="4"/>
    </row>
    <row r="4336">
      <c r="A4336" s="4"/>
      <c r="B4336" s="4"/>
      <c r="C4336" s="4"/>
      <c r="D4336" s="13"/>
      <c r="E4336" s="13"/>
      <c r="F4336" s="4"/>
    </row>
    <row r="4337">
      <c r="A4337" s="4"/>
      <c r="B4337" s="4"/>
      <c r="C4337" s="4"/>
      <c r="D4337" s="13"/>
      <c r="E4337" s="13"/>
      <c r="F4337" s="4"/>
    </row>
    <row r="4338">
      <c r="A4338" s="4"/>
      <c r="B4338" s="4"/>
      <c r="C4338" s="4"/>
      <c r="D4338" s="13"/>
      <c r="E4338" s="13"/>
      <c r="F4338" s="4"/>
    </row>
    <row r="4339">
      <c r="A4339" s="4"/>
      <c r="B4339" s="4"/>
      <c r="C4339" s="4"/>
      <c r="D4339" s="13"/>
      <c r="E4339" s="13"/>
      <c r="F4339" s="4"/>
    </row>
    <row r="4340">
      <c r="A4340" s="4"/>
      <c r="B4340" s="4"/>
      <c r="C4340" s="4"/>
      <c r="D4340" s="13"/>
      <c r="E4340" s="13"/>
      <c r="F4340" s="4"/>
    </row>
    <row r="4341">
      <c r="A4341" s="4"/>
      <c r="B4341" s="4"/>
      <c r="C4341" s="4"/>
      <c r="D4341" s="13"/>
      <c r="E4341" s="13"/>
      <c r="F4341" s="4"/>
    </row>
    <row r="4342">
      <c r="A4342" s="4"/>
      <c r="B4342" s="4"/>
      <c r="C4342" s="4"/>
      <c r="D4342" s="13"/>
      <c r="E4342" s="13"/>
      <c r="F4342" s="4"/>
    </row>
    <row r="4343">
      <c r="A4343" s="4"/>
      <c r="B4343" s="4"/>
      <c r="C4343" s="4"/>
      <c r="D4343" s="13"/>
      <c r="E4343" s="13"/>
      <c r="F4343" s="4"/>
    </row>
    <row r="4344">
      <c r="A4344" s="4"/>
      <c r="B4344" s="4"/>
      <c r="C4344" s="4"/>
      <c r="D4344" s="13"/>
      <c r="E4344" s="13"/>
      <c r="F4344" s="4"/>
    </row>
    <row r="4345">
      <c r="A4345" s="4"/>
      <c r="B4345" s="4"/>
      <c r="C4345" s="4"/>
      <c r="D4345" s="13"/>
      <c r="E4345" s="13"/>
      <c r="F4345" s="4"/>
    </row>
    <row r="4346">
      <c r="A4346" s="4"/>
      <c r="B4346" s="4"/>
      <c r="C4346" s="4"/>
      <c r="D4346" s="13"/>
      <c r="E4346" s="13"/>
      <c r="F4346" s="4"/>
    </row>
    <row r="4347">
      <c r="A4347" s="4"/>
      <c r="B4347" s="4"/>
      <c r="C4347" s="4"/>
      <c r="D4347" s="13"/>
      <c r="E4347" s="13"/>
      <c r="F4347" s="4"/>
    </row>
    <row r="4348">
      <c r="A4348" s="4"/>
      <c r="B4348" s="4"/>
      <c r="C4348" s="4"/>
      <c r="D4348" s="13"/>
      <c r="E4348" s="13"/>
      <c r="F4348" s="4"/>
    </row>
    <row r="4349">
      <c r="A4349" s="4"/>
      <c r="B4349" s="4"/>
      <c r="C4349" s="4"/>
      <c r="D4349" s="13"/>
      <c r="E4349" s="13"/>
      <c r="F4349" s="4"/>
    </row>
    <row r="4350">
      <c r="A4350" s="4"/>
      <c r="B4350" s="4"/>
      <c r="C4350" s="4"/>
      <c r="D4350" s="13"/>
      <c r="E4350" s="13"/>
      <c r="F4350" s="4"/>
    </row>
    <row r="4351">
      <c r="A4351" s="4"/>
      <c r="B4351" s="4"/>
      <c r="C4351" s="4"/>
      <c r="D4351" s="13"/>
      <c r="E4351" s="13"/>
      <c r="F4351" s="4"/>
    </row>
    <row r="4352">
      <c r="A4352" s="4"/>
      <c r="B4352" s="4"/>
      <c r="C4352" s="4"/>
      <c r="D4352" s="13"/>
      <c r="E4352" s="13"/>
      <c r="F4352" s="4"/>
    </row>
    <row r="4353">
      <c r="A4353" s="4"/>
      <c r="B4353" s="4"/>
      <c r="C4353" s="4"/>
      <c r="D4353" s="13"/>
      <c r="E4353" s="13"/>
      <c r="F4353" s="4"/>
    </row>
    <row r="4354">
      <c r="A4354" s="4"/>
      <c r="B4354" s="4"/>
      <c r="C4354" s="4"/>
      <c r="D4354" s="13"/>
      <c r="E4354" s="13"/>
      <c r="F4354" s="4"/>
    </row>
    <row r="4355">
      <c r="A4355" s="4"/>
      <c r="B4355" s="4"/>
      <c r="C4355" s="4"/>
      <c r="D4355" s="13"/>
      <c r="E4355" s="13"/>
      <c r="F4355" s="4"/>
    </row>
    <row r="4356">
      <c r="A4356" s="4"/>
      <c r="B4356" s="4"/>
      <c r="C4356" s="4"/>
      <c r="D4356" s="13"/>
      <c r="E4356" s="13"/>
      <c r="F4356" s="4"/>
    </row>
    <row r="4357">
      <c r="A4357" s="4"/>
      <c r="B4357" s="4"/>
      <c r="C4357" s="4"/>
      <c r="D4357" s="13"/>
      <c r="E4357" s="13"/>
      <c r="F4357" s="4"/>
    </row>
    <row r="4358">
      <c r="A4358" s="4"/>
      <c r="B4358" s="4"/>
      <c r="C4358" s="4"/>
      <c r="D4358" s="13"/>
      <c r="E4358" s="13"/>
      <c r="F4358" s="4"/>
    </row>
    <row r="4359">
      <c r="A4359" s="4"/>
      <c r="B4359" s="4"/>
      <c r="C4359" s="4"/>
      <c r="D4359" s="13"/>
      <c r="E4359" s="13"/>
      <c r="F4359" s="4"/>
    </row>
    <row r="4360">
      <c r="A4360" s="4"/>
      <c r="B4360" s="4"/>
      <c r="C4360" s="4"/>
      <c r="D4360" s="13"/>
      <c r="E4360" s="13"/>
      <c r="F4360" s="4"/>
    </row>
    <row r="4361">
      <c r="A4361" s="4"/>
      <c r="B4361" s="4"/>
      <c r="C4361" s="4"/>
      <c r="D4361" s="13"/>
      <c r="E4361" s="13"/>
      <c r="F4361" s="4"/>
    </row>
    <row r="4362">
      <c r="A4362" s="4"/>
      <c r="B4362" s="4"/>
      <c r="C4362" s="4"/>
      <c r="D4362" s="13"/>
      <c r="E4362" s="13"/>
      <c r="F4362" s="4"/>
    </row>
    <row r="4363">
      <c r="A4363" s="4"/>
      <c r="B4363" s="4"/>
      <c r="C4363" s="4"/>
      <c r="D4363" s="13"/>
      <c r="F4363" s="4"/>
    </row>
    <row r="4364">
      <c r="A4364" s="4"/>
      <c r="B4364" s="4"/>
      <c r="C4364" s="4"/>
      <c r="D4364" s="13"/>
      <c r="F4364" s="4"/>
    </row>
    <row r="4365">
      <c r="A4365" s="4"/>
      <c r="B4365" s="4"/>
      <c r="C4365" s="4"/>
      <c r="D4365" s="13"/>
      <c r="F4365" s="4"/>
    </row>
    <row r="4366">
      <c r="A4366" s="4"/>
      <c r="B4366" s="4"/>
      <c r="C4366" s="4"/>
      <c r="D4366" s="13"/>
      <c r="E4366" s="13"/>
      <c r="F4366" s="4"/>
    </row>
    <row r="4367">
      <c r="A4367" s="4"/>
      <c r="B4367" s="4"/>
      <c r="C4367" s="4"/>
      <c r="D4367" s="13"/>
      <c r="E4367" s="13"/>
      <c r="F4367" s="4"/>
    </row>
    <row r="4368">
      <c r="A4368" s="4"/>
      <c r="B4368" s="4"/>
      <c r="C4368" s="4"/>
      <c r="D4368" s="13"/>
      <c r="E4368" s="13"/>
      <c r="F4368" s="4"/>
    </row>
    <row r="4369">
      <c r="A4369" s="4"/>
      <c r="B4369" s="4"/>
      <c r="C4369" s="4"/>
      <c r="D4369" s="13"/>
      <c r="E4369" s="13"/>
      <c r="F4369" s="4"/>
    </row>
    <row r="4370">
      <c r="A4370" s="4"/>
      <c r="B4370" s="4"/>
      <c r="C4370" s="4"/>
      <c r="D4370" s="13"/>
      <c r="E4370" s="13"/>
      <c r="F4370" s="4"/>
    </row>
    <row r="4371">
      <c r="A4371" s="4"/>
      <c r="B4371" s="4"/>
      <c r="C4371" s="4"/>
      <c r="D4371" s="13"/>
      <c r="E4371" s="13"/>
      <c r="F4371" s="4"/>
    </row>
    <row r="4372">
      <c r="A4372" s="4"/>
      <c r="B4372" s="4"/>
      <c r="C4372" s="4"/>
      <c r="D4372" s="13"/>
      <c r="E4372" s="13"/>
      <c r="F4372" s="4"/>
    </row>
    <row r="4373">
      <c r="A4373" s="4"/>
      <c r="B4373" s="4"/>
      <c r="C4373" s="4"/>
      <c r="D4373" s="13"/>
      <c r="E4373" s="13"/>
      <c r="F4373" s="4"/>
    </row>
    <row r="4374">
      <c r="A4374" s="4"/>
      <c r="B4374" s="4"/>
      <c r="C4374" s="4"/>
      <c r="D4374" s="13"/>
      <c r="E4374" s="13"/>
      <c r="F4374" s="4"/>
    </row>
    <row r="4375">
      <c r="A4375" s="4"/>
      <c r="B4375" s="4"/>
      <c r="C4375" s="4"/>
      <c r="D4375" s="13"/>
      <c r="E4375" s="13"/>
      <c r="F4375" s="4"/>
    </row>
    <row r="4376">
      <c r="A4376" s="4"/>
      <c r="B4376" s="4"/>
      <c r="C4376" s="4"/>
      <c r="D4376" s="13"/>
      <c r="E4376" s="13"/>
      <c r="F4376" s="4"/>
    </row>
    <row r="4377">
      <c r="A4377" s="4"/>
      <c r="B4377" s="4"/>
      <c r="C4377" s="4"/>
      <c r="D4377" s="13"/>
      <c r="E4377" s="13"/>
      <c r="F4377" s="4"/>
    </row>
    <row r="4378">
      <c r="A4378" s="4"/>
      <c r="B4378" s="4"/>
      <c r="C4378" s="4"/>
      <c r="D4378" s="13"/>
      <c r="E4378" s="13"/>
      <c r="F4378" s="4"/>
    </row>
    <row r="4379">
      <c r="A4379" s="4"/>
      <c r="B4379" s="4"/>
      <c r="C4379" s="4"/>
      <c r="D4379" s="13"/>
      <c r="E4379" s="13"/>
      <c r="F4379" s="4"/>
    </row>
    <row r="4380">
      <c r="A4380" s="4"/>
      <c r="B4380" s="4"/>
      <c r="C4380" s="4"/>
      <c r="D4380" s="13"/>
      <c r="E4380" s="13"/>
      <c r="F4380" s="4"/>
    </row>
    <row r="4381">
      <c r="A4381" s="4"/>
      <c r="B4381" s="4"/>
      <c r="C4381" s="4"/>
      <c r="D4381" s="13"/>
      <c r="E4381" s="13"/>
      <c r="F4381" s="4"/>
    </row>
    <row r="4382">
      <c r="A4382" s="4"/>
      <c r="B4382" s="4"/>
      <c r="C4382" s="4"/>
      <c r="D4382" s="13"/>
      <c r="E4382" s="13"/>
      <c r="F4382" s="4"/>
    </row>
    <row r="4383">
      <c r="A4383" s="4"/>
      <c r="B4383" s="4"/>
      <c r="C4383" s="4"/>
      <c r="D4383" s="13"/>
      <c r="E4383" s="13"/>
      <c r="F4383" s="4"/>
    </row>
    <row r="4384">
      <c r="A4384" s="4"/>
      <c r="B4384" s="4"/>
      <c r="C4384" s="4"/>
      <c r="D4384" s="13"/>
      <c r="E4384" s="13"/>
      <c r="F4384" s="4"/>
    </row>
    <row r="4385">
      <c r="A4385" s="4"/>
      <c r="B4385" s="4"/>
      <c r="C4385" s="4"/>
      <c r="D4385" s="13"/>
      <c r="E4385" s="13"/>
      <c r="F4385" s="4"/>
    </row>
    <row r="4386">
      <c r="A4386" s="4"/>
      <c r="B4386" s="4"/>
      <c r="C4386" s="4"/>
      <c r="D4386" s="13"/>
      <c r="E4386" s="13"/>
      <c r="F4386" s="4"/>
    </row>
    <row r="4387">
      <c r="A4387" s="4"/>
      <c r="B4387" s="4"/>
      <c r="C4387" s="4"/>
      <c r="D4387" s="13"/>
      <c r="E4387" s="13"/>
      <c r="F4387" s="4"/>
    </row>
    <row r="4388">
      <c r="A4388" s="4"/>
      <c r="B4388" s="4"/>
      <c r="C4388" s="4"/>
      <c r="D4388" s="13"/>
      <c r="E4388" s="13"/>
      <c r="F4388" s="4"/>
    </row>
    <row r="4389">
      <c r="A4389" s="4"/>
      <c r="B4389" s="4"/>
      <c r="C4389" s="4"/>
      <c r="D4389" s="13"/>
      <c r="E4389" s="13"/>
      <c r="F4389" s="4"/>
    </row>
    <row r="4390">
      <c r="A4390" s="4"/>
      <c r="B4390" s="4"/>
      <c r="C4390" s="4"/>
      <c r="D4390" s="13"/>
      <c r="E4390" s="13"/>
      <c r="F4390" s="4"/>
    </row>
    <row r="4391">
      <c r="A4391" s="4"/>
      <c r="B4391" s="4"/>
      <c r="C4391" s="4"/>
      <c r="D4391" s="13"/>
      <c r="E4391" s="13"/>
      <c r="F4391" s="4"/>
    </row>
    <row r="4392">
      <c r="A4392" s="4"/>
      <c r="B4392" s="4"/>
      <c r="C4392" s="4"/>
      <c r="D4392" s="13"/>
      <c r="E4392" s="13"/>
      <c r="F4392" s="4"/>
    </row>
    <row r="4393">
      <c r="A4393" s="4"/>
      <c r="B4393" s="4"/>
      <c r="C4393" s="4"/>
      <c r="D4393" s="13"/>
      <c r="E4393" s="13"/>
      <c r="F4393" s="4"/>
    </row>
    <row r="4394">
      <c r="A4394" s="4"/>
      <c r="B4394" s="4"/>
      <c r="C4394" s="4"/>
      <c r="D4394" s="13"/>
      <c r="E4394" s="13"/>
      <c r="F4394" s="4"/>
    </row>
    <row r="4395">
      <c r="A4395" s="4"/>
      <c r="B4395" s="4"/>
      <c r="C4395" s="4"/>
      <c r="D4395" s="13"/>
      <c r="E4395" s="13"/>
      <c r="F4395" s="4"/>
    </row>
    <row r="4396">
      <c r="A4396" s="4"/>
      <c r="B4396" s="4"/>
      <c r="C4396" s="4"/>
      <c r="D4396" s="13"/>
      <c r="E4396" s="13"/>
      <c r="F4396" s="4"/>
    </row>
    <row r="4397">
      <c r="A4397" s="4"/>
      <c r="B4397" s="4"/>
      <c r="C4397" s="4"/>
      <c r="D4397" s="13"/>
      <c r="E4397" s="13"/>
      <c r="F4397" s="4"/>
    </row>
    <row r="4398">
      <c r="A4398" s="4"/>
      <c r="B4398" s="4"/>
      <c r="C4398" s="4"/>
      <c r="D4398" s="13"/>
      <c r="E4398" s="13"/>
      <c r="F4398" s="4"/>
    </row>
    <row r="4399">
      <c r="A4399" s="4"/>
      <c r="B4399" s="4"/>
      <c r="C4399" s="4"/>
      <c r="D4399" s="13"/>
      <c r="E4399" s="13"/>
      <c r="F4399" s="4"/>
    </row>
    <row r="4400">
      <c r="A4400" s="4"/>
      <c r="B4400" s="4"/>
      <c r="C4400" s="4"/>
      <c r="D4400" s="13"/>
      <c r="E4400" s="13"/>
      <c r="F4400" s="4"/>
    </row>
    <row r="4401">
      <c r="A4401" s="4"/>
      <c r="B4401" s="4"/>
      <c r="C4401" s="4"/>
      <c r="D4401" s="13"/>
      <c r="E4401" s="13"/>
      <c r="F4401" s="4"/>
    </row>
    <row r="4402">
      <c r="A4402" s="4"/>
      <c r="B4402" s="4"/>
      <c r="C4402" s="4"/>
      <c r="D4402" s="13"/>
      <c r="E4402" s="13"/>
      <c r="F4402" s="4"/>
    </row>
    <row r="4403">
      <c r="A4403" s="4"/>
      <c r="B4403" s="4"/>
      <c r="C4403" s="4"/>
      <c r="D4403" s="13"/>
      <c r="E4403" s="13"/>
      <c r="F4403" s="4"/>
    </row>
    <row r="4404">
      <c r="A4404" s="4"/>
      <c r="B4404" s="4"/>
      <c r="C4404" s="4"/>
      <c r="D4404" s="13"/>
      <c r="E4404" s="13"/>
      <c r="F4404" s="4"/>
    </row>
    <row r="4405">
      <c r="A4405" s="4"/>
      <c r="B4405" s="4"/>
      <c r="C4405" s="4"/>
      <c r="D4405" s="13"/>
      <c r="E4405" s="13"/>
      <c r="F4405" s="4"/>
    </row>
    <row r="4406">
      <c r="A4406" s="4"/>
      <c r="B4406" s="4"/>
      <c r="C4406" s="4"/>
      <c r="D4406" s="13"/>
      <c r="E4406" s="13"/>
      <c r="F4406" s="4"/>
    </row>
    <row r="4407">
      <c r="A4407" s="4"/>
      <c r="B4407" s="4"/>
      <c r="C4407" s="4"/>
      <c r="D4407" s="13"/>
      <c r="E4407" s="13"/>
      <c r="F4407" s="4"/>
    </row>
    <row r="4408">
      <c r="A4408" s="4"/>
      <c r="B4408" s="4"/>
      <c r="C4408" s="4"/>
      <c r="D4408" s="13"/>
      <c r="E4408" s="13"/>
      <c r="F4408" s="4"/>
    </row>
    <row r="4409">
      <c r="A4409" s="4"/>
      <c r="B4409" s="4"/>
      <c r="C4409" s="4"/>
      <c r="D4409" s="13"/>
      <c r="E4409" s="13"/>
      <c r="F4409" s="4"/>
    </row>
    <row r="4410">
      <c r="A4410" s="4"/>
      <c r="B4410" s="4"/>
      <c r="C4410" s="4"/>
      <c r="D4410" s="13"/>
      <c r="F4410" s="4"/>
    </row>
    <row r="4411">
      <c r="A4411" s="4"/>
      <c r="B4411" s="4"/>
      <c r="C4411" s="4"/>
      <c r="D4411" s="13"/>
      <c r="F4411" s="4"/>
    </row>
    <row r="4412">
      <c r="A4412" s="4"/>
      <c r="B4412" s="4"/>
      <c r="C4412" s="4"/>
      <c r="D4412" s="13"/>
      <c r="F4412" s="4"/>
    </row>
    <row r="4413">
      <c r="A4413" s="4"/>
      <c r="B4413" s="4"/>
      <c r="C4413" s="4"/>
      <c r="D4413" s="13"/>
      <c r="E4413" s="13"/>
      <c r="F4413" s="4"/>
    </row>
    <row r="4414">
      <c r="A4414" s="4"/>
      <c r="B4414" s="4"/>
      <c r="C4414" s="4"/>
      <c r="D4414" s="13"/>
      <c r="E4414" s="13"/>
      <c r="F4414" s="4"/>
    </row>
    <row r="4415">
      <c r="A4415" s="4"/>
      <c r="B4415" s="4"/>
      <c r="C4415" s="4"/>
      <c r="D4415" s="13"/>
      <c r="E4415" s="13"/>
      <c r="F4415" s="4"/>
    </row>
    <row r="4416">
      <c r="A4416" s="4"/>
      <c r="B4416" s="4"/>
      <c r="C4416" s="4"/>
      <c r="D4416" s="13"/>
      <c r="E4416" s="13"/>
      <c r="F4416" s="4"/>
    </row>
    <row r="4417">
      <c r="A4417" s="4"/>
      <c r="B4417" s="4"/>
      <c r="C4417" s="4"/>
      <c r="D4417" s="13"/>
      <c r="E4417" s="13"/>
      <c r="F4417" s="4"/>
    </row>
    <row r="4418">
      <c r="A4418" s="4"/>
      <c r="B4418" s="4"/>
      <c r="C4418" s="4"/>
      <c r="D4418" s="13"/>
      <c r="F4418" s="4"/>
    </row>
    <row r="4419">
      <c r="A4419" s="4"/>
      <c r="B4419" s="4"/>
      <c r="C4419" s="4"/>
      <c r="D4419" s="13"/>
      <c r="F4419" s="4"/>
    </row>
    <row r="4420">
      <c r="A4420" s="4"/>
      <c r="B4420" s="4"/>
      <c r="C4420" s="4"/>
      <c r="D4420" s="13"/>
      <c r="F4420" s="4"/>
    </row>
    <row r="4421">
      <c r="A4421" s="4"/>
      <c r="B4421" s="4"/>
      <c r="C4421" s="4"/>
      <c r="D4421" s="13"/>
      <c r="F4421" s="4"/>
    </row>
    <row r="4422">
      <c r="A4422" s="4"/>
      <c r="B4422" s="4"/>
      <c r="C4422" s="4"/>
      <c r="D4422" s="13"/>
      <c r="F4422" s="4"/>
    </row>
    <row r="4423">
      <c r="A4423" s="4"/>
      <c r="B4423" s="4"/>
      <c r="C4423" s="4"/>
      <c r="D4423" s="13"/>
      <c r="F4423" s="4"/>
    </row>
    <row r="4424">
      <c r="A4424" s="4"/>
      <c r="B4424" s="4"/>
      <c r="C4424" s="4"/>
      <c r="D4424" s="13"/>
      <c r="F4424" s="4"/>
    </row>
    <row r="4425">
      <c r="A4425" s="4"/>
      <c r="B4425" s="4"/>
      <c r="C4425" s="4"/>
      <c r="D4425" s="13"/>
      <c r="E4425" s="13"/>
      <c r="F4425" s="4"/>
    </row>
    <row r="4426">
      <c r="A4426" s="4"/>
      <c r="B4426" s="4"/>
      <c r="C4426" s="4"/>
      <c r="D4426" s="13"/>
      <c r="E4426" s="13"/>
      <c r="F4426" s="4"/>
    </row>
    <row r="4427">
      <c r="A4427" s="4"/>
      <c r="B4427" s="4"/>
      <c r="C4427" s="4"/>
      <c r="D4427" s="13"/>
      <c r="E4427" s="13"/>
      <c r="F4427" s="4"/>
    </row>
    <row r="4428">
      <c r="A4428" s="4"/>
      <c r="B4428" s="4"/>
      <c r="C4428" s="4"/>
      <c r="D4428" s="13"/>
      <c r="E4428" s="13"/>
      <c r="F4428" s="4"/>
    </row>
    <row r="4429">
      <c r="A4429" s="4"/>
      <c r="B4429" s="4"/>
      <c r="C4429" s="4"/>
      <c r="D4429" s="13"/>
      <c r="E4429" s="13"/>
      <c r="F4429" s="4"/>
    </row>
    <row r="4430">
      <c r="A4430" s="4"/>
      <c r="B4430" s="4"/>
      <c r="C4430" s="4"/>
      <c r="D4430" s="13"/>
      <c r="E4430" s="13"/>
      <c r="F4430" s="4"/>
    </row>
    <row r="4431">
      <c r="A4431" s="4"/>
      <c r="B4431" s="4"/>
      <c r="C4431" s="4"/>
      <c r="D4431" s="13"/>
      <c r="E4431" s="13"/>
      <c r="F4431" s="4"/>
    </row>
    <row r="4432">
      <c r="A4432" s="4"/>
      <c r="B4432" s="4"/>
      <c r="C4432" s="4"/>
      <c r="D4432" s="13"/>
      <c r="E4432" s="13"/>
      <c r="F4432" s="4"/>
    </row>
    <row r="4433">
      <c r="A4433" s="4"/>
      <c r="B4433" s="4"/>
      <c r="C4433" s="4"/>
      <c r="D4433" s="13"/>
      <c r="E4433" s="13"/>
      <c r="F4433" s="4"/>
    </row>
    <row r="4434">
      <c r="A4434" s="4"/>
      <c r="B4434" s="4"/>
      <c r="C4434" s="4"/>
      <c r="D4434" s="13"/>
      <c r="E4434" s="13"/>
      <c r="F4434" s="4"/>
    </row>
    <row r="4435">
      <c r="A4435" s="4"/>
      <c r="B4435" s="4"/>
      <c r="C4435" s="4"/>
      <c r="D4435" s="13"/>
      <c r="E4435" s="13"/>
      <c r="F4435" s="4"/>
    </row>
    <row r="4436">
      <c r="A4436" s="4"/>
      <c r="B4436" s="4"/>
      <c r="C4436" s="4"/>
      <c r="D4436" s="13"/>
      <c r="F4436" s="4"/>
    </row>
    <row r="4437">
      <c r="A4437" s="4"/>
      <c r="B4437" s="4"/>
      <c r="C4437" s="4"/>
      <c r="D4437" s="13"/>
      <c r="E4437" s="13"/>
      <c r="F4437" s="4"/>
    </row>
    <row r="4438">
      <c r="A4438" s="4"/>
      <c r="B4438" s="4"/>
      <c r="C4438" s="4"/>
      <c r="D4438" s="13"/>
      <c r="E4438" s="13"/>
      <c r="F4438" s="4"/>
    </row>
    <row r="4439">
      <c r="A4439" s="4"/>
      <c r="B4439" s="4"/>
      <c r="C4439" s="4"/>
      <c r="D4439" s="13"/>
      <c r="E4439" s="13"/>
      <c r="F4439" s="4"/>
    </row>
    <row r="4440">
      <c r="A4440" s="4"/>
      <c r="B4440" s="4"/>
      <c r="C4440" s="4"/>
      <c r="D4440" s="13"/>
      <c r="E4440" s="13"/>
      <c r="F4440" s="4"/>
    </row>
    <row r="4441">
      <c r="A4441" s="4"/>
      <c r="B4441" s="4"/>
      <c r="C4441" s="4"/>
      <c r="D4441" s="13"/>
      <c r="E4441" s="13"/>
      <c r="F4441" s="4"/>
    </row>
    <row r="4442">
      <c r="A4442" s="4"/>
      <c r="B4442" s="4"/>
      <c r="C4442" s="4"/>
      <c r="D4442" s="13"/>
      <c r="E4442" s="13"/>
      <c r="F4442" s="4"/>
    </row>
    <row r="4443">
      <c r="A4443" s="4"/>
      <c r="B4443" s="4"/>
      <c r="C4443" s="4"/>
      <c r="D4443" s="13"/>
      <c r="E4443" s="13"/>
      <c r="F4443" s="4"/>
    </row>
    <row r="4444">
      <c r="A4444" s="4"/>
      <c r="B4444" s="4"/>
      <c r="C4444" s="4"/>
      <c r="D4444" s="13"/>
      <c r="F4444" s="4"/>
    </row>
    <row r="4445">
      <c r="A4445" s="4"/>
      <c r="B4445" s="4"/>
      <c r="C4445" s="4"/>
      <c r="D4445" s="13"/>
      <c r="F4445" s="4"/>
    </row>
    <row r="4446">
      <c r="A4446" s="4"/>
      <c r="B4446" s="4"/>
      <c r="C4446" s="4"/>
      <c r="D4446" s="13"/>
      <c r="F4446" s="4"/>
    </row>
    <row r="4447">
      <c r="A4447" s="4"/>
      <c r="B4447" s="4"/>
      <c r="C4447" s="4"/>
      <c r="D4447" s="13"/>
      <c r="F4447" s="4"/>
    </row>
    <row r="4448">
      <c r="A4448" s="4"/>
      <c r="B4448" s="4"/>
      <c r="C4448" s="4"/>
      <c r="D4448" s="13"/>
      <c r="F4448" s="4"/>
    </row>
    <row r="4449">
      <c r="A4449" s="4"/>
      <c r="B4449" s="4"/>
      <c r="C4449" s="4"/>
      <c r="D4449" s="13"/>
      <c r="F4449" s="4"/>
    </row>
    <row r="4450">
      <c r="A4450" s="4"/>
      <c r="B4450" s="4"/>
      <c r="C4450" s="4"/>
      <c r="D4450" s="13"/>
      <c r="E4450" s="13"/>
      <c r="F4450" s="4"/>
    </row>
    <row r="4451">
      <c r="A4451" s="4"/>
      <c r="B4451" s="4"/>
      <c r="C4451" s="4"/>
      <c r="D4451" s="13"/>
      <c r="E4451" s="13"/>
      <c r="F4451" s="4"/>
    </row>
    <row r="4452">
      <c r="A4452" s="4"/>
      <c r="B4452" s="4"/>
      <c r="C4452" s="4"/>
      <c r="D4452" s="13"/>
      <c r="E4452" s="13"/>
      <c r="F4452" s="4"/>
    </row>
    <row r="4453">
      <c r="A4453" s="4"/>
      <c r="B4453" s="4"/>
      <c r="C4453" s="4"/>
      <c r="D4453" s="13"/>
      <c r="E4453" s="13"/>
      <c r="F4453" s="4"/>
    </row>
    <row r="4454">
      <c r="A4454" s="4"/>
      <c r="B4454" s="4"/>
      <c r="C4454" s="4"/>
      <c r="D4454" s="13"/>
      <c r="E4454" s="13"/>
      <c r="F4454" s="4"/>
    </row>
    <row r="4455">
      <c r="A4455" s="4"/>
      <c r="B4455" s="4"/>
      <c r="C4455" s="4"/>
      <c r="D4455" s="13"/>
      <c r="E4455" s="13"/>
      <c r="F4455" s="4"/>
    </row>
    <row r="4456">
      <c r="A4456" s="4"/>
      <c r="B4456" s="4"/>
      <c r="C4456" s="4"/>
      <c r="D4456" s="13"/>
      <c r="E4456" s="13"/>
      <c r="F4456" s="4"/>
    </row>
    <row r="4457">
      <c r="A4457" s="4"/>
      <c r="B4457" s="4"/>
      <c r="C4457" s="4"/>
      <c r="D4457" s="13"/>
      <c r="E4457" s="13"/>
      <c r="F4457" s="4"/>
    </row>
    <row r="4458">
      <c r="A4458" s="4"/>
      <c r="B4458" s="4"/>
      <c r="C4458" s="4"/>
      <c r="D4458" s="13"/>
      <c r="E4458" s="13"/>
      <c r="F4458" s="4"/>
    </row>
    <row r="4459">
      <c r="A4459" s="4"/>
      <c r="B4459" s="4"/>
      <c r="C4459" s="4"/>
      <c r="D4459" s="13"/>
      <c r="E4459" s="13"/>
      <c r="F4459" s="4"/>
    </row>
    <row r="4460">
      <c r="A4460" s="4"/>
      <c r="B4460" s="4"/>
      <c r="C4460" s="4"/>
      <c r="D4460" s="13"/>
      <c r="E4460" s="13"/>
      <c r="F4460" s="4"/>
    </row>
    <row r="4461">
      <c r="A4461" s="4"/>
      <c r="B4461" s="4"/>
      <c r="C4461" s="4"/>
      <c r="D4461" s="13"/>
      <c r="E4461" s="13"/>
      <c r="F4461" s="4"/>
    </row>
    <row r="4462">
      <c r="A4462" s="4"/>
      <c r="B4462" s="4"/>
      <c r="C4462" s="4"/>
      <c r="D4462" s="13"/>
      <c r="E4462" s="13"/>
      <c r="F4462" s="4"/>
    </row>
    <row r="4463">
      <c r="A4463" s="4"/>
      <c r="B4463" s="4"/>
      <c r="C4463" s="4"/>
      <c r="D4463" s="13"/>
      <c r="E4463" s="13"/>
      <c r="F4463" s="4"/>
    </row>
    <row r="4464">
      <c r="A4464" s="4"/>
      <c r="B4464" s="4"/>
      <c r="C4464" s="4"/>
      <c r="D4464" s="13"/>
      <c r="E4464" s="13"/>
      <c r="F4464" s="4"/>
    </row>
    <row r="4465">
      <c r="A4465" s="4"/>
      <c r="B4465" s="4"/>
      <c r="C4465" s="4"/>
      <c r="D4465" s="13"/>
      <c r="E4465" s="13"/>
      <c r="F4465" s="4"/>
    </row>
    <row r="4466">
      <c r="A4466" s="4"/>
      <c r="B4466" s="4"/>
      <c r="C4466" s="4"/>
      <c r="D4466" s="13"/>
      <c r="E4466" s="13"/>
      <c r="F4466" s="4"/>
    </row>
    <row r="4467">
      <c r="A4467" s="4"/>
      <c r="B4467" s="4"/>
      <c r="C4467" s="4"/>
      <c r="D4467" s="13"/>
      <c r="E4467" s="13"/>
      <c r="F4467" s="4"/>
    </row>
    <row r="4468">
      <c r="A4468" s="4"/>
      <c r="B4468" s="4"/>
      <c r="C4468" s="4"/>
      <c r="D4468" s="13"/>
      <c r="E4468" s="13"/>
      <c r="F4468" s="4"/>
    </row>
    <row r="4469">
      <c r="A4469" s="4"/>
      <c r="B4469" s="4"/>
      <c r="C4469" s="4"/>
      <c r="D4469" s="13"/>
      <c r="E4469" s="13"/>
      <c r="F4469" s="4"/>
    </row>
    <row r="4470">
      <c r="A4470" s="4"/>
      <c r="B4470" s="4"/>
      <c r="C4470" s="4"/>
      <c r="D4470" s="13"/>
      <c r="E4470" s="13"/>
      <c r="F4470" s="4"/>
    </row>
    <row r="4471">
      <c r="A4471" s="4"/>
      <c r="B4471" s="4"/>
      <c r="C4471" s="4"/>
      <c r="D4471" s="13"/>
      <c r="E4471" s="13"/>
      <c r="F4471" s="4"/>
    </row>
    <row r="4472">
      <c r="A4472" s="4"/>
      <c r="B4472" s="4"/>
      <c r="C4472" s="4"/>
      <c r="D4472" s="13"/>
      <c r="E4472" s="13"/>
      <c r="F4472" s="4"/>
    </row>
    <row r="4473">
      <c r="A4473" s="4"/>
      <c r="B4473" s="4"/>
      <c r="C4473" s="4"/>
      <c r="D4473" s="13"/>
      <c r="E4473" s="13"/>
      <c r="F4473" s="4"/>
    </row>
    <row r="4474">
      <c r="A4474" s="4"/>
      <c r="B4474" s="4"/>
      <c r="C4474" s="4"/>
      <c r="D4474" s="13"/>
      <c r="E4474" s="13"/>
      <c r="F4474" s="4"/>
    </row>
    <row r="4475">
      <c r="A4475" s="4"/>
      <c r="B4475" s="4"/>
      <c r="C4475" s="4"/>
      <c r="D4475" s="13"/>
      <c r="E4475" s="13"/>
      <c r="F4475" s="4"/>
    </row>
    <row r="4476">
      <c r="A4476" s="4"/>
      <c r="B4476" s="4"/>
      <c r="C4476" s="4"/>
      <c r="D4476" s="13"/>
      <c r="E4476" s="13"/>
      <c r="F4476" s="4"/>
    </row>
    <row r="4477">
      <c r="A4477" s="4"/>
      <c r="B4477" s="4"/>
      <c r="C4477" s="4"/>
      <c r="D4477" s="13"/>
      <c r="E4477" s="13"/>
      <c r="F4477" s="4"/>
    </row>
    <row r="4478">
      <c r="A4478" s="4"/>
      <c r="B4478" s="4"/>
      <c r="C4478" s="4"/>
      <c r="D4478" s="13"/>
      <c r="E4478" s="13"/>
      <c r="F4478" s="4"/>
    </row>
    <row r="4479">
      <c r="A4479" s="4"/>
      <c r="B4479" s="4"/>
      <c r="C4479" s="4"/>
      <c r="D4479" s="13"/>
      <c r="E4479" s="13"/>
      <c r="F4479" s="4"/>
    </row>
    <row r="4480">
      <c r="A4480" s="4"/>
      <c r="B4480" s="4"/>
      <c r="C4480" s="4"/>
      <c r="D4480" s="13"/>
      <c r="E4480" s="13"/>
      <c r="F4480" s="4"/>
    </row>
    <row r="4481">
      <c r="A4481" s="4"/>
      <c r="B4481" s="4"/>
      <c r="C4481" s="4"/>
      <c r="D4481" s="13"/>
      <c r="E4481" s="13"/>
      <c r="F4481" s="4"/>
    </row>
    <row r="4482">
      <c r="A4482" s="4"/>
      <c r="B4482" s="4"/>
      <c r="C4482" s="4"/>
      <c r="D4482" s="13"/>
      <c r="E4482" s="13"/>
      <c r="F4482" s="4"/>
    </row>
    <row r="4483">
      <c r="A4483" s="4"/>
      <c r="B4483" s="4"/>
      <c r="C4483" s="4"/>
      <c r="D4483" s="13"/>
      <c r="E4483" s="13"/>
      <c r="F4483" s="4"/>
    </row>
    <row r="4484">
      <c r="A4484" s="4"/>
      <c r="B4484" s="4"/>
      <c r="C4484" s="4"/>
      <c r="D4484" s="13"/>
      <c r="E4484" s="13"/>
      <c r="F4484" s="4"/>
    </row>
    <row r="4485">
      <c r="A4485" s="4"/>
      <c r="B4485" s="4"/>
      <c r="C4485" s="4"/>
      <c r="D4485" s="13"/>
      <c r="E4485" s="13"/>
      <c r="F4485" s="4"/>
    </row>
    <row r="4486">
      <c r="A4486" s="4"/>
      <c r="B4486" s="4"/>
      <c r="C4486" s="4"/>
      <c r="D4486" s="13"/>
      <c r="E4486" s="13"/>
      <c r="F4486" s="4"/>
    </row>
    <row r="4487">
      <c r="A4487" s="4"/>
      <c r="B4487" s="4"/>
      <c r="C4487" s="4"/>
      <c r="D4487" s="13"/>
      <c r="E4487" s="13"/>
      <c r="F4487" s="4"/>
    </row>
    <row r="4488">
      <c r="A4488" s="4"/>
      <c r="B4488" s="4"/>
      <c r="C4488" s="4"/>
      <c r="D4488" s="13"/>
      <c r="E4488" s="13"/>
      <c r="F4488" s="4"/>
    </row>
    <row r="4489">
      <c r="A4489" s="4"/>
      <c r="B4489" s="4"/>
      <c r="C4489" s="4"/>
      <c r="D4489" s="13"/>
      <c r="E4489" s="13"/>
      <c r="F4489" s="4"/>
    </row>
    <row r="4490">
      <c r="A4490" s="4"/>
      <c r="B4490" s="4"/>
      <c r="C4490" s="4"/>
      <c r="D4490" s="13"/>
      <c r="E4490" s="13"/>
      <c r="F4490" s="4"/>
    </row>
    <row r="4491">
      <c r="A4491" s="4"/>
      <c r="B4491" s="4"/>
      <c r="C4491" s="4"/>
      <c r="D4491" s="13"/>
      <c r="E4491" s="13"/>
      <c r="F4491" s="4"/>
    </row>
    <row r="4492">
      <c r="A4492" s="4"/>
      <c r="B4492" s="4"/>
      <c r="C4492" s="4"/>
      <c r="D4492" s="13"/>
      <c r="E4492" s="13"/>
      <c r="F4492" s="4"/>
    </row>
    <row r="4493">
      <c r="A4493" s="4"/>
      <c r="B4493" s="4"/>
      <c r="C4493" s="4"/>
      <c r="D4493" s="13"/>
      <c r="E4493" s="13"/>
      <c r="F4493" s="4"/>
    </row>
    <row r="4494">
      <c r="A4494" s="4"/>
      <c r="B4494" s="4"/>
      <c r="C4494" s="4"/>
      <c r="D4494" s="13"/>
      <c r="E4494" s="13"/>
      <c r="F4494" s="4"/>
    </row>
    <row r="4495">
      <c r="A4495" s="4"/>
      <c r="B4495" s="4"/>
      <c r="C4495" s="4"/>
      <c r="D4495" s="13"/>
      <c r="E4495" s="13"/>
      <c r="F4495" s="4"/>
    </row>
    <row r="4496">
      <c r="A4496" s="4"/>
      <c r="B4496" s="4"/>
      <c r="C4496" s="4"/>
      <c r="D4496" s="13"/>
      <c r="E4496" s="13"/>
      <c r="F4496" s="4"/>
    </row>
    <row r="4497">
      <c r="A4497" s="4"/>
      <c r="B4497" s="4"/>
      <c r="C4497" s="4"/>
      <c r="D4497" s="13"/>
      <c r="E4497" s="13"/>
      <c r="F4497" s="4"/>
    </row>
    <row r="4498">
      <c r="A4498" s="4"/>
      <c r="B4498" s="4"/>
      <c r="C4498" s="4"/>
      <c r="D4498" s="13"/>
      <c r="E4498" s="13"/>
      <c r="F4498" s="4"/>
    </row>
    <row r="4499">
      <c r="A4499" s="4"/>
      <c r="B4499" s="4"/>
      <c r="C4499" s="4"/>
      <c r="D4499" s="13"/>
      <c r="E4499" s="13"/>
      <c r="F4499" s="4"/>
    </row>
    <row r="4500">
      <c r="A4500" s="4"/>
      <c r="B4500" s="4"/>
      <c r="C4500" s="4"/>
      <c r="D4500" s="13"/>
      <c r="E4500" s="13"/>
      <c r="F4500" s="4"/>
    </row>
    <row r="4501">
      <c r="A4501" s="4"/>
      <c r="B4501" s="4"/>
      <c r="C4501" s="4"/>
      <c r="D4501" s="13"/>
      <c r="E4501" s="13"/>
      <c r="F4501" s="4"/>
    </row>
    <row r="4502">
      <c r="A4502" s="4"/>
      <c r="B4502" s="4"/>
      <c r="C4502" s="4"/>
      <c r="D4502" s="13"/>
      <c r="E4502" s="13"/>
      <c r="F4502" s="4"/>
    </row>
    <row r="4503">
      <c r="A4503" s="4"/>
      <c r="B4503" s="4"/>
      <c r="C4503" s="4"/>
      <c r="D4503" s="13"/>
      <c r="E4503" s="13"/>
      <c r="F4503" s="4"/>
    </row>
    <row r="4504">
      <c r="A4504" s="4"/>
      <c r="B4504" s="4"/>
      <c r="C4504" s="4"/>
      <c r="D4504" s="13"/>
      <c r="E4504" s="13"/>
      <c r="F4504" s="4"/>
    </row>
    <row r="4505">
      <c r="A4505" s="4"/>
      <c r="B4505" s="4"/>
      <c r="C4505" s="4"/>
      <c r="D4505" s="13"/>
      <c r="E4505" s="13"/>
      <c r="F4505" s="4"/>
    </row>
    <row r="4506">
      <c r="A4506" s="4"/>
      <c r="B4506" s="4"/>
      <c r="C4506" s="4"/>
      <c r="D4506" s="13"/>
      <c r="E4506" s="13"/>
      <c r="F4506" s="4"/>
    </row>
    <row r="4507">
      <c r="A4507" s="4"/>
      <c r="B4507" s="4"/>
      <c r="C4507" s="4"/>
      <c r="D4507" s="13"/>
      <c r="E4507" s="13"/>
      <c r="F4507" s="4"/>
    </row>
    <row r="4508">
      <c r="A4508" s="4"/>
      <c r="B4508" s="4"/>
      <c r="C4508" s="4"/>
      <c r="D4508" s="13"/>
      <c r="E4508" s="13"/>
      <c r="F4508" s="4"/>
    </row>
    <row r="4509">
      <c r="A4509" s="4"/>
      <c r="B4509" s="4"/>
      <c r="C4509" s="4"/>
      <c r="D4509" s="13"/>
      <c r="E4509" s="13"/>
      <c r="F4509" s="4"/>
    </row>
    <row r="4510">
      <c r="A4510" s="4"/>
      <c r="B4510" s="4"/>
      <c r="C4510" s="4"/>
      <c r="D4510" s="13"/>
      <c r="E4510" s="13"/>
      <c r="F4510" s="4"/>
    </row>
    <row r="4511">
      <c r="A4511" s="4"/>
      <c r="B4511" s="4"/>
      <c r="C4511" s="4"/>
      <c r="D4511" s="13"/>
      <c r="E4511" s="13"/>
      <c r="F4511" s="4"/>
    </row>
    <row r="4512">
      <c r="A4512" s="4"/>
      <c r="B4512" s="4"/>
      <c r="C4512" s="4"/>
      <c r="D4512" s="13"/>
      <c r="E4512" s="13"/>
      <c r="F4512" s="4"/>
    </row>
    <row r="4513">
      <c r="A4513" s="4"/>
      <c r="B4513" s="4"/>
      <c r="C4513" s="4"/>
      <c r="D4513" s="13"/>
      <c r="E4513" s="13"/>
      <c r="F4513" s="4"/>
    </row>
    <row r="4514">
      <c r="A4514" s="4"/>
      <c r="B4514" s="4"/>
      <c r="C4514" s="4"/>
      <c r="D4514" s="13"/>
      <c r="E4514" s="13"/>
      <c r="F4514" s="4"/>
    </row>
    <row r="4515">
      <c r="A4515" s="4"/>
      <c r="B4515" s="4"/>
      <c r="C4515" s="4"/>
      <c r="D4515" s="13"/>
      <c r="E4515" s="13"/>
      <c r="F4515" s="4"/>
    </row>
    <row r="4516">
      <c r="A4516" s="4"/>
      <c r="B4516" s="4"/>
      <c r="C4516" s="4"/>
      <c r="D4516" s="13"/>
      <c r="E4516" s="13"/>
      <c r="F4516" s="4"/>
    </row>
    <row r="4517">
      <c r="A4517" s="4"/>
      <c r="B4517" s="4"/>
      <c r="C4517" s="4"/>
      <c r="D4517" s="13"/>
      <c r="E4517" s="13"/>
      <c r="F4517" s="4"/>
    </row>
    <row r="4518">
      <c r="A4518" s="4"/>
      <c r="B4518" s="4"/>
      <c r="C4518" s="4"/>
      <c r="D4518" s="13"/>
      <c r="F4518" s="4"/>
    </row>
    <row r="4519">
      <c r="A4519" s="4"/>
      <c r="B4519" s="4"/>
      <c r="C4519" s="4"/>
      <c r="D4519" s="13"/>
      <c r="F4519" s="4"/>
    </row>
    <row r="4520">
      <c r="A4520" s="4"/>
      <c r="B4520" s="4"/>
      <c r="C4520" s="4"/>
      <c r="D4520" s="13"/>
      <c r="F4520" s="4"/>
    </row>
    <row r="4521">
      <c r="A4521" s="4"/>
      <c r="B4521" s="4"/>
      <c r="C4521" s="4"/>
      <c r="D4521" s="13"/>
      <c r="F4521" s="4"/>
    </row>
    <row r="4522">
      <c r="A4522" s="4"/>
      <c r="B4522" s="4"/>
      <c r="C4522" s="4"/>
      <c r="D4522" s="13"/>
      <c r="F4522" s="4"/>
    </row>
    <row r="4523">
      <c r="A4523" s="4"/>
      <c r="B4523" s="4"/>
      <c r="C4523" s="4"/>
      <c r="D4523" s="13"/>
      <c r="F4523" s="4"/>
    </row>
    <row r="4524">
      <c r="A4524" s="4"/>
      <c r="B4524" s="4"/>
      <c r="C4524" s="4"/>
      <c r="D4524" s="13"/>
      <c r="F4524" s="4"/>
    </row>
    <row r="4525">
      <c r="A4525" s="4"/>
      <c r="B4525" s="4"/>
      <c r="C4525" s="4"/>
      <c r="D4525" s="13"/>
      <c r="F4525" s="4"/>
    </row>
    <row r="4526">
      <c r="A4526" s="4"/>
      <c r="B4526" s="4"/>
      <c r="C4526" s="4"/>
      <c r="D4526" s="13"/>
      <c r="F4526" s="4"/>
    </row>
    <row r="4527">
      <c r="A4527" s="4"/>
      <c r="B4527" s="4"/>
      <c r="C4527" s="4"/>
      <c r="D4527" s="13"/>
      <c r="F4527" s="4"/>
    </row>
    <row r="4528">
      <c r="A4528" s="4"/>
      <c r="B4528" s="4"/>
      <c r="C4528" s="4"/>
      <c r="D4528" s="13"/>
      <c r="F4528" s="4"/>
    </row>
    <row r="4529">
      <c r="A4529" s="4"/>
      <c r="B4529" s="4"/>
      <c r="C4529" s="4"/>
      <c r="D4529" s="13"/>
      <c r="F4529" s="4"/>
    </row>
    <row r="4530">
      <c r="A4530" s="4"/>
      <c r="B4530" s="4"/>
      <c r="C4530" s="4"/>
      <c r="D4530" s="13"/>
      <c r="F4530" s="4"/>
    </row>
    <row r="4531">
      <c r="A4531" s="4"/>
      <c r="B4531" s="4"/>
      <c r="C4531" s="4"/>
      <c r="D4531" s="13"/>
      <c r="F4531" s="4"/>
    </row>
    <row r="4532">
      <c r="A4532" s="4"/>
      <c r="B4532" s="4"/>
      <c r="C4532" s="4"/>
      <c r="D4532" s="13"/>
      <c r="F4532" s="4"/>
    </row>
    <row r="4533">
      <c r="A4533" s="4"/>
      <c r="B4533" s="4"/>
      <c r="C4533" s="4"/>
      <c r="D4533" s="13"/>
      <c r="F4533" s="4"/>
    </row>
    <row r="4534">
      <c r="A4534" s="4"/>
      <c r="B4534" s="4"/>
      <c r="C4534" s="4"/>
      <c r="D4534" s="13"/>
      <c r="F4534" s="4"/>
    </row>
    <row r="4535">
      <c r="A4535" s="4"/>
      <c r="B4535" s="4"/>
      <c r="C4535" s="4"/>
      <c r="D4535" s="13"/>
      <c r="F4535" s="4"/>
    </row>
    <row r="4536">
      <c r="A4536" s="4"/>
      <c r="B4536" s="4"/>
      <c r="C4536" s="4"/>
      <c r="D4536" s="13"/>
      <c r="F4536" s="4"/>
    </row>
    <row r="4537">
      <c r="A4537" s="4"/>
      <c r="B4537" s="4"/>
      <c r="C4537" s="4"/>
      <c r="D4537" s="13"/>
      <c r="F4537" s="4"/>
    </row>
    <row r="4538">
      <c r="A4538" s="4"/>
      <c r="B4538" s="4"/>
      <c r="C4538" s="4"/>
      <c r="D4538" s="13"/>
      <c r="F4538" s="4"/>
    </row>
    <row r="4539">
      <c r="A4539" s="4"/>
      <c r="B4539" s="4"/>
      <c r="C4539" s="4"/>
      <c r="D4539" s="13"/>
      <c r="F4539" s="4"/>
    </row>
    <row r="4540">
      <c r="A4540" s="4"/>
      <c r="B4540" s="4"/>
      <c r="C4540" s="4"/>
      <c r="D4540" s="13"/>
      <c r="F4540" s="4"/>
    </row>
    <row r="4541">
      <c r="A4541" s="4"/>
      <c r="B4541" s="4"/>
      <c r="C4541" s="4"/>
      <c r="D4541" s="13"/>
      <c r="F4541" s="4"/>
    </row>
    <row r="4542">
      <c r="A4542" s="4"/>
      <c r="B4542" s="4"/>
      <c r="C4542" s="4"/>
      <c r="D4542" s="13"/>
      <c r="F4542" s="4"/>
    </row>
    <row r="4543">
      <c r="A4543" s="4"/>
      <c r="B4543" s="4"/>
      <c r="C4543" s="4"/>
      <c r="D4543" s="13"/>
      <c r="F4543" s="4"/>
    </row>
    <row r="4544">
      <c r="A4544" s="4"/>
      <c r="B4544" s="4"/>
      <c r="C4544" s="4"/>
      <c r="D4544" s="13"/>
      <c r="F4544" s="4"/>
    </row>
    <row r="4545">
      <c r="A4545" s="4"/>
      <c r="B4545" s="4"/>
      <c r="C4545" s="4"/>
      <c r="D4545" s="13"/>
      <c r="F4545" s="4"/>
    </row>
    <row r="4546">
      <c r="A4546" s="4"/>
      <c r="B4546" s="4"/>
      <c r="C4546" s="4"/>
      <c r="D4546" s="13"/>
      <c r="F4546" s="4"/>
    </row>
    <row r="4547">
      <c r="A4547" s="4"/>
      <c r="B4547" s="4"/>
      <c r="C4547" s="4"/>
      <c r="D4547" s="13"/>
      <c r="F4547" s="4"/>
    </row>
    <row r="4548">
      <c r="A4548" s="4"/>
      <c r="B4548" s="4"/>
      <c r="C4548" s="4"/>
      <c r="D4548" s="13"/>
      <c r="F4548" s="4"/>
    </row>
    <row r="4549">
      <c r="A4549" s="4"/>
      <c r="B4549" s="4"/>
      <c r="C4549" s="4"/>
      <c r="D4549" s="13"/>
      <c r="F4549" s="4"/>
    </row>
    <row r="4550">
      <c r="A4550" s="4"/>
      <c r="B4550" s="4"/>
      <c r="C4550" s="4"/>
      <c r="D4550" s="13"/>
      <c r="F4550" s="4"/>
    </row>
    <row r="4551">
      <c r="A4551" s="4"/>
      <c r="B4551" s="4"/>
      <c r="C4551" s="4"/>
      <c r="D4551" s="13"/>
      <c r="F4551" s="4"/>
    </row>
    <row r="4552">
      <c r="A4552" s="4"/>
      <c r="B4552" s="4"/>
      <c r="C4552" s="4"/>
      <c r="D4552" s="13"/>
      <c r="F4552" s="4"/>
    </row>
    <row r="4553">
      <c r="A4553" s="4"/>
      <c r="B4553" s="4"/>
      <c r="C4553" s="4"/>
      <c r="D4553" s="13"/>
      <c r="F4553" s="4"/>
    </row>
    <row r="4554">
      <c r="A4554" s="4"/>
      <c r="B4554" s="4"/>
      <c r="C4554" s="4"/>
      <c r="D4554" s="13"/>
      <c r="F4554" s="4"/>
    </row>
    <row r="4555">
      <c r="A4555" s="4"/>
      <c r="B4555" s="4"/>
      <c r="C4555" s="4"/>
      <c r="D4555" s="13"/>
      <c r="F4555" s="4"/>
    </row>
    <row r="4556">
      <c r="A4556" s="4"/>
      <c r="B4556" s="4"/>
      <c r="C4556" s="4"/>
      <c r="D4556" s="13"/>
      <c r="F4556" s="4"/>
    </row>
    <row r="4557">
      <c r="A4557" s="4"/>
      <c r="B4557" s="4"/>
      <c r="C4557" s="4"/>
      <c r="D4557" s="13"/>
      <c r="F4557" s="4"/>
    </row>
    <row r="4558">
      <c r="A4558" s="4"/>
      <c r="B4558" s="4"/>
      <c r="C4558" s="4"/>
      <c r="D4558" s="13"/>
      <c r="F4558" s="4"/>
    </row>
    <row r="4559">
      <c r="A4559" s="4"/>
      <c r="B4559" s="4"/>
      <c r="C4559" s="4"/>
      <c r="D4559" s="13"/>
      <c r="F4559" s="4"/>
    </row>
    <row r="4560">
      <c r="A4560" s="4"/>
      <c r="B4560" s="4"/>
      <c r="C4560" s="4"/>
      <c r="D4560" s="13"/>
      <c r="F4560" s="4"/>
    </row>
    <row r="4561">
      <c r="A4561" s="4"/>
      <c r="B4561" s="4"/>
      <c r="C4561" s="4"/>
      <c r="D4561" s="13"/>
      <c r="F4561" s="4"/>
    </row>
    <row r="4562">
      <c r="A4562" s="4"/>
      <c r="B4562" s="4"/>
      <c r="C4562" s="4"/>
      <c r="D4562" s="13"/>
      <c r="F4562" s="4"/>
    </row>
    <row r="4563">
      <c r="A4563" s="4"/>
      <c r="B4563" s="4"/>
      <c r="C4563" s="4"/>
      <c r="D4563" s="13"/>
      <c r="F4563" s="4"/>
    </row>
    <row r="4564">
      <c r="A4564" s="4"/>
      <c r="B4564" s="4"/>
      <c r="C4564" s="4"/>
      <c r="D4564" s="13"/>
      <c r="F4564" s="4"/>
    </row>
    <row r="4565">
      <c r="A4565" s="4"/>
      <c r="B4565" s="4"/>
      <c r="C4565" s="4"/>
      <c r="D4565" s="13"/>
      <c r="F4565" s="4"/>
    </row>
    <row r="4566">
      <c r="A4566" s="4"/>
      <c r="B4566" s="4"/>
      <c r="C4566" s="4"/>
      <c r="D4566" s="13"/>
      <c r="F4566" s="4"/>
    </row>
    <row r="4567">
      <c r="A4567" s="4"/>
      <c r="B4567" s="4"/>
      <c r="C4567" s="4"/>
      <c r="D4567" s="13"/>
      <c r="F4567" s="4"/>
    </row>
    <row r="4568">
      <c r="A4568" s="4"/>
      <c r="B4568" s="4"/>
      <c r="C4568" s="4"/>
      <c r="D4568" s="13"/>
      <c r="F4568" s="4"/>
    </row>
    <row r="4569">
      <c r="A4569" s="4"/>
      <c r="B4569" s="4"/>
      <c r="C4569" s="4"/>
      <c r="D4569" s="13"/>
      <c r="F4569" s="4"/>
    </row>
    <row r="4570">
      <c r="A4570" s="4"/>
      <c r="B4570" s="4"/>
      <c r="C4570" s="4"/>
      <c r="D4570" s="13"/>
      <c r="F4570" s="4"/>
    </row>
    <row r="4571">
      <c r="A4571" s="4"/>
      <c r="B4571" s="4"/>
      <c r="C4571" s="4"/>
      <c r="D4571" s="13"/>
      <c r="F4571" s="4"/>
    </row>
    <row r="4572">
      <c r="A4572" s="4"/>
      <c r="B4572" s="4"/>
      <c r="C4572" s="4"/>
      <c r="D4572" s="13"/>
      <c r="F4572" s="4"/>
    </row>
    <row r="4573">
      <c r="A4573" s="4"/>
      <c r="B4573" s="4"/>
      <c r="C4573" s="4"/>
      <c r="D4573" s="13"/>
      <c r="F4573" s="4"/>
    </row>
    <row r="4574">
      <c r="A4574" s="4"/>
      <c r="B4574" s="4"/>
      <c r="C4574" s="4"/>
      <c r="D4574" s="13"/>
      <c r="F4574" s="4"/>
    </row>
    <row r="4575">
      <c r="A4575" s="4"/>
      <c r="B4575" s="4"/>
      <c r="C4575" s="4"/>
      <c r="D4575" s="13"/>
      <c r="F4575" s="4"/>
    </row>
    <row r="4576">
      <c r="A4576" s="4"/>
      <c r="B4576" s="4"/>
      <c r="C4576" s="4"/>
      <c r="D4576" s="13"/>
      <c r="F4576" s="4"/>
    </row>
    <row r="4577">
      <c r="A4577" s="4"/>
      <c r="B4577" s="4"/>
      <c r="C4577" s="4"/>
      <c r="D4577" s="13"/>
      <c r="F4577" s="4"/>
    </row>
    <row r="4578">
      <c r="A4578" s="4"/>
      <c r="B4578" s="4"/>
      <c r="C4578" s="4"/>
      <c r="D4578" s="13"/>
      <c r="F4578" s="4"/>
    </row>
    <row r="4579">
      <c r="A4579" s="4"/>
      <c r="B4579" s="4"/>
      <c r="C4579" s="4"/>
      <c r="D4579" s="13"/>
      <c r="F4579" s="4"/>
    </row>
    <row r="4580">
      <c r="A4580" s="4"/>
      <c r="B4580" s="4"/>
      <c r="C4580" s="4"/>
      <c r="D4580" s="13"/>
      <c r="F4580" s="4"/>
    </row>
    <row r="4581">
      <c r="A4581" s="4"/>
      <c r="B4581" s="4"/>
      <c r="C4581" s="4"/>
      <c r="D4581" s="13"/>
      <c r="F4581" s="4"/>
    </row>
    <row r="4582">
      <c r="A4582" s="4"/>
      <c r="B4582" s="4"/>
      <c r="C4582" s="4"/>
      <c r="D4582" s="13"/>
      <c r="F4582" s="4"/>
    </row>
    <row r="4583">
      <c r="A4583" s="4"/>
      <c r="B4583" s="4"/>
      <c r="C4583" s="4"/>
      <c r="D4583" s="13"/>
      <c r="F4583" s="4"/>
    </row>
    <row r="4584">
      <c r="A4584" s="4"/>
      <c r="B4584" s="4"/>
      <c r="C4584" s="4"/>
      <c r="D4584" s="13"/>
      <c r="F4584" s="4"/>
    </row>
    <row r="4585">
      <c r="A4585" s="4"/>
      <c r="B4585" s="4"/>
      <c r="C4585" s="4"/>
      <c r="D4585" s="13"/>
      <c r="F4585" s="4"/>
    </row>
    <row r="4586">
      <c r="A4586" s="4"/>
      <c r="B4586" s="4"/>
      <c r="C4586" s="4"/>
      <c r="D4586" s="13"/>
      <c r="F4586" s="4"/>
    </row>
    <row r="4587">
      <c r="A4587" s="4"/>
      <c r="B4587" s="4"/>
      <c r="C4587" s="4"/>
      <c r="D4587" s="13"/>
      <c r="F4587" s="4"/>
    </row>
    <row r="4588">
      <c r="A4588" s="4"/>
      <c r="B4588" s="4"/>
      <c r="C4588" s="4"/>
      <c r="D4588" s="13"/>
      <c r="F4588" s="4"/>
    </row>
    <row r="4589">
      <c r="A4589" s="4"/>
      <c r="B4589" s="4"/>
      <c r="C4589" s="4"/>
      <c r="D4589" s="13"/>
      <c r="E4589" s="13"/>
      <c r="F4589" s="4"/>
    </row>
    <row r="4590">
      <c r="A4590" s="4"/>
      <c r="B4590" s="4"/>
      <c r="C4590" s="4"/>
      <c r="D4590" s="13"/>
      <c r="E4590" s="13"/>
      <c r="F4590" s="4"/>
    </row>
    <row r="4591">
      <c r="A4591" s="4"/>
      <c r="B4591" s="4"/>
      <c r="C4591" s="4"/>
      <c r="D4591" s="13"/>
      <c r="E4591" s="13"/>
      <c r="F4591" s="4"/>
    </row>
    <row r="4592">
      <c r="A4592" s="4"/>
      <c r="B4592" s="4"/>
      <c r="C4592" s="4"/>
      <c r="D4592" s="13"/>
      <c r="F4592" s="4"/>
    </row>
    <row r="4593">
      <c r="A4593" s="4"/>
      <c r="B4593" s="4"/>
      <c r="C4593" s="4"/>
      <c r="D4593" s="13"/>
      <c r="E4593" s="13"/>
      <c r="F4593" s="4"/>
    </row>
    <row r="4594">
      <c r="A4594" s="4"/>
      <c r="B4594" s="4"/>
      <c r="C4594" s="4"/>
      <c r="D4594" s="13"/>
      <c r="E4594" s="13"/>
      <c r="F4594" s="4"/>
    </row>
    <row r="4595">
      <c r="A4595" s="4"/>
      <c r="B4595" s="4"/>
      <c r="C4595" s="4"/>
      <c r="D4595" s="13"/>
      <c r="F4595" s="4"/>
    </row>
    <row r="4596">
      <c r="A4596" s="4"/>
      <c r="B4596" s="4"/>
      <c r="C4596" s="4"/>
      <c r="D4596" s="13"/>
      <c r="F4596" s="4"/>
    </row>
    <row r="4597">
      <c r="A4597" s="4"/>
      <c r="B4597" s="4"/>
      <c r="C4597" s="4"/>
      <c r="D4597" s="13"/>
      <c r="F4597" s="4"/>
    </row>
    <row r="4598">
      <c r="A4598" s="4"/>
      <c r="B4598" s="4"/>
      <c r="C4598" s="4"/>
      <c r="D4598" s="13"/>
      <c r="F4598" s="4"/>
    </row>
    <row r="4599">
      <c r="A4599" s="4"/>
      <c r="B4599" s="4"/>
      <c r="C4599" s="4"/>
      <c r="D4599" s="13"/>
      <c r="F4599" s="4"/>
    </row>
    <row r="4600">
      <c r="A4600" s="4"/>
      <c r="B4600" s="4"/>
      <c r="C4600" s="4"/>
      <c r="D4600" s="13"/>
      <c r="F4600" s="4"/>
    </row>
    <row r="4601">
      <c r="A4601" s="4"/>
      <c r="B4601" s="4"/>
      <c r="C4601" s="4"/>
      <c r="D4601" s="13"/>
      <c r="E4601" s="13"/>
      <c r="F4601" s="4"/>
    </row>
    <row r="4602">
      <c r="A4602" s="4"/>
      <c r="B4602" s="4"/>
      <c r="C4602" s="4"/>
      <c r="D4602" s="13"/>
      <c r="E4602" s="13"/>
      <c r="F4602" s="4"/>
    </row>
    <row r="4603">
      <c r="A4603" s="4"/>
      <c r="B4603" s="4"/>
      <c r="C4603" s="4"/>
      <c r="D4603" s="13"/>
      <c r="F4603" s="4"/>
    </row>
    <row r="4604">
      <c r="A4604" s="4"/>
      <c r="B4604" s="4"/>
      <c r="C4604" s="4"/>
      <c r="D4604" s="13"/>
      <c r="F4604" s="4"/>
    </row>
    <row r="4605">
      <c r="A4605" s="4"/>
      <c r="B4605" s="4"/>
      <c r="C4605" s="4"/>
      <c r="D4605" s="13"/>
      <c r="F4605" s="4"/>
    </row>
    <row r="4606">
      <c r="A4606" s="4"/>
      <c r="B4606" s="4"/>
      <c r="C4606" s="4"/>
      <c r="D4606" s="13"/>
      <c r="F4606" s="4"/>
    </row>
    <row r="4607">
      <c r="A4607" s="4"/>
      <c r="B4607" s="4"/>
      <c r="C4607" s="4"/>
      <c r="D4607" s="13"/>
      <c r="F4607" s="4"/>
    </row>
    <row r="4608">
      <c r="A4608" s="4"/>
      <c r="B4608" s="4"/>
      <c r="C4608" s="4"/>
      <c r="D4608" s="13"/>
      <c r="F4608" s="4"/>
    </row>
    <row r="4609">
      <c r="A4609" s="4"/>
      <c r="B4609" s="4"/>
      <c r="C4609" s="4"/>
      <c r="D4609" s="13"/>
      <c r="F4609" s="4"/>
    </row>
    <row r="4610">
      <c r="A4610" s="4"/>
      <c r="B4610" s="4"/>
      <c r="C4610" s="4"/>
      <c r="D4610" s="13"/>
      <c r="F4610" s="4"/>
    </row>
    <row r="4611">
      <c r="A4611" s="4"/>
      <c r="B4611" s="4"/>
      <c r="C4611" s="4"/>
      <c r="D4611" s="13"/>
      <c r="F4611" s="4"/>
    </row>
    <row r="4612">
      <c r="A4612" s="4"/>
      <c r="B4612" s="4"/>
      <c r="C4612" s="4"/>
      <c r="D4612" s="13"/>
      <c r="F4612" s="4"/>
    </row>
    <row r="4613">
      <c r="A4613" s="4"/>
      <c r="B4613" s="4"/>
      <c r="C4613" s="4"/>
      <c r="D4613" s="13"/>
      <c r="F4613" s="4"/>
    </row>
    <row r="4614">
      <c r="A4614" s="4"/>
      <c r="B4614" s="4"/>
      <c r="C4614" s="4"/>
      <c r="D4614" s="13"/>
      <c r="F4614" s="4"/>
    </row>
    <row r="4615">
      <c r="A4615" s="4"/>
      <c r="B4615" s="4"/>
      <c r="C4615" s="4"/>
      <c r="D4615" s="13"/>
      <c r="F4615" s="4"/>
    </row>
    <row r="4616">
      <c r="A4616" s="4"/>
      <c r="B4616" s="4"/>
      <c r="C4616" s="4"/>
      <c r="D4616" s="13"/>
      <c r="F4616" s="4"/>
    </row>
    <row r="4617">
      <c r="A4617" s="4"/>
      <c r="B4617" s="4"/>
      <c r="C4617" s="4"/>
      <c r="D4617" s="13"/>
      <c r="F4617" s="4"/>
    </row>
    <row r="4618">
      <c r="A4618" s="4"/>
      <c r="B4618" s="4"/>
      <c r="C4618" s="4"/>
      <c r="D4618" s="13"/>
      <c r="F4618" s="4"/>
    </row>
    <row r="4619">
      <c r="A4619" s="4"/>
      <c r="B4619" s="4"/>
      <c r="C4619" s="4"/>
      <c r="D4619" s="13"/>
      <c r="F4619" s="4"/>
    </row>
    <row r="4620">
      <c r="A4620" s="4"/>
      <c r="B4620" s="4"/>
      <c r="C4620" s="4"/>
      <c r="D4620" s="13"/>
      <c r="F4620" s="4"/>
    </row>
    <row r="4621">
      <c r="A4621" s="4"/>
      <c r="B4621" s="4"/>
      <c r="C4621" s="4"/>
      <c r="D4621" s="13"/>
      <c r="F4621" s="4"/>
    </row>
    <row r="4622">
      <c r="A4622" s="4"/>
      <c r="B4622" s="4"/>
      <c r="C4622" s="4"/>
      <c r="D4622" s="13"/>
      <c r="F4622" s="4"/>
    </row>
    <row r="4623">
      <c r="A4623" s="4"/>
      <c r="B4623" s="4"/>
      <c r="C4623" s="4"/>
      <c r="D4623" s="13"/>
      <c r="F4623" s="4"/>
    </row>
    <row r="4624">
      <c r="A4624" s="4"/>
      <c r="B4624" s="4"/>
      <c r="C4624" s="4"/>
      <c r="D4624" s="13"/>
      <c r="F4624" s="4"/>
    </row>
    <row r="4625">
      <c r="A4625" s="4"/>
      <c r="B4625" s="4"/>
      <c r="C4625" s="4"/>
      <c r="D4625" s="13"/>
      <c r="E4625" s="13"/>
      <c r="F4625" s="4"/>
    </row>
    <row r="4626">
      <c r="A4626" s="4"/>
      <c r="B4626" s="4"/>
      <c r="C4626" s="4"/>
      <c r="D4626" s="13"/>
      <c r="E4626" s="13"/>
      <c r="F4626" s="4"/>
    </row>
    <row r="4627">
      <c r="A4627" s="4"/>
      <c r="B4627" s="4"/>
      <c r="C4627" s="4"/>
      <c r="D4627" s="13"/>
      <c r="E4627" s="13"/>
      <c r="F4627" s="4"/>
    </row>
    <row r="4628">
      <c r="A4628" s="4"/>
      <c r="B4628" s="4"/>
      <c r="C4628" s="4"/>
      <c r="D4628" s="13"/>
      <c r="E4628" s="13"/>
      <c r="F4628" s="4"/>
    </row>
    <row r="4629">
      <c r="A4629" s="4"/>
      <c r="B4629" s="4"/>
      <c r="C4629" s="4"/>
      <c r="D4629" s="13"/>
      <c r="E4629" s="13"/>
      <c r="F4629" s="4"/>
    </row>
    <row r="4630">
      <c r="A4630" s="4"/>
      <c r="B4630" s="4"/>
      <c r="C4630" s="4"/>
      <c r="D4630" s="13"/>
      <c r="E4630" s="13"/>
      <c r="F4630" s="4"/>
    </row>
    <row r="4631">
      <c r="A4631" s="4"/>
      <c r="B4631" s="4"/>
      <c r="C4631" s="4"/>
      <c r="D4631" s="13"/>
      <c r="E4631" s="13"/>
      <c r="F4631" s="4"/>
    </row>
    <row r="4632">
      <c r="A4632" s="4"/>
      <c r="B4632" s="4"/>
      <c r="C4632" s="4"/>
      <c r="D4632" s="13"/>
      <c r="E4632" s="13"/>
      <c r="F4632" s="4"/>
    </row>
    <row r="4633">
      <c r="A4633" s="4"/>
      <c r="B4633" s="4"/>
      <c r="C4633" s="4"/>
      <c r="D4633" s="13"/>
      <c r="E4633" s="13"/>
      <c r="F4633" s="4"/>
    </row>
    <row r="4634">
      <c r="A4634" s="4"/>
      <c r="B4634" s="4"/>
      <c r="C4634" s="4"/>
      <c r="D4634" s="13"/>
      <c r="E4634" s="13"/>
      <c r="F4634" s="4"/>
    </row>
    <row r="4635">
      <c r="A4635" s="4"/>
      <c r="B4635" s="4"/>
      <c r="C4635" s="4"/>
      <c r="D4635" s="13"/>
      <c r="E4635" s="13"/>
      <c r="F4635" s="4"/>
    </row>
    <row r="4636">
      <c r="A4636" s="4"/>
      <c r="B4636" s="4"/>
      <c r="C4636" s="4"/>
      <c r="D4636" s="13"/>
      <c r="E4636" s="13"/>
      <c r="F4636" s="4"/>
    </row>
    <row r="4637">
      <c r="A4637" s="4"/>
      <c r="B4637" s="4"/>
      <c r="C4637" s="4"/>
      <c r="D4637" s="13"/>
      <c r="E4637" s="13"/>
      <c r="F4637" s="4"/>
    </row>
    <row r="4638">
      <c r="A4638" s="4"/>
      <c r="B4638" s="4"/>
      <c r="C4638" s="4"/>
      <c r="D4638" s="13"/>
      <c r="E4638" s="13"/>
      <c r="F4638" s="4"/>
    </row>
    <row r="4639">
      <c r="A4639" s="4"/>
      <c r="B4639" s="4"/>
      <c r="C4639" s="4"/>
      <c r="D4639" s="13"/>
      <c r="E4639" s="13"/>
      <c r="F4639" s="4"/>
    </row>
    <row r="4640">
      <c r="A4640" s="4"/>
      <c r="B4640" s="4"/>
      <c r="C4640" s="4"/>
      <c r="D4640" s="13"/>
      <c r="E4640" s="13"/>
      <c r="F4640" s="4"/>
    </row>
    <row r="4641">
      <c r="A4641" s="4"/>
      <c r="B4641" s="4"/>
      <c r="C4641" s="4"/>
      <c r="D4641" s="13"/>
      <c r="E4641" s="13"/>
      <c r="F4641" s="4"/>
    </row>
    <row r="4642">
      <c r="A4642" s="4"/>
      <c r="B4642" s="4"/>
      <c r="C4642" s="4"/>
      <c r="D4642" s="13"/>
      <c r="F4642" s="4"/>
    </row>
    <row r="4643">
      <c r="A4643" s="4"/>
      <c r="B4643" s="4"/>
      <c r="C4643" s="4"/>
      <c r="D4643" s="13"/>
      <c r="F4643" s="4"/>
    </row>
    <row r="4644">
      <c r="A4644" s="4"/>
      <c r="B4644" s="4"/>
      <c r="C4644" s="4"/>
      <c r="D4644" s="13"/>
      <c r="F4644" s="4"/>
    </row>
    <row r="4645">
      <c r="A4645" s="4"/>
      <c r="B4645" s="4"/>
      <c r="C4645" s="4"/>
      <c r="D4645" s="13"/>
      <c r="F4645" s="4"/>
    </row>
    <row r="4646">
      <c r="A4646" s="4"/>
      <c r="B4646" s="4"/>
      <c r="C4646" s="4"/>
      <c r="D4646" s="13"/>
      <c r="F4646" s="4"/>
    </row>
    <row r="4647">
      <c r="A4647" s="4"/>
      <c r="B4647" s="4"/>
      <c r="C4647" s="4"/>
      <c r="D4647" s="13"/>
      <c r="F4647" s="4"/>
    </row>
    <row r="4648">
      <c r="A4648" s="4"/>
      <c r="B4648" s="4"/>
      <c r="C4648" s="4"/>
      <c r="D4648" s="13"/>
      <c r="F4648" s="4"/>
    </row>
    <row r="4649">
      <c r="A4649" s="4"/>
      <c r="B4649" s="4"/>
      <c r="C4649" s="4"/>
      <c r="D4649" s="13"/>
      <c r="F4649" s="4"/>
    </row>
    <row r="4650">
      <c r="A4650" s="4"/>
      <c r="B4650" s="4"/>
      <c r="C4650" s="4"/>
      <c r="D4650" s="13"/>
      <c r="F4650" s="4"/>
    </row>
    <row r="4651">
      <c r="A4651" s="4"/>
      <c r="B4651" s="4"/>
      <c r="C4651" s="4"/>
      <c r="D4651" s="13"/>
      <c r="F4651" s="4"/>
    </row>
    <row r="4652">
      <c r="A4652" s="4"/>
      <c r="B4652" s="4"/>
      <c r="C4652" s="4"/>
      <c r="D4652" s="13"/>
      <c r="F4652" s="4"/>
    </row>
    <row r="4653">
      <c r="A4653" s="4"/>
      <c r="B4653" s="4"/>
      <c r="C4653" s="4"/>
      <c r="D4653" s="13"/>
      <c r="F4653" s="4"/>
    </row>
    <row r="4654">
      <c r="A4654" s="4"/>
      <c r="B4654" s="4"/>
      <c r="C4654" s="4"/>
      <c r="D4654" s="13"/>
      <c r="F4654" s="4"/>
    </row>
    <row r="4655">
      <c r="A4655" s="4"/>
      <c r="B4655" s="4"/>
      <c r="C4655" s="4"/>
      <c r="D4655" s="13"/>
      <c r="F4655" s="4"/>
    </row>
    <row r="4656">
      <c r="A4656" s="4"/>
      <c r="B4656" s="4"/>
      <c r="C4656" s="4"/>
      <c r="D4656" s="13"/>
      <c r="F4656" s="4"/>
    </row>
    <row r="4657">
      <c r="A4657" s="4"/>
      <c r="B4657" s="4"/>
      <c r="C4657" s="4"/>
      <c r="D4657" s="13"/>
      <c r="F4657" s="4"/>
    </row>
    <row r="4658">
      <c r="A4658" s="4"/>
      <c r="B4658" s="4"/>
      <c r="C4658" s="4"/>
      <c r="D4658" s="13"/>
      <c r="F4658" s="4"/>
    </row>
    <row r="4659">
      <c r="A4659" s="4"/>
      <c r="B4659" s="4"/>
      <c r="C4659" s="4"/>
      <c r="D4659" s="13"/>
      <c r="E4659" s="13"/>
      <c r="F4659" s="4"/>
    </row>
    <row r="4660">
      <c r="A4660" s="4"/>
      <c r="B4660" s="4"/>
      <c r="C4660" s="4"/>
      <c r="D4660" s="13"/>
      <c r="E4660" s="13"/>
      <c r="F4660" s="4"/>
    </row>
    <row r="4661">
      <c r="A4661" s="4"/>
      <c r="B4661" s="4"/>
      <c r="C4661" s="4"/>
      <c r="D4661" s="13"/>
      <c r="E4661" s="13"/>
      <c r="F4661" s="4"/>
    </row>
    <row r="4662">
      <c r="A4662" s="4"/>
      <c r="B4662" s="4"/>
      <c r="C4662" s="4"/>
      <c r="D4662" s="13"/>
      <c r="E4662" s="13"/>
      <c r="F4662" s="4"/>
    </row>
    <row r="4663">
      <c r="A4663" s="4"/>
      <c r="B4663" s="4"/>
      <c r="C4663" s="4"/>
      <c r="D4663" s="13"/>
      <c r="E4663" s="13"/>
      <c r="F4663" s="4"/>
    </row>
    <row r="4664">
      <c r="A4664" s="4"/>
      <c r="B4664" s="4"/>
      <c r="C4664" s="4"/>
      <c r="D4664" s="13"/>
      <c r="E4664" s="13"/>
      <c r="F4664" s="4"/>
    </row>
    <row r="4665">
      <c r="A4665" s="4"/>
      <c r="B4665" s="4"/>
      <c r="C4665" s="4"/>
      <c r="D4665" s="13"/>
      <c r="E4665" s="13"/>
      <c r="F4665" s="4"/>
    </row>
    <row r="4666">
      <c r="A4666" s="4"/>
      <c r="B4666" s="4"/>
      <c r="C4666" s="4"/>
      <c r="D4666" s="13"/>
      <c r="E4666" s="13"/>
      <c r="F4666" s="4"/>
    </row>
    <row r="4667">
      <c r="A4667" s="4"/>
      <c r="B4667" s="4"/>
      <c r="C4667" s="4"/>
      <c r="D4667" s="13"/>
      <c r="E4667" s="13"/>
      <c r="F4667" s="4"/>
    </row>
    <row r="4668">
      <c r="A4668" s="4"/>
      <c r="B4668" s="4"/>
      <c r="C4668" s="4"/>
      <c r="D4668" s="13"/>
      <c r="E4668" s="13"/>
      <c r="F4668" s="4"/>
    </row>
    <row r="4669">
      <c r="A4669" s="4"/>
      <c r="B4669" s="4"/>
      <c r="C4669" s="4"/>
      <c r="D4669" s="13"/>
      <c r="E4669" s="13"/>
      <c r="F4669" s="4"/>
    </row>
    <row r="4670">
      <c r="A4670" s="4"/>
      <c r="B4670" s="4"/>
      <c r="C4670" s="4"/>
      <c r="D4670" s="13"/>
      <c r="E4670" s="13"/>
      <c r="F4670" s="4"/>
    </row>
    <row r="4671">
      <c r="A4671" s="4"/>
      <c r="B4671" s="4"/>
      <c r="C4671" s="4"/>
      <c r="D4671" s="13"/>
      <c r="E4671" s="13"/>
      <c r="F4671" s="4"/>
    </row>
    <row r="4672">
      <c r="A4672" s="4"/>
      <c r="B4672" s="4"/>
      <c r="C4672" s="4"/>
      <c r="D4672" s="13"/>
      <c r="E4672" s="13"/>
      <c r="F4672" s="4"/>
    </row>
    <row r="4673">
      <c r="A4673" s="4"/>
      <c r="B4673" s="4"/>
      <c r="C4673" s="4"/>
      <c r="D4673" s="13"/>
      <c r="E4673" s="13"/>
      <c r="F4673" s="4"/>
    </row>
    <row r="4674">
      <c r="A4674" s="4"/>
      <c r="B4674" s="4"/>
      <c r="C4674" s="4"/>
      <c r="D4674" s="13"/>
      <c r="E4674" s="13"/>
      <c r="F4674" s="4"/>
    </row>
    <row r="4675">
      <c r="A4675" s="4"/>
      <c r="B4675" s="4"/>
      <c r="C4675" s="4"/>
      <c r="D4675" s="13"/>
      <c r="E4675" s="13"/>
      <c r="F4675" s="4"/>
    </row>
    <row r="4676">
      <c r="A4676" s="4"/>
      <c r="B4676" s="4"/>
      <c r="C4676" s="4"/>
      <c r="D4676" s="13"/>
      <c r="E4676" s="13"/>
      <c r="F4676" s="4"/>
    </row>
    <row r="4677">
      <c r="A4677" s="4"/>
      <c r="B4677" s="4"/>
      <c r="C4677" s="4"/>
      <c r="D4677" s="13"/>
      <c r="E4677" s="13"/>
      <c r="F4677" s="4"/>
    </row>
    <row r="4678">
      <c r="A4678" s="4"/>
      <c r="B4678" s="4"/>
      <c r="C4678" s="4"/>
      <c r="D4678" s="13"/>
      <c r="E4678" s="13"/>
      <c r="F4678" s="4"/>
    </row>
    <row r="4679">
      <c r="A4679" s="4"/>
      <c r="B4679" s="4"/>
      <c r="C4679" s="4"/>
      <c r="D4679" s="13"/>
      <c r="E4679" s="13"/>
      <c r="F4679" s="4"/>
    </row>
    <row r="4680">
      <c r="A4680" s="4"/>
      <c r="B4680" s="4"/>
      <c r="C4680" s="4"/>
      <c r="D4680" s="13"/>
      <c r="E4680" s="13"/>
      <c r="F4680" s="4"/>
    </row>
    <row r="4681">
      <c r="A4681" s="4"/>
      <c r="B4681" s="4"/>
      <c r="C4681" s="4"/>
      <c r="D4681" s="13"/>
      <c r="E4681" s="13"/>
      <c r="F4681" s="4"/>
    </row>
    <row r="4682">
      <c r="A4682" s="4"/>
      <c r="B4682" s="4"/>
      <c r="C4682" s="4"/>
      <c r="D4682" s="13"/>
      <c r="E4682" s="13"/>
      <c r="F4682" s="4"/>
    </row>
    <row r="4683">
      <c r="A4683" s="4"/>
      <c r="B4683" s="4"/>
      <c r="C4683" s="4"/>
      <c r="D4683" s="13"/>
      <c r="E4683" s="13"/>
      <c r="F4683" s="4"/>
    </row>
    <row r="4684">
      <c r="A4684" s="4"/>
      <c r="B4684" s="4"/>
      <c r="C4684" s="4"/>
      <c r="D4684" s="13"/>
      <c r="E4684" s="13"/>
      <c r="F4684" s="4"/>
    </row>
    <row r="4685">
      <c r="A4685" s="4"/>
      <c r="B4685" s="4"/>
      <c r="C4685" s="4"/>
      <c r="D4685" s="13"/>
      <c r="E4685" s="13"/>
      <c r="F4685" s="4"/>
    </row>
    <row r="4686">
      <c r="A4686" s="4"/>
      <c r="B4686" s="4"/>
      <c r="C4686" s="4"/>
      <c r="D4686" s="13"/>
      <c r="E4686" s="13"/>
      <c r="F4686" s="4"/>
    </row>
    <row r="4687">
      <c r="A4687" s="4"/>
      <c r="B4687" s="4"/>
      <c r="C4687" s="4"/>
      <c r="D4687" s="13"/>
      <c r="F4687" s="4"/>
    </row>
    <row r="4688">
      <c r="A4688" s="4"/>
      <c r="B4688" s="4"/>
      <c r="C4688" s="4"/>
      <c r="D4688" s="13"/>
      <c r="F4688" s="4"/>
    </row>
    <row r="4689">
      <c r="A4689" s="4"/>
      <c r="B4689" s="4"/>
      <c r="C4689" s="4"/>
      <c r="D4689" s="13"/>
      <c r="F4689" s="4"/>
    </row>
    <row r="4690">
      <c r="A4690" s="4"/>
      <c r="B4690" s="4"/>
      <c r="C4690" s="4"/>
      <c r="D4690" s="13"/>
      <c r="F4690" s="4"/>
    </row>
    <row r="4691">
      <c r="A4691" s="4"/>
      <c r="B4691" s="4"/>
      <c r="C4691" s="4"/>
      <c r="D4691" s="13"/>
      <c r="F4691" s="4"/>
    </row>
    <row r="4692">
      <c r="A4692" s="4"/>
      <c r="B4692" s="4"/>
      <c r="C4692" s="4"/>
      <c r="D4692" s="13"/>
      <c r="F4692" s="4"/>
    </row>
    <row r="4693">
      <c r="A4693" s="4"/>
      <c r="B4693" s="4"/>
      <c r="C4693" s="4"/>
      <c r="D4693" s="13"/>
      <c r="F4693" s="4"/>
    </row>
    <row r="4694">
      <c r="A4694" s="4"/>
      <c r="B4694" s="4"/>
      <c r="C4694" s="4"/>
      <c r="D4694" s="13"/>
      <c r="F4694" s="4"/>
    </row>
    <row r="4695">
      <c r="A4695" s="4"/>
      <c r="B4695" s="4"/>
      <c r="C4695" s="4"/>
      <c r="D4695" s="13"/>
      <c r="F4695" s="4"/>
    </row>
    <row r="4696">
      <c r="A4696" s="4"/>
      <c r="B4696" s="4"/>
      <c r="C4696" s="4"/>
      <c r="D4696" s="13"/>
      <c r="F4696" s="4"/>
    </row>
    <row r="4697">
      <c r="A4697" s="4"/>
      <c r="B4697" s="4"/>
      <c r="C4697" s="4"/>
      <c r="D4697" s="13"/>
      <c r="F4697" s="4"/>
    </row>
    <row r="4698">
      <c r="A4698" s="4"/>
      <c r="B4698" s="4"/>
      <c r="C4698" s="4"/>
      <c r="D4698" s="13"/>
      <c r="F4698" s="4"/>
    </row>
    <row r="4699">
      <c r="A4699" s="4"/>
      <c r="B4699" s="4"/>
      <c r="C4699" s="4"/>
      <c r="D4699" s="13"/>
      <c r="F4699" s="4"/>
    </row>
    <row r="4700">
      <c r="A4700" s="4"/>
      <c r="B4700" s="4"/>
      <c r="C4700" s="4"/>
      <c r="D4700" s="13"/>
      <c r="F4700" s="4"/>
    </row>
    <row r="4701">
      <c r="A4701" s="4"/>
      <c r="B4701" s="4"/>
      <c r="C4701" s="4"/>
      <c r="D4701" s="13"/>
      <c r="F4701" s="4"/>
    </row>
    <row r="4702">
      <c r="A4702" s="4"/>
      <c r="B4702" s="4"/>
      <c r="C4702" s="4"/>
      <c r="D4702" s="13"/>
      <c r="F4702" s="4"/>
    </row>
    <row r="4703">
      <c r="A4703" s="4"/>
      <c r="B4703" s="4"/>
      <c r="C4703" s="4"/>
      <c r="D4703" s="13"/>
      <c r="F4703" s="4"/>
    </row>
    <row r="4704">
      <c r="A4704" s="4"/>
      <c r="B4704" s="4"/>
      <c r="C4704" s="4"/>
      <c r="D4704" s="13"/>
      <c r="F4704" s="4"/>
    </row>
    <row r="4705">
      <c r="A4705" s="4"/>
      <c r="B4705" s="4"/>
      <c r="C4705" s="4"/>
      <c r="D4705" s="13"/>
      <c r="F4705" s="4"/>
    </row>
    <row r="4706">
      <c r="A4706" s="4"/>
      <c r="B4706" s="4"/>
      <c r="C4706" s="4"/>
      <c r="D4706" s="13"/>
      <c r="F4706" s="4"/>
    </row>
    <row r="4707">
      <c r="A4707" s="4"/>
      <c r="B4707" s="4"/>
      <c r="C4707" s="4"/>
      <c r="D4707" s="13"/>
      <c r="F4707" s="4"/>
    </row>
    <row r="4708">
      <c r="A4708" s="4"/>
      <c r="B4708" s="4"/>
      <c r="C4708" s="4"/>
      <c r="D4708" s="13"/>
      <c r="F4708" s="4"/>
    </row>
    <row r="4709">
      <c r="A4709" s="4"/>
      <c r="B4709" s="4"/>
      <c r="C4709" s="4"/>
      <c r="D4709" s="13"/>
      <c r="F4709" s="4"/>
    </row>
    <row r="4710">
      <c r="A4710" s="4"/>
      <c r="B4710" s="4"/>
      <c r="C4710" s="4"/>
      <c r="D4710" s="13"/>
      <c r="F4710" s="4"/>
    </row>
    <row r="4711">
      <c r="A4711" s="4"/>
      <c r="B4711" s="4"/>
      <c r="C4711" s="4"/>
      <c r="D4711" s="13"/>
      <c r="F4711" s="4"/>
    </row>
    <row r="4712">
      <c r="A4712" s="4"/>
      <c r="B4712" s="4"/>
      <c r="C4712" s="4"/>
      <c r="D4712" s="13"/>
      <c r="F4712" s="4"/>
    </row>
    <row r="4713">
      <c r="A4713" s="4"/>
      <c r="B4713" s="4"/>
      <c r="C4713" s="4"/>
      <c r="D4713" s="13"/>
      <c r="F4713" s="4"/>
    </row>
    <row r="4714">
      <c r="A4714" s="4"/>
      <c r="B4714" s="4"/>
      <c r="C4714" s="4"/>
      <c r="D4714" s="13"/>
      <c r="F4714" s="4"/>
    </row>
    <row r="4715">
      <c r="A4715" s="4"/>
      <c r="B4715" s="4"/>
      <c r="C4715" s="4"/>
      <c r="D4715" s="13"/>
      <c r="F4715" s="4"/>
    </row>
    <row r="4716">
      <c r="A4716" s="4"/>
      <c r="B4716" s="4"/>
      <c r="C4716" s="4"/>
      <c r="D4716" s="13"/>
      <c r="E4716" s="13"/>
      <c r="F4716" s="4"/>
    </row>
    <row r="4717">
      <c r="A4717" s="4"/>
      <c r="B4717" s="4"/>
      <c r="C4717" s="4"/>
      <c r="D4717" s="13"/>
      <c r="E4717" s="13"/>
      <c r="F4717" s="4"/>
    </row>
    <row r="4718">
      <c r="A4718" s="4"/>
      <c r="B4718" s="4"/>
      <c r="C4718" s="4"/>
      <c r="D4718" s="13"/>
      <c r="E4718" s="13"/>
      <c r="F4718" s="4"/>
    </row>
    <row r="4719">
      <c r="A4719" s="4"/>
      <c r="B4719" s="4"/>
      <c r="C4719" s="4"/>
      <c r="D4719" s="13"/>
      <c r="E4719" s="13"/>
      <c r="F4719" s="4"/>
    </row>
    <row r="4720">
      <c r="A4720" s="4"/>
      <c r="B4720" s="4"/>
      <c r="C4720" s="4"/>
      <c r="D4720" s="13"/>
      <c r="E4720" s="13"/>
      <c r="F4720" s="4"/>
    </row>
    <row r="4721">
      <c r="A4721" s="4"/>
      <c r="B4721" s="4"/>
      <c r="C4721" s="4"/>
      <c r="D4721" s="13"/>
      <c r="E4721" s="13"/>
      <c r="F4721" s="4"/>
    </row>
    <row r="4722">
      <c r="A4722" s="4"/>
      <c r="B4722" s="4"/>
      <c r="C4722" s="4"/>
      <c r="D4722" s="13"/>
      <c r="E4722" s="13"/>
      <c r="F4722" s="4"/>
    </row>
    <row r="4723">
      <c r="A4723" s="4"/>
      <c r="B4723" s="4"/>
      <c r="C4723" s="4"/>
      <c r="D4723" s="13"/>
      <c r="E4723" s="13"/>
      <c r="F4723" s="4"/>
    </row>
    <row r="4724">
      <c r="A4724" s="4"/>
      <c r="B4724" s="4"/>
      <c r="C4724" s="4"/>
      <c r="D4724" s="13"/>
      <c r="E4724" s="13"/>
      <c r="F4724" s="4"/>
    </row>
    <row r="4725">
      <c r="A4725" s="4"/>
      <c r="B4725" s="4"/>
      <c r="C4725" s="4"/>
      <c r="D4725" s="13"/>
      <c r="E4725" s="13"/>
      <c r="F4725" s="4"/>
    </row>
    <row r="4726">
      <c r="A4726" s="4"/>
      <c r="B4726" s="4"/>
      <c r="C4726" s="4"/>
      <c r="D4726" s="13"/>
      <c r="E4726" s="13"/>
      <c r="F4726" s="4"/>
    </row>
    <row r="4727">
      <c r="A4727" s="4"/>
      <c r="B4727" s="4"/>
      <c r="C4727" s="4"/>
      <c r="D4727" s="13"/>
      <c r="E4727" s="13"/>
      <c r="F4727" s="4"/>
    </row>
    <row r="4728">
      <c r="A4728" s="4"/>
      <c r="B4728" s="4"/>
      <c r="C4728" s="4"/>
      <c r="D4728" s="13"/>
      <c r="F4728" s="4"/>
    </row>
    <row r="4729">
      <c r="A4729" s="4"/>
      <c r="B4729" s="4"/>
      <c r="C4729" s="4"/>
      <c r="D4729" s="13"/>
      <c r="F4729" s="4"/>
    </row>
    <row r="4730">
      <c r="A4730" s="4"/>
      <c r="B4730" s="4"/>
      <c r="C4730" s="4"/>
      <c r="D4730" s="13"/>
      <c r="E4730" s="13"/>
      <c r="F4730" s="4"/>
    </row>
    <row r="4731">
      <c r="A4731" s="4"/>
      <c r="B4731" s="4"/>
      <c r="C4731" s="4"/>
      <c r="D4731" s="13"/>
      <c r="E4731" s="13"/>
      <c r="F4731" s="4"/>
    </row>
    <row r="4732">
      <c r="A4732" s="4"/>
      <c r="B4732" s="4"/>
      <c r="C4732" s="4"/>
      <c r="D4732" s="13"/>
      <c r="E4732" s="13"/>
      <c r="F4732" s="4"/>
    </row>
    <row r="4733">
      <c r="A4733" s="4"/>
      <c r="B4733" s="4"/>
      <c r="C4733" s="4"/>
      <c r="D4733" s="13"/>
      <c r="E4733" s="13"/>
      <c r="F4733" s="4"/>
    </row>
    <row r="4734">
      <c r="A4734" s="4"/>
      <c r="B4734" s="4"/>
      <c r="C4734" s="4"/>
      <c r="D4734" s="13"/>
      <c r="E4734" s="13"/>
      <c r="F4734" s="4"/>
    </row>
    <row r="4735">
      <c r="A4735" s="4"/>
      <c r="B4735" s="4"/>
      <c r="C4735" s="4"/>
      <c r="D4735" s="13"/>
      <c r="E4735" s="13"/>
      <c r="F4735" s="4"/>
    </row>
    <row r="4736">
      <c r="A4736" s="4"/>
      <c r="B4736" s="4"/>
      <c r="C4736" s="4"/>
      <c r="D4736" s="13"/>
      <c r="E4736" s="13"/>
      <c r="F4736" s="4"/>
    </row>
    <row r="4737">
      <c r="A4737" s="4"/>
      <c r="B4737" s="4"/>
      <c r="C4737" s="4"/>
      <c r="D4737" s="13"/>
      <c r="E4737" s="13"/>
      <c r="F4737" s="4"/>
    </row>
    <row r="4738">
      <c r="A4738" s="4"/>
      <c r="B4738" s="4"/>
      <c r="C4738" s="4"/>
      <c r="D4738" s="13"/>
      <c r="E4738" s="13"/>
      <c r="F4738" s="4"/>
    </row>
    <row r="4739">
      <c r="A4739" s="4"/>
      <c r="B4739" s="4"/>
      <c r="C4739" s="4"/>
      <c r="D4739" s="13"/>
      <c r="F4739" s="4"/>
    </row>
    <row r="4740">
      <c r="A4740" s="4"/>
      <c r="B4740" s="4"/>
      <c r="C4740" s="4"/>
      <c r="D4740" s="13"/>
      <c r="F4740" s="4"/>
    </row>
    <row r="4741">
      <c r="A4741" s="4"/>
      <c r="B4741" s="4"/>
      <c r="C4741" s="4"/>
      <c r="D4741" s="13"/>
      <c r="F4741" s="4"/>
    </row>
    <row r="4742">
      <c r="A4742" s="4"/>
      <c r="B4742" s="4"/>
      <c r="C4742" s="4"/>
      <c r="D4742" s="13"/>
      <c r="F4742" s="4"/>
    </row>
    <row r="4743">
      <c r="A4743" s="4"/>
      <c r="B4743" s="4"/>
      <c r="C4743" s="4"/>
      <c r="D4743" s="13"/>
      <c r="F4743" s="4"/>
    </row>
    <row r="4744">
      <c r="A4744" s="4"/>
      <c r="B4744" s="4"/>
      <c r="C4744" s="4"/>
      <c r="D4744" s="13"/>
      <c r="F4744" s="4"/>
    </row>
    <row r="4745">
      <c r="A4745" s="4"/>
      <c r="B4745" s="4"/>
      <c r="C4745" s="4"/>
      <c r="D4745" s="13"/>
      <c r="F4745" s="4"/>
    </row>
    <row r="4746">
      <c r="A4746" s="4"/>
      <c r="B4746" s="4"/>
      <c r="C4746" s="4"/>
      <c r="D4746" s="13"/>
      <c r="F4746" s="4"/>
    </row>
    <row r="4747">
      <c r="A4747" s="4"/>
      <c r="B4747" s="4"/>
      <c r="C4747" s="4"/>
      <c r="D4747" s="13"/>
      <c r="F4747" s="4"/>
    </row>
    <row r="4748">
      <c r="A4748" s="4"/>
      <c r="B4748" s="4"/>
      <c r="C4748" s="4"/>
      <c r="D4748" s="13"/>
      <c r="F4748" s="4"/>
    </row>
    <row r="4749">
      <c r="A4749" s="4"/>
      <c r="B4749" s="4"/>
      <c r="C4749" s="4"/>
      <c r="D4749" s="13"/>
      <c r="E4749" s="13"/>
      <c r="F4749" s="4"/>
    </row>
    <row r="4750">
      <c r="A4750" s="4"/>
      <c r="B4750" s="4"/>
      <c r="C4750" s="4"/>
      <c r="D4750" s="13"/>
      <c r="E4750" s="13"/>
      <c r="F4750" s="4"/>
    </row>
    <row r="4751">
      <c r="A4751" s="4"/>
      <c r="B4751" s="4"/>
      <c r="C4751" s="4"/>
      <c r="D4751" s="13"/>
      <c r="E4751" s="13"/>
      <c r="F4751" s="4"/>
    </row>
    <row r="4752">
      <c r="A4752" s="4"/>
      <c r="B4752" s="4"/>
      <c r="C4752" s="4"/>
      <c r="D4752" s="13"/>
      <c r="E4752" s="13"/>
      <c r="F4752" s="4"/>
    </row>
    <row r="4753">
      <c r="A4753" s="4"/>
      <c r="B4753" s="4"/>
      <c r="C4753" s="4"/>
      <c r="D4753" s="13"/>
      <c r="E4753" s="13"/>
      <c r="F4753" s="4"/>
    </row>
    <row r="4754">
      <c r="A4754" s="4"/>
      <c r="B4754" s="4"/>
      <c r="C4754" s="4"/>
      <c r="D4754" s="13"/>
      <c r="E4754" s="13"/>
      <c r="F4754" s="4"/>
    </row>
    <row r="4755">
      <c r="A4755" s="4"/>
      <c r="B4755" s="4"/>
      <c r="C4755" s="4"/>
      <c r="D4755" s="13"/>
      <c r="E4755" s="13"/>
      <c r="F4755" s="4"/>
    </row>
    <row r="4756">
      <c r="A4756" s="4"/>
      <c r="B4756" s="4"/>
      <c r="C4756" s="4"/>
      <c r="D4756" s="13"/>
      <c r="F4756" s="4"/>
    </row>
    <row r="4757">
      <c r="A4757" s="4"/>
      <c r="B4757" s="4"/>
      <c r="C4757" s="4"/>
      <c r="D4757" s="13"/>
      <c r="F4757" s="4"/>
    </row>
    <row r="4758">
      <c r="A4758" s="4"/>
      <c r="B4758" s="4"/>
      <c r="C4758" s="4"/>
      <c r="D4758" s="13"/>
      <c r="F4758" s="4"/>
    </row>
    <row r="4759">
      <c r="A4759" s="4"/>
      <c r="B4759" s="4"/>
      <c r="C4759" s="4"/>
      <c r="D4759" s="13"/>
      <c r="F4759" s="4"/>
    </row>
    <row r="4760">
      <c r="A4760" s="4"/>
      <c r="B4760" s="4"/>
      <c r="C4760" s="4"/>
      <c r="D4760" s="13"/>
      <c r="F4760" s="4"/>
    </row>
    <row r="4761">
      <c r="A4761" s="4"/>
      <c r="B4761" s="4"/>
      <c r="C4761" s="4"/>
      <c r="D4761" s="13"/>
      <c r="F4761" s="4"/>
    </row>
    <row r="4762">
      <c r="A4762" s="4"/>
      <c r="B4762" s="4"/>
      <c r="C4762" s="4"/>
      <c r="D4762" s="13"/>
      <c r="F4762" s="4"/>
    </row>
    <row r="4763">
      <c r="A4763" s="4"/>
      <c r="B4763" s="4"/>
      <c r="C4763" s="4"/>
      <c r="D4763" s="13"/>
      <c r="E4763" s="13"/>
      <c r="F4763" s="4"/>
    </row>
    <row r="4764">
      <c r="A4764" s="4"/>
      <c r="B4764" s="4"/>
      <c r="C4764" s="4"/>
      <c r="D4764" s="13"/>
      <c r="E4764" s="13"/>
      <c r="F4764" s="4"/>
    </row>
    <row r="4765">
      <c r="A4765" s="4"/>
      <c r="B4765" s="4"/>
      <c r="C4765" s="4"/>
      <c r="D4765" s="13"/>
      <c r="E4765" s="13"/>
      <c r="F4765" s="4"/>
    </row>
    <row r="4766">
      <c r="A4766" s="4"/>
      <c r="B4766" s="4"/>
      <c r="C4766" s="4"/>
      <c r="D4766" s="13"/>
      <c r="E4766" s="13"/>
      <c r="F4766" s="4"/>
    </row>
    <row r="4767">
      <c r="A4767" s="4"/>
      <c r="B4767" s="4"/>
      <c r="C4767" s="4"/>
      <c r="D4767" s="13"/>
      <c r="E4767" s="13"/>
      <c r="F4767" s="4"/>
    </row>
    <row r="4768">
      <c r="A4768" s="4"/>
      <c r="B4768" s="4"/>
      <c r="C4768" s="4"/>
      <c r="D4768" s="13"/>
      <c r="E4768" s="13"/>
      <c r="F4768" s="4"/>
    </row>
    <row r="4769">
      <c r="A4769" s="4"/>
      <c r="B4769" s="4"/>
      <c r="C4769" s="4"/>
      <c r="D4769" s="13"/>
      <c r="E4769" s="13"/>
      <c r="F4769" s="4"/>
    </row>
    <row r="4770">
      <c r="A4770" s="4"/>
      <c r="B4770" s="4"/>
      <c r="C4770" s="4"/>
      <c r="D4770" s="13"/>
      <c r="E4770" s="13"/>
      <c r="F4770" s="4"/>
    </row>
    <row r="4771">
      <c r="A4771" s="4"/>
      <c r="B4771" s="4"/>
      <c r="C4771" s="4"/>
      <c r="D4771" s="13"/>
      <c r="E4771" s="13"/>
      <c r="F4771" s="4"/>
    </row>
    <row r="4772">
      <c r="A4772" s="4"/>
      <c r="B4772" s="4"/>
      <c r="C4772" s="4"/>
      <c r="D4772" s="13"/>
      <c r="E4772" s="13"/>
      <c r="F4772" s="4"/>
    </row>
    <row r="4773">
      <c r="A4773" s="4"/>
      <c r="B4773" s="4"/>
      <c r="C4773" s="4"/>
      <c r="D4773" s="13"/>
      <c r="F4773" s="4"/>
    </row>
    <row r="4774">
      <c r="A4774" s="4"/>
      <c r="B4774" s="4"/>
      <c r="C4774" s="4"/>
      <c r="D4774" s="13"/>
      <c r="F4774" s="4"/>
    </row>
    <row r="4775">
      <c r="A4775" s="4"/>
      <c r="B4775" s="4"/>
      <c r="C4775" s="4"/>
      <c r="D4775" s="13"/>
      <c r="F4775" s="4"/>
    </row>
    <row r="4776">
      <c r="A4776" s="4"/>
      <c r="B4776" s="4"/>
      <c r="C4776" s="4"/>
      <c r="D4776" s="13"/>
      <c r="F4776" s="4"/>
    </row>
    <row r="4777">
      <c r="A4777" s="4"/>
      <c r="B4777" s="4"/>
      <c r="C4777" s="4"/>
      <c r="D4777" s="13"/>
      <c r="F4777" s="4"/>
    </row>
    <row r="4778">
      <c r="A4778" s="4"/>
      <c r="B4778" s="4"/>
      <c r="C4778" s="4"/>
      <c r="D4778" s="13"/>
      <c r="F4778" s="4"/>
    </row>
    <row r="4779">
      <c r="A4779" s="4"/>
      <c r="B4779" s="4"/>
      <c r="C4779" s="4"/>
      <c r="D4779" s="13"/>
      <c r="F4779" s="4"/>
    </row>
    <row r="4780">
      <c r="A4780" s="4"/>
      <c r="B4780" s="4"/>
      <c r="C4780" s="4"/>
      <c r="D4780" s="13"/>
      <c r="F4780" s="4"/>
    </row>
    <row r="4781">
      <c r="A4781" s="4"/>
      <c r="B4781" s="4"/>
      <c r="C4781" s="4"/>
      <c r="D4781" s="13"/>
      <c r="E4781" s="13"/>
      <c r="F4781" s="4"/>
    </row>
    <row r="4782">
      <c r="A4782" s="4"/>
      <c r="B4782" s="4"/>
      <c r="C4782" s="4"/>
      <c r="D4782" s="13"/>
      <c r="E4782" s="13"/>
      <c r="F4782" s="4"/>
    </row>
    <row r="4783">
      <c r="A4783" s="4"/>
      <c r="B4783" s="4"/>
      <c r="C4783" s="4"/>
      <c r="D4783" s="13"/>
      <c r="E4783" s="13"/>
      <c r="F4783" s="4"/>
    </row>
    <row r="4784">
      <c r="A4784" s="4"/>
      <c r="B4784" s="4"/>
      <c r="C4784" s="4"/>
      <c r="D4784" s="13"/>
      <c r="F4784" s="4"/>
    </row>
    <row r="4785">
      <c r="A4785" s="4"/>
      <c r="B4785" s="4"/>
      <c r="C4785" s="4"/>
      <c r="D4785" s="13"/>
      <c r="F4785" s="4"/>
    </row>
    <row r="4786">
      <c r="A4786" s="4"/>
      <c r="B4786" s="4"/>
      <c r="C4786" s="4"/>
      <c r="D4786" s="13"/>
      <c r="F4786" s="4"/>
    </row>
    <row r="4787">
      <c r="A4787" s="4"/>
      <c r="B4787" s="4"/>
      <c r="C4787" s="4"/>
      <c r="D4787" s="13"/>
      <c r="F4787" s="4"/>
    </row>
    <row r="4788">
      <c r="A4788" s="4"/>
      <c r="B4788" s="4"/>
      <c r="C4788" s="4"/>
      <c r="D4788" s="13"/>
      <c r="F4788" s="4"/>
    </row>
    <row r="4789">
      <c r="A4789" s="4"/>
      <c r="B4789" s="4"/>
      <c r="C4789" s="4"/>
      <c r="D4789" s="13"/>
      <c r="F4789" s="4"/>
    </row>
    <row r="4790">
      <c r="A4790" s="4"/>
      <c r="B4790" s="4"/>
      <c r="C4790" s="4"/>
      <c r="D4790" s="13"/>
      <c r="F4790" s="4"/>
    </row>
    <row r="4791">
      <c r="A4791" s="4"/>
      <c r="B4791" s="4"/>
      <c r="C4791" s="4"/>
      <c r="D4791" s="13"/>
      <c r="F4791" s="4"/>
    </row>
    <row r="4792">
      <c r="A4792" s="4"/>
      <c r="B4792" s="4"/>
      <c r="C4792" s="4"/>
      <c r="D4792" s="13"/>
      <c r="F4792" s="4"/>
    </row>
    <row r="4793">
      <c r="A4793" s="4"/>
      <c r="B4793" s="4"/>
      <c r="C4793" s="4"/>
      <c r="D4793" s="13"/>
      <c r="F4793" s="4"/>
    </row>
    <row r="4794">
      <c r="A4794" s="4"/>
      <c r="B4794" s="4"/>
      <c r="C4794" s="4"/>
      <c r="D4794" s="13"/>
      <c r="F4794" s="4"/>
    </row>
    <row r="4795">
      <c r="A4795" s="4"/>
      <c r="B4795" s="4"/>
      <c r="C4795" s="4"/>
      <c r="D4795" s="13"/>
      <c r="F4795" s="4"/>
    </row>
    <row r="4796">
      <c r="A4796" s="4"/>
      <c r="B4796" s="4"/>
      <c r="C4796" s="4"/>
      <c r="D4796" s="13"/>
      <c r="F4796" s="4"/>
    </row>
    <row r="4797">
      <c r="A4797" s="4"/>
      <c r="B4797" s="4"/>
      <c r="C4797" s="4"/>
      <c r="D4797" s="13"/>
      <c r="F4797" s="4"/>
    </row>
    <row r="4798">
      <c r="A4798" s="4"/>
      <c r="B4798" s="4"/>
      <c r="C4798" s="4"/>
      <c r="D4798" s="13"/>
      <c r="E4798" s="13"/>
      <c r="F4798" s="4"/>
    </row>
    <row r="4799">
      <c r="A4799" s="4"/>
      <c r="B4799" s="4"/>
      <c r="C4799" s="4"/>
      <c r="D4799" s="13"/>
      <c r="E4799" s="13"/>
      <c r="F4799" s="4"/>
    </row>
    <row r="4800">
      <c r="A4800" s="4"/>
      <c r="B4800" s="4"/>
      <c r="C4800" s="4"/>
      <c r="D4800" s="13"/>
      <c r="E4800" s="13"/>
      <c r="F4800" s="4"/>
    </row>
    <row r="4801">
      <c r="A4801" s="4"/>
      <c r="B4801" s="4"/>
      <c r="C4801" s="4"/>
      <c r="D4801" s="13"/>
      <c r="E4801" s="13"/>
      <c r="F4801" s="4"/>
    </row>
    <row r="4802">
      <c r="A4802" s="4"/>
      <c r="B4802" s="4"/>
      <c r="C4802" s="4"/>
      <c r="D4802" s="13"/>
      <c r="E4802" s="13"/>
      <c r="F4802" s="4"/>
    </row>
    <row r="4803">
      <c r="A4803" s="4"/>
      <c r="B4803" s="4"/>
      <c r="C4803" s="4"/>
      <c r="D4803" s="13"/>
      <c r="E4803" s="13"/>
      <c r="F4803" s="4"/>
    </row>
    <row r="4804">
      <c r="A4804" s="4"/>
      <c r="B4804" s="4"/>
      <c r="C4804" s="4"/>
      <c r="D4804" s="13"/>
      <c r="F4804" s="4"/>
    </row>
    <row r="4805">
      <c r="A4805" s="4"/>
      <c r="B4805" s="4"/>
      <c r="C4805" s="4"/>
      <c r="D4805" s="13"/>
      <c r="F4805" s="4"/>
    </row>
    <row r="4806">
      <c r="A4806" s="4"/>
      <c r="B4806" s="4"/>
      <c r="C4806" s="4"/>
      <c r="D4806" s="13"/>
      <c r="F4806" s="4"/>
    </row>
    <row r="4807">
      <c r="A4807" s="4"/>
      <c r="B4807" s="4"/>
      <c r="C4807" s="4"/>
      <c r="D4807" s="13"/>
      <c r="F4807" s="4"/>
    </row>
    <row r="4808">
      <c r="A4808" s="4"/>
      <c r="B4808" s="4"/>
      <c r="C4808" s="4"/>
      <c r="D4808" s="13"/>
      <c r="F4808" s="4"/>
    </row>
    <row r="4809">
      <c r="A4809" s="4"/>
      <c r="B4809" s="4"/>
      <c r="C4809" s="4"/>
      <c r="D4809" s="13"/>
      <c r="F4809" s="4"/>
    </row>
    <row r="4810">
      <c r="A4810" s="4"/>
      <c r="B4810" s="4"/>
      <c r="C4810" s="4"/>
      <c r="D4810" s="13"/>
      <c r="F4810" s="4"/>
    </row>
    <row r="4811">
      <c r="A4811" s="4"/>
      <c r="B4811" s="4"/>
      <c r="C4811" s="4"/>
      <c r="D4811" s="13"/>
      <c r="F4811" s="4"/>
    </row>
    <row r="4812">
      <c r="A4812" s="4"/>
      <c r="B4812" s="4"/>
      <c r="C4812" s="4"/>
      <c r="D4812" s="13"/>
      <c r="E4812" s="13"/>
      <c r="F4812" s="4"/>
    </row>
    <row r="4813">
      <c r="A4813" s="4"/>
      <c r="B4813" s="4"/>
      <c r="C4813" s="4"/>
      <c r="D4813" s="13"/>
      <c r="E4813" s="13"/>
      <c r="F4813" s="4"/>
    </row>
    <row r="4814">
      <c r="A4814" s="4"/>
      <c r="B4814" s="4"/>
      <c r="C4814" s="4"/>
      <c r="D4814" s="13"/>
      <c r="E4814" s="13"/>
      <c r="F4814" s="4"/>
    </row>
    <row r="4815">
      <c r="A4815" s="4"/>
      <c r="B4815" s="4"/>
      <c r="C4815" s="4"/>
      <c r="D4815" s="13"/>
      <c r="F4815" s="4"/>
    </row>
    <row r="4816">
      <c r="A4816" s="4"/>
      <c r="B4816" s="4"/>
      <c r="C4816" s="4"/>
      <c r="D4816" s="13"/>
      <c r="F4816" s="4"/>
    </row>
    <row r="4817">
      <c r="A4817" s="4"/>
      <c r="B4817" s="4"/>
      <c r="C4817" s="4"/>
      <c r="D4817" s="13"/>
      <c r="F4817" s="4"/>
    </row>
    <row r="4818">
      <c r="A4818" s="4"/>
      <c r="B4818" s="4"/>
      <c r="C4818" s="4"/>
      <c r="D4818" s="13"/>
      <c r="F4818" s="4"/>
    </row>
    <row r="4819">
      <c r="A4819" s="4"/>
      <c r="B4819" s="4"/>
      <c r="C4819" s="4"/>
      <c r="D4819" s="13"/>
      <c r="F4819" s="4"/>
    </row>
    <row r="4820">
      <c r="A4820" s="4"/>
      <c r="B4820" s="4"/>
      <c r="C4820" s="4"/>
      <c r="D4820" s="13"/>
      <c r="F4820" s="4"/>
    </row>
    <row r="4821">
      <c r="A4821" s="4"/>
      <c r="B4821" s="4"/>
      <c r="C4821" s="4"/>
      <c r="D4821" s="13"/>
      <c r="F4821" s="4"/>
    </row>
    <row r="4822">
      <c r="A4822" s="4"/>
      <c r="B4822" s="4"/>
      <c r="C4822" s="4"/>
      <c r="D4822" s="13"/>
      <c r="F4822" s="4"/>
    </row>
    <row r="4823">
      <c r="A4823" s="4"/>
      <c r="B4823" s="4"/>
      <c r="C4823" s="4"/>
      <c r="D4823" s="13"/>
      <c r="F4823" s="4"/>
    </row>
    <row r="4824">
      <c r="A4824" s="4"/>
      <c r="B4824" s="4"/>
      <c r="C4824" s="4"/>
      <c r="D4824" s="13"/>
      <c r="F4824" s="4"/>
    </row>
    <row r="4825">
      <c r="A4825" s="4"/>
      <c r="B4825" s="4"/>
      <c r="C4825" s="4"/>
      <c r="D4825" s="13"/>
      <c r="F4825" s="4"/>
    </row>
    <row r="4826">
      <c r="A4826" s="4"/>
      <c r="B4826" s="4"/>
      <c r="C4826" s="4"/>
      <c r="D4826" s="13"/>
      <c r="F4826" s="4"/>
    </row>
    <row r="4827">
      <c r="A4827" s="4"/>
      <c r="B4827" s="4"/>
      <c r="C4827" s="4"/>
      <c r="D4827" s="13"/>
      <c r="F4827" s="4"/>
    </row>
    <row r="4828">
      <c r="A4828" s="4"/>
      <c r="B4828" s="4"/>
      <c r="C4828" s="4"/>
      <c r="D4828" s="13"/>
      <c r="F4828" s="4"/>
    </row>
    <row r="4829">
      <c r="A4829" s="4"/>
      <c r="B4829" s="4"/>
      <c r="C4829" s="4"/>
      <c r="D4829" s="13"/>
      <c r="F4829" s="4"/>
    </row>
    <row r="4830">
      <c r="A4830" s="4"/>
      <c r="B4830" s="4"/>
      <c r="C4830" s="4"/>
      <c r="D4830" s="13"/>
      <c r="F4830" s="4"/>
    </row>
    <row r="4831">
      <c r="A4831" s="4"/>
      <c r="B4831" s="4"/>
      <c r="C4831" s="4"/>
      <c r="D4831" s="13"/>
      <c r="F4831" s="4"/>
    </row>
    <row r="4832">
      <c r="A4832" s="4"/>
      <c r="B4832" s="4"/>
      <c r="C4832" s="4"/>
      <c r="D4832" s="13"/>
      <c r="F4832" s="4"/>
    </row>
    <row r="4833">
      <c r="A4833" s="4"/>
      <c r="B4833" s="4"/>
      <c r="C4833" s="4"/>
      <c r="D4833" s="13"/>
      <c r="F4833" s="4"/>
    </row>
    <row r="4834">
      <c r="A4834" s="4"/>
      <c r="B4834" s="4"/>
      <c r="C4834" s="4"/>
      <c r="D4834" s="13"/>
      <c r="F4834" s="4"/>
    </row>
    <row r="4835">
      <c r="A4835" s="4"/>
      <c r="B4835" s="4"/>
      <c r="C4835" s="4"/>
      <c r="D4835" s="13"/>
      <c r="F4835" s="4"/>
    </row>
    <row r="4836">
      <c r="A4836" s="4"/>
      <c r="B4836" s="4"/>
      <c r="C4836" s="4"/>
      <c r="D4836" s="13"/>
      <c r="F4836" s="4"/>
    </row>
    <row r="4837">
      <c r="A4837" s="4"/>
      <c r="B4837" s="4"/>
      <c r="C4837" s="4"/>
      <c r="D4837" s="13"/>
      <c r="F4837" s="4"/>
    </row>
    <row r="4838">
      <c r="A4838" s="4"/>
      <c r="B4838" s="4"/>
      <c r="C4838" s="4"/>
      <c r="D4838" s="13"/>
      <c r="F4838" s="4"/>
    </row>
    <row r="4839">
      <c r="A4839" s="4"/>
      <c r="B4839" s="4"/>
      <c r="C4839" s="4"/>
      <c r="D4839" s="13"/>
      <c r="F4839" s="4"/>
    </row>
    <row r="4840">
      <c r="A4840" s="4"/>
      <c r="B4840" s="4"/>
      <c r="C4840" s="4"/>
      <c r="D4840" s="13"/>
      <c r="F4840" s="4"/>
    </row>
    <row r="4841">
      <c r="A4841" s="4"/>
      <c r="B4841" s="4"/>
      <c r="C4841" s="4"/>
      <c r="D4841" s="13"/>
      <c r="F4841" s="4"/>
    </row>
    <row r="4842">
      <c r="A4842" s="4"/>
      <c r="B4842" s="4"/>
      <c r="C4842" s="4"/>
      <c r="D4842" s="13"/>
      <c r="F4842" s="4"/>
    </row>
    <row r="4843">
      <c r="A4843" s="4"/>
      <c r="B4843" s="4"/>
      <c r="C4843" s="4"/>
      <c r="D4843" s="13"/>
      <c r="F4843" s="4"/>
    </row>
    <row r="4844">
      <c r="A4844" s="4"/>
      <c r="B4844" s="4"/>
      <c r="C4844" s="4"/>
      <c r="D4844" s="13"/>
      <c r="F4844" s="4"/>
    </row>
    <row r="4845">
      <c r="A4845" s="4"/>
      <c r="B4845" s="4"/>
      <c r="C4845" s="4"/>
      <c r="D4845" s="13"/>
      <c r="F4845" s="4"/>
    </row>
    <row r="4846">
      <c r="A4846" s="4"/>
      <c r="B4846" s="4"/>
      <c r="C4846" s="4"/>
      <c r="D4846" s="13"/>
      <c r="F4846" s="4"/>
    </row>
    <row r="4847">
      <c r="A4847" s="4"/>
      <c r="B4847" s="4"/>
      <c r="C4847" s="4"/>
      <c r="D4847" s="13"/>
      <c r="F4847" s="4"/>
    </row>
    <row r="4848">
      <c r="A4848" s="4"/>
      <c r="B4848" s="4"/>
      <c r="C4848" s="4"/>
      <c r="D4848" s="13"/>
      <c r="F4848" s="4"/>
    </row>
    <row r="4849">
      <c r="A4849" s="4"/>
      <c r="B4849" s="4"/>
      <c r="C4849" s="4"/>
      <c r="D4849" s="13"/>
      <c r="F4849" s="4"/>
    </row>
    <row r="4850">
      <c r="A4850" s="4"/>
      <c r="B4850" s="4"/>
      <c r="C4850" s="4"/>
      <c r="D4850" s="13"/>
      <c r="F4850" s="4"/>
    </row>
    <row r="4851">
      <c r="A4851" s="4"/>
      <c r="B4851" s="4"/>
      <c r="C4851" s="4"/>
      <c r="D4851" s="13"/>
      <c r="F4851" s="4"/>
    </row>
    <row r="4852">
      <c r="A4852" s="4"/>
      <c r="B4852" s="4"/>
      <c r="C4852" s="4"/>
      <c r="D4852" s="13"/>
      <c r="E4852" s="13"/>
      <c r="F4852" s="4"/>
    </row>
    <row r="4853">
      <c r="A4853" s="4"/>
      <c r="B4853" s="4"/>
      <c r="C4853" s="4"/>
      <c r="D4853" s="13"/>
      <c r="E4853" s="13"/>
      <c r="F4853" s="4"/>
    </row>
    <row r="4854">
      <c r="A4854" s="4"/>
      <c r="B4854" s="4"/>
      <c r="C4854" s="4"/>
      <c r="D4854" s="13"/>
      <c r="E4854" s="13"/>
      <c r="F4854" s="4"/>
    </row>
    <row r="4855">
      <c r="A4855" s="4"/>
      <c r="B4855" s="4"/>
      <c r="C4855" s="4"/>
      <c r="D4855" s="13"/>
      <c r="E4855" s="13"/>
      <c r="F4855" s="4"/>
    </row>
    <row r="4856">
      <c r="A4856" s="4"/>
      <c r="B4856" s="4"/>
      <c r="C4856" s="4"/>
      <c r="D4856" s="13"/>
      <c r="E4856" s="13"/>
      <c r="F4856" s="4"/>
    </row>
    <row r="4857">
      <c r="A4857" s="4"/>
      <c r="B4857" s="4"/>
      <c r="C4857" s="4"/>
      <c r="D4857" s="13"/>
      <c r="E4857" s="13"/>
      <c r="F4857" s="4"/>
    </row>
    <row r="4858">
      <c r="A4858" s="4"/>
      <c r="B4858" s="4"/>
      <c r="C4858" s="4"/>
      <c r="D4858" s="13"/>
      <c r="E4858" s="13"/>
      <c r="F4858" s="4"/>
    </row>
    <row r="4859">
      <c r="A4859" s="4"/>
      <c r="B4859" s="4"/>
      <c r="C4859" s="4"/>
      <c r="D4859" s="13"/>
      <c r="F4859" s="4"/>
    </row>
    <row r="4860">
      <c r="A4860" s="4"/>
      <c r="B4860" s="4"/>
      <c r="C4860" s="4"/>
      <c r="D4860" s="13"/>
      <c r="F4860" s="4"/>
    </row>
    <row r="4861">
      <c r="A4861" s="4"/>
      <c r="B4861" s="4"/>
      <c r="C4861" s="4"/>
      <c r="D4861" s="13"/>
      <c r="F4861" s="4"/>
    </row>
    <row r="4862">
      <c r="A4862" s="4"/>
      <c r="B4862" s="4"/>
      <c r="C4862" s="4"/>
      <c r="D4862" s="13"/>
      <c r="F4862" s="4"/>
    </row>
    <row r="4863">
      <c r="A4863" s="4"/>
      <c r="B4863" s="4"/>
      <c r="C4863" s="4"/>
      <c r="D4863" s="13"/>
      <c r="F4863" s="4"/>
    </row>
    <row r="4864">
      <c r="A4864" s="4"/>
      <c r="B4864" s="4"/>
      <c r="C4864" s="4"/>
      <c r="D4864" s="13"/>
      <c r="F4864" s="4"/>
    </row>
    <row r="4865">
      <c r="A4865" s="4"/>
      <c r="B4865" s="4"/>
      <c r="C4865" s="4"/>
      <c r="D4865" s="13"/>
      <c r="F4865" s="4"/>
    </row>
    <row r="4866">
      <c r="A4866" s="4"/>
      <c r="B4866" s="4"/>
      <c r="C4866" s="4"/>
      <c r="D4866" s="13"/>
      <c r="E4866" s="13"/>
      <c r="F4866" s="4"/>
    </row>
    <row r="4867">
      <c r="A4867" s="4"/>
      <c r="B4867" s="4"/>
      <c r="C4867" s="4"/>
      <c r="D4867" s="13"/>
      <c r="E4867" s="13"/>
      <c r="F4867" s="4"/>
    </row>
    <row r="4868">
      <c r="A4868" s="4"/>
      <c r="B4868" s="4"/>
      <c r="C4868" s="4"/>
      <c r="D4868" s="13"/>
      <c r="E4868" s="13"/>
      <c r="F4868" s="4"/>
    </row>
    <row r="4869">
      <c r="A4869" s="4"/>
      <c r="B4869" s="4"/>
      <c r="C4869" s="4"/>
      <c r="D4869" s="13"/>
      <c r="E4869" s="13"/>
      <c r="F4869" s="4"/>
    </row>
    <row r="4870">
      <c r="A4870" s="4"/>
      <c r="B4870" s="4"/>
      <c r="C4870" s="4"/>
      <c r="D4870" s="13"/>
      <c r="F4870" s="4"/>
    </row>
    <row r="4871">
      <c r="A4871" s="4"/>
      <c r="B4871" s="4"/>
      <c r="C4871" s="4"/>
      <c r="D4871" s="13"/>
      <c r="F4871" s="4"/>
    </row>
    <row r="4872">
      <c r="A4872" s="4"/>
      <c r="B4872" s="4"/>
      <c r="C4872" s="4"/>
      <c r="D4872" s="13"/>
      <c r="F4872" s="4"/>
    </row>
    <row r="4873">
      <c r="A4873" s="4"/>
      <c r="B4873" s="4"/>
      <c r="C4873" s="4"/>
      <c r="D4873" s="13"/>
      <c r="F4873" s="4"/>
    </row>
    <row r="4874">
      <c r="A4874" s="4"/>
      <c r="B4874" s="4"/>
      <c r="C4874" s="4"/>
      <c r="D4874" s="13"/>
      <c r="F4874" s="4"/>
    </row>
    <row r="4875">
      <c r="A4875" s="4"/>
      <c r="B4875" s="4"/>
      <c r="C4875" s="4"/>
      <c r="D4875" s="13"/>
      <c r="F4875" s="4"/>
    </row>
    <row r="4876">
      <c r="A4876" s="4"/>
      <c r="B4876" s="4"/>
      <c r="C4876" s="4"/>
      <c r="D4876" s="13"/>
      <c r="F4876" s="4"/>
    </row>
    <row r="4877">
      <c r="A4877" s="4"/>
      <c r="B4877" s="4"/>
      <c r="C4877" s="4"/>
      <c r="D4877" s="13"/>
      <c r="F4877" s="4"/>
    </row>
    <row r="4878">
      <c r="A4878" s="4"/>
      <c r="B4878" s="4"/>
      <c r="C4878" s="4"/>
      <c r="D4878" s="13"/>
      <c r="F4878" s="4"/>
    </row>
    <row r="4879">
      <c r="A4879" s="4"/>
      <c r="B4879" s="4"/>
      <c r="C4879" s="4"/>
      <c r="D4879" s="13"/>
      <c r="F4879" s="4"/>
    </row>
    <row r="4880">
      <c r="A4880" s="4"/>
      <c r="B4880" s="4"/>
      <c r="C4880" s="4"/>
      <c r="D4880" s="13"/>
      <c r="F4880" s="4"/>
    </row>
    <row r="4881">
      <c r="A4881" s="4"/>
      <c r="B4881" s="4"/>
      <c r="C4881" s="4"/>
      <c r="D4881" s="13"/>
      <c r="F4881" s="4"/>
    </row>
    <row r="4882">
      <c r="A4882" s="4"/>
      <c r="B4882" s="4"/>
      <c r="C4882" s="4"/>
      <c r="D4882" s="13"/>
      <c r="F4882" s="4"/>
    </row>
    <row r="4883">
      <c r="A4883" s="4"/>
      <c r="B4883" s="4"/>
      <c r="C4883" s="4"/>
      <c r="D4883" s="13"/>
      <c r="F4883" s="4"/>
    </row>
    <row r="4884">
      <c r="A4884" s="4"/>
      <c r="B4884" s="4"/>
      <c r="C4884" s="4"/>
      <c r="D4884" s="13"/>
      <c r="F4884" s="4"/>
    </row>
    <row r="4885">
      <c r="A4885" s="4"/>
      <c r="B4885" s="4"/>
      <c r="C4885" s="4"/>
      <c r="D4885" s="13"/>
      <c r="F4885" s="4"/>
    </row>
    <row r="4886">
      <c r="A4886" s="4"/>
      <c r="B4886" s="4"/>
      <c r="C4886" s="4"/>
      <c r="D4886" s="13"/>
      <c r="F4886" s="4"/>
    </row>
    <row r="4887">
      <c r="A4887" s="4"/>
      <c r="B4887" s="4"/>
      <c r="C4887" s="4"/>
      <c r="D4887" s="13"/>
      <c r="F4887" s="4"/>
    </row>
    <row r="4888">
      <c r="A4888" s="4"/>
      <c r="B4888" s="4"/>
      <c r="C4888" s="4"/>
      <c r="D4888" s="13"/>
      <c r="F4888" s="4"/>
    </row>
    <row r="4889">
      <c r="A4889" s="4"/>
      <c r="B4889" s="4"/>
      <c r="C4889" s="4"/>
      <c r="D4889" s="13"/>
      <c r="F4889" s="4"/>
    </row>
    <row r="4890">
      <c r="A4890" s="4"/>
      <c r="B4890" s="4"/>
      <c r="C4890" s="4"/>
      <c r="D4890" s="13"/>
      <c r="F4890" s="4"/>
    </row>
    <row r="4891">
      <c r="A4891" s="4"/>
      <c r="B4891" s="4"/>
      <c r="C4891" s="4"/>
      <c r="D4891" s="13"/>
      <c r="F4891" s="4"/>
    </row>
    <row r="4892">
      <c r="A4892" s="4"/>
      <c r="B4892" s="4"/>
      <c r="C4892" s="4"/>
      <c r="D4892" s="13"/>
      <c r="F4892" s="4"/>
    </row>
    <row r="4893">
      <c r="A4893" s="4"/>
      <c r="B4893" s="4"/>
      <c r="C4893" s="4"/>
      <c r="D4893" s="13"/>
      <c r="F4893" s="4"/>
    </row>
    <row r="4894">
      <c r="A4894" s="4"/>
      <c r="B4894" s="4"/>
      <c r="C4894" s="4"/>
      <c r="D4894" s="13"/>
      <c r="F4894" s="4"/>
    </row>
    <row r="4895">
      <c r="A4895" s="4"/>
      <c r="B4895" s="4"/>
      <c r="C4895" s="4"/>
      <c r="D4895" s="13"/>
      <c r="E4895" s="13"/>
      <c r="F4895" s="4"/>
    </row>
    <row r="4896">
      <c r="A4896" s="4"/>
      <c r="B4896" s="4"/>
      <c r="C4896" s="4"/>
      <c r="D4896" s="13"/>
      <c r="E4896" s="13"/>
      <c r="F4896" s="4"/>
    </row>
    <row r="4897">
      <c r="A4897" s="4"/>
      <c r="B4897" s="4"/>
      <c r="C4897" s="4"/>
      <c r="D4897" s="13"/>
      <c r="E4897" s="13"/>
      <c r="F4897" s="4"/>
    </row>
    <row r="4898">
      <c r="A4898" s="4"/>
      <c r="B4898" s="4"/>
      <c r="C4898" s="4"/>
      <c r="D4898" s="13"/>
      <c r="E4898" s="13"/>
      <c r="F4898" s="4"/>
    </row>
    <row r="4899">
      <c r="A4899" s="4"/>
      <c r="B4899" s="4"/>
      <c r="C4899" s="4"/>
      <c r="D4899" s="13"/>
      <c r="E4899" s="13"/>
      <c r="F4899" s="4"/>
    </row>
    <row r="4900">
      <c r="A4900" s="4"/>
      <c r="B4900" s="4"/>
      <c r="C4900" s="4"/>
      <c r="D4900" s="13"/>
      <c r="E4900" s="13"/>
      <c r="F4900" s="4"/>
    </row>
    <row r="4901">
      <c r="A4901" s="4"/>
      <c r="B4901" s="4"/>
      <c r="C4901" s="4"/>
      <c r="D4901" s="13"/>
      <c r="E4901" s="13"/>
      <c r="F4901" s="4"/>
    </row>
    <row r="4902">
      <c r="A4902" s="4"/>
      <c r="B4902" s="4"/>
      <c r="C4902" s="4"/>
      <c r="D4902" s="13"/>
      <c r="E4902" s="13"/>
      <c r="F4902" s="4"/>
    </row>
    <row r="4903">
      <c r="A4903" s="4"/>
      <c r="B4903" s="4"/>
      <c r="C4903" s="4"/>
      <c r="D4903" s="13"/>
      <c r="E4903" s="13"/>
      <c r="F4903" s="4"/>
    </row>
    <row r="4904">
      <c r="A4904" s="4"/>
      <c r="B4904" s="4"/>
      <c r="C4904" s="4"/>
      <c r="D4904" s="13"/>
      <c r="E4904" s="13"/>
      <c r="F4904" s="4"/>
    </row>
    <row r="4905">
      <c r="A4905" s="4"/>
      <c r="B4905" s="4"/>
      <c r="C4905" s="4"/>
      <c r="D4905" s="13"/>
      <c r="E4905" s="13"/>
      <c r="F4905" s="4"/>
    </row>
    <row r="4906">
      <c r="A4906" s="4"/>
      <c r="B4906" s="4"/>
      <c r="C4906" s="4"/>
      <c r="D4906" s="13"/>
      <c r="E4906" s="13"/>
      <c r="F4906" s="4"/>
    </row>
    <row r="4907">
      <c r="A4907" s="4"/>
      <c r="B4907" s="4"/>
      <c r="C4907" s="4"/>
      <c r="D4907" s="13"/>
      <c r="E4907" s="13"/>
      <c r="F4907" s="4"/>
    </row>
    <row r="4908">
      <c r="A4908" s="4"/>
      <c r="B4908" s="4"/>
      <c r="C4908" s="4"/>
      <c r="D4908" s="13"/>
      <c r="E4908" s="13"/>
      <c r="F4908" s="4"/>
    </row>
    <row r="4909">
      <c r="A4909" s="4"/>
      <c r="B4909" s="4"/>
      <c r="C4909" s="4"/>
      <c r="D4909" s="13"/>
      <c r="E4909" s="13"/>
      <c r="F4909" s="4"/>
    </row>
    <row r="4910">
      <c r="A4910" s="4"/>
      <c r="B4910" s="4"/>
      <c r="C4910" s="4"/>
      <c r="D4910" s="13"/>
      <c r="E4910" s="13"/>
      <c r="F4910" s="4"/>
    </row>
    <row r="4911">
      <c r="A4911" s="4"/>
      <c r="B4911" s="4"/>
      <c r="C4911" s="4"/>
      <c r="D4911" s="13"/>
      <c r="E4911" s="13"/>
      <c r="F4911" s="4"/>
    </row>
    <row r="4912">
      <c r="A4912" s="4"/>
      <c r="B4912" s="4"/>
      <c r="C4912" s="4"/>
      <c r="D4912" s="13"/>
      <c r="F4912" s="4"/>
    </row>
    <row r="4913">
      <c r="A4913" s="4"/>
      <c r="B4913" s="4"/>
      <c r="C4913" s="4"/>
      <c r="D4913" s="13"/>
      <c r="F4913" s="4"/>
    </row>
    <row r="4914">
      <c r="A4914" s="4"/>
      <c r="B4914" s="4"/>
      <c r="C4914" s="4"/>
      <c r="D4914" s="13"/>
      <c r="F4914" s="4"/>
    </row>
    <row r="4915">
      <c r="A4915" s="4"/>
      <c r="B4915" s="4"/>
      <c r="C4915" s="4"/>
      <c r="D4915" s="13"/>
      <c r="F4915" s="4"/>
    </row>
    <row r="4916">
      <c r="A4916" s="4"/>
      <c r="B4916" s="4"/>
      <c r="C4916" s="4"/>
      <c r="D4916" s="13"/>
      <c r="F4916" s="4"/>
    </row>
    <row r="4917">
      <c r="A4917" s="4"/>
      <c r="B4917" s="4"/>
      <c r="C4917" s="4"/>
      <c r="D4917" s="13"/>
      <c r="F4917" s="4"/>
    </row>
    <row r="4918">
      <c r="A4918" s="4"/>
      <c r="B4918" s="4"/>
      <c r="C4918" s="4"/>
      <c r="D4918" s="13"/>
      <c r="F4918" s="4"/>
    </row>
    <row r="4919">
      <c r="A4919" s="4"/>
      <c r="B4919" s="4"/>
      <c r="C4919" s="4"/>
      <c r="D4919" s="13"/>
      <c r="F4919" s="4"/>
    </row>
    <row r="4920">
      <c r="A4920" s="4"/>
      <c r="B4920" s="4"/>
      <c r="C4920" s="4"/>
      <c r="D4920" s="13"/>
      <c r="E4920" s="13"/>
      <c r="F4920" s="4"/>
    </row>
    <row r="4921">
      <c r="A4921" s="4"/>
      <c r="B4921" s="4"/>
      <c r="C4921" s="4"/>
      <c r="D4921" s="13"/>
      <c r="E4921" s="13"/>
      <c r="F4921" s="4"/>
    </row>
    <row r="4922">
      <c r="A4922" s="4"/>
      <c r="B4922" s="4"/>
      <c r="C4922" s="4"/>
      <c r="D4922" s="13"/>
      <c r="E4922" s="13"/>
      <c r="F4922" s="4"/>
    </row>
    <row r="4923">
      <c r="A4923" s="4"/>
      <c r="B4923" s="4"/>
      <c r="C4923" s="4"/>
      <c r="D4923" s="13"/>
      <c r="F4923" s="4"/>
    </row>
    <row r="4924">
      <c r="A4924" s="4"/>
      <c r="B4924" s="4"/>
      <c r="C4924" s="4"/>
      <c r="D4924" s="13"/>
      <c r="F4924" s="4"/>
    </row>
    <row r="4925">
      <c r="A4925" s="4"/>
      <c r="B4925" s="4"/>
      <c r="C4925" s="4"/>
      <c r="D4925" s="13"/>
      <c r="F4925" s="4"/>
    </row>
    <row r="4926">
      <c r="A4926" s="4"/>
      <c r="B4926" s="4"/>
      <c r="C4926" s="4"/>
      <c r="D4926" s="13"/>
      <c r="F4926" s="4"/>
    </row>
    <row r="4927">
      <c r="A4927" s="4"/>
      <c r="B4927" s="4"/>
      <c r="C4927" s="4"/>
      <c r="D4927" s="13"/>
      <c r="F4927" s="4"/>
    </row>
    <row r="4928">
      <c r="A4928" s="4"/>
      <c r="B4928" s="4"/>
      <c r="C4928" s="4"/>
      <c r="D4928" s="13"/>
      <c r="F4928" s="4"/>
    </row>
    <row r="4929">
      <c r="A4929" s="4"/>
      <c r="B4929" s="4"/>
      <c r="C4929" s="4"/>
      <c r="D4929" s="13"/>
      <c r="F4929" s="4"/>
    </row>
    <row r="4930">
      <c r="A4930" s="4"/>
      <c r="B4930" s="4"/>
      <c r="C4930" s="4"/>
      <c r="D4930" s="13"/>
      <c r="F4930" s="4"/>
    </row>
    <row r="4931">
      <c r="A4931" s="4"/>
      <c r="B4931" s="4"/>
      <c r="C4931" s="4"/>
      <c r="D4931" s="13"/>
      <c r="F4931" s="4"/>
    </row>
    <row r="4932">
      <c r="A4932" s="4"/>
      <c r="B4932" s="4"/>
      <c r="C4932" s="4"/>
      <c r="D4932" s="13"/>
      <c r="F4932" s="4"/>
    </row>
    <row r="4933">
      <c r="A4933" s="4"/>
      <c r="B4933" s="4"/>
      <c r="C4933" s="4"/>
      <c r="D4933" s="13"/>
      <c r="F4933" s="4"/>
    </row>
    <row r="4934">
      <c r="A4934" s="4"/>
      <c r="B4934" s="4"/>
      <c r="C4934" s="4"/>
      <c r="D4934" s="13"/>
      <c r="F4934" s="4"/>
    </row>
    <row r="4935">
      <c r="A4935" s="4"/>
      <c r="B4935" s="4"/>
      <c r="C4935" s="4"/>
      <c r="D4935" s="13"/>
      <c r="F4935" s="4"/>
    </row>
    <row r="4936">
      <c r="A4936" s="4"/>
      <c r="B4936" s="4"/>
      <c r="C4936" s="4"/>
      <c r="D4936" s="13"/>
      <c r="F4936" s="4"/>
    </row>
    <row r="4937">
      <c r="A4937" s="4"/>
      <c r="B4937" s="4"/>
      <c r="C4937" s="4"/>
      <c r="D4937" s="13"/>
      <c r="F4937" s="4"/>
    </row>
    <row r="4938">
      <c r="A4938" s="4"/>
      <c r="B4938" s="4"/>
      <c r="C4938" s="4"/>
      <c r="D4938" s="13"/>
      <c r="F4938" s="4"/>
    </row>
    <row r="4939">
      <c r="A4939" s="4"/>
      <c r="B4939" s="4"/>
      <c r="C4939" s="4"/>
      <c r="D4939" s="13"/>
      <c r="F4939" s="4"/>
    </row>
    <row r="4940">
      <c r="A4940" s="4"/>
      <c r="B4940" s="4"/>
      <c r="C4940" s="4"/>
      <c r="D4940" s="13"/>
      <c r="F4940" s="4"/>
    </row>
    <row r="4941">
      <c r="A4941" s="4"/>
      <c r="B4941" s="4"/>
      <c r="C4941" s="4"/>
      <c r="D4941" s="13"/>
      <c r="F4941" s="4"/>
    </row>
    <row r="4942">
      <c r="A4942" s="4"/>
      <c r="B4942" s="4"/>
      <c r="C4942" s="4"/>
      <c r="D4942" s="13"/>
      <c r="F4942" s="4"/>
    </row>
    <row r="4943">
      <c r="A4943" s="4"/>
      <c r="B4943" s="4"/>
      <c r="C4943" s="4"/>
      <c r="D4943" s="13"/>
      <c r="F4943" s="4"/>
    </row>
    <row r="4944">
      <c r="A4944" s="4"/>
      <c r="B4944" s="4"/>
      <c r="C4944" s="4"/>
      <c r="D4944" s="13"/>
      <c r="F4944" s="4"/>
    </row>
    <row r="4945">
      <c r="A4945" s="4"/>
      <c r="B4945" s="4"/>
      <c r="C4945" s="4"/>
      <c r="D4945" s="13"/>
      <c r="F4945" s="4"/>
    </row>
    <row r="4946">
      <c r="A4946" s="4"/>
      <c r="B4946" s="4"/>
      <c r="C4946" s="4"/>
      <c r="D4946" s="13"/>
      <c r="F4946" s="4"/>
    </row>
    <row r="4947">
      <c r="A4947" s="4"/>
      <c r="B4947" s="4"/>
      <c r="C4947" s="4"/>
      <c r="D4947" s="13"/>
      <c r="F4947" s="4"/>
    </row>
    <row r="4948">
      <c r="A4948" s="4"/>
      <c r="B4948" s="4"/>
      <c r="C4948" s="4"/>
      <c r="D4948" s="13"/>
      <c r="F4948" s="4"/>
    </row>
    <row r="4949">
      <c r="A4949" s="4"/>
      <c r="B4949" s="4"/>
      <c r="C4949" s="4"/>
      <c r="D4949" s="13"/>
      <c r="F4949" s="4"/>
    </row>
    <row r="4950">
      <c r="A4950" s="4"/>
      <c r="B4950" s="4"/>
      <c r="C4950" s="4"/>
      <c r="D4950" s="13"/>
      <c r="F4950" s="4"/>
    </row>
    <row r="4951">
      <c r="A4951" s="4"/>
      <c r="B4951" s="4"/>
      <c r="C4951" s="4"/>
      <c r="D4951" s="13"/>
      <c r="F4951" s="4"/>
    </row>
    <row r="4952">
      <c r="A4952" s="4"/>
      <c r="B4952" s="4"/>
      <c r="C4952" s="4"/>
      <c r="D4952" s="13"/>
      <c r="F4952" s="4"/>
    </row>
    <row r="4953">
      <c r="A4953" s="4"/>
      <c r="B4953" s="4"/>
      <c r="C4953" s="4"/>
      <c r="D4953" s="13"/>
      <c r="F4953" s="4"/>
    </row>
    <row r="4954">
      <c r="A4954" s="4"/>
      <c r="B4954" s="4"/>
      <c r="C4954" s="4"/>
      <c r="D4954" s="13"/>
      <c r="F4954" s="4"/>
    </row>
    <row r="4955">
      <c r="A4955" s="4"/>
      <c r="B4955" s="4"/>
      <c r="C4955" s="4"/>
      <c r="D4955" s="13"/>
      <c r="F4955" s="4"/>
    </row>
    <row r="4956">
      <c r="A4956" s="4"/>
      <c r="B4956" s="4"/>
      <c r="C4956" s="4"/>
      <c r="D4956" s="13"/>
      <c r="F4956" s="4"/>
    </row>
    <row r="4957">
      <c r="A4957" s="4"/>
      <c r="B4957" s="4"/>
      <c r="C4957" s="4"/>
      <c r="D4957" s="13"/>
      <c r="F4957" s="4"/>
    </row>
    <row r="4958">
      <c r="A4958" s="4"/>
      <c r="B4958" s="4"/>
      <c r="C4958" s="4"/>
      <c r="D4958" s="13"/>
      <c r="F4958" s="4"/>
    </row>
    <row r="4959">
      <c r="A4959" s="4"/>
      <c r="B4959" s="4"/>
      <c r="C4959" s="4"/>
      <c r="D4959" s="13"/>
      <c r="F4959" s="4"/>
    </row>
    <row r="4960">
      <c r="A4960" s="4"/>
      <c r="B4960" s="4"/>
      <c r="C4960" s="4"/>
      <c r="D4960" s="13"/>
      <c r="F4960" s="4"/>
    </row>
    <row r="4961">
      <c r="A4961" s="4"/>
      <c r="B4961" s="4"/>
      <c r="C4961" s="4"/>
      <c r="D4961" s="13"/>
      <c r="F4961" s="4"/>
    </row>
    <row r="4962">
      <c r="A4962" s="4"/>
      <c r="B4962" s="4"/>
      <c r="C4962" s="4"/>
      <c r="D4962" s="13"/>
      <c r="F4962" s="4"/>
    </row>
    <row r="4963">
      <c r="A4963" s="4"/>
      <c r="B4963" s="4"/>
      <c r="C4963" s="4"/>
      <c r="D4963" s="13"/>
      <c r="F4963" s="4"/>
    </row>
    <row r="4964">
      <c r="A4964" s="4"/>
      <c r="B4964" s="4"/>
      <c r="C4964" s="4"/>
      <c r="D4964" s="13"/>
      <c r="F4964" s="4"/>
    </row>
    <row r="4965">
      <c r="A4965" s="4"/>
      <c r="B4965" s="4"/>
      <c r="C4965" s="4"/>
      <c r="D4965" s="13"/>
      <c r="F4965" s="4"/>
    </row>
    <row r="4966">
      <c r="A4966" s="4"/>
      <c r="B4966" s="4"/>
      <c r="C4966" s="4"/>
      <c r="D4966" s="13"/>
      <c r="F4966" s="4"/>
    </row>
    <row r="4967">
      <c r="A4967" s="4"/>
      <c r="B4967" s="4"/>
      <c r="C4967" s="4"/>
      <c r="D4967" s="13"/>
      <c r="F4967" s="4"/>
    </row>
    <row r="4968">
      <c r="A4968" s="4"/>
      <c r="B4968" s="4"/>
      <c r="C4968" s="4"/>
      <c r="D4968" s="13"/>
      <c r="F4968" s="4"/>
    </row>
    <row r="4969">
      <c r="A4969" s="4"/>
      <c r="B4969" s="4"/>
      <c r="C4969" s="4"/>
      <c r="D4969" s="13"/>
      <c r="F4969" s="4"/>
    </row>
    <row r="4970">
      <c r="A4970" s="4"/>
      <c r="B4970" s="4"/>
      <c r="C4970" s="4"/>
      <c r="D4970" s="13"/>
      <c r="F4970" s="4"/>
    </row>
    <row r="4971">
      <c r="A4971" s="4"/>
      <c r="B4971" s="4"/>
      <c r="C4971" s="4"/>
      <c r="D4971" s="13"/>
      <c r="F4971" s="4"/>
    </row>
    <row r="4972">
      <c r="A4972" s="4"/>
      <c r="B4972" s="4"/>
      <c r="C4972" s="4"/>
      <c r="D4972" s="13"/>
      <c r="F4972" s="4"/>
    </row>
    <row r="4973">
      <c r="A4973" s="4"/>
      <c r="B4973" s="4"/>
      <c r="C4973" s="4"/>
      <c r="D4973" s="13"/>
      <c r="F4973" s="4"/>
    </row>
    <row r="4974">
      <c r="A4974" s="4"/>
      <c r="B4974" s="4"/>
      <c r="C4974" s="4"/>
      <c r="D4974" s="13"/>
      <c r="F4974" s="4"/>
    </row>
    <row r="4975">
      <c r="A4975" s="4"/>
      <c r="B4975" s="4"/>
      <c r="C4975" s="4"/>
      <c r="D4975" s="13"/>
      <c r="F4975" s="4"/>
    </row>
    <row r="4976">
      <c r="A4976" s="4"/>
      <c r="B4976" s="4"/>
      <c r="C4976" s="4"/>
      <c r="D4976" s="13"/>
      <c r="F4976" s="4"/>
    </row>
    <row r="4977">
      <c r="A4977" s="4"/>
      <c r="B4977" s="4"/>
      <c r="C4977" s="4"/>
      <c r="D4977" s="13"/>
      <c r="F4977" s="4"/>
    </row>
    <row r="4978">
      <c r="A4978" s="4"/>
      <c r="B4978" s="4"/>
      <c r="C4978" s="4"/>
      <c r="D4978" s="13"/>
      <c r="F4978" s="4"/>
    </row>
    <row r="4979">
      <c r="A4979" s="4"/>
      <c r="B4979" s="4"/>
      <c r="C4979" s="4"/>
      <c r="D4979" s="13"/>
      <c r="F4979" s="4"/>
    </row>
    <row r="4980">
      <c r="A4980" s="4"/>
      <c r="B4980" s="4"/>
      <c r="C4980" s="4"/>
      <c r="D4980" s="13"/>
      <c r="F4980" s="4"/>
    </row>
    <row r="4981">
      <c r="A4981" s="4"/>
      <c r="B4981" s="4"/>
      <c r="C4981" s="4"/>
      <c r="D4981" s="13"/>
      <c r="F4981" s="4"/>
    </row>
    <row r="4982">
      <c r="A4982" s="4"/>
      <c r="B4982" s="4"/>
      <c r="C4982" s="4"/>
      <c r="D4982" s="13"/>
      <c r="F4982" s="4"/>
    </row>
    <row r="4983">
      <c r="A4983" s="4"/>
      <c r="B4983" s="4"/>
      <c r="C4983" s="4"/>
      <c r="D4983" s="13"/>
      <c r="F4983" s="4"/>
    </row>
    <row r="4984">
      <c r="A4984" s="4"/>
      <c r="B4984" s="4"/>
      <c r="C4984" s="4"/>
      <c r="D4984" s="13"/>
      <c r="F4984" s="4"/>
    </row>
    <row r="4985">
      <c r="A4985" s="4"/>
      <c r="B4985" s="4"/>
      <c r="C4985" s="4"/>
      <c r="D4985" s="13"/>
      <c r="F4985" s="4"/>
    </row>
    <row r="4986">
      <c r="A4986" s="4"/>
      <c r="B4986" s="4"/>
      <c r="C4986" s="4"/>
      <c r="D4986" s="13"/>
      <c r="F4986" s="4"/>
    </row>
    <row r="4987">
      <c r="A4987" s="4"/>
      <c r="B4987" s="4"/>
      <c r="C4987" s="4"/>
      <c r="D4987" s="13"/>
      <c r="F4987" s="4"/>
    </row>
    <row r="4988">
      <c r="A4988" s="4"/>
      <c r="B4988" s="4"/>
      <c r="C4988" s="4"/>
      <c r="D4988" s="13"/>
      <c r="F4988" s="4"/>
    </row>
    <row r="4989">
      <c r="A4989" s="4"/>
      <c r="B4989" s="4"/>
      <c r="C4989" s="4"/>
      <c r="D4989" s="13"/>
      <c r="F4989" s="4"/>
    </row>
    <row r="4990">
      <c r="A4990" s="4"/>
      <c r="B4990" s="4"/>
      <c r="C4990" s="4"/>
      <c r="D4990" s="13"/>
      <c r="F4990" s="4"/>
    </row>
    <row r="4991">
      <c r="A4991" s="4"/>
      <c r="B4991" s="4"/>
      <c r="C4991" s="4"/>
      <c r="D4991" s="13"/>
      <c r="F4991" s="4"/>
    </row>
    <row r="4992">
      <c r="A4992" s="4"/>
      <c r="B4992" s="4"/>
      <c r="C4992" s="4"/>
      <c r="D4992" s="13"/>
      <c r="F4992" s="4"/>
    </row>
    <row r="4993">
      <c r="A4993" s="4"/>
      <c r="B4993" s="4"/>
      <c r="C4993" s="4"/>
      <c r="D4993" s="13"/>
      <c r="F4993" s="4"/>
    </row>
    <row r="4994">
      <c r="A4994" s="4"/>
      <c r="B4994" s="4"/>
      <c r="C4994" s="4"/>
      <c r="D4994" s="13"/>
      <c r="F4994" s="4"/>
    </row>
    <row r="4995">
      <c r="A4995" s="4"/>
      <c r="B4995" s="4"/>
      <c r="C4995" s="4"/>
      <c r="D4995" s="13"/>
      <c r="F4995" s="4"/>
    </row>
    <row r="4996">
      <c r="A4996" s="4"/>
      <c r="B4996" s="4"/>
      <c r="C4996" s="4"/>
      <c r="D4996" s="13"/>
      <c r="F4996" s="4"/>
    </row>
    <row r="4997">
      <c r="A4997" s="4"/>
      <c r="B4997" s="4"/>
      <c r="C4997" s="4"/>
      <c r="D4997" s="13"/>
      <c r="F4997" s="4"/>
    </row>
    <row r="4998">
      <c r="A4998" s="4"/>
      <c r="B4998" s="4"/>
      <c r="C4998" s="4"/>
      <c r="D4998" s="13"/>
      <c r="F4998" s="4"/>
    </row>
    <row r="4999">
      <c r="A4999" s="4"/>
      <c r="B4999" s="4"/>
      <c r="C4999" s="4"/>
      <c r="D4999" s="13"/>
      <c r="F4999" s="4"/>
    </row>
    <row r="5000">
      <c r="A5000" s="4"/>
      <c r="B5000" s="4"/>
      <c r="C5000" s="4"/>
      <c r="D5000" s="13"/>
      <c r="F5000" s="4"/>
    </row>
    <row r="5001">
      <c r="A5001" s="4"/>
      <c r="B5001" s="4"/>
      <c r="C5001" s="4"/>
      <c r="D5001" s="13"/>
      <c r="F5001" s="4"/>
    </row>
    <row r="5002">
      <c r="A5002" s="4"/>
      <c r="B5002" s="4"/>
      <c r="C5002" s="4"/>
      <c r="D5002" s="13"/>
      <c r="F5002" s="4"/>
    </row>
    <row r="5003">
      <c r="A5003" s="4"/>
      <c r="B5003" s="4"/>
      <c r="C5003" s="4"/>
      <c r="D5003" s="13"/>
      <c r="F5003" s="4"/>
    </row>
    <row r="5004">
      <c r="A5004" s="4"/>
      <c r="B5004" s="4"/>
      <c r="C5004" s="4"/>
      <c r="D5004" s="13"/>
      <c r="F5004" s="4"/>
    </row>
    <row r="5005">
      <c r="A5005" s="4"/>
      <c r="B5005" s="4"/>
      <c r="C5005" s="4"/>
      <c r="D5005" s="13"/>
      <c r="F5005" s="4"/>
    </row>
    <row r="5006">
      <c r="A5006" s="4"/>
      <c r="B5006" s="4"/>
      <c r="C5006" s="4"/>
      <c r="D5006" s="13"/>
      <c r="F5006" s="4"/>
    </row>
    <row r="5007">
      <c r="A5007" s="4"/>
      <c r="B5007" s="4"/>
      <c r="C5007" s="4"/>
      <c r="D5007" s="13"/>
      <c r="F5007" s="4"/>
    </row>
    <row r="5008">
      <c r="A5008" s="4"/>
      <c r="B5008" s="4"/>
      <c r="C5008" s="4"/>
      <c r="D5008" s="13"/>
      <c r="F5008" s="4"/>
    </row>
    <row r="5009">
      <c r="A5009" s="4"/>
      <c r="B5009" s="4"/>
      <c r="C5009" s="4"/>
      <c r="D5009" s="13"/>
      <c r="F5009" s="4"/>
    </row>
    <row r="5010">
      <c r="A5010" s="4"/>
      <c r="B5010" s="4"/>
      <c r="C5010" s="4"/>
      <c r="D5010" s="13"/>
      <c r="F5010" s="4"/>
    </row>
    <row r="5011">
      <c r="A5011" s="4"/>
      <c r="B5011" s="4"/>
      <c r="C5011" s="4"/>
      <c r="D5011" s="13"/>
      <c r="F5011" s="4"/>
    </row>
    <row r="5012">
      <c r="A5012" s="4"/>
      <c r="B5012" s="4"/>
      <c r="C5012" s="4"/>
      <c r="D5012" s="13"/>
      <c r="F5012" s="4"/>
    </row>
    <row r="5013">
      <c r="A5013" s="4"/>
      <c r="B5013" s="4"/>
      <c r="C5013" s="4"/>
      <c r="D5013" s="13"/>
      <c r="F5013" s="4"/>
    </row>
    <row r="5014">
      <c r="A5014" s="4"/>
      <c r="B5014" s="4"/>
      <c r="C5014" s="4"/>
      <c r="D5014" s="13"/>
      <c r="F5014" s="4"/>
    </row>
    <row r="5015">
      <c r="A5015" s="4"/>
      <c r="B5015" s="4"/>
      <c r="C5015" s="4"/>
      <c r="D5015" s="13"/>
      <c r="F5015" s="4"/>
    </row>
    <row r="5016">
      <c r="A5016" s="4"/>
      <c r="B5016" s="4"/>
      <c r="C5016" s="4"/>
      <c r="D5016" s="13"/>
      <c r="F5016" s="4"/>
    </row>
    <row r="5017">
      <c r="A5017" s="4"/>
      <c r="B5017" s="4"/>
      <c r="C5017" s="4"/>
      <c r="D5017" s="13"/>
      <c r="F5017" s="4"/>
    </row>
    <row r="5018">
      <c r="A5018" s="4"/>
      <c r="B5018" s="4"/>
      <c r="C5018" s="4"/>
      <c r="D5018" s="13"/>
      <c r="F5018" s="4"/>
    </row>
    <row r="5019">
      <c r="A5019" s="4"/>
      <c r="B5019" s="4"/>
      <c r="C5019" s="4"/>
      <c r="D5019" s="13"/>
      <c r="F5019" s="4"/>
    </row>
    <row r="5020">
      <c r="A5020" s="4"/>
      <c r="B5020" s="4"/>
      <c r="C5020" s="4"/>
      <c r="D5020" s="13"/>
      <c r="F5020" s="4"/>
    </row>
    <row r="5021">
      <c r="A5021" s="4"/>
      <c r="B5021" s="4"/>
      <c r="C5021" s="4"/>
      <c r="D5021" s="13"/>
      <c r="F5021" s="4"/>
    </row>
    <row r="5022">
      <c r="A5022" s="4"/>
      <c r="B5022" s="4"/>
      <c r="C5022" s="4"/>
      <c r="D5022" s="13"/>
      <c r="F5022" s="4"/>
    </row>
    <row r="5023">
      <c r="A5023" s="4"/>
      <c r="B5023" s="4"/>
      <c r="C5023" s="4"/>
      <c r="D5023" s="13"/>
      <c r="F5023" s="4"/>
    </row>
    <row r="5024">
      <c r="A5024" s="4"/>
      <c r="B5024" s="4"/>
      <c r="C5024" s="4"/>
      <c r="D5024" s="13"/>
      <c r="F5024" s="4"/>
    </row>
    <row r="5025">
      <c r="A5025" s="4"/>
      <c r="B5025" s="4"/>
      <c r="C5025" s="4"/>
      <c r="D5025" s="13"/>
      <c r="F5025" s="4"/>
    </row>
    <row r="5026">
      <c r="A5026" s="4"/>
      <c r="B5026" s="4"/>
      <c r="C5026" s="4"/>
      <c r="D5026" s="13"/>
      <c r="F5026" s="4"/>
    </row>
    <row r="5027">
      <c r="A5027" s="4"/>
      <c r="B5027" s="4"/>
      <c r="C5027" s="4"/>
      <c r="D5027" s="13"/>
      <c r="F5027" s="4"/>
    </row>
    <row r="5028">
      <c r="A5028" s="4"/>
      <c r="B5028" s="4"/>
      <c r="C5028" s="4"/>
      <c r="D5028" s="13"/>
      <c r="F5028" s="4"/>
    </row>
    <row r="5029">
      <c r="A5029" s="4"/>
      <c r="B5029" s="4"/>
      <c r="C5029" s="4"/>
      <c r="D5029" s="13"/>
      <c r="F5029" s="4"/>
    </row>
    <row r="5030">
      <c r="A5030" s="4"/>
      <c r="B5030" s="4"/>
      <c r="C5030" s="4"/>
      <c r="D5030" s="13"/>
      <c r="F5030" s="4"/>
    </row>
    <row r="5031">
      <c r="A5031" s="4"/>
      <c r="B5031" s="4"/>
      <c r="C5031" s="4"/>
      <c r="D5031" s="13"/>
      <c r="F5031" s="4"/>
    </row>
    <row r="5032">
      <c r="A5032" s="4"/>
      <c r="B5032" s="4"/>
      <c r="C5032" s="4"/>
      <c r="D5032" s="13"/>
      <c r="F5032" s="4"/>
    </row>
    <row r="5033">
      <c r="A5033" s="4"/>
      <c r="B5033" s="4"/>
      <c r="C5033" s="4"/>
      <c r="D5033" s="13"/>
      <c r="F5033" s="4"/>
    </row>
    <row r="5034">
      <c r="A5034" s="4"/>
      <c r="B5034" s="4"/>
      <c r="C5034" s="4"/>
      <c r="D5034" s="13"/>
      <c r="F5034" s="4"/>
    </row>
    <row r="5035">
      <c r="A5035" s="4"/>
      <c r="B5035" s="4"/>
      <c r="C5035" s="4"/>
      <c r="D5035" s="13"/>
      <c r="F5035" s="4"/>
    </row>
    <row r="5036">
      <c r="A5036" s="4"/>
      <c r="B5036" s="4"/>
      <c r="C5036" s="4"/>
      <c r="D5036" s="13"/>
      <c r="F5036" s="4"/>
    </row>
    <row r="5037">
      <c r="A5037" s="4"/>
      <c r="B5037" s="4"/>
      <c r="C5037" s="4"/>
      <c r="D5037" s="13"/>
      <c r="F5037" s="4"/>
    </row>
    <row r="5038">
      <c r="A5038" s="4"/>
      <c r="B5038" s="4"/>
      <c r="C5038" s="4"/>
      <c r="D5038" s="13"/>
      <c r="F5038" s="4"/>
    </row>
    <row r="5039">
      <c r="A5039" s="4"/>
      <c r="B5039" s="4"/>
      <c r="C5039" s="4"/>
      <c r="D5039" s="13"/>
      <c r="F5039" s="4"/>
    </row>
    <row r="5040">
      <c r="A5040" s="4"/>
      <c r="B5040" s="4"/>
      <c r="C5040" s="4"/>
      <c r="D5040" s="13"/>
      <c r="F5040" s="4"/>
    </row>
    <row r="5041">
      <c r="A5041" s="4"/>
      <c r="B5041" s="4"/>
      <c r="C5041" s="4"/>
      <c r="D5041" s="13"/>
      <c r="F5041" s="4"/>
    </row>
    <row r="5042">
      <c r="A5042" s="4"/>
      <c r="B5042" s="4"/>
      <c r="C5042" s="4"/>
      <c r="D5042" s="13"/>
      <c r="F5042" s="4"/>
    </row>
    <row r="5043">
      <c r="A5043" s="4"/>
      <c r="B5043" s="4"/>
      <c r="C5043" s="4"/>
      <c r="D5043" s="13"/>
      <c r="F5043" s="4"/>
    </row>
    <row r="5044">
      <c r="A5044" s="4"/>
      <c r="B5044" s="4"/>
      <c r="C5044" s="4"/>
      <c r="D5044" s="13"/>
      <c r="F5044" s="4"/>
    </row>
    <row r="5045">
      <c r="A5045" s="4"/>
      <c r="B5045" s="4"/>
      <c r="C5045" s="4"/>
      <c r="D5045" s="13"/>
      <c r="F5045" s="4"/>
    </row>
    <row r="5046">
      <c r="A5046" s="4"/>
      <c r="B5046" s="4"/>
      <c r="C5046" s="4"/>
      <c r="D5046" s="13"/>
      <c r="F5046" s="4"/>
    </row>
    <row r="5047">
      <c r="A5047" s="4"/>
      <c r="B5047" s="4"/>
      <c r="C5047" s="4"/>
      <c r="D5047" s="13"/>
      <c r="F5047" s="4"/>
    </row>
    <row r="5048">
      <c r="A5048" s="4"/>
      <c r="B5048" s="4"/>
      <c r="C5048" s="4"/>
      <c r="D5048" s="13"/>
      <c r="F5048" s="4"/>
    </row>
    <row r="5049">
      <c r="A5049" s="4"/>
      <c r="B5049" s="4"/>
      <c r="C5049" s="4"/>
      <c r="D5049" s="13"/>
      <c r="F5049" s="4"/>
    </row>
    <row r="5050">
      <c r="A5050" s="4"/>
      <c r="B5050" s="4"/>
      <c r="C5050" s="4"/>
      <c r="D5050" s="13"/>
      <c r="F5050" s="4"/>
    </row>
    <row r="5051">
      <c r="A5051" s="4"/>
      <c r="B5051" s="4"/>
      <c r="C5051" s="4"/>
      <c r="D5051" s="13"/>
      <c r="F5051" s="4"/>
    </row>
    <row r="5052">
      <c r="A5052" s="4"/>
      <c r="B5052" s="4"/>
      <c r="C5052" s="4"/>
      <c r="D5052" s="13"/>
      <c r="F5052" s="4"/>
    </row>
    <row r="5053">
      <c r="A5053" s="4"/>
      <c r="B5053" s="4"/>
      <c r="C5053" s="4"/>
      <c r="D5053" s="13"/>
      <c r="F5053" s="4"/>
    </row>
    <row r="5054">
      <c r="A5054" s="4"/>
      <c r="B5054" s="4"/>
      <c r="C5054" s="4"/>
      <c r="D5054" s="13"/>
      <c r="F5054" s="4"/>
    </row>
    <row r="5055">
      <c r="A5055" s="4"/>
      <c r="B5055" s="4"/>
      <c r="C5055" s="4"/>
      <c r="D5055" s="13"/>
      <c r="F5055" s="4"/>
    </row>
    <row r="5056">
      <c r="A5056" s="4"/>
      <c r="B5056" s="4"/>
      <c r="C5056" s="4"/>
      <c r="D5056" s="13"/>
      <c r="F5056" s="4"/>
    </row>
    <row r="5057">
      <c r="A5057" s="4"/>
      <c r="B5057" s="4"/>
      <c r="C5057" s="4"/>
      <c r="D5057" s="13"/>
      <c r="F5057" s="4"/>
    </row>
    <row r="5058">
      <c r="A5058" s="4"/>
      <c r="B5058" s="4"/>
      <c r="C5058" s="4"/>
      <c r="D5058" s="13"/>
      <c r="F5058" s="4"/>
    </row>
    <row r="5059">
      <c r="A5059" s="4"/>
      <c r="B5059" s="4"/>
      <c r="C5059" s="4"/>
      <c r="D5059" s="13"/>
      <c r="F5059" s="4"/>
    </row>
    <row r="5060">
      <c r="A5060" s="4"/>
      <c r="B5060" s="4"/>
      <c r="C5060" s="4"/>
      <c r="D5060" s="13"/>
      <c r="F5060" s="4"/>
    </row>
    <row r="5061">
      <c r="A5061" s="4"/>
      <c r="B5061" s="4"/>
      <c r="C5061" s="4"/>
      <c r="D5061" s="13"/>
      <c r="F5061" s="4"/>
    </row>
    <row r="5062">
      <c r="A5062" s="4"/>
      <c r="B5062" s="4"/>
      <c r="C5062" s="4"/>
      <c r="D5062" s="13"/>
      <c r="F5062" s="4"/>
    </row>
    <row r="5063">
      <c r="A5063" s="4"/>
      <c r="B5063" s="4"/>
      <c r="C5063" s="4"/>
      <c r="D5063" s="13"/>
      <c r="E5063" s="13"/>
      <c r="F5063" s="4"/>
    </row>
    <row r="5064">
      <c r="A5064" s="4"/>
      <c r="B5064" s="4"/>
      <c r="C5064" s="4"/>
      <c r="D5064" s="13"/>
      <c r="E5064" s="13"/>
      <c r="F5064" s="4"/>
    </row>
    <row r="5065">
      <c r="A5065" s="4"/>
      <c r="B5065" s="4"/>
      <c r="C5065" s="4"/>
      <c r="D5065" s="13"/>
      <c r="E5065" s="13"/>
      <c r="F5065" s="4"/>
    </row>
    <row r="5066">
      <c r="A5066" s="4"/>
      <c r="B5066" s="4"/>
      <c r="C5066" s="4"/>
      <c r="D5066" s="13"/>
      <c r="E5066" s="13"/>
      <c r="F5066" s="4"/>
    </row>
    <row r="5067">
      <c r="A5067" s="4"/>
      <c r="B5067" s="4"/>
      <c r="C5067" s="4"/>
      <c r="D5067" s="13"/>
      <c r="E5067" s="13"/>
      <c r="F5067" s="4"/>
    </row>
    <row r="5068">
      <c r="A5068" s="4"/>
      <c r="B5068" s="4"/>
      <c r="C5068" s="4"/>
      <c r="D5068" s="13"/>
      <c r="F5068" s="4"/>
    </row>
    <row r="5069">
      <c r="A5069" s="4"/>
      <c r="B5069" s="4"/>
      <c r="C5069" s="4"/>
      <c r="D5069" s="13"/>
      <c r="E5069" s="13"/>
      <c r="F5069" s="4"/>
    </row>
    <row r="5070">
      <c r="A5070" s="4"/>
      <c r="B5070" s="4"/>
      <c r="C5070" s="4"/>
      <c r="D5070" s="13"/>
      <c r="E5070" s="13"/>
      <c r="F5070" s="4"/>
    </row>
    <row r="5071">
      <c r="A5071" s="4"/>
      <c r="B5071" s="4"/>
      <c r="C5071" s="4"/>
      <c r="D5071" s="13"/>
      <c r="F5071" s="4"/>
    </row>
    <row r="5072">
      <c r="A5072" s="4"/>
      <c r="B5072" s="4"/>
      <c r="C5072" s="4"/>
      <c r="D5072" s="13"/>
      <c r="F5072" s="4"/>
    </row>
    <row r="5073">
      <c r="A5073" s="4"/>
      <c r="B5073" s="4"/>
      <c r="C5073" s="4"/>
      <c r="D5073" s="13"/>
      <c r="E5073" s="13"/>
      <c r="F5073" s="4"/>
    </row>
    <row r="5074">
      <c r="A5074" s="4"/>
      <c r="B5074" s="4"/>
      <c r="C5074" s="4"/>
      <c r="D5074" s="13"/>
      <c r="E5074" s="13"/>
      <c r="F5074" s="4"/>
    </row>
    <row r="5075">
      <c r="A5075" s="4"/>
      <c r="B5075" s="4"/>
      <c r="C5075" s="4"/>
      <c r="D5075" s="13"/>
      <c r="E5075" s="13"/>
      <c r="F5075" s="4"/>
    </row>
    <row r="5076">
      <c r="A5076" s="4"/>
      <c r="B5076" s="4"/>
      <c r="C5076" s="4"/>
      <c r="D5076" s="13"/>
      <c r="E5076" s="13"/>
      <c r="F5076" s="4"/>
    </row>
    <row r="5077">
      <c r="A5077" s="4"/>
      <c r="B5077" s="4"/>
      <c r="C5077" s="4"/>
      <c r="D5077" s="13"/>
      <c r="E5077" s="13"/>
      <c r="F5077" s="4"/>
    </row>
    <row r="5078">
      <c r="A5078" s="4"/>
      <c r="B5078" s="4"/>
      <c r="C5078" s="4"/>
      <c r="D5078" s="13"/>
      <c r="F5078" s="4"/>
    </row>
    <row r="5079">
      <c r="A5079" s="4"/>
      <c r="B5079" s="4"/>
      <c r="C5079" s="4"/>
      <c r="D5079" s="13"/>
      <c r="E5079" s="13"/>
      <c r="F5079" s="4"/>
    </row>
    <row r="5080">
      <c r="A5080" s="4"/>
      <c r="B5080" s="4"/>
      <c r="C5080" s="4"/>
      <c r="D5080" s="13"/>
      <c r="E5080" s="13"/>
      <c r="F5080" s="4"/>
    </row>
    <row r="5081">
      <c r="A5081" s="4"/>
      <c r="B5081" s="4"/>
      <c r="C5081" s="4"/>
      <c r="D5081" s="13"/>
      <c r="F5081" s="4"/>
    </row>
    <row r="5082">
      <c r="A5082" s="4"/>
      <c r="B5082" s="4"/>
      <c r="C5082" s="4"/>
      <c r="D5082" s="13"/>
      <c r="F5082" s="4"/>
    </row>
    <row r="5083">
      <c r="A5083" s="4"/>
      <c r="B5083" s="4"/>
      <c r="C5083" s="4"/>
      <c r="D5083" s="13"/>
      <c r="F5083" s="4"/>
    </row>
    <row r="5084">
      <c r="A5084" s="4"/>
      <c r="B5084" s="4"/>
      <c r="C5084" s="4"/>
      <c r="D5084" s="13"/>
      <c r="E5084" s="13"/>
      <c r="F5084" s="4"/>
    </row>
    <row r="5085">
      <c r="A5085" s="4"/>
      <c r="B5085" s="4"/>
      <c r="C5085" s="4"/>
      <c r="D5085" s="13"/>
      <c r="E5085" s="13"/>
      <c r="F5085" s="4"/>
    </row>
    <row r="5086">
      <c r="A5086" s="4"/>
      <c r="B5086" s="4"/>
      <c r="C5086" s="4"/>
      <c r="D5086" s="13"/>
      <c r="F5086" s="4"/>
    </row>
    <row r="5087">
      <c r="A5087" s="4"/>
      <c r="B5087" s="4"/>
      <c r="C5087" s="4"/>
      <c r="D5087" s="13"/>
      <c r="F5087" s="4"/>
    </row>
    <row r="5088">
      <c r="A5088" s="4"/>
      <c r="B5088" s="4"/>
      <c r="C5088" s="4"/>
      <c r="D5088" s="13"/>
      <c r="F5088" s="4"/>
    </row>
    <row r="5089">
      <c r="A5089" s="4"/>
      <c r="B5089" s="4"/>
      <c r="C5089" s="4"/>
      <c r="D5089" s="13"/>
      <c r="F5089" s="4"/>
    </row>
    <row r="5090">
      <c r="A5090" s="4"/>
      <c r="B5090" s="4"/>
      <c r="C5090" s="4"/>
      <c r="D5090" s="13"/>
      <c r="E5090" s="13"/>
      <c r="F5090" s="4"/>
    </row>
    <row r="5091">
      <c r="A5091" s="4"/>
      <c r="B5091" s="4"/>
      <c r="C5091" s="4"/>
      <c r="D5091" s="13"/>
      <c r="E5091" s="13"/>
      <c r="F5091" s="4"/>
    </row>
    <row r="5092">
      <c r="A5092" s="4"/>
      <c r="B5092" s="4"/>
      <c r="C5092" s="4"/>
      <c r="D5092" s="13"/>
      <c r="E5092" s="13"/>
      <c r="F5092" s="4"/>
    </row>
    <row r="5093">
      <c r="A5093" s="4"/>
      <c r="B5093" s="4"/>
      <c r="C5093" s="4"/>
      <c r="D5093" s="13"/>
      <c r="E5093" s="13"/>
      <c r="F5093" s="4"/>
    </row>
    <row r="5094">
      <c r="A5094" s="4"/>
      <c r="B5094" s="4"/>
      <c r="C5094" s="4"/>
      <c r="D5094" s="13"/>
      <c r="F5094" s="4"/>
    </row>
    <row r="5095">
      <c r="A5095" s="4"/>
      <c r="B5095" s="4"/>
      <c r="C5095" s="4"/>
      <c r="D5095" s="13"/>
      <c r="E5095" s="13"/>
      <c r="F5095" s="4"/>
    </row>
    <row r="5096">
      <c r="A5096" s="4"/>
      <c r="B5096" s="4"/>
      <c r="C5096" s="4"/>
      <c r="D5096" s="13"/>
      <c r="E5096" s="13"/>
      <c r="F5096" s="4"/>
    </row>
    <row r="5097">
      <c r="A5097" s="4"/>
      <c r="B5097" s="4"/>
      <c r="C5097" s="4"/>
      <c r="D5097" s="13"/>
      <c r="E5097" s="13"/>
      <c r="F5097" s="4"/>
    </row>
    <row r="5098">
      <c r="A5098" s="4"/>
      <c r="B5098" s="4"/>
      <c r="C5098" s="4"/>
      <c r="D5098" s="13"/>
      <c r="E5098" s="13"/>
      <c r="F5098" s="4"/>
    </row>
    <row r="5099">
      <c r="A5099" s="4"/>
      <c r="B5099" s="4"/>
      <c r="C5099" s="4"/>
      <c r="D5099" s="13"/>
      <c r="E5099" s="13"/>
      <c r="F5099" s="4"/>
    </row>
    <row r="5100">
      <c r="A5100" s="4"/>
      <c r="B5100" s="4"/>
      <c r="C5100" s="4"/>
      <c r="D5100" s="13"/>
      <c r="E5100" s="13"/>
      <c r="F5100" s="4"/>
    </row>
    <row r="5101">
      <c r="A5101" s="4"/>
      <c r="B5101" s="4"/>
      <c r="C5101" s="4"/>
      <c r="D5101" s="13"/>
      <c r="E5101" s="13"/>
      <c r="F5101" s="4"/>
    </row>
    <row r="5102">
      <c r="A5102" s="4"/>
      <c r="B5102" s="4"/>
      <c r="C5102" s="4"/>
      <c r="D5102" s="13"/>
      <c r="E5102" s="13"/>
      <c r="F5102" s="4"/>
    </row>
    <row r="5103">
      <c r="A5103" s="4"/>
      <c r="B5103" s="4"/>
      <c r="C5103" s="4"/>
      <c r="D5103" s="13"/>
      <c r="F5103" s="4"/>
    </row>
    <row r="5104">
      <c r="A5104" s="4"/>
      <c r="B5104" s="4"/>
      <c r="C5104" s="4"/>
      <c r="D5104" s="13"/>
      <c r="F5104" s="4"/>
    </row>
    <row r="5105">
      <c r="A5105" s="4"/>
      <c r="B5105" s="4"/>
      <c r="C5105" s="4"/>
      <c r="D5105" s="13"/>
      <c r="F5105" s="4"/>
    </row>
    <row r="5106">
      <c r="A5106" s="4"/>
      <c r="B5106" s="4"/>
      <c r="C5106" s="4"/>
      <c r="D5106" s="13"/>
      <c r="F5106" s="4"/>
    </row>
    <row r="5107">
      <c r="A5107" s="4"/>
      <c r="B5107" s="4"/>
      <c r="C5107" s="4"/>
      <c r="D5107" s="13"/>
      <c r="F5107" s="4"/>
    </row>
    <row r="5108">
      <c r="A5108" s="4"/>
      <c r="B5108" s="4"/>
      <c r="C5108" s="4"/>
      <c r="D5108" s="13"/>
      <c r="F5108" s="4"/>
    </row>
    <row r="5109">
      <c r="A5109" s="4"/>
      <c r="B5109" s="4"/>
      <c r="C5109" s="4"/>
      <c r="D5109" s="13"/>
      <c r="F5109" s="4"/>
    </row>
    <row r="5110">
      <c r="A5110" s="4"/>
      <c r="B5110" s="4"/>
      <c r="C5110" s="4"/>
      <c r="D5110" s="13"/>
      <c r="F5110" s="4"/>
    </row>
    <row r="5111">
      <c r="A5111" s="4"/>
      <c r="B5111" s="4"/>
      <c r="C5111" s="4"/>
      <c r="D5111" s="13"/>
      <c r="E5111" s="13"/>
      <c r="F5111" s="4"/>
    </row>
    <row r="5112">
      <c r="A5112" s="4"/>
      <c r="B5112" s="4"/>
      <c r="C5112" s="4"/>
      <c r="D5112" s="13"/>
      <c r="E5112" s="13"/>
      <c r="F5112" s="4"/>
    </row>
    <row r="5113">
      <c r="A5113" s="4"/>
      <c r="B5113" s="4"/>
      <c r="C5113" s="4"/>
      <c r="D5113" s="13"/>
      <c r="E5113" s="13"/>
      <c r="F5113" s="4"/>
    </row>
    <row r="5114">
      <c r="A5114" s="4"/>
      <c r="B5114" s="4"/>
      <c r="C5114" s="4"/>
      <c r="D5114" s="13"/>
      <c r="E5114" s="13"/>
      <c r="F5114" s="4"/>
    </row>
    <row r="5115">
      <c r="A5115" s="4"/>
      <c r="B5115" s="4"/>
      <c r="C5115" s="4"/>
      <c r="D5115" s="13"/>
      <c r="E5115" s="13"/>
      <c r="F5115" s="4"/>
    </row>
    <row r="5116">
      <c r="A5116" s="4"/>
      <c r="B5116" s="4"/>
      <c r="C5116" s="4"/>
      <c r="D5116" s="13"/>
      <c r="E5116" s="13"/>
      <c r="F5116" s="4"/>
    </row>
    <row r="5117">
      <c r="A5117" s="4"/>
      <c r="B5117" s="4"/>
      <c r="C5117" s="4"/>
      <c r="D5117" s="13"/>
      <c r="E5117" s="13"/>
      <c r="F5117" s="4"/>
    </row>
    <row r="5118">
      <c r="A5118" s="4"/>
      <c r="B5118" s="4"/>
      <c r="C5118" s="4"/>
      <c r="D5118" s="13"/>
      <c r="E5118" s="13"/>
      <c r="F5118" s="4"/>
    </row>
    <row r="5119">
      <c r="A5119" s="4"/>
      <c r="B5119" s="4"/>
      <c r="C5119" s="4"/>
      <c r="D5119" s="13"/>
      <c r="E5119" s="13"/>
      <c r="F5119" s="4"/>
    </row>
    <row r="5120">
      <c r="A5120" s="4"/>
      <c r="B5120" s="4"/>
      <c r="C5120" s="4"/>
      <c r="D5120" s="13"/>
      <c r="E5120" s="13"/>
      <c r="F5120" s="4"/>
    </row>
    <row r="5121">
      <c r="A5121" s="4"/>
      <c r="B5121" s="4"/>
      <c r="C5121" s="4"/>
      <c r="D5121" s="13"/>
      <c r="E5121" s="13"/>
      <c r="F5121" s="4"/>
    </row>
    <row r="5122">
      <c r="A5122" s="4"/>
      <c r="B5122" s="4"/>
      <c r="C5122" s="4"/>
      <c r="D5122" s="13"/>
      <c r="E5122" s="13"/>
      <c r="F5122" s="4"/>
    </row>
    <row r="5123">
      <c r="A5123" s="4"/>
      <c r="B5123" s="4"/>
      <c r="C5123" s="4"/>
      <c r="D5123" s="13"/>
      <c r="E5123" s="13"/>
      <c r="F5123" s="4"/>
    </row>
    <row r="5124">
      <c r="A5124" s="4"/>
      <c r="B5124" s="4"/>
      <c r="C5124" s="4"/>
      <c r="D5124" s="13"/>
      <c r="E5124" s="13"/>
      <c r="F5124" s="4"/>
    </row>
    <row r="5125">
      <c r="A5125" s="4"/>
      <c r="B5125" s="4"/>
      <c r="C5125" s="4"/>
      <c r="D5125" s="13"/>
      <c r="E5125" s="13"/>
      <c r="F5125" s="4"/>
    </row>
    <row r="5126">
      <c r="A5126" s="4"/>
      <c r="B5126" s="4"/>
      <c r="C5126" s="4"/>
      <c r="D5126" s="13"/>
      <c r="E5126" s="13"/>
      <c r="F5126" s="4"/>
    </row>
    <row r="5127">
      <c r="A5127" s="4"/>
      <c r="B5127" s="4"/>
      <c r="C5127" s="4"/>
      <c r="D5127" s="13"/>
      <c r="E5127" s="13"/>
      <c r="F5127" s="4"/>
    </row>
    <row r="5128">
      <c r="A5128" s="4"/>
      <c r="B5128" s="4"/>
      <c r="C5128" s="4"/>
      <c r="D5128" s="13"/>
      <c r="E5128" s="13"/>
      <c r="F5128" s="4"/>
    </row>
    <row r="5129">
      <c r="A5129" s="4"/>
      <c r="B5129" s="4"/>
      <c r="C5129" s="4"/>
      <c r="D5129" s="13"/>
      <c r="E5129" s="13"/>
      <c r="F5129" s="4"/>
    </row>
    <row r="5130">
      <c r="A5130" s="4"/>
      <c r="B5130" s="4"/>
      <c r="C5130" s="4"/>
      <c r="D5130" s="13"/>
      <c r="E5130" s="13"/>
      <c r="F5130" s="4"/>
    </row>
    <row r="5131">
      <c r="A5131" s="4"/>
      <c r="B5131" s="4"/>
      <c r="C5131" s="4"/>
      <c r="D5131" s="13"/>
      <c r="E5131" s="13"/>
      <c r="F5131" s="4"/>
    </row>
    <row r="5132">
      <c r="A5132" s="4"/>
      <c r="B5132" s="4"/>
      <c r="C5132" s="4"/>
      <c r="D5132" s="13"/>
      <c r="E5132" s="13"/>
      <c r="F5132" s="4"/>
    </row>
    <row r="5133">
      <c r="A5133" s="4"/>
      <c r="B5133" s="4"/>
      <c r="C5133" s="4"/>
      <c r="D5133" s="13"/>
      <c r="E5133" s="13"/>
      <c r="F5133" s="4"/>
    </row>
    <row r="5134">
      <c r="A5134" s="4"/>
      <c r="B5134" s="4"/>
      <c r="C5134" s="4"/>
      <c r="D5134" s="13"/>
      <c r="E5134" s="13"/>
      <c r="F5134" s="4"/>
    </row>
    <row r="5135">
      <c r="A5135" s="4"/>
      <c r="B5135" s="4"/>
      <c r="C5135" s="4"/>
      <c r="D5135" s="13"/>
      <c r="E5135" s="13"/>
      <c r="F5135" s="4"/>
    </row>
    <row r="5136">
      <c r="A5136" s="4"/>
      <c r="B5136" s="4"/>
      <c r="C5136" s="4"/>
      <c r="D5136" s="13"/>
      <c r="E5136" s="13"/>
      <c r="F5136" s="4"/>
    </row>
    <row r="5137">
      <c r="A5137" s="4"/>
      <c r="B5137" s="4"/>
      <c r="C5137" s="4"/>
      <c r="D5137" s="13"/>
      <c r="E5137" s="13"/>
      <c r="F5137" s="4"/>
    </row>
    <row r="5138">
      <c r="A5138" s="4"/>
      <c r="B5138" s="4"/>
      <c r="C5138" s="4"/>
      <c r="D5138" s="13"/>
      <c r="E5138" s="13"/>
      <c r="F5138" s="4"/>
    </row>
    <row r="5139">
      <c r="A5139" s="4"/>
      <c r="B5139" s="4"/>
      <c r="C5139" s="4"/>
      <c r="D5139" s="13"/>
      <c r="E5139" s="13"/>
      <c r="F5139" s="4"/>
    </row>
    <row r="5140">
      <c r="A5140" s="4"/>
      <c r="B5140" s="4"/>
      <c r="C5140" s="4"/>
      <c r="D5140" s="13"/>
      <c r="E5140" s="13"/>
      <c r="F5140" s="4"/>
    </row>
    <row r="5141">
      <c r="A5141" s="4"/>
      <c r="B5141" s="4"/>
      <c r="C5141" s="4"/>
      <c r="D5141" s="13"/>
      <c r="E5141" s="13"/>
      <c r="F5141" s="4"/>
    </row>
    <row r="5142">
      <c r="A5142" s="4"/>
      <c r="B5142" s="4"/>
      <c r="C5142" s="4"/>
      <c r="D5142" s="13"/>
      <c r="E5142" s="13"/>
      <c r="F5142" s="4"/>
    </row>
    <row r="5143">
      <c r="A5143" s="4"/>
      <c r="B5143" s="4"/>
      <c r="C5143" s="4"/>
      <c r="D5143" s="13"/>
      <c r="E5143" s="13"/>
      <c r="F5143" s="4"/>
    </row>
    <row r="5144">
      <c r="A5144" s="4"/>
      <c r="B5144" s="4"/>
      <c r="C5144" s="4"/>
      <c r="D5144" s="13"/>
      <c r="E5144" s="13"/>
      <c r="F5144" s="4"/>
    </row>
    <row r="5145">
      <c r="A5145" s="4"/>
      <c r="B5145" s="4"/>
      <c r="C5145" s="4"/>
      <c r="D5145" s="13"/>
      <c r="F5145" s="4"/>
    </row>
    <row r="5146">
      <c r="A5146" s="4"/>
      <c r="B5146" s="4"/>
      <c r="C5146" s="4"/>
      <c r="D5146" s="13"/>
      <c r="F5146" s="4"/>
    </row>
    <row r="5147">
      <c r="A5147" s="4"/>
      <c r="B5147" s="4"/>
      <c r="C5147" s="4"/>
      <c r="D5147" s="13"/>
      <c r="F5147" s="4"/>
    </row>
    <row r="5148">
      <c r="A5148" s="4"/>
      <c r="B5148" s="4"/>
      <c r="C5148" s="4"/>
      <c r="D5148" s="13"/>
      <c r="F5148" s="4"/>
    </row>
    <row r="5149">
      <c r="A5149" s="4"/>
      <c r="B5149" s="4"/>
      <c r="C5149" s="4"/>
      <c r="D5149" s="13"/>
      <c r="E5149" s="13"/>
      <c r="F5149" s="4"/>
    </row>
    <row r="5150">
      <c r="A5150" s="4"/>
      <c r="B5150" s="4"/>
      <c r="C5150" s="4"/>
      <c r="D5150" s="13"/>
      <c r="E5150" s="13"/>
      <c r="F5150" s="4"/>
    </row>
    <row r="5151">
      <c r="A5151" s="4"/>
      <c r="B5151" s="4"/>
      <c r="C5151" s="4"/>
      <c r="D5151" s="13"/>
      <c r="E5151" s="13"/>
      <c r="F5151" s="4"/>
    </row>
    <row r="5152">
      <c r="A5152" s="4"/>
      <c r="B5152" s="4"/>
      <c r="C5152" s="4"/>
      <c r="D5152" s="13"/>
      <c r="E5152" s="13"/>
      <c r="F5152" s="4"/>
    </row>
    <row r="5153">
      <c r="A5153" s="4"/>
      <c r="B5153" s="4"/>
      <c r="C5153" s="4"/>
      <c r="D5153" s="13"/>
      <c r="F5153" s="4"/>
    </row>
    <row r="5154">
      <c r="A5154" s="4"/>
      <c r="B5154" s="4"/>
      <c r="C5154" s="4"/>
      <c r="D5154" s="13"/>
      <c r="E5154" s="13"/>
      <c r="F5154" s="4"/>
    </row>
    <row r="5155">
      <c r="A5155" s="4"/>
      <c r="B5155" s="4"/>
      <c r="C5155" s="4"/>
      <c r="D5155" s="13"/>
      <c r="E5155" s="13"/>
      <c r="F5155" s="4"/>
    </row>
    <row r="5156">
      <c r="A5156" s="4"/>
      <c r="B5156" s="4"/>
      <c r="C5156" s="4"/>
      <c r="D5156" s="13"/>
      <c r="E5156" s="13"/>
      <c r="F5156" s="4"/>
    </row>
    <row r="5157">
      <c r="A5157" s="4"/>
      <c r="B5157" s="4"/>
      <c r="C5157" s="4"/>
      <c r="D5157" s="13"/>
      <c r="E5157" s="13"/>
      <c r="F5157" s="4"/>
    </row>
    <row r="5158">
      <c r="A5158" s="4"/>
      <c r="B5158" s="4"/>
      <c r="C5158" s="4"/>
      <c r="D5158" s="13"/>
      <c r="E5158" s="13"/>
      <c r="F5158" s="4"/>
    </row>
    <row r="5159">
      <c r="A5159" s="4"/>
      <c r="B5159" s="4"/>
      <c r="C5159" s="4"/>
      <c r="D5159" s="13"/>
      <c r="E5159" s="13"/>
      <c r="F5159" s="4"/>
    </row>
    <row r="5160">
      <c r="A5160" s="4"/>
      <c r="B5160" s="4"/>
      <c r="C5160" s="4"/>
      <c r="D5160" s="13"/>
      <c r="E5160" s="13"/>
      <c r="F5160" s="4"/>
    </row>
    <row r="5161">
      <c r="A5161" s="4"/>
      <c r="B5161" s="4"/>
      <c r="C5161" s="4"/>
      <c r="D5161" s="13"/>
      <c r="E5161" s="13"/>
      <c r="F5161" s="4"/>
    </row>
    <row r="5162">
      <c r="A5162" s="4"/>
      <c r="B5162" s="4"/>
      <c r="C5162" s="4"/>
      <c r="D5162" s="13"/>
      <c r="F5162" s="4"/>
    </row>
    <row r="5163">
      <c r="A5163" s="4"/>
      <c r="B5163" s="4"/>
      <c r="C5163" s="4"/>
      <c r="D5163" s="13"/>
      <c r="F5163" s="4"/>
    </row>
    <row r="5164">
      <c r="A5164" s="4"/>
      <c r="B5164" s="4"/>
      <c r="C5164" s="4"/>
      <c r="D5164" s="13"/>
      <c r="F5164" s="4"/>
    </row>
    <row r="5165">
      <c r="A5165" s="4"/>
      <c r="B5165" s="4"/>
      <c r="C5165" s="4"/>
      <c r="D5165" s="13"/>
      <c r="F5165" s="4"/>
    </row>
    <row r="5166">
      <c r="A5166" s="4"/>
      <c r="B5166" s="4"/>
      <c r="C5166" s="4"/>
      <c r="D5166" s="13"/>
      <c r="F5166" s="4"/>
    </row>
    <row r="5167">
      <c r="A5167" s="4"/>
      <c r="B5167" s="4"/>
      <c r="C5167" s="4"/>
      <c r="D5167" s="13"/>
      <c r="F5167" s="4"/>
    </row>
    <row r="5168">
      <c r="A5168" s="4"/>
      <c r="B5168" s="4"/>
      <c r="C5168" s="4"/>
      <c r="D5168" s="13"/>
      <c r="F5168" s="4"/>
    </row>
    <row r="5169">
      <c r="A5169" s="4"/>
      <c r="B5169" s="4"/>
      <c r="C5169" s="4"/>
      <c r="D5169" s="13"/>
      <c r="F5169" s="4"/>
    </row>
    <row r="5170">
      <c r="A5170" s="4"/>
      <c r="B5170" s="4"/>
      <c r="C5170" s="4"/>
      <c r="D5170" s="13"/>
      <c r="F5170" s="4"/>
    </row>
    <row r="5171">
      <c r="A5171" s="4"/>
      <c r="B5171" s="4"/>
      <c r="C5171" s="4"/>
      <c r="D5171" s="13"/>
      <c r="F5171" s="4"/>
    </row>
    <row r="5172">
      <c r="A5172" s="4"/>
      <c r="B5172" s="4"/>
      <c r="C5172" s="4"/>
      <c r="D5172" s="13"/>
      <c r="F5172" s="4"/>
    </row>
    <row r="5173">
      <c r="A5173" s="4"/>
      <c r="B5173" s="4"/>
      <c r="C5173" s="4"/>
      <c r="D5173" s="13"/>
      <c r="F5173" s="4"/>
    </row>
    <row r="5174">
      <c r="A5174" s="4"/>
      <c r="B5174" s="4"/>
      <c r="C5174" s="4"/>
      <c r="D5174" s="13"/>
      <c r="F5174" s="4"/>
    </row>
    <row r="5175">
      <c r="A5175" s="4"/>
      <c r="B5175" s="4"/>
      <c r="C5175" s="4"/>
      <c r="D5175" s="13"/>
      <c r="F5175" s="4"/>
    </row>
    <row r="5176">
      <c r="A5176" s="4"/>
      <c r="B5176" s="4"/>
      <c r="C5176" s="4"/>
      <c r="D5176" s="13"/>
      <c r="F5176" s="4"/>
    </row>
    <row r="5177">
      <c r="A5177" s="4"/>
      <c r="B5177" s="4"/>
      <c r="C5177" s="4"/>
      <c r="D5177" s="13"/>
      <c r="F5177" s="4"/>
    </row>
    <row r="5178">
      <c r="A5178" s="4"/>
      <c r="B5178" s="4"/>
      <c r="C5178" s="4"/>
      <c r="D5178" s="13"/>
      <c r="F5178" s="4"/>
    </row>
    <row r="5179">
      <c r="A5179" s="4"/>
      <c r="B5179" s="4"/>
      <c r="C5179" s="4"/>
      <c r="D5179" s="13"/>
      <c r="F5179" s="4"/>
    </row>
    <row r="5180">
      <c r="A5180" s="4"/>
      <c r="B5180" s="4"/>
      <c r="C5180" s="4"/>
      <c r="D5180" s="13"/>
      <c r="F5180" s="4"/>
    </row>
    <row r="5181">
      <c r="A5181" s="4"/>
      <c r="B5181" s="4"/>
      <c r="C5181" s="4"/>
      <c r="D5181" s="13"/>
      <c r="F5181" s="4"/>
    </row>
    <row r="5182">
      <c r="A5182" s="4"/>
      <c r="B5182" s="4"/>
      <c r="C5182" s="4"/>
      <c r="D5182" s="13"/>
      <c r="F5182" s="4"/>
    </row>
    <row r="5183">
      <c r="A5183" s="4"/>
      <c r="B5183" s="4"/>
      <c r="C5183" s="4"/>
      <c r="D5183" s="13"/>
      <c r="F5183" s="4"/>
    </row>
    <row r="5184">
      <c r="A5184" s="4"/>
      <c r="B5184" s="4"/>
      <c r="C5184" s="4"/>
      <c r="D5184" s="13"/>
      <c r="F5184" s="4"/>
    </row>
    <row r="5185">
      <c r="A5185" s="4"/>
      <c r="B5185" s="4"/>
      <c r="C5185" s="4"/>
      <c r="D5185" s="13"/>
      <c r="F5185" s="4"/>
    </row>
    <row r="5186">
      <c r="A5186" s="4"/>
      <c r="B5186" s="4"/>
      <c r="C5186" s="4"/>
      <c r="D5186" s="13"/>
      <c r="F5186" s="4"/>
    </row>
    <row r="5187">
      <c r="A5187" s="4"/>
      <c r="B5187" s="4"/>
      <c r="C5187" s="4"/>
      <c r="D5187" s="13"/>
      <c r="F5187" s="4"/>
    </row>
    <row r="5188">
      <c r="A5188" s="4"/>
      <c r="B5188" s="4"/>
      <c r="C5188" s="4"/>
      <c r="D5188" s="13"/>
      <c r="F5188" s="4"/>
    </row>
    <row r="5189">
      <c r="A5189" s="4"/>
      <c r="B5189" s="4"/>
      <c r="C5189" s="4"/>
      <c r="D5189" s="13"/>
      <c r="F5189" s="4"/>
    </row>
    <row r="5190">
      <c r="A5190" s="4"/>
      <c r="B5190" s="4"/>
      <c r="C5190" s="4"/>
      <c r="D5190" s="13"/>
      <c r="F5190" s="4"/>
    </row>
    <row r="5191">
      <c r="A5191" s="4"/>
      <c r="B5191" s="4"/>
      <c r="C5191" s="4"/>
      <c r="D5191" s="13"/>
      <c r="F5191" s="4"/>
    </row>
    <row r="5192">
      <c r="A5192" s="4"/>
      <c r="B5192" s="4"/>
      <c r="C5192" s="4"/>
      <c r="D5192" s="13"/>
      <c r="F5192" s="4"/>
    </row>
    <row r="5193">
      <c r="A5193" s="4"/>
      <c r="B5193" s="4"/>
      <c r="C5193" s="4"/>
      <c r="D5193" s="13"/>
      <c r="F5193" s="4"/>
    </row>
    <row r="5194">
      <c r="A5194" s="4"/>
      <c r="B5194" s="4"/>
      <c r="C5194" s="4"/>
      <c r="D5194" s="13"/>
      <c r="F5194" s="4"/>
    </row>
    <row r="5195">
      <c r="A5195" s="4"/>
      <c r="B5195" s="4"/>
      <c r="C5195" s="4"/>
      <c r="D5195" s="13"/>
      <c r="F5195" s="4"/>
    </row>
    <row r="5196">
      <c r="A5196" s="4"/>
      <c r="B5196" s="4"/>
      <c r="C5196" s="4"/>
      <c r="D5196" s="13"/>
      <c r="F5196" s="4"/>
    </row>
    <row r="5197">
      <c r="A5197" s="4"/>
      <c r="B5197" s="4"/>
      <c r="C5197" s="4"/>
      <c r="D5197" s="13"/>
      <c r="F5197" s="4"/>
    </row>
    <row r="5198">
      <c r="A5198" s="4"/>
      <c r="B5198" s="4"/>
      <c r="C5198" s="4"/>
      <c r="D5198" s="13"/>
      <c r="F5198" s="4"/>
    </row>
    <row r="5199">
      <c r="A5199" s="4"/>
      <c r="B5199" s="4"/>
      <c r="C5199" s="4"/>
      <c r="D5199" s="13"/>
      <c r="F5199" s="4"/>
    </row>
    <row r="5200">
      <c r="A5200" s="4"/>
      <c r="B5200" s="4"/>
      <c r="C5200" s="4"/>
      <c r="D5200" s="13"/>
      <c r="F5200" s="4"/>
    </row>
    <row r="5201">
      <c r="A5201" s="4"/>
      <c r="B5201" s="4"/>
      <c r="C5201" s="4"/>
      <c r="D5201" s="13"/>
      <c r="F5201" s="4"/>
    </row>
    <row r="5202">
      <c r="A5202" s="4"/>
      <c r="B5202" s="4"/>
      <c r="C5202" s="4"/>
      <c r="D5202" s="13"/>
      <c r="F5202" s="4"/>
    </row>
    <row r="5203">
      <c r="A5203" s="4"/>
      <c r="B5203" s="4"/>
      <c r="C5203" s="4"/>
      <c r="D5203" s="13"/>
      <c r="F5203" s="4"/>
    </row>
    <row r="5204">
      <c r="A5204" s="4"/>
      <c r="B5204" s="4"/>
      <c r="C5204" s="4"/>
      <c r="D5204" s="13"/>
      <c r="F5204" s="4"/>
    </row>
    <row r="5205">
      <c r="A5205" s="4"/>
      <c r="B5205" s="4"/>
      <c r="C5205" s="4"/>
      <c r="D5205" s="13"/>
      <c r="F5205" s="4"/>
    </row>
    <row r="5206">
      <c r="A5206" s="4"/>
      <c r="B5206" s="4"/>
      <c r="C5206" s="4"/>
      <c r="D5206" s="13"/>
      <c r="F5206" s="4"/>
    </row>
    <row r="5207">
      <c r="A5207" s="4"/>
      <c r="B5207" s="4"/>
      <c r="C5207" s="4"/>
      <c r="D5207" s="13"/>
      <c r="F5207" s="4"/>
    </row>
    <row r="5208">
      <c r="A5208" s="4"/>
      <c r="B5208" s="4"/>
      <c r="C5208" s="4"/>
      <c r="D5208" s="13"/>
      <c r="F5208" s="4"/>
    </row>
    <row r="5209">
      <c r="A5209" s="4"/>
      <c r="B5209" s="4"/>
      <c r="C5209" s="4"/>
      <c r="D5209" s="13"/>
      <c r="F5209" s="4"/>
    </row>
    <row r="5210">
      <c r="A5210" s="4"/>
      <c r="B5210" s="4"/>
      <c r="C5210" s="4"/>
      <c r="D5210" s="13"/>
      <c r="F5210" s="4"/>
    </row>
    <row r="5211">
      <c r="A5211" s="4"/>
      <c r="B5211" s="4"/>
      <c r="C5211" s="4"/>
      <c r="D5211" s="13"/>
      <c r="F5211" s="4"/>
    </row>
    <row r="5212">
      <c r="A5212" s="4"/>
      <c r="B5212" s="4"/>
      <c r="C5212" s="4"/>
      <c r="D5212" s="13"/>
      <c r="F5212" s="4"/>
    </row>
    <row r="5213">
      <c r="A5213" s="4"/>
      <c r="B5213" s="4"/>
      <c r="C5213" s="4"/>
      <c r="D5213" s="13"/>
      <c r="F5213" s="4"/>
    </row>
    <row r="5214">
      <c r="A5214" s="4"/>
      <c r="B5214" s="4"/>
      <c r="C5214" s="4"/>
      <c r="D5214" s="13"/>
      <c r="F5214" s="4"/>
    </row>
    <row r="5215">
      <c r="A5215" s="4"/>
      <c r="B5215" s="4"/>
      <c r="C5215" s="4"/>
      <c r="D5215" s="13"/>
      <c r="F5215" s="4"/>
    </row>
    <row r="5216">
      <c r="A5216" s="4"/>
      <c r="B5216" s="4"/>
      <c r="C5216" s="4"/>
      <c r="D5216" s="13"/>
      <c r="F5216" s="4"/>
    </row>
    <row r="5217">
      <c r="A5217" s="4"/>
      <c r="B5217" s="4"/>
      <c r="C5217" s="4"/>
      <c r="D5217" s="13"/>
      <c r="F5217" s="4"/>
    </row>
    <row r="5218">
      <c r="A5218" s="4"/>
      <c r="B5218" s="4"/>
      <c r="C5218" s="4"/>
      <c r="D5218" s="13"/>
      <c r="F5218" s="4"/>
    </row>
    <row r="5219">
      <c r="A5219" s="4"/>
      <c r="B5219" s="4"/>
      <c r="C5219" s="4"/>
      <c r="D5219" s="13"/>
      <c r="F5219" s="4"/>
    </row>
    <row r="5220">
      <c r="A5220" s="4"/>
      <c r="B5220" s="4"/>
      <c r="C5220" s="4"/>
      <c r="D5220" s="13"/>
      <c r="F5220" s="4"/>
    </row>
    <row r="5221">
      <c r="A5221" s="4"/>
      <c r="B5221" s="4"/>
      <c r="C5221" s="4"/>
      <c r="D5221" s="13"/>
      <c r="F5221" s="4"/>
    </row>
    <row r="5222">
      <c r="A5222" s="4"/>
      <c r="B5222" s="4"/>
      <c r="C5222" s="4"/>
      <c r="D5222" s="13"/>
      <c r="F5222" s="4"/>
    </row>
    <row r="5223">
      <c r="A5223" s="4"/>
      <c r="B5223" s="4"/>
      <c r="C5223" s="4"/>
      <c r="D5223" s="13"/>
      <c r="F5223" s="4"/>
    </row>
    <row r="5224">
      <c r="A5224" s="4"/>
      <c r="B5224" s="4"/>
      <c r="C5224" s="4"/>
      <c r="D5224" s="13"/>
      <c r="F5224" s="4"/>
    </row>
    <row r="5225">
      <c r="A5225" s="4"/>
      <c r="B5225" s="4"/>
      <c r="C5225" s="4"/>
      <c r="D5225" s="13"/>
      <c r="F5225" s="4"/>
    </row>
    <row r="5226">
      <c r="A5226" s="4"/>
      <c r="B5226" s="4"/>
      <c r="C5226" s="4"/>
      <c r="D5226" s="13"/>
      <c r="F5226" s="4"/>
    </row>
    <row r="5227">
      <c r="A5227" s="4"/>
      <c r="B5227" s="4"/>
      <c r="C5227" s="4"/>
      <c r="D5227" s="13"/>
      <c r="F5227" s="4"/>
    </row>
    <row r="5228">
      <c r="A5228" s="4"/>
      <c r="B5228" s="4"/>
      <c r="C5228" s="4"/>
      <c r="D5228" s="13"/>
      <c r="F5228" s="4"/>
    </row>
    <row r="5229">
      <c r="A5229" s="4"/>
      <c r="B5229" s="4"/>
      <c r="C5229" s="4"/>
      <c r="D5229" s="13"/>
      <c r="F5229" s="4"/>
    </row>
    <row r="5230">
      <c r="A5230" s="4"/>
      <c r="B5230" s="4"/>
      <c r="C5230" s="4"/>
      <c r="D5230" s="13"/>
      <c r="F5230" s="4"/>
    </row>
    <row r="5231">
      <c r="A5231" s="4"/>
      <c r="B5231" s="4"/>
      <c r="C5231" s="4"/>
      <c r="D5231" s="13"/>
      <c r="F5231" s="4"/>
    </row>
    <row r="5232">
      <c r="A5232" s="4"/>
      <c r="B5232" s="4"/>
      <c r="C5232" s="4"/>
      <c r="D5232" s="13"/>
      <c r="F5232" s="4"/>
    </row>
    <row r="5233">
      <c r="A5233" s="4"/>
      <c r="B5233" s="4"/>
      <c r="C5233" s="4"/>
      <c r="D5233" s="13"/>
      <c r="F5233" s="4"/>
    </row>
    <row r="5234">
      <c r="A5234" s="4"/>
      <c r="B5234" s="4"/>
      <c r="C5234" s="4"/>
      <c r="D5234" s="13"/>
      <c r="F5234" s="4"/>
    </row>
    <row r="5235">
      <c r="A5235" s="4"/>
      <c r="B5235" s="4"/>
      <c r="C5235" s="4"/>
      <c r="D5235" s="13"/>
      <c r="F5235" s="4"/>
    </row>
    <row r="5236">
      <c r="A5236" s="4"/>
      <c r="B5236" s="4"/>
      <c r="C5236" s="4"/>
      <c r="D5236" s="13"/>
      <c r="F5236" s="4"/>
    </row>
    <row r="5237">
      <c r="A5237" s="4"/>
      <c r="B5237" s="4"/>
      <c r="C5237" s="4"/>
      <c r="D5237" s="13"/>
      <c r="F5237" s="4"/>
    </row>
    <row r="5238">
      <c r="A5238" s="4"/>
      <c r="B5238" s="4"/>
      <c r="C5238" s="4"/>
      <c r="D5238" s="13"/>
      <c r="F5238" s="4"/>
    </row>
    <row r="5239">
      <c r="A5239" s="4"/>
      <c r="B5239" s="4"/>
      <c r="C5239" s="4"/>
      <c r="D5239" s="13"/>
      <c r="F5239" s="4"/>
    </row>
    <row r="5240">
      <c r="A5240" s="4"/>
      <c r="B5240" s="4"/>
      <c r="C5240" s="4"/>
      <c r="D5240" s="13"/>
      <c r="F5240" s="4"/>
    </row>
    <row r="5241">
      <c r="A5241" s="4"/>
      <c r="B5241" s="4"/>
      <c r="C5241" s="4"/>
      <c r="D5241" s="13"/>
      <c r="F5241" s="4"/>
    </row>
    <row r="5242">
      <c r="A5242" s="4"/>
      <c r="B5242" s="4"/>
      <c r="C5242" s="4"/>
      <c r="D5242" s="13"/>
      <c r="F5242" s="4"/>
    </row>
    <row r="5243">
      <c r="A5243" s="4"/>
      <c r="B5243" s="4"/>
      <c r="C5243" s="4"/>
      <c r="D5243" s="13"/>
      <c r="F5243" s="4"/>
    </row>
    <row r="5244">
      <c r="A5244" s="4"/>
      <c r="B5244" s="4"/>
      <c r="C5244" s="4"/>
      <c r="D5244" s="13"/>
      <c r="F5244" s="4"/>
    </row>
    <row r="5245">
      <c r="A5245" s="4"/>
      <c r="B5245" s="4"/>
      <c r="C5245" s="4"/>
      <c r="D5245" s="13"/>
      <c r="F5245" s="4"/>
    </row>
    <row r="5246">
      <c r="A5246" s="4"/>
      <c r="B5246" s="4"/>
      <c r="C5246" s="4"/>
      <c r="D5246" s="13"/>
      <c r="F5246" s="4"/>
    </row>
    <row r="5247">
      <c r="A5247" s="4"/>
      <c r="B5247" s="4"/>
      <c r="C5247" s="4"/>
      <c r="D5247" s="13"/>
      <c r="F5247" s="4"/>
    </row>
    <row r="5248">
      <c r="A5248" s="4"/>
      <c r="B5248" s="4"/>
      <c r="C5248" s="4"/>
      <c r="D5248" s="13"/>
      <c r="F5248" s="4"/>
    </row>
    <row r="5249">
      <c r="A5249" s="4"/>
      <c r="B5249" s="4"/>
      <c r="C5249" s="4"/>
      <c r="D5249" s="13"/>
      <c r="F5249" s="4"/>
    </row>
    <row r="5250">
      <c r="A5250" s="4"/>
      <c r="B5250" s="4"/>
      <c r="C5250" s="4"/>
      <c r="D5250" s="13"/>
      <c r="F5250" s="4"/>
    </row>
    <row r="5251">
      <c r="A5251" s="4"/>
      <c r="B5251" s="4"/>
      <c r="C5251" s="4"/>
      <c r="D5251" s="13"/>
      <c r="F5251" s="4"/>
    </row>
    <row r="5252">
      <c r="A5252" s="4"/>
      <c r="B5252" s="4"/>
      <c r="C5252" s="4"/>
      <c r="D5252" s="13"/>
      <c r="F5252" s="4"/>
    </row>
    <row r="5253">
      <c r="A5253" s="4"/>
      <c r="B5253" s="4"/>
      <c r="C5253" s="4"/>
      <c r="D5253" s="13"/>
      <c r="F5253" s="4"/>
    </row>
    <row r="5254">
      <c r="A5254" s="4"/>
      <c r="B5254" s="4"/>
      <c r="C5254" s="4"/>
      <c r="D5254" s="13"/>
      <c r="F5254" s="4"/>
    </row>
    <row r="5255">
      <c r="A5255" s="4"/>
      <c r="B5255" s="4"/>
      <c r="C5255" s="4"/>
      <c r="D5255" s="13"/>
      <c r="F5255" s="4"/>
    </row>
    <row r="5256">
      <c r="A5256" s="4"/>
      <c r="B5256" s="4"/>
      <c r="C5256" s="4"/>
      <c r="D5256" s="13"/>
      <c r="F5256" s="4"/>
    </row>
    <row r="5257">
      <c r="A5257" s="4"/>
      <c r="B5257" s="4"/>
      <c r="C5257" s="4"/>
      <c r="D5257" s="13"/>
      <c r="F5257" s="4"/>
    </row>
    <row r="5258">
      <c r="A5258" s="4"/>
      <c r="B5258" s="4"/>
      <c r="C5258" s="4"/>
      <c r="D5258" s="13"/>
      <c r="F5258" s="4"/>
    </row>
    <row r="5259">
      <c r="A5259" s="4"/>
      <c r="B5259" s="4"/>
      <c r="C5259" s="4"/>
      <c r="D5259" s="13"/>
      <c r="F5259" s="4"/>
    </row>
    <row r="5260">
      <c r="A5260" s="4"/>
      <c r="B5260" s="4"/>
      <c r="C5260" s="4"/>
      <c r="D5260" s="13"/>
      <c r="F5260" s="4"/>
    </row>
    <row r="5261">
      <c r="A5261" s="4"/>
      <c r="B5261" s="4"/>
      <c r="C5261" s="4"/>
      <c r="D5261" s="13"/>
      <c r="F5261" s="4"/>
    </row>
    <row r="5262">
      <c r="A5262" s="4"/>
      <c r="B5262" s="4"/>
      <c r="C5262" s="4"/>
      <c r="D5262" s="13"/>
      <c r="F5262" s="4"/>
    </row>
    <row r="5263">
      <c r="A5263" s="4"/>
      <c r="B5263" s="4"/>
      <c r="C5263" s="4"/>
      <c r="D5263" s="13"/>
      <c r="F5263" s="4"/>
    </row>
    <row r="5264">
      <c r="A5264" s="4"/>
      <c r="B5264" s="4"/>
      <c r="C5264" s="4"/>
      <c r="D5264" s="13"/>
      <c r="E5264" s="13"/>
      <c r="F5264" s="4"/>
    </row>
    <row r="5265">
      <c r="A5265" s="4"/>
      <c r="B5265" s="4"/>
      <c r="C5265" s="4"/>
      <c r="D5265" s="13"/>
      <c r="F5265" s="4"/>
    </row>
    <row r="5266">
      <c r="A5266" s="4"/>
      <c r="B5266" s="4"/>
      <c r="C5266" s="4"/>
      <c r="D5266" s="13"/>
      <c r="E5266" s="13"/>
      <c r="F5266" s="4"/>
    </row>
    <row r="5267">
      <c r="A5267" s="4"/>
      <c r="B5267" s="4"/>
      <c r="C5267" s="4"/>
      <c r="D5267" s="13"/>
      <c r="E5267" s="13"/>
      <c r="F5267" s="4"/>
    </row>
    <row r="5268">
      <c r="A5268" s="4"/>
      <c r="B5268" s="4"/>
      <c r="C5268" s="4"/>
      <c r="D5268" s="13"/>
      <c r="E5268" s="13"/>
      <c r="F5268" s="4"/>
    </row>
    <row r="5269">
      <c r="A5269" s="4"/>
      <c r="B5269" s="4"/>
      <c r="C5269" s="4"/>
      <c r="D5269" s="13"/>
      <c r="E5269" s="13"/>
      <c r="F5269" s="4"/>
    </row>
    <row r="5270">
      <c r="A5270" s="4"/>
      <c r="B5270" s="4"/>
      <c r="C5270" s="4"/>
      <c r="D5270" s="13"/>
      <c r="F5270" s="4"/>
    </row>
    <row r="5271">
      <c r="A5271" s="4"/>
      <c r="B5271" s="4"/>
      <c r="C5271" s="4"/>
      <c r="D5271" s="13"/>
      <c r="F5271" s="4"/>
    </row>
    <row r="5272">
      <c r="A5272" s="4"/>
      <c r="B5272" s="4"/>
      <c r="C5272" s="4"/>
      <c r="D5272" s="13"/>
      <c r="E5272" s="13"/>
      <c r="F5272" s="4"/>
    </row>
    <row r="5273">
      <c r="A5273" s="4"/>
      <c r="B5273" s="4"/>
      <c r="C5273" s="4"/>
      <c r="D5273" s="13"/>
      <c r="E5273" s="13"/>
      <c r="F5273" s="4"/>
    </row>
    <row r="5274">
      <c r="A5274" s="4"/>
      <c r="B5274" s="4"/>
      <c r="C5274" s="4"/>
      <c r="D5274" s="13"/>
      <c r="F5274" s="4"/>
    </row>
    <row r="5275">
      <c r="A5275" s="4"/>
      <c r="B5275" s="4"/>
      <c r="C5275" s="4"/>
      <c r="D5275" s="13"/>
      <c r="F5275" s="4"/>
    </row>
    <row r="5276">
      <c r="A5276" s="4"/>
      <c r="B5276" s="4"/>
      <c r="C5276" s="4"/>
      <c r="D5276" s="13"/>
      <c r="F5276" s="4"/>
    </row>
    <row r="5277">
      <c r="A5277" s="4"/>
      <c r="B5277" s="4"/>
      <c r="C5277" s="4"/>
      <c r="D5277" s="13"/>
      <c r="F5277" s="4"/>
    </row>
    <row r="5278">
      <c r="A5278" s="4"/>
      <c r="B5278" s="4"/>
      <c r="C5278" s="4"/>
      <c r="D5278" s="13"/>
      <c r="F5278" s="4"/>
    </row>
    <row r="5279">
      <c r="A5279" s="4"/>
      <c r="B5279" s="4"/>
      <c r="C5279" s="4"/>
      <c r="D5279" s="13"/>
      <c r="F5279" s="4"/>
    </row>
    <row r="5280">
      <c r="A5280" s="4"/>
      <c r="B5280" s="4"/>
      <c r="C5280" s="4"/>
      <c r="D5280" s="13"/>
      <c r="F5280" s="4"/>
    </row>
    <row r="5281">
      <c r="A5281" s="4"/>
      <c r="B5281" s="4"/>
      <c r="C5281" s="4"/>
      <c r="D5281" s="13"/>
      <c r="F5281" s="4"/>
    </row>
    <row r="5282">
      <c r="A5282" s="4"/>
      <c r="B5282" s="4"/>
      <c r="C5282" s="4"/>
      <c r="D5282" s="13"/>
      <c r="F5282" s="4"/>
    </row>
    <row r="5283">
      <c r="A5283" s="4"/>
      <c r="B5283" s="4"/>
      <c r="C5283" s="4"/>
      <c r="D5283" s="13"/>
      <c r="F5283" s="4"/>
    </row>
    <row r="5284">
      <c r="A5284" s="4"/>
      <c r="B5284" s="4"/>
      <c r="C5284" s="4"/>
      <c r="D5284" s="13"/>
      <c r="F5284" s="4"/>
    </row>
    <row r="5285">
      <c r="A5285" s="4"/>
      <c r="B5285" s="4"/>
      <c r="C5285" s="4"/>
      <c r="D5285" s="13"/>
      <c r="E5285" s="13"/>
      <c r="F5285" s="4"/>
    </row>
    <row r="5286">
      <c r="A5286" s="4"/>
      <c r="B5286" s="4"/>
      <c r="C5286" s="4"/>
      <c r="D5286" s="13"/>
      <c r="F5286" s="4"/>
    </row>
    <row r="5287">
      <c r="A5287" s="4"/>
      <c r="B5287" s="4"/>
      <c r="C5287" s="4"/>
      <c r="D5287" s="13"/>
      <c r="F5287" s="4"/>
    </row>
    <row r="5288">
      <c r="A5288" s="4"/>
      <c r="B5288" s="4"/>
      <c r="C5288" s="4"/>
      <c r="D5288" s="13"/>
      <c r="F5288" s="4"/>
    </row>
    <row r="5289">
      <c r="A5289" s="4"/>
      <c r="B5289" s="4"/>
      <c r="C5289" s="4"/>
      <c r="D5289" s="13"/>
      <c r="F5289" s="4"/>
    </row>
    <row r="5290">
      <c r="A5290" s="4"/>
      <c r="B5290" s="4"/>
      <c r="C5290" s="4"/>
      <c r="D5290" s="13"/>
      <c r="F5290" s="4"/>
    </row>
    <row r="5291">
      <c r="A5291" s="4"/>
      <c r="B5291" s="4"/>
      <c r="C5291" s="4"/>
      <c r="D5291" s="13"/>
      <c r="F5291" s="4"/>
    </row>
    <row r="5292">
      <c r="A5292" s="4"/>
      <c r="B5292" s="4"/>
      <c r="C5292" s="4"/>
      <c r="D5292" s="13"/>
      <c r="F5292" s="4"/>
    </row>
    <row r="5293">
      <c r="A5293" s="4"/>
      <c r="B5293" s="4"/>
      <c r="C5293" s="4"/>
      <c r="D5293" s="13"/>
      <c r="F5293" s="4"/>
    </row>
    <row r="5294">
      <c r="A5294" s="4"/>
      <c r="B5294" s="4"/>
      <c r="C5294" s="4"/>
      <c r="D5294" s="13"/>
      <c r="E5294" s="13"/>
      <c r="F5294" s="4"/>
    </row>
    <row r="5295">
      <c r="A5295" s="4"/>
      <c r="B5295" s="4"/>
      <c r="C5295" s="4"/>
      <c r="D5295" s="13"/>
      <c r="E5295" s="13"/>
      <c r="F5295" s="4"/>
    </row>
    <row r="5296">
      <c r="A5296" s="4"/>
      <c r="B5296" s="4"/>
      <c r="C5296" s="4"/>
      <c r="D5296" s="13"/>
      <c r="E5296" s="13"/>
      <c r="F5296" s="4"/>
    </row>
    <row r="5297">
      <c r="A5297" s="4"/>
      <c r="B5297" s="4"/>
      <c r="C5297" s="4"/>
      <c r="D5297" s="13"/>
      <c r="E5297" s="13"/>
      <c r="F5297" s="4"/>
    </row>
    <row r="5298">
      <c r="A5298" s="4"/>
      <c r="B5298" s="4"/>
      <c r="C5298" s="4"/>
      <c r="D5298" s="13"/>
      <c r="F5298" s="4"/>
    </row>
    <row r="5299">
      <c r="A5299" s="4"/>
      <c r="B5299" s="4"/>
      <c r="C5299" s="4"/>
      <c r="D5299" s="13"/>
      <c r="F5299" s="4"/>
    </row>
    <row r="5300">
      <c r="A5300" s="4"/>
      <c r="B5300" s="4"/>
      <c r="C5300" s="4"/>
      <c r="D5300" s="13"/>
      <c r="E5300" s="13"/>
      <c r="F5300" s="4"/>
    </row>
    <row r="5301">
      <c r="A5301" s="4"/>
      <c r="B5301" s="4"/>
      <c r="C5301" s="4"/>
      <c r="D5301" s="13"/>
      <c r="F5301" s="4"/>
    </row>
    <row r="5302">
      <c r="A5302" s="4"/>
      <c r="B5302" s="4"/>
      <c r="C5302" s="4"/>
      <c r="D5302" s="13"/>
      <c r="E5302" s="13"/>
      <c r="F5302" s="4"/>
    </row>
    <row r="5303">
      <c r="A5303" s="4"/>
      <c r="B5303" s="4"/>
      <c r="C5303" s="4"/>
      <c r="D5303" s="13"/>
      <c r="E5303" s="13"/>
      <c r="F5303" s="4"/>
    </row>
    <row r="5304">
      <c r="A5304" s="4"/>
      <c r="B5304" s="4"/>
      <c r="C5304" s="4"/>
      <c r="D5304" s="13"/>
      <c r="E5304" s="13"/>
      <c r="F5304" s="4"/>
    </row>
    <row r="5305">
      <c r="A5305" s="4"/>
      <c r="B5305" s="4"/>
      <c r="C5305" s="4"/>
      <c r="D5305" s="13"/>
      <c r="E5305" s="13"/>
      <c r="F5305" s="4"/>
    </row>
    <row r="5306">
      <c r="A5306" s="4"/>
      <c r="B5306" s="4"/>
      <c r="C5306" s="4"/>
      <c r="D5306" s="13"/>
      <c r="F5306" s="4"/>
    </row>
    <row r="5307">
      <c r="A5307" s="4"/>
      <c r="B5307" s="4"/>
      <c r="C5307" s="4"/>
      <c r="D5307" s="13"/>
      <c r="F5307" s="4"/>
    </row>
    <row r="5308">
      <c r="A5308" s="4"/>
      <c r="B5308" s="4"/>
      <c r="C5308" s="4"/>
      <c r="D5308" s="13"/>
      <c r="E5308" s="13"/>
      <c r="F5308" s="4"/>
    </row>
    <row r="5309">
      <c r="A5309" s="4"/>
      <c r="B5309" s="4"/>
      <c r="C5309" s="4"/>
      <c r="D5309" s="13"/>
      <c r="E5309" s="13"/>
      <c r="F5309" s="4"/>
    </row>
    <row r="5310">
      <c r="A5310" s="4"/>
      <c r="B5310" s="4"/>
      <c r="C5310" s="4"/>
      <c r="D5310" s="13"/>
      <c r="F5310" s="4"/>
    </row>
    <row r="5311">
      <c r="A5311" s="4"/>
      <c r="B5311" s="4"/>
      <c r="C5311" s="4"/>
      <c r="D5311" s="13"/>
      <c r="F5311" s="4"/>
    </row>
    <row r="5312">
      <c r="A5312" s="4"/>
      <c r="B5312" s="4"/>
      <c r="C5312" s="4"/>
      <c r="D5312" s="13"/>
      <c r="F5312" s="4"/>
    </row>
    <row r="5313">
      <c r="A5313" s="4"/>
      <c r="B5313" s="4"/>
      <c r="C5313" s="4"/>
      <c r="D5313" s="13"/>
      <c r="F5313" s="4"/>
    </row>
    <row r="5314">
      <c r="A5314" s="4"/>
      <c r="B5314" s="4"/>
      <c r="C5314" s="4"/>
      <c r="D5314" s="13"/>
      <c r="F5314" s="4"/>
    </row>
    <row r="5315">
      <c r="A5315" s="4"/>
      <c r="B5315" s="4"/>
      <c r="C5315" s="4"/>
      <c r="D5315" s="13"/>
      <c r="F5315" s="4"/>
    </row>
    <row r="5316">
      <c r="A5316" s="4"/>
      <c r="B5316" s="4"/>
      <c r="C5316" s="4"/>
      <c r="D5316" s="13"/>
      <c r="F5316" s="4"/>
    </row>
    <row r="5317">
      <c r="A5317" s="4"/>
      <c r="B5317" s="4"/>
      <c r="C5317" s="4"/>
      <c r="D5317" s="13"/>
      <c r="F5317" s="4"/>
    </row>
    <row r="5318">
      <c r="A5318" s="4"/>
      <c r="B5318" s="4"/>
      <c r="C5318" s="4"/>
      <c r="D5318" s="13"/>
      <c r="F5318" s="4"/>
    </row>
    <row r="5319">
      <c r="A5319" s="4"/>
      <c r="B5319" s="4"/>
      <c r="C5319" s="4"/>
      <c r="D5319" s="13"/>
      <c r="F5319" s="4"/>
    </row>
    <row r="5320">
      <c r="A5320" s="4"/>
      <c r="B5320" s="4"/>
      <c r="C5320" s="4"/>
      <c r="D5320" s="13"/>
      <c r="F5320" s="4"/>
    </row>
    <row r="5321">
      <c r="A5321" s="4"/>
      <c r="B5321" s="4"/>
      <c r="C5321" s="4"/>
      <c r="D5321" s="13"/>
      <c r="F5321" s="4"/>
    </row>
    <row r="5322">
      <c r="A5322" s="4"/>
      <c r="B5322" s="4"/>
      <c r="C5322" s="4"/>
      <c r="D5322" s="13"/>
      <c r="F5322" s="4"/>
    </row>
    <row r="5323">
      <c r="A5323" s="4"/>
      <c r="B5323" s="4"/>
      <c r="C5323" s="4"/>
      <c r="D5323" s="13"/>
      <c r="F5323" s="4"/>
    </row>
    <row r="5324">
      <c r="A5324" s="4"/>
      <c r="B5324" s="4"/>
      <c r="C5324" s="4"/>
      <c r="D5324" s="13"/>
      <c r="F5324" s="4"/>
    </row>
    <row r="5325">
      <c r="A5325" s="4"/>
      <c r="B5325" s="4"/>
      <c r="C5325" s="4"/>
      <c r="D5325" s="13"/>
      <c r="F5325" s="4"/>
    </row>
    <row r="5326">
      <c r="A5326" s="4"/>
      <c r="B5326" s="4"/>
      <c r="C5326" s="4"/>
      <c r="D5326" s="13"/>
      <c r="F5326" s="4"/>
    </row>
    <row r="5327">
      <c r="A5327" s="4"/>
      <c r="B5327" s="4"/>
      <c r="C5327" s="4"/>
      <c r="D5327" s="13"/>
      <c r="F5327" s="4"/>
    </row>
    <row r="5328">
      <c r="A5328" s="4"/>
      <c r="B5328" s="4"/>
      <c r="C5328" s="4"/>
      <c r="D5328" s="13"/>
      <c r="F5328" s="4"/>
    </row>
    <row r="5329">
      <c r="A5329" s="4"/>
      <c r="B5329" s="4"/>
      <c r="C5329" s="4"/>
      <c r="D5329" s="13"/>
      <c r="F5329" s="4"/>
    </row>
    <row r="5330">
      <c r="A5330" s="4"/>
      <c r="B5330" s="4"/>
      <c r="C5330" s="4"/>
      <c r="D5330" s="13"/>
      <c r="F5330" s="4"/>
    </row>
    <row r="5331">
      <c r="A5331" s="4"/>
      <c r="B5331" s="4"/>
      <c r="C5331" s="4"/>
      <c r="D5331" s="13"/>
      <c r="F5331" s="4"/>
    </row>
    <row r="5332">
      <c r="A5332" s="4"/>
      <c r="B5332" s="4"/>
      <c r="C5332" s="4"/>
      <c r="D5332" s="13"/>
      <c r="F5332" s="4"/>
    </row>
    <row r="5333">
      <c r="A5333" s="4"/>
      <c r="B5333" s="4"/>
      <c r="C5333" s="4"/>
      <c r="D5333" s="13"/>
      <c r="F5333" s="4"/>
    </row>
    <row r="5334">
      <c r="A5334" s="4"/>
      <c r="B5334" s="4"/>
      <c r="C5334" s="4"/>
      <c r="D5334" s="13"/>
      <c r="F5334" s="4"/>
    </row>
    <row r="5335">
      <c r="A5335" s="4"/>
      <c r="B5335" s="4"/>
      <c r="C5335" s="4"/>
      <c r="D5335" s="13"/>
      <c r="F5335" s="4"/>
    </row>
    <row r="5336">
      <c r="A5336" s="4"/>
      <c r="B5336" s="4"/>
      <c r="C5336" s="4"/>
      <c r="D5336" s="13"/>
      <c r="F5336" s="4"/>
    </row>
    <row r="5337">
      <c r="A5337" s="4"/>
      <c r="B5337" s="4"/>
      <c r="C5337" s="4"/>
      <c r="D5337" s="13"/>
      <c r="F5337" s="4"/>
    </row>
    <row r="5338">
      <c r="A5338" s="4"/>
      <c r="B5338" s="4"/>
      <c r="C5338" s="4"/>
      <c r="D5338" s="13"/>
      <c r="F5338" s="4"/>
    </row>
    <row r="5339">
      <c r="A5339" s="4"/>
      <c r="B5339" s="4"/>
      <c r="C5339" s="4"/>
      <c r="D5339" s="13"/>
      <c r="F5339" s="4"/>
    </row>
    <row r="5340">
      <c r="A5340" s="4"/>
      <c r="B5340" s="4"/>
      <c r="C5340" s="4"/>
      <c r="D5340" s="13"/>
      <c r="F5340" s="4"/>
    </row>
    <row r="5341">
      <c r="A5341" s="4"/>
      <c r="B5341" s="4"/>
      <c r="C5341" s="4"/>
      <c r="D5341" s="13"/>
      <c r="F5341" s="4"/>
    </row>
    <row r="5342">
      <c r="A5342" s="4"/>
      <c r="B5342" s="4"/>
      <c r="C5342" s="4"/>
      <c r="D5342" s="13"/>
      <c r="F5342" s="4"/>
    </row>
    <row r="5343">
      <c r="A5343" s="4"/>
      <c r="B5343" s="4"/>
      <c r="C5343" s="4"/>
      <c r="D5343" s="13"/>
      <c r="F5343" s="4"/>
    </row>
    <row r="5344">
      <c r="A5344" s="4"/>
      <c r="B5344" s="4"/>
      <c r="C5344" s="4"/>
      <c r="D5344" s="13"/>
      <c r="F5344" s="4"/>
    </row>
    <row r="5345">
      <c r="A5345" s="4"/>
      <c r="B5345" s="4"/>
      <c r="C5345" s="4"/>
      <c r="D5345" s="13"/>
      <c r="F5345" s="4"/>
    </row>
    <row r="5346">
      <c r="A5346" s="4"/>
      <c r="B5346" s="4"/>
      <c r="C5346" s="4"/>
      <c r="D5346" s="13"/>
      <c r="F5346" s="4"/>
    </row>
    <row r="5347">
      <c r="A5347" s="4"/>
      <c r="B5347" s="4"/>
      <c r="C5347" s="4"/>
      <c r="D5347" s="13"/>
      <c r="F5347" s="4"/>
    </row>
    <row r="5348">
      <c r="A5348" s="4"/>
      <c r="B5348" s="4"/>
      <c r="C5348" s="4"/>
      <c r="D5348" s="13"/>
      <c r="F5348" s="4"/>
    </row>
    <row r="5349">
      <c r="A5349" s="4"/>
      <c r="B5349" s="4"/>
      <c r="C5349" s="4"/>
      <c r="D5349" s="13"/>
      <c r="F5349" s="4"/>
    </row>
    <row r="5350">
      <c r="A5350" s="4"/>
      <c r="B5350" s="4"/>
      <c r="C5350" s="4"/>
      <c r="D5350" s="13"/>
      <c r="F5350" s="4"/>
    </row>
    <row r="5351">
      <c r="A5351" s="4"/>
      <c r="B5351" s="4"/>
      <c r="C5351" s="4"/>
      <c r="D5351" s="13"/>
      <c r="F5351" s="4"/>
    </row>
    <row r="5352">
      <c r="A5352" s="4"/>
      <c r="B5352" s="4"/>
      <c r="C5352" s="4"/>
      <c r="D5352" s="13"/>
      <c r="F5352" s="4"/>
    </row>
    <row r="5353">
      <c r="A5353" s="4"/>
      <c r="B5353" s="4"/>
      <c r="C5353" s="4"/>
      <c r="D5353" s="13"/>
      <c r="F5353" s="4"/>
    </row>
    <row r="5354">
      <c r="A5354" s="4"/>
      <c r="B5354" s="4"/>
      <c r="C5354" s="4"/>
      <c r="D5354" s="13"/>
      <c r="F5354" s="4"/>
    </row>
    <row r="5355">
      <c r="A5355" s="4"/>
      <c r="B5355" s="4"/>
      <c r="C5355" s="4"/>
      <c r="D5355" s="13"/>
      <c r="F5355" s="4"/>
    </row>
    <row r="5356">
      <c r="A5356" s="4"/>
      <c r="B5356" s="4"/>
      <c r="C5356" s="4"/>
      <c r="D5356" s="13"/>
      <c r="F5356" s="4"/>
    </row>
    <row r="5357">
      <c r="A5357" s="4"/>
      <c r="B5357" s="4"/>
      <c r="C5357" s="4"/>
      <c r="D5357" s="13"/>
      <c r="F5357" s="4"/>
    </row>
    <row r="5358">
      <c r="A5358" s="4"/>
      <c r="B5358" s="4"/>
      <c r="C5358" s="4"/>
      <c r="D5358" s="13"/>
      <c r="F5358" s="4"/>
    </row>
    <row r="5359">
      <c r="A5359" s="4"/>
      <c r="B5359" s="4"/>
      <c r="C5359" s="4"/>
      <c r="D5359" s="13"/>
      <c r="F5359" s="4"/>
    </row>
    <row r="5360">
      <c r="A5360" s="4"/>
      <c r="B5360" s="4"/>
      <c r="C5360" s="4"/>
      <c r="D5360" s="13"/>
      <c r="F5360" s="4"/>
    </row>
    <row r="5361">
      <c r="A5361" s="4"/>
      <c r="B5361" s="4"/>
      <c r="C5361" s="4"/>
      <c r="D5361" s="13"/>
      <c r="F5361" s="4"/>
    </row>
    <row r="5362">
      <c r="A5362" s="4"/>
      <c r="B5362" s="4"/>
      <c r="C5362" s="4"/>
      <c r="D5362" s="13"/>
      <c r="F5362" s="4"/>
    </row>
    <row r="5363">
      <c r="A5363" s="4"/>
      <c r="B5363" s="4"/>
      <c r="C5363" s="4"/>
      <c r="D5363" s="13"/>
      <c r="F5363" s="4"/>
    </row>
    <row r="5364">
      <c r="A5364" s="4"/>
      <c r="B5364" s="4"/>
      <c r="C5364" s="4"/>
      <c r="D5364" s="13"/>
      <c r="F5364" s="4"/>
    </row>
    <row r="5365">
      <c r="A5365" s="4"/>
      <c r="B5365" s="4"/>
      <c r="C5365" s="4"/>
      <c r="D5365" s="13"/>
      <c r="F5365" s="4"/>
    </row>
    <row r="5366">
      <c r="A5366" s="4"/>
      <c r="B5366" s="4"/>
      <c r="C5366" s="4"/>
      <c r="D5366" s="13"/>
      <c r="F5366" s="4"/>
    </row>
    <row r="5367">
      <c r="A5367" s="4"/>
      <c r="B5367" s="4"/>
      <c r="C5367" s="4"/>
      <c r="D5367" s="13"/>
      <c r="F5367" s="4"/>
    </row>
    <row r="5368">
      <c r="A5368" s="4"/>
      <c r="B5368" s="4"/>
      <c r="C5368" s="4"/>
      <c r="D5368" s="13"/>
      <c r="F5368" s="4"/>
    </row>
    <row r="5369">
      <c r="A5369" s="4"/>
      <c r="B5369" s="4"/>
      <c r="C5369" s="4"/>
      <c r="D5369" s="13"/>
      <c r="F5369" s="4"/>
    </row>
    <row r="5370">
      <c r="A5370" s="4"/>
      <c r="B5370" s="4"/>
      <c r="C5370" s="4"/>
      <c r="D5370" s="13"/>
      <c r="F5370" s="4"/>
    </row>
    <row r="5371">
      <c r="A5371" s="4"/>
      <c r="B5371" s="4"/>
      <c r="C5371" s="4"/>
      <c r="D5371" s="13"/>
      <c r="F5371" s="4"/>
    </row>
    <row r="5372">
      <c r="A5372" s="4"/>
      <c r="B5372" s="4"/>
      <c r="C5372" s="4"/>
      <c r="D5372" s="13"/>
      <c r="F5372" s="4"/>
    </row>
    <row r="5373">
      <c r="A5373" s="4"/>
      <c r="B5373" s="4"/>
      <c r="C5373" s="4"/>
      <c r="D5373" s="13"/>
      <c r="F5373" s="4"/>
    </row>
    <row r="5374">
      <c r="A5374" s="4"/>
      <c r="B5374" s="4"/>
      <c r="C5374" s="4"/>
      <c r="D5374" s="13"/>
      <c r="F5374" s="4"/>
    </row>
    <row r="5375">
      <c r="A5375" s="4"/>
      <c r="B5375" s="4"/>
      <c r="C5375" s="4"/>
      <c r="D5375" s="13"/>
      <c r="F5375" s="4"/>
    </row>
    <row r="5376">
      <c r="A5376" s="4"/>
      <c r="B5376" s="4"/>
      <c r="C5376" s="4"/>
      <c r="D5376" s="13"/>
      <c r="F5376" s="4"/>
    </row>
    <row r="5377">
      <c r="A5377" s="4"/>
      <c r="B5377" s="4"/>
      <c r="C5377" s="4"/>
      <c r="D5377" s="13"/>
      <c r="F5377" s="4"/>
    </row>
    <row r="5378">
      <c r="A5378" s="4"/>
      <c r="B5378" s="4"/>
      <c r="C5378" s="4"/>
      <c r="D5378" s="13"/>
      <c r="F5378" s="4"/>
    </row>
    <row r="5379">
      <c r="A5379" s="4"/>
      <c r="B5379" s="4"/>
      <c r="C5379" s="4"/>
      <c r="D5379" s="13"/>
      <c r="F5379" s="4"/>
    </row>
    <row r="5380">
      <c r="A5380" s="4"/>
      <c r="B5380" s="4"/>
      <c r="C5380" s="4"/>
      <c r="D5380" s="13"/>
      <c r="F5380" s="4"/>
    </row>
    <row r="5381">
      <c r="A5381" s="4"/>
      <c r="B5381" s="4"/>
      <c r="C5381" s="4"/>
      <c r="D5381" s="13"/>
      <c r="F5381" s="4"/>
    </row>
    <row r="5382">
      <c r="A5382" s="4"/>
      <c r="B5382" s="4"/>
      <c r="C5382" s="4"/>
      <c r="D5382" s="13"/>
      <c r="F5382" s="4"/>
    </row>
    <row r="5383">
      <c r="A5383" s="4"/>
      <c r="B5383" s="4"/>
      <c r="C5383" s="4"/>
      <c r="D5383" s="13"/>
      <c r="F5383" s="4"/>
    </row>
    <row r="5384">
      <c r="A5384" s="4"/>
      <c r="B5384" s="4"/>
      <c r="C5384" s="4"/>
      <c r="D5384" s="13"/>
      <c r="F5384" s="4"/>
    </row>
    <row r="5385">
      <c r="A5385" s="4"/>
      <c r="B5385" s="4"/>
      <c r="C5385" s="4"/>
      <c r="D5385" s="13"/>
      <c r="F5385" s="4"/>
    </row>
    <row r="5386">
      <c r="A5386" s="4"/>
      <c r="B5386" s="4"/>
      <c r="C5386" s="4"/>
      <c r="D5386" s="13"/>
      <c r="F5386" s="4"/>
    </row>
    <row r="5387">
      <c r="A5387" s="4"/>
      <c r="B5387" s="4"/>
      <c r="C5387" s="4"/>
      <c r="D5387" s="13"/>
      <c r="F5387" s="4"/>
    </row>
    <row r="5388">
      <c r="A5388" s="4"/>
      <c r="B5388" s="4"/>
      <c r="C5388" s="4"/>
      <c r="D5388" s="13"/>
      <c r="F5388" s="4"/>
    </row>
    <row r="5389">
      <c r="A5389" s="4"/>
      <c r="B5389" s="4"/>
      <c r="C5389" s="4"/>
      <c r="D5389" s="13"/>
      <c r="F5389" s="4"/>
    </row>
    <row r="5390">
      <c r="A5390" s="4"/>
      <c r="B5390" s="4"/>
      <c r="C5390" s="4"/>
      <c r="D5390" s="13"/>
      <c r="F5390" s="4"/>
    </row>
    <row r="5391">
      <c r="A5391" s="4"/>
      <c r="B5391" s="4"/>
      <c r="C5391" s="4"/>
      <c r="D5391" s="13"/>
      <c r="F5391" s="4"/>
    </row>
    <row r="5392">
      <c r="A5392" s="4"/>
      <c r="B5392" s="4"/>
      <c r="C5392" s="4"/>
      <c r="D5392" s="13"/>
      <c r="F5392" s="4"/>
    </row>
    <row r="5393">
      <c r="A5393" s="4"/>
      <c r="B5393" s="4"/>
      <c r="C5393" s="4"/>
      <c r="D5393" s="13"/>
      <c r="F5393" s="4"/>
    </row>
    <row r="5394">
      <c r="A5394" s="4"/>
      <c r="B5394" s="4"/>
      <c r="C5394" s="4"/>
      <c r="D5394" s="13"/>
      <c r="F5394" s="4"/>
    </row>
    <row r="5395">
      <c r="A5395" s="4"/>
      <c r="B5395" s="4"/>
      <c r="C5395" s="4"/>
      <c r="D5395" s="13"/>
      <c r="F5395" s="4"/>
    </row>
    <row r="5396">
      <c r="A5396" s="4"/>
      <c r="B5396" s="4"/>
      <c r="C5396" s="4"/>
      <c r="D5396" s="13"/>
      <c r="F5396" s="4"/>
    </row>
    <row r="5397">
      <c r="A5397" s="4"/>
      <c r="B5397" s="4"/>
      <c r="C5397" s="4"/>
      <c r="D5397" s="13"/>
      <c r="F5397" s="4"/>
    </row>
    <row r="5398">
      <c r="A5398" s="4"/>
      <c r="B5398" s="4"/>
      <c r="C5398" s="4"/>
      <c r="D5398" s="13"/>
      <c r="F5398" s="4"/>
    </row>
    <row r="5399">
      <c r="A5399" s="4"/>
      <c r="B5399" s="4"/>
      <c r="C5399" s="4"/>
      <c r="D5399" s="13"/>
      <c r="F5399" s="4"/>
    </row>
    <row r="5400">
      <c r="A5400" s="4"/>
      <c r="B5400" s="4"/>
      <c r="C5400" s="4"/>
      <c r="D5400" s="13"/>
      <c r="F5400" s="4"/>
    </row>
    <row r="5401">
      <c r="A5401" s="4"/>
      <c r="B5401" s="4"/>
      <c r="C5401" s="4"/>
      <c r="D5401" s="13"/>
      <c r="F5401" s="4"/>
    </row>
    <row r="5402">
      <c r="A5402" s="4"/>
      <c r="B5402" s="4"/>
      <c r="C5402" s="4"/>
      <c r="D5402" s="13"/>
      <c r="F5402" s="4"/>
    </row>
    <row r="5403">
      <c r="A5403" s="4"/>
      <c r="B5403" s="4"/>
      <c r="C5403" s="4"/>
      <c r="D5403" s="13"/>
      <c r="F5403" s="4"/>
    </row>
    <row r="5404">
      <c r="A5404" s="4"/>
      <c r="B5404" s="4"/>
      <c r="C5404" s="4"/>
      <c r="D5404" s="13"/>
      <c r="F5404" s="4"/>
    </row>
    <row r="5405">
      <c r="A5405" s="4"/>
      <c r="B5405" s="4"/>
      <c r="C5405" s="4"/>
      <c r="D5405" s="13"/>
      <c r="F5405" s="4"/>
    </row>
    <row r="5406">
      <c r="A5406" s="4"/>
      <c r="B5406" s="4"/>
      <c r="C5406" s="4"/>
      <c r="D5406" s="13"/>
      <c r="F5406" s="4"/>
    </row>
    <row r="5407">
      <c r="A5407" s="4"/>
      <c r="B5407" s="4"/>
      <c r="C5407" s="4"/>
      <c r="D5407" s="13"/>
      <c r="F5407" s="4"/>
    </row>
    <row r="5408">
      <c r="A5408" s="4"/>
      <c r="B5408" s="4"/>
      <c r="C5408" s="4"/>
      <c r="D5408" s="13"/>
      <c r="F5408" s="4"/>
    </row>
    <row r="5409">
      <c r="A5409" s="4"/>
      <c r="B5409" s="4"/>
      <c r="C5409" s="4"/>
      <c r="D5409" s="13"/>
      <c r="F5409" s="4"/>
    </row>
    <row r="5410">
      <c r="A5410" s="4"/>
      <c r="B5410" s="4"/>
      <c r="C5410" s="4"/>
      <c r="D5410" s="13"/>
      <c r="F5410" s="4"/>
    </row>
    <row r="5411">
      <c r="A5411" s="4"/>
      <c r="B5411" s="4"/>
      <c r="C5411" s="4"/>
      <c r="D5411" s="13"/>
      <c r="F5411" s="4"/>
    </row>
    <row r="5412">
      <c r="A5412" s="4"/>
      <c r="B5412" s="4"/>
      <c r="C5412" s="4"/>
      <c r="D5412" s="13"/>
      <c r="E5412" s="13"/>
      <c r="F5412" s="4"/>
    </row>
    <row r="5413">
      <c r="A5413" s="4"/>
      <c r="B5413" s="4"/>
      <c r="C5413" s="4"/>
      <c r="D5413" s="13"/>
      <c r="E5413" s="13"/>
      <c r="F5413" s="4"/>
    </row>
    <row r="5414">
      <c r="A5414" s="4"/>
      <c r="B5414" s="4"/>
      <c r="C5414" s="4"/>
      <c r="D5414" s="13"/>
      <c r="E5414" s="13"/>
      <c r="F5414" s="4"/>
    </row>
    <row r="5415">
      <c r="A5415" s="4"/>
      <c r="B5415" s="4"/>
      <c r="C5415" s="4"/>
      <c r="D5415" s="13"/>
      <c r="E5415" s="13"/>
      <c r="F5415" s="4"/>
    </row>
    <row r="5416">
      <c r="A5416" s="4"/>
      <c r="B5416" s="4"/>
      <c r="C5416" s="4"/>
      <c r="D5416" s="13"/>
      <c r="E5416" s="13"/>
      <c r="F5416" s="4"/>
    </row>
    <row r="5417">
      <c r="A5417" s="4"/>
      <c r="B5417" s="4"/>
      <c r="C5417" s="4"/>
      <c r="D5417" s="13"/>
      <c r="E5417" s="13"/>
      <c r="F5417" s="4"/>
    </row>
    <row r="5418">
      <c r="A5418" s="4"/>
      <c r="B5418" s="4"/>
      <c r="C5418" s="4"/>
      <c r="D5418" s="13"/>
      <c r="E5418" s="13"/>
      <c r="F5418" s="4"/>
    </row>
    <row r="5419">
      <c r="A5419" s="4"/>
      <c r="B5419" s="4"/>
      <c r="C5419" s="4"/>
      <c r="D5419" s="13"/>
      <c r="E5419" s="13"/>
      <c r="F5419" s="4"/>
    </row>
    <row r="5420">
      <c r="A5420" s="4"/>
      <c r="B5420" s="4"/>
      <c r="C5420" s="4"/>
      <c r="D5420" s="13"/>
      <c r="E5420" s="13"/>
      <c r="F5420" s="4"/>
    </row>
    <row r="5421">
      <c r="A5421" s="4"/>
      <c r="B5421" s="4"/>
      <c r="C5421" s="4"/>
      <c r="D5421" s="13"/>
      <c r="E5421" s="13"/>
      <c r="F5421" s="4"/>
    </row>
    <row r="5422">
      <c r="A5422" s="4"/>
      <c r="B5422" s="4"/>
      <c r="C5422" s="4"/>
      <c r="D5422" s="13"/>
      <c r="E5422" s="13"/>
      <c r="F5422" s="4"/>
    </row>
    <row r="5423">
      <c r="A5423" s="4"/>
      <c r="B5423" s="4"/>
      <c r="C5423" s="4"/>
      <c r="D5423" s="13"/>
      <c r="F5423" s="4"/>
    </row>
    <row r="5424">
      <c r="A5424" s="4"/>
      <c r="B5424" s="4"/>
      <c r="C5424" s="4"/>
      <c r="D5424" s="13"/>
      <c r="F5424" s="4"/>
    </row>
    <row r="5425">
      <c r="A5425" s="4"/>
      <c r="B5425" s="4"/>
      <c r="C5425" s="4"/>
      <c r="D5425" s="13"/>
      <c r="F5425" s="4"/>
    </row>
    <row r="5426">
      <c r="A5426" s="4"/>
      <c r="B5426" s="4"/>
      <c r="C5426" s="4"/>
      <c r="D5426" s="13"/>
      <c r="F5426" s="4"/>
    </row>
    <row r="5427">
      <c r="A5427" s="4"/>
      <c r="B5427" s="4"/>
      <c r="C5427" s="4"/>
      <c r="D5427" s="13"/>
      <c r="F5427" s="4"/>
    </row>
    <row r="5428">
      <c r="A5428" s="4"/>
      <c r="B5428" s="4"/>
      <c r="C5428" s="4"/>
      <c r="D5428" s="13"/>
      <c r="F5428" s="4"/>
    </row>
    <row r="5429">
      <c r="A5429" s="4"/>
      <c r="B5429" s="4"/>
      <c r="C5429" s="4"/>
      <c r="D5429" s="13"/>
      <c r="F5429" s="4"/>
    </row>
    <row r="5430">
      <c r="A5430" s="4"/>
      <c r="B5430" s="4"/>
      <c r="C5430" s="4"/>
      <c r="D5430" s="13"/>
      <c r="F5430" s="4"/>
    </row>
    <row r="5431">
      <c r="A5431" s="4"/>
      <c r="B5431" s="4"/>
      <c r="C5431" s="4"/>
      <c r="D5431" s="13"/>
      <c r="F5431" s="4"/>
    </row>
    <row r="5432">
      <c r="A5432" s="4"/>
      <c r="B5432" s="4"/>
      <c r="C5432" s="4"/>
      <c r="D5432" s="13"/>
      <c r="F5432" s="4"/>
    </row>
    <row r="5433">
      <c r="A5433" s="4"/>
      <c r="B5433" s="4"/>
      <c r="C5433" s="4"/>
      <c r="D5433" s="13"/>
      <c r="F5433" s="4"/>
    </row>
    <row r="5434">
      <c r="A5434" s="4"/>
      <c r="B5434" s="4"/>
      <c r="C5434" s="4"/>
      <c r="D5434" s="13"/>
      <c r="F5434" s="4"/>
    </row>
    <row r="5435">
      <c r="A5435" s="4"/>
      <c r="B5435" s="4"/>
      <c r="C5435" s="4"/>
      <c r="D5435" s="13"/>
      <c r="F5435" s="4"/>
    </row>
    <row r="5436">
      <c r="A5436" s="4"/>
      <c r="B5436" s="4"/>
      <c r="C5436" s="4"/>
      <c r="D5436" s="13"/>
      <c r="F5436" s="4"/>
    </row>
    <row r="5437">
      <c r="A5437" s="4"/>
      <c r="B5437" s="4"/>
      <c r="C5437" s="4"/>
      <c r="D5437" s="13"/>
      <c r="F5437" s="4"/>
    </row>
    <row r="5438">
      <c r="A5438" s="4"/>
      <c r="B5438" s="4"/>
      <c r="C5438" s="4"/>
      <c r="D5438" s="13"/>
      <c r="F5438" s="4"/>
    </row>
    <row r="5439">
      <c r="A5439" s="4"/>
      <c r="B5439" s="4"/>
      <c r="C5439" s="4"/>
      <c r="D5439" s="13"/>
      <c r="F5439" s="4"/>
    </row>
    <row r="5440">
      <c r="A5440" s="4"/>
      <c r="B5440" s="4"/>
      <c r="C5440" s="4"/>
      <c r="D5440" s="13"/>
      <c r="F5440" s="4"/>
    </row>
    <row r="5441">
      <c r="A5441" s="4"/>
      <c r="B5441" s="4"/>
      <c r="C5441" s="4"/>
      <c r="D5441" s="13"/>
      <c r="F5441" s="4"/>
    </row>
    <row r="5442">
      <c r="A5442" s="4"/>
      <c r="B5442" s="4"/>
      <c r="C5442" s="4"/>
      <c r="D5442" s="13"/>
      <c r="F5442" s="4"/>
    </row>
    <row r="5443">
      <c r="A5443" s="4"/>
      <c r="B5443" s="4"/>
      <c r="C5443" s="4"/>
      <c r="D5443" s="13"/>
      <c r="F5443" s="4"/>
    </row>
    <row r="5444">
      <c r="A5444" s="4"/>
      <c r="B5444" s="4"/>
      <c r="C5444" s="4"/>
      <c r="D5444" s="13"/>
      <c r="F5444" s="4"/>
    </row>
    <row r="5445">
      <c r="A5445" s="4"/>
      <c r="B5445" s="4"/>
      <c r="C5445" s="4"/>
      <c r="D5445" s="13"/>
      <c r="F5445" s="4"/>
    </row>
    <row r="5446">
      <c r="A5446" s="4"/>
      <c r="B5446" s="4"/>
      <c r="C5446" s="4"/>
      <c r="D5446" s="13"/>
      <c r="F5446" s="4"/>
    </row>
    <row r="5447">
      <c r="A5447" s="4"/>
      <c r="B5447" s="4"/>
      <c r="C5447" s="4"/>
      <c r="D5447" s="13"/>
      <c r="F5447" s="4"/>
    </row>
    <row r="5448">
      <c r="A5448" s="4"/>
      <c r="B5448" s="4"/>
      <c r="C5448" s="4"/>
      <c r="D5448" s="13"/>
      <c r="F5448" s="4"/>
    </row>
    <row r="5449">
      <c r="A5449" s="4"/>
      <c r="B5449" s="4"/>
      <c r="C5449" s="4"/>
      <c r="D5449" s="13"/>
      <c r="F5449" s="4"/>
    </row>
    <row r="5450">
      <c r="A5450" s="4"/>
      <c r="B5450" s="4"/>
      <c r="C5450" s="4"/>
      <c r="D5450" s="13"/>
      <c r="F5450" s="4"/>
    </row>
    <row r="5451">
      <c r="A5451" s="4"/>
      <c r="B5451" s="4"/>
      <c r="C5451" s="4"/>
      <c r="D5451" s="13"/>
      <c r="F5451" s="4"/>
    </row>
    <row r="5452">
      <c r="A5452" s="4"/>
      <c r="B5452" s="4"/>
      <c r="C5452" s="4"/>
      <c r="D5452" s="13"/>
      <c r="F5452" s="4"/>
    </row>
    <row r="5453">
      <c r="A5453" s="4"/>
      <c r="B5453" s="4"/>
      <c r="C5453" s="4"/>
      <c r="D5453" s="13"/>
      <c r="F5453" s="4"/>
    </row>
    <row r="5454">
      <c r="A5454" s="4"/>
      <c r="B5454" s="4"/>
      <c r="C5454" s="4"/>
      <c r="D5454" s="13"/>
      <c r="F5454" s="4"/>
    </row>
    <row r="5455">
      <c r="A5455" s="4"/>
      <c r="B5455" s="4"/>
      <c r="C5455" s="4"/>
      <c r="D5455" s="13"/>
      <c r="F5455" s="4"/>
    </row>
    <row r="5456">
      <c r="A5456" s="4"/>
      <c r="B5456" s="4"/>
      <c r="C5456" s="4"/>
      <c r="D5456" s="13"/>
      <c r="F5456" s="4"/>
    </row>
    <row r="5457">
      <c r="A5457" s="4"/>
      <c r="B5457" s="4"/>
      <c r="C5457" s="4"/>
      <c r="D5457" s="13"/>
      <c r="F5457" s="4"/>
    </row>
    <row r="5458">
      <c r="A5458" s="4"/>
      <c r="B5458" s="4"/>
      <c r="C5458" s="4"/>
      <c r="D5458" s="13"/>
      <c r="F5458" s="4"/>
    </row>
    <row r="5459">
      <c r="A5459" s="4"/>
      <c r="B5459" s="4"/>
      <c r="C5459" s="4"/>
      <c r="D5459" s="13"/>
      <c r="F5459" s="4"/>
    </row>
    <row r="5460">
      <c r="A5460" s="4"/>
      <c r="B5460" s="4"/>
      <c r="C5460" s="4"/>
      <c r="D5460" s="13"/>
      <c r="F5460" s="4"/>
    </row>
    <row r="5461">
      <c r="A5461" s="4"/>
      <c r="B5461" s="4"/>
      <c r="C5461" s="4"/>
      <c r="D5461" s="13"/>
      <c r="F5461" s="4"/>
    </row>
    <row r="5462">
      <c r="A5462" s="4"/>
      <c r="B5462" s="4"/>
      <c r="C5462" s="4"/>
      <c r="D5462" s="13"/>
      <c r="F5462" s="4"/>
    </row>
    <row r="5463">
      <c r="A5463" s="4"/>
      <c r="B5463" s="4"/>
      <c r="C5463" s="4"/>
      <c r="D5463" s="13"/>
      <c r="F5463" s="4"/>
    </row>
    <row r="5464">
      <c r="A5464" s="4"/>
      <c r="B5464" s="4"/>
      <c r="C5464" s="4"/>
      <c r="D5464" s="13"/>
      <c r="F5464" s="4"/>
    </row>
    <row r="5465">
      <c r="A5465" s="4"/>
      <c r="B5465" s="4"/>
      <c r="C5465" s="4"/>
      <c r="D5465" s="13"/>
      <c r="F5465" s="4"/>
    </row>
    <row r="5466">
      <c r="A5466" s="4"/>
      <c r="B5466" s="4"/>
      <c r="C5466" s="4"/>
      <c r="D5466" s="13"/>
      <c r="F5466" s="4"/>
    </row>
    <row r="5467">
      <c r="A5467" s="4"/>
      <c r="B5467" s="4"/>
      <c r="C5467" s="4"/>
      <c r="D5467" s="13"/>
      <c r="F5467" s="4"/>
    </row>
    <row r="5468">
      <c r="A5468" s="4"/>
      <c r="B5468" s="4"/>
      <c r="C5468" s="4"/>
      <c r="D5468" s="13"/>
      <c r="F5468" s="4"/>
    </row>
    <row r="5469">
      <c r="A5469" s="4"/>
      <c r="B5469" s="4"/>
      <c r="C5469" s="4"/>
      <c r="D5469" s="13"/>
      <c r="F5469" s="4"/>
    </row>
    <row r="5470">
      <c r="A5470" s="4"/>
      <c r="B5470" s="4"/>
      <c r="C5470" s="4"/>
      <c r="D5470" s="13"/>
      <c r="F5470" s="4"/>
    </row>
    <row r="5471">
      <c r="A5471" s="4"/>
      <c r="B5471" s="4"/>
      <c r="C5471" s="4"/>
      <c r="D5471" s="13"/>
      <c r="F5471" s="4"/>
    </row>
    <row r="5472">
      <c r="A5472" s="4"/>
      <c r="B5472" s="4"/>
      <c r="C5472" s="4"/>
      <c r="D5472" s="13"/>
      <c r="F5472" s="4"/>
    </row>
    <row r="5473">
      <c r="A5473" s="4"/>
      <c r="B5473" s="4"/>
      <c r="C5473" s="4"/>
      <c r="D5473" s="13"/>
      <c r="F5473" s="4"/>
    </row>
    <row r="5474">
      <c r="A5474" s="4"/>
      <c r="B5474" s="4"/>
      <c r="C5474" s="4"/>
      <c r="D5474" s="13"/>
      <c r="F5474" s="4"/>
    </row>
    <row r="5475">
      <c r="A5475" s="4"/>
      <c r="B5475" s="4"/>
      <c r="C5475" s="4"/>
      <c r="D5475" s="13"/>
      <c r="F5475" s="4"/>
    </row>
    <row r="5476">
      <c r="A5476" s="4"/>
      <c r="B5476" s="4"/>
      <c r="C5476" s="4"/>
      <c r="D5476" s="13"/>
      <c r="F5476" s="4"/>
    </row>
    <row r="5477">
      <c r="A5477" s="4"/>
      <c r="B5477" s="4"/>
      <c r="C5477" s="4"/>
      <c r="D5477" s="13"/>
      <c r="F5477" s="4"/>
    </row>
    <row r="5478">
      <c r="A5478" s="4"/>
      <c r="B5478" s="4"/>
      <c r="C5478" s="4"/>
      <c r="D5478" s="13"/>
      <c r="F5478" s="4"/>
    </row>
    <row r="5479">
      <c r="A5479" s="4"/>
      <c r="B5479" s="4"/>
      <c r="C5479" s="4"/>
      <c r="D5479" s="13"/>
      <c r="F5479" s="4"/>
    </row>
    <row r="5480">
      <c r="A5480" s="4"/>
      <c r="B5480" s="4"/>
      <c r="C5480" s="4"/>
      <c r="D5480" s="13"/>
      <c r="F5480" s="4"/>
    </row>
    <row r="5481">
      <c r="A5481" s="4"/>
      <c r="B5481" s="4"/>
      <c r="C5481" s="4"/>
      <c r="D5481" s="13"/>
      <c r="F5481" s="4"/>
    </row>
    <row r="5482">
      <c r="A5482" s="4"/>
      <c r="B5482" s="4"/>
      <c r="C5482" s="4"/>
      <c r="D5482" s="13"/>
      <c r="F5482" s="4"/>
    </row>
    <row r="5483">
      <c r="A5483" s="4"/>
      <c r="B5483" s="4"/>
      <c r="C5483" s="4"/>
      <c r="D5483" s="13"/>
      <c r="F5483" s="4"/>
    </row>
    <row r="5484">
      <c r="A5484" s="4"/>
      <c r="B5484" s="4"/>
      <c r="C5484" s="4"/>
      <c r="D5484" s="13"/>
      <c r="F5484" s="4"/>
    </row>
    <row r="5485">
      <c r="A5485" s="4"/>
      <c r="B5485" s="4"/>
      <c r="C5485" s="4"/>
      <c r="D5485" s="13"/>
      <c r="F5485" s="4"/>
    </row>
    <row r="5486">
      <c r="A5486" s="4"/>
      <c r="B5486" s="4"/>
      <c r="C5486" s="4"/>
      <c r="D5486" s="13"/>
      <c r="F5486" s="4"/>
    </row>
    <row r="5487">
      <c r="A5487" s="4"/>
      <c r="B5487" s="4"/>
      <c r="C5487" s="4"/>
      <c r="D5487" s="13"/>
      <c r="F5487" s="4"/>
    </row>
    <row r="5488">
      <c r="A5488" s="4"/>
      <c r="B5488" s="4"/>
      <c r="C5488" s="4"/>
      <c r="D5488" s="13"/>
      <c r="F5488" s="4"/>
    </row>
    <row r="5489">
      <c r="A5489" s="4"/>
      <c r="B5489" s="4"/>
      <c r="C5489" s="4"/>
      <c r="D5489" s="13"/>
      <c r="F5489" s="4"/>
    </row>
    <row r="5490">
      <c r="A5490" s="4"/>
      <c r="B5490" s="4"/>
      <c r="C5490" s="4"/>
      <c r="D5490" s="13"/>
      <c r="F5490" s="4"/>
    </row>
    <row r="5491">
      <c r="A5491" s="4"/>
      <c r="B5491" s="4"/>
      <c r="C5491" s="4"/>
      <c r="D5491" s="13"/>
      <c r="F5491" s="4"/>
    </row>
    <row r="5492">
      <c r="A5492" s="4"/>
      <c r="B5492" s="4"/>
      <c r="C5492" s="4"/>
      <c r="D5492" s="13"/>
      <c r="F5492" s="4"/>
    </row>
    <row r="5493">
      <c r="A5493" s="4"/>
      <c r="B5493" s="4"/>
      <c r="C5493" s="4"/>
      <c r="D5493" s="13"/>
      <c r="F5493" s="4"/>
    </row>
    <row r="5494">
      <c r="A5494" s="4"/>
      <c r="B5494" s="4"/>
      <c r="C5494" s="4"/>
      <c r="D5494" s="13"/>
      <c r="F5494" s="4"/>
    </row>
    <row r="5495">
      <c r="A5495" s="4"/>
      <c r="B5495" s="4"/>
      <c r="C5495" s="4"/>
      <c r="D5495" s="13"/>
      <c r="F5495" s="4"/>
    </row>
    <row r="5496">
      <c r="A5496" s="4"/>
      <c r="B5496" s="4"/>
      <c r="C5496" s="4"/>
      <c r="D5496" s="13"/>
      <c r="F5496" s="4"/>
    </row>
    <row r="5497">
      <c r="A5497" s="4"/>
      <c r="B5497" s="4"/>
      <c r="C5497" s="4"/>
      <c r="D5497" s="13"/>
      <c r="F5497" s="4"/>
    </row>
    <row r="5498">
      <c r="A5498" s="4"/>
      <c r="B5498" s="4"/>
      <c r="C5498" s="4"/>
      <c r="D5498" s="13"/>
      <c r="F5498" s="4"/>
    </row>
    <row r="5499">
      <c r="A5499" s="4"/>
      <c r="B5499" s="4"/>
      <c r="C5499" s="4"/>
      <c r="D5499" s="13"/>
      <c r="F5499" s="4"/>
    </row>
    <row r="5500">
      <c r="A5500" s="4"/>
      <c r="B5500" s="4"/>
      <c r="C5500" s="4"/>
      <c r="D5500" s="13"/>
      <c r="F5500" s="4"/>
    </row>
    <row r="5501">
      <c r="A5501" s="4"/>
      <c r="B5501" s="4"/>
      <c r="C5501" s="4"/>
      <c r="D5501" s="13"/>
      <c r="F5501" s="4"/>
    </row>
    <row r="5502">
      <c r="A5502" s="4"/>
      <c r="B5502" s="4"/>
      <c r="C5502" s="4"/>
      <c r="D5502" s="13"/>
      <c r="F5502" s="4"/>
    </row>
    <row r="5503">
      <c r="A5503" s="4"/>
      <c r="B5503" s="4"/>
      <c r="C5503" s="4"/>
      <c r="D5503" s="13"/>
      <c r="F5503" s="4"/>
    </row>
    <row r="5504">
      <c r="A5504" s="4"/>
      <c r="B5504" s="4"/>
      <c r="C5504" s="4"/>
      <c r="D5504" s="13"/>
      <c r="F5504" s="4"/>
    </row>
    <row r="5505">
      <c r="A5505" s="4"/>
      <c r="B5505" s="4"/>
      <c r="C5505" s="4"/>
      <c r="D5505" s="13"/>
      <c r="F5505" s="4"/>
    </row>
    <row r="5506">
      <c r="A5506" s="4"/>
      <c r="B5506" s="4"/>
      <c r="C5506" s="4"/>
      <c r="D5506" s="13"/>
      <c r="F5506" s="4"/>
    </row>
    <row r="5507">
      <c r="A5507" s="4"/>
      <c r="B5507" s="4"/>
      <c r="C5507" s="4"/>
      <c r="D5507" s="13"/>
      <c r="F5507" s="4"/>
    </row>
    <row r="5508">
      <c r="A5508" s="4"/>
      <c r="B5508" s="4"/>
      <c r="C5508" s="4"/>
      <c r="D5508" s="13"/>
      <c r="F5508" s="4"/>
    </row>
    <row r="5509">
      <c r="A5509" s="4"/>
      <c r="B5509" s="4"/>
      <c r="C5509" s="4"/>
      <c r="D5509" s="13"/>
      <c r="F5509" s="4"/>
    </row>
    <row r="5510">
      <c r="A5510" s="4"/>
      <c r="B5510" s="4"/>
      <c r="C5510" s="4"/>
      <c r="D5510" s="13"/>
      <c r="F5510" s="4"/>
    </row>
    <row r="5511">
      <c r="A5511" s="4"/>
      <c r="B5511" s="4"/>
      <c r="C5511" s="4"/>
      <c r="D5511" s="13"/>
      <c r="F5511" s="4"/>
    </row>
    <row r="5512">
      <c r="A5512" s="4"/>
      <c r="B5512" s="4"/>
      <c r="C5512" s="4"/>
      <c r="D5512" s="13"/>
      <c r="F5512" s="4"/>
    </row>
    <row r="5513">
      <c r="A5513" s="4"/>
      <c r="B5513" s="4"/>
      <c r="C5513" s="4"/>
      <c r="D5513" s="13"/>
      <c r="F5513" s="4"/>
    </row>
    <row r="5514">
      <c r="A5514" s="4"/>
      <c r="B5514" s="4"/>
      <c r="C5514" s="4"/>
      <c r="D5514" s="13"/>
      <c r="F5514" s="4"/>
    </row>
    <row r="5515">
      <c r="A5515" s="4"/>
      <c r="B5515" s="4"/>
      <c r="C5515" s="4"/>
      <c r="D5515" s="13"/>
      <c r="F5515" s="4"/>
    </row>
    <row r="5516">
      <c r="A5516" s="4"/>
      <c r="B5516" s="4"/>
      <c r="C5516" s="4"/>
      <c r="D5516" s="13"/>
      <c r="F5516" s="4"/>
    </row>
    <row r="5517">
      <c r="A5517" s="4"/>
      <c r="B5517" s="4"/>
      <c r="C5517" s="4"/>
      <c r="D5517" s="13"/>
      <c r="F5517" s="4"/>
    </row>
    <row r="5518">
      <c r="A5518" s="4"/>
      <c r="B5518" s="4"/>
      <c r="C5518" s="4"/>
      <c r="D5518" s="13"/>
      <c r="F5518" s="4"/>
    </row>
    <row r="5519">
      <c r="A5519" s="4"/>
      <c r="B5519" s="4"/>
      <c r="C5519" s="4"/>
      <c r="D5519" s="13"/>
      <c r="F5519" s="4"/>
    </row>
    <row r="5520">
      <c r="A5520" s="4"/>
      <c r="B5520" s="4"/>
      <c r="C5520" s="4"/>
      <c r="D5520" s="13"/>
      <c r="F5520" s="4"/>
    </row>
    <row r="5521">
      <c r="A5521" s="4"/>
      <c r="B5521" s="4"/>
      <c r="C5521" s="4"/>
      <c r="D5521" s="13"/>
      <c r="F5521" s="4"/>
    </row>
    <row r="5522">
      <c r="A5522" s="4"/>
      <c r="B5522" s="4"/>
      <c r="C5522" s="4"/>
      <c r="D5522" s="13"/>
      <c r="F5522" s="4"/>
    </row>
    <row r="5523">
      <c r="A5523" s="4"/>
      <c r="B5523" s="4"/>
      <c r="C5523" s="4"/>
      <c r="D5523" s="13"/>
      <c r="F5523" s="4"/>
    </row>
    <row r="5524">
      <c r="A5524" s="4"/>
      <c r="B5524" s="4"/>
      <c r="C5524" s="4"/>
      <c r="D5524" s="13"/>
      <c r="F5524" s="4"/>
    </row>
    <row r="5525">
      <c r="A5525" s="4"/>
      <c r="B5525" s="4"/>
      <c r="C5525" s="4"/>
      <c r="D5525" s="13"/>
      <c r="F5525" s="4"/>
    </row>
    <row r="5526">
      <c r="A5526" s="4"/>
      <c r="B5526" s="4"/>
      <c r="C5526" s="4"/>
      <c r="D5526" s="13"/>
      <c r="F5526" s="4"/>
    </row>
    <row r="5527">
      <c r="A5527" s="4"/>
      <c r="B5527" s="4"/>
      <c r="C5527" s="4"/>
      <c r="D5527" s="13"/>
      <c r="F5527" s="4"/>
    </row>
    <row r="5528">
      <c r="A5528" s="4"/>
      <c r="B5528" s="4"/>
      <c r="C5528" s="4"/>
      <c r="D5528" s="13"/>
      <c r="F5528" s="4"/>
    </row>
    <row r="5529">
      <c r="A5529" s="4"/>
      <c r="B5529" s="4"/>
      <c r="C5529" s="4"/>
      <c r="D5529" s="13"/>
      <c r="F5529" s="4"/>
    </row>
    <row r="5530">
      <c r="A5530" s="4"/>
      <c r="B5530" s="4"/>
      <c r="C5530" s="4"/>
      <c r="D5530" s="13"/>
      <c r="F5530" s="4"/>
    </row>
    <row r="5531">
      <c r="A5531" s="4"/>
      <c r="B5531" s="4"/>
      <c r="C5531" s="4"/>
      <c r="D5531" s="13"/>
      <c r="F5531" s="4"/>
    </row>
    <row r="5532">
      <c r="A5532" s="4"/>
      <c r="B5532" s="4"/>
      <c r="C5532" s="4"/>
      <c r="D5532" s="13"/>
      <c r="F5532" s="4"/>
    </row>
    <row r="5533">
      <c r="A5533" s="4"/>
      <c r="B5533" s="4"/>
      <c r="C5533" s="4"/>
      <c r="D5533" s="13"/>
      <c r="F5533" s="4"/>
    </row>
    <row r="5534">
      <c r="A5534" s="4"/>
      <c r="B5534" s="4"/>
      <c r="C5534" s="4"/>
      <c r="D5534" s="13"/>
      <c r="F5534" s="4"/>
    </row>
    <row r="5535">
      <c r="A5535" s="4"/>
      <c r="B5535" s="4"/>
      <c r="C5535" s="4"/>
      <c r="D5535" s="13"/>
      <c r="F5535" s="4"/>
    </row>
    <row r="5536">
      <c r="A5536" s="4"/>
      <c r="B5536" s="4"/>
      <c r="C5536" s="4"/>
      <c r="D5536" s="13"/>
      <c r="F5536" s="4"/>
    </row>
    <row r="5537">
      <c r="A5537" s="4"/>
      <c r="B5537" s="4"/>
      <c r="C5537" s="4"/>
      <c r="D5537" s="13"/>
      <c r="F5537" s="4"/>
    </row>
    <row r="5538">
      <c r="A5538" s="4"/>
      <c r="B5538" s="4"/>
      <c r="C5538" s="4"/>
      <c r="D5538" s="13"/>
      <c r="F5538" s="4"/>
    </row>
    <row r="5539">
      <c r="A5539" s="4"/>
      <c r="B5539" s="4"/>
      <c r="C5539" s="4"/>
      <c r="D5539" s="13"/>
      <c r="F5539" s="4"/>
    </row>
    <row r="5540">
      <c r="A5540" s="4"/>
      <c r="B5540" s="4"/>
      <c r="C5540" s="4"/>
      <c r="D5540" s="13"/>
      <c r="F5540" s="4"/>
    </row>
    <row r="5541">
      <c r="A5541" s="4"/>
      <c r="B5541" s="4"/>
      <c r="C5541" s="4"/>
      <c r="D5541" s="13"/>
      <c r="F5541" s="4"/>
    </row>
    <row r="5542">
      <c r="A5542" s="4"/>
      <c r="B5542" s="4"/>
      <c r="C5542" s="4"/>
      <c r="D5542" s="13"/>
      <c r="F5542" s="4"/>
    </row>
    <row r="5543">
      <c r="A5543" s="4"/>
      <c r="B5543" s="4"/>
      <c r="C5543" s="4"/>
      <c r="D5543" s="13"/>
      <c r="F5543" s="4"/>
    </row>
    <row r="5544">
      <c r="A5544" s="4"/>
      <c r="B5544" s="4"/>
      <c r="C5544" s="4"/>
      <c r="D5544" s="13"/>
      <c r="F5544" s="4"/>
    </row>
    <row r="5545">
      <c r="A5545" s="4"/>
      <c r="B5545" s="4"/>
      <c r="C5545" s="4"/>
      <c r="D5545" s="13"/>
      <c r="F5545" s="4"/>
    </row>
    <row r="5546">
      <c r="A5546" s="4"/>
      <c r="B5546" s="4"/>
      <c r="C5546" s="4"/>
      <c r="D5546" s="13"/>
      <c r="F5546" s="4"/>
    </row>
    <row r="5547">
      <c r="A5547" s="4"/>
      <c r="B5547" s="4"/>
      <c r="C5547" s="4"/>
      <c r="D5547" s="13"/>
      <c r="F5547" s="4"/>
    </row>
    <row r="5548">
      <c r="A5548" s="4"/>
      <c r="B5548" s="4"/>
      <c r="C5548" s="4"/>
      <c r="D5548" s="13"/>
      <c r="F5548" s="4"/>
    </row>
    <row r="5549">
      <c r="A5549" s="4"/>
      <c r="B5549" s="4"/>
      <c r="C5549" s="4"/>
      <c r="D5549" s="13"/>
      <c r="F5549" s="4"/>
    </row>
    <row r="5550">
      <c r="A5550" s="4"/>
      <c r="B5550" s="4"/>
      <c r="C5550" s="4"/>
      <c r="D5550" s="13"/>
      <c r="F5550" s="4"/>
    </row>
    <row r="5551">
      <c r="A5551" s="4"/>
      <c r="B5551" s="4"/>
      <c r="C5551" s="4"/>
      <c r="D5551" s="13"/>
      <c r="F5551" s="4"/>
    </row>
    <row r="5552">
      <c r="A5552" s="4"/>
      <c r="B5552" s="4"/>
      <c r="C5552" s="4"/>
      <c r="D5552" s="13"/>
      <c r="F5552" s="4"/>
    </row>
    <row r="5553">
      <c r="A5553" s="4"/>
      <c r="B5553" s="4"/>
      <c r="C5553" s="4"/>
      <c r="D5553" s="13"/>
      <c r="F5553" s="4"/>
    </row>
    <row r="5554">
      <c r="A5554" s="4"/>
      <c r="B5554" s="4"/>
      <c r="C5554" s="4"/>
      <c r="D5554" s="13"/>
      <c r="F5554" s="4"/>
    </row>
    <row r="5555">
      <c r="A5555" s="4"/>
      <c r="B5555" s="4"/>
      <c r="C5555" s="4"/>
      <c r="D5555" s="13"/>
      <c r="F5555" s="4"/>
    </row>
    <row r="5556">
      <c r="A5556" s="4"/>
      <c r="B5556" s="4"/>
      <c r="C5556" s="4"/>
      <c r="D5556" s="13"/>
      <c r="F5556" s="4"/>
    </row>
    <row r="5557">
      <c r="A5557" s="4"/>
      <c r="B5557" s="4"/>
      <c r="C5557" s="4"/>
      <c r="D5557" s="13"/>
      <c r="F5557" s="4"/>
    </row>
    <row r="5558">
      <c r="A5558" s="4"/>
      <c r="B5558" s="4"/>
      <c r="C5558" s="4"/>
      <c r="D5558" s="13"/>
      <c r="F5558" s="4"/>
    </row>
    <row r="5559">
      <c r="A5559" s="4"/>
      <c r="B5559" s="4"/>
      <c r="C5559" s="4"/>
      <c r="D5559" s="13"/>
      <c r="F5559" s="4"/>
    </row>
    <row r="5560">
      <c r="A5560" s="4"/>
      <c r="B5560" s="4"/>
      <c r="C5560" s="4"/>
      <c r="D5560" s="13"/>
      <c r="F5560" s="4"/>
    </row>
    <row r="5561">
      <c r="A5561" s="4"/>
      <c r="B5561" s="4"/>
      <c r="C5561" s="4"/>
      <c r="D5561" s="13"/>
      <c r="F5561" s="4"/>
    </row>
    <row r="5562">
      <c r="A5562" s="4"/>
      <c r="B5562" s="4"/>
      <c r="C5562" s="4"/>
      <c r="D5562" s="13"/>
      <c r="F5562" s="4"/>
    </row>
    <row r="5563">
      <c r="A5563" s="4"/>
      <c r="B5563" s="4"/>
      <c r="C5563" s="4"/>
      <c r="D5563" s="13"/>
      <c r="F5563" s="4"/>
    </row>
    <row r="5564">
      <c r="A5564" s="4"/>
      <c r="B5564" s="4"/>
      <c r="C5564" s="4"/>
      <c r="D5564" s="13"/>
      <c r="F5564" s="4"/>
    </row>
    <row r="5565">
      <c r="A5565" s="4"/>
      <c r="B5565" s="4"/>
      <c r="C5565" s="4"/>
      <c r="D5565" s="13"/>
      <c r="F5565" s="4"/>
    </row>
    <row r="5566">
      <c r="A5566" s="4"/>
      <c r="B5566" s="4"/>
      <c r="C5566" s="4"/>
      <c r="D5566" s="13"/>
      <c r="F5566" s="4"/>
    </row>
    <row r="5567">
      <c r="A5567" s="4"/>
      <c r="B5567" s="4"/>
      <c r="C5567" s="4"/>
      <c r="D5567" s="13"/>
      <c r="F5567" s="4"/>
    </row>
    <row r="5568">
      <c r="A5568" s="4"/>
      <c r="B5568" s="4"/>
      <c r="C5568" s="4"/>
      <c r="D5568" s="13"/>
      <c r="F5568" s="4"/>
    </row>
    <row r="5569">
      <c r="A5569" s="4"/>
      <c r="B5569" s="4"/>
      <c r="C5569" s="4"/>
      <c r="D5569" s="13"/>
      <c r="F5569" s="4"/>
    </row>
    <row r="5570">
      <c r="A5570" s="4"/>
      <c r="B5570" s="4"/>
      <c r="C5570" s="4"/>
      <c r="D5570" s="13"/>
      <c r="F5570" s="4"/>
    </row>
    <row r="5571">
      <c r="A5571" s="4"/>
      <c r="B5571" s="4"/>
      <c r="C5571" s="4"/>
      <c r="D5571" s="13"/>
      <c r="F5571" s="4"/>
    </row>
    <row r="5572">
      <c r="A5572" s="4"/>
      <c r="B5572" s="4"/>
      <c r="C5572" s="4"/>
      <c r="D5572" s="13"/>
      <c r="F5572" s="4"/>
    </row>
    <row r="5573">
      <c r="A5573" s="4"/>
      <c r="B5573" s="4"/>
      <c r="C5573" s="4"/>
      <c r="D5573" s="13"/>
      <c r="F5573" s="4"/>
    </row>
    <row r="5574">
      <c r="A5574" s="4"/>
      <c r="B5574" s="4"/>
      <c r="C5574" s="4"/>
      <c r="D5574" s="13"/>
      <c r="F5574" s="4"/>
    </row>
    <row r="5575">
      <c r="A5575" s="4"/>
      <c r="B5575" s="4"/>
      <c r="C5575" s="4"/>
      <c r="D5575" s="13"/>
      <c r="F5575" s="4"/>
    </row>
    <row r="5576">
      <c r="A5576" s="4"/>
      <c r="B5576" s="4"/>
      <c r="C5576" s="4"/>
      <c r="D5576" s="13"/>
      <c r="F5576" s="4"/>
    </row>
    <row r="5577">
      <c r="A5577" s="4"/>
      <c r="B5577" s="4"/>
      <c r="C5577" s="4"/>
      <c r="D5577" s="13"/>
      <c r="F5577" s="4"/>
    </row>
    <row r="5578">
      <c r="A5578" s="4"/>
      <c r="B5578" s="4"/>
      <c r="C5578" s="4"/>
      <c r="D5578" s="13"/>
      <c r="F5578" s="4"/>
    </row>
    <row r="5579">
      <c r="A5579" s="4"/>
      <c r="B5579" s="4"/>
      <c r="C5579" s="4"/>
      <c r="D5579" s="13"/>
      <c r="F5579" s="4"/>
    </row>
    <row r="5580">
      <c r="A5580" s="4"/>
      <c r="B5580" s="4"/>
      <c r="C5580" s="4"/>
      <c r="D5580" s="13"/>
      <c r="F5580" s="4"/>
    </row>
    <row r="5581">
      <c r="A5581" s="4"/>
      <c r="B5581" s="4"/>
      <c r="C5581" s="4"/>
      <c r="D5581" s="13"/>
      <c r="F5581" s="4"/>
    </row>
    <row r="5582">
      <c r="A5582" s="4"/>
      <c r="B5582" s="4"/>
      <c r="C5582" s="4"/>
      <c r="D5582" s="13"/>
      <c r="F5582" s="4"/>
    </row>
    <row r="5583">
      <c r="A5583" s="4"/>
      <c r="B5583" s="4"/>
      <c r="C5583" s="4"/>
      <c r="D5583" s="13"/>
      <c r="F5583" s="4"/>
    </row>
    <row r="5584">
      <c r="A5584" s="4"/>
      <c r="B5584" s="4"/>
      <c r="C5584" s="4"/>
      <c r="D5584" s="13"/>
      <c r="F5584" s="4"/>
    </row>
    <row r="5585">
      <c r="A5585" s="4"/>
      <c r="B5585" s="4"/>
      <c r="C5585" s="4"/>
      <c r="D5585" s="13"/>
      <c r="F5585" s="4"/>
    </row>
    <row r="5586">
      <c r="A5586" s="4"/>
      <c r="B5586" s="4"/>
      <c r="C5586" s="4"/>
      <c r="D5586" s="13"/>
      <c r="F5586" s="4"/>
    </row>
    <row r="5587">
      <c r="A5587" s="4"/>
      <c r="B5587" s="4"/>
      <c r="C5587" s="4"/>
      <c r="D5587" s="13"/>
      <c r="F5587" s="4"/>
    </row>
    <row r="5588">
      <c r="A5588" s="4"/>
      <c r="B5588" s="4"/>
      <c r="C5588" s="4"/>
      <c r="D5588" s="13"/>
      <c r="F5588" s="4"/>
    </row>
    <row r="5589">
      <c r="A5589" s="4"/>
      <c r="B5589" s="4"/>
      <c r="C5589" s="4"/>
      <c r="D5589" s="13"/>
      <c r="F5589" s="4"/>
    </row>
    <row r="5590">
      <c r="A5590" s="4"/>
      <c r="B5590" s="4"/>
      <c r="C5590" s="4"/>
      <c r="D5590" s="13"/>
      <c r="F5590" s="4"/>
    </row>
    <row r="5591">
      <c r="A5591" s="4"/>
      <c r="B5591" s="4"/>
      <c r="C5591" s="4"/>
      <c r="D5591" s="13"/>
      <c r="F5591" s="4"/>
    </row>
    <row r="5592">
      <c r="A5592" s="4"/>
      <c r="B5592" s="4"/>
      <c r="C5592" s="4"/>
      <c r="D5592" s="13"/>
      <c r="F5592" s="4"/>
    </row>
    <row r="5593">
      <c r="A5593" s="4"/>
      <c r="B5593" s="4"/>
      <c r="C5593" s="4"/>
      <c r="D5593" s="13"/>
      <c r="F5593" s="4"/>
    </row>
    <row r="5594">
      <c r="A5594" s="4"/>
      <c r="B5594" s="4"/>
      <c r="C5594" s="4"/>
      <c r="D5594" s="13"/>
      <c r="F5594" s="4"/>
    </row>
    <row r="5595">
      <c r="A5595" s="4"/>
      <c r="B5595" s="4"/>
      <c r="C5595" s="4"/>
      <c r="D5595" s="13"/>
      <c r="F5595" s="4"/>
    </row>
    <row r="5596">
      <c r="A5596" s="4"/>
      <c r="B5596" s="4"/>
      <c r="C5596" s="4"/>
      <c r="D5596" s="13"/>
      <c r="F5596" s="4"/>
    </row>
    <row r="5597">
      <c r="A5597" s="4"/>
      <c r="B5597" s="4"/>
      <c r="C5597" s="4"/>
      <c r="D5597" s="13"/>
      <c r="F5597" s="4"/>
    </row>
    <row r="5598">
      <c r="A5598" s="4"/>
      <c r="B5598" s="4"/>
      <c r="C5598" s="4"/>
      <c r="D5598" s="13"/>
      <c r="F5598" s="4"/>
    </row>
    <row r="5599">
      <c r="A5599" s="4"/>
      <c r="B5599" s="4"/>
      <c r="C5599" s="4"/>
      <c r="D5599" s="13"/>
      <c r="F5599" s="4"/>
    </row>
    <row r="5600">
      <c r="A5600" s="4"/>
      <c r="B5600" s="4"/>
      <c r="C5600" s="4"/>
      <c r="D5600" s="13"/>
      <c r="F5600" s="4"/>
    </row>
    <row r="5601">
      <c r="A5601" s="4"/>
      <c r="B5601" s="4"/>
      <c r="C5601" s="4"/>
      <c r="D5601" s="13"/>
      <c r="F5601" s="4"/>
    </row>
    <row r="5602">
      <c r="A5602" s="4"/>
      <c r="B5602" s="4"/>
      <c r="C5602" s="4"/>
      <c r="D5602" s="13"/>
      <c r="F5602" s="4"/>
    </row>
    <row r="5603">
      <c r="A5603" s="4"/>
      <c r="B5603" s="4"/>
      <c r="C5603" s="4"/>
      <c r="D5603" s="13"/>
      <c r="F5603" s="4"/>
    </row>
    <row r="5604">
      <c r="A5604" s="4"/>
      <c r="B5604" s="4"/>
      <c r="C5604" s="4"/>
      <c r="D5604" s="13"/>
      <c r="F5604" s="4"/>
    </row>
    <row r="5605">
      <c r="A5605" s="4"/>
      <c r="B5605" s="4"/>
      <c r="C5605" s="4"/>
      <c r="D5605" s="13"/>
      <c r="F5605" s="4"/>
    </row>
    <row r="5606">
      <c r="A5606" s="4"/>
      <c r="B5606" s="4"/>
      <c r="C5606" s="4"/>
      <c r="D5606" s="13"/>
      <c r="F5606" s="4"/>
    </row>
    <row r="5607">
      <c r="A5607" s="4"/>
      <c r="B5607" s="4"/>
      <c r="C5607" s="4"/>
      <c r="D5607" s="13"/>
      <c r="F5607" s="4"/>
    </row>
    <row r="5608">
      <c r="A5608" s="4"/>
      <c r="B5608" s="4"/>
      <c r="C5608" s="4"/>
      <c r="D5608" s="13"/>
      <c r="F5608" s="4"/>
    </row>
    <row r="5609">
      <c r="A5609" s="4"/>
      <c r="B5609" s="4"/>
      <c r="C5609" s="4"/>
      <c r="D5609" s="13"/>
      <c r="F5609" s="4"/>
    </row>
    <row r="5610">
      <c r="A5610" s="4"/>
      <c r="B5610" s="4"/>
      <c r="C5610" s="4"/>
      <c r="D5610" s="13"/>
      <c r="F5610" s="4"/>
    </row>
    <row r="5611">
      <c r="A5611" s="4"/>
      <c r="B5611" s="4"/>
      <c r="C5611" s="4"/>
      <c r="D5611" s="13"/>
      <c r="F5611" s="4"/>
    </row>
    <row r="5612">
      <c r="A5612" s="4"/>
      <c r="B5612" s="4"/>
      <c r="C5612" s="4"/>
      <c r="D5612" s="13"/>
      <c r="F5612" s="4"/>
    </row>
    <row r="5613">
      <c r="A5613" s="4"/>
      <c r="B5613" s="4"/>
      <c r="C5613" s="4"/>
      <c r="D5613" s="13"/>
      <c r="F5613" s="4"/>
    </row>
    <row r="5614">
      <c r="A5614" s="4"/>
      <c r="B5614" s="4"/>
      <c r="C5614" s="4"/>
      <c r="D5614" s="13"/>
      <c r="F5614" s="4"/>
    </row>
    <row r="5615">
      <c r="A5615" s="4"/>
      <c r="B5615" s="4"/>
      <c r="C5615" s="4"/>
      <c r="D5615" s="13"/>
      <c r="F5615" s="4"/>
    </row>
    <row r="5616">
      <c r="A5616" s="4"/>
      <c r="B5616" s="4"/>
      <c r="C5616" s="4"/>
      <c r="D5616" s="13"/>
      <c r="F5616" s="4"/>
    </row>
    <row r="5617">
      <c r="A5617" s="4"/>
      <c r="B5617" s="4"/>
      <c r="C5617" s="4"/>
      <c r="D5617" s="13"/>
      <c r="F5617" s="4"/>
    </row>
    <row r="5618">
      <c r="A5618" s="4"/>
      <c r="B5618" s="4"/>
      <c r="C5618" s="4"/>
      <c r="D5618" s="13"/>
      <c r="F5618" s="4"/>
    </row>
    <row r="5619">
      <c r="A5619" s="4"/>
      <c r="B5619" s="4"/>
      <c r="C5619" s="4"/>
      <c r="D5619" s="13"/>
      <c r="F5619" s="4"/>
    </row>
    <row r="5620">
      <c r="A5620" s="4"/>
      <c r="B5620" s="4"/>
      <c r="C5620" s="4"/>
      <c r="D5620" s="13"/>
      <c r="F5620" s="4"/>
    </row>
    <row r="5621">
      <c r="A5621" s="4"/>
      <c r="B5621" s="4"/>
      <c r="C5621" s="4"/>
      <c r="D5621" s="13"/>
      <c r="F5621" s="4"/>
    </row>
    <row r="5622">
      <c r="A5622" s="4"/>
      <c r="B5622" s="4"/>
      <c r="C5622" s="4"/>
      <c r="D5622" s="13"/>
      <c r="F5622" s="4"/>
    </row>
    <row r="5623">
      <c r="A5623" s="4"/>
      <c r="B5623" s="4"/>
      <c r="C5623" s="4"/>
      <c r="D5623" s="13"/>
      <c r="F5623" s="4"/>
    </row>
    <row r="5624">
      <c r="A5624" s="4"/>
      <c r="B5624" s="4"/>
      <c r="C5624" s="4"/>
      <c r="D5624" s="13"/>
      <c r="F5624" s="4"/>
    </row>
    <row r="5625">
      <c r="A5625" s="4"/>
      <c r="B5625" s="4"/>
      <c r="C5625" s="4"/>
      <c r="D5625" s="13"/>
      <c r="F5625" s="4"/>
    </row>
    <row r="5626">
      <c r="A5626" s="4"/>
      <c r="B5626" s="4"/>
      <c r="C5626" s="4"/>
      <c r="D5626" s="13"/>
      <c r="F5626" s="4"/>
    </row>
    <row r="5627">
      <c r="A5627" s="4"/>
      <c r="B5627" s="4"/>
      <c r="C5627" s="4"/>
      <c r="D5627" s="13"/>
      <c r="F5627" s="4"/>
    </row>
    <row r="5628">
      <c r="A5628" s="4"/>
      <c r="B5628" s="4"/>
      <c r="C5628" s="4"/>
      <c r="D5628" s="13"/>
      <c r="F5628" s="4"/>
    </row>
    <row r="5629">
      <c r="A5629" s="4"/>
      <c r="B5629" s="4"/>
      <c r="C5629" s="4"/>
      <c r="D5629" s="13"/>
      <c r="F5629" s="4"/>
    </row>
    <row r="5630">
      <c r="A5630" s="4"/>
      <c r="B5630" s="4"/>
      <c r="C5630" s="4"/>
      <c r="D5630" s="13"/>
      <c r="F5630" s="4"/>
    </row>
    <row r="5631">
      <c r="A5631" s="4"/>
      <c r="B5631" s="4"/>
      <c r="C5631" s="4"/>
      <c r="D5631" s="13"/>
      <c r="F5631" s="4"/>
    </row>
    <row r="5632">
      <c r="A5632" s="4"/>
      <c r="B5632" s="4"/>
      <c r="C5632" s="4"/>
      <c r="D5632" s="13"/>
      <c r="F5632" s="4"/>
    </row>
    <row r="5633">
      <c r="A5633" s="4"/>
      <c r="B5633" s="4"/>
      <c r="C5633" s="4"/>
      <c r="D5633" s="13"/>
      <c r="F5633" s="4"/>
    </row>
    <row r="5634">
      <c r="A5634" s="4"/>
      <c r="B5634" s="4"/>
      <c r="C5634" s="4"/>
      <c r="D5634" s="13"/>
      <c r="F5634" s="4"/>
    </row>
    <row r="5635">
      <c r="A5635" s="4"/>
      <c r="B5635" s="4"/>
      <c r="C5635" s="4"/>
      <c r="D5635" s="13"/>
      <c r="F5635" s="4"/>
    </row>
    <row r="5636">
      <c r="A5636" s="4"/>
      <c r="B5636" s="4"/>
      <c r="C5636" s="4"/>
      <c r="D5636" s="13"/>
      <c r="F5636" s="4"/>
    </row>
    <row r="5637">
      <c r="A5637" s="4"/>
      <c r="B5637" s="4"/>
      <c r="C5637" s="4"/>
      <c r="D5637" s="13"/>
      <c r="F5637" s="4"/>
    </row>
    <row r="5638">
      <c r="A5638" s="4"/>
      <c r="B5638" s="4"/>
      <c r="C5638" s="4"/>
      <c r="D5638" s="13"/>
      <c r="F5638" s="4"/>
    </row>
    <row r="5639">
      <c r="A5639" s="4"/>
      <c r="B5639" s="4"/>
      <c r="C5639" s="4"/>
      <c r="D5639" s="13"/>
      <c r="F5639" s="4"/>
    </row>
    <row r="5640">
      <c r="A5640" s="4"/>
      <c r="B5640" s="4"/>
      <c r="C5640" s="4"/>
      <c r="D5640" s="13"/>
      <c r="F5640" s="4"/>
    </row>
    <row r="5641">
      <c r="A5641" s="4"/>
      <c r="B5641" s="4"/>
      <c r="C5641" s="4"/>
      <c r="D5641" s="13"/>
      <c r="F5641" s="4"/>
    </row>
    <row r="5642">
      <c r="A5642" s="4"/>
      <c r="B5642" s="4"/>
      <c r="C5642" s="4"/>
      <c r="D5642" s="13"/>
      <c r="F5642" s="4"/>
    </row>
    <row r="5643">
      <c r="A5643" s="4"/>
      <c r="B5643" s="4"/>
      <c r="C5643" s="4"/>
      <c r="D5643" s="13"/>
      <c r="F5643" s="4"/>
    </row>
    <row r="5644">
      <c r="A5644" s="4"/>
      <c r="B5644" s="4"/>
      <c r="C5644" s="4"/>
      <c r="D5644" s="13"/>
      <c r="F5644" s="4"/>
    </row>
    <row r="5645">
      <c r="A5645" s="4"/>
      <c r="B5645" s="4"/>
      <c r="C5645" s="4"/>
      <c r="D5645" s="13"/>
      <c r="F5645" s="4"/>
    </row>
    <row r="5646">
      <c r="A5646" s="4"/>
      <c r="B5646" s="4"/>
      <c r="C5646" s="4"/>
      <c r="D5646" s="13"/>
      <c r="F5646" s="4"/>
    </row>
    <row r="5647">
      <c r="A5647" s="4"/>
      <c r="B5647" s="4"/>
      <c r="C5647" s="4"/>
      <c r="D5647" s="13"/>
      <c r="F5647" s="4"/>
    </row>
    <row r="5648">
      <c r="A5648" s="4"/>
      <c r="B5648" s="4"/>
      <c r="C5648" s="4"/>
      <c r="D5648" s="13"/>
      <c r="F5648" s="4"/>
    </row>
    <row r="5649">
      <c r="A5649" s="4"/>
      <c r="B5649" s="4"/>
      <c r="C5649" s="4"/>
      <c r="D5649" s="13"/>
      <c r="F5649" s="4"/>
    </row>
  </sheetData>
  <hyperlinks>
    <hyperlink r:id="rId2" ref="C1"/>
    <hyperlink r:id="rId3" ref="D1"/>
  </hyperlink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5.63"/>
  </cols>
  <sheetData>
    <row r="1">
      <c r="A1" s="2" t="s">
        <v>1</v>
      </c>
      <c r="B1" s="2" t="s">
        <v>4206</v>
      </c>
      <c r="C1" s="5" t="s">
        <v>4207</v>
      </c>
      <c r="D1" s="2" t="s">
        <v>4217</v>
      </c>
      <c r="E1" s="2" t="s">
        <v>4218</v>
      </c>
      <c r="F1" s="2" t="s">
        <v>4220</v>
      </c>
      <c r="G1" s="2" t="s">
        <v>4221</v>
      </c>
      <c r="H1" s="2" t="s">
        <v>4222</v>
      </c>
      <c r="I1" s="2" t="s">
        <v>4223</v>
      </c>
      <c r="J1" s="2" t="s">
        <v>4225</v>
      </c>
    </row>
    <row r="2">
      <c r="A2" s="1" t="s">
        <v>4226</v>
      </c>
      <c r="B2" s="1" t="s">
        <v>1575</v>
      </c>
      <c r="C2" s="1" t="s">
        <v>3034</v>
      </c>
      <c r="D2" s="1" t="s">
        <v>3451</v>
      </c>
      <c r="E2" s="1" t="s">
        <v>4228</v>
      </c>
      <c r="F2" s="1" t="s">
        <v>84</v>
      </c>
      <c r="G2" s="1" t="s">
        <v>129</v>
      </c>
      <c r="H2" s="1" t="s">
        <v>162</v>
      </c>
      <c r="I2" s="1" t="s">
        <v>4230</v>
      </c>
      <c r="J2" s="1" t="s">
        <v>4231</v>
      </c>
    </row>
    <row r="3">
      <c r="A3" s="1" t="s">
        <v>4233</v>
      </c>
      <c r="B3" s="1" t="s">
        <v>1575</v>
      </c>
      <c r="C3" s="1" t="s">
        <v>3034</v>
      </c>
      <c r="D3" s="1" t="s">
        <v>3451</v>
      </c>
      <c r="E3" s="1" t="s">
        <v>4235</v>
      </c>
      <c r="F3" s="1" t="s">
        <v>78</v>
      </c>
      <c r="G3" s="4"/>
      <c r="H3" s="3">
        <v>46148.0</v>
      </c>
      <c r="I3" s="1" t="s">
        <v>4237</v>
      </c>
      <c r="J3" s="1" t="s">
        <v>4238</v>
      </c>
    </row>
    <row r="4">
      <c r="A4" s="1" t="s">
        <v>4241</v>
      </c>
      <c r="B4" s="1" t="s">
        <v>1575</v>
      </c>
      <c r="C4" s="1" t="s">
        <v>3034</v>
      </c>
      <c r="D4" s="1" t="s">
        <v>3451</v>
      </c>
      <c r="E4" s="1" t="s">
        <v>4243</v>
      </c>
      <c r="F4" s="1" t="s">
        <v>78</v>
      </c>
      <c r="G4" s="3">
        <v>46148.0</v>
      </c>
      <c r="H4" s="13"/>
      <c r="I4" s="1" t="s">
        <v>4244</v>
      </c>
      <c r="J4" s="1" t="s">
        <v>4238</v>
      </c>
    </row>
    <row r="5">
      <c r="A5" s="1" t="s">
        <v>4246</v>
      </c>
      <c r="B5" s="1" t="s">
        <v>1988</v>
      </c>
      <c r="C5" s="1" t="s">
        <v>3458</v>
      </c>
      <c r="D5" s="1" t="s">
        <v>3459</v>
      </c>
      <c r="E5" s="1" t="s">
        <v>4247</v>
      </c>
      <c r="F5" s="1" t="s">
        <v>84</v>
      </c>
      <c r="G5" s="1" t="s">
        <v>162</v>
      </c>
      <c r="H5" s="1" t="s">
        <v>335</v>
      </c>
      <c r="I5" s="1" t="s">
        <v>4249</v>
      </c>
      <c r="J5" s="1" t="s">
        <v>4251</v>
      </c>
    </row>
    <row r="6">
      <c r="A6" s="1" t="s">
        <v>4252</v>
      </c>
      <c r="B6" s="1" t="s">
        <v>1988</v>
      </c>
      <c r="C6" s="1" t="s">
        <v>3458</v>
      </c>
      <c r="D6" s="1" t="s">
        <v>3459</v>
      </c>
      <c r="E6" s="1" t="s">
        <v>4253</v>
      </c>
      <c r="F6" s="1" t="s">
        <v>84</v>
      </c>
      <c r="G6" s="1" t="s">
        <v>335</v>
      </c>
      <c r="H6" s="1" t="s">
        <v>460</v>
      </c>
      <c r="I6" s="1" t="s">
        <v>4254</v>
      </c>
      <c r="J6" s="1" t="s">
        <v>4255</v>
      </c>
    </row>
    <row r="7">
      <c r="A7" s="1" t="s">
        <v>4257</v>
      </c>
      <c r="B7" s="1" t="s">
        <v>1988</v>
      </c>
      <c r="C7" s="1" t="s">
        <v>3458</v>
      </c>
      <c r="D7" s="1" t="s">
        <v>3459</v>
      </c>
      <c r="E7" s="1" t="s">
        <v>4258</v>
      </c>
      <c r="F7" s="1" t="s">
        <v>78</v>
      </c>
      <c r="G7" s="4"/>
      <c r="H7" s="3">
        <v>46265.0</v>
      </c>
      <c r="I7" s="1" t="s">
        <v>4260</v>
      </c>
      <c r="J7" s="1" t="s">
        <v>4255</v>
      </c>
    </row>
    <row r="8">
      <c r="A8" s="1" t="s">
        <v>4261</v>
      </c>
      <c r="B8" s="1" t="s">
        <v>2011</v>
      </c>
      <c r="C8" s="1" t="s">
        <v>1567</v>
      </c>
      <c r="D8" s="1" t="s">
        <v>3497</v>
      </c>
      <c r="E8" s="1" t="s">
        <v>4262</v>
      </c>
      <c r="F8" s="1" t="s">
        <v>84</v>
      </c>
      <c r="G8" s="1" t="s">
        <v>162</v>
      </c>
      <c r="H8" s="1" t="s">
        <v>363</v>
      </c>
      <c r="I8" s="1" t="s">
        <v>4263</v>
      </c>
      <c r="J8" s="1" t="s">
        <v>4264</v>
      </c>
    </row>
    <row r="9">
      <c r="A9" s="1" t="s">
        <v>4265</v>
      </c>
      <c r="B9" s="1" t="s">
        <v>2011</v>
      </c>
      <c r="C9" s="1" t="s">
        <v>1567</v>
      </c>
      <c r="D9" s="1" t="s">
        <v>3497</v>
      </c>
      <c r="E9" s="1" t="s">
        <v>4267</v>
      </c>
      <c r="F9" s="1" t="s">
        <v>86</v>
      </c>
      <c r="G9" s="1" t="s">
        <v>131</v>
      </c>
      <c r="H9" s="1" t="s">
        <v>365</v>
      </c>
      <c r="I9" s="1" t="s">
        <v>4268</v>
      </c>
      <c r="J9" s="1" t="s">
        <v>4264</v>
      </c>
    </row>
    <row r="10">
      <c r="A10" s="1" t="s">
        <v>4269</v>
      </c>
      <c r="B10" s="1" t="s">
        <v>2011</v>
      </c>
      <c r="C10" s="1" t="s">
        <v>1567</v>
      </c>
      <c r="D10" s="1" t="s">
        <v>3497</v>
      </c>
      <c r="E10" s="1" t="s">
        <v>4271</v>
      </c>
      <c r="F10" s="1" t="s">
        <v>86</v>
      </c>
      <c r="G10" s="1" t="s">
        <v>365</v>
      </c>
      <c r="H10" s="1" t="s">
        <v>131</v>
      </c>
      <c r="I10" s="1" t="s">
        <v>4273</v>
      </c>
      <c r="J10" s="1" t="s">
        <v>4274</v>
      </c>
    </row>
    <row r="11">
      <c r="A11" s="1" t="s">
        <v>4275</v>
      </c>
      <c r="B11" s="1" t="s">
        <v>1565</v>
      </c>
      <c r="C11" s="1" t="s">
        <v>1567</v>
      </c>
      <c r="D11" s="1" t="s">
        <v>3510</v>
      </c>
      <c r="E11" s="1" t="s">
        <v>4276</v>
      </c>
      <c r="F11" s="1" t="s">
        <v>86</v>
      </c>
      <c r="G11" s="1" t="s">
        <v>131</v>
      </c>
      <c r="H11" s="1" t="s">
        <v>472</v>
      </c>
      <c r="I11" s="1" t="s">
        <v>4279</v>
      </c>
      <c r="J11" s="1" t="s">
        <v>4280</v>
      </c>
    </row>
    <row r="12">
      <c r="A12" s="1" t="s">
        <v>4281</v>
      </c>
      <c r="B12" s="1" t="s">
        <v>1565</v>
      </c>
      <c r="C12" s="1" t="s">
        <v>1567</v>
      </c>
      <c r="D12" s="1" t="s">
        <v>3510</v>
      </c>
      <c r="E12" s="1" t="s">
        <v>4282</v>
      </c>
      <c r="F12" s="1" t="s">
        <v>86</v>
      </c>
      <c r="G12" s="1" t="s">
        <v>472</v>
      </c>
      <c r="H12" s="1" t="s">
        <v>131</v>
      </c>
      <c r="I12" s="1" t="s">
        <v>4284</v>
      </c>
      <c r="J12" s="1" t="s">
        <v>4280</v>
      </c>
    </row>
    <row r="13">
      <c r="A13" s="1" t="s">
        <v>4285</v>
      </c>
      <c r="B13" s="1" t="s">
        <v>1565</v>
      </c>
      <c r="C13" s="1" t="s">
        <v>1567</v>
      </c>
      <c r="D13" s="1" t="s">
        <v>3510</v>
      </c>
      <c r="E13" s="1" t="s">
        <v>4286</v>
      </c>
      <c r="F13" s="1" t="s">
        <v>84</v>
      </c>
      <c r="G13" s="1" t="s">
        <v>162</v>
      </c>
      <c r="H13" s="1" t="s">
        <v>460</v>
      </c>
      <c r="I13" s="1" t="s">
        <v>4288</v>
      </c>
      <c r="J13" s="1" t="s">
        <v>4289</v>
      </c>
    </row>
    <row r="14">
      <c r="A14" s="1" t="s">
        <v>4291</v>
      </c>
      <c r="B14" s="1" t="s">
        <v>1565</v>
      </c>
      <c r="C14" s="1" t="s">
        <v>1567</v>
      </c>
      <c r="D14" s="1" t="s">
        <v>3510</v>
      </c>
      <c r="E14" s="1" t="s">
        <v>4286</v>
      </c>
      <c r="F14" s="1" t="s">
        <v>84</v>
      </c>
      <c r="G14" s="1" t="s">
        <v>460</v>
      </c>
      <c r="H14" s="1" t="s">
        <v>253</v>
      </c>
      <c r="I14" s="1" t="s">
        <v>4295</v>
      </c>
      <c r="J14" s="1" t="s">
        <v>4280</v>
      </c>
    </row>
    <row r="15">
      <c r="A15" s="1" t="s">
        <v>4296</v>
      </c>
      <c r="B15" s="1" t="s">
        <v>1565</v>
      </c>
      <c r="C15" s="1" t="s">
        <v>1567</v>
      </c>
      <c r="D15" s="1" t="s">
        <v>3510</v>
      </c>
      <c r="E15" s="1" t="s">
        <v>4297</v>
      </c>
      <c r="F15" s="1" t="s">
        <v>78</v>
      </c>
      <c r="G15" s="1"/>
      <c r="H15" s="3">
        <v>46248.0</v>
      </c>
      <c r="I15" s="1" t="s">
        <v>4299</v>
      </c>
      <c r="J15" s="1" t="s">
        <v>4280</v>
      </c>
    </row>
    <row r="16">
      <c r="A16" s="1" t="s">
        <v>4302</v>
      </c>
      <c r="B16" s="1" t="s">
        <v>1565</v>
      </c>
      <c r="C16" s="1" t="s">
        <v>1567</v>
      </c>
      <c r="D16" s="1" t="s">
        <v>3510</v>
      </c>
      <c r="E16" s="1" t="s">
        <v>4304</v>
      </c>
      <c r="F16" s="1" t="s">
        <v>84</v>
      </c>
      <c r="G16" s="1" t="s">
        <v>253</v>
      </c>
      <c r="H16" s="1" t="s">
        <v>216</v>
      </c>
      <c r="I16" s="1" t="s">
        <v>4307</v>
      </c>
      <c r="J16" s="1" t="s">
        <v>4280</v>
      </c>
    </row>
    <row r="17">
      <c r="A17" s="1" t="s">
        <v>4309</v>
      </c>
      <c r="B17" s="1" t="s">
        <v>2073</v>
      </c>
      <c r="C17" s="1" t="s">
        <v>3388</v>
      </c>
      <c r="D17" s="1" t="s">
        <v>3516</v>
      </c>
      <c r="E17" s="1" t="s">
        <v>4310</v>
      </c>
      <c r="F17" s="1" t="s">
        <v>84</v>
      </c>
      <c r="G17" s="1" t="s">
        <v>162</v>
      </c>
      <c r="H17" s="1" t="s">
        <v>300</v>
      </c>
      <c r="I17" s="1" t="s">
        <v>4314</v>
      </c>
      <c r="J17" s="1" t="s">
        <v>4315</v>
      </c>
    </row>
    <row r="18">
      <c r="A18" s="1" t="s">
        <v>4316</v>
      </c>
      <c r="B18" s="1" t="s">
        <v>2073</v>
      </c>
      <c r="C18" s="1" t="s">
        <v>3388</v>
      </c>
      <c r="D18" s="1" t="s">
        <v>3516</v>
      </c>
      <c r="E18" s="1" t="s">
        <v>4319</v>
      </c>
      <c r="F18" s="1" t="s">
        <v>86</v>
      </c>
      <c r="G18" s="1" t="s">
        <v>131</v>
      </c>
      <c r="H18" s="1" t="s">
        <v>365</v>
      </c>
      <c r="I18" s="1" t="s">
        <v>4320</v>
      </c>
      <c r="J18" s="1" t="s">
        <v>4315</v>
      </c>
    </row>
    <row r="19">
      <c r="A19" s="1" t="s">
        <v>4322</v>
      </c>
      <c r="B19" s="1" t="s">
        <v>2073</v>
      </c>
      <c r="C19" s="1" t="s">
        <v>3388</v>
      </c>
      <c r="D19" s="1" t="s">
        <v>3516</v>
      </c>
      <c r="E19" s="1" t="s">
        <v>4323</v>
      </c>
      <c r="F19" s="1" t="s">
        <v>86</v>
      </c>
      <c r="G19" s="1" t="s">
        <v>365</v>
      </c>
      <c r="H19" s="1" t="s">
        <v>131</v>
      </c>
      <c r="I19" s="1" t="s">
        <v>4324</v>
      </c>
      <c r="J19" s="1" t="s">
        <v>4315</v>
      </c>
    </row>
    <row r="20">
      <c r="A20" s="1" t="s">
        <v>4327</v>
      </c>
      <c r="B20" s="1" t="s">
        <v>2073</v>
      </c>
      <c r="C20" s="1" t="s">
        <v>3388</v>
      </c>
      <c r="D20" s="1" t="s">
        <v>3516</v>
      </c>
      <c r="E20" s="1" t="s">
        <v>4319</v>
      </c>
      <c r="F20" s="1" t="s">
        <v>84</v>
      </c>
      <c r="G20" s="1" t="s">
        <v>300</v>
      </c>
      <c r="H20" s="1" t="s">
        <v>460</v>
      </c>
      <c r="I20" s="1" t="s">
        <v>4330</v>
      </c>
      <c r="J20" s="1" t="s">
        <v>4315</v>
      </c>
    </row>
    <row r="21">
      <c r="A21" s="1" t="s">
        <v>4332</v>
      </c>
      <c r="B21" s="1" t="s">
        <v>2073</v>
      </c>
      <c r="C21" s="1" t="s">
        <v>3388</v>
      </c>
      <c r="D21" s="1" t="s">
        <v>3516</v>
      </c>
      <c r="E21" s="1" t="s">
        <v>4333</v>
      </c>
      <c r="F21" s="1" t="s">
        <v>84</v>
      </c>
      <c r="G21" s="1" t="s">
        <v>460</v>
      </c>
      <c r="H21" s="1" t="s">
        <v>253</v>
      </c>
      <c r="I21" s="1" t="s">
        <v>4335</v>
      </c>
      <c r="J21" s="1" t="s">
        <v>4315</v>
      </c>
    </row>
    <row r="22">
      <c r="A22" s="1" t="s">
        <v>4337</v>
      </c>
      <c r="B22" s="1" t="s">
        <v>2079</v>
      </c>
      <c r="C22" s="1" t="s">
        <v>116</v>
      </c>
      <c r="D22" s="1" t="s">
        <v>3523</v>
      </c>
      <c r="E22" s="1" t="s">
        <v>4341</v>
      </c>
      <c r="F22" s="1" t="s">
        <v>78</v>
      </c>
      <c r="G22" s="1"/>
      <c r="H22" s="3">
        <v>46251.0</v>
      </c>
      <c r="I22" s="1" t="s">
        <v>4342</v>
      </c>
      <c r="J22" s="1" t="s">
        <v>4343</v>
      </c>
    </row>
    <row r="23">
      <c r="A23" s="1" t="s">
        <v>4344</v>
      </c>
      <c r="B23" s="1" t="s">
        <v>2079</v>
      </c>
      <c r="C23" s="1" t="s">
        <v>116</v>
      </c>
      <c r="D23" s="1" t="s">
        <v>3523</v>
      </c>
      <c r="E23" s="1" t="s">
        <v>4347</v>
      </c>
      <c r="F23" s="1" t="s">
        <v>84</v>
      </c>
      <c r="G23" s="1" t="s">
        <v>162</v>
      </c>
      <c r="H23" s="1" t="s">
        <v>216</v>
      </c>
      <c r="I23" s="1" t="s">
        <v>4349</v>
      </c>
      <c r="J23" s="1" t="s">
        <v>4343</v>
      </c>
    </row>
    <row r="24">
      <c r="A24" s="1" t="s">
        <v>4350</v>
      </c>
      <c r="B24" s="1" t="s">
        <v>1495</v>
      </c>
      <c r="C24" s="1" t="s">
        <v>116</v>
      </c>
      <c r="D24" s="1" t="s">
        <v>3534</v>
      </c>
      <c r="E24" s="1" t="s">
        <v>4351</v>
      </c>
      <c r="F24" s="1" t="s">
        <v>84</v>
      </c>
      <c r="G24" s="1" t="s">
        <v>162</v>
      </c>
      <c r="H24" s="1" t="s">
        <v>300</v>
      </c>
      <c r="I24" s="1" t="s">
        <v>4354</v>
      </c>
      <c r="J24" s="1" t="s">
        <v>4356</v>
      </c>
    </row>
    <row r="25">
      <c r="A25" s="1" t="s">
        <v>4357</v>
      </c>
      <c r="B25" s="1" t="s">
        <v>1495</v>
      </c>
      <c r="C25" s="1" t="s">
        <v>116</v>
      </c>
      <c r="D25" s="1" t="s">
        <v>3534</v>
      </c>
      <c r="E25" s="1" t="s">
        <v>4359</v>
      </c>
      <c r="F25" s="1" t="s">
        <v>84</v>
      </c>
      <c r="G25" s="1" t="s">
        <v>300</v>
      </c>
      <c r="H25" s="1" t="s">
        <v>460</v>
      </c>
      <c r="I25" s="1" t="s">
        <v>4361</v>
      </c>
      <c r="J25" s="1" t="s">
        <v>4356</v>
      </c>
    </row>
    <row r="26">
      <c r="A26" s="1" t="s">
        <v>4363</v>
      </c>
      <c r="B26" s="1" t="s">
        <v>2127</v>
      </c>
      <c r="C26" s="1" t="s">
        <v>3540</v>
      </c>
      <c r="D26" s="1" t="s">
        <v>3542</v>
      </c>
      <c r="E26" s="1" t="s">
        <v>4364</v>
      </c>
      <c r="F26" s="1" t="s">
        <v>86</v>
      </c>
      <c r="G26" s="1" t="s">
        <v>131</v>
      </c>
      <c r="H26" s="1" t="s">
        <v>365</v>
      </c>
      <c r="I26" s="1" t="s">
        <v>4367</v>
      </c>
      <c r="J26" s="1" t="s">
        <v>4264</v>
      </c>
    </row>
    <row r="27">
      <c r="A27" s="1" t="s">
        <v>4369</v>
      </c>
      <c r="B27" s="1" t="s">
        <v>2127</v>
      </c>
      <c r="C27" s="1" t="s">
        <v>3540</v>
      </c>
      <c r="D27" s="1" t="s">
        <v>3542</v>
      </c>
      <c r="E27" s="1" t="s">
        <v>4371</v>
      </c>
      <c r="F27" s="1" t="s">
        <v>86</v>
      </c>
      <c r="G27" s="1" t="s">
        <v>365</v>
      </c>
      <c r="H27" s="1" t="s">
        <v>472</v>
      </c>
      <c r="I27" s="1" t="s">
        <v>4373</v>
      </c>
      <c r="J27" s="1" t="s">
        <v>4264</v>
      </c>
    </row>
    <row r="28">
      <c r="A28" s="1" t="s">
        <v>4374</v>
      </c>
      <c r="B28" s="1" t="s">
        <v>2127</v>
      </c>
      <c r="C28" s="1" t="s">
        <v>3540</v>
      </c>
      <c r="D28" s="1" t="s">
        <v>3542</v>
      </c>
      <c r="E28" s="1" t="s">
        <v>4375</v>
      </c>
      <c r="F28" s="1" t="s">
        <v>86</v>
      </c>
      <c r="G28" s="1" t="s">
        <v>472</v>
      </c>
      <c r="H28" s="1" t="s">
        <v>365</v>
      </c>
      <c r="I28" s="1" t="s">
        <v>4379</v>
      </c>
      <c r="J28" s="1" t="s">
        <v>4380</v>
      </c>
    </row>
    <row r="29">
      <c r="A29" s="1" t="s">
        <v>4382</v>
      </c>
      <c r="B29" s="1" t="s">
        <v>2127</v>
      </c>
      <c r="C29" s="1" t="s">
        <v>3540</v>
      </c>
      <c r="D29" s="1" t="s">
        <v>3542</v>
      </c>
      <c r="E29" s="1" t="s">
        <v>4383</v>
      </c>
      <c r="F29" s="1" t="s">
        <v>86</v>
      </c>
      <c r="G29" s="1" t="s">
        <v>365</v>
      </c>
      <c r="H29" s="1" t="s">
        <v>131</v>
      </c>
      <c r="I29" s="1" t="s">
        <v>4385</v>
      </c>
      <c r="J29" s="1" t="s">
        <v>4380</v>
      </c>
    </row>
    <row r="30">
      <c r="A30" s="1" t="s">
        <v>4386</v>
      </c>
      <c r="B30" s="1" t="s">
        <v>2141</v>
      </c>
      <c r="C30" s="1" t="s">
        <v>3549</v>
      </c>
      <c r="D30" s="1" t="s">
        <v>3550</v>
      </c>
      <c r="E30" s="1" t="s">
        <v>4388</v>
      </c>
      <c r="F30" s="1" t="s">
        <v>84</v>
      </c>
      <c r="G30" s="1" t="s">
        <v>162</v>
      </c>
      <c r="H30" s="1" t="s">
        <v>335</v>
      </c>
      <c r="I30" s="1" t="s">
        <v>4392</v>
      </c>
      <c r="J30" s="1" t="s">
        <v>4393</v>
      </c>
    </row>
    <row r="31">
      <c r="A31" s="1" t="s">
        <v>4394</v>
      </c>
      <c r="B31" s="1" t="s">
        <v>2141</v>
      </c>
      <c r="C31" s="1" t="s">
        <v>3549</v>
      </c>
      <c r="D31" s="1" t="s">
        <v>3550</v>
      </c>
      <c r="E31" s="1" t="s">
        <v>4395</v>
      </c>
      <c r="F31" s="1" t="s">
        <v>84</v>
      </c>
      <c r="G31" s="1" t="s">
        <v>335</v>
      </c>
      <c r="H31" s="1" t="s">
        <v>460</v>
      </c>
      <c r="I31" s="1" t="s">
        <v>4396</v>
      </c>
      <c r="J31" s="1" t="s">
        <v>4398</v>
      </c>
    </row>
    <row r="32">
      <c r="A32" s="1" t="s">
        <v>4400</v>
      </c>
      <c r="B32" s="1" t="s">
        <v>2094</v>
      </c>
      <c r="C32" s="1" t="s">
        <v>116</v>
      </c>
      <c r="D32" s="1" t="s">
        <v>3559</v>
      </c>
      <c r="E32" s="1" t="s">
        <v>4403</v>
      </c>
      <c r="F32" s="1" t="s">
        <v>84</v>
      </c>
      <c r="G32" s="1" t="s">
        <v>162</v>
      </c>
      <c r="H32" s="1" t="s">
        <v>335</v>
      </c>
      <c r="I32" s="1" t="s">
        <v>4405</v>
      </c>
      <c r="J32" s="1" t="s">
        <v>4406</v>
      </c>
    </row>
    <row r="33">
      <c r="A33" s="1" t="s">
        <v>4407</v>
      </c>
      <c r="B33" s="1" t="s">
        <v>2094</v>
      </c>
      <c r="C33" s="1" t="s">
        <v>116</v>
      </c>
      <c r="D33" s="1" t="s">
        <v>3559</v>
      </c>
      <c r="E33" s="1" t="s">
        <v>4409</v>
      </c>
      <c r="F33" s="1" t="s">
        <v>84</v>
      </c>
      <c r="G33" s="1" t="s">
        <v>335</v>
      </c>
      <c r="H33" s="1" t="s">
        <v>253</v>
      </c>
      <c r="I33" s="1" t="s">
        <v>4412</v>
      </c>
      <c r="J33" s="1" t="s">
        <v>4406</v>
      </c>
    </row>
    <row r="34">
      <c r="A34" s="1" t="s">
        <v>4414</v>
      </c>
      <c r="B34" s="1" t="s">
        <v>2094</v>
      </c>
      <c r="C34" s="1" t="s">
        <v>116</v>
      </c>
      <c r="D34" s="1" t="s">
        <v>3559</v>
      </c>
      <c r="E34" s="1" t="s">
        <v>4417</v>
      </c>
      <c r="F34" s="1" t="s">
        <v>78</v>
      </c>
      <c r="G34" s="1"/>
      <c r="H34" s="3">
        <v>46238.0</v>
      </c>
      <c r="I34" s="1" t="s">
        <v>4419</v>
      </c>
      <c r="J34" s="1" t="s">
        <v>4406</v>
      </c>
    </row>
    <row r="35">
      <c r="A35" s="1" t="s">
        <v>4420</v>
      </c>
      <c r="B35" s="1" t="s">
        <v>2150</v>
      </c>
      <c r="C35" s="1" t="s">
        <v>2413</v>
      </c>
      <c r="D35" s="1" t="s">
        <v>3579</v>
      </c>
      <c r="E35" s="1" t="s">
        <v>4421</v>
      </c>
      <c r="F35" s="1" t="s">
        <v>84</v>
      </c>
      <c r="G35" s="1" t="s">
        <v>162</v>
      </c>
      <c r="H35" s="1" t="s">
        <v>460</v>
      </c>
      <c r="I35" s="1" t="s">
        <v>4423</v>
      </c>
      <c r="J35" s="1" t="s">
        <v>4424</v>
      </c>
    </row>
    <row r="36">
      <c r="A36" s="1" t="s">
        <v>4425</v>
      </c>
      <c r="B36" s="1" t="s">
        <v>2155</v>
      </c>
      <c r="C36" s="1" t="s">
        <v>3586</v>
      </c>
      <c r="D36" s="1" t="s">
        <v>3587</v>
      </c>
      <c r="E36" s="1" t="s">
        <v>4426</v>
      </c>
      <c r="F36" s="1" t="s">
        <v>84</v>
      </c>
      <c r="G36" s="1" t="s">
        <v>162</v>
      </c>
      <c r="H36" s="1" t="s">
        <v>129</v>
      </c>
      <c r="I36" s="1" t="s">
        <v>4428</v>
      </c>
      <c r="J36" s="1" t="s">
        <v>4429</v>
      </c>
    </row>
    <row r="37">
      <c r="A37" s="1" t="s">
        <v>4430</v>
      </c>
      <c r="B37" s="1" t="s">
        <v>2155</v>
      </c>
      <c r="C37" s="1" t="s">
        <v>3586</v>
      </c>
      <c r="D37" s="1" t="s">
        <v>3587</v>
      </c>
      <c r="E37" s="1" t="s">
        <v>4426</v>
      </c>
      <c r="F37" s="1" t="s">
        <v>84</v>
      </c>
      <c r="G37" s="1" t="s">
        <v>129</v>
      </c>
      <c r="H37" s="1" t="s">
        <v>162</v>
      </c>
      <c r="I37" s="1" t="s">
        <v>4433</v>
      </c>
      <c r="J37" s="1" t="s">
        <v>4429</v>
      </c>
    </row>
    <row r="38">
      <c r="A38" s="1" t="s">
        <v>4434</v>
      </c>
      <c r="B38" s="1" t="s">
        <v>2155</v>
      </c>
      <c r="C38" s="1" t="s">
        <v>3586</v>
      </c>
      <c r="D38" s="1" t="s">
        <v>3587</v>
      </c>
      <c r="E38" s="1" t="s">
        <v>4435</v>
      </c>
      <c r="F38" s="1" t="s">
        <v>84</v>
      </c>
      <c r="G38" s="1" t="s">
        <v>162</v>
      </c>
      <c r="H38" s="1" t="s">
        <v>460</v>
      </c>
      <c r="I38" s="1" t="s">
        <v>4437</v>
      </c>
      <c r="J38" s="1" t="s">
        <v>4438</v>
      </c>
    </row>
    <row r="39">
      <c r="A39" s="1" t="s">
        <v>4439</v>
      </c>
      <c r="B39" s="1" t="s">
        <v>2168</v>
      </c>
      <c r="C39" s="1" t="s">
        <v>828</v>
      </c>
      <c r="D39" s="1" t="s">
        <v>3599</v>
      </c>
      <c r="E39" s="1" t="s">
        <v>4440</v>
      </c>
      <c r="F39" s="1" t="s">
        <v>84</v>
      </c>
      <c r="G39" s="1" t="s">
        <v>162</v>
      </c>
      <c r="H39" s="1" t="s">
        <v>335</v>
      </c>
      <c r="I39" s="1" t="s">
        <v>4441</v>
      </c>
      <c r="J39" s="1" t="s">
        <v>4442</v>
      </c>
    </row>
    <row r="40">
      <c r="A40" s="1" t="s">
        <v>4444</v>
      </c>
      <c r="B40" s="1" t="s">
        <v>2168</v>
      </c>
      <c r="C40" s="1" t="s">
        <v>828</v>
      </c>
      <c r="D40" s="1" t="s">
        <v>3599</v>
      </c>
      <c r="E40" s="1" t="s">
        <v>4446</v>
      </c>
      <c r="F40" s="1" t="s">
        <v>84</v>
      </c>
      <c r="G40" s="1" t="s">
        <v>335</v>
      </c>
      <c r="H40" s="1" t="s">
        <v>460</v>
      </c>
      <c r="I40" s="1" t="s">
        <v>4448</v>
      </c>
      <c r="J40" s="1" t="s">
        <v>4442</v>
      </c>
    </row>
    <row r="41">
      <c r="A41" s="1" t="s">
        <v>4451</v>
      </c>
      <c r="B41" s="1" t="s">
        <v>2186</v>
      </c>
      <c r="C41" s="1" t="s">
        <v>116</v>
      </c>
      <c r="D41" s="1" t="s">
        <v>3618</v>
      </c>
      <c r="E41" s="1" t="s">
        <v>4453</v>
      </c>
      <c r="F41" s="1" t="s">
        <v>84</v>
      </c>
      <c r="G41" s="1" t="s">
        <v>162</v>
      </c>
      <c r="H41" s="1" t="s">
        <v>335</v>
      </c>
      <c r="I41" s="1" t="s">
        <v>4455</v>
      </c>
      <c r="J41" s="1" t="s">
        <v>4456</v>
      </c>
    </row>
    <row r="42">
      <c r="A42" s="1" t="s">
        <v>4457</v>
      </c>
      <c r="B42" s="1" t="s">
        <v>2186</v>
      </c>
      <c r="C42" s="1" t="s">
        <v>116</v>
      </c>
      <c r="D42" s="1" t="s">
        <v>3618</v>
      </c>
      <c r="E42" s="1" t="s">
        <v>4459</v>
      </c>
      <c r="F42" s="1" t="s">
        <v>84</v>
      </c>
      <c r="G42" s="1" t="s">
        <v>335</v>
      </c>
      <c r="H42" s="1" t="s">
        <v>460</v>
      </c>
      <c r="I42" s="1" t="s">
        <v>4460</v>
      </c>
      <c r="J42" s="1" t="s">
        <v>4456</v>
      </c>
    </row>
    <row r="43">
      <c r="A43" s="1" t="s">
        <v>4462</v>
      </c>
      <c r="B43" s="1" t="s">
        <v>2186</v>
      </c>
      <c r="C43" s="1" t="s">
        <v>116</v>
      </c>
      <c r="D43" s="1" t="s">
        <v>3618</v>
      </c>
      <c r="E43" s="1" t="s">
        <v>4463</v>
      </c>
      <c r="F43" s="1" t="s">
        <v>84</v>
      </c>
      <c r="G43" s="1" t="s">
        <v>460</v>
      </c>
      <c r="H43" s="1" t="s">
        <v>216</v>
      </c>
      <c r="I43" s="1" t="s">
        <v>4465</v>
      </c>
      <c r="J43" s="1" t="s">
        <v>4456</v>
      </c>
    </row>
    <row r="44">
      <c r="A44" s="1" t="s">
        <v>4469</v>
      </c>
      <c r="B44" s="1" t="s">
        <v>2186</v>
      </c>
      <c r="C44" s="1" t="s">
        <v>116</v>
      </c>
      <c r="D44" s="1" t="s">
        <v>3618</v>
      </c>
      <c r="E44" s="1" t="s">
        <v>4463</v>
      </c>
      <c r="F44" s="1" t="s">
        <v>84</v>
      </c>
      <c r="G44" s="1" t="s">
        <v>216</v>
      </c>
      <c r="H44" s="1" t="s">
        <v>460</v>
      </c>
      <c r="I44" s="1" t="s">
        <v>4472</v>
      </c>
      <c r="J44" s="1" t="s">
        <v>4473</v>
      </c>
    </row>
    <row r="45">
      <c r="A45" s="1" t="s">
        <v>4474</v>
      </c>
      <c r="B45" s="1" t="s">
        <v>2081</v>
      </c>
      <c r="C45" s="1" t="s">
        <v>116</v>
      </c>
      <c r="D45" s="1" t="s">
        <v>3630</v>
      </c>
      <c r="E45" s="1" t="s">
        <v>4478</v>
      </c>
      <c r="F45" s="1" t="s">
        <v>84</v>
      </c>
      <c r="G45" s="1" t="s">
        <v>162</v>
      </c>
      <c r="H45" s="1" t="s">
        <v>129</v>
      </c>
      <c r="I45" s="1" t="s">
        <v>4479</v>
      </c>
      <c r="J45" s="1" t="s">
        <v>4480</v>
      </c>
    </row>
    <row r="46">
      <c r="A46" s="1" t="s">
        <v>4483</v>
      </c>
      <c r="B46" s="1" t="s">
        <v>2081</v>
      </c>
      <c r="C46" s="1" t="s">
        <v>116</v>
      </c>
      <c r="D46" s="1" t="s">
        <v>3630</v>
      </c>
      <c r="E46" s="1" t="s">
        <v>4486</v>
      </c>
      <c r="F46" s="1" t="s">
        <v>84</v>
      </c>
      <c r="G46" s="1" t="s">
        <v>129</v>
      </c>
      <c r="H46" s="1" t="s">
        <v>162</v>
      </c>
      <c r="I46" s="1" t="s">
        <v>4488</v>
      </c>
      <c r="J46" s="1" t="s">
        <v>4289</v>
      </c>
    </row>
    <row r="47">
      <c r="A47" s="1" t="s">
        <v>4490</v>
      </c>
      <c r="B47" s="1" t="s">
        <v>2081</v>
      </c>
      <c r="C47" s="1" t="s">
        <v>116</v>
      </c>
      <c r="D47" s="1" t="s">
        <v>3630</v>
      </c>
      <c r="E47" s="1" t="s">
        <v>4493</v>
      </c>
      <c r="F47" s="1" t="s">
        <v>84</v>
      </c>
      <c r="G47" s="1" t="s">
        <v>162</v>
      </c>
      <c r="H47" s="1" t="s">
        <v>129</v>
      </c>
      <c r="I47" s="1" t="s">
        <v>4495</v>
      </c>
      <c r="J47" s="1" t="s">
        <v>4289</v>
      </c>
    </row>
    <row r="48">
      <c r="A48" s="1" t="s">
        <v>4498</v>
      </c>
      <c r="B48" s="1" t="s">
        <v>2081</v>
      </c>
      <c r="C48" s="1" t="s">
        <v>116</v>
      </c>
      <c r="D48" s="1" t="s">
        <v>3630</v>
      </c>
      <c r="E48" s="1" t="s">
        <v>4486</v>
      </c>
      <c r="F48" s="1" t="s">
        <v>84</v>
      </c>
      <c r="G48" s="1" t="s">
        <v>129</v>
      </c>
      <c r="H48" s="1" t="s">
        <v>162</v>
      </c>
      <c r="I48" s="1" t="s">
        <v>4499</v>
      </c>
      <c r="J48" s="1" t="s">
        <v>4289</v>
      </c>
    </row>
    <row r="49">
      <c r="A49" s="1" t="s">
        <v>4502</v>
      </c>
      <c r="B49" s="1" t="s">
        <v>3331</v>
      </c>
      <c r="C49" s="1" t="s">
        <v>116</v>
      </c>
      <c r="D49" s="1" t="s">
        <v>3639</v>
      </c>
      <c r="E49" s="1" t="s">
        <v>4503</v>
      </c>
      <c r="F49" s="1" t="s">
        <v>84</v>
      </c>
      <c r="G49" s="1" t="s">
        <v>162</v>
      </c>
      <c r="H49" s="1" t="s">
        <v>129</v>
      </c>
      <c r="I49" s="1" t="s">
        <v>4504</v>
      </c>
      <c r="J49" s="1" t="s">
        <v>4480</v>
      </c>
    </row>
    <row r="50">
      <c r="A50" s="1" t="s">
        <v>4505</v>
      </c>
      <c r="B50" s="1" t="s">
        <v>3331</v>
      </c>
      <c r="C50" s="1" t="s">
        <v>116</v>
      </c>
      <c r="D50" s="1" t="s">
        <v>3639</v>
      </c>
      <c r="E50" s="1" t="s">
        <v>4508</v>
      </c>
      <c r="F50" s="1" t="s">
        <v>84</v>
      </c>
      <c r="G50" s="1" t="s">
        <v>129</v>
      </c>
      <c r="H50" s="1" t="s">
        <v>162</v>
      </c>
      <c r="I50" s="1" t="s">
        <v>4513</v>
      </c>
      <c r="J50" s="1" t="s">
        <v>4515</v>
      </c>
    </row>
    <row r="51">
      <c r="A51" s="1" t="s">
        <v>4517</v>
      </c>
      <c r="B51" s="1" t="s">
        <v>2239</v>
      </c>
      <c r="C51" s="1" t="s">
        <v>2413</v>
      </c>
      <c r="D51" s="1" t="s">
        <v>3648</v>
      </c>
      <c r="E51" s="1" t="s">
        <v>4520</v>
      </c>
      <c r="F51" s="1" t="s">
        <v>84</v>
      </c>
      <c r="G51" s="1" t="s">
        <v>162</v>
      </c>
      <c r="H51" s="1" t="s">
        <v>335</v>
      </c>
      <c r="I51" s="1" t="s">
        <v>4522</v>
      </c>
      <c r="J51" s="1" t="s">
        <v>4524</v>
      </c>
    </row>
    <row r="52">
      <c r="A52" s="1" t="s">
        <v>4526</v>
      </c>
      <c r="B52" s="1" t="s">
        <v>2239</v>
      </c>
      <c r="C52" s="1" t="s">
        <v>2413</v>
      </c>
      <c r="D52" s="1" t="s">
        <v>3648</v>
      </c>
      <c r="E52" s="1" t="s">
        <v>4528</v>
      </c>
      <c r="F52" s="1" t="s">
        <v>84</v>
      </c>
      <c r="G52" s="1" t="s">
        <v>335</v>
      </c>
      <c r="H52" s="1" t="s">
        <v>460</v>
      </c>
      <c r="I52" s="1" t="s">
        <v>4532</v>
      </c>
      <c r="J52" s="1" t="s">
        <v>4535</v>
      </c>
    </row>
    <row r="53">
      <c r="A53" s="1" t="s">
        <v>4538</v>
      </c>
      <c r="B53" s="1" t="s">
        <v>2247</v>
      </c>
      <c r="C53" s="1" t="s">
        <v>116</v>
      </c>
      <c r="D53" s="1" t="s">
        <v>3658</v>
      </c>
      <c r="E53" s="1" t="s">
        <v>4541</v>
      </c>
      <c r="F53" s="1" t="s">
        <v>84</v>
      </c>
      <c r="G53" s="1" t="s">
        <v>162</v>
      </c>
      <c r="H53" s="1" t="s">
        <v>300</v>
      </c>
      <c r="I53" s="1" t="s">
        <v>4543</v>
      </c>
      <c r="J53" s="1" t="s">
        <v>4544</v>
      </c>
    </row>
    <row r="54">
      <c r="A54" s="1" t="s">
        <v>4546</v>
      </c>
      <c r="B54" s="1" t="s">
        <v>2247</v>
      </c>
      <c r="C54" s="1" t="s">
        <v>116</v>
      </c>
      <c r="D54" s="1" t="s">
        <v>3658</v>
      </c>
      <c r="E54" s="1" t="s">
        <v>4553</v>
      </c>
      <c r="F54" s="1" t="s">
        <v>84</v>
      </c>
      <c r="G54" s="1" t="s">
        <v>300</v>
      </c>
      <c r="H54" s="1" t="s">
        <v>363</v>
      </c>
      <c r="I54" s="1" t="s">
        <v>4557</v>
      </c>
      <c r="J54" s="1" t="s">
        <v>4544</v>
      </c>
    </row>
    <row r="55">
      <c r="A55" s="1" t="s">
        <v>4558</v>
      </c>
      <c r="B55" s="1" t="s">
        <v>2247</v>
      </c>
      <c r="C55" s="1" t="s">
        <v>116</v>
      </c>
      <c r="D55" s="1" t="s">
        <v>3658</v>
      </c>
      <c r="E55" s="1" t="s">
        <v>4562</v>
      </c>
      <c r="F55" s="1" t="s">
        <v>84</v>
      </c>
      <c r="G55" s="1" t="s">
        <v>363</v>
      </c>
      <c r="H55" s="1" t="s">
        <v>460</v>
      </c>
      <c r="I55" s="1" t="s">
        <v>4568</v>
      </c>
      <c r="J55" s="1" t="s">
        <v>4544</v>
      </c>
    </row>
    <row r="56">
      <c r="A56" s="1" t="s">
        <v>4570</v>
      </c>
      <c r="B56" s="1" t="s">
        <v>449</v>
      </c>
      <c r="C56" s="1" t="s">
        <v>116</v>
      </c>
      <c r="D56" s="1" t="s">
        <v>3674</v>
      </c>
      <c r="E56" s="1" t="s">
        <v>4574</v>
      </c>
      <c r="F56" s="1" t="s">
        <v>84</v>
      </c>
      <c r="G56" s="1" t="s">
        <v>162</v>
      </c>
      <c r="H56" s="1" t="s">
        <v>460</v>
      </c>
      <c r="I56" s="1" t="s">
        <v>4579</v>
      </c>
      <c r="J56" s="1" t="s">
        <v>4581</v>
      </c>
    </row>
    <row r="57">
      <c r="A57" s="1" t="s">
        <v>4583</v>
      </c>
      <c r="B57" s="1" t="s">
        <v>449</v>
      </c>
      <c r="C57" s="1" t="s">
        <v>116</v>
      </c>
      <c r="D57" s="1" t="s">
        <v>3674</v>
      </c>
      <c r="E57" s="1" t="s">
        <v>4587</v>
      </c>
      <c r="F57" s="1" t="s">
        <v>86</v>
      </c>
      <c r="G57" s="1" t="s">
        <v>131</v>
      </c>
      <c r="H57" s="1" t="s">
        <v>365</v>
      </c>
      <c r="I57" s="1" t="s">
        <v>4589</v>
      </c>
      <c r="J57" s="1" t="s">
        <v>4581</v>
      </c>
    </row>
    <row r="58">
      <c r="A58" s="1" t="s">
        <v>4591</v>
      </c>
      <c r="B58" s="1" t="s">
        <v>449</v>
      </c>
      <c r="C58" s="1" t="s">
        <v>116</v>
      </c>
      <c r="D58" s="1" t="s">
        <v>3674</v>
      </c>
      <c r="E58" s="1" t="s">
        <v>4603</v>
      </c>
      <c r="F58" s="1" t="s">
        <v>86</v>
      </c>
      <c r="G58" s="1" t="s">
        <v>365</v>
      </c>
      <c r="H58" s="1" t="s">
        <v>131</v>
      </c>
      <c r="I58" s="1" t="s">
        <v>4605</v>
      </c>
      <c r="J58" s="1" t="s">
        <v>4581</v>
      </c>
    </row>
    <row r="59">
      <c r="A59" s="1" t="s">
        <v>4606</v>
      </c>
      <c r="B59" s="1" t="s">
        <v>449</v>
      </c>
      <c r="C59" s="1" t="s">
        <v>116</v>
      </c>
      <c r="D59" s="1" t="s">
        <v>3674</v>
      </c>
      <c r="E59" s="1" t="s">
        <v>4608</v>
      </c>
      <c r="F59" s="1" t="s">
        <v>84</v>
      </c>
      <c r="G59" s="1" t="s">
        <v>460</v>
      </c>
      <c r="H59" s="1" t="s">
        <v>253</v>
      </c>
      <c r="I59" s="1" t="s">
        <v>4612</v>
      </c>
      <c r="J59" s="1" t="s">
        <v>4581</v>
      </c>
    </row>
    <row r="60">
      <c r="A60" s="1" t="s">
        <v>4615</v>
      </c>
      <c r="B60" s="1" t="s">
        <v>2255</v>
      </c>
      <c r="C60" s="1" t="s">
        <v>2760</v>
      </c>
      <c r="D60" s="1" t="s">
        <v>3681</v>
      </c>
      <c r="E60" s="1" t="s">
        <v>4620</v>
      </c>
      <c r="F60" s="1" t="s">
        <v>84</v>
      </c>
      <c r="G60" s="1" t="s">
        <v>162</v>
      </c>
      <c r="H60" s="1" t="s">
        <v>300</v>
      </c>
      <c r="I60" s="1" t="s">
        <v>4624</v>
      </c>
      <c r="J60" s="1" t="s">
        <v>4515</v>
      </c>
    </row>
    <row r="61">
      <c r="A61" s="1" t="s">
        <v>4626</v>
      </c>
      <c r="B61" s="1" t="s">
        <v>2255</v>
      </c>
      <c r="C61" s="1" t="s">
        <v>2760</v>
      </c>
      <c r="D61" s="1" t="s">
        <v>3681</v>
      </c>
      <c r="E61" s="1" t="s">
        <v>4631</v>
      </c>
      <c r="F61" s="1" t="s">
        <v>84</v>
      </c>
      <c r="G61" s="1" t="s">
        <v>300</v>
      </c>
      <c r="H61" s="1" t="s">
        <v>363</v>
      </c>
      <c r="I61" s="1" t="s">
        <v>4634</v>
      </c>
      <c r="J61" s="1" t="s">
        <v>4515</v>
      </c>
    </row>
    <row r="62">
      <c r="A62" s="1" t="s">
        <v>4638</v>
      </c>
      <c r="B62" s="1" t="s">
        <v>2255</v>
      </c>
      <c r="C62" s="1" t="s">
        <v>2760</v>
      </c>
      <c r="D62" s="1" t="s">
        <v>3681</v>
      </c>
      <c r="E62" s="1" t="s">
        <v>4642</v>
      </c>
      <c r="F62" s="1" t="s">
        <v>84</v>
      </c>
      <c r="G62" s="1" t="s">
        <v>363</v>
      </c>
      <c r="H62" s="1" t="s">
        <v>460</v>
      </c>
      <c r="I62" s="1" t="s">
        <v>4645</v>
      </c>
      <c r="J62" s="1" t="s">
        <v>4515</v>
      </c>
    </row>
    <row r="63">
      <c r="A63" s="1" t="s">
        <v>4648</v>
      </c>
      <c r="B63" s="1" t="s">
        <v>2262</v>
      </c>
      <c r="C63" s="1" t="s">
        <v>116</v>
      </c>
      <c r="D63" s="1" t="s">
        <v>3696</v>
      </c>
      <c r="E63" s="1" t="s">
        <v>4652</v>
      </c>
      <c r="F63" s="1" t="s">
        <v>84</v>
      </c>
      <c r="G63" s="1" t="s">
        <v>162</v>
      </c>
      <c r="H63" s="1" t="s">
        <v>129</v>
      </c>
      <c r="I63" s="1" t="s">
        <v>4657</v>
      </c>
      <c r="J63" s="1" t="s">
        <v>4289</v>
      </c>
    </row>
    <row r="64">
      <c r="A64" s="1" t="s">
        <v>4660</v>
      </c>
      <c r="B64" s="1" t="s">
        <v>2262</v>
      </c>
      <c r="C64" s="1" t="s">
        <v>116</v>
      </c>
      <c r="D64" s="1" t="s">
        <v>3696</v>
      </c>
      <c r="E64" s="1" t="s">
        <v>4664</v>
      </c>
      <c r="F64" s="1" t="s">
        <v>84</v>
      </c>
      <c r="G64" s="1" t="s">
        <v>129</v>
      </c>
      <c r="H64" s="1" t="s">
        <v>162</v>
      </c>
      <c r="I64" s="1" t="s">
        <v>4667</v>
      </c>
      <c r="J64" s="1" t="s">
        <v>4669</v>
      </c>
    </row>
    <row r="65">
      <c r="A65" s="1" t="s">
        <v>4672</v>
      </c>
      <c r="B65" s="1" t="s">
        <v>1781</v>
      </c>
      <c r="C65" s="1" t="s">
        <v>116</v>
      </c>
      <c r="D65" s="1" t="s">
        <v>3704</v>
      </c>
      <c r="E65" s="1" t="s">
        <v>4674</v>
      </c>
      <c r="F65" s="1" t="s">
        <v>84</v>
      </c>
      <c r="G65" s="1" t="s">
        <v>162</v>
      </c>
      <c r="H65" s="1" t="s">
        <v>300</v>
      </c>
      <c r="I65" s="1" t="s">
        <v>4675</v>
      </c>
      <c r="J65" s="1" t="s">
        <v>4535</v>
      </c>
    </row>
    <row r="66">
      <c r="A66" s="1" t="s">
        <v>4676</v>
      </c>
      <c r="B66" s="1" t="s">
        <v>1781</v>
      </c>
      <c r="C66" s="1" t="s">
        <v>116</v>
      </c>
      <c r="D66" s="1" t="s">
        <v>3704</v>
      </c>
      <c r="E66" s="1" t="s">
        <v>4678</v>
      </c>
      <c r="F66" s="1" t="s">
        <v>84</v>
      </c>
      <c r="G66" s="1" t="s">
        <v>300</v>
      </c>
      <c r="H66" s="1" t="s">
        <v>363</v>
      </c>
      <c r="I66" s="1" t="s">
        <v>4682</v>
      </c>
      <c r="J66" s="1" t="s">
        <v>4535</v>
      </c>
    </row>
    <row r="67">
      <c r="A67" s="1" t="s">
        <v>4684</v>
      </c>
      <c r="B67" s="1" t="s">
        <v>1781</v>
      </c>
      <c r="C67" s="1" t="s">
        <v>116</v>
      </c>
      <c r="D67" s="1" t="s">
        <v>3704</v>
      </c>
      <c r="E67" s="1" t="s">
        <v>4686</v>
      </c>
      <c r="F67" s="1" t="s">
        <v>84</v>
      </c>
      <c r="G67" s="1" t="s">
        <v>363</v>
      </c>
      <c r="H67" s="1" t="s">
        <v>460</v>
      </c>
      <c r="I67" s="1" t="s">
        <v>4689</v>
      </c>
      <c r="J67" s="1" t="s">
        <v>4535</v>
      </c>
    </row>
    <row r="68">
      <c r="A68" s="1" t="s">
        <v>4692</v>
      </c>
      <c r="B68" s="1" t="s">
        <v>1781</v>
      </c>
      <c r="C68" s="1" t="s">
        <v>116</v>
      </c>
      <c r="D68" s="1" t="s">
        <v>3704</v>
      </c>
      <c r="E68" s="1" t="s">
        <v>4700</v>
      </c>
      <c r="F68" s="1" t="s">
        <v>84</v>
      </c>
      <c r="G68" s="1" t="s">
        <v>460</v>
      </c>
      <c r="H68" s="1" t="s">
        <v>253</v>
      </c>
      <c r="I68" s="1" t="s">
        <v>4704</v>
      </c>
      <c r="J68" s="1" t="s">
        <v>4535</v>
      </c>
    </row>
    <row r="69">
      <c r="A69" s="1" t="s">
        <v>4707</v>
      </c>
      <c r="B69" s="1" t="s">
        <v>1781</v>
      </c>
      <c r="C69" s="1" t="s">
        <v>116</v>
      </c>
      <c r="D69" s="1" t="s">
        <v>3704</v>
      </c>
      <c r="E69" s="1" t="s">
        <v>4710</v>
      </c>
      <c r="F69" s="1" t="s">
        <v>78</v>
      </c>
      <c r="G69" s="1"/>
      <c r="H69" s="3">
        <v>46279.0</v>
      </c>
      <c r="I69" s="1" t="s">
        <v>4714</v>
      </c>
      <c r="J69" s="1" t="s">
        <v>4535</v>
      </c>
    </row>
    <row r="70">
      <c r="A70" s="1" t="s">
        <v>4717</v>
      </c>
      <c r="B70" s="1" t="s">
        <v>1781</v>
      </c>
      <c r="C70" s="1" t="s">
        <v>116</v>
      </c>
      <c r="D70" s="1" t="s">
        <v>3704</v>
      </c>
      <c r="E70" s="1" t="s">
        <v>4678</v>
      </c>
      <c r="F70" s="1" t="s">
        <v>84</v>
      </c>
      <c r="G70" s="1" t="s">
        <v>253</v>
      </c>
      <c r="H70" s="1" t="s">
        <v>216</v>
      </c>
      <c r="I70" s="1" t="s">
        <v>4723</v>
      </c>
      <c r="J70" s="1" t="s">
        <v>4535</v>
      </c>
    </row>
    <row r="71">
      <c r="A71" s="1" t="s">
        <v>4726</v>
      </c>
      <c r="B71" s="1" t="s">
        <v>1139</v>
      </c>
      <c r="C71" s="1" t="s">
        <v>146</v>
      </c>
      <c r="D71" s="1" t="s">
        <v>3717</v>
      </c>
      <c r="E71" s="1" t="s">
        <v>4730</v>
      </c>
      <c r="F71" s="1" t="s">
        <v>84</v>
      </c>
      <c r="G71" s="1" t="s">
        <v>162</v>
      </c>
      <c r="H71" s="1" t="s">
        <v>300</v>
      </c>
      <c r="I71" s="1" t="s">
        <v>4733</v>
      </c>
      <c r="J71" s="1" t="s">
        <v>4735</v>
      </c>
    </row>
    <row r="72">
      <c r="A72" s="1" t="s">
        <v>4737</v>
      </c>
      <c r="B72" s="1" t="s">
        <v>1139</v>
      </c>
      <c r="C72" s="1" t="s">
        <v>146</v>
      </c>
      <c r="D72" s="1" t="s">
        <v>3717</v>
      </c>
      <c r="E72" s="1" t="s">
        <v>4730</v>
      </c>
      <c r="F72" s="1" t="s">
        <v>86</v>
      </c>
      <c r="G72" s="1" t="s">
        <v>131</v>
      </c>
      <c r="H72" s="1" t="s">
        <v>365</v>
      </c>
      <c r="I72" s="1" t="s">
        <v>4742</v>
      </c>
      <c r="J72" s="1" t="s">
        <v>4735</v>
      </c>
    </row>
    <row r="73">
      <c r="A73" s="1" t="s">
        <v>4743</v>
      </c>
      <c r="B73" s="1" t="s">
        <v>1139</v>
      </c>
      <c r="C73" s="1" t="s">
        <v>146</v>
      </c>
      <c r="D73" s="1" t="s">
        <v>3717</v>
      </c>
      <c r="E73" s="1" t="s">
        <v>4746</v>
      </c>
      <c r="F73" s="1" t="s">
        <v>86</v>
      </c>
      <c r="G73" s="1" t="s">
        <v>365</v>
      </c>
      <c r="H73" s="1" t="s">
        <v>472</v>
      </c>
      <c r="I73" s="1" t="s">
        <v>4753</v>
      </c>
      <c r="J73" s="1" t="s">
        <v>4735</v>
      </c>
    </row>
    <row r="74">
      <c r="A74" s="1" t="s">
        <v>4754</v>
      </c>
      <c r="B74" s="1" t="s">
        <v>1139</v>
      </c>
      <c r="C74" s="1" t="s">
        <v>146</v>
      </c>
      <c r="D74" s="1" t="s">
        <v>3717</v>
      </c>
      <c r="E74" s="1" t="s">
        <v>4759</v>
      </c>
      <c r="F74" s="1" t="s">
        <v>86</v>
      </c>
      <c r="G74" s="1" t="s">
        <v>472</v>
      </c>
      <c r="H74" s="1" t="s">
        <v>365</v>
      </c>
      <c r="I74" s="1" t="s">
        <v>4762</v>
      </c>
      <c r="J74" s="1" t="s">
        <v>4735</v>
      </c>
    </row>
    <row r="75">
      <c r="A75" s="1" t="s">
        <v>4765</v>
      </c>
      <c r="B75" s="1" t="s">
        <v>1139</v>
      </c>
      <c r="C75" s="1" t="s">
        <v>146</v>
      </c>
      <c r="D75" s="1" t="s">
        <v>3717</v>
      </c>
      <c r="E75" s="1" t="s">
        <v>4769</v>
      </c>
      <c r="F75" s="1" t="s">
        <v>86</v>
      </c>
      <c r="G75" s="1" t="s">
        <v>365</v>
      </c>
      <c r="H75" s="1" t="s">
        <v>131</v>
      </c>
      <c r="I75" s="1" t="s">
        <v>4776</v>
      </c>
      <c r="J75" s="1" t="s">
        <v>4735</v>
      </c>
    </row>
    <row r="76">
      <c r="A76" s="1" t="s">
        <v>4779</v>
      </c>
      <c r="B76" s="1" t="s">
        <v>1139</v>
      </c>
      <c r="C76" s="1" t="s">
        <v>146</v>
      </c>
      <c r="D76" s="1" t="s">
        <v>3717</v>
      </c>
      <c r="E76" s="1" t="s">
        <v>4783</v>
      </c>
      <c r="F76" s="1" t="s">
        <v>86</v>
      </c>
      <c r="G76" s="1" t="s">
        <v>131</v>
      </c>
      <c r="H76" s="1" t="s">
        <v>472</v>
      </c>
      <c r="I76" s="1" t="s">
        <v>4785</v>
      </c>
      <c r="J76" s="1" t="s">
        <v>4735</v>
      </c>
    </row>
    <row r="77">
      <c r="A77" s="1" t="s">
        <v>4787</v>
      </c>
      <c r="B77" s="1" t="s">
        <v>1139</v>
      </c>
      <c r="C77" s="1" t="s">
        <v>146</v>
      </c>
      <c r="D77" s="1" t="s">
        <v>3717</v>
      </c>
      <c r="E77" s="1" t="s">
        <v>4759</v>
      </c>
      <c r="F77" s="1" t="s">
        <v>86</v>
      </c>
      <c r="G77" s="1" t="s">
        <v>472</v>
      </c>
      <c r="H77" s="1" t="s">
        <v>365</v>
      </c>
      <c r="I77" s="1" t="s">
        <v>4792</v>
      </c>
      <c r="J77" s="1" t="s">
        <v>4735</v>
      </c>
    </row>
    <row r="78">
      <c r="A78" s="1" t="s">
        <v>4794</v>
      </c>
      <c r="B78" s="1" t="s">
        <v>1139</v>
      </c>
      <c r="C78" s="1" t="s">
        <v>146</v>
      </c>
      <c r="D78" s="1" t="s">
        <v>3717</v>
      </c>
      <c r="E78" s="1" t="s">
        <v>4799</v>
      </c>
      <c r="F78" s="1" t="s">
        <v>86</v>
      </c>
      <c r="G78" s="1" t="s">
        <v>365</v>
      </c>
      <c r="H78" s="1" t="s">
        <v>472</v>
      </c>
      <c r="I78" s="1" t="s">
        <v>4804</v>
      </c>
      <c r="J78" s="1" t="s">
        <v>4735</v>
      </c>
    </row>
    <row r="79">
      <c r="A79" s="1" t="s">
        <v>4805</v>
      </c>
      <c r="B79" s="1" t="s">
        <v>2290</v>
      </c>
      <c r="C79" s="1" t="s">
        <v>116</v>
      </c>
      <c r="D79" s="1" t="s">
        <v>3730</v>
      </c>
      <c r="E79" s="1" t="s">
        <v>4808</v>
      </c>
      <c r="F79" s="1" t="s">
        <v>84</v>
      </c>
      <c r="G79" s="1" t="s">
        <v>162</v>
      </c>
      <c r="H79" s="1" t="s">
        <v>300</v>
      </c>
      <c r="I79" s="1" t="s">
        <v>4811</v>
      </c>
      <c r="J79" s="1" t="s">
        <v>4812</v>
      </c>
    </row>
    <row r="80">
      <c r="A80" s="1" t="s">
        <v>4813</v>
      </c>
      <c r="B80" s="1" t="s">
        <v>2290</v>
      </c>
      <c r="C80" s="1" t="s">
        <v>116</v>
      </c>
      <c r="D80" s="1" t="s">
        <v>3730</v>
      </c>
      <c r="E80" s="1" t="s">
        <v>4818</v>
      </c>
      <c r="F80" s="1" t="s">
        <v>84</v>
      </c>
      <c r="G80" s="1" t="s">
        <v>300</v>
      </c>
      <c r="H80" s="1" t="s">
        <v>460</v>
      </c>
      <c r="I80" s="1" t="s">
        <v>4824</v>
      </c>
      <c r="J80" s="1" t="s">
        <v>4825</v>
      </c>
    </row>
    <row r="81">
      <c r="A81" s="1" t="s">
        <v>4827</v>
      </c>
      <c r="B81" s="1" t="s">
        <v>2290</v>
      </c>
      <c r="C81" s="1" t="s">
        <v>116</v>
      </c>
      <c r="D81" s="1" t="s">
        <v>3730</v>
      </c>
      <c r="E81" s="1" t="s">
        <v>4830</v>
      </c>
      <c r="F81" s="1" t="s">
        <v>84</v>
      </c>
      <c r="G81" s="1" t="s">
        <v>460</v>
      </c>
      <c r="H81" s="1" t="s">
        <v>253</v>
      </c>
      <c r="I81" s="1" t="s">
        <v>4834</v>
      </c>
      <c r="J81" s="1" t="s">
        <v>4825</v>
      </c>
    </row>
    <row r="82">
      <c r="A82" s="1" t="s">
        <v>4836</v>
      </c>
      <c r="B82" s="1" t="s">
        <v>2290</v>
      </c>
      <c r="C82" s="1" t="s">
        <v>116</v>
      </c>
      <c r="D82" s="1" t="s">
        <v>3730</v>
      </c>
      <c r="E82" s="1" t="s">
        <v>4830</v>
      </c>
      <c r="F82" s="1" t="s">
        <v>84</v>
      </c>
      <c r="G82" s="1" t="s">
        <v>253</v>
      </c>
      <c r="H82" s="1" t="s">
        <v>216</v>
      </c>
      <c r="I82" s="1" t="s">
        <v>4843</v>
      </c>
      <c r="J82" s="1" t="s">
        <v>4825</v>
      </c>
    </row>
    <row r="83">
      <c r="A83" s="1" t="s">
        <v>4845</v>
      </c>
      <c r="B83" s="1" t="s">
        <v>2290</v>
      </c>
      <c r="C83" s="1" t="s">
        <v>116</v>
      </c>
      <c r="D83" s="1" t="s">
        <v>3730</v>
      </c>
      <c r="E83" s="1" t="s">
        <v>4850</v>
      </c>
      <c r="F83" s="1" t="s">
        <v>78</v>
      </c>
      <c r="G83" s="1"/>
      <c r="H83" s="3">
        <v>46289.0</v>
      </c>
      <c r="I83" s="1" t="s">
        <v>4851</v>
      </c>
      <c r="J83" s="1" t="s">
        <v>4825</v>
      </c>
    </row>
    <row r="84">
      <c r="A84" s="1" t="s">
        <v>4854</v>
      </c>
      <c r="B84" s="1" t="s">
        <v>2294</v>
      </c>
      <c r="C84" s="1" t="s">
        <v>146</v>
      </c>
      <c r="D84" s="1" t="s">
        <v>3735</v>
      </c>
      <c r="E84" s="1" t="s">
        <v>4858</v>
      </c>
      <c r="F84" s="1" t="s">
        <v>84</v>
      </c>
      <c r="G84" s="1" t="s">
        <v>162</v>
      </c>
      <c r="H84" s="1" t="s">
        <v>335</v>
      </c>
      <c r="I84" s="1" t="s">
        <v>4862</v>
      </c>
      <c r="J84" s="1" t="s">
        <v>4863</v>
      </c>
    </row>
    <row r="85">
      <c r="A85" s="1" t="s">
        <v>4865</v>
      </c>
      <c r="B85" s="1" t="s">
        <v>2301</v>
      </c>
      <c r="C85" s="1" t="s">
        <v>116</v>
      </c>
      <c r="D85" s="1" t="s">
        <v>3746</v>
      </c>
      <c r="E85" s="1" t="s">
        <v>4872</v>
      </c>
      <c r="F85" s="1" t="s">
        <v>84</v>
      </c>
      <c r="G85" s="1" t="s">
        <v>129</v>
      </c>
      <c r="H85" s="1" t="s">
        <v>162</v>
      </c>
      <c r="I85" s="1" t="s">
        <v>4876</v>
      </c>
      <c r="J85" s="1" t="s">
        <v>4480</v>
      </c>
    </row>
    <row r="86">
      <c r="A86" s="1" t="s">
        <v>4879</v>
      </c>
      <c r="B86" s="1" t="s">
        <v>2301</v>
      </c>
      <c r="C86" s="1" t="s">
        <v>116</v>
      </c>
      <c r="D86" s="1" t="s">
        <v>3746</v>
      </c>
      <c r="E86" s="1" t="s">
        <v>4882</v>
      </c>
      <c r="F86" s="1" t="s">
        <v>84</v>
      </c>
      <c r="G86" s="1" t="s">
        <v>162</v>
      </c>
      <c r="H86" s="1" t="s">
        <v>253</v>
      </c>
      <c r="I86" s="1" t="s">
        <v>4886</v>
      </c>
      <c r="J86" s="1" t="s">
        <v>4888</v>
      </c>
    </row>
    <row r="87">
      <c r="A87" s="1" t="s">
        <v>4891</v>
      </c>
      <c r="B87" s="1" t="s">
        <v>1256</v>
      </c>
      <c r="C87" s="1" t="s">
        <v>146</v>
      </c>
      <c r="D87" s="1" t="s">
        <v>3786</v>
      </c>
      <c r="E87" s="1" t="s">
        <v>4895</v>
      </c>
      <c r="F87" s="1" t="s">
        <v>84</v>
      </c>
      <c r="G87" s="1" t="s">
        <v>162</v>
      </c>
      <c r="H87" s="1" t="s">
        <v>300</v>
      </c>
      <c r="I87" s="1" t="s">
        <v>4901</v>
      </c>
      <c r="J87" s="1" t="s">
        <v>4343</v>
      </c>
    </row>
    <row r="88">
      <c r="A88" s="1" t="s">
        <v>4903</v>
      </c>
      <c r="B88" s="1" t="s">
        <v>1256</v>
      </c>
      <c r="C88" s="1" t="s">
        <v>146</v>
      </c>
      <c r="D88" s="1" t="s">
        <v>3786</v>
      </c>
      <c r="E88" s="1" t="s">
        <v>4906</v>
      </c>
      <c r="F88" s="1" t="s">
        <v>84</v>
      </c>
      <c r="G88" s="1" t="s">
        <v>300</v>
      </c>
      <c r="H88" s="1" t="s">
        <v>460</v>
      </c>
      <c r="I88" s="1" t="s">
        <v>4911</v>
      </c>
      <c r="J88" s="1" t="s">
        <v>4343</v>
      </c>
    </row>
    <row r="89">
      <c r="A89" s="1" t="s">
        <v>4912</v>
      </c>
      <c r="B89" s="1" t="s">
        <v>2325</v>
      </c>
      <c r="C89" s="1" t="s">
        <v>116</v>
      </c>
      <c r="D89" s="1" t="s">
        <v>3831</v>
      </c>
      <c r="E89" s="1" t="s">
        <v>4916</v>
      </c>
      <c r="F89" s="1" t="s">
        <v>84</v>
      </c>
      <c r="G89" s="1" t="s">
        <v>129</v>
      </c>
      <c r="H89" s="1" t="s">
        <v>162</v>
      </c>
      <c r="I89" s="1" t="s">
        <v>4920</v>
      </c>
      <c r="J89" s="1" t="s">
        <v>4480</v>
      </c>
    </row>
    <row r="90">
      <c r="A90" s="1" t="s">
        <v>4922</v>
      </c>
      <c r="B90" s="1" t="s">
        <v>2327</v>
      </c>
      <c r="C90" s="1" t="s">
        <v>116</v>
      </c>
      <c r="D90" s="1" t="s">
        <v>3839</v>
      </c>
      <c r="E90" s="1" t="s">
        <v>4927</v>
      </c>
      <c r="F90" s="1" t="s">
        <v>84</v>
      </c>
      <c r="G90" s="1" t="s">
        <v>129</v>
      </c>
      <c r="H90" s="1" t="s">
        <v>162</v>
      </c>
      <c r="I90" s="1" t="s">
        <v>4929</v>
      </c>
      <c r="J90" s="1" t="s">
        <v>4480</v>
      </c>
    </row>
    <row r="91">
      <c r="A91" s="1" t="s">
        <v>4931</v>
      </c>
      <c r="B91" s="1" t="s">
        <v>2327</v>
      </c>
      <c r="C91" s="1" t="s">
        <v>116</v>
      </c>
      <c r="D91" s="1" t="s">
        <v>3839</v>
      </c>
      <c r="E91" s="1" t="s">
        <v>4934</v>
      </c>
      <c r="F91" s="1" t="s">
        <v>84</v>
      </c>
      <c r="G91" s="1" t="s">
        <v>162</v>
      </c>
      <c r="H91" s="1" t="s">
        <v>335</v>
      </c>
      <c r="I91" s="1" t="s">
        <v>4938</v>
      </c>
      <c r="J91" s="1" t="s">
        <v>4939</v>
      </c>
    </row>
    <row r="92">
      <c r="A92" s="1" t="s">
        <v>4942</v>
      </c>
      <c r="B92" s="1" t="s">
        <v>1021</v>
      </c>
      <c r="C92" s="1" t="s">
        <v>146</v>
      </c>
      <c r="D92" s="1" t="s">
        <v>3848</v>
      </c>
      <c r="E92" s="1" t="s">
        <v>4948</v>
      </c>
      <c r="F92" s="1" t="s">
        <v>84</v>
      </c>
      <c r="G92" s="1" t="s">
        <v>162</v>
      </c>
      <c r="H92" s="1" t="s">
        <v>363</v>
      </c>
      <c r="I92" s="1" t="s">
        <v>4952</v>
      </c>
      <c r="J92" s="1" t="s">
        <v>4953</v>
      </c>
    </row>
    <row r="93">
      <c r="A93" s="1" t="s">
        <v>4956</v>
      </c>
      <c r="B93" s="1" t="s">
        <v>1582</v>
      </c>
      <c r="C93" s="1" t="s">
        <v>146</v>
      </c>
      <c r="D93" s="1" t="s">
        <v>3875</v>
      </c>
      <c r="E93" s="1" t="s">
        <v>4960</v>
      </c>
      <c r="F93" s="1" t="s">
        <v>84</v>
      </c>
      <c r="G93" s="1" t="s">
        <v>162</v>
      </c>
      <c r="H93" s="1" t="s">
        <v>300</v>
      </c>
      <c r="I93" s="1" t="s">
        <v>4963</v>
      </c>
      <c r="J93" s="1" t="s">
        <v>4863</v>
      </c>
    </row>
    <row r="94">
      <c r="A94" s="1" t="s">
        <v>4966</v>
      </c>
      <c r="B94" s="1" t="s">
        <v>1582</v>
      </c>
      <c r="C94" s="1" t="s">
        <v>146</v>
      </c>
      <c r="D94" s="1" t="s">
        <v>3875</v>
      </c>
      <c r="E94" s="1" t="s">
        <v>4960</v>
      </c>
      <c r="F94" s="1" t="s">
        <v>84</v>
      </c>
      <c r="G94" s="1" t="s">
        <v>300</v>
      </c>
      <c r="H94" s="1" t="s">
        <v>363</v>
      </c>
      <c r="I94" s="1" t="s">
        <v>4970</v>
      </c>
      <c r="J94" s="1" t="s">
        <v>4863</v>
      </c>
    </row>
    <row r="95">
      <c r="A95" s="1" t="s">
        <v>4974</v>
      </c>
      <c r="B95" s="1" t="s">
        <v>1582</v>
      </c>
      <c r="C95" s="1" t="s">
        <v>146</v>
      </c>
      <c r="D95" s="1" t="s">
        <v>3875</v>
      </c>
      <c r="E95" s="1" t="s">
        <v>4976</v>
      </c>
      <c r="F95" s="1" t="s">
        <v>84</v>
      </c>
      <c r="G95" s="1" t="s">
        <v>363</v>
      </c>
      <c r="H95" s="1" t="s">
        <v>460</v>
      </c>
      <c r="I95" s="1" t="s">
        <v>4978</v>
      </c>
      <c r="J95" s="1" t="s">
        <v>4863</v>
      </c>
    </row>
    <row r="96">
      <c r="A96" s="1" t="s">
        <v>4982</v>
      </c>
      <c r="B96" s="1" t="s">
        <v>1550</v>
      </c>
      <c r="C96" s="1" t="s">
        <v>146</v>
      </c>
      <c r="D96" s="1" t="s">
        <v>3510</v>
      </c>
      <c r="E96" s="1" t="s">
        <v>4984</v>
      </c>
      <c r="F96" s="1" t="s">
        <v>84</v>
      </c>
      <c r="G96" s="1" t="s">
        <v>162</v>
      </c>
      <c r="H96" s="1" t="s">
        <v>460</v>
      </c>
      <c r="I96" s="1" t="s">
        <v>4989</v>
      </c>
      <c r="J96" s="1" t="s">
        <v>4280</v>
      </c>
    </row>
    <row r="97">
      <c r="A97" s="1" t="s">
        <v>4993</v>
      </c>
      <c r="B97" s="1" t="s">
        <v>1550</v>
      </c>
      <c r="C97" s="1" t="s">
        <v>146</v>
      </c>
      <c r="D97" s="1" t="s">
        <v>3510</v>
      </c>
      <c r="E97" s="1" t="s">
        <v>4995</v>
      </c>
      <c r="F97" s="1" t="s">
        <v>84</v>
      </c>
      <c r="G97" s="1" t="s">
        <v>460</v>
      </c>
      <c r="H97" s="1" t="s">
        <v>253</v>
      </c>
      <c r="I97" s="1" t="s">
        <v>4996</v>
      </c>
      <c r="J97" s="1" t="s">
        <v>4280</v>
      </c>
    </row>
    <row r="98">
      <c r="A98" s="1" t="s">
        <v>4997</v>
      </c>
      <c r="B98" s="1" t="s">
        <v>1550</v>
      </c>
      <c r="C98" s="1" t="s">
        <v>146</v>
      </c>
      <c r="D98" s="1" t="s">
        <v>3510</v>
      </c>
      <c r="E98" s="1" t="s">
        <v>4282</v>
      </c>
      <c r="F98" s="1" t="s">
        <v>84</v>
      </c>
      <c r="G98" s="1" t="s">
        <v>253</v>
      </c>
      <c r="H98" s="1" t="s">
        <v>216</v>
      </c>
      <c r="I98" s="1" t="s">
        <v>5004</v>
      </c>
      <c r="J98" s="1" t="s">
        <v>4289</v>
      </c>
    </row>
    <row r="99">
      <c r="A99" s="1" t="s">
        <v>5007</v>
      </c>
      <c r="B99" s="1" t="s">
        <v>1550</v>
      </c>
      <c r="C99" s="1" t="s">
        <v>146</v>
      </c>
      <c r="D99" s="1" t="s">
        <v>3510</v>
      </c>
      <c r="E99" s="1" t="s">
        <v>5009</v>
      </c>
      <c r="F99" s="1" t="s">
        <v>78</v>
      </c>
      <c r="G99" s="1"/>
      <c r="H99" s="3">
        <v>46248.0</v>
      </c>
      <c r="I99" s="1" t="s">
        <v>5011</v>
      </c>
      <c r="J99" s="1" t="s">
        <v>4289</v>
      </c>
    </row>
    <row r="100">
      <c r="A100" s="1" t="s">
        <v>5013</v>
      </c>
      <c r="B100" s="1" t="s">
        <v>2334</v>
      </c>
      <c r="C100" s="1" t="s">
        <v>116</v>
      </c>
      <c r="D100" s="1" t="s">
        <v>3890</v>
      </c>
      <c r="E100" s="1" t="s">
        <v>5017</v>
      </c>
      <c r="F100" s="1" t="s">
        <v>84</v>
      </c>
      <c r="G100" s="1" t="s">
        <v>129</v>
      </c>
      <c r="H100" s="1" t="s">
        <v>162</v>
      </c>
      <c r="I100" s="1" t="s">
        <v>5022</v>
      </c>
      <c r="J100" s="1" t="s">
        <v>4480</v>
      </c>
    </row>
    <row r="101">
      <c r="A101" s="1" t="s">
        <v>5026</v>
      </c>
      <c r="B101" s="1" t="s">
        <v>2334</v>
      </c>
      <c r="C101" s="1" t="s">
        <v>116</v>
      </c>
      <c r="D101" s="1" t="s">
        <v>3890</v>
      </c>
      <c r="E101" s="1" t="s">
        <v>5030</v>
      </c>
      <c r="F101" s="1" t="s">
        <v>78</v>
      </c>
      <c r="G101" s="1"/>
      <c r="H101" s="3">
        <v>46185.0</v>
      </c>
      <c r="I101" s="1" t="s">
        <v>5033</v>
      </c>
      <c r="J101" s="1" t="s">
        <v>4274</v>
      </c>
    </row>
    <row r="102">
      <c r="A102" s="1" t="s">
        <v>5036</v>
      </c>
      <c r="B102" s="1" t="s">
        <v>2334</v>
      </c>
      <c r="C102" s="1" t="s">
        <v>116</v>
      </c>
      <c r="D102" s="1" t="s">
        <v>3890</v>
      </c>
      <c r="E102" s="1" t="s">
        <v>5038</v>
      </c>
      <c r="F102" s="1" t="s">
        <v>84</v>
      </c>
      <c r="G102" s="1" t="s">
        <v>162</v>
      </c>
      <c r="H102" s="1" t="s">
        <v>216</v>
      </c>
      <c r="I102" s="1" t="s">
        <v>5042</v>
      </c>
      <c r="J102" s="1" t="s">
        <v>4274</v>
      </c>
    </row>
    <row r="103">
      <c r="A103" s="1" t="s">
        <v>5045</v>
      </c>
      <c r="B103" s="1" t="s">
        <v>2337</v>
      </c>
      <c r="C103" s="1" t="s">
        <v>116</v>
      </c>
      <c r="D103" s="1" t="s">
        <v>3896</v>
      </c>
      <c r="E103" s="1" t="s">
        <v>5050</v>
      </c>
      <c r="F103" s="1" t="s">
        <v>84</v>
      </c>
      <c r="G103" s="1" t="s">
        <v>129</v>
      </c>
      <c r="H103" s="1" t="s">
        <v>162</v>
      </c>
      <c r="I103" s="1" t="s">
        <v>5052</v>
      </c>
      <c r="J103" s="1" t="s">
        <v>4480</v>
      </c>
    </row>
    <row r="104">
      <c r="A104" s="1" t="s">
        <v>5054</v>
      </c>
      <c r="B104" s="1" t="s">
        <v>2337</v>
      </c>
      <c r="C104" s="1" t="s">
        <v>116</v>
      </c>
      <c r="D104" s="1" t="s">
        <v>3896</v>
      </c>
      <c r="E104" s="1" t="s">
        <v>5057</v>
      </c>
      <c r="F104" s="1" t="s">
        <v>84</v>
      </c>
      <c r="G104" s="1" t="s">
        <v>162</v>
      </c>
      <c r="H104" s="1" t="s">
        <v>253</v>
      </c>
      <c r="I104" s="1" t="s">
        <v>5061</v>
      </c>
      <c r="J104" s="1" t="s">
        <v>5062</v>
      </c>
    </row>
    <row r="105">
      <c r="A105" s="1" t="s">
        <v>5064</v>
      </c>
      <c r="B105" s="1" t="s">
        <v>3382</v>
      </c>
      <c r="C105" s="1" t="s">
        <v>116</v>
      </c>
      <c r="D105" s="1" t="s">
        <v>3916</v>
      </c>
      <c r="E105" s="1" t="s">
        <v>5067</v>
      </c>
      <c r="F105" s="1" t="s">
        <v>84</v>
      </c>
      <c r="G105" s="1" t="s">
        <v>129</v>
      </c>
      <c r="H105" s="1" t="s">
        <v>162</v>
      </c>
      <c r="I105" s="1" t="s">
        <v>5069</v>
      </c>
      <c r="J105" s="1" t="s">
        <v>4480</v>
      </c>
    </row>
    <row r="106">
      <c r="A106" s="1" t="s">
        <v>5071</v>
      </c>
      <c r="B106" s="1" t="s">
        <v>3382</v>
      </c>
      <c r="C106" s="1" t="s">
        <v>116</v>
      </c>
      <c r="D106" s="1" t="s">
        <v>3916</v>
      </c>
      <c r="E106" s="1" t="s">
        <v>5074</v>
      </c>
      <c r="F106" s="1" t="s">
        <v>84</v>
      </c>
      <c r="G106" s="1" t="s">
        <v>162</v>
      </c>
      <c r="H106" s="1" t="s">
        <v>335</v>
      </c>
      <c r="I106" s="1" t="s">
        <v>5078</v>
      </c>
      <c r="J106" s="1" t="s">
        <v>5080</v>
      </c>
    </row>
    <row r="107">
      <c r="A107" s="1" t="s">
        <v>5082</v>
      </c>
      <c r="B107" s="1" t="s">
        <v>2341</v>
      </c>
      <c r="C107" s="1" t="s">
        <v>116</v>
      </c>
      <c r="D107" s="1" t="s">
        <v>3927</v>
      </c>
      <c r="E107" s="1" t="s">
        <v>5085</v>
      </c>
      <c r="F107" s="1" t="s">
        <v>84</v>
      </c>
      <c r="G107" s="1" t="s">
        <v>129</v>
      </c>
      <c r="H107" s="1" t="s">
        <v>162</v>
      </c>
      <c r="I107" s="1" t="s">
        <v>5087</v>
      </c>
      <c r="J107" s="1" t="s">
        <v>4480</v>
      </c>
    </row>
    <row r="108">
      <c r="A108" s="1" t="s">
        <v>5088</v>
      </c>
      <c r="B108" s="1" t="s">
        <v>2075</v>
      </c>
      <c r="C108" s="1" t="s">
        <v>146</v>
      </c>
      <c r="D108" s="1" t="s">
        <v>3940</v>
      </c>
      <c r="E108" s="1" t="s">
        <v>5091</v>
      </c>
      <c r="F108" s="1" t="s">
        <v>84</v>
      </c>
      <c r="G108" s="1" t="s">
        <v>162</v>
      </c>
      <c r="H108" s="1" t="s">
        <v>129</v>
      </c>
      <c r="I108" s="1" t="s">
        <v>5094</v>
      </c>
      <c r="J108" s="1" t="s">
        <v>5097</v>
      </c>
    </row>
    <row r="109">
      <c r="A109" s="1" t="s">
        <v>5098</v>
      </c>
      <c r="B109" s="1" t="s">
        <v>2075</v>
      </c>
      <c r="C109" s="1" t="s">
        <v>146</v>
      </c>
      <c r="D109" s="1" t="s">
        <v>3940</v>
      </c>
      <c r="E109" s="1" t="s">
        <v>5100</v>
      </c>
      <c r="F109" s="1" t="s">
        <v>84</v>
      </c>
      <c r="G109" s="1" t="s">
        <v>129</v>
      </c>
      <c r="H109" s="1" t="s">
        <v>162</v>
      </c>
      <c r="I109" s="1" t="s">
        <v>5103</v>
      </c>
      <c r="J109" s="1" t="s">
        <v>5097</v>
      </c>
    </row>
    <row r="110">
      <c r="A110" s="1" t="s">
        <v>5106</v>
      </c>
      <c r="B110" s="1" t="s">
        <v>2075</v>
      </c>
      <c r="C110" s="1" t="s">
        <v>146</v>
      </c>
      <c r="D110" s="1" t="s">
        <v>3940</v>
      </c>
      <c r="E110" s="1" t="s">
        <v>5110</v>
      </c>
      <c r="F110" s="1" t="s">
        <v>84</v>
      </c>
      <c r="G110" s="1" t="s">
        <v>162</v>
      </c>
      <c r="H110" s="1" t="s">
        <v>300</v>
      </c>
      <c r="I110" s="1" t="s">
        <v>5113</v>
      </c>
      <c r="J110" s="1" t="s">
        <v>5097</v>
      </c>
    </row>
    <row r="111">
      <c r="A111" s="1" t="s">
        <v>5117</v>
      </c>
      <c r="B111" s="1" t="s">
        <v>2350</v>
      </c>
      <c r="C111" s="1" t="s">
        <v>116</v>
      </c>
      <c r="D111" s="1" t="s">
        <v>3987</v>
      </c>
      <c r="E111" s="1" t="s">
        <v>5122</v>
      </c>
      <c r="F111" s="1" t="s">
        <v>84</v>
      </c>
      <c r="G111" s="1" t="s">
        <v>129</v>
      </c>
      <c r="H111" s="1" t="s">
        <v>162</v>
      </c>
      <c r="I111" s="1" t="s">
        <v>5126</v>
      </c>
      <c r="J111" s="1" t="s">
        <v>4480</v>
      </c>
    </row>
    <row r="112">
      <c r="A112" s="1" t="s">
        <v>5129</v>
      </c>
      <c r="B112" s="1" t="s">
        <v>2350</v>
      </c>
      <c r="C112" s="1" t="s">
        <v>116</v>
      </c>
      <c r="D112" s="1" t="s">
        <v>3987</v>
      </c>
      <c r="E112" s="1" t="s">
        <v>5134</v>
      </c>
      <c r="F112" s="1" t="s">
        <v>84</v>
      </c>
      <c r="G112" s="1" t="s">
        <v>162</v>
      </c>
      <c r="H112" s="1" t="s">
        <v>335</v>
      </c>
      <c r="I112" s="1" t="s">
        <v>5138</v>
      </c>
      <c r="J112" s="1" t="s">
        <v>5139</v>
      </c>
    </row>
    <row r="113">
      <c r="A113" s="1" t="s">
        <v>5140</v>
      </c>
      <c r="B113" s="1" t="s">
        <v>1721</v>
      </c>
      <c r="C113" s="1" t="s">
        <v>146</v>
      </c>
      <c r="D113" s="1" t="s">
        <v>4006</v>
      </c>
      <c r="E113" s="1" t="s">
        <v>5144</v>
      </c>
      <c r="F113" s="1" t="s">
        <v>84</v>
      </c>
      <c r="G113" s="1" t="s">
        <v>162</v>
      </c>
      <c r="H113" s="1" t="s">
        <v>300</v>
      </c>
      <c r="I113" s="1" t="s">
        <v>5147</v>
      </c>
      <c r="J113" s="1" t="s">
        <v>4456</v>
      </c>
    </row>
    <row r="114">
      <c r="A114" s="1" t="s">
        <v>5151</v>
      </c>
      <c r="B114" s="1" t="s">
        <v>1721</v>
      </c>
      <c r="C114" s="1" t="s">
        <v>146</v>
      </c>
      <c r="D114" s="1" t="s">
        <v>4006</v>
      </c>
      <c r="E114" s="1" t="s">
        <v>5155</v>
      </c>
      <c r="F114" s="1" t="s">
        <v>84</v>
      </c>
      <c r="G114" s="1" t="s">
        <v>300</v>
      </c>
      <c r="H114" s="1" t="s">
        <v>460</v>
      </c>
      <c r="I114" s="1" t="s">
        <v>5158</v>
      </c>
      <c r="J114" s="1" t="s">
        <v>4456</v>
      </c>
    </row>
    <row r="115">
      <c r="A115" s="1" t="s">
        <v>5160</v>
      </c>
      <c r="B115" s="1" t="s">
        <v>3475</v>
      </c>
      <c r="C115" s="1" t="s">
        <v>116</v>
      </c>
      <c r="D115" s="1" t="s">
        <v>4026</v>
      </c>
      <c r="E115" s="1" t="s">
        <v>5164</v>
      </c>
      <c r="F115" s="1" t="s">
        <v>84</v>
      </c>
      <c r="G115" s="1" t="s">
        <v>129</v>
      </c>
      <c r="H115" s="1" t="s">
        <v>162</v>
      </c>
      <c r="I115" s="1" t="s">
        <v>5168</v>
      </c>
      <c r="J115" s="1" t="s">
        <v>4480</v>
      </c>
    </row>
    <row r="116">
      <c r="A116" s="1" t="s">
        <v>5170</v>
      </c>
      <c r="B116" s="1" t="s">
        <v>1980</v>
      </c>
      <c r="C116" s="1" t="s">
        <v>146</v>
      </c>
      <c r="D116" s="1" t="s">
        <v>4066</v>
      </c>
      <c r="E116" s="1" t="s">
        <v>5173</v>
      </c>
      <c r="F116" s="1" t="s">
        <v>84</v>
      </c>
      <c r="G116" s="1" t="s">
        <v>162</v>
      </c>
      <c r="H116" s="1" t="s">
        <v>129</v>
      </c>
      <c r="I116" s="1" t="s">
        <v>5175</v>
      </c>
      <c r="J116" s="1" t="s">
        <v>5176</v>
      </c>
    </row>
    <row r="117">
      <c r="A117" s="1" t="s">
        <v>5179</v>
      </c>
      <c r="B117" s="1" t="s">
        <v>1980</v>
      </c>
      <c r="C117" s="1" t="s">
        <v>146</v>
      </c>
      <c r="D117" s="1" t="s">
        <v>4066</v>
      </c>
      <c r="E117" s="1" t="s">
        <v>5184</v>
      </c>
      <c r="F117" s="1" t="s">
        <v>84</v>
      </c>
      <c r="G117" s="1" t="s">
        <v>129</v>
      </c>
      <c r="H117" s="1" t="s">
        <v>162</v>
      </c>
      <c r="I117" s="1" t="s">
        <v>5188</v>
      </c>
      <c r="J117" s="1" t="s">
        <v>5189</v>
      </c>
    </row>
    <row r="118">
      <c r="A118" s="1" t="s">
        <v>5191</v>
      </c>
      <c r="B118" s="1" t="s">
        <v>2035</v>
      </c>
      <c r="C118" s="1" t="s">
        <v>146</v>
      </c>
      <c r="D118" s="1" t="s">
        <v>4075</v>
      </c>
      <c r="E118" s="1" t="s">
        <v>5193</v>
      </c>
      <c r="F118" s="1" t="s">
        <v>84</v>
      </c>
      <c r="G118" s="1" t="s">
        <v>162</v>
      </c>
      <c r="H118" s="1" t="s">
        <v>300</v>
      </c>
      <c r="I118" s="1" t="s">
        <v>5195</v>
      </c>
      <c r="J118" s="1" t="s">
        <v>4863</v>
      </c>
    </row>
    <row r="119">
      <c r="A119" s="1" t="s">
        <v>5197</v>
      </c>
      <c r="B119" s="1" t="s">
        <v>2035</v>
      </c>
      <c r="C119" s="1" t="s">
        <v>146</v>
      </c>
      <c r="D119" s="1" t="s">
        <v>4075</v>
      </c>
      <c r="E119" s="1" t="s">
        <v>5202</v>
      </c>
      <c r="F119" s="1" t="s">
        <v>84</v>
      </c>
      <c r="G119" s="1" t="s">
        <v>300</v>
      </c>
      <c r="H119" s="1" t="s">
        <v>363</v>
      </c>
      <c r="I119" s="1" t="s">
        <v>5206</v>
      </c>
      <c r="J119" s="1" t="s">
        <v>4863</v>
      </c>
    </row>
    <row r="120">
      <c r="A120" s="1" t="s">
        <v>5209</v>
      </c>
      <c r="B120" s="1" t="s">
        <v>2035</v>
      </c>
      <c r="C120" s="1" t="s">
        <v>146</v>
      </c>
      <c r="D120" s="1" t="s">
        <v>4075</v>
      </c>
      <c r="E120" s="1" t="s">
        <v>5213</v>
      </c>
      <c r="F120" s="1" t="s">
        <v>84</v>
      </c>
      <c r="G120" s="1" t="s">
        <v>363</v>
      </c>
      <c r="H120" s="1" t="s">
        <v>460</v>
      </c>
      <c r="I120" s="1" t="s">
        <v>5216</v>
      </c>
      <c r="J120" s="1" t="s">
        <v>4863</v>
      </c>
    </row>
    <row r="121">
      <c r="A121" s="1" t="s">
        <v>5218</v>
      </c>
      <c r="B121" s="1" t="s">
        <v>2035</v>
      </c>
      <c r="C121" s="1" t="s">
        <v>146</v>
      </c>
      <c r="D121" s="1" t="s">
        <v>4075</v>
      </c>
      <c r="E121" s="1" t="s">
        <v>5224</v>
      </c>
      <c r="F121" s="1" t="s">
        <v>84</v>
      </c>
      <c r="G121" s="1" t="s">
        <v>460</v>
      </c>
      <c r="H121" s="1" t="s">
        <v>253</v>
      </c>
      <c r="I121" s="1" t="s">
        <v>5231</v>
      </c>
      <c r="J121" s="1" t="s">
        <v>4863</v>
      </c>
    </row>
    <row r="122">
      <c r="A122" s="1" t="s">
        <v>5234</v>
      </c>
      <c r="B122" s="1" t="s">
        <v>2035</v>
      </c>
      <c r="C122" s="1" t="s">
        <v>146</v>
      </c>
      <c r="D122" s="1" t="s">
        <v>4075</v>
      </c>
      <c r="E122" s="1" t="s">
        <v>5243</v>
      </c>
      <c r="F122" s="1" t="s">
        <v>84</v>
      </c>
      <c r="G122" s="1" t="s">
        <v>253</v>
      </c>
      <c r="H122" s="1" t="s">
        <v>460</v>
      </c>
      <c r="I122" s="1" t="s">
        <v>5248</v>
      </c>
      <c r="J122" s="1" t="s">
        <v>4863</v>
      </c>
    </row>
    <row r="123">
      <c r="A123" s="1" t="s">
        <v>5251</v>
      </c>
      <c r="B123" s="1" t="s">
        <v>3555</v>
      </c>
      <c r="C123" s="1" t="s">
        <v>116</v>
      </c>
      <c r="D123" s="1" t="s">
        <v>4083</v>
      </c>
      <c r="E123" s="1" t="s">
        <v>5257</v>
      </c>
      <c r="F123" s="1" t="s">
        <v>84</v>
      </c>
      <c r="G123" s="1" t="s">
        <v>129</v>
      </c>
      <c r="H123" s="1" t="s">
        <v>162</v>
      </c>
      <c r="I123" s="1" t="s">
        <v>5261</v>
      </c>
      <c r="J123" s="1" t="s">
        <v>4480</v>
      </c>
    </row>
    <row r="124">
      <c r="A124" s="1" t="s">
        <v>5265</v>
      </c>
      <c r="B124" s="1" t="s">
        <v>3555</v>
      </c>
      <c r="C124" s="1" t="s">
        <v>116</v>
      </c>
      <c r="D124" s="1" t="s">
        <v>4083</v>
      </c>
      <c r="E124" s="1" t="s">
        <v>5268</v>
      </c>
      <c r="F124" s="1" t="s">
        <v>78</v>
      </c>
      <c r="G124" s="1"/>
      <c r="H124" s="3">
        <v>46218.0</v>
      </c>
      <c r="I124" s="1" t="s">
        <v>5271</v>
      </c>
      <c r="J124" s="1" t="s">
        <v>4438</v>
      </c>
    </row>
    <row r="125">
      <c r="A125" s="1" t="s">
        <v>5275</v>
      </c>
      <c r="B125" s="1" t="s">
        <v>3555</v>
      </c>
      <c r="C125" s="1" t="s">
        <v>116</v>
      </c>
      <c r="D125" s="1" t="s">
        <v>4083</v>
      </c>
      <c r="E125" s="1" t="s">
        <v>5278</v>
      </c>
      <c r="F125" s="1" t="s">
        <v>84</v>
      </c>
      <c r="G125" s="1" t="s">
        <v>162</v>
      </c>
      <c r="H125" s="1" t="s">
        <v>216</v>
      </c>
      <c r="I125" s="1" t="s">
        <v>5283</v>
      </c>
      <c r="J125" s="1" t="s">
        <v>4438</v>
      </c>
    </row>
    <row r="126">
      <c r="A126" s="1" t="s">
        <v>5286</v>
      </c>
      <c r="B126" s="1" t="s">
        <v>3555</v>
      </c>
      <c r="C126" s="1" t="s">
        <v>116</v>
      </c>
      <c r="D126" s="1" t="s">
        <v>4083</v>
      </c>
      <c r="E126" s="1" t="s">
        <v>5294</v>
      </c>
      <c r="F126" s="1" t="s">
        <v>84</v>
      </c>
      <c r="G126" s="1" t="s">
        <v>216</v>
      </c>
      <c r="H126" s="1" t="s">
        <v>253</v>
      </c>
      <c r="I126" s="1" t="s">
        <v>5297</v>
      </c>
      <c r="J126" s="1" t="s">
        <v>4888</v>
      </c>
    </row>
    <row r="127">
      <c r="A127" s="1" t="s">
        <v>5299</v>
      </c>
      <c r="B127" s="1" t="s">
        <v>2365</v>
      </c>
      <c r="C127" s="1" t="s">
        <v>116</v>
      </c>
      <c r="D127" s="1" t="s">
        <v>4089</v>
      </c>
      <c r="E127" s="1" t="s">
        <v>5300</v>
      </c>
      <c r="F127" s="1" t="s">
        <v>84</v>
      </c>
      <c r="G127" s="1" t="s">
        <v>129</v>
      </c>
      <c r="H127" s="1" t="s">
        <v>162</v>
      </c>
      <c r="I127" s="1" t="s">
        <v>5301</v>
      </c>
      <c r="J127" s="1" t="s">
        <v>4480</v>
      </c>
    </row>
    <row r="128">
      <c r="A128" s="1" t="s">
        <v>5303</v>
      </c>
      <c r="B128" s="1" t="s">
        <v>2365</v>
      </c>
      <c r="C128" s="1" t="s">
        <v>116</v>
      </c>
      <c r="D128" s="1" t="s">
        <v>4089</v>
      </c>
      <c r="E128" s="1" t="s">
        <v>5305</v>
      </c>
      <c r="F128" s="1" t="s">
        <v>84</v>
      </c>
      <c r="G128" s="1" t="s">
        <v>162</v>
      </c>
      <c r="H128" s="1" t="s">
        <v>335</v>
      </c>
      <c r="I128" s="1" t="s">
        <v>5310</v>
      </c>
      <c r="J128" s="1" t="s">
        <v>4863</v>
      </c>
    </row>
    <row r="129">
      <c r="A129" s="1" t="s">
        <v>5312</v>
      </c>
      <c r="B129" s="1" t="s">
        <v>3590</v>
      </c>
      <c r="C129" s="1" t="s">
        <v>3246</v>
      </c>
      <c r="D129" s="1" t="s">
        <v>4096</v>
      </c>
      <c r="E129" s="1" t="s">
        <v>5318</v>
      </c>
      <c r="F129" s="1" t="s">
        <v>84</v>
      </c>
      <c r="G129" s="1" t="s">
        <v>129</v>
      </c>
      <c r="H129" s="1" t="s">
        <v>162</v>
      </c>
      <c r="I129" s="1" t="s">
        <v>5320</v>
      </c>
      <c r="J129" s="1" t="s">
        <v>4480</v>
      </c>
    </row>
    <row r="130">
      <c r="A130" s="1" t="s">
        <v>5323</v>
      </c>
      <c r="B130" s="1" t="s">
        <v>3590</v>
      </c>
      <c r="C130" s="1" t="s">
        <v>3246</v>
      </c>
      <c r="D130" s="1" t="s">
        <v>4096</v>
      </c>
      <c r="E130" s="1" t="s">
        <v>5327</v>
      </c>
      <c r="F130" s="1" t="s">
        <v>86</v>
      </c>
      <c r="G130" s="1" t="s">
        <v>131</v>
      </c>
      <c r="H130" s="1" t="s">
        <v>365</v>
      </c>
      <c r="I130" s="1" t="s">
        <v>5331</v>
      </c>
      <c r="J130" s="1" t="s">
        <v>5097</v>
      </c>
    </row>
    <row r="131">
      <c r="A131" s="1" t="s">
        <v>5333</v>
      </c>
      <c r="B131" s="1" t="s">
        <v>3590</v>
      </c>
      <c r="C131" s="1" t="s">
        <v>3246</v>
      </c>
      <c r="D131" s="1" t="s">
        <v>4096</v>
      </c>
      <c r="E131" s="1" t="s">
        <v>5318</v>
      </c>
      <c r="F131" s="1" t="s">
        <v>84</v>
      </c>
      <c r="G131" s="1" t="s">
        <v>162</v>
      </c>
      <c r="H131" s="1" t="s">
        <v>335</v>
      </c>
      <c r="I131" s="1" t="s">
        <v>5339</v>
      </c>
      <c r="J131" s="1" t="s">
        <v>5097</v>
      </c>
    </row>
    <row r="132">
      <c r="A132" s="1" t="s">
        <v>5341</v>
      </c>
      <c r="B132" s="1" t="s">
        <v>3590</v>
      </c>
      <c r="C132" s="1" t="s">
        <v>3246</v>
      </c>
      <c r="D132" s="1" t="s">
        <v>4096</v>
      </c>
      <c r="E132" s="1" t="s">
        <v>5343</v>
      </c>
      <c r="F132" s="1" t="s">
        <v>86</v>
      </c>
      <c r="G132" s="1" t="s">
        <v>365</v>
      </c>
      <c r="H132" s="1" t="s">
        <v>131</v>
      </c>
      <c r="I132" s="1" t="s">
        <v>5350</v>
      </c>
      <c r="J132" s="1" t="s">
        <v>5097</v>
      </c>
    </row>
    <row r="133">
      <c r="A133" s="1" t="s">
        <v>5351</v>
      </c>
      <c r="B133" s="1" t="s">
        <v>2331</v>
      </c>
      <c r="C133" s="1" t="s">
        <v>146</v>
      </c>
      <c r="D133" s="1" t="s">
        <v>4123</v>
      </c>
      <c r="E133" s="1" t="s">
        <v>5355</v>
      </c>
      <c r="F133" s="1" t="s">
        <v>84</v>
      </c>
      <c r="G133" s="1" t="s">
        <v>162</v>
      </c>
      <c r="H133" s="1" t="s">
        <v>300</v>
      </c>
      <c r="I133" s="1" t="s">
        <v>5357</v>
      </c>
      <c r="J133" s="1" t="s">
        <v>4280</v>
      </c>
    </row>
    <row r="134">
      <c r="A134" s="1" t="s">
        <v>5359</v>
      </c>
      <c r="B134" s="1" t="s">
        <v>2371</v>
      </c>
      <c r="C134" s="1" t="s">
        <v>116</v>
      </c>
      <c r="D134" s="1" t="s">
        <v>4129</v>
      </c>
      <c r="E134" s="1" t="s">
        <v>5361</v>
      </c>
      <c r="F134" s="1" t="s">
        <v>84</v>
      </c>
      <c r="G134" s="1" t="s">
        <v>129</v>
      </c>
      <c r="H134" s="1" t="s">
        <v>162</v>
      </c>
      <c r="I134" s="1" t="s">
        <v>5364</v>
      </c>
      <c r="J134" s="1" t="s">
        <v>4480</v>
      </c>
    </row>
    <row r="135">
      <c r="A135" s="1" t="s">
        <v>5367</v>
      </c>
      <c r="B135" s="1" t="s">
        <v>2373</v>
      </c>
      <c r="C135" s="1" t="s">
        <v>116</v>
      </c>
      <c r="D135" s="1" t="s">
        <v>4137</v>
      </c>
      <c r="E135" s="1" t="s">
        <v>5370</v>
      </c>
      <c r="F135" s="1" t="s">
        <v>84</v>
      </c>
      <c r="G135" s="1" t="s">
        <v>129</v>
      </c>
      <c r="H135" s="1" t="s">
        <v>162</v>
      </c>
      <c r="I135" s="1" t="s">
        <v>5373</v>
      </c>
      <c r="J135" s="1" t="s">
        <v>4480</v>
      </c>
    </row>
    <row r="136">
      <c r="A136" s="1" t="s">
        <v>5376</v>
      </c>
      <c r="B136" s="1" t="s">
        <v>2373</v>
      </c>
      <c r="C136" s="1" t="s">
        <v>116</v>
      </c>
      <c r="D136" s="1" t="s">
        <v>4137</v>
      </c>
      <c r="E136" s="1" t="s">
        <v>5378</v>
      </c>
      <c r="F136" s="1" t="s">
        <v>84</v>
      </c>
      <c r="G136" s="1" t="s">
        <v>162</v>
      </c>
      <c r="H136" s="1" t="s">
        <v>460</v>
      </c>
      <c r="I136" s="1" t="s">
        <v>5381</v>
      </c>
      <c r="J136" s="1" t="s">
        <v>5383</v>
      </c>
    </row>
    <row r="137">
      <c r="A137" s="1" t="s">
        <v>5385</v>
      </c>
      <c r="B137" s="1" t="s">
        <v>2390</v>
      </c>
      <c r="C137" s="1" t="s">
        <v>116</v>
      </c>
      <c r="D137" s="1" t="s">
        <v>4176</v>
      </c>
      <c r="E137" s="1" t="s">
        <v>5389</v>
      </c>
      <c r="F137" s="1" t="s">
        <v>84</v>
      </c>
      <c r="G137" s="1" t="s">
        <v>129</v>
      </c>
      <c r="H137" s="1" t="s">
        <v>162</v>
      </c>
      <c r="I137" s="1" t="s">
        <v>5393</v>
      </c>
      <c r="J137" s="1" t="s">
        <v>4480</v>
      </c>
    </row>
    <row r="138">
      <c r="A138" s="1" t="s">
        <v>5395</v>
      </c>
      <c r="B138" s="1" t="s">
        <v>2390</v>
      </c>
      <c r="C138" s="1" t="s">
        <v>116</v>
      </c>
      <c r="D138" s="1" t="s">
        <v>4176</v>
      </c>
      <c r="E138" s="1" t="s">
        <v>5400</v>
      </c>
      <c r="F138" s="1" t="s">
        <v>84</v>
      </c>
      <c r="G138" s="1" t="s">
        <v>162</v>
      </c>
      <c r="H138" s="1" t="s">
        <v>216</v>
      </c>
      <c r="I138" s="1" t="s">
        <v>5405</v>
      </c>
      <c r="J138" s="1" t="s">
        <v>5407</v>
      </c>
    </row>
    <row r="139">
      <c r="A139" s="1" t="s">
        <v>5409</v>
      </c>
      <c r="B139" s="1" t="s">
        <v>2393</v>
      </c>
      <c r="C139" s="1" t="s">
        <v>116</v>
      </c>
      <c r="D139" s="1" t="s">
        <v>4180</v>
      </c>
      <c r="E139" s="1" t="s">
        <v>5414</v>
      </c>
      <c r="F139" s="1" t="s">
        <v>84</v>
      </c>
      <c r="G139" s="1" t="s">
        <v>129</v>
      </c>
      <c r="H139" s="1" t="s">
        <v>162</v>
      </c>
      <c r="I139" s="1" t="s">
        <v>5417</v>
      </c>
      <c r="J139" s="1" t="s">
        <v>4480</v>
      </c>
    </row>
    <row r="140">
      <c r="A140" s="1" t="s">
        <v>5420</v>
      </c>
      <c r="B140" s="1" t="s">
        <v>2160</v>
      </c>
      <c r="C140" s="1" t="s">
        <v>116</v>
      </c>
      <c r="D140" s="1" t="s">
        <v>4185</v>
      </c>
      <c r="E140" s="1" t="s">
        <v>5425</v>
      </c>
      <c r="F140" s="1" t="s">
        <v>84</v>
      </c>
      <c r="G140" s="1" t="s">
        <v>162</v>
      </c>
      <c r="H140" s="1" t="s">
        <v>300</v>
      </c>
      <c r="I140" s="1" t="s">
        <v>5428</v>
      </c>
      <c r="J140" s="1" t="s">
        <v>5430</v>
      </c>
    </row>
    <row r="141">
      <c r="A141" s="1" t="s">
        <v>5432</v>
      </c>
      <c r="B141" s="1" t="s">
        <v>2160</v>
      </c>
      <c r="C141" s="1" t="s">
        <v>116</v>
      </c>
      <c r="D141" s="1" t="s">
        <v>4185</v>
      </c>
      <c r="E141" s="1" t="s">
        <v>5436</v>
      </c>
      <c r="F141" s="1" t="s">
        <v>84</v>
      </c>
      <c r="G141" s="1" t="s">
        <v>300</v>
      </c>
      <c r="H141" s="1" t="s">
        <v>363</v>
      </c>
      <c r="I141" s="1" t="s">
        <v>5439</v>
      </c>
      <c r="J141" s="1" t="s">
        <v>5430</v>
      </c>
    </row>
    <row r="142">
      <c r="A142" s="1" t="s">
        <v>5443</v>
      </c>
      <c r="B142" s="1" t="s">
        <v>2160</v>
      </c>
      <c r="C142" s="1" t="s">
        <v>116</v>
      </c>
      <c r="D142" s="1" t="s">
        <v>4185</v>
      </c>
      <c r="E142" s="1" t="s">
        <v>5446</v>
      </c>
      <c r="F142" s="1" t="s">
        <v>84</v>
      </c>
      <c r="G142" s="1" t="s">
        <v>363</v>
      </c>
      <c r="H142" s="1" t="s">
        <v>460</v>
      </c>
      <c r="I142" s="1" t="s">
        <v>5449</v>
      </c>
      <c r="J142" s="1" t="s">
        <v>5430</v>
      </c>
    </row>
    <row r="143">
      <c r="A143" s="1" t="s">
        <v>5454</v>
      </c>
      <c r="B143" s="1" t="s">
        <v>2160</v>
      </c>
      <c r="C143" s="1" t="s">
        <v>116</v>
      </c>
      <c r="D143" s="1" t="s">
        <v>4185</v>
      </c>
      <c r="E143" s="1" t="s">
        <v>5457</v>
      </c>
      <c r="F143" s="1" t="s">
        <v>86</v>
      </c>
      <c r="G143" s="1" t="s">
        <v>131</v>
      </c>
      <c r="H143" s="1" t="s">
        <v>472</v>
      </c>
      <c r="I143" s="1" t="s">
        <v>5459</v>
      </c>
      <c r="J143" s="1" t="s">
        <v>5430</v>
      </c>
    </row>
    <row r="144">
      <c r="A144" s="1" t="s">
        <v>5462</v>
      </c>
      <c r="B144" s="1" t="s">
        <v>2160</v>
      </c>
      <c r="C144" s="1" t="s">
        <v>116</v>
      </c>
      <c r="D144" s="1" t="s">
        <v>4185</v>
      </c>
      <c r="E144" s="1" t="s">
        <v>5468</v>
      </c>
      <c r="F144" s="1" t="s">
        <v>86</v>
      </c>
      <c r="G144" s="1" t="s">
        <v>472</v>
      </c>
      <c r="H144" s="1" t="s">
        <v>365</v>
      </c>
      <c r="I144" s="1" t="s">
        <v>5473</v>
      </c>
      <c r="J144" s="1" t="s">
        <v>5430</v>
      </c>
    </row>
    <row r="145">
      <c r="A145" s="1" t="s">
        <v>5476</v>
      </c>
      <c r="B145" s="1" t="s">
        <v>2291</v>
      </c>
      <c r="C145" s="1" t="s">
        <v>116</v>
      </c>
      <c r="D145" s="1" t="s">
        <v>4189</v>
      </c>
      <c r="E145" s="1" t="s">
        <v>5480</v>
      </c>
      <c r="F145" s="1" t="s">
        <v>84</v>
      </c>
      <c r="G145" s="1" t="s">
        <v>162</v>
      </c>
      <c r="H145" s="1" t="s">
        <v>335</v>
      </c>
      <c r="I145" s="1" t="s">
        <v>5483</v>
      </c>
      <c r="J145" s="1" t="s">
        <v>4535</v>
      </c>
    </row>
    <row r="146">
      <c r="A146" s="1" t="s">
        <v>5487</v>
      </c>
      <c r="B146" s="1" t="s">
        <v>2291</v>
      </c>
      <c r="C146" s="1" t="s">
        <v>116</v>
      </c>
      <c r="D146" s="1" t="s">
        <v>4189</v>
      </c>
      <c r="E146" s="1" t="s">
        <v>5491</v>
      </c>
      <c r="F146" s="1" t="s">
        <v>84</v>
      </c>
      <c r="G146" s="1" t="s">
        <v>335</v>
      </c>
      <c r="H146" s="1" t="s">
        <v>460</v>
      </c>
      <c r="I146" s="1" t="s">
        <v>5494</v>
      </c>
      <c r="J146" s="1" t="s">
        <v>4535</v>
      </c>
    </row>
    <row r="147">
      <c r="A147" s="1" t="s">
        <v>5497</v>
      </c>
      <c r="B147" s="1" t="s">
        <v>2481</v>
      </c>
      <c r="C147" s="1" t="s">
        <v>2631</v>
      </c>
      <c r="D147" s="1" t="s">
        <v>4194</v>
      </c>
      <c r="E147" s="1" t="s">
        <v>5502</v>
      </c>
      <c r="F147" s="1" t="s">
        <v>84</v>
      </c>
      <c r="G147" s="1" t="s">
        <v>162</v>
      </c>
      <c r="H147" s="1" t="s">
        <v>335</v>
      </c>
      <c r="I147" s="1" t="s">
        <v>5508</v>
      </c>
      <c r="J147" s="1" t="s">
        <v>4315</v>
      </c>
    </row>
    <row r="148">
      <c r="A148" s="1" t="s">
        <v>5511</v>
      </c>
      <c r="B148" s="1" t="s">
        <v>2481</v>
      </c>
      <c r="C148" s="1" t="s">
        <v>2631</v>
      </c>
      <c r="D148" s="1" t="s">
        <v>4194</v>
      </c>
      <c r="E148" s="1" t="s">
        <v>5514</v>
      </c>
      <c r="F148" s="1" t="s">
        <v>84</v>
      </c>
      <c r="G148" s="1" t="s">
        <v>335</v>
      </c>
      <c r="H148" s="1" t="s">
        <v>460</v>
      </c>
      <c r="I148" s="1" t="s">
        <v>5516</v>
      </c>
      <c r="J148" s="1" t="s">
        <v>4315</v>
      </c>
    </row>
    <row r="149">
      <c r="A149" s="1" t="s">
        <v>5519</v>
      </c>
      <c r="B149" s="1" t="s">
        <v>2481</v>
      </c>
      <c r="C149" s="1" t="s">
        <v>2631</v>
      </c>
      <c r="D149" s="1" t="s">
        <v>4194</v>
      </c>
      <c r="E149" s="1" t="s">
        <v>5514</v>
      </c>
      <c r="F149" s="1" t="s">
        <v>84</v>
      </c>
      <c r="G149" s="1" t="s">
        <v>460</v>
      </c>
      <c r="H149" s="1" t="s">
        <v>253</v>
      </c>
      <c r="I149" s="1" t="s">
        <v>5528</v>
      </c>
      <c r="J149" s="1" t="s">
        <v>4315</v>
      </c>
    </row>
    <row r="150">
      <c r="A150" s="1" t="s">
        <v>5530</v>
      </c>
      <c r="B150" s="1" t="s">
        <v>2487</v>
      </c>
      <c r="C150" s="1" t="s">
        <v>116</v>
      </c>
      <c r="D150" s="1" t="s">
        <v>4202</v>
      </c>
      <c r="E150" s="1" t="s">
        <v>5533</v>
      </c>
      <c r="F150" s="1" t="s">
        <v>84</v>
      </c>
      <c r="G150" s="1" t="s">
        <v>162</v>
      </c>
      <c r="H150" s="1" t="s">
        <v>335</v>
      </c>
      <c r="I150" s="1" t="s">
        <v>5534</v>
      </c>
      <c r="J150" s="1" t="s">
        <v>5535</v>
      </c>
    </row>
    <row r="151">
      <c r="A151" s="1" t="s">
        <v>5536</v>
      </c>
      <c r="B151" s="1" t="s">
        <v>2487</v>
      </c>
      <c r="C151" s="1" t="s">
        <v>116</v>
      </c>
      <c r="D151" s="1" t="s">
        <v>4202</v>
      </c>
      <c r="E151" s="1" t="s">
        <v>5539</v>
      </c>
      <c r="F151" s="1" t="s">
        <v>84</v>
      </c>
      <c r="G151" s="1" t="s">
        <v>335</v>
      </c>
      <c r="H151" s="1" t="s">
        <v>460</v>
      </c>
      <c r="I151" s="1" t="s">
        <v>5541</v>
      </c>
      <c r="J151" s="1" t="s">
        <v>4544</v>
      </c>
    </row>
    <row r="152">
      <c r="A152" s="1" t="s">
        <v>5543</v>
      </c>
      <c r="B152" s="1" t="s">
        <v>2492</v>
      </c>
      <c r="C152" s="1" t="s">
        <v>4099</v>
      </c>
      <c r="D152" s="1" t="s">
        <v>4208</v>
      </c>
      <c r="E152" s="1" t="s">
        <v>5546</v>
      </c>
      <c r="F152" s="1" t="s">
        <v>84</v>
      </c>
      <c r="G152" s="1" t="s">
        <v>162</v>
      </c>
      <c r="H152" s="1" t="s">
        <v>335</v>
      </c>
      <c r="I152" s="1" t="s">
        <v>5549</v>
      </c>
      <c r="J152" s="1" t="s">
        <v>5139</v>
      </c>
    </row>
    <row r="153">
      <c r="A153" s="1" t="s">
        <v>5552</v>
      </c>
      <c r="B153" s="1" t="s">
        <v>2212</v>
      </c>
      <c r="C153" s="1" t="s">
        <v>116</v>
      </c>
      <c r="D153" s="1" t="s">
        <v>4214</v>
      </c>
      <c r="E153" s="1" t="s">
        <v>5559</v>
      </c>
      <c r="F153" s="1" t="s">
        <v>84</v>
      </c>
      <c r="G153" s="1" t="s">
        <v>162</v>
      </c>
      <c r="H153" s="1" t="s">
        <v>335</v>
      </c>
      <c r="I153" s="1" t="s">
        <v>5561</v>
      </c>
      <c r="J153" s="1" t="s">
        <v>5563</v>
      </c>
    </row>
    <row r="154">
      <c r="A154" s="1" t="s">
        <v>5566</v>
      </c>
      <c r="B154" s="1" t="s">
        <v>2066</v>
      </c>
      <c r="C154" s="1" t="s">
        <v>116</v>
      </c>
      <c r="D154" s="1" t="s">
        <v>4239</v>
      </c>
      <c r="E154" s="1" t="s">
        <v>5569</v>
      </c>
      <c r="F154" s="1" t="s">
        <v>86</v>
      </c>
      <c r="G154" s="1" t="s">
        <v>131</v>
      </c>
      <c r="H154" s="1" t="s">
        <v>365</v>
      </c>
      <c r="I154" s="1" t="s">
        <v>5572</v>
      </c>
      <c r="J154" s="1" t="s">
        <v>4863</v>
      </c>
    </row>
    <row r="155">
      <c r="A155" s="1" t="s">
        <v>5576</v>
      </c>
      <c r="B155" s="1" t="s">
        <v>2066</v>
      </c>
      <c r="C155" s="1" t="s">
        <v>116</v>
      </c>
      <c r="D155" s="1" t="s">
        <v>4239</v>
      </c>
      <c r="E155" s="1" t="s">
        <v>5580</v>
      </c>
      <c r="F155" s="1" t="s">
        <v>84</v>
      </c>
      <c r="G155" s="1" t="s">
        <v>162</v>
      </c>
      <c r="H155" s="1" t="s">
        <v>300</v>
      </c>
      <c r="I155" s="1" t="s">
        <v>5583</v>
      </c>
      <c r="J155" s="1" t="s">
        <v>4863</v>
      </c>
    </row>
    <row r="156">
      <c r="A156" s="1" t="s">
        <v>5586</v>
      </c>
      <c r="B156" s="1" t="s">
        <v>2066</v>
      </c>
      <c r="C156" s="1" t="s">
        <v>116</v>
      </c>
      <c r="D156" s="1" t="s">
        <v>4239</v>
      </c>
      <c r="E156" s="1" t="s">
        <v>5590</v>
      </c>
      <c r="F156" s="1" t="s">
        <v>86</v>
      </c>
      <c r="G156" s="1" t="s">
        <v>365</v>
      </c>
      <c r="H156" s="1" t="s">
        <v>131</v>
      </c>
      <c r="I156" s="1" t="s">
        <v>5595</v>
      </c>
      <c r="J156" s="1" t="s">
        <v>4863</v>
      </c>
    </row>
    <row r="157">
      <c r="A157" s="1" t="s">
        <v>5598</v>
      </c>
      <c r="B157" s="1" t="s">
        <v>2066</v>
      </c>
      <c r="C157" s="1" t="s">
        <v>116</v>
      </c>
      <c r="D157" s="1" t="s">
        <v>4239</v>
      </c>
      <c r="E157" s="1" t="s">
        <v>5601</v>
      </c>
      <c r="F157" s="1" t="s">
        <v>84</v>
      </c>
      <c r="G157" s="1" t="s">
        <v>300</v>
      </c>
      <c r="H157" s="1" t="s">
        <v>460</v>
      </c>
      <c r="I157" s="1" t="s">
        <v>5602</v>
      </c>
      <c r="J157" s="1" t="s">
        <v>4863</v>
      </c>
    </row>
    <row r="158">
      <c r="A158" s="1" t="s">
        <v>5603</v>
      </c>
      <c r="B158" s="1" t="s">
        <v>2501</v>
      </c>
      <c r="C158" s="1" t="s">
        <v>2502</v>
      </c>
      <c r="D158" s="1" t="s">
        <v>4248</v>
      </c>
      <c r="E158" s="1" t="s">
        <v>5604</v>
      </c>
      <c r="F158" s="1" t="s">
        <v>84</v>
      </c>
      <c r="G158" s="1" t="s">
        <v>162</v>
      </c>
      <c r="H158" s="1" t="s">
        <v>300</v>
      </c>
      <c r="I158" s="1" t="s">
        <v>5606</v>
      </c>
      <c r="J158" s="1" t="s">
        <v>5607</v>
      </c>
    </row>
    <row r="159">
      <c r="A159" s="1" t="s">
        <v>5610</v>
      </c>
      <c r="B159" s="1" t="s">
        <v>2501</v>
      </c>
      <c r="C159" s="1" t="s">
        <v>2502</v>
      </c>
      <c r="D159" s="1" t="s">
        <v>4248</v>
      </c>
      <c r="E159" s="1" t="s">
        <v>5612</v>
      </c>
      <c r="F159" s="1" t="s">
        <v>84</v>
      </c>
      <c r="G159" s="1" t="s">
        <v>300</v>
      </c>
      <c r="H159" s="1" t="s">
        <v>460</v>
      </c>
      <c r="I159" s="1" t="s">
        <v>5614</v>
      </c>
      <c r="J159" s="1" t="s">
        <v>5607</v>
      </c>
    </row>
    <row r="160">
      <c r="A160" s="1" t="s">
        <v>5618</v>
      </c>
      <c r="B160" s="1" t="s">
        <v>2705</v>
      </c>
      <c r="C160" s="1" t="s">
        <v>3326</v>
      </c>
      <c r="D160" s="1" t="s">
        <v>3639</v>
      </c>
      <c r="E160" s="1" t="s">
        <v>5623</v>
      </c>
      <c r="F160" s="1" t="s">
        <v>84</v>
      </c>
      <c r="G160" s="1" t="s">
        <v>162</v>
      </c>
      <c r="H160" s="1" t="s">
        <v>335</v>
      </c>
      <c r="I160" s="1" t="s">
        <v>5625</v>
      </c>
      <c r="J160" s="1" t="s">
        <v>5627</v>
      </c>
    </row>
    <row r="161">
      <c r="A161" s="1" t="s">
        <v>5629</v>
      </c>
      <c r="B161" s="1" t="s">
        <v>2712</v>
      </c>
      <c r="C161" s="1" t="s">
        <v>116</v>
      </c>
      <c r="D161" s="1" t="s">
        <v>4277</v>
      </c>
      <c r="E161" s="1" t="s">
        <v>5634</v>
      </c>
      <c r="F161" s="1" t="s">
        <v>84</v>
      </c>
      <c r="G161" s="1" t="s">
        <v>162</v>
      </c>
      <c r="H161" s="1" t="s">
        <v>300</v>
      </c>
      <c r="I161" s="1" t="s">
        <v>5636</v>
      </c>
      <c r="J161" s="1" t="s">
        <v>4515</v>
      </c>
    </row>
    <row r="162">
      <c r="A162" s="1" t="s">
        <v>5638</v>
      </c>
      <c r="B162" s="1" t="s">
        <v>2194</v>
      </c>
      <c r="C162" s="1" t="s">
        <v>116</v>
      </c>
      <c r="D162" s="1" t="s">
        <v>4298</v>
      </c>
      <c r="E162" s="1" t="s">
        <v>5643</v>
      </c>
      <c r="F162" s="1" t="s">
        <v>84</v>
      </c>
      <c r="G162" s="1" t="s">
        <v>162</v>
      </c>
      <c r="H162" s="1" t="s">
        <v>335</v>
      </c>
      <c r="I162" s="1" t="s">
        <v>5645</v>
      </c>
      <c r="J162" s="1" t="s">
        <v>5647</v>
      </c>
    </row>
    <row r="163">
      <c r="A163" s="1" t="s">
        <v>5649</v>
      </c>
      <c r="B163" s="1" t="s">
        <v>2725</v>
      </c>
      <c r="C163" s="1" t="s">
        <v>116</v>
      </c>
      <c r="D163" s="1" t="s">
        <v>4311</v>
      </c>
      <c r="E163" s="1" t="s">
        <v>5654</v>
      </c>
      <c r="F163" s="1" t="s">
        <v>84</v>
      </c>
      <c r="G163" s="1" t="s">
        <v>162</v>
      </c>
      <c r="H163" s="1" t="s">
        <v>129</v>
      </c>
      <c r="I163" s="1" t="s">
        <v>5658</v>
      </c>
      <c r="J163" s="1" t="s">
        <v>4289</v>
      </c>
    </row>
    <row r="164">
      <c r="A164" s="1" t="s">
        <v>5661</v>
      </c>
      <c r="B164" s="1" t="s">
        <v>2725</v>
      </c>
      <c r="C164" s="1" t="s">
        <v>116</v>
      </c>
      <c r="D164" s="1" t="s">
        <v>4311</v>
      </c>
      <c r="E164" s="1" t="s">
        <v>5663</v>
      </c>
      <c r="F164" s="1" t="s">
        <v>84</v>
      </c>
      <c r="G164" s="1" t="s">
        <v>129</v>
      </c>
      <c r="H164" s="1" t="s">
        <v>162</v>
      </c>
      <c r="I164" s="1" t="s">
        <v>5667</v>
      </c>
      <c r="J164" s="1" t="s">
        <v>4289</v>
      </c>
    </row>
    <row r="165">
      <c r="A165" s="1" t="s">
        <v>5668</v>
      </c>
      <c r="B165" s="1" t="s">
        <v>1485</v>
      </c>
      <c r="C165" s="1" t="s">
        <v>116</v>
      </c>
      <c r="D165" s="1" t="s">
        <v>4326</v>
      </c>
      <c r="E165" s="1" t="s">
        <v>5671</v>
      </c>
      <c r="F165" s="1" t="s">
        <v>84</v>
      </c>
      <c r="G165" s="1" t="s">
        <v>162</v>
      </c>
      <c r="H165" s="1" t="s">
        <v>300</v>
      </c>
      <c r="I165" s="1" t="s">
        <v>5674</v>
      </c>
      <c r="J165" s="1" t="s">
        <v>5675</v>
      </c>
    </row>
    <row r="166">
      <c r="A166" s="1" t="s">
        <v>5678</v>
      </c>
      <c r="B166" s="1" t="s">
        <v>2739</v>
      </c>
      <c r="C166" s="1" t="s">
        <v>2964</v>
      </c>
      <c r="D166" s="1" t="s">
        <v>4338</v>
      </c>
      <c r="E166" s="1" t="s">
        <v>5681</v>
      </c>
      <c r="F166" s="1" t="s">
        <v>86</v>
      </c>
      <c r="G166" s="1" t="s">
        <v>131</v>
      </c>
      <c r="H166" s="1" t="s">
        <v>365</v>
      </c>
      <c r="I166" s="1" t="s">
        <v>5682</v>
      </c>
      <c r="J166" s="1" t="s">
        <v>5683</v>
      </c>
    </row>
    <row r="167">
      <c r="A167" s="1" t="s">
        <v>5684</v>
      </c>
      <c r="B167" s="1" t="s">
        <v>2778</v>
      </c>
      <c r="C167" s="1" t="s">
        <v>4352</v>
      </c>
      <c r="D167" s="1" t="s">
        <v>4353</v>
      </c>
      <c r="E167" s="1" t="s">
        <v>5685</v>
      </c>
      <c r="F167" s="1" t="s">
        <v>84</v>
      </c>
      <c r="G167" s="1" t="s">
        <v>162</v>
      </c>
      <c r="H167" s="1" t="s">
        <v>335</v>
      </c>
      <c r="I167" s="1" t="s">
        <v>5688</v>
      </c>
      <c r="J167" s="1" t="s">
        <v>4280</v>
      </c>
    </row>
    <row r="168">
      <c r="A168" s="1" t="s">
        <v>5689</v>
      </c>
      <c r="B168" s="1" t="s">
        <v>2817</v>
      </c>
      <c r="C168" s="1" t="s">
        <v>116</v>
      </c>
      <c r="D168" s="1" t="s">
        <v>4376</v>
      </c>
      <c r="E168" s="1" t="s">
        <v>5694</v>
      </c>
      <c r="F168" s="1" t="s">
        <v>86</v>
      </c>
      <c r="G168" s="1" t="s">
        <v>131</v>
      </c>
      <c r="H168" s="1" t="s">
        <v>365</v>
      </c>
      <c r="I168" s="1" t="s">
        <v>5698</v>
      </c>
      <c r="J168" s="1" t="s">
        <v>5702</v>
      </c>
    </row>
    <row r="169">
      <c r="A169" s="1" t="s">
        <v>5704</v>
      </c>
      <c r="B169" s="1" t="s">
        <v>2817</v>
      </c>
      <c r="C169" s="1" t="s">
        <v>116</v>
      </c>
      <c r="D169" s="1" t="s">
        <v>4376</v>
      </c>
      <c r="E169" s="1" t="s">
        <v>5705</v>
      </c>
      <c r="F169" s="1" t="s">
        <v>86</v>
      </c>
      <c r="G169" s="1" t="s">
        <v>365</v>
      </c>
      <c r="H169" s="1" t="s">
        <v>472</v>
      </c>
      <c r="I169" s="1" t="s">
        <v>5710</v>
      </c>
      <c r="J169" s="1" t="s">
        <v>5712</v>
      </c>
    </row>
    <row r="170">
      <c r="A170" s="1" t="s">
        <v>5713</v>
      </c>
      <c r="B170" s="1" t="s">
        <v>669</v>
      </c>
      <c r="C170" s="1" t="s">
        <v>670</v>
      </c>
      <c r="D170" s="1" t="s">
        <v>4390</v>
      </c>
      <c r="E170" s="1" t="s">
        <v>5718</v>
      </c>
      <c r="F170" s="1" t="s">
        <v>84</v>
      </c>
      <c r="G170" s="1" t="s">
        <v>162</v>
      </c>
      <c r="H170" s="1" t="s">
        <v>335</v>
      </c>
      <c r="I170" s="1" t="s">
        <v>5721</v>
      </c>
      <c r="J170" s="1" t="s">
        <v>5723</v>
      </c>
    </row>
    <row r="171">
      <c r="A171" s="1" t="s">
        <v>5724</v>
      </c>
      <c r="B171" s="1" t="s">
        <v>669</v>
      </c>
      <c r="C171" s="1" t="s">
        <v>670</v>
      </c>
      <c r="D171" s="1" t="s">
        <v>4390</v>
      </c>
      <c r="E171" s="1" t="s">
        <v>5727</v>
      </c>
      <c r="F171" s="1" t="s">
        <v>84</v>
      </c>
      <c r="G171" s="1" t="s">
        <v>335</v>
      </c>
      <c r="H171" s="1" t="s">
        <v>460</v>
      </c>
      <c r="I171" s="1" t="s">
        <v>5730</v>
      </c>
      <c r="J171" s="1" t="s">
        <v>5723</v>
      </c>
    </row>
    <row r="172">
      <c r="A172" s="1" t="s">
        <v>5732</v>
      </c>
      <c r="B172" s="1" t="s">
        <v>1053</v>
      </c>
      <c r="C172" s="1" t="s">
        <v>116</v>
      </c>
      <c r="D172" s="1" t="s">
        <v>4402</v>
      </c>
      <c r="E172" s="1" t="s">
        <v>5735</v>
      </c>
      <c r="F172" s="1" t="s">
        <v>78</v>
      </c>
      <c r="G172" s="1"/>
      <c r="H172" s="3">
        <v>46267.0</v>
      </c>
      <c r="I172" s="1" t="s">
        <v>5737</v>
      </c>
      <c r="J172" s="1" t="s">
        <v>4825</v>
      </c>
    </row>
    <row r="173">
      <c r="A173" s="1" t="s">
        <v>5739</v>
      </c>
      <c r="B173" s="1" t="s">
        <v>1053</v>
      </c>
      <c r="C173" s="1" t="s">
        <v>116</v>
      </c>
      <c r="D173" s="1" t="s">
        <v>4402</v>
      </c>
      <c r="E173" s="1" t="s">
        <v>5740</v>
      </c>
      <c r="F173" s="1" t="s">
        <v>84</v>
      </c>
      <c r="G173" s="1" t="s">
        <v>162</v>
      </c>
      <c r="H173" s="1" t="s">
        <v>216</v>
      </c>
      <c r="I173" s="1" t="s">
        <v>5743</v>
      </c>
      <c r="J173" s="1" t="s">
        <v>4825</v>
      </c>
    </row>
    <row r="174">
      <c r="A174" s="1" t="s">
        <v>5746</v>
      </c>
      <c r="B174" s="1" t="s">
        <v>1053</v>
      </c>
      <c r="C174" s="1" t="s">
        <v>116</v>
      </c>
      <c r="D174" s="1" t="s">
        <v>4402</v>
      </c>
      <c r="E174" s="1" t="s">
        <v>5751</v>
      </c>
      <c r="F174" s="1" t="s">
        <v>84</v>
      </c>
      <c r="G174" s="1" t="s">
        <v>216</v>
      </c>
      <c r="H174" s="1" t="s">
        <v>460</v>
      </c>
      <c r="I174" s="1" t="s">
        <v>5753</v>
      </c>
      <c r="J174" s="1" t="s">
        <v>4825</v>
      </c>
    </row>
    <row r="175">
      <c r="A175" s="1" t="s">
        <v>5755</v>
      </c>
      <c r="B175" s="1" t="s">
        <v>1053</v>
      </c>
      <c r="C175" s="1" t="s">
        <v>116</v>
      </c>
      <c r="D175" s="1" t="s">
        <v>4402</v>
      </c>
      <c r="E175" s="1" t="s">
        <v>5758</v>
      </c>
      <c r="F175" s="1" t="s">
        <v>78</v>
      </c>
      <c r="G175" s="3">
        <v>46267.0</v>
      </c>
      <c r="H175" s="1"/>
      <c r="I175" s="1" t="s">
        <v>5762</v>
      </c>
      <c r="J175" s="1" t="s">
        <v>4825</v>
      </c>
    </row>
    <row r="176">
      <c r="A176" s="1" t="s">
        <v>5766</v>
      </c>
      <c r="B176" s="1" t="s">
        <v>2853</v>
      </c>
      <c r="C176" s="1" t="s">
        <v>4415</v>
      </c>
      <c r="D176" s="1" t="s">
        <v>4416</v>
      </c>
      <c r="E176" s="1" t="s">
        <v>5769</v>
      </c>
      <c r="F176" s="1" t="s">
        <v>84</v>
      </c>
      <c r="G176" s="1" t="s">
        <v>129</v>
      </c>
      <c r="H176" s="1" t="s">
        <v>162</v>
      </c>
      <c r="I176" s="1" t="s">
        <v>5772</v>
      </c>
      <c r="J176" s="1" t="s">
        <v>5773</v>
      </c>
    </row>
    <row r="177">
      <c r="A177" s="1" t="s">
        <v>5776</v>
      </c>
      <c r="B177" s="1" t="s">
        <v>2853</v>
      </c>
      <c r="C177" s="1" t="s">
        <v>4415</v>
      </c>
      <c r="D177" s="1" t="s">
        <v>4416</v>
      </c>
      <c r="E177" s="1" t="s">
        <v>5769</v>
      </c>
      <c r="F177" s="1" t="s">
        <v>84</v>
      </c>
      <c r="G177" s="1" t="s">
        <v>162</v>
      </c>
      <c r="H177" s="1" t="s">
        <v>460</v>
      </c>
      <c r="I177" s="1" t="s">
        <v>5784</v>
      </c>
      <c r="J177" s="1" t="s">
        <v>5785</v>
      </c>
    </row>
    <row r="178">
      <c r="A178" s="1" t="s">
        <v>5787</v>
      </c>
      <c r="B178" s="1" t="s">
        <v>3853</v>
      </c>
      <c r="C178" s="1" t="s">
        <v>191</v>
      </c>
      <c r="D178" s="1" t="s">
        <v>3542</v>
      </c>
      <c r="E178" s="1" t="s">
        <v>5789</v>
      </c>
      <c r="F178" s="1" t="s">
        <v>84</v>
      </c>
      <c r="G178" s="1" t="s">
        <v>129</v>
      </c>
      <c r="H178" s="1" t="s">
        <v>162</v>
      </c>
      <c r="I178" s="1" t="s">
        <v>5794</v>
      </c>
      <c r="J178" s="1" t="s">
        <v>4480</v>
      </c>
    </row>
    <row r="179">
      <c r="A179" s="1" t="s">
        <v>5797</v>
      </c>
      <c r="B179" s="1" t="s">
        <v>2928</v>
      </c>
      <c r="C179" s="1" t="s">
        <v>116</v>
      </c>
      <c r="D179" s="1" t="s">
        <v>4466</v>
      </c>
      <c r="E179" s="1" t="s">
        <v>5801</v>
      </c>
      <c r="F179" s="1" t="s">
        <v>84</v>
      </c>
      <c r="G179" s="1" t="s">
        <v>162</v>
      </c>
      <c r="H179" s="1" t="s">
        <v>129</v>
      </c>
      <c r="I179" s="1" t="s">
        <v>5803</v>
      </c>
      <c r="J179" s="1" t="s">
        <v>4289</v>
      </c>
    </row>
    <row r="180">
      <c r="A180" s="1" t="s">
        <v>5805</v>
      </c>
      <c r="B180" s="1" t="s">
        <v>2928</v>
      </c>
      <c r="C180" s="1" t="s">
        <v>116</v>
      </c>
      <c r="D180" s="1" t="s">
        <v>4466</v>
      </c>
      <c r="E180" s="1" t="s">
        <v>5809</v>
      </c>
      <c r="F180" s="1" t="s">
        <v>84</v>
      </c>
      <c r="G180" s="1" t="s">
        <v>129</v>
      </c>
      <c r="H180" s="1" t="s">
        <v>162</v>
      </c>
      <c r="I180" s="1" t="s">
        <v>5812</v>
      </c>
      <c r="J180" s="1" t="s">
        <v>5189</v>
      </c>
    </row>
    <row r="181">
      <c r="A181" s="1" t="s">
        <v>5814</v>
      </c>
      <c r="B181" s="1" t="s">
        <v>2928</v>
      </c>
      <c r="C181" s="1" t="s">
        <v>116</v>
      </c>
      <c r="D181" s="1" t="s">
        <v>4466</v>
      </c>
      <c r="E181" s="1" t="s">
        <v>5816</v>
      </c>
      <c r="F181" s="1" t="s">
        <v>84</v>
      </c>
      <c r="G181" s="1" t="s">
        <v>162</v>
      </c>
      <c r="H181" s="1" t="s">
        <v>216</v>
      </c>
      <c r="I181" s="1" t="s">
        <v>5820</v>
      </c>
      <c r="J181" s="1" t="s">
        <v>4289</v>
      </c>
    </row>
    <row r="182">
      <c r="A182" s="1" t="s">
        <v>5822</v>
      </c>
      <c r="B182" s="1" t="s">
        <v>2928</v>
      </c>
      <c r="C182" s="1" t="s">
        <v>116</v>
      </c>
      <c r="D182" s="1" t="s">
        <v>4466</v>
      </c>
      <c r="E182" s="1" t="s">
        <v>5827</v>
      </c>
      <c r="F182" s="1" t="s">
        <v>78</v>
      </c>
      <c r="G182" s="1"/>
      <c r="H182" s="3">
        <v>46266.0</v>
      </c>
      <c r="I182" s="1" t="s">
        <v>5829</v>
      </c>
      <c r="J182" s="1" t="s">
        <v>4231</v>
      </c>
    </row>
    <row r="183">
      <c r="A183" s="1" t="s">
        <v>5832</v>
      </c>
      <c r="B183" s="1" t="s">
        <v>2933</v>
      </c>
      <c r="C183" s="1" t="s">
        <v>3119</v>
      </c>
      <c r="D183" s="1" t="s">
        <v>4487</v>
      </c>
      <c r="E183" s="1" t="s">
        <v>5837</v>
      </c>
      <c r="F183" s="1" t="s">
        <v>84</v>
      </c>
      <c r="G183" s="1" t="s">
        <v>162</v>
      </c>
      <c r="H183" s="1" t="s">
        <v>335</v>
      </c>
      <c r="I183" s="1" t="s">
        <v>5841</v>
      </c>
      <c r="J183" s="1" t="s">
        <v>5843</v>
      </c>
    </row>
    <row r="184">
      <c r="A184" s="1" t="s">
        <v>5846</v>
      </c>
      <c r="B184" s="1" t="s">
        <v>2954</v>
      </c>
      <c r="C184" s="1" t="s">
        <v>116</v>
      </c>
      <c r="D184" s="1" t="s">
        <v>4496</v>
      </c>
      <c r="E184" s="1" t="s">
        <v>5851</v>
      </c>
      <c r="F184" s="1" t="s">
        <v>84</v>
      </c>
      <c r="G184" s="1" t="s">
        <v>162</v>
      </c>
      <c r="H184" s="1" t="s">
        <v>335</v>
      </c>
      <c r="I184" s="1" t="s">
        <v>5854</v>
      </c>
      <c r="J184" s="1" t="s">
        <v>4280</v>
      </c>
    </row>
    <row r="185">
      <c r="A185" s="1" t="s">
        <v>5856</v>
      </c>
      <c r="B185" s="1" t="s">
        <v>2962</v>
      </c>
      <c r="C185" s="1" t="s">
        <v>3246</v>
      </c>
      <c r="D185" s="1" t="s">
        <v>4507</v>
      </c>
      <c r="E185" s="1" t="s">
        <v>5860</v>
      </c>
      <c r="F185" s="1" t="s">
        <v>84</v>
      </c>
      <c r="G185" s="1" t="s">
        <v>162</v>
      </c>
      <c r="H185" s="1" t="s">
        <v>300</v>
      </c>
      <c r="I185" s="1" t="s">
        <v>5863</v>
      </c>
      <c r="J185" s="1" t="s">
        <v>5865</v>
      </c>
    </row>
    <row r="186">
      <c r="A186" s="1" t="s">
        <v>5867</v>
      </c>
      <c r="B186" s="1" t="s">
        <v>2967</v>
      </c>
      <c r="C186" s="1" t="s">
        <v>3246</v>
      </c>
      <c r="D186" s="1" t="s">
        <v>4534</v>
      </c>
      <c r="E186" s="1" t="s">
        <v>5869</v>
      </c>
      <c r="F186" s="1" t="s">
        <v>84</v>
      </c>
      <c r="G186" s="1" t="s">
        <v>162</v>
      </c>
      <c r="H186" s="1" t="s">
        <v>300</v>
      </c>
      <c r="I186" s="1" t="s">
        <v>5874</v>
      </c>
      <c r="J186" s="1" t="s">
        <v>5865</v>
      </c>
    </row>
    <row r="187">
      <c r="A187" s="1" t="s">
        <v>5878</v>
      </c>
      <c r="B187" s="1" t="s">
        <v>4896</v>
      </c>
      <c r="C187" s="1" t="s">
        <v>4898</v>
      </c>
      <c r="D187" s="1" t="s">
        <v>4900</v>
      </c>
      <c r="E187" s="1" t="s">
        <v>5883</v>
      </c>
      <c r="F187" s="1" t="s">
        <v>84</v>
      </c>
      <c r="G187" s="1" t="s">
        <v>162</v>
      </c>
      <c r="H187" s="1" t="s">
        <v>129</v>
      </c>
      <c r="I187" s="1" t="s">
        <v>5887</v>
      </c>
      <c r="J187" s="1" t="s">
        <v>5889</v>
      </c>
    </row>
    <row r="188">
      <c r="A188" s="1" t="s">
        <v>5891</v>
      </c>
      <c r="B188" s="1" t="s">
        <v>4988</v>
      </c>
      <c r="C188" s="1" t="s">
        <v>4293</v>
      </c>
      <c r="D188" s="1" t="s">
        <v>4990</v>
      </c>
      <c r="E188" s="1" t="s">
        <v>5894</v>
      </c>
      <c r="F188" s="1" t="s">
        <v>78</v>
      </c>
      <c r="G188" s="4"/>
      <c r="H188" s="3">
        <v>45383.0</v>
      </c>
      <c r="I188" s="1" t="s">
        <v>5899</v>
      </c>
      <c r="J188" s="1" t="s">
        <v>5900</v>
      </c>
    </row>
    <row r="189">
      <c r="A189" s="1" t="s">
        <v>5903</v>
      </c>
      <c r="B189" s="1" t="s">
        <v>5021</v>
      </c>
      <c r="C189" s="1" t="s">
        <v>4293</v>
      </c>
      <c r="D189" s="1" t="s">
        <v>5024</v>
      </c>
      <c r="E189" s="1" t="s">
        <v>5906</v>
      </c>
      <c r="F189" s="1" t="s">
        <v>78</v>
      </c>
      <c r="G189" s="4"/>
      <c r="H189" s="3">
        <v>44803.0</v>
      </c>
      <c r="I189" s="1" t="s">
        <v>5909</v>
      </c>
      <c r="J189" s="1" t="s">
        <v>5900</v>
      </c>
    </row>
    <row r="190">
      <c r="A190" s="1" t="s">
        <v>5911</v>
      </c>
      <c r="B190" s="1" t="s">
        <v>5124</v>
      </c>
      <c r="C190" s="1" t="s">
        <v>4293</v>
      </c>
      <c r="D190" s="1" t="s">
        <v>5128</v>
      </c>
      <c r="E190" s="1" t="s">
        <v>5917</v>
      </c>
      <c r="F190" s="1" t="s">
        <v>78</v>
      </c>
      <c r="G190" s="4"/>
      <c r="H190" s="3">
        <v>44105.0</v>
      </c>
      <c r="I190" s="1" t="s">
        <v>5922</v>
      </c>
      <c r="J190" s="1" t="s">
        <v>5900</v>
      </c>
    </row>
    <row r="191">
      <c r="A191" s="1" t="s">
        <v>5924</v>
      </c>
      <c r="B191" s="1" t="s">
        <v>5145</v>
      </c>
      <c r="C191" s="1" t="s">
        <v>4293</v>
      </c>
      <c r="D191" s="1" t="s">
        <v>5149</v>
      </c>
      <c r="E191" s="1" t="s">
        <v>5932</v>
      </c>
      <c r="F191" s="1" t="s">
        <v>78</v>
      </c>
      <c r="G191" s="4"/>
      <c r="H191" s="3">
        <v>44599.0</v>
      </c>
      <c r="I191" s="1" t="s">
        <v>5936</v>
      </c>
      <c r="J191" s="1" t="s">
        <v>5900</v>
      </c>
    </row>
    <row r="192">
      <c r="A192" s="1" t="s">
        <v>5939</v>
      </c>
      <c r="B192" s="1" t="s">
        <v>5178</v>
      </c>
      <c r="C192" s="1" t="s">
        <v>4293</v>
      </c>
      <c r="D192" s="1" t="s">
        <v>5181</v>
      </c>
      <c r="E192" s="1" t="s">
        <v>5943</v>
      </c>
      <c r="F192" s="1" t="s">
        <v>78</v>
      </c>
      <c r="G192" s="4"/>
      <c r="H192" s="3">
        <v>44306.0</v>
      </c>
      <c r="I192" s="1" t="s">
        <v>5952</v>
      </c>
      <c r="J192" s="1" t="s">
        <v>5900</v>
      </c>
    </row>
    <row r="193">
      <c r="A193" s="1" t="s">
        <v>5956</v>
      </c>
      <c r="B193" s="1" t="s">
        <v>5222</v>
      </c>
      <c r="C193" s="1" t="s">
        <v>4293</v>
      </c>
      <c r="D193" s="1" t="s">
        <v>5227</v>
      </c>
      <c r="E193" s="1" t="s">
        <v>5961</v>
      </c>
      <c r="F193" s="1" t="s">
        <v>78</v>
      </c>
      <c r="G193" s="4"/>
      <c r="H193" s="3">
        <v>44307.0</v>
      </c>
      <c r="I193" s="1" t="s">
        <v>5964</v>
      </c>
      <c r="J193" s="1" t="s">
        <v>5900</v>
      </c>
    </row>
    <row r="194">
      <c r="A194" s="1" t="s">
        <v>5967</v>
      </c>
      <c r="B194" s="1" t="s">
        <v>5255</v>
      </c>
      <c r="C194" s="1" t="s">
        <v>4293</v>
      </c>
      <c r="D194" s="1" t="s">
        <v>5259</v>
      </c>
      <c r="E194" s="1" t="s">
        <v>5973</v>
      </c>
      <c r="F194" s="1" t="s">
        <v>78</v>
      </c>
      <c r="G194" s="4"/>
      <c r="H194" s="3">
        <v>44421.0</v>
      </c>
      <c r="I194" s="1" t="s">
        <v>5979</v>
      </c>
      <c r="J194" s="1" t="s">
        <v>5900</v>
      </c>
    </row>
    <row r="195">
      <c r="A195" s="1" t="s">
        <v>5981</v>
      </c>
      <c r="B195" s="1" t="s">
        <v>5282</v>
      </c>
      <c r="C195" s="1" t="s">
        <v>4293</v>
      </c>
      <c r="D195" s="1" t="s">
        <v>5288</v>
      </c>
      <c r="E195" s="1" t="s">
        <v>5982</v>
      </c>
      <c r="F195" s="1" t="s">
        <v>78</v>
      </c>
      <c r="G195" s="4"/>
      <c r="H195" s="3">
        <v>44522.0</v>
      </c>
      <c r="I195" s="1" t="s">
        <v>5986</v>
      </c>
      <c r="J195" s="1" t="s">
        <v>5900</v>
      </c>
    </row>
    <row r="196">
      <c r="A196" s="1" t="s">
        <v>5991</v>
      </c>
      <c r="B196" s="1" t="s">
        <v>5309</v>
      </c>
      <c r="C196" s="1" t="s">
        <v>4293</v>
      </c>
      <c r="D196" s="1" t="s">
        <v>5314</v>
      </c>
      <c r="E196" s="1" t="s">
        <v>5996</v>
      </c>
      <c r="F196" s="1" t="s">
        <v>78</v>
      </c>
      <c r="G196" s="4"/>
      <c r="H196" s="3">
        <v>45791.0</v>
      </c>
      <c r="I196" s="1" t="s">
        <v>5999</v>
      </c>
      <c r="J196" s="1" t="s">
        <v>5900</v>
      </c>
    </row>
    <row r="197">
      <c r="A197" s="1" t="s">
        <v>6002</v>
      </c>
      <c r="B197" s="1" t="s">
        <v>4303</v>
      </c>
      <c r="C197" s="1" t="s">
        <v>4293</v>
      </c>
      <c r="D197" s="1" t="s">
        <v>5438</v>
      </c>
      <c r="E197" s="1" t="s">
        <v>6006</v>
      </c>
      <c r="F197" s="1" t="s">
        <v>78</v>
      </c>
      <c r="G197" s="4"/>
      <c r="H197" s="3">
        <v>44487.0</v>
      </c>
      <c r="I197" s="1" t="s">
        <v>6012</v>
      </c>
      <c r="J197" s="1" t="s">
        <v>5900</v>
      </c>
    </row>
    <row r="198">
      <c r="A198" s="1" t="s">
        <v>6015</v>
      </c>
      <c r="B198" s="1" t="s">
        <v>5465</v>
      </c>
      <c r="C198" s="1" t="s">
        <v>4293</v>
      </c>
      <c r="D198" s="1" t="s">
        <v>5471</v>
      </c>
      <c r="E198" s="1" t="s">
        <v>6018</v>
      </c>
      <c r="F198" s="1" t="s">
        <v>78</v>
      </c>
      <c r="G198" s="4"/>
      <c r="H198" s="3">
        <v>45824.0</v>
      </c>
      <c r="I198" s="1" t="s">
        <v>6021</v>
      </c>
      <c r="J198" s="1" t="s">
        <v>5900</v>
      </c>
    </row>
    <row r="199">
      <c r="A199" s="1" t="s">
        <v>6024</v>
      </c>
      <c r="B199" s="1" t="s">
        <v>5550</v>
      </c>
      <c r="C199" s="1" t="s">
        <v>4293</v>
      </c>
      <c r="D199" s="1" t="s">
        <v>5557</v>
      </c>
      <c r="E199" s="1" t="s">
        <v>6027</v>
      </c>
      <c r="F199" s="1" t="s">
        <v>78</v>
      </c>
      <c r="G199" s="4"/>
      <c r="H199" s="3">
        <v>45796.0</v>
      </c>
      <c r="I199" s="1" t="s">
        <v>5899</v>
      </c>
      <c r="J199" s="1" t="s">
        <v>5900</v>
      </c>
    </row>
    <row r="200">
      <c r="A200" s="1" t="s">
        <v>6031</v>
      </c>
      <c r="B200" s="1" t="s">
        <v>5672</v>
      </c>
      <c r="C200" s="1" t="s">
        <v>4293</v>
      </c>
      <c r="D200" s="1" t="s">
        <v>5677</v>
      </c>
      <c r="E200" s="1" t="s">
        <v>6033</v>
      </c>
      <c r="F200" s="1" t="s">
        <v>78</v>
      </c>
      <c r="G200" s="4"/>
      <c r="H200" s="3">
        <v>44011.0</v>
      </c>
      <c r="I200" s="1" t="s">
        <v>5964</v>
      </c>
      <c r="J200" s="1" t="s">
        <v>5900</v>
      </c>
    </row>
    <row r="201">
      <c r="A201" s="1" t="s">
        <v>6039</v>
      </c>
      <c r="B201" s="1" t="s">
        <v>5692</v>
      </c>
      <c r="C201" s="1" t="s">
        <v>4293</v>
      </c>
      <c r="D201" s="1" t="s">
        <v>5693</v>
      </c>
      <c r="E201" s="1" t="s">
        <v>6040</v>
      </c>
      <c r="F201" s="1" t="s">
        <v>78</v>
      </c>
      <c r="G201" s="4"/>
      <c r="H201" s="3">
        <v>44678.0</v>
      </c>
      <c r="I201" s="1" t="s">
        <v>5999</v>
      </c>
      <c r="J201" s="1" t="s">
        <v>5900</v>
      </c>
    </row>
    <row r="202">
      <c r="A202" s="1" t="s">
        <v>6041</v>
      </c>
      <c r="B202" s="1" t="s">
        <v>5708</v>
      </c>
      <c r="C202" s="1" t="s">
        <v>4293</v>
      </c>
      <c r="D202" s="1" t="s">
        <v>5715</v>
      </c>
      <c r="E202" s="1" t="s">
        <v>6046</v>
      </c>
      <c r="F202" s="1" t="s">
        <v>78</v>
      </c>
      <c r="G202" s="4"/>
      <c r="H202" s="3">
        <v>43592.0</v>
      </c>
      <c r="I202" s="1" t="s">
        <v>6049</v>
      </c>
      <c r="J202" s="1" t="s">
        <v>5900</v>
      </c>
    </row>
    <row r="203">
      <c r="A203" s="1" t="s">
        <v>6050</v>
      </c>
      <c r="B203" s="1" t="s">
        <v>5728</v>
      </c>
      <c r="C203" s="1" t="s">
        <v>4293</v>
      </c>
      <c r="D203" s="1" t="s">
        <v>5731</v>
      </c>
      <c r="E203" s="1" t="s">
        <v>6052</v>
      </c>
      <c r="F203" s="1" t="s">
        <v>78</v>
      </c>
      <c r="G203" s="4"/>
      <c r="H203" s="3">
        <v>44285.0</v>
      </c>
      <c r="I203" s="1" t="s">
        <v>6057</v>
      </c>
      <c r="J203" s="1" t="s">
        <v>5900</v>
      </c>
    </row>
    <row r="204">
      <c r="A204" s="1" t="s">
        <v>6059</v>
      </c>
      <c r="B204" s="1" t="s">
        <v>5778</v>
      </c>
      <c r="C204" s="1" t="s">
        <v>4293</v>
      </c>
      <c r="D204" s="1" t="s">
        <v>5780</v>
      </c>
      <c r="E204" s="1" t="s">
        <v>6060</v>
      </c>
      <c r="F204" s="1" t="s">
        <v>78</v>
      </c>
      <c r="G204" s="4"/>
      <c r="H204" s="3">
        <v>44886.0</v>
      </c>
      <c r="I204" s="1" t="s">
        <v>5999</v>
      </c>
      <c r="J204" s="1" t="s">
        <v>5900</v>
      </c>
    </row>
    <row r="205">
      <c r="A205" s="1" t="s">
        <v>6061</v>
      </c>
      <c r="B205" s="1" t="s">
        <v>5835</v>
      </c>
      <c r="C205" s="1" t="s">
        <v>4293</v>
      </c>
      <c r="D205" s="1" t="s">
        <v>5838</v>
      </c>
      <c r="E205" s="1" t="s">
        <v>6065</v>
      </c>
      <c r="F205" s="1" t="s">
        <v>78</v>
      </c>
      <c r="G205" s="4"/>
      <c r="H205" s="3">
        <v>45693.0</v>
      </c>
      <c r="I205" s="1" t="s">
        <v>5899</v>
      </c>
      <c r="J205" s="1" t="s">
        <v>5900</v>
      </c>
    </row>
    <row r="206">
      <c r="A206" s="1" t="s">
        <v>6070</v>
      </c>
      <c r="B206" s="1" t="s">
        <v>5921</v>
      </c>
      <c r="C206" s="1" t="s">
        <v>4293</v>
      </c>
      <c r="D206" s="1" t="s">
        <v>5925</v>
      </c>
      <c r="E206" s="1" t="s">
        <v>6071</v>
      </c>
      <c r="F206" s="1" t="s">
        <v>78</v>
      </c>
      <c r="G206" s="4"/>
      <c r="H206" s="3">
        <v>44838.0</v>
      </c>
      <c r="I206" s="1" t="s">
        <v>6072</v>
      </c>
      <c r="J206" s="1" t="s">
        <v>5900</v>
      </c>
    </row>
    <row r="207">
      <c r="A207" s="1" t="s">
        <v>6073</v>
      </c>
      <c r="B207" s="1" t="s">
        <v>5946</v>
      </c>
      <c r="C207" s="1" t="s">
        <v>4293</v>
      </c>
      <c r="D207" s="1" t="s">
        <v>5949</v>
      </c>
      <c r="E207" s="1" t="s">
        <v>6074</v>
      </c>
      <c r="F207" s="1" t="s">
        <v>78</v>
      </c>
      <c r="G207" s="4"/>
      <c r="H207" s="3">
        <v>44392.0</v>
      </c>
      <c r="I207" s="1" t="s">
        <v>5952</v>
      </c>
      <c r="J207" s="1" t="s">
        <v>5900</v>
      </c>
    </row>
    <row r="208">
      <c r="A208" s="1" t="s">
        <v>6076</v>
      </c>
      <c r="B208" s="1" t="s">
        <v>5073</v>
      </c>
      <c r="C208" s="1" t="s">
        <v>4293</v>
      </c>
      <c r="D208" s="1" t="s">
        <v>5976</v>
      </c>
      <c r="E208" s="1" t="s">
        <v>6078</v>
      </c>
      <c r="F208" s="1" t="s">
        <v>78</v>
      </c>
      <c r="G208" s="4"/>
      <c r="H208" s="3">
        <v>45146.0</v>
      </c>
      <c r="I208" s="1" t="s">
        <v>5899</v>
      </c>
      <c r="J208" s="1" t="s">
        <v>5900</v>
      </c>
    </row>
    <row r="209">
      <c r="A209" s="1" t="s">
        <v>6079</v>
      </c>
      <c r="B209" s="1" t="s">
        <v>5114</v>
      </c>
      <c r="C209" s="1" t="s">
        <v>4293</v>
      </c>
      <c r="D209" s="1" t="s">
        <v>6009</v>
      </c>
      <c r="E209" s="1" t="s">
        <v>6081</v>
      </c>
      <c r="F209" s="1" t="s">
        <v>78</v>
      </c>
      <c r="G209" s="4"/>
      <c r="H209" s="3">
        <v>43327.0</v>
      </c>
      <c r="I209" s="1" t="s">
        <v>5899</v>
      </c>
      <c r="J209" s="1" t="s">
        <v>5900</v>
      </c>
    </row>
    <row r="210">
      <c r="A210" s="1" t="s">
        <v>6086</v>
      </c>
      <c r="B210" s="1" t="s">
        <v>6034</v>
      </c>
      <c r="C210" s="1" t="s">
        <v>4293</v>
      </c>
      <c r="D210" s="1" t="s">
        <v>6035</v>
      </c>
      <c r="E210" s="1" t="s">
        <v>6089</v>
      </c>
      <c r="F210" s="1" t="s">
        <v>78</v>
      </c>
      <c r="G210" s="4"/>
      <c r="H210" s="3">
        <v>45110.0</v>
      </c>
      <c r="I210" s="1" t="s">
        <v>6091</v>
      </c>
      <c r="J210" s="1" t="s">
        <v>5900</v>
      </c>
    </row>
    <row r="211">
      <c r="A211" s="1" t="s">
        <v>6092</v>
      </c>
      <c r="B211" s="1" t="s">
        <v>6043</v>
      </c>
      <c r="C211" s="1" t="s">
        <v>4293</v>
      </c>
      <c r="D211" s="1" t="s">
        <v>6045</v>
      </c>
      <c r="E211" s="1" t="s">
        <v>6098</v>
      </c>
      <c r="F211" s="1" t="s">
        <v>78</v>
      </c>
      <c r="G211" s="4"/>
      <c r="H211" s="3">
        <v>44676.0</v>
      </c>
      <c r="I211" s="1" t="s">
        <v>5899</v>
      </c>
      <c r="J211" s="1" t="s">
        <v>5900</v>
      </c>
    </row>
    <row r="212">
      <c r="A212" s="1" t="s">
        <v>6101</v>
      </c>
      <c r="B212" s="1" t="s">
        <v>6053</v>
      </c>
      <c r="C212" s="1" t="s">
        <v>4293</v>
      </c>
      <c r="D212" s="1" t="s">
        <v>6056</v>
      </c>
      <c r="E212" s="1" t="s">
        <v>6104</v>
      </c>
      <c r="F212" s="1" t="s">
        <v>78</v>
      </c>
      <c r="G212" s="4"/>
      <c r="H212" s="3">
        <v>44272.0</v>
      </c>
      <c r="I212" s="1" t="s">
        <v>6109</v>
      </c>
      <c r="J212" s="1" t="s">
        <v>5900</v>
      </c>
    </row>
    <row r="213">
      <c r="A213" s="1" t="s">
        <v>6112</v>
      </c>
      <c r="B213" s="1" t="s">
        <v>6066</v>
      </c>
      <c r="C213" s="1" t="s">
        <v>4293</v>
      </c>
      <c r="D213" s="1" t="s">
        <v>6068</v>
      </c>
      <c r="E213" s="1" t="s">
        <v>6116</v>
      </c>
      <c r="F213" s="1" t="s">
        <v>78</v>
      </c>
      <c r="G213" s="4"/>
      <c r="H213" s="3">
        <v>45426.0</v>
      </c>
      <c r="I213" s="1" t="s">
        <v>5899</v>
      </c>
      <c r="J213" s="1" t="s">
        <v>5900</v>
      </c>
    </row>
    <row r="214">
      <c r="A214" s="1" t="s">
        <v>6117</v>
      </c>
      <c r="B214" s="1" t="s">
        <v>6110</v>
      </c>
      <c r="C214" s="1" t="s">
        <v>4293</v>
      </c>
      <c r="D214" s="1" t="s">
        <v>6113</v>
      </c>
      <c r="E214" s="1" t="s">
        <v>6123</v>
      </c>
      <c r="F214" s="1" t="s">
        <v>78</v>
      </c>
      <c r="G214" s="4"/>
      <c r="H214" s="3">
        <v>44868.0</v>
      </c>
      <c r="I214" s="1" t="s">
        <v>6127</v>
      </c>
      <c r="J214" s="1" t="s">
        <v>5900</v>
      </c>
    </row>
    <row r="215">
      <c r="A215" s="1" t="s">
        <v>6129</v>
      </c>
      <c r="B215" s="1" t="s">
        <v>6121</v>
      </c>
      <c r="C215" s="1" t="s">
        <v>4293</v>
      </c>
      <c r="D215" s="1" t="s">
        <v>6124</v>
      </c>
      <c r="E215" s="1" t="s">
        <v>6131</v>
      </c>
      <c r="F215" s="1" t="s">
        <v>78</v>
      </c>
      <c r="G215" s="4"/>
      <c r="H215" s="3">
        <v>45352.0</v>
      </c>
      <c r="I215" s="1" t="s">
        <v>6135</v>
      </c>
      <c r="J215" s="1" t="s">
        <v>5900</v>
      </c>
    </row>
    <row r="216">
      <c r="A216" s="1" t="s">
        <v>6139</v>
      </c>
      <c r="B216" s="1" t="s">
        <v>6141</v>
      </c>
      <c r="C216" s="1" t="s">
        <v>4293</v>
      </c>
      <c r="D216" s="1" t="s">
        <v>6142</v>
      </c>
      <c r="E216" s="1" t="s">
        <v>6144</v>
      </c>
      <c r="F216" s="1" t="s">
        <v>78</v>
      </c>
      <c r="G216" s="4"/>
      <c r="H216" s="3">
        <v>45013.0</v>
      </c>
      <c r="I216" s="1" t="s">
        <v>5999</v>
      </c>
      <c r="J216" s="1" t="s">
        <v>5900</v>
      </c>
    </row>
    <row r="217">
      <c r="A217" s="1" t="s">
        <v>6145</v>
      </c>
      <c r="B217" s="1" t="s">
        <v>6147</v>
      </c>
      <c r="C217" s="1" t="s">
        <v>4293</v>
      </c>
      <c r="D217" s="1" t="s">
        <v>6148</v>
      </c>
      <c r="E217" s="1" t="s">
        <v>6149</v>
      </c>
      <c r="F217" s="1" t="s">
        <v>78</v>
      </c>
      <c r="G217" s="4"/>
      <c r="H217" s="3">
        <v>45631.0</v>
      </c>
      <c r="I217" s="1" t="s">
        <v>5899</v>
      </c>
      <c r="J217" s="1" t="s">
        <v>5900</v>
      </c>
    </row>
    <row r="218">
      <c r="A218" s="1" t="s">
        <v>6151</v>
      </c>
      <c r="B218" s="1" t="s">
        <v>6153</v>
      </c>
      <c r="C218" s="1" t="s">
        <v>4293</v>
      </c>
      <c r="D218" s="1" t="s">
        <v>6156</v>
      </c>
      <c r="E218" s="1" t="s">
        <v>6157</v>
      </c>
      <c r="F218" s="1" t="s">
        <v>78</v>
      </c>
      <c r="G218" s="4"/>
      <c r="H218" s="3">
        <v>44397.0</v>
      </c>
      <c r="I218" s="1" t="s">
        <v>5999</v>
      </c>
      <c r="J218" s="1" t="s">
        <v>5900</v>
      </c>
    </row>
    <row r="219">
      <c r="A219" s="1" t="s">
        <v>6161</v>
      </c>
      <c r="B219" s="1" t="s">
        <v>6162</v>
      </c>
      <c r="C219" s="1" t="s">
        <v>4293</v>
      </c>
      <c r="D219" s="1" t="s">
        <v>6163</v>
      </c>
      <c r="E219" s="1" t="s">
        <v>6168</v>
      </c>
      <c r="F219" s="1" t="s">
        <v>78</v>
      </c>
      <c r="G219" s="4"/>
      <c r="H219" s="3">
        <v>45538.0</v>
      </c>
      <c r="I219" s="1" t="s">
        <v>6170</v>
      </c>
      <c r="J219" s="1" t="s">
        <v>5900</v>
      </c>
    </row>
    <row r="220">
      <c r="A220" s="1" t="s">
        <v>6171</v>
      </c>
      <c r="B220" s="1" t="s">
        <v>6172</v>
      </c>
      <c r="C220" s="1" t="s">
        <v>4293</v>
      </c>
      <c r="D220" s="1" t="s">
        <v>6175</v>
      </c>
      <c r="E220" s="1" t="s">
        <v>6177</v>
      </c>
      <c r="F220" s="1" t="s">
        <v>78</v>
      </c>
      <c r="G220" s="4"/>
      <c r="H220" s="3">
        <v>43952.0</v>
      </c>
      <c r="I220" s="1" t="s">
        <v>6181</v>
      </c>
      <c r="J220" s="1" t="s">
        <v>5900</v>
      </c>
    </row>
    <row r="221">
      <c r="A221" s="1" t="s">
        <v>6183</v>
      </c>
      <c r="B221" s="1" t="s">
        <v>6184</v>
      </c>
      <c r="C221" s="1" t="s">
        <v>4293</v>
      </c>
      <c r="D221" s="1" t="s">
        <v>6186</v>
      </c>
      <c r="E221" s="1" t="s">
        <v>6187</v>
      </c>
      <c r="F221" s="1" t="s">
        <v>78</v>
      </c>
      <c r="G221" s="4"/>
      <c r="H221" s="3">
        <v>43990.0</v>
      </c>
      <c r="I221" s="1" t="s">
        <v>5999</v>
      </c>
      <c r="J221" s="1" t="s">
        <v>5900</v>
      </c>
    </row>
    <row r="222">
      <c r="A222" s="1" t="s">
        <v>6191</v>
      </c>
      <c r="B222" s="1" t="s">
        <v>6192</v>
      </c>
      <c r="C222" s="1" t="s">
        <v>4293</v>
      </c>
      <c r="D222" s="1" t="s">
        <v>6195</v>
      </c>
      <c r="E222" s="1" t="s">
        <v>6197</v>
      </c>
      <c r="F222" s="1" t="s">
        <v>78</v>
      </c>
      <c r="G222" s="4"/>
      <c r="H222" s="3">
        <v>46084.0</v>
      </c>
      <c r="I222" s="1" t="s">
        <v>6199</v>
      </c>
      <c r="J222" s="1" t="s">
        <v>5900</v>
      </c>
    </row>
    <row r="223">
      <c r="A223" s="1" t="s">
        <v>6201</v>
      </c>
      <c r="B223" s="1" t="s">
        <v>6203</v>
      </c>
      <c r="C223" s="1" t="s">
        <v>4293</v>
      </c>
      <c r="D223" s="1" t="s">
        <v>6206</v>
      </c>
      <c r="E223" s="1" t="s">
        <v>6207</v>
      </c>
      <c r="F223" s="1" t="s">
        <v>78</v>
      </c>
      <c r="G223" s="4"/>
      <c r="H223" s="3">
        <v>45699.0</v>
      </c>
      <c r="I223" s="1" t="s">
        <v>5999</v>
      </c>
      <c r="J223" s="1" t="s">
        <v>5900</v>
      </c>
    </row>
    <row r="224">
      <c r="A224" s="1" t="s">
        <v>6212</v>
      </c>
      <c r="B224" s="1" t="s">
        <v>6215</v>
      </c>
      <c r="C224" s="1" t="s">
        <v>4293</v>
      </c>
      <c r="D224" s="1" t="s">
        <v>6218</v>
      </c>
      <c r="E224" s="1" t="s">
        <v>6220</v>
      </c>
      <c r="F224" s="1" t="s">
        <v>78</v>
      </c>
      <c r="G224" s="4"/>
      <c r="H224" s="3">
        <v>45313.0</v>
      </c>
      <c r="I224" s="1" t="s">
        <v>5899</v>
      </c>
      <c r="J224" s="1" t="s">
        <v>5900</v>
      </c>
    </row>
    <row r="225">
      <c r="A225" s="1" t="s">
        <v>6224</v>
      </c>
      <c r="B225" s="1" t="s">
        <v>6225</v>
      </c>
      <c r="C225" s="1" t="s">
        <v>4293</v>
      </c>
      <c r="D225" s="1" t="s">
        <v>6226</v>
      </c>
      <c r="E225" s="1" t="s">
        <v>6228</v>
      </c>
      <c r="F225" s="1" t="s">
        <v>78</v>
      </c>
      <c r="G225" s="4"/>
      <c r="H225" s="3">
        <v>45315.0</v>
      </c>
      <c r="I225" s="1" t="s">
        <v>6230</v>
      </c>
      <c r="J225" s="1" t="s">
        <v>5900</v>
      </c>
    </row>
    <row r="226">
      <c r="A226" s="1" t="s">
        <v>6233</v>
      </c>
      <c r="B226" s="1" t="s">
        <v>4529</v>
      </c>
      <c r="C226" s="1" t="s">
        <v>4293</v>
      </c>
      <c r="D226" s="1" t="s">
        <v>6237</v>
      </c>
      <c r="E226" s="1" t="s">
        <v>6240</v>
      </c>
      <c r="F226" s="1" t="s">
        <v>78</v>
      </c>
      <c r="G226" s="4"/>
      <c r="H226" s="3">
        <v>45077.0</v>
      </c>
      <c r="I226" s="1" t="s">
        <v>6242</v>
      </c>
      <c r="J226" s="1" t="s">
        <v>5900</v>
      </c>
    </row>
    <row r="227">
      <c r="A227" s="1" t="s">
        <v>6245</v>
      </c>
      <c r="B227" s="1" t="s">
        <v>4999</v>
      </c>
      <c r="C227" s="1" t="s">
        <v>4293</v>
      </c>
      <c r="D227" s="1" t="s">
        <v>6247</v>
      </c>
      <c r="E227" s="1" t="s">
        <v>6249</v>
      </c>
      <c r="F227" s="1" t="s">
        <v>78</v>
      </c>
      <c r="G227" s="4"/>
      <c r="H227" s="3">
        <v>45153.0</v>
      </c>
      <c r="I227" s="1" t="s">
        <v>6251</v>
      </c>
      <c r="J227" s="1" t="s">
        <v>5900</v>
      </c>
    </row>
    <row r="228">
      <c r="A228" s="1" t="s">
        <v>6252</v>
      </c>
      <c r="B228" s="1" t="s">
        <v>6253</v>
      </c>
      <c r="C228" s="1" t="s">
        <v>4293</v>
      </c>
      <c r="D228" s="1" t="s">
        <v>6255</v>
      </c>
      <c r="E228" s="1" t="s">
        <v>6256</v>
      </c>
      <c r="F228" s="1" t="s">
        <v>78</v>
      </c>
      <c r="G228" s="4"/>
      <c r="H228" s="3">
        <v>45699.0</v>
      </c>
      <c r="I228" s="1" t="s">
        <v>6258</v>
      </c>
      <c r="J228" s="1" t="s">
        <v>5900</v>
      </c>
    </row>
    <row r="229">
      <c r="A229" s="1" t="s">
        <v>6260</v>
      </c>
      <c r="B229" s="1" t="s">
        <v>4368</v>
      </c>
      <c r="C229" s="1" t="s">
        <v>4293</v>
      </c>
      <c r="D229" s="1" t="s">
        <v>6261</v>
      </c>
      <c r="E229" s="1" t="s">
        <v>6263</v>
      </c>
      <c r="F229" s="1" t="s">
        <v>78</v>
      </c>
      <c r="G229" s="4"/>
      <c r="H229" s="3">
        <v>44663.0</v>
      </c>
      <c r="I229" s="1" t="s">
        <v>6251</v>
      </c>
      <c r="J229" s="1" t="s">
        <v>5900</v>
      </c>
    </row>
    <row r="230">
      <c r="A230" s="1" t="s">
        <v>6267</v>
      </c>
      <c r="B230" s="1" t="s">
        <v>6268</v>
      </c>
      <c r="C230" s="1" t="s">
        <v>4293</v>
      </c>
      <c r="D230" s="1" t="s">
        <v>6270</v>
      </c>
      <c r="E230" s="1" t="s">
        <v>6272</v>
      </c>
      <c r="F230" s="1" t="s">
        <v>78</v>
      </c>
      <c r="G230" s="4"/>
      <c r="H230" s="3">
        <v>45349.0</v>
      </c>
      <c r="I230" s="1" t="s">
        <v>5899</v>
      </c>
      <c r="J230" s="1" t="s">
        <v>5900</v>
      </c>
    </row>
    <row r="231">
      <c r="A231" s="1" t="s">
        <v>6275</v>
      </c>
      <c r="B231" s="1" t="s">
        <v>5304</v>
      </c>
      <c r="C231" s="1" t="s">
        <v>4293</v>
      </c>
      <c r="D231" s="1" t="s">
        <v>6278</v>
      </c>
      <c r="E231" s="1" t="s">
        <v>6279</v>
      </c>
      <c r="F231" s="1" t="s">
        <v>78</v>
      </c>
      <c r="G231" s="4"/>
      <c r="H231" s="3">
        <v>45455.0</v>
      </c>
      <c r="I231" s="1" t="s">
        <v>5899</v>
      </c>
      <c r="J231" s="1" t="s">
        <v>5900</v>
      </c>
    </row>
    <row r="232">
      <c r="A232" s="1" t="s">
        <v>6281</v>
      </c>
      <c r="B232" s="1" t="s">
        <v>6283</v>
      </c>
      <c r="C232" s="1" t="s">
        <v>4293</v>
      </c>
      <c r="D232" s="1" t="s">
        <v>6286</v>
      </c>
      <c r="E232" s="1" t="s">
        <v>6289</v>
      </c>
      <c r="F232" s="1" t="s">
        <v>78</v>
      </c>
      <c r="G232" s="4"/>
      <c r="H232" s="3">
        <v>44784.0</v>
      </c>
      <c r="I232" s="1" t="s">
        <v>6292</v>
      </c>
      <c r="J232" s="1" t="s">
        <v>5900</v>
      </c>
    </row>
    <row r="233">
      <c r="A233" s="1" t="s">
        <v>6294</v>
      </c>
      <c r="B233" s="1" t="s">
        <v>4614</v>
      </c>
      <c r="C233" s="1" t="s">
        <v>4293</v>
      </c>
      <c r="D233" s="1" t="s">
        <v>6296</v>
      </c>
      <c r="E233" s="1" t="s">
        <v>6297</v>
      </c>
      <c r="F233" s="1" t="s">
        <v>78</v>
      </c>
      <c r="G233" s="4"/>
      <c r="H233" s="3">
        <v>44893.0</v>
      </c>
      <c r="I233" s="1" t="s">
        <v>6299</v>
      </c>
      <c r="J233" s="1" t="s">
        <v>5900</v>
      </c>
    </row>
    <row r="234">
      <c r="A234" s="1" t="s">
        <v>6301</v>
      </c>
      <c r="B234" s="1" t="s">
        <v>6302</v>
      </c>
      <c r="C234" s="1" t="s">
        <v>4293</v>
      </c>
      <c r="D234" s="1" t="s">
        <v>6304</v>
      </c>
      <c r="E234" s="1" t="s">
        <v>6306</v>
      </c>
      <c r="F234" s="1" t="s">
        <v>78</v>
      </c>
      <c r="G234" s="4"/>
      <c r="H234" s="3">
        <v>44683.0</v>
      </c>
      <c r="I234" s="1" t="s">
        <v>5999</v>
      </c>
      <c r="J234" s="1" t="s">
        <v>5900</v>
      </c>
    </row>
    <row r="235">
      <c r="A235" s="1" t="s">
        <v>6310</v>
      </c>
      <c r="B235" s="1" t="s">
        <v>6311</v>
      </c>
      <c r="C235" s="1" t="s">
        <v>4293</v>
      </c>
      <c r="D235" s="1" t="s">
        <v>6312</v>
      </c>
      <c r="E235" s="1" t="s">
        <v>6314</v>
      </c>
      <c r="F235" s="1" t="s">
        <v>78</v>
      </c>
      <c r="G235" s="4"/>
      <c r="H235" s="3">
        <v>44742.0</v>
      </c>
      <c r="I235" s="1" t="s">
        <v>6135</v>
      </c>
      <c r="J235" s="1" t="s">
        <v>5900</v>
      </c>
    </row>
    <row r="236">
      <c r="A236" s="1" t="s">
        <v>6318</v>
      </c>
      <c r="B236" s="1" t="s">
        <v>6319</v>
      </c>
      <c r="C236" s="1" t="s">
        <v>4293</v>
      </c>
      <c r="D236" s="1" t="s">
        <v>6321</v>
      </c>
      <c r="E236" s="1" t="s">
        <v>6322</v>
      </c>
      <c r="F236" s="1" t="s">
        <v>78</v>
      </c>
      <c r="G236" s="4"/>
      <c r="H236" s="3">
        <v>45322.0</v>
      </c>
      <c r="I236" s="1" t="s">
        <v>5899</v>
      </c>
      <c r="J236" s="1" t="s">
        <v>5900</v>
      </c>
    </row>
    <row r="237">
      <c r="A237" s="1" t="s">
        <v>6324</v>
      </c>
      <c r="B237" s="1" t="s">
        <v>6325</v>
      </c>
      <c r="C237" s="1" t="s">
        <v>4293</v>
      </c>
      <c r="D237" s="1" t="s">
        <v>6327</v>
      </c>
      <c r="E237" s="1" t="s">
        <v>6328</v>
      </c>
      <c r="F237" s="1" t="s">
        <v>78</v>
      </c>
      <c r="G237" s="4"/>
      <c r="H237" s="3">
        <v>45509.0</v>
      </c>
      <c r="I237" s="1" t="s">
        <v>6330</v>
      </c>
      <c r="J237" s="1" t="s">
        <v>5900</v>
      </c>
    </row>
    <row r="238">
      <c r="A238" s="1" t="s">
        <v>6333</v>
      </c>
      <c r="B238" s="1" t="s">
        <v>4846</v>
      </c>
      <c r="C238" s="1" t="s">
        <v>4293</v>
      </c>
      <c r="D238" s="1" t="s">
        <v>6337</v>
      </c>
      <c r="E238" s="1" t="s">
        <v>6339</v>
      </c>
      <c r="F238" s="1" t="s">
        <v>78</v>
      </c>
      <c r="G238" s="4"/>
      <c r="H238" s="3">
        <v>46037.0</v>
      </c>
      <c r="I238" s="1" t="s">
        <v>5899</v>
      </c>
      <c r="J238" s="1" t="s">
        <v>5900</v>
      </c>
    </row>
    <row r="239">
      <c r="A239" s="1" t="s">
        <v>6343</v>
      </c>
      <c r="B239" s="1" t="s">
        <v>6344</v>
      </c>
      <c r="C239" s="1" t="s">
        <v>4293</v>
      </c>
      <c r="D239" s="1" t="s">
        <v>6346</v>
      </c>
      <c r="E239" s="1" t="s">
        <v>6348</v>
      </c>
      <c r="F239" s="1" t="s">
        <v>78</v>
      </c>
      <c r="G239" s="4"/>
      <c r="H239" s="3">
        <v>44957.0</v>
      </c>
      <c r="I239" s="1" t="s">
        <v>6349</v>
      </c>
      <c r="J239" s="1" t="s">
        <v>5900</v>
      </c>
    </row>
    <row r="240">
      <c r="A240" s="1" t="s">
        <v>6351</v>
      </c>
      <c r="B240" s="1" t="s">
        <v>6353</v>
      </c>
      <c r="C240" s="1" t="s">
        <v>4293</v>
      </c>
      <c r="D240" s="1" t="s">
        <v>6354</v>
      </c>
      <c r="E240" s="1" t="s">
        <v>6356</v>
      </c>
      <c r="F240" s="1" t="s">
        <v>78</v>
      </c>
      <c r="G240" s="4"/>
      <c r="H240" s="3">
        <v>46140.0</v>
      </c>
      <c r="I240" s="1" t="s">
        <v>6251</v>
      </c>
      <c r="J240" s="1" t="s">
        <v>5900</v>
      </c>
    </row>
    <row r="241">
      <c r="A241" s="1" t="s">
        <v>6359</v>
      </c>
      <c r="B241" s="1" t="s">
        <v>5382</v>
      </c>
      <c r="C241" s="1" t="s">
        <v>4293</v>
      </c>
      <c r="D241" s="1" t="s">
        <v>6361</v>
      </c>
      <c r="E241" s="1" t="s">
        <v>6364</v>
      </c>
      <c r="F241" s="1" t="s">
        <v>78</v>
      </c>
      <c r="G241" s="4"/>
      <c r="H241" s="3">
        <v>45720.0</v>
      </c>
      <c r="I241" s="1" t="s">
        <v>5899</v>
      </c>
      <c r="J241" s="1" t="s">
        <v>5900</v>
      </c>
    </row>
    <row r="242">
      <c r="A242" s="1" t="s">
        <v>6368</v>
      </c>
      <c r="B242" s="1" t="s">
        <v>6370</v>
      </c>
      <c r="C242" s="1" t="s">
        <v>4293</v>
      </c>
      <c r="D242" s="1" t="s">
        <v>6373</v>
      </c>
      <c r="E242" s="1" t="s">
        <v>6374</v>
      </c>
      <c r="F242" s="1" t="s">
        <v>78</v>
      </c>
      <c r="G242" s="4"/>
      <c r="H242" s="3">
        <v>44774.0</v>
      </c>
      <c r="I242" s="1" t="s">
        <v>5899</v>
      </c>
      <c r="J242" s="1" t="s">
        <v>5900</v>
      </c>
    </row>
    <row r="243">
      <c r="A243" s="1" t="s">
        <v>6378</v>
      </c>
      <c r="B243" s="1" t="s">
        <v>6379</v>
      </c>
      <c r="C243" s="1" t="s">
        <v>4293</v>
      </c>
      <c r="D243" s="1" t="s">
        <v>6381</v>
      </c>
      <c r="E243" s="1" t="s">
        <v>6383</v>
      </c>
      <c r="F243" s="1" t="s">
        <v>78</v>
      </c>
      <c r="G243" s="4"/>
      <c r="H243" s="3">
        <v>44256.0</v>
      </c>
      <c r="I243" s="1" t="s">
        <v>6230</v>
      </c>
      <c r="J243" s="1" t="s">
        <v>5900</v>
      </c>
    </row>
    <row r="244">
      <c r="A244" s="1" t="s">
        <v>6387</v>
      </c>
      <c r="B244" s="1" t="s">
        <v>6389</v>
      </c>
      <c r="C244" s="1" t="s">
        <v>4293</v>
      </c>
      <c r="D244" s="1" t="s">
        <v>6391</v>
      </c>
      <c r="E244" s="1" t="s">
        <v>6393</v>
      </c>
      <c r="F244" s="1" t="s">
        <v>78</v>
      </c>
      <c r="G244" s="4"/>
      <c r="H244" s="3">
        <v>45103.0</v>
      </c>
      <c r="I244" s="1" t="s">
        <v>5899</v>
      </c>
      <c r="J244" s="1" t="s">
        <v>5900</v>
      </c>
    </row>
    <row r="245">
      <c r="A245" s="1" t="s">
        <v>6396</v>
      </c>
      <c r="B245" s="1" t="s">
        <v>6397</v>
      </c>
      <c r="C245" s="1" t="s">
        <v>4293</v>
      </c>
      <c r="D245" s="1" t="s">
        <v>6399</v>
      </c>
      <c r="E245" s="1" t="s">
        <v>6400</v>
      </c>
      <c r="F245" s="1" t="s">
        <v>78</v>
      </c>
      <c r="G245" s="4"/>
      <c r="H245" s="3">
        <v>43070.0</v>
      </c>
      <c r="I245" s="1" t="s">
        <v>6404</v>
      </c>
      <c r="J245" s="1" t="s">
        <v>5900</v>
      </c>
    </row>
    <row r="246">
      <c r="A246" s="1" t="s">
        <v>6406</v>
      </c>
      <c r="B246" s="1" t="s">
        <v>6408</v>
      </c>
      <c r="C246" s="1" t="s">
        <v>4293</v>
      </c>
      <c r="D246" s="1" t="s">
        <v>6411</v>
      </c>
      <c r="E246" s="1" t="s">
        <v>6413</v>
      </c>
      <c r="F246" s="1" t="s">
        <v>78</v>
      </c>
      <c r="G246" s="4"/>
      <c r="H246" s="3">
        <v>45762.0</v>
      </c>
      <c r="I246" s="1" t="s">
        <v>6415</v>
      </c>
      <c r="J246" s="1" t="s">
        <v>5900</v>
      </c>
    </row>
    <row r="247">
      <c r="A247" s="1" t="s">
        <v>6416</v>
      </c>
      <c r="B247" s="1" t="s">
        <v>6418</v>
      </c>
      <c r="C247" s="1" t="s">
        <v>4293</v>
      </c>
      <c r="D247" s="1" t="s">
        <v>6419</v>
      </c>
      <c r="E247" s="1" t="s">
        <v>6422</v>
      </c>
      <c r="F247" s="1" t="s">
        <v>78</v>
      </c>
      <c r="G247" s="4"/>
      <c r="H247" s="3">
        <v>45943.0</v>
      </c>
      <c r="I247" s="1" t="s">
        <v>5899</v>
      </c>
      <c r="J247" s="1" t="s">
        <v>5900</v>
      </c>
    </row>
    <row r="248">
      <c r="A248" s="1" t="s">
        <v>6425</v>
      </c>
      <c r="B248" s="1" t="s">
        <v>6427</v>
      </c>
      <c r="C248" s="1" t="s">
        <v>4293</v>
      </c>
      <c r="D248" s="1" t="s">
        <v>6429</v>
      </c>
      <c r="E248" s="1" t="s">
        <v>6431</v>
      </c>
      <c r="F248" s="1" t="s">
        <v>78</v>
      </c>
      <c r="G248" s="4"/>
      <c r="H248" s="3">
        <v>45301.0</v>
      </c>
      <c r="I248" s="1" t="s">
        <v>6434</v>
      </c>
      <c r="J248" s="1" t="s">
        <v>5900</v>
      </c>
    </row>
    <row r="249">
      <c r="A249" s="1" t="s">
        <v>6436</v>
      </c>
      <c r="B249" s="1" t="s">
        <v>6438</v>
      </c>
      <c r="C249" s="1" t="s">
        <v>4293</v>
      </c>
      <c r="D249" s="1" t="s">
        <v>6441</v>
      </c>
      <c r="E249" s="1" t="s">
        <v>6443</v>
      </c>
      <c r="F249" s="1" t="s">
        <v>78</v>
      </c>
      <c r="G249" s="4"/>
      <c r="H249" s="3">
        <v>43967.0</v>
      </c>
      <c r="I249" s="1" t="s">
        <v>5899</v>
      </c>
      <c r="J249" s="1" t="s">
        <v>5900</v>
      </c>
    </row>
    <row r="250">
      <c r="A250" s="1" t="s">
        <v>6450</v>
      </c>
      <c r="B250" s="1" t="s">
        <v>6451</v>
      </c>
      <c r="C250" s="1" t="s">
        <v>4293</v>
      </c>
      <c r="D250" s="1" t="s">
        <v>6453</v>
      </c>
      <c r="E250" s="1" t="s">
        <v>6455</v>
      </c>
      <c r="F250" s="1" t="s">
        <v>78</v>
      </c>
      <c r="G250" s="4"/>
      <c r="H250" s="3">
        <v>45200.0</v>
      </c>
      <c r="I250" s="1" t="s">
        <v>6072</v>
      </c>
      <c r="J250" s="1" t="s">
        <v>5900</v>
      </c>
    </row>
    <row r="251">
      <c r="A251" s="1" t="s">
        <v>6459</v>
      </c>
      <c r="B251" s="1" t="s">
        <v>6461</v>
      </c>
      <c r="C251" s="1" t="s">
        <v>4293</v>
      </c>
      <c r="D251" s="1" t="s">
        <v>6463</v>
      </c>
      <c r="E251" s="1" t="s">
        <v>6465</v>
      </c>
      <c r="F251" s="1" t="s">
        <v>78</v>
      </c>
      <c r="G251" s="4"/>
      <c r="H251" s="3">
        <v>45909.0</v>
      </c>
      <c r="I251" s="1" t="s">
        <v>5899</v>
      </c>
      <c r="J251" s="1" t="s">
        <v>5900</v>
      </c>
    </row>
    <row r="252">
      <c r="A252" s="1" t="s">
        <v>6471</v>
      </c>
      <c r="B252" s="1" t="s">
        <v>6472</v>
      </c>
      <c r="C252" s="1" t="s">
        <v>4293</v>
      </c>
      <c r="D252" s="1" t="s">
        <v>6473</v>
      </c>
      <c r="E252" s="1" t="s">
        <v>6474</v>
      </c>
      <c r="F252" s="1" t="s">
        <v>78</v>
      </c>
      <c r="G252" s="4"/>
      <c r="H252" s="3">
        <v>44901.0</v>
      </c>
      <c r="I252" s="1" t="s">
        <v>6477</v>
      </c>
      <c r="J252" s="1" t="s">
        <v>5900</v>
      </c>
    </row>
    <row r="253">
      <c r="A253" s="1" t="s">
        <v>6481</v>
      </c>
      <c r="B253" s="1" t="s">
        <v>6482</v>
      </c>
      <c r="C253" s="1" t="s">
        <v>4293</v>
      </c>
      <c r="D253" s="1" t="s">
        <v>6484</v>
      </c>
      <c r="E253" s="1" t="s">
        <v>6486</v>
      </c>
      <c r="F253" s="1" t="s">
        <v>78</v>
      </c>
      <c r="G253" s="4"/>
      <c r="H253" s="3">
        <v>43441.0</v>
      </c>
      <c r="I253" s="1" t="s">
        <v>6488</v>
      </c>
      <c r="J253" s="1" t="s">
        <v>5900</v>
      </c>
    </row>
    <row r="254">
      <c r="A254" s="1" t="s">
        <v>6491</v>
      </c>
      <c r="B254" s="1" t="s">
        <v>6492</v>
      </c>
      <c r="C254" s="1" t="s">
        <v>4293</v>
      </c>
      <c r="D254" s="1" t="s">
        <v>6495</v>
      </c>
      <c r="E254" s="1" t="s">
        <v>6497</v>
      </c>
      <c r="F254" s="1" t="s">
        <v>78</v>
      </c>
      <c r="G254" s="4"/>
      <c r="H254" s="3">
        <v>46031.0</v>
      </c>
      <c r="I254" s="1" t="s">
        <v>5999</v>
      </c>
      <c r="J254" s="1" t="s">
        <v>5900</v>
      </c>
    </row>
    <row r="255">
      <c r="A255" s="1" t="s">
        <v>6504</v>
      </c>
      <c r="B255" s="1" t="s">
        <v>6507</v>
      </c>
      <c r="C255" s="1" t="s">
        <v>4293</v>
      </c>
      <c r="D255" s="1" t="s">
        <v>6509</v>
      </c>
      <c r="E255" s="1" t="s">
        <v>6511</v>
      </c>
      <c r="F255" s="1" t="s">
        <v>78</v>
      </c>
      <c r="G255" s="4"/>
      <c r="H255" s="3">
        <v>44539.0</v>
      </c>
      <c r="I255" s="1" t="s">
        <v>5899</v>
      </c>
      <c r="J255" s="1" t="s">
        <v>5900</v>
      </c>
    </row>
    <row r="256">
      <c r="A256" s="1" t="s">
        <v>6515</v>
      </c>
      <c r="B256" s="1" t="s">
        <v>6517</v>
      </c>
      <c r="C256" s="1" t="s">
        <v>4293</v>
      </c>
      <c r="D256" s="1" t="s">
        <v>6521</v>
      </c>
      <c r="E256" s="1" t="s">
        <v>6523</v>
      </c>
      <c r="F256" s="1" t="s">
        <v>78</v>
      </c>
      <c r="G256" s="4"/>
      <c r="H256" s="3">
        <v>46072.0</v>
      </c>
      <c r="I256" s="1" t="s">
        <v>6527</v>
      </c>
      <c r="J256" s="1" t="s">
        <v>5900</v>
      </c>
    </row>
    <row r="257">
      <c r="A257" s="1" t="s">
        <v>6530</v>
      </c>
      <c r="B257" s="1" t="s">
        <v>6533</v>
      </c>
      <c r="C257" s="1" t="s">
        <v>4293</v>
      </c>
      <c r="D257" s="1" t="s">
        <v>6535</v>
      </c>
      <c r="E257" s="1" t="s">
        <v>6537</v>
      </c>
      <c r="F257" s="1" t="s">
        <v>78</v>
      </c>
      <c r="G257" s="4"/>
      <c r="H257" s="3">
        <v>45315.0</v>
      </c>
      <c r="I257" s="1" t="s">
        <v>6540</v>
      </c>
      <c r="J257" s="1" t="s">
        <v>5900</v>
      </c>
    </row>
    <row r="258">
      <c r="A258" s="1" t="s">
        <v>6543</v>
      </c>
      <c r="B258" s="1" t="s">
        <v>6544</v>
      </c>
      <c r="C258" s="1" t="s">
        <v>4293</v>
      </c>
      <c r="D258" s="1" t="s">
        <v>6547</v>
      </c>
      <c r="E258" s="1" t="s">
        <v>6550</v>
      </c>
      <c r="F258" s="1" t="s">
        <v>78</v>
      </c>
      <c r="G258" s="4"/>
      <c r="H258" s="3">
        <v>45249.0</v>
      </c>
      <c r="I258" s="1" t="s">
        <v>5899</v>
      </c>
      <c r="J258" s="1" t="s">
        <v>5900</v>
      </c>
    </row>
    <row r="259">
      <c r="A259" s="1" t="s">
        <v>6556</v>
      </c>
      <c r="B259" s="1" t="s">
        <v>6559</v>
      </c>
      <c r="C259" s="1" t="s">
        <v>4293</v>
      </c>
      <c r="D259" s="1" t="s">
        <v>6561</v>
      </c>
      <c r="E259" s="1" t="s">
        <v>6563</v>
      </c>
      <c r="F259" s="1" t="s">
        <v>78</v>
      </c>
      <c r="G259" s="4"/>
      <c r="H259" s="3">
        <v>46084.0</v>
      </c>
      <c r="I259" s="1" t="s">
        <v>6415</v>
      </c>
      <c r="J259" s="1" t="s">
        <v>5900</v>
      </c>
    </row>
    <row r="260">
      <c r="A260" s="1" t="s">
        <v>6568</v>
      </c>
      <c r="B260" s="1" t="s">
        <v>6570</v>
      </c>
      <c r="C260" s="1" t="s">
        <v>4293</v>
      </c>
      <c r="D260" s="1" t="s">
        <v>6573</v>
      </c>
      <c r="E260" s="1" t="s">
        <v>6575</v>
      </c>
      <c r="F260" s="1" t="s">
        <v>78</v>
      </c>
      <c r="G260" s="4"/>
      <c r="H260" s="3">
        <v>45813.0</v>
      </c>
      <c r="I260" s="1" t="s">
        <v>5999</v>
      </c>
      <c r="J260" s="1" t="s">
        <v>5900</v>
      </c>
    </row>
    <row r="261">
      <c r="A261" s="1" t="s">
        <v>6581</v>
      </c>
      <c r="B261" s="1" t="s">
        <v>6582</v>
      </c>
      <c r="C261" s="1" t="s">
        <v>4293</v>
      </c>
      <c r="D261" s="1" t="s">
        <v>6584</v>
      </c>
      <c r="E261" s="1" t="s">
        <v>6586</v>
      </c>
      <c r="F261" s="1" t="s">
        <v>78</v>
      </c>
      <c r="G261" s="4"/>
      <c r="H261" s="3">
        <v>44490.0</v>
      </c>
      <c r="I261" s="1" t="s">
        <v>5936</v>
      </c>
      <c r="J261" s="1" t="s">
        <v>5900</v>
      </c>
    </row>
    <row r="262">
      <c r="A262" s="1" t="s">
        <v>6591</v>
      </c>
      <c r="B262" s="1" t="s">
        <v>4887</v>
      </c>
      <c r="C262" s="1" t="s">
        <v>4293</v>
      </c>
      <c r="D262" s="1" t="s">
        <v>6594</v>
      </c>
      <c r="E262" s="1" t="s">
        <v>6595</v>
      </c>
      <c r="F262" s="1" t="s">
        <v>78</v>
      </c>
      <c r="G262" s="4"/>
      <c r="H262" s="3">
        <v>45834.0</v>
      </c>
      <c r="I262" s="1" t="s">
        <v>6598</v>
      </c>
      <c r="J262" s="1" t="s">
        <v>5900</v>
      </c>
    </row>
    <row r="263">
      <c r="A263" s="1" t="s">
        <v>6600</v>
      </c>
      <c r="B263" s="1" t="s">
        <v>6602</v>
      </c>
      <c r="C263" s="1" t="s">
        <v>4293</v>
      </c>
      <c r="D263" s="1" t="s">
        <v>6604</v>
      </c>
      <c r="E263" s="1" t="s">
        <v>6606</v>
      </c>
      <c r="F263" s="1" t="s">
        <v>78</v>
      </c>
      <c r="G263" s="4"/>
      <c r="H263" s="3">
        <v>44504.0</v>
      </c>
      <c r="I263" s="1" t="s">
        <v>6609</v>
      </c>
      <c r="J263" s="1" t="s">
        <v>5900</v>
      </c>
    </row>
    <row r="264">
      <c r="A264" s="1" t="s">
        <v>6611</v>
      </c>
      <c r="B264" s="1" t="s">
        <v>6613</v>
      </c>
      <c r="C264" s="1" t="s">
        <v>4293</v>
      </c>
      <c r="D264" s="1" t="s">
        <v>6614</v>
      </c>
      <c r="E264" s="1" t="s">
        <v>6617</v>
      </c>
      <c r="F264" s="1" t="s">
        <v>78</v>
      </c>
      <c r="G264" s="4"/>
      <c r="H264" s="3">
        <v>45804.0</v>
      </c>
      <c r="I264" s="1" t="s">
        <v>6620</v>
      </c>
      <c r="J264" s="1" t="s">
        <v>5900</v>
      </c>
    </row>
    <row r="265">
      <c r="A265" s="1" t="s">
        <v>6623</v>
      </c>
      <c r="B265" s="1" t="s">
        <v>6624</v>
      </c>
      <c r="C265" s="1" t="s">
        <v>4293</v>
      </c>
      <c r="D265" s="1" t="s">
        <v>6626</v>
      </c>
      <c r="E265" s="1" t="s">
        <v>6628</v>
      </c>
      <c r="F265" s="1" t="s">
        <v>78</v>
      </c>
      <c r="G265" s="4"/>
      <c r="H265" s="3">
        <v>44728.0</v>
      </c>
      <c r="I265" s="1" t="s">
        <v>6634</v>
      </c>
      <c r="J265" s="1" t="s">
        <v>5900</v>
      </c>
    </row>
    <row r="266">
      <c r="A266" s="1" t="s">
        <v>6638</v>
      </c>
      <c r="B266" s="1" t="s">
        <v>6639</v>
      </c>
      <c r="C266" s="1" t="s">
        <v>4293</v>
      </c>
      <c r="D266" s="1" t="s">
        <v>6641</v>
      </c>
      <c r="E266" s="1" t="s">
        <v>6643</v>
      </c>
      <c r="F266" s="1" t="s">
        <v>78</v>
      </c>
      <c r="G266" s="4"/>
      <c r="H266" s="3">
        <v>44535.0</v>
      </c>
      <c r="I266" s="1" t="s">
        <v>6645</v>
      </c>
      <c r="J266" s="1" t="s">
        <v>5900</v>
      </c>
    </row>
    <row r="267">
      <c r="A267" s="1" t="s">
        <v>6648</v>
      </c>
      <c r="B267" s="1" t="s">
        <v>5875</v>
      </c>
      <c r="C267" s="1" t="s">
        <v>4293</v>
      </c>
      <c r="D267" s="1" t="s">
        <v>6653</v>
      </c>
      <c r="E267" s="1" t="s">
        <v>6655</v>
      </c>
      <c r="F267" s="1" t="s">
        <v>78</v>
      </c>
      <c r="G267" s="4"/>
      <c r="H267" s="3">
        <v>45929.0</v>
      </c>
      <c r="I267" s="1" t="s">
        <v>6657</v>
      </c>
      <c r="J267" s="1" t="s">
        <v>5900</v>
      </c>
    </row>
    <row r="268">
      <c r="A268" s="1" t="s">
        <v>6659</v>
      </c>
      <c r="B268" s="1" t="s">
        <v>6661</v>
      </c>
      <c r="C268" s="1" t="s">
        <v>4293</v>
      </c>
      <c r="D268" s="1" t="s">
        <v>6664</v>
      </c>
      <c r="E268" s="1" t="s">
        <v>6667</v>
      </c>
      <c r="F268" s="1" t="s">
        <v>78</v>
      </c>
      <c r="G268" s="4"/>
      <c r="H268" s="3">
        <v>43360.0</v>
      </c>
      <c r="I268" s="1" t="s">
        <v>6488</v>
      </c>
      <c r="J268" s="1" t="s">
        <v>5900</v>
      </c>
    </row>
    <row r="269">
      <c r="A269" s="1" t="s">
        <v>6672</v>
      </c>
      <c r="B269" s="1" t="s">
        <v>6673</v>
      </c>
      <c r="C269" s="1" t="s">
        <v>4293</v>
      </c>
      <c r="D269" s="1" t="s">
        <v>6674</v>
      </c>
      <c r="E269" s="1" t="s">
        <v>6676</v>
      </c>
      <c r="F269" s="1" t="s">
        <v>78</v>
      </c>
      <c r="G269" s="4"/>
      <c r="H269" s="3">
        <v>43563.0</v>
      </c>
      <c r="I269" s="1" t="s">
        <v>6678</v>
      </c>
      <c r="J269" s="1" t="s">
        <v>5900</v>
      </c>
    </row>
    <row r="270">
      <c r="A270" s="1" t="s">
        <v>6681</v>
      </c>
      <c r="B270" s="1" t="s">
        <v>6683</v>
      </c>
      <c r="C270" s="1" t="s">
        <v>4293</v>
      </c>
      <c r="D270" s="1" t="s">
        <v>6686</v>
      </c>
      <c r="E270" s="1" t="s">
        <v>6687</v>
      </c>
      <c r="F270" s="1" t="s">
        <v>78</v>
      </c>
      <c r="G270" s="4"/>
      <c r="H270" s="3">
        <v>44256.0</v>
      </c>
      <c r="I270" s="1" t="s">
        <v>6690</v>
      </c>
      <c r="J270" s="1" t="s">
        <v>5900</v>
      </c>
    </row>
    <row r="271">
      <c r="A271" s="1" t="s">
        <v>6691</v>
      </c>
      <c r="B271" s="1" t="s">
        <v>6693</v>
      </c>
      <c r="C271" s="1" t="s">
        <v>4293</v>
      </c>
      <c r="D271" s="1" t="s">
        <v>6694</v>
      </c>
      <c r="E271" s="1" t="s">
        <v>6696</v>
      </c>
      <c r="F271" s="1" t="s">
        <v>78</v>
      </c>
      <c r="G271" s="4"/>
      <c r="H271" s="3">
        <v>43040.0</v>
      </c>
      <c r="I271" s="1" t="s">
        <v>6697</v>
      </c>
      <c r="J271" s="1" t="s">
        <v>5900</v>
      </c>
    </row>
    <row r="272">
      <c r="A272" s="1" t="s">
        <v>6699</v>
      </c>
      <c r="B272" s="1" t="s">
        <v>6701</v>
      </c>
      <c r="C272" s="1" t="s">
        <v>4293</v>
      </c>
      <c r="D272" s="1" t="s">
        <v>6704</v>
      </c>
      <c r="E272" s="1" t="s">
        <v>6705</v>
      </c>
      <c r="F272" s="1" t="s">
        <v>78</v>
      </c>
      <c r="G272" s="4"/>
      <c r="H272" s="3">
        <v>45882.0</v>
      </c>
      <c r="I272" s="1" t="s">
        <v>6709</v>
      </c>
      <c r="J272" s="1" t="s">
        <v>5900</v>
      </c>
    </row>
    <row r="273">
      <c r="A273" s="1" t="s">
        <v>6711</v>
      </c>
      <c r="B273" s="1" t="s">
        <v>6713</v>
      </c>
      <c r="C273" s="1" t="s">
        <v>4293</v>
      </c>
      <c r="D273" s="1" t="s">
        <v>6714</v>
      </c>
      <c r="E273" s="1" t="s">
        <v>6716</v>
      </c>
      <c r="F273" s="1" t="s">
        <v>78</v>
      </c>
      <c r="G273" s="4"/>
      <c r="H273" s="3">
        <v>43936.0</v>
      </c>
      <c r="I273" s="1" t="s">
        <v>5899</v>
      </c>
      <c r="J273" s="1" t="s">
        <v>5900</v>
      </c>
    </row>
    <row r="274">
      <c r="A274" s="1" t="s">
        <v>6719</v>
      </c>
      <c r="B274" s="1" t="s">
        <v>6721</v>
      </c>
      <c r="C274" s="1" t="s">
        <v>4293</v>
      </c>
      <c r="D274" s="1" t="s">
        <v>6722</v>
      </c>
      <c r="E274" s="1" t="s">
        <v>6723</v>
      </c>
      <c r="F274" s="1" t="s">
        <v>78</v>
      </c>
      <c r="G274" s="4"/>
      <c r="H274" s="3">
        <v>45449.0</v>
      </c>
      <c r="I274" s="1" t="s">
        <v>6727</v>
      </c>
      <c r="J274" s="1" t="s">
        <v>5900</v>
      </c>
    </row>
    <row r="275">
      <c r="A275" s="1" t="s">
        <v>6729</v>
      </c>
      <c r="B275" s="1" t="s">
        <v>6731</v>
      </c>
      <c r="C275" s="1" t="s">
        <v>4293</v>
      </c>
      <c r="D275" s="1" t="s">
        <v>6734</v>
      </c>
      <c r="E275" s="1" t="s">
        <v>6736</v>
      </c>
      <c r="F275" s="1" t="s">
        <v>78</v>
      </c>
      <c r="G275" s="4"/>
      <c r="H275" s="3">
        <v>44749.0</v>
      </c>
      <c r="I275" s="1" t="s">
        <v>6740</v>
      </c>
      <c r="J275" s="1" t="s">
        <v>5900</v>
      </c>
    </row>
    <row r="276">
      <c r="A276" s="1" t="s">
        <v>6743</v>
      </c>
      <c r="B276" s="1" t="s">
        <v>6745</v>
      </c>
      <c r="C276" s="1" t="s">
        <v>4293</v>
      </c>
      <c r="D276" s="1" t="s">
        <v>6749</v>
      </c>
      <c r="E276" s="1" t="s">
        <v>6751</v>
      </c>
      <c r="F276" s="1" t="s">
        <v>78</v>
      </c>
      <c r="G276" s="4"/>
      <c r="H276" s="3">
        <v>44308.0</v>
      </c>
      <c r="I276" s="1" t="s">
        <v>5899</v>
      </c>
      <c r="J276" s="1" t="s">
        <v>5900</v>
      </c>
    </row>
    <row r="277">
      <c r="A277" s="1" t="s">
        <v>6756</v>
      </c>
      <c r="B277" s="1" t="s">
        <v>6758</v>
      </c>
      <c r="C277" s="1" t="s">
        <v>4293</v>
      </c>
      <c r="D277" s="1" t="s">
        <v>6760</v>
      </c>
      <c r="E277" s="1" t="s">
        <v>6762</v>
      </c>
      <c r="F277" s="1" t="s">
        <v>78</v>
      </c>
      <c r="G277" s="4"/>
      <c r="H277" s="3">
        <v>44166.0</v>
      </c>
      <c r="I277" s="1" t="s">
        <v>5899</v>
      </c>
      <c r="J277" s="1" t="s">
        <v>5900</v>
      </c>
    </row>
    <row r="278">
      <c r="A278" s="1" t="s">
        <v>6765</v>
      </c>
      <c r="B278" s="1" t="s">
        <v>6766</v>
      </c>
      <c r="C278" s="1" t="s">
        <v>4293</v>
      </c>
      <c r="D278" s="1" t="s">
        <v>6768</v>
      </c>
      <c r="E278" s="1" t="s">
        <v>6769</v>
      </c>
      <c r="F278" s="1" t="s">
        <v>78</v>
      </c>
      <c r="G278" s="4"/>
      <c r="H278" s="3">
        <v>44378.0</v>
      </c>
      <c r="I278" s="1" t="s">
        <v>6773</v>
      </c>
      <c r="J278" s="1" t="s">
        <v>5900</v>
      </c>
    </row>
    <row r="279">
      <c r="A279" s="1" t="s">
        <v>6778</v>
      </c>
      <c r="B279" s="1" t="s">
        <v>6779</v>
      </c>
      <c r="C279" s="1" t="s">
        <v>4293</v>
      </c>
      <c r="D279" s="1" t="s">
        <v>6781</v>
      </c>
      <c r="E279" s="1" t="s">
        <v>6782</v>
      </c>
      <c r="F279" s="1" t="s">
        <v>78</v>
      </c>
      <c r="G279" s="4"/>
      <c r="H279" s="3">
        <v>45049.0</v>
      </c>
      <c r="I279" s="1" t="s">
        <v>6251</v>
      </c>
      <c r="J279" s="1" t="s">
        <v>5900</v>
      </c>
    </row>
    <row r="280">
      <c r="A280" s="1" t="s">
        <v>6788</v>
      </c>
      <c r="B280" s="1" t="s">
        <v>6792</v>
      </c>
      <c r="C280" s="1" t="s">
        <v>4293</v>
      </c>
      <c r="D280" s="1" t="s">
        <v>6794</v>
      </c>
      <c r="E280" s="1" t="s">
        <v>6795</v>
      </c>
      <c r="F280" s="1" t="s">
        <v>78</v>
      </c>
      <c r="G280" s="13"/>
      <c r="H280" s="3">
        <v>45924.0</v>
      </c>
      <c r="I280" s="1" t="s">
        <v>6798</v>
      </c>
      <c r="J280" s="1" t="s">
        <v>5900</v>
      </c>
    </row>
    <row r="281">
      <c r="A281" s="1" t="s">
        <v>6801</v>
      </c>
      <c r="B281" s="1" t="s">
        <v>6665</v>
      </c>
      <c r="C281" s="1" t="s">
        <v>4293</v>
      </c>
      <c r="D281" s="1" t="s">
        <v>6807</v>
      </c>
      <c r="E281" s="1" t="s">
        <v>6810</v>
      </c>
      <c r="F281" s="1" t="s">
        <v>78</v>
      </c>
      <c r="G281" s="4"/>
      <c r="H281" s="3">
        <v>44210.0</v>
      </c>
      <c r="I281" s="1" t="s">
        <v>5999</v>
      </c>
      <c r="J281" s="1" t="s">
        <v>5900</v>
      </c>
    </row>
    <row r="282">
      <c r="A282" s="1" t="s">
        <v>6814</v>
      </c>
      <c r="B282" s="1" t="s">
        <v>5971</v>
      </c>
      <c r="C282" s="1" t="s">
        <v>4293</v>
      </c>
      <c r="D282" s="1" t="s">
        <v>6817</v>
      </c>
      <c r="E282" s="1" t="s">
        <v>6818</v>
      </c>
      <c r="F282" s="1" t="s">
        <v>78</v>
      </c>
      <c r="G282" s="4"/>
      <c r="H282" s="3">
        <v>44197.0</v>
      </c>
      <c r="I282" s="1" t="s">
        <v>6634</v>
      </c>
      <c r="J282" s="1" t="s">
        <v>5900</v>
      </c>
    </row>
    <row r="283">
      <c r="A283" s="1" t="s">
        <v>6822</v>
      </c>
      <c r="B283" s="1" t="s">
        <v>6824</v>
      </c>
      <c r="C283" s="1" t="s">
        <v>4293</v>
      </c>
      <c r="D283" s="1" t="s">
        <v>6826</v>
      </c>
      <c r="E283" s="1" t="s">
        <v>6828</v>
      </c>
      <c r="F283" s="1" t="s">
        <v>78</v>
      </c>
      <c r="G283" s="4"/>
      <c r="H283" s="3">
        <v>45618.0</v>
      </c>
      <c r="I283" s="1" t="s">
        <v>6657</v>
      </c>
      <c r="J283" s="1" t="s">
        <v>5900</v>
      </c>
    </row>
    <row r="284">
      <c r="A284" s="1" t="s">
        <v>6833</v>
      </c>
      <c r="B284" s="1" t="s">
        <v>6836</v>
      </c>
      <c r="C284" s="1" t="s">
        <v>4293</v>
      </c>
      <c r="D284" s="1" t="s">
        <v>6837</v>
      </c>
      <c r="E284" s="1" t="s">
        <v>6839</v>
      </c>
      <c r="F284" s="1" t="s">
        <v>78</v>
      </c>
      <c r="G284" s="4"/>
      <c r="H284" s="3">
        <v>44409.0</v>
      </c>
      <c r="I284" s="1" t="s">
        <v>6842</v>
      </c>
      <c r="J284" s="1" t="s">
        <v>5900</v>
      </c>
    </row>
    <row r="285">
      <c r="A285" s="1" t="s">
        <v>6845</v>
      </c>
      <c r="B285" s="1" t="s">
        <v>6846</v>
      </c>
      <c r="C285" s="1" t="s">
        <v>4293</v>
      </c>
      <c r="D285" s="1" t="s">
        <v>6847</v>
      </c>
      <c r="E285" s="1" t="s">
        <v>6848</v>
      </c>
      <c r="F285" s="1" t="s">
        <v>78</v>
      </c>
      <c r="G285" s="4"/>
      <c r="H285" s="3">
        <v>45558.0</v>
      </c>
      <c r="I285" s="1" t="s">
        <v>6851</v>
      </c>
      <c r="J285" s="1" t="s">
        <v>5900</v>
      </c>
    </row>
    <row r="286">
      <c r="A286" s="1" t="s">
        <v>6853</v>
      </c>
      <c r="B286" s="1" t="s">
        <v>6856</v>
      </c>
      <c r="C286" s="1" t="s">
        <v>4293</v>
      </c>
      <c r="D286" s="1" t="s">
        <v>6857</v>
      </c>
      <c r="E286" s="1" t="s">
        <v>6859</v>
      </c>
      <c r="F286" s="1" t="s">
        <v>78</v>
      </c>
      <c r="G286" s="4"/>
      <c r="H286" s="3">
        <v>44440.0</v>
      </c>
      <c r="I286" s="1" t="s">
        <v>6861</v>
      </c>
      <c r="J286" s="1" t="s">
        <v>5900</v>
      </c>
    </row>
    <row r="287">
      <c r="A287" s="1" t="s">
        <v>6862</v>
      </c>
      <c r="B287" s="1" t="s">
        <v>5686</v>
      </c>
      <c r="C287" s="1" t="s">
        <v>4293</v>
      </c>
      <c r="D287" s="1" t="s">
        <v>6863</v>
      </c>
      <c r="E287" s="1" t="s">
        <v>6864</v>
      </c>
      <c r="F287" s="1" t="s">
        <v>78</v>
      </c>
      <c r="G287" s="4"/>
      <c r="H287" s="3">
        <v>43921.0</v>
      </c>
      <c r="I287" s="1" t="s">
        <v>6645</v>
      </c>
      <c r="J287" s="1" t="s">
        <v>5900</v>
      </c>
    </row>
    <row r="288">
      <c r="A288" s="1" t="s">
        <v>6865</v>
      </c>
      <c r="B288" s="1" t="s">
        <v>6866</v>
      </c>
      <c r="C288" s="1" t="s">
        <v>4293</v>
      </c>
      <c r="D288" s="1" t="s">
        <v>6869</v>
      </c>
      <c r="E288" s="1" t="s">
        <v>6871</v>
      </c>
      <c r="F288" s="1" t="s">
        <v>78</v>
      </c>
      <c r="G288" s="4"/>
      <c r="H288" s="3">
        <v>42852.0</v>
      </c>
      <c r="I288" s="1" t="s">
        <v>6872</v>
      </c>
      <c r="J288" s="1" t="s">
        <v>5900</v>
      </c>
    </row>
    <row r="289">
      <c r="A289" s="1" t="s">
        <v>6875</v>
      </c>
      <c r="B289" s="1" t="s">
        <v>6876</v>
      </c>
      <c r="C289" s="1" t="s">
        <v>4293</v>
      </c>
      <c r="D289" s="1" t="s">
        <v>6878</v>
      </c>
      <c r="E289" s="1" t="s">
        <v>6880</v>
      </c>
      <c r="F289" s="1" t="s">
        <v>78</v>
      </c>
      <c r="G289" s="4"/>
      <c r="H289" s="3">
        <v>45608.0</v>
      </c>
      <c r="I289" s="1" t="s">
        <v>6882</v>
      </c>
      <c r="J289" s="1" t="s">
        <v>5900</v>
      </c>
    </row>
    <row r="290">
      <c r="A290" s="1" t="s">
        <v>6887</v>
      </c>
      <c r="B290" s="1" t="s">
        <v>6888</v>
      </c>
      <c r="C290" s="1" t="s">
        <v>4293</v>
      </c>
      <c r="D290" s="1" t="s">
        <v>6890</v>
      </c>
      <c r="E290" s="1" t="s">
        <v>6892</v>
      </c>
      <c r="F290" s="1" t="s">
        <v>78</v>
      </c>
      <c r="G290" s="4"/>
      <c r="H290" s="3">
        <v>44356.0</v>
      </c>
      <c r="I290" s="1" t="s">
        <v>5899</v>
      </c>
      <c r="J290" s="1" t="s">
        <v>5900</v>
      </c>
    </row>
    <row r="291">
      <c r="A291" s="1" t="s">
        <v>6896</v>
      </c>
      <c r="B291" s="1" t="s">
        <v>6897</v>
      </c>
      <c r="C291" s="1" t="s">
        <v>4293</v>
      </c>
      <c r="D291" s="1" t="s">
        <v>6899</v>
      </c>
      <c r="E291" s="1" t="s">
        <v>6900</v>
      </c>
      <c r="F291" s="1" t="s">
        <v>78</v>
      </c>
      <c r="G291" s="4"/>
      <c r="H291" s="3">
        <v>46065.0</v>
      </c>
      <c r="I291" s="1" t="s">
        <v>5999</v>
      </c>
      <c r="J291" s="1" t="s">
        <v>5900</v>
      </c>
    </row>
    <row r="292">
      <c r="A292" s="1" t="s">
        <v>6903</v>
      </c>
      <c r="B292" s="1" t="s">
        <v>6905</v>
      </c>
      <c r="C292" s="1" t="s">
        <v>4293</v>
      </c>
      <c r="D292" s="1" t="s">
        <v>6906</v>
      </c>
      <c r="E292" s="1" t="s">
        <v>6908</v>
      </c>
      <c r="F292" s="1" t="s">
        <v>78</v>
      </c>
      <c r="G292" s="4"/>
      <c r="H292" s="3">
        <v>44308.0</v>
      </c>
      <c r="I292" s="1" t="s">
        <v>5899</v>
      </c>
      <c r="J292" s="1" t="s">
        <v>5900</v>
      </c>
    </row>
    <row r="293">
      <c r="A293" s="1" t="s">
        <v>6912</v>
      </c>
      <c r="B293" s="1" t="s">
        <v>6913</v>
      </c>
      <c r="C293" s="1" t="s">
        <v>4293</v>
      </c>
      <c r="D293" s="1" t="s">
        <v>6915</v>
      </c>
      <c r="E293" s="1" t="s">
        <v>6917</v>
      </c>
      <c r="F293" s="1" t="s">
        <v>78</v>
      </c>
      <c r="G293" s="4"/>
      <c r="H293" s="3">
        <v>44228.0</v>
      </c>
      <c r="I293" s="1" t="s">
        <v>6882</v>
      </c>
      <c r="J293" s="1" t="s">
        <v>5900</v>
      </c>
    </row>
    <row r="294">
      <c r="A294" s="1" t="s">
        <v>6921</v>
      </c>
      <c r="B294" s="1" t="s">
        <v>6923</v>
      </c>
      <c r="C294" s="1" t="s">
        <v>4293</v>
      </c>
      <c r="D294" s="1" t="s">
        <v>6925</v>
      </c>
      <c r="E294" s="1" t="s">
        <v>6927</v>
      </c>
      <c r="F294" s="1" t="s">
        <v>78</v>
      </c>
      <c r="G294" s="4"/>
      <c r="H294" s="3">
        <v>45372.0</v>
      </c>
      <c r="I294" s="1" t="s">
        <v>6690</v>
      </c>
      <c r="J294" s="1" t="s">
        <v>5900</v>
      </c>
    </row>
    <row r="295">
      <c r="A295" s="1" t="s">
        <v>6929</v>
      </c>
      <c r="B295" s="1" t="s">
        <v>6930</v>
      </c>
      <c r="C295" s="1" t="s">
        <v>4293</v>
      </c>
      <c r="D295" s="1" t="s">
        <v>6933</v>
      </c>
      <c r="E295" s="1" t="s">
        <v>6935</v>
      </c>
      <c r="F295" s="1" t="s">
        <v>78</v>
      </c>
      <c r="G295" s="4"/>
      <c r="H295" s="3">
        <v>45819.0</v>
      </c>
      <c r="I295" s="1" t="s">
        <v>5899</v>
      </c>
      <c r="J295" s="1" t="s">
        <v>5900</v>
      </c>
    </row>
    <row r="296">
      <c r="A296" s="1" t="s">
        <v>6938</v>
      </c>
      <c r="B296" s="1" t="s">
        <v>6940</v>
      </c>
      <c r="C296" s="1" t="s">
        <v>4293</v>
      </c>
      <c r="D296" s="1" t="s">
        <v>6942</v>
      </c>
      <c r="E296" s="1" t="s">
        <v>6944</v>
      </c>
      <c r="F296" s="1" t="s">
        <v>78</v>
      </c>
      <c r="G296" s="4"/>
      <c r="H296" s="3">
        <v>44518.0</v>
      </c>
      <c r="I296" s="1" t="s">
        <v>6946</v>
      </c>
      <c r="J296" s="1" t="s">
        <v>5900</v>
      </c>
    </row>
    <row r="297">
      <c r="A297" s="1" t="s">
        <v>6948</v>
      </c>
      <c r="B297" s="1" t="s">
        <v>6950</v>
      </c>
      <c r="C297" s="1" t="s">
        <v>4293</v>
      </c>
      <c r="D297" s="1" t="s">
        <v>6952</v>
      </c>
      <c r="E297" s="1" t="s">
        <v>6953</v>
      </c>
      <c r="F297" s="1" t="s">
        <v>78</v>
      </c>
      <c r="G297" s="4"/>
      <c r="H297" s="3">
        <v>45532.0</v>
      </c>
      <c r="I297" s="1" t="s">
        <v>5899</v>
      </c>
      <c r="J297" s="1" t="s">
        <v>5900</v>
      </c>
    </row>
    <row r="298">
      <c r="A298" s="1" t="s">
        <v>6956</v>
      </c>
      <c r="B298" s="1" t="s">
        <v>6958</v>
      </c>
      <c r="C298" s="1" t="s">
        <v>4293</v>
      </c>
      <c r="D298" s="1" t="s">
        <v>6959</v>
      </c>
      <c r="E298" s="1" t="s">
        <v>6961</v>
      </c>
      <c r="F298" s="1" t="s">
        <v>78</v>
      </c>
      <c r="G298" s="4"/>
      <c r="H298" s="3">
        <v>45595.0</v>
      </c>
      <c r="I298" s="1" t="s">
        <v>5999</v>
      </c>
      <c r="J298" s="1" t="s">
        <v>5900</v>
      </c>
    </row>
    <row r="299">
      <c r="A299" s="1" t="s">
        <v>6964</v>
      </c>
      <c r="B299" s="1" t="s">
        <v>6965</v>
      </c>
      <c r="C299" s="1" t="s">
        <v>4293</v>
      </c>
      <c r="D299" s="1" t="s">
        <v>6967</v>
      </c>
      <c r="E299" s="1" t="s">
        <v>6968</v>
      </c>
      <c r="F299" s="1" t="s">
        <v>78</v>
      </c>
      <c r="G299" s="4"/>
      <c r="H299" s="3">
        <v>44489.0</v>
      </c>
      <c r="I299" s="1" t="s">
        <v>5999</v>
      </c>
      <c r="J299" s="1" t="s">
        <v>5900</v>
      </c>
    </row>
    <row r="300">
      <c r="A300" s="1" t="s">
        <v>6970</v>
      </c>
      <c r="B300" s="1" t="s">
        <v>6971</v>
      </c>
      <c r="C300" s="1" t="s">
        <v>4293</v>
      </c>
      <c r="D300" s="1" t="s">
        <v>6972</v>
      </c>
      <c r="E300" s="1" t="s">
        <v>6973</v>
      </c>
      <c r="F300" s="1" t="s">
        <v>78</v>
      </c>
      <c r="G300" s="4"/>
      <c r="H300" s="3">
        <v>43860.0</v>
      </c>
      <c r="I300" s="1" t="s">
        <v>6477</v>
      </c>
      <c r="J300" s="1" t="s">
        <v>5900</v>
      </c>
    </row>
    <row r="301">
      <c r="A301" s="1" t="s">
        <v>6974</v>
      </c>
      <c r="B301" s="1" t="s">
        <v>6975</v>
      </c>
      <c r="C301" s="1" t="s">
        <v>4293</v>
      </c>
      <c r="D301" s="1" t="s">
        <v>6976</v>
      </c>
      <c r="E301" s="1" t="s">
        <v>6977</v>
      </c>
      <c r="F301" s="1" t="s">
        <v>78</v>
      </c>
      <c r="G301" s="4"/>
      <c r="H301" s="3">
        <v>44511.0</v>
      </c>
      <c r="I301" s="1" t="s">
        <v>6980</v>
      </c>
      <c r="J301" s="1" t="s">
        <v>5900</v>
      </c>
    </row>
    <row r="302">
      <c r="A302" s="1" t="s">
        <v>6981</v>
      </c>
      <c r="B302" s="1" t="s">
        <v>6983</v>
      </c>
      <c r="C302" s="1" t="s">
        <v>4293</v>
      </c>
      <c r="D302" s="1" t="s">
        <v>6987</v>
      </c>
      <c r="E302" s="1" t="s">
        <v>6989</v>
      </c>
      <c r="F302" s="1" t="s">
        <v>78</v>
      </c>
      <c r="G302" s="4"/>
      <c r="H302" s="3">
        <v>45567.0</v>
      </c>
      <c r="I302" s="1" t="s">
        <v>6992</v>
      </c>
      <c r="J302" s="1" t="s">
        <v>5900</v>
      </c>
    </row>
    <row r="303">
      <c r="A303" s="1" t="s">
        <v>6994</v>
      </c>
      <c r="B303" s="1" t="s">
        <v>6995</v>
      </c>
      <c r="C303" s="1" t="s">
        <v>4293</v>
      </c>
      <c r="D303" s="1" t="s">
        <v>6996</v>
      </c>
      <c r="E303" s="1" t="s">
        <v>6997</v>
      </c>
      <c r="F303" s="1" t="s">
        <v>78</v>
      </c>
      <c r="G303" s="4"/>
      <c r="H303" s="3">
        <v>45866.0</v>
      </c>
      <c r="I303" s="1" t="s">
        <v>5899</v>
      </c>
      <c r="J303" s="1" t="s">
        <v>5900</v>
      </c>
    </row>
    <row r="304">
      <c r="A304" s="1" t="s">
        <v>7004</v>
      </c>
      <c r="B304" s="1" t="s">
        <v>7007</v>
      </c>
      <c r="C304" s="1" t="s">
        <v>4293</v>
      </c>
      <c r="D304" s="1" t="s">
        <v>7009</v>
      </c>
      <c r="E304" s="1" t="s">
        <v>7010</v>
      </c>
      <c r="F304" s="1" t="s">
        <v>78</v>
      </c>
      <c r="G304" s="4"/>
      <c r="H304" s="3">
        <v>44440.0</v>
      </c>
      <c r="I304" s="1" t="s">
        <v>7012</v>
      </c>
      <c r="J304" s="1" t="s">
        <v>5900</v>
      </c>
    </row>
    <row r="305">
      <c r="A305" s="1" t="s">
        <v>7015</v>
      </c>
      <c r="B305" s="1" t="s">
        <v>6082</v>
      </c>
      <c r="C305" s="1" t="s">
        <v>4293</v>
      </c>
      <c r="D305" s="1" t="s">
        <v>7017</v>
      </c>
      <c r="E305" s="1" t="s">
        <v>7019</v>
      </c>
      <c r="F305" s="1" t="s">
        <v>78</v>
      </c>
      <c r="G305" s="4"/>
      <c r="H305" s="3">
        <v>45715.0</v>
      </c>
      <c r="I305" s="1" t="s">
        <v>5899</v>
      </c>
      <c r="J305" s="1" t="s">
        <v>5900</v>
      </c>
    </row>
    <row r="306">
      <c r="A306" s="1" t="s">
        <v>7021</v>
      </c>
      <c r="B306" s="1" t="s">
        <v>7022</v>
      </c>
      <c r="C306" s="1" t="s">
        <v>4293</v>
      </c>
      <c r="D306" s="1" t="s">
        <v>7023</v>
      </c>
      <c r="E306" s="1" t="s">
        <v>7024</v>
      </c>
      <c r="F306" s="1" t="s">
        <v>78</v>
      </c>
      <c r="G306" s="4"/>
      <c r="H306" s="3">
        <v>44903.0</v>
      </c>
      <c r="I306" s="1" t="s">
        <v>5899</v>
      </c>
      <c r="J306" s="1" t="s">
        <v>5900</v>
      </c>
    </row>
    <row r="307">
      <c r="A307" s="1" t="s">
        <v>7031</v>
      </c>
      <c r="B307" s="1" t="s">
        <v>6174</v>
      </c>
      <c r="C307" s="1" t="s">
        <v>4293</v>
      </c>
      <c r="D307" s="1" t="s">
        <v>7033</v>
      </c>
      <c r="E307" s="1" t="s">
        <v>7034</v>
      </c>
      <c r="F307" s="1" t="s">
        <v>78</v>
      </c>
      <c r="G307" s="4"/>
      <c r="H307" s="3">
        <v>45146.0</v>
      </c>
      <c r="I307" s="1" t="s">
        <v>5999</v>
      </c>
      <c r="J307" s="1" t="s">
        <v>5900</v>
      </c>
    </row>
    <row r="308">
      <c r="A308" s="1" t="s">
        <v>7039</v>
      </c>
      <c r="B308" s="1" t="s">
        <v>7042</v>
      </c>
      <c r="C308" s="1" t="s">
        <v>4293</v>
      </c>
      <c r="D308" s="1" t="s">
        <v>7044</v>
      </c>
      <c r="E308" s="1" t="s">
        <v>7046</v>
      </c>
      <c r="F308" s="1" t="s">
        <v>78</v>
      </c>
      <c r="G308" s="4"/>
      <c r="H308" s="3">
        <v>43984.0</v>
      </c>
      <c r="I308" s="1" t="s">
        <v>7012</v>
      </c>
      <c r="J308" s="1" t="s">
        <v>5900</v>
      </c>
    </row>
    <row r="309">
      <c r="A309" s="1" t="s">
        <v>7050</v>
      </c>
      <c r="B309" s="1" t="s">
        <v>7052</v>
      </c>
      <c r="C309" s="1" t="s">
        <v>4293</v>
      </c>
      <c r="D309" s="1" t="s">
        <v>7054</v>
      </c>
      <c r="E309" s="1" t="s">
        <v>7057</v>
      </c>
      <c r="F309" s="1" t="s">
        <v>78</v>
      </c>
      <c r="G309" s="4"/>
      <c r="H309" s="3">
        <v>45467.0</v>
      </c>
      <c r="I309" s="1" t="s">
        <v>7060</v>
      </c>
      <c r="J309" s="1" t="s">
        <v>5900</v>
      </c>
    </row>
    <row r="310">
      <c r="A310" s="1" t="s">
        <v>7062</v>
      </c>
      <c r="B310" s="1" t="s">
        <v>7063</v>
      </c>
      <c r="C310" s="1" t="s">
        <v>4293</v>
      </c>
      <c r="D310" s="1" t="s">
        <v>7066</v>
      </c>
      <c r="E310" s="1" t="s">
        <v>7067</v>
      </c>
      <c r="F310" s="1" t="s">
        <v>78</v>
      </c>
      <c r="G310" s="4"/>
      <c r="H310" s="3">
        <v>46029.0</v>
      </c>
      <c r="I310" s="1" t="s">
        <v>7069</v>
      </c>
      <c r="J310" s="1" t="s">
        <v>5900</v>
      </c>
    </row>
    <row r="311">
      <c r="A311" s="1" t="s">
        <v>7073</v>
      </c>
      <c r="B311" s="1" t="s">
        <v>6816</v>
      </c>
      <c r="C311" s="1" t="s">
        <v>4293</v>
      </c>
      <c r="D311" s="1" t="s">
        <v>7078</v>
      </c>
      <c r="E311" s="1" t="s">
        <v>7080</v>
      </c>
      <c r="F311" s="1" t="s">
        <v>78</v>
      </c>
      <c r="G311" s="4"/>
      <c r="H311" s="3">
        <v>46055.0</v>
      </c>
      <c r="I311" s="1" t="s">
        <v>5999</v>
      </c>
      <c r="J311" s="1" t="s">
        <v>5900</v>
      </c>
    </row>
    <row r="312">
      <c r="A312" s="1" t="s">
        <v>7082</v>
      </c>
      <c r="B312" s="1" t="s">
        <v>7083</v>
      </c>
      <c r="C312" s="1" t="s">
        <v>4293</v>
      </c>
      <c r="D312" s="1" t="s">
        <v>7086</v>
      </c>
      <c r="E312" s="1" t="s">
        <v>7087</v>
      </c>
      <c r="F312" s="1" t="s">
        <v>78</v>
      </c>
      <c r="G312" s="4"/>
      <c r="H312" s="3">
        <v>44470.0</v>
      </c>
      <c r="I312" s="1" t="s">
        <v>7090</v>
      </c>
      <c r="J312" s="1" t="s">
        <v>5900</v>
      </c>
    </row>
    <row r="313">
      <c r="A313" s="1" t="s">
        <v>7095</v>
      </c>
      <c r="B313" s="1" t="s">
        <v>7097</v>
      </c>
      <c r="C313" s="1" t="s">
        <v>4293</v>
      </c>
      <c r="D313" s="1" t="s">
        <v>7099</v>
      </c>
      <c r="E313" s="1" t="s">
        <v>7102</v>
      </c>
      <c r="F313" s="1" t="s">
        <v>78</v>
      </c>
      <c r="G313" s="4"/>
      <c r="H313" s="3">
        <v>44249.0</v>
      </c>
      <c r="I313" s="1" t="s">
        <v>6012</v>
      </c>
      <c r="J313" s="1" t="s">
        <v>5900</v>
      </c>
    </row>
    <row r="314">
      <c r="A314" s="1" t="s">
        <v>7106</v>
      </c>
      <c r="B314" s="1" t="s">
        <v>7107</v>
      </c>
      <c r="C314" s="1" t="s">
        <v>4293</v>
      </c>
      <c r="D314" s="1" t="s">
        <v>7110</v>
      </c>
      <c r="E314" s="1" t="s">
        <v>7113</v>
      </c>
      <c r="F314" s="1" t="s">
        <v>78</v>
      </c>
      <c r="G314" s="4"/>
      <c r="H314" s="3">
        <v>44251.0</v>
      </c>
      <c r="I314" s="1" t="s">
        <v>6415</v>
      </c>
      <c r="J314" s="1" t="s">
        <v>5900</v>
      </c>
    </row>
    <row r="315">
      <c r="A315" s="1" t="s">
        <v>7118</v>
      </c>
      <c r="B315" s="1" t="s">
        <v>7119</v>
      </c>
      <c r="C315" s="1" t="s">
        <v>4293</v>
      </c>
      <c r="D315" s="1" t="s">
        <v>7122</v>
      </c>
      <c r="E315" s="1" t="s">
        <v>7124</v>
      </c>
      <c r="F315" s="1" t="s">
        <v>78</v>
      </c>
      <c r="G315" s="4"/>
      <c r="H315" s="3">
        <v>45525.0</v>
      </c>
      <c r="I315" s="1" t="s">
        <v>5899</v>
      </c>
      <c r="J315" s="1" t="s">
        <v>5900</v>
      </c>
    </row>
    <row r="316">
      <c r="A316" s="1" t="s">
        <v>7128</v>
      </c>
      <c r="B316" s="1" t="s">
        <v>7130</v>
      </c>
      <c r="C316" s="1" t="s">
        <v>4293</v>
      </c>
      <c r="D316" s="1" t="s">
        <v>7132</v>
      </c>
      <c r="E316" s="1" t="s">
        <v>7134</v>
      </c>
      <c r="F316" s="1" t="s">
        <v>78</v>
      </c>
      <c r="G316" s="4"/>
      <c r="H316" s="3">
        <v>45909.0</v>
      </c>
      <c r="I316" s="1" t="s">
        <v>7138</v>
      </c>
      <c r="J316" s="1" t="s">
        <v>5900</v>
      </c>
    </row>
    <row r="317">
      <c r="A317" s="1" t="s">
        <v>7140</v>
      </c>
      <c r="B317" s="1" t="s">
        <v>7142</v>
      </c>
      <c r="C317" s="1" t="s">
        <v>4293</v>
      </c>
      <c r="D317" s="1" t="s">
        <v>7145</v>
      </c>
      <c r="E317" s="1" t="s">
        <v>7147</v>
      </c>
      <c r="F317" s="1" t="s">
        <v>78</v>
      </c>
      <c r="G317" s="4"/>
      <c r="H317" s="3">
        <v>44358.0</v>
      </c>
      <c r="I317" s="1" t="s">
        <v>7149</v>
      </c>
      <c r="J317" s="1" t="s">
        <v>5900</v>
      </c>
    </row>
    <row r="318">
      <c r="A318" s="1" t="s">
        <v>7151</v>
      </c>
      <c r="B318" s="1" t="s">
        <v>7153</v>
      </c>
      <c r="C318" s="1" t="s">
        <v>4293</v>
      </c>
      <c r="D318" s="1" t="s">
        <v>7154</v>
      </c>
      <c r="E318" s="1" t="s">
        <v>7155</v>
      </c>
      <c r="F318" s="1" t="s">
        <v>78</v>
      </c>
      <c r="G318" s="4"/>
      <c r="H318" s="3">
        <v>45426.0</v>
      </c>
      <c r="I318" s="1" t="s">
        <v>5999</v>
      </c>
      <c r="J318" s="1" t="s">
        <v>5900</v>
      </c>
    </row>
    <row r="319">
      <c r="A319" s="1" t="s">
        <v>7156</v>
      </c>
      <c r="B319" s="1" t="s">
        <v>7157</v>
      </c>
      <c r="C319" s="1" t="s">
        <v>4293</v>
      </c>
      <c r="D319" s="1" t="s">
        <v>7159</v>
      </c>
      <c r="E319" s="1" t="s">
        <v>7161</v>
      </c>
      <c r="F319" s="1" t="s">
        <v>78</v>
      </c>
      <c r="G319" s="4"/>
      <c r="H319" s="3">
        <v>43952.0</v>
      </c>
      <c r="I319" s="1" t="s">
        <v>5899</v>
      </c>
      <c r="J319" s="1" t="s">
        <v>5900</v>
      </c>
    </row>
    <row r="320">
      <c r="A320" s="1" t="s">
        <v>7168</v>
      </c>
      <c r="B320" s="1" t="s">
        <v>7169</v>
      </c>
      <c r="C320" s="1" t="s">
        <v>4293</v>
      </c>
      <c r="D320" s="1" t="s">
        <v>7172</v>
      </c>
      <c r="E320" s="1" t="s">
        <v>7173</v>
      </c>
      <c r="F320" s="1" t="s">
        <v>78</v>
      </c>
      <c r="G320" s="4"/>
      <c r="H320" s="3">
        <v>43455.0</v>
      </c>
      <c r="I320" s="1" t="s">
        <v>5899</v>
      </c>
      <c r="J320" s="1" t="s">
        <v>5900</v>
      </c>
    </row>
    <row r="321">
      <c r="A321" s="1" t="s">
        <v>7175</v>
      </c>
      <c r="B321" s="1" t="s">
        <v>6466</v>
      </c>
      <c r="C321" s="1" t="s">
        <v>4293</v>
      </c>
      <c r="D321" s="1" t="s">
        <v>7178</v>
      </c>
      <c r="E321" s="1" t="s">
        <v>7180</v>
      </c>
      <c r="F321" s="1" t="s">
        <v>78</v>
      </c>
      <c r="G321" s="4"/>
      <c r="H321" s="3">
        <v>44197.0</v>
      </c>
      <c r="I321" s="1" t="s">
        <v>7184</v>
      </c>
      <c r="J321" s="1" t="s">
        <v>5900</v>
      </c>
    </row>
    <row r="322">
      <c r="A322" s="1" t="s">
        <v>7187</v>
      </c>
      <c r="B322" s="1" t="s">
        <v>7188</v>
      </c>
      <c r="C322" s="1" t="s">
        <v>4293</v>
      </c>
      <c r="D322" s="1" t="s">
        <v>7190</v>
      </c>
      <c r="E322" s="1" t="s">
        <v>7191</v>
      </c>
      <c r="F322" s="1" t="s">
        <v>78</v>
      </c>
      <c r="G322" s="4"/>
      <c r="H322" s="3">
        <v>42661.0</v>
      </c>
      <c r="I322" s="1" t="s">
        <v>6678</v>
      </c>
      <c r="J322" s="1" t="s">
        <v>5900</v>
      </c>
    </row>
    <row r="323">
      <c r="A323" s="1" t="s">
        <v>7193</v>
      </c>
      <c r="B323" s="1" t="s">
        <v>7195</v>
      </c>
      <c r="C323" s="1" t="s">
        <v>4293</v>
      </c>
      <c r="D323" s="1" t="s">
        <v>7196</v>
      </c>
      <c r="E323" s="1" t="s">
        <v>7198</v>
      </c>
      <c r="F323" s="1" t="s">
        <v>78</v>
      </c>
      <c r="G323" s="4"/>
      <c r="H323" s="3">
        <v>42802.0</v>
      </c>
      <c r="I323" s="1" t="s">
        <v>5999</v>
      </c>
      <c r="J323" s="1" t="s">
        <v>5900</v>
      </c>
    </row>
    <row r="324">
      <c r="A324" s="1" t="s">
        <v>7203</v>
      </c>
      <c r="B324" s="1" t="s">
        <v>7205</v>
      </c>
      <c r="C324" s="1" t="s">
        <v>4293</v>
      </c>
      <c r="D324" s="1" t="s">
        <v>7209</v>
      </c>
      <c r="E324" s="1" t="s">
        <v>7210</v>
      </c>
      <c r="F324" s="1" t="s">
        <v>78</v>
      </c>
      <c r="G324" s="4"/>
      <c r="H324" s="3">
        <v>45825.0</v>
      </c>
      <c r="I324" s="1" t="s">
        <v>5899</v>
      </c>
      <c r="J324" s="1" t="s">
        <v>5900</v>
      </c>
    </row>
    <row r="325">
      <c r="A325" s="1" t="s">
        <v>7212</v>
      </c>
      <c r="B325" s="1" t="s">
        <v>7213</v>
      </c>
      <c r="C325" s="1" t="s">
        <v>4293</v>
      </c>
      <c r="D325" s="1" t="s">
        <v>7215</v>
      </c>
      <c r="E325" s="1" t="s">
        <v>7216</v>
      </c>
      <c r="F325" s="1" t="s">
        <v>78</v>
      </c>
      <c r="G325" s="4"/>
      <c r="H325" s="3">
        <v>45377.0</v>
      </c>
      <c r="I325" s="1" t="s">
        <v>6709</v>
      </c>
      <c r="J325" s="1" t="s">
        <v>5900</v>
      </c>
    </row>
    <row r="326">
      <c r="A326" s="1" t="s">
        <v>7220</v>
      </c>
      <c r="B326" s="1" t="s">
        <v>5324</v>
      </c>
      <c r="C326" s="1" t="s">
        <v>4293</v>
      </c>
      <c r="D326" s="1" t="s">
        <v>7223</v>
      </c>
      <c r="E326" s="1" t="s">
        <v>7225</v>
      </c>
      <c r="F326" s="1" t="s">
        <v>78</v>
      </c>
      <c r="G326" s="4"/>
      <c r="H326" s="3">
        <v>44075.0</v>
      </c>
      <c r="I326" s="1" t="s">
        <v>6330</v>
      </c>
      <c r="J326" s="1" t="s">
        <v>5900</v>
      </c>
    </row>
    <row r="327">
      <c r="A327" s="1" t="s">
        <v>7229</v>
      </c>
      <c r="B327" s="1" t="s">
        <v>7232</v>
      </c>
      <c r="C327" s="1" t="s">
        <v>4293</v>
      </c>
      <c r="D327" s="1" t="s">
        <v>7234</v>
      </c>
      <c r="E327" s="1" t="s">
        <v>7235</v>
      </c>
      <c r="F327" s="1" t="s">
        <v>78</v>
      </c>
      <c r="G327" s="4"/>
      <c r="H327" s="3">
        <v>44391.0</v>
      </c>
      <c r="I327" s="1" t="s">
        <v>5899</v>
      </c>
      <c r="J327" s="1" t="s">
        <v>5900</v>
      </c>
    </row>
    <row r="328">
      <c r="A328" s="1" t="s">
        <v>7238</v>
      </c>
      <c r="B328" s="1" t="s">
        <v>7239</v>
      </c>
      <c r="C328" s="1" t="s">
        <v>4293</v>
      </c>
      <c r="D328" s="1" t="s">
        <v>7241</v>
      </c>
      <c r="E328" s="1" t="s">
        <v>7242</v>
      </c>
      <c r="F328" s="1" t="s">
        <v>78</v>
      </c>
      <c r="G328" s="4"/>
      <c r="H328" s="3">
        <v>45105.0</v>
      </c>
      <c r="I328" s="1" t="s">
        <v>6645</v>
      </c>
      <c r="J328" s="1" t="s">
        <v>5900</v>
      </c>
    </row>
    <row r="329">
      <c r="A329" s="1" t="s">
        <v>7244</v>
      </c>
      <c r="B329" s="1" t="s">
        <v>7246</v>
      </c>
      <c r="C329" s="1" t="s">
        <v>4293</v>
      </c>
      <c r="D329" s="1" t="s">
        <v>7247</v>
      </c>
      <c r="E329" s="1" t="s">
        <v>7249</v>
      </c>
      <c r="F329" s="1" t="s">
        <v>78</v>
      </c>
      <c r="G329" s="4"/>
      <c r="H329" s="3">
        <v>45978.0</v>
      </c>
      <c r="I329" s="1" t="s">
        <v>7253</v>
      </c>
      <c r="J329" s="1" t="s">
        <v>5900</v>
      </c>
    </row>
    <row r="330">
      <c r="A330" s="1" t="s">
        <v>7255</v>
      </c>
      <c r="B330" s="1" t="s">
        <v>7256</v>
      </c>
      <c r="C330" s="1" t="s">
        <v>4293</v>
      </c>
      <c r="D330" s="1" t="s">
        <v>7259</v>
      </c>
      <c r="E330" s="1" t="s">
        <v>7260</v>
      </c>
      <c r="F330" s="1" t="s">
        <v>78</v>
      </c>
      <c r="G330" s="4"/>
      <c r="H330" s="3">
        <v>45035.0</v>
      </c>
      <c r="I330" s="1" t="s">
        <v>7261</v>
      </c>
      <c r="J330" s="1" t="s">
        <v>5900</v>
      </c>
    </row>
    <row r="331">
      <c r="A331" s="1" t="s">
        <v>7264</v>
      </c>
      <c r="B331" s="1" t="s">
        <v>7266</v>
      </c>
      <c r="C331" s="1" t="s">
        <v>4293</v>
      </c>
      <c r="D331" s="1" t="s">
        <v>7267</v>
      </c>
      <c r="E331" s="1" t="s">
        <v>7270</v>
      </c>
      <c r="F331" s="1" t="s">
        <v>78</v>
      </c>
      <c r="G331" s="13"/>
      <c r="H331" s="3">
        <v>45824.0</v>
      </c>
      <c r="I331" s="1" t="s">
        <v>7261</v>
      </c>
      <c r="J331" s="1" t="s">
        <v>5900</v>
      </c>
    </row>
    <row r="332">
      <c r="A332" s="1" t="s">
        <v>7273</v>
      </c>
      <c r="B332" s="1" t="s">
        <v>7276</v>
      </c>
      <c r="C332" s="1" t="s">
        <v>4293</v>
      </c>
      <c r="D332" s="1" t="s">
        <v>7277</v>
      </c>
      <c r="E332" s="1" t="s">
        <v>7279</v>
      </c>
      <c r="F332" s="1" t="s">
        <v>78</v>
      </c>
      <c r="G332" s="4"/>
      <c r="H332" s="3">
        <v>44911.0</v>
      </c>
      <c r="I332" s="1" t="s">
        <v>6634</v>
      </c>
      <c r="J332" s="1" t="s">
        <v>5900</v>
      </c>
    </row>
    <row r="333">
      <c r="A333" s="1" t="s">
        <v>7282</v>
      </c>
      <c r="B333" s="1" t="s">
        <v>6332</v>
      </c>
      <c r="C333" s="1" t="s">
        <v>4293</v>
      </c>
      <c r="D333" s="1" t="s">
        <v>7283</v>
      </c>
      <c r="E333" s="1" t="s">
        <v>7285</v>
      </c>
      <c r="F333" s="1" t="s">
        <v>78</v>
      </c>
      <c r="G333" s="4"/>
      <c r="H333" s="3">
        <v>44760.0</v>
      </c>
      <c r="I333" s="1" t="s">
        <v>5899</v>
      </c>
      <c r="J333" s="1" t="s">
        <v>5900</v>
      </c>
    </row>
    <row r="334">
      <c r="A334" s="1" t="s">
        <v>7288</v>
      </c>
      <c r="B334" s="1" t="s">
        <v>7289</v>
      </c>
      <c r="C334" s="1" t="s">
        <v>4293</v>
      </c>
      <c r="D334" s="1" t="s">
        <v>7292</v>
      </c>
      <c r="E334" s="1" t="s">
        <v>7294</v>
      </c>
      <c r="F334" s="1" t="s">
        <v>78</v>
      </c>
      <c r="G334" s="4"/>
      <c r="H334" s="3">
        <v>43861.0</v>
      </c>
      <c r="I334" s="1" t="s">
        <v>7297</v>
      </c>
      <c r="J334" s="1" t="s">
        <v>5900</v>
      </c>
    </row>
    <row r="335">
      <c r="A335" s="1" t="s">
        <v>7300</v>
      </c>
      <c r="B335" s="1" t="s">
        <v>7301</v>
      </c>
      <c r="C335" s="1" t="s">
        <v>4293</v>
      </c>
      <c r="D335" s="1" t="s">
        <v>7303</v>
      </c>
      <c r="E335" s="1" t="s">
        <v>7304</v>
      </c>
      <c r="F335" s="1" t="s">
        <v>78</v>
      </c>
      <c r="G335" s="4"/>
      <c r="H335" s="3">
        <v>43344.0</v>
      </c>
      <c r="I335" s="1" t="s">
        <v>5899</v>
      </c>
      <c r="J335" s="1" t="s">
        <v>5900</v>
      </c>
    </row>
    <row r="336">
      <c r="A336" s="1" t="s">
        <v>7307</v>
      </c>
      <c r="B336" s="1" t="s">
        <v>7309</v>
      </c>
      <c r="C336" s="1" t="s">
        <v>4293</v>
      </c>
      <c r="D336" s="1" t="s">
        <v>7310</v>
      </c>
      <c r="E336" s="1" t="s">
        <v>7312</v>
      </c>
      <c r="F336" s="1" t="s">
        <v>78</v>
      </c>
      <c r="G336" s="4"/>
      <c r="H336" s="3">
        <v>44378.0</v>
      </c>
      <c r="I336" s="1" t="s">
        <v>7313</v>
      </c>
      <c r="J336" s="1" t="s">
        <v>5900</v>
      </c>
    </row>
    <row r="337">
      <c r="A337" s="1" t="s">
        <v>7316</v>
      </c>
      <c r="B337" s="1" t="s">
        <v>7318</v>
      </c>
      <c r="C337" s="1" t="s">
        <v>4293</v>
      </c>
      <c r="D337" s="1" t="s">
        <v>7322</v>
      </c>
      <c r="E337" s="1" t="s">
        <v>7323</v>
      </c>
      <c r="F337" s="1" t="s">
        <v>78</v>
      </c>
      <c r="G337" s="4"/>
      <c r="H337" s="3">
        <v>45616.0</v>
      </c>
      <c r="I337" s="1" t="s">
        <v>5899</v>
      </c>
      <c r="J337" s="1" t="s">
        <v>5900</v>
      </c>
    </row>
    <row r="338">
      <c r="A338" s="1" t="s">
        <v>7327</v>
      </c>
      <c r="B338" s="1" t="s">
        <v>7328</v>
      </c>
      <c r="C338" s="1" t="s">
        <v>4293</v>
      </c>
      <c r="D338" s="1" t="s">
        <v>7330</v>
      </c>
      <c r="E338" s="1" t="s">
        <v>7332</v>
      </c>
      <c r="F338" s="1" t="s">
        <v>78</v>
      </c>
      <c r="G338" s="4"/>
      <c r="H338" s="3">
        <v>43816.0</v>
      </c>
      <c r="I338" s="1" t="s">
        <v>6842</v>
      </c>
      <c r="J338" s="1" t="s">
        <v>5900</v>
      </c>
    </row>
    <row r="339">
      <c r="A339" s="1" t="s">
        <v>7335</v>
      </c>
      <c r="B339" s="1" t="s">
        <v>4696</v>
      </c>
      <c r="C339" s="1" t="s">
        <v>4293</v>
      </c>
      <c r="D339" s="1" t="s">
        <v>7339</v>
      </c>
      <c r="E339" s="1" t="s">
        <v>7341</v>
      </c>
      <c r="F339" s="1" t="s">
        <v>78</v>
      </c>
      <c r="G339" s="4"/>
      <c r="H339" s="3">
        <v>44197.0</v>
      </c>
      <c r="I339" s="1" t="s">
        <v>6946</v>
      </c>
      <c r="J339" s="1" t="s">
        <v>5900</v>
      </c>
    </row>
    <row r="340">
      <c r="A340" s="1" t="s">
        <v>7346</v>
      </c>
      <c r="B340" s="1" t="s">
        <v>7347</v>
      </c>
      <c r="C340" s="1" t="s">
        <v>4293</v>
      </c>
      <c r="D340" s="1" t="s">
        <v>7350</v>
      </c>
      <c r="E340" s="1" t="s">
        <v>7351</v>
      </c>
      <c r="F340" s="1" t="s">
        <v>78</v>
      </c>
      <c r="G340" s="4"/>
      <c r="H340" s="3">
        <v>44363.0</v>
      </c>
      <c r="I340" s="1" t="s">
        <v>6127</v>
      </c>
      <c r="J340" s="1" t="s">
        <v>5900</v>
      </c>
    </row>
    <row r="341">
      <c r="A341" s="1" t="s">
        <v>7354</v>
      </c>
      <c r="B341" s="1" t="s">
        <v>7356</v>
      </c>
      <c r="C341" s="1" t="s">
        <v>4293</v>
      </c>
      <c r="D341" s="1" t="s">
        <v>7358</v>
      </c>
      <c r="E341" s="1" t="s">
        <v>7360</v>
      </c>
      <c r="F341" s="1" t="s">
        <v>78</v>
      </c>
      <c r="G341" s="4"/>
      <c r="H341" s="3">
        <v>46212.0</v>
      </c>
      <c r="I341" s="1" t="s">
        <v>7361</v>
      </c>
      <c r="J341" s="1" t="s">
        <v>4438</v>
      </c>
    </row>
    <row r="342">
      <c r="A342" s="1" t="s">
        <v>7363</v>
      </c>
      <c r="B342" s="1" t="s">
        <v>7366</v>
      </c>
      <c r="C342" s="1" t="s">
        <v>4293</v>
      </c>
      <c r="D342" s="1" t="s">
        <v>7368</v>
      </c>
      <c r="E342" s="1" t="s">
        <v>7371</v>
      </c>
      <c r="F342" s="1" t="s">
        <v>78</v>
      </c>
      <c r="G342" s="1"/>
      <c r="H342" s="3">
        <v>44299.0</v>
      </c>
      <c r="I342" s="1" t="s">
        <v>5922</v>
      </c>
      <c r="J342" s="1" t="s">
        <v>5900</v>
      </c>
    </row>
    <row r="343">
      <c r="A343" s="1" t="s">
        <v>7374</v>
      </c>
      <c r="B343" s="1" t="s">
        <v>7375</v>
      </c>
      <c r="C343" s="1" t="s">
        <v>4293</v>
      </c>
      <c r="D343" s="1" t="s">
        <v>7378</v>
      </c>
      <c r="E343" s="1" t="s">
        <v>7380</v>
      </c>
      <c r="F343" s="1" t="s">
        <v>78</v>
      </c>
      <c r="G343" s="4"/>
      <c r="H343" s="3">
        <v>44223.0</v>
      </c>
      <c r="I343" s="1" t="s">
        <v>5899</v>
      </c>
      <c r="J343" s="1" t="s">
        <v>5900</v>
      </c>
    </row>
    <row r="344">
      <c r="A344" s="1" t="s">
        <v>7384</v>
      </c>
      <c r="B344" s="1" t="s">
        <v>7385</v>
      </c>
      <c r="C344" s="1" t="s">
        <v>4293</v>
      </c>
      <c r="D344" s="1" t="s">
        <v>7387</v>
      </c>
      <c r="E344" s="1" t="s">
        <v>7388</v>
      </c>
      <c r="F344" s="1" t="s">
        <v>78</v>
      </c>
      <c r="G344" s="4"/>
      <c r="H344" s="3">
        <v>45161.0</v>
      </c>
      <c r="I344" s="1" t="s">
        <v>5909</v>
      </c>
      <c r="J344" s="1" t="s">
        <v>5900</v>
      </c>
    </row>
    <row r="345">
      <c r="A345" s="1" t="s">
        <v>7390</v>
      </c>
      <c r="B345" s="1" t="s">
        <v>7393</v>
      </c>
      <c r="C345" s="1" t="s">
        <v>4293</v>
      </c>
      <c r="D345" s="1" t="s">
        <v>7396</v>
      </c>
      <c r="E345" s="1" t="s">
        <v>7398</v>
      </c>
      <c r="F345" s="1" t="s">
        <v>78</v>
      </c>
      <c r="G345" s="1"/>
      <c r="H345" s="3">
        <v>45918.0</v>
      </c>
      <c r="I345" s="1" t="s">
        <v>7401</v>
      </c>
      <c r="J345" s="1" t="s">
        <v>5900</v>
      </c>
    </row>
    <row r="346">
      <c r="A346" s="1" t="s">
        <v>7402</v>
      </c>
      <c r="B346" s="1" t="s">
        <v>7403</v>
      </c>
      <c r="C346" s="1" t="s">
        <v>4293</v>
      </c>
      <c r="D346" s="1" t="s">
        <v>7404</v>
      </c>
      <c r="E346" s="1" t="s">
        <v>7406</v>
      </c>
      <c r="F346" s="1" t="s">
        <v>78</v>
      </c>
      <c r="G346" s="1"/>
      <c r="H346" s="3">
        <v>45352.0</v>
      </c>
      <c r="I346" s="1" t="s">
        <v>5899</v>
      </c>
      <c r="J346" s="1" t="s">
        <v>5900</v>
      </c>
    </row>
    <row r="347">
      <c r="A347" s="1" t="s">
        <v>7409</v>
      </c>
      <c r="B347" s="1" t="s">
        <v>7410</v>
      </c>
      <c r="C347" s="1" t="s">
        <v>4293</v>
      </c>
      <c r="D347" s="1" t="s">
        <v>7412</v>
      </c>
      <c r="E347" s="1" t="s">
        <v>7415</v>
      </c>
      <c r="F347" s="1" t="s">
        <v>78</v>
      </c>
      <c r="G347" s="1"/>
      <c r="H347" s="3">
        <v>44326.0</v>
      </c>
      <c r="I347" s="1" t="s">
        <v>6109</v>
      </c>
      <c r="J347" s="1" t="s">
        <v>5900</v>
      </c>
    </row>
    <row r="348">
      <c r="A348" s="1" t="s">
        <v>7422</v>
      </c>
      <c r="B348" s="1" t="s">
        <v>6682</v>
      </c>
      <c r="C348" s="1" t="s">
        <v>4293</v>
      </c>
      <c r="D348" s="1" t="s">
        <v>7424</v>
      </c>
      <c r="E348" s="1" t="s">
        <v>7425</v>
      </c>
      <c r="F348" s="1" t="s">
        <v>78</v>
      </c>
      <c r="G348" s="1"/>
      <c r="H348" s="3">
        <v>45883.0</v>
      </c>
      <c r="I348" s="1" t="s">
        <v>7426</v>
      </c>
      <c r="J348" s="1" t="s">
        <v>5900</v>
      </c>
    </row>
    <row r="349">
      <c r="A349" s="1" t="s">
        <v>7427</v>
      </c>
      <c r="B349" s="1" t="s">
        <v>7429</v>
      </c>
      <c r="C349" s="1" t="s">
        <v>4293</v>
      </c>
      <c r="D349" s="1" t="s">
        <v>7432</v>
      </c>
      <c r="E349" s="1" t="s">
        <v>7433</v>
      </c>
      <c r="F349" s="1" t="s">
        <v>78</v>
      </c>
      <c r="G349" s="1"/>
      <c r="H349" s="3">
        <v>43928.0</v>
      </c>
      <c r="I349" s="1" t="s">
        <v>6992</v>
      </c>
      <c r="J349" s="1" t="s">
        <v>5900</v>
      </c>
    </row>
    <row r="350">
      <c r="A350" s="1" t="s">
        <v>7436</v>
      </c>
      <c r="B350" s="1" t="s">
        <v>7437</v>
      </c>
      <c r="C350" s="1" t="s">
        <v>4293</v>
      </c>
      <c r="D350" s="1" t="s">
        <v>7440</v>
      </c>
      <c r="E350" s="1" t="s">
        <v>7442</v>
      </c>
      <c r="F350" s="1" t="s">
        <v>78</v>
      </c>
      <c r="G350" s="4"/>
      <c r="H350" s="3">
        <v>44501.0</v>
      </c>
      <c r="I350" s="1" t="s">
        <v>5999</v>
      </c>
      <c r="J350" s="1" t="s">
        <v>5900</v>
      </c>
    </row>
    <row r="351">
      <c r="A351" s="1" t="s">
        <v>7445</v>
      </c>
      <c r="B351" s="1" t="s">
        <v>7447</v>
      </c>
      <c r="C351" s="1" t="s">
        <v>4293</v>
      </c>
      <c r="D351" s="1" t="s">
        <v>7450</v>
      </c>
      <c r="E351" s="1" t="s">
        <v>7451</v>
      </c>
      <c r="F351" s="1" t="s">
        <v>78</v>
      </c>
      <c r="G351" s="1"/>
      <c r="H351" s="3">
        <v>45931.0</v>
      </c>
      <c r="I351" s="1" t="s">
        <v>5899</v>
      </c>
      <c r="J351" s="1" t="s">
        <v>5900</v>
      </c>
    </row>
    <row r="352">
      <c r="A352" s="1" t="s">
        <v>7456</v>
      </c>
      <c r="B352" s="1" t="s">
        <v>7459</v>
      </c>
      <c r="C352" s="1" t="s">
        <v>4293</v>
      </c>
      <c r="D352" s="1" t="s">
        <v>7461</v>
      </c>
      <c r="E352" s="1" t="s">
        <v>7462</v>
      </c>
      <c r="F352" s="1" t="s">
        <v>78</v>
      </c>
      <c r="G352" s="4"/>
      <c r="H352" s="3">
        <v>45671.0</v>
      </c>
      <c r="I352" s="1" t="s">
        <v>5999</v>
      </c>
      <c r="J352" s="1" t="s">
        <v>5900</v>
      </c>
    </row>
    <row r="353">
      <c r="A353" s="1" t="s">
        <v>7464</v>
      </c>
      <c r="B353" s="1" t="s">
        <v>7465</v>
      </c>
      <c r="C353" s="1" t="s">
        <v>4293</v>
      </c>
      <c r="D353" s="1" t="s">
        <v>7467</v>
      </c>
      <c r="E353" s="1" t="s">
        <v>7468</v>
      </c>
      <c r="F353" s="1" t="s">
        <v>78</v>
      </c>
      <c r="G353" s="4"/>
      <c r="H353" s="3">
        <v>45007.0</v>
      </c>
      <c r="I353" s="1" t="s">
        <v>5899</v>
      </c>
      <c r="J353" s="1" t="s">
        <v>5900</v>
      </c>
    </row>
    <row r="354">
      <c r="A354" s="1" t="s">
        <v>7472</v>
      </c>
      <c r="B354" s="1" t="s">
        <v>7473</v>
      </c>
      <c r="C354" s="1" t="s">
        <v>4293</v>
      </c>
      <c r="D354" s="1" t="s">
        <v>7475</v>
      </c>
      <c r="E354" s="1" t="s">
        <v>7477</v>
      </c>
      <c r="F354" s="1" t="s">
        <v>78</v>
      </c>
      <c r="G354" s="4"/>
      <c r="H354" s="3">
        <v>43343.0</v>
      </c>
      <c r="I354" s="1" t="s">
        <v>5909</v>
      </c>
      <c r="J354" s="1" t="s">
        <v>5900</v>
      </c>
    </row>
    <row r="355">
      <c r="A355" s="1" t="s">
        <v>7479</v>
      </c>
      <c r="B355" s="1" t="s">
        <v>7481</v>
      </c>
      <c r="C355" s="1" t="s">
        <v>4293</v>
      </c>
      <c r="D355" s="1" t="s">
        <v>7482</v>
      </c>
      <c r="E355" s="1" t="s">
        <v>7484</v>
      </c>
      <c r="F355" s="1" t="s">
        <v>78</v>
      </c>
      <c r="G355" s="4"/>
      <c r="H355" s="3">
        <v>44372.0</v>
      </c>
      <c r="I355" s="1" t="s">
        <v>5899</v>
      </c>
      <c r="J355" s="1" t="s">
        <v>5900</v>
      </c>
    </row>
    <row r="356">
      <c r="A356" s="1" t="s">
        <v>7490</v>
      </c>
      <c r="B356" s="1" t="s">
        <v>6054</v>
      </c>
      <c r="C356" s="1" t="s">
        <v>4293</v>
      </c>
      <c r="D356" s="1" t="s">
        <v>7493</v>
      </c>
      <c r="E356" s="1" t="s">
        <v>7495</v>
      </c>
      <c r="F356" s="1" t="s">
        <v>78</v>
      </c>
      <c r="G356" s="4"/>
      <c r="H356" s="3">
        <v>45148.0</v>
      </c>
      <c r="I356" s="1" t="s">
        <v>5899</v>
      </c>
      <c r="J356" s="1" t="s">
        <v>5900</v>
      </c>
    </row>
    <row r="357">
      <c r="A357" s="1" t="s">
        <v>7498</v>
      </c>
      <c r="B357" s="1" t="s">
        <v>7500</v>
      </c>
      <c r="C357" s="1" t="s">
        <v>4293</v>
      </c>
      <c r="D357" s="1" t="s">
        <v>7502</v>
      </c>
      <c r="E357" s="1" t="s">
        <v>7504</v>
      </c>
      <c r="F357" s="1" t="s">
        <v>78</v>
      </c>
      <c r="G357" s="1"/>
      <c r="H357" s="3">
        <v>44383.0</v>
      </c>
      <c r="I357" s="1" t="s">
        <v>7506</v>
      </c>
      <c r="J357" s="1" t="s">
        <v>5900</v>
      </c>
    </row>
    <row r="358">
      <c r="A358" s="1" t="s">
        <v>7508</v>
      </c>
      <c r="B358" s="1" t="s">
        <v>7509</v>
      </c>
      <c r="C358" s="1" t="s">
        <v>4293</v>
      </c>
      <c r="D358" s="1" t="s">
        <v>7510</v>
      </c>
      <c r="E358" s="1" t="s">
        <v>7513</v>
      </c>
      <c r="F358" s="1" t="s">
        <v>78</v>
      </c>
      <c r="G358" s="1"/>
      <c r="H358" s="3">
        <v>44440.0</v>
      </c>
      <c r="I358" s="1" t="s">
        <v>7517</v>
      </c>
      <c r="J358" s="1" t="s">
        <v>5900</v>
      </c>
    </row>
    <row r="359">
      <c r="A359" s="1" t="s">
        <v>7519</v>
      </c>
      <c r="B359" s="1" t="s">
        <v>7521</v>
      </c>
      <c r="C359" s="1" t="s">
        <v>4293</v>
      </c>
      <c r="D359" s="1" t="s">
        <v>7522</v>
      </c>
      <c r="E359" s="1" t="s">
        <v>7523</v>
      </c>
      <c r="F359" s="1" t="s">
        <v>78</v>
      </c>
      <c r="G359" s="4"/>
      <c r="H359" s="3">
        <v>45791.0</v>
      </c>
      <c r="I359" s="1" t="s">
        <v>5899</v>
      </c>
      <c r="J359" s="1" t="s">
        <v>5900</v>
      </c>
    </row>
    <row r="360">
      <c r="A360" s="1" t="s">
        <v>7526</v>
      </c>
      <c r="B360" s="1" t="s">
        <v>7179</v>
      </c>
      <c r="C360" s="1" t="s">
        <v>4293</v>
      </c>
      <c r="D360" s="1" t="s">
        <v>7527</v>
      </c>
      <c r="E360" s="1" t="s">
        <v>7529</v>
      </c>
      <c r="F360" s="1" t="s">
        <v>78</v>
      </c>
      <c r="G360" s="4"/>
      <c r="H360" s="3">
        <v>45453.0</v>
      </c>
      <c r="I360" s="1" t="s">
        <v>7533</v>
      </c>
      <c r="J360" s="1" t="s">
        <v>5900</v>
      </c>
    </row>
    <row r="361">
      <c r="A361" s="1" t="s">
        <v>7536</v>
      </c>
      <c r="B361" s="1" t="s">
        <v>7538</v>
      </c>
      <c r="C361" s="1" t="s">
        <v>4293</v>
      </c>
      <c r="D361" s="1" t="s">
        <v>7540</v>
      </c>
      <c r="E361" s="1" t="s">
        <v>7542</v>
      </c>
      <c r="F361" s="1" t="s">
        <v>78</v>
      </c>
      <c r="G361" s="4"/>
      <c r="H361" s="3">
        <v>44763.0</v>
      </c>
      <c r="I361" s="1" t="s">
        <v>5936</v>
      </c>
      <c r="J361" s="1" t="s">
        <v>5900</v>
      </c>
    </row>
    <row r="362">
      <c r="A362" s="1" t="s">
        <v>7545</v>
      </c>
      <c r="B362" s="1" t="s">
        <v>7547</v>
      </c>
      <c r="C362" s="1" t="s">
        <v>4293</v>
      </c>
      <c r="D362" s="1" t="s">
        <v>7550</v>
      </c>
      <c r="E362" s="1" t="s">
        <v>7553</v>
      </c>
      <c r="F362" s="1" t="s">
        <v>78</v>
      </c>
      <c r="G362" s="4"/>
      <c r="H362" s="3">
        <v>42851.0</v>
      </c>
      <c r="I362" s="1" t="s">
        <v>7060</v>
      </c>
      <c r="J362" s="1" t="s">
        <v>5900</v>
      </c>
    </row>
    <row r="363">
      <c r="A363" s="1" t="s">
        <v>7557</v>
      </c>
      <c r="B363" s="1" t="s">
        <v>7559</v>
      </c>
      <c r="C363" s="1" t="s">
        <v>4293</v>
      </c>
      <c r="D363" s="1" t="s">
        <v>7561</v>
      </c>
      <c r="E363" s="1" t="s">
        <v>7562</v>
      </c>
      <c r="F363" s="1" t="s">
        <v>78</v>
      </c>
      <c r="G363" s="4"/>
      <c r="H363" s="3">
        <v>44886.0</v>
      </c>
      <c r="I363" s="1" t="s">
        <v>7565</v>
      </c>
      <c r="J363" s="1" t="s">
        <v>5900</v>
      </c>
    </row>
    <row r="364">
      <c r="A364" s="1" t="s">
        <v>7567</v>
      </c>
      <c r="B364" s="1" t="s">
        <v>7568</v>
      </c>
      <c r="C364" s="1" t="s">
        <v>4293</v>
      </c>
      <c r="D364" s="1" t="s">
        <v>7569</v>
      </c>
      <c r="E364" s="1" t="s">
        <v>7571</v>
      </c>
      <c r="F364" s="1" t="s">
        <v>78</v>
      </c>
      <c r="G364" s="4"/>
      <c r="H364" s="3">
        <v>45945.0</v>
      </c>
      <c r="I364" s="1" t="s">
        <v>6049</v>
      </c>
      <c r="J364" s="1" t="s">
        <v>5900</v>
      </c>
    </row>
    <row r="365">
      <c r="A365" s="1" t="s">
        <v>7573</v>
      </c>
      <c r="B365" s="1" t="s">
        <v>7575</v>
      </c>
      <c r="C365" s="1" t="s">
        <v>4293</v>
      </c>
      <c r="D365" s="1" t="s">
        <v>7576</v>
      </c>
      <c r="E365" s="1" t="s">
        <v>7577</v>
      </c>
      <c r="F365" s="1" t="s">
        <v>78</v>
      </c>
      <c r="G365" s="4"/>
      <c r="H365" s="3">
        <v>45415.0</v>
      </c>
      <c r="I365" s="1" t="s">
        <v>6181</v>
      </c>
      <c r="J365" s="1" t="s">
        <v>5900</v>
      </c>
    </row>
    <row r="366">
      <c r="A366" s="1" t="s">
        <v>7578</v>
      </c>
      <c r="B366" s="1" t="s">
        <v>7579</v>
      </c>
      <c r="C366" s="1" t="s">
        <v>4293</v>
      </c>
      <c r="D366" s="1" t="s">
        <v>7580</v>
      </c>
      <c r="E366" s="1" t="s">
        <v>7582</v>
      </c>
      <c r="F366" s="1" t="s">
        <v>78</v>
      </c>
      <c r="G366" s="4"/>
      <c r="H366" s="3">
        <v>45414.0</v>
      </c>
      <c r="I366" s="1" t="s">
        <v>5899</v>
      </c>
      <c r="J366" s="1" t="s">
        <v>5900</v>
      </c>
    </row>
    <row r="367">
      <c r="A367" s="1" t="s">
        <v>7585</v>
      </c>
      <c r="B367" s="1" t="s">
        <v>7587</v>
      </c>
      <c r="C367" s="1" t="s">
        <v>4293</v>
      </c>
      <c r="D367" s="1" t="s">
        <v>7589</v>
      </c>
      <c r="E367" s="1" t="s">
        <v>7590</v>
      </c>
      <c r="F367" s="1" t="s">
        <v>78</v>
      </c>
      <c r="G367" s="4"/>
      <c r="H367" s="3">
        <v>44341.0</v>
      </c>
      <c r="I367" s="1" t="s">
        <v>7593</v>
      </c>
      <c r="J367" s="1" t="s">
        <v>5900</v>
      </c>
    </row>
    <row r="368">
      <c r="A368" s="1" t="s">
        <v>7596</v>
      </c>
      <c r="B368" s="1" t="s">
        <v>7597</v>
      </c>
      <c r="C368" s="1" t="s">
        <v>4293</v>
      </c>
      <c r="D368" s="1" t="s">
        <v>7598</v>
      </c>
      <c r="E368" s="1" t="s">
        <v>7601</v>
      </c>
      <c r="F368" s="1" t="s">
        <v>78</v>
      </c>
      <c r="G368" s="4"/>
      <c r="H368" s="3">
        <v>44365.0</v>
      </c>
      <c r="I368" s="1" t="s">
        <v>6872</v>
      </c>
      <c r="J368" s="1" t="s">
        <v>5900</v>
      </c>
    </row>
    <row r="369">
      <c r="A369" s="1" t="s">
        <v>7607</v>
      </c>
      <c r="B369" s="1" t="s">
        <v>7608</v>
      </c>
      <c r="C369" s="1" t="s">
        <v>4293</v>
      </c>
      <c r="D369" s="1" t="s">
        <v>7610</v>
      </c>
      <c r="E369" s="1" t="s">
        <v>7612</v>
      </c>
      <c r="F369" s="1" t="s">
        <v>78</v>
      </c>
      <c r="G369" s="4"/>
      <c r="H369" s="3">
        <v>44963.0</v>
      </c>
      <c r="I369" s="1" t="s">
        <v>5899</v>
      </c>
      <c r="J369" s="1" t="s">
        <v>5900</v>
      </c>
    </row>
    <row r="370">
      <c r="A370" s="1" t="s">
        <v>7613</v>
      </c>
      <c r="B370" s="1" t="s">
        <v>7615</v>
      </c>
      <c r="C370" s="1" t="s">
        <v>4293</v>
      </c>
      <c r="D370" s="1" t="s">
        <v>7616</v>
      </c>
      <c r="E370" s="1" t="s">
        <v>7618</v>
      </c>
      <c r="F370" s="1" t="s">
        <v>78</v>
      </c>
      <c r="G370" s="4"/>
      <c r="H370" s="3">
        <v>45016.0</v>
      </c>
      <c r="I370" s="1" t="s">
        <v>7621</v>
      </c>
      <c r="J370" s="1" t="s">
        <v>5900</v>
      </c>
    </row>
    <row r="371">
      <c r="A371" s="1" t="s">
        <v>7623</v>
      </c>
      <c r="B371" s="1" t="s">
        <v>7625</v>
      </c>
      <c r="C371" s="1" t="s">
        <v>4293</v>
      </c>
      <c r="D371" s="1" t="s">
        <v>7627</v>
      </c>
      <c r="E371" s="1" t="s">
        <v>7629</v>
      </c>
      <c r="F371" s="1" t="s">
        <v>78</v>
      </c>
      <c r="G371" s="4"/>
      <c r="H371" s="3">
        <v>43504.0</v>
      </c>
      <c r="I371" s="1" t="s">
        <v>7631</v>
      </c>
      <c r="J371" s="1" t="s">
        <v>5900</v>
      </c>
    </row>
    <row r="372">
      <c r="A372" s="1" t="s">
        <v>7633</v>
      </c>
      <c r="B372" s="1" t="s">
        <v>7635</v>
      </c>
      <c r="C372" s="1" t="s">
        <v>4293</v>
      </c>
      <c r="D372" s="1" t="s">
        <v>7637</v>
      </c>
      <c r="E372" s="1" t="s">
        <v>7639</v>
      </c>
      <c r="F372" s="1" t="s">
        <v>78</v>
      </c>
      <c r="G372" s="4"/>
      <c r="H372" s="3">
        <v>44812.0</v>
      </c>
      <c r="I372" s="1" t="s">
        <v>5899</v>
      </c>
      <c r="J372" s="1" t="s">
        <v>5900</v>
      </c>
    </row>
    <row r="373">
      <c r="A373" s="1" t="s">
        <v>7643</v>
      </c>
      <c r="B373" s="1" t="s">
        <v>7645</v>
      </c>
      <c r="C373" s="1" t="s">
        <v>4293</v>
      </c>
      <c r="D373" s="1" t="s">
        <v>7647</v>
      </c>
      <c r="E373" s="1" t="s">
        <v>7648</v>
      </c>
      <c r="F373" s="1" t="s">
        <v>78</v>
      </c>
      <c r="G373" s="4"/>
      <c r="H373" s="3">
        <v>43748.0</v>
      </c>
      <c r="I373" s="1" t="s">
        <v>5999</v>
      </c>
      <c r="J373" s="1" t="s">
        <v>5900</v>
      </c>
    </row>
    <row r="374">
      <c r="A374" s="1" t="s">
        <v>7652</v>
      </c>
      <c r="B374" s="1" t="s">
        <v>7653</v>
      </c>
      <c r="C374" s="1" t="s">
        <v>4293</v>
      </c>
      <c r="D374" s="1" t="s">
        <v>7655</v>
      </c>
      <c r="E374" s="1" t="s">
        <v>7656</v>
      </c>
      <c r="F374" s="1" t="s">
        <v>78</v>
      </c>
      <c r="G374" s="4"/>
      <c r="H374" s="3">
        <v>45383.0</v>
      </c>
      <c r="I374" s="1" t="s">
        <v>7659</v>
      </c>
      <c r="J374" s="1" t="s">
        <v>5900</v>
      </c>
    </row>
    <row r="375">
      <c r="A375" s="1" t="s">
        <v>7663</v>
      </c>
      <c r="B375" s="1" t="s">
        <v>4447</v>
      </c>
      <c r="C375" s="1" t="s">
        <v>4293</v>
      </c>
      <c r="D375" s="1" t="s">
        <v>7666</v>
      </c>
      <c r="E375" s="1" t="s">
        <v>7668</v>
      </c>
      <c r="F375" s="1" t="s">
        <v>78</v>
      </c>
      <c r="G375" s="4"/>
      <c r="H375" s="3">
        <v>44253.0</v>
      </c>
      <c r="I375" s="1" t="s">
        <v>6057</v>
      </c>
      <c r="J375" s="1" t="s">
        <v>5900</v>
      </c>
    </row>
    <row r="376">
      <c r="A376" s="1" t="s">
        <v>7671</v>
      </c>
      <c r="B376" s="1" t="s">
        <v>7672</v>
      </c>
      <c r="C376" s="1" t="s">
        <v>4293</v>
      </c>
      <c r="D376" s="1" t="s">
        <v>7673</v>
      </c>
      <c r="E376" s="1" t="s">
        <v>7675</v>
      </c>
      <c r="F376" s="1" t="s">
        <v>78</v>
      </c>
      <c r="G376" s="4"/>
      <c r="H376" s="3">
        <v>45503.0</v>
      </c>
      <c r="I376" s="1" t="s">
        <v>6740</v>
      </c>
      <c r="J376" s="1" t="s">
        <v>5900</v>
      </c>
    </row>
    <row r="377">
      <c r="A377" s="1" t="s">
        <v>7685</v>
      </c>
      <c r="B377" s="1" t="s">
        <v>7687</v>
      </c>
      <c r="C377" s="1" t="s">
        <v>4293</v>
      </c>
      <c r="D377" s="1" t="s">
        <v>7690</v>
      </c>
      <c r="E377" s="1" t="s">
        <v>7691</v>
      </c>
      <c r="F377" s="1" t="s">
        <v>78</v>
      </c>
      <c r="G377" s="4"/>
      <c r="H377" s="3">
        <v>44378.0</v>
      </c>
      <c r="I377" s="1" t="s">
        <v>7694</v>
      </c>
      <c r="J377" s="1" t="s">
        <v>5900</v>
      </c>
    </row>
    <row r="378">
      <c r="A378" s="1" t="s">
        <v>7696</v>
      </c>
      <c r="B378" s="1" t="s">
        <v>7698</v>
      </c>
      <c r="C378" s="1" t="s">
        <v>4293</v>
      </c>
      <c r="D378" s="1" t="s">
        <v>7700</v>
      </c>
      <c r="E378" s="1" t="s">
        <v>7701</v>
      </c>
      <c r="F378" s="1" t="s">
        <v>78</v>
      </c>
      <c r="G378" s="4"/>
      <c r="H378" s="3">
        <v>44630.0</v>
      </c>
      <c r="I378" s="1" t="s">
        <v>5999</v>
      </c>
      <c r="J378" s="1" t="s">
        <v>5900</v>
      </c>
    </row>
    <row r="379">
      <c r="A379" s="1" t="s">
        <v>7706</v>
      </c>
      <c r="B379" s="1" t="s">
        <v>7710</v>
      </c>
      <c r="C379" s="1" t="s">
        <v>4293</v>
      </c>
      <c r="D379" s="1" t="s">
        <v>7712</v>
      </c>
      <c r="E379" s="1" t="s">
        <v>7714</v>
      </c>
      <c r="F379" s="1" t="s">
        <v>78</v>
      </c>
      <c r="G379" s="4"/>
      <c r="H379" s="3">
        <v>45743.0</v>
      </c>
      <c r="I379" s="1" t="s">
        <v>6057</v>
      </c>
      <c r="J379" s="1" t="s">
        <v>5900</v>
      </c>
    </row>
    <row r="380">
      <c r="A380" s="1" t="s">
        <v>7716</v>
      </c>
      <c r="B380" s="1" t="s">
        <v>5631</v>
      </c>
      <c r="C380" s="1" t="s">
        <v>4293</v>
      </c>
      <c r="D380" s="1" t="s">
        <v>7717</v>
      </c>
      <c r="E380" s="1" t="s">
        <v>7719</v>
      </c>
      <c r="F380" s="1" t="s">
        <v>78</v>
      </c>
      <c r="G380" s="4"/>
      <c r="H380" s="3">
        <v>45568.0</v>
      </c>
      <c r="I380" s="1" t="s">
        <v>5999</v>
      </c>
      <c r="J380" s="1" t="s">
        <v>5900</v>
      </c>
    </row>
    <row r="381">
      <c r="A381" s="1" t="s">
        <v>7723</v>
      </c>
      <c r="B381" s="1" t="s">
        <v>7725</v>
      </c>
      <c r="C381" s="1" t="s">
        <v>4293</v>
      </c>
      <c r="D381" s="1" t="s">
        <v>7728</v>
      </c>
      <c r="E381" s="1" t="s">
        <v>7730</v>
      </c>
      <c r="F381" s="1" t="s">
        <v>78</v>
      </c>
      <c r="G381" s="4"/>
      <c r="H381" s="3">
        <v>45202.0</v>
      </c>
      <c r="I381" s="1" t="s">
        <v>5899</v>
      </c>
      <c r="J381" s="1" t="s">
        <v>5900</v>
      </c>
    </row>
    <row r="382">
      <c r="A382" s="1" t="s">
        <v>7732</v>
      </c>
      <c r="B382" s="1" t="s">
        <v>4378</v>
      </c>
      <c r="C382" s="1" t="s">
        <v>4293</v>
      </c>
      <c r="D382" s="1" t="s">
        <v>7734</v>
      </c>
      <c r="E382" s="1" t="s">
        <v>7735</v>
      </c>
      <c r="F382" s="1" t="s">
        <v>78</v>
      </c>
      <c r="G382" s="4"/>
      <c r="H382" s="3">
        <v>45005.0</v>
      </c>
      <c r="I382" s="1" t="s">
        <v>5999</v>
      </c>
      <c r="J382" s="1" t="s">
        <v>5900</v>
      </c>
    </row>
    <row r="383">
      <c r="A383" s="1" t="s">
        <v>7740</v>
      </c>
      <c r="B383" s="1" t="s">
        <v>7742</v>
      </c>
      <c r="C383" s="1" t="s">
        <v>4293</v>
      </c>
      <c r="D383" s="1" t="s">
        <v>7744</v>
      </c>
      <c r="E383" s="1" t="s">
        <v>7746</v>
      </c>
      <c r="F383" s="1" t="s">
        <v>78</v>
      </c>
      <c r="G383" s="13"/>
      <c r="H383" s="3">
        <v>45826.0</v>
      </c>
      <c r="I383" s="1" t="s">
        <v>5899</v>
      </c>
      <c r="J383" s="1" t="s">
        <v>5900</v>
      </c>
    </row>
    <row r="384">
      <c r="A384" s="1" t="s">
        <v>7750</v>
      </c>
      <c r="B384" s="1" t="s">
        <v>7751</v>
      </c>
      <c r="C384" s="1" t="s">
        <v>4293</v>
      </c>
      <c r="D384" s="1" t="s">
        <v>7753</v>
      </c>
      <c r="E384" s="1" t="s">
        <v>7755</v>
      </c>
      <c r="F384" s="1" t="s">
        <v>78</v>
      </c>
      <c r="G384" s="4"/>
      <c r="H384" s="3">
        <v>45567.0</v>
      </c>
      <c r="I384" s="1" t="s">
        <v>5899</v>
      </c>
      <c r="J384" s="1" t="s">
        <v>5900</v>
      </c>
    </row>
    <row r="385">
      <c r="A385" s="1" t="s">
        <v>7759</v>
      </c>
      <c r="B385" s="1" t="s">
        <v>7760</v>
      </c>
      <c r="C385" s="1" t="s">
        <v>4293</v>
      </c>
      <c r="D385" s="1" t="s">
        <v>7763</v>
      </c>
      <c r="E385" s="1" t="s">
        <v>7764</v>
      </c>
      <c r="F385" s="1" t="s">
        <v>78</v>
      </c>
      <c r="G385" s="1"/>
      <c r="H385" s="3">
        <v>45385.0</v>
      </c>
      <c r="I385" s="1" t="s">
        <v>6181</v>
      </c>
      <c r="J385" s="1" t="s">
        <v>5900</v>
      </c>
    </row>
    <row r="386">
      <c r="A386" s="1" t="s">
        <v>7771</v>
      </c>
      <c r="B386" s="1" t="s">
        <v>7773</v>
      </c>
      <c r="C386" s="1" t="s">
        <v>4293</v>
      </c>
      <c r="D386" s="1" t="s">
        <v>7776</v>
      </c>
      <c r="E386" s="1" t="s">
        <v>7778</v>
      </c>
      <c r="F386" s="1" t="s">
        <v>78</v>
      </c>
      <c r="G386" s="4"/>
      <c r="H386" s="3">
        <v>43706.0</v>
      </c>
      <c r="I386" s="1" t="s">
        <v>5899</v>
      </c>
      <c r="J386" s="1" t="s">
        <v>5900</v>
      </c>
    </row>
    <row r="387">
      <c r="A387" s="1" t="s">
        <v>7780</v>
      </c>
      <c r="B387" s="1" t="s">
        <v>4475</v>
      </c>
      <c r="C387" s="1" t="s">
        <v>4293</v>
      </c>
      <c r="D387" s="1" t="s">
        <v>7781</v>
      </c>
      <c r="E387" s="1" t="s">
        <v>7784</v>
      </c>
      <c r="F387" s="1" t="s">
        <v>78</v>
      </c>
      <c r="G387" s="4"/>
      <c r="H387" s="3">
        <v>43978.0</v>
      </c>
      <c r="I387" s="1" t="s">
        <v>5999</v>
      </c>
      <c r="J387" s="1" t="s">
        <v>5900</v>
      </c>
    </row>
    <row r="388">
      <c r="A388" s="1" t="s">
        <v>7790</v>
      </c>
      <c r="B388" s="1" t="s">
        <v>7791</v>
      </c>
      <c r="C388" s="1" t="s">
        <v>4293</v>
      </c>
      <c r="D388" s="1" t="s">
        <v>7793</v>
      </c>
      <c r="E388" s="1" t="s">
        <v>7794</v>
      </c>
      <c r="F388" s="1" t="s">
        <v>78</v>
      </c>
      <c r="G388" s="1"/>
      <c r="H388" s="3">
        <v>45965.0</v>
      </c>
      <c r="I388" s="1" t="s">
        <v>5899</v>
      </c>
      <c r="J388" s="1" t="s">
        <v>5900</v>
      </c>
    </row>
    <row r="389">
      <c r="A389" s="1" t="s">
        <v>7800</v>
      </c>
      <c r="B389" s="1" t="s">
        <v>7801</v>
      </c>
      <c r="C389" s="1" t="s">
        <v>4293</v>
      </c>
      <c r="D389" s="1" t="s">
        <v>7804</v>
      </c>
      <c r="E389" s="1" t="s">
        <v>7805</v>
      </c>
      <c r="F389" s="1" t="s">
        <v>78</v>
      </c>
      <c r="G389" s="1"/>
      <c r="H389" s="3">
        <v>45629.0</v>
      </c>
      <c r="I389" s="1" t="s">
        <v>7621</v>
      </c>
      <c r="J389" s="1" t="s">
        <v>5900</v>
      </c>
    </row>
    <row r="390">
      <c r="A390" s="1" t="s">
        <v>7809</v>
      </c>
      <c r="B390" s="1" t="s">
        <v>7811</v>
      </c>
      <c r="C390" s="1" t="s">
        <v>4293</v>
      </c>
      <c r="D390" s="1" t="s">
        <v>7813</v>
      </c>
      <c r="E390" s="1" t="s">
        <v>7814</v>
      </c>
      <c r="F390" s="1" t="s">
        <v>78</v>
      </c>
      <c r="G390" s="1"/>
      <c r="H390" s="3">
        <v>44538.0</v>
      </c>
      <c r="I390" s="1" t="s">
        <v>5999</v>
      </c>
      <c r="J390" s="1" t="s">
        <v>5900</v>
      </c>
    </row>
    <row r="391">
      <c r="A391" s="1" t="s">
        <v>7821</v>
      </c>
      <c r="B391" s="1" t="s">
        <v>7823</v>
      </c>
      <c r="C391" s="1" t="s">
        <v>4293</v>
      </c>
      <c r="D391" s="1" t="s">
        <v>7825</v>
      </c>
      <c r="E391" s="1" t="s">
        <v>7827</v>
      </c>
      <c r="F391" s="1" t="s">
        <v>78</v>
      </c>
      <c r="G391" s="1"/>
      <c r="H391" s="3">
        <v>45572.0</v>
      </c>
      <c r="I391" s="1" t="s">
        <v>5999</v>
      </c>
      <c r="J391" s="1" t="s">
        <v>5900</v>
      </c>
    </row>
    <row r="392">
      <c r="A392" s="1" t="s">
        <v>7830</v>
      </c>
      <c r="B392" s="1" t="s">
        <v>7832</v>
      </c>
      <c r="C392" s="1" t="s">
        <v>4293</v>
      </c>
      <c r="D392" s="1" t="s">
        <v>7837</v>
      </c>
      <c r="E392" s="1" t="s">
        <v>7838</v>
      </c>
      <c r="F392" s="1" t="s">
        <v>78</v>
      </c>
      <c r="G392" s="1"/>
      <c r="H392" s="3">
        <v>43970.0</v>
      </c>
      <c r="I392" s="1" t="s">
        <v>7841</v>
      </c>
      <c r="J392" s="1" t="s">
        <v>5900</v>
      </c>
    </row>
    <row r="393">
      <c r="A393" s="1" t="s">
        <v>7844</v>
      </c>
      <c r="B393" s="1" t="s">
        <v>7845</v>
      </c>
      <c r="C393" s="1" t="s">
        <v>4293</v>
      </c>
      <c r="D393" s="1" t="s">
        <v>7847</v>
      </c>
      <c r="E393" s="1" t="s">
        <v>7848</v>
      </c>
      <c r="F393" s="1" t="s">
        <v>78</v>
      </c>
      <c r="G393" s="4"/>
      <c r="H393" s="3">
        <v>44606.0</v>
      </c>
      <c r="I393" s="1" t="s">
        <v>6012</v>
      </c>
      <c r="J393" s="1" t="s">
        <v>5900</v>
      </c>
    </row>
    <row r="394">
      <c r="A394" s="1" t="s">
        <v>7852</v>
      </c>
      <c r="B394" s="1" t="s">
        <v>7854</v>
      </c>
      <c r="C394" s="1" t="s">
        <v>4293</v>
      </c>
      <c r="D394" s="1" t="s">
        <v>7855</v>
      </c>
      <c r="E394" s="1" t="s">
        <v>7856</v>
      </c>
      <c r="F394" s="1" t="s">
        <v>78</v>
      </c>
      <c r="G394" s="1"/>
      <c r="H394" s="3">
        <v>44075.0</v>
      </c>
      <c r="I394" s="1" t="s">
        <v>5899</v>
      </c>
      <c r="J394" s="1" t="s">
        <v>5900</v>
      </c>
    </row>
    <row r="395">
      <c r="A395" s="1" t="s">
        <v>7857</v>
      </c>
      <c r="B395" s="1" t="s">
        <v>7858</v>
      </c>
      <c r="C395" s="1" t="s">
        <v>4293</v>
      </c>
      <c r="D395" s="1" t="s">
        <v>7859</v>
      </c>
      <c r="E395" s="1" t="s">
        <v>7861</v>
      </c>
      <c r="F395" s="1" t="s">
        <v>78</v>
      </c>
      <c r="G395" s="4"/>
      <c r="H395" s="3">
        <v>43425.0</v>
      </c>
      <c r="I395" s="1" t="s">
        <v>7864</v>
      </c>
      <c r="J395" s="1" t="s">
        <v>5900</v>
      </c>
    </row>
    <row r="396">
      <c r="A396" s="1" t="s">
        <v>7867</v>
      </c>
      <c r="B396" s="1" t="s">
        <v>7868</v>
      </c>
      <c r="C396" s="1" t="s">
        <v>4293</v>
      </c>
      <c r="D396" s="1" t="s">
        <v>7869</v>
      </c>
      <c r="E396" s="1" t="s">
        <v>7871</v>
      </c>
      <c r="F396" s="1" t="s">
        <v>78</v>
      </c>
      <c r="G396" s="4"/>
      <c r="H396" s="3">
        <v>45903.0</v>
      </c>
      <c r="I396" s="1" t="s">
        <v>5936</v>
      </c>
      <c r="J396" s="1" t="s">
        <v>5900</v>
      </c>
    </row>
    <row r="397">
      <c r="A397" s="1" t="s">
        <v>7874</v>
      </c>
      <c r="B397" s="1" t="s">
        <v>5467</v>
      </c>
      <c r="C397" s="1" t="s">
        <v>4293</v>
      </c>
      <c r="D397" s="1" t="s">
        <v>7876</v>
      </c>
      <c r="E397" s="1" t="s">
        <v>7878</v>
      </c>
      <c r="F397" s="1" t="s">
        <v>78</v>
      </c>
      <c r="G397" s="4"/>
      <c r="H397" s="3">
        <v>44797.0</v>
      </c>
      <c r="I397" s="1" t="s">
        <v>6645</v>
      </c>
      <c r="J397" s="1" t="s">
        <v>5900</v>
      </c>
    </row>
    <row r="398">
      <c r="A398" s="1" t="s">
        <v>7884</v>
      </c>
      <c r="B398" s="1" t="s">
        <v>7886</v>
      </c>
      <c r="C398" s="1" t="s">
        <v>4293</v>
      </c>
      <c r="D398" s="1" t="s">
        <v>7888</v>
      </c>
      <c r="E398" s="1" t="s">
        <v>7889</v>
      </c>
      <c r="F398" s="1" t="s">
        <v>78</v>
      </c>
      <c r="G398" s="4"/>
      <c r="H398" s="3">
        <v>45362.0</v>
      </c>
      <c r="I398" s="1" t="s">
        <v>6690</v>
      </c>
      <c r="J398" s="1" t="s">
        <v>5900</v>
      </c>
    </row>
    <row r="399">
      <c r="A399" s="1" t="s">
        <v>7892</v>
      </c>
      <c r="B399" s="1" t="s">
        <v>7894</v>
      </c>
      <c r="C399" s="1" t="s">
        <v>4293</v>
      </c>
      <c r="D399" s="1" t="s">
        <v>7895</v>
      </c>
      <c r="E399" s="1" t="s">
        <v>7896</v>
      </c>
      <c r="F399" s="1" t="s">
        <v>78</v>
      </c>
      <c r="G399" s="4"/>
      <c r="H399" s="3">
        <v>44280.0</v>
      </c>
      <c r="I399" s="1" t="s">
        <v>6540</v>
      </c>
      <c r="J399" s="1" t="s">
        <v>5900</v>
      </c>
    </row>
    <row r="400">
      <c r="A400" s="1" t="s">
        <v>7902</v>
      </c>
      <c r="B400" s="1" t="s">
        <v>7903</v>
      </c>
      <c r="C400" s="1" t="s">
        <v>4293</v>
      </c>
      <c r="D400" s="1" t="s">
        <v>7905</v>
      </c>
      <c r="E400" s="1" t="s">
        <v>7907</v>
      </c>
      <c r="F400" s="1" t="s">
        <v>78</v>
      </c>
      <c r="G400" s="1"/>
      <c r="H400" s="3">
        <v>45169.0</v>
      </c>
      <c r="I400" s="1" t="s">
        <v>5964</v>
      </c>
      <c r="J400" s="1" t="s">
        <v>5900</v>
      </c>
    </row>
    <row r="401">
      <c r="A401" s="1" t="s">
        <v>7911</v>
      </c>
      <c r="B401" s="1" t="s">
        <v>5795</v>
      </c>
      <c r="C401" s="1" t="s">
        <v>4293</v>
      </c>
      <c r="D401" s="1" t="s">
        <v>7913</v>
      </c>
      <c r="E401" s="1" t="s">
        <v>7916</v>
      </c>
      <c r="F401" s="1" t="s">
        <v>78</v>
      </c>
      <c r="G401" s="1"/>
      <c r="H401" s="3">
        <v>44166.0</v>
      </c>
      <c r="I401" s="1" t="s">
        <v>7060</v>
      </c>
      <c r="J401" s="1" t="s">
        <v>5900</v>
      </c>
    </row>
    <row r="402">
      <c r="A402" s="1" t="s">
        <v>7921</v>
      </c>
      <c r="B402" s="1" t="s">
        <v>7922</v>
      </c>
      <c r="C402" s="1" t="s">
        <v>4293</v>
      </c>
      <c r="D402" s="1" t="s">
        <v>7924</v>
      </c>
      <c r="E402" s="1" t="s">
        <v>7926</v>
      </c>
      <c r="F402" s="1" t="s">
        <v>78</v>
      </c>
      <c r="G402" s="4"/>
      <c r="H402" s="3">
        <v>43143.0</v>
      </c>
      <c r="I402" s="1" t="s">
        <v>6657</v>
      </c>
      <c r="J402" s="1" t="s">
        <v>5900</v>
      </c>
    </row>
    <row r="403">
      <c r="A403" s="1" t="s">
        <v>7929</v>
      </c>
      <c r="B403" s="1" t="s">
        <v>5655</v>
      </c>
      <c r="C403" s="1" t="s">
        <v>4293</v>
      </c>
      <c r="D403" s="1" t="s">
        <v>7931</v>
      </c>
      <c r="E403" s="1" t="s">
        <v>7933</v>
      </c>
      <c r="F403" s="1" t="s">
        <v>78</v>
      </c>
      <c r="G403" s="4"/>
      <c r="H403" s="3">
        <v>44312.0</v>
      </c>
      <c r="I403" s="1" t="s">
        <v>5999</v>
      </c>
      <c r="J403" s="1" t="s">
        <v>5900</v>
      </c>
    </row>
    <row r="404">
      <c r="A404" s="1" t="s">
        <v>7939</v>
      </c>
      <c r="B404" s="1" t="s">
        <v>7879</v>
      </c>
      <c r="C404" s="1" t="s">
        <v>4293</v>
      </c>
      <c r="D404" s="1" t="s">
        <v>7943</v>
      </c>
      <c r="E404" s="1" t="s">
        <v>7945</v>
      </c>
      <c r="F404" s="1" t="s">
        <v>78</v>
      </c>
      <c r="G404" s="4"/>
      <c r="H404" s="3">
        <v>44266.0</v>
      </c>
      <c r="I404" s="1" t="s">
        <v>5899</v>
      </c>
      <c r="J404" s="1" t="s">
        <v>5900</v>
      </c>
    </row>
    <row r="405">
      <c r="A405" s="1" t="s">
        <v>7950</v>
      </c>
      <c r="B405" s="1" t="s">
        <v>7951</v>
      </c>
      <c r="C405" s="1" t="s">
        <v>4293</v>
      </c>
      <c r="D405" s="1" t="s">
        <v>7955</v>
      </c>
      <c r="E405" s="1" t="s">
        <v>7956</v>
      </c>
      <c r="F405" s="1" t="s">
        <v>78</v>
      </c>
      <c r="G405" s="4"/>
      <c r="H405" s="3">
        <v>45748.0</v>
      </c>
      <c r="I405" s="1" t="s">
        <v>7841</v>
      </c>
      <c r="J405" s="1" t="s">
        <v>5900</v>
      </c>
    </row>
    <row r="406">
      <c r="A406" s="1" t="s">
        <v>7960</v>
      </c>
      <c r="B406" s="1" t="s">
        <v>7961</v>
      </c>
      <c r="C406" s="1" t="s">
        <v>4293</v>
      </c>
      <c r="D406" s="1" t="s">
        <v>7963</v>
      </c>
      <c r="E406" s="1" t="s">
        <v>7964</v>
      </c>
      <c r="F406" s="1" t="s">
        <v>78</v>
      </c>
      <c r="G406" s="4"/>
      <c r="H406" s="3">
        <v>46078.0</v>
      </c>
      <c r="I406" s="1" t="s">
        <v>6946</v>
      </c>
      <c r="J406" s="1" t="s">
        <v>5900</v>
      </c>
    </row>
    <row r="407">
      <c r="A407" s="1" t="s">
        <v>7969</v>
      </c>
      <c r="B407" s="1" t="s">
        <v>7970</v>
      </c>
      <c r="C407" s="1" t="s">
        <v>4293</v>
      </c>
      <c r="D407" s="1" t="s">
        <v>7972</v>
      </c>
      <c r="E407" s="1" t="s">
        <v>7973</v>
      </c>
      <c r="F407" s="1" t="s">
        <v>78</v>
      </c>
      <c r="G407" s="4"/>
      <c r="H407" s="3">
        <v>45889.0</v>
      </c>
      <c r="I407" s="1" t="s">
        <v>7977</v>
      </c>
      <c r="J407" s="1" t="s">
        <v>5900</v>
      </c>
    </row>
    <row r="408">
      <c r="A408" s="1" t="s">
        <v>7979</v>
      </c>
      <c r="B408" s="1" t="s">
        <v>7980</v>
      </c>
      <c r="C408" s="1" t="s">
        <v>4293</v>
      </c>
      <c r="D408" s="1" t="s">
        <v>7982</v>
      </c>
      <c r="E408" s="1" t="s">
        <v>7984</v>
      </c>
      <c r="F408" s="1" t="s">
        <v>78</v>
      </c>
      <c r="G408" s="4"/>
      <c r="H408" s="3">
        <v>46045.0</v>
      </c>
      <c r="I408" s="1" t="s">
        <v>7986</v>
      </c>
      <c r="J408" s="1" t="s">
        <v>5900</v>
      </c>
    </row>
    <row r="409">
      <c r="A409" s="1" t="s">
        <v>7990</v>
      </c>
      <c r="B409" s="1" t="s">
        <v>7992</v>
      </c>
      <c r="C409" s="1" t="s">
        <v>4293</v>
      </c>
      <c r="D409" s="1" t="s">
        <v>7994</v>
      </c>
      <c r="E409" s="1" t="s">
        <v>7995</v>
      </c>
      <c r="F409" s="1" t="s">
        <v>78</v>
      </c>
      <c r="G409" s="4"/>
      <c r="H409" s="3">
        <v>45502.0</v>
      </c>
      <c r="I409" s="1" t="s">
        <v>7997</v>
      </c>
      <c r="J409" s="1" t="s">
        <v>5900</v>
      </c>
    </row>
    <row r="410">
      <c r="A410" s="1" t="s">
        <v>7999</v>
      </c>
      <c r="B410" s="1" t="s">
        <v>8000</v>
      </c>
      <c r="C410" s="1" t="s">
        <v>4293</v>
      </c>
      <c r="D410" s="1" t="s">
        <v>8003</v>
      </c>
      <c r="E410" s="1" t="s">
        <v>8004</v>
      </c>
      <c r="F410" s="1" t="s">
        <v>78</v>
      </c>
      <c r="G410" s="4"/>
      <c r="H410" s="3">
        <v>45502.0</v>
      </c>
      <c r="I410" s="1" t="s">
        <v>8006</v>
      </c>
      <c r="J410" s="1" t="s">
        <v>5900</v>
      </c>
    </row>
    <row r="411">
      <c r="A411" s="1" t="s">
        <v>8010</v>
      </c>
      <c r="B411" s="1" t="s">
        <v>8011</v>
      </c>
      <c r="C411" s="1" t="s">
        <v>4293</v>
      </c>
      <c r="D411" s="1" t="s">
        <v>8014</v>
      </c>
      <c r="E411" s="1" t="s">
        <v>8016</v>
      </c>
      <c r="F411" s="1" t="s">
        <v>78</v>
      </c>
      <c r="G411" s="4"/>
      <c r="H411" s="3">
        <v>43951.0</v>
      </c>
      <c r="I411" s="1" t="s">
        <v>5999</v>
      </c>
      <c r="J411" s="1" t="s">
        <v>5900</v>
      </c>
    </row>
    <row r="412">
      <c r="A412" s="1" t="s">
        <v>8019</v>
      </c>
      <c r="B412" s="1" t="s">
        <v>8020</v>
      </c>
      <c r="C412" s="1" t="s">
        <v>4293</v>
      </c>
      <c r="D412" s="1" t="s">
        <v>8021</v>
      </c>
      <c r="E412" s="1" t="s">
        <v>8023</v>
      </c>
      <c r="F412" s="1" t="s">
        <v>78</v>
      </c>
      <c r="G412" s="13"/>
      <c r="H412" s="3">
        <v>43451.0</v>
      </c>
      <c r="I412" s="1" t="s">
        <v>8006</v>
      </c>
      <c r="J412" s="1" t="s">
        <v>5900</v>
      </c>
    </row>
    <row r="413">
      <c r="A413" s="1" t="s">
        <v>8025</v>
      </c>
      <c r="B413" s="1" t="s">
        <v>5676</v>
      </c>
      <c r="C413" s="1" t="s">
        <v>4293</v>
      </c>
      <c r="D413" s="1" t="s">
        <v>8029</v>
      </c>
      <c r="E413" s="1" t="s">
        <v>8030</v>
      </c>
      <c r="F413" s="1" t="s">
        <v>78</v>
      </c>
      <c r="G413" s="4"/>
      <c r="H413" s="3">
        <v>44818.0</v>
      </c>
      <c r="I413" s="1" t="s">
        <v>8006</v>
      </c>
      <c r="J413" s="1" t="s">
        <v>5900</v>
      </c>
    </row>
    <row r="414">
      <c r="A414" s="1" t="s">
        <v>8032</v>
      </c>
      <c r="B414" s="1" t="s">
        <v>8033</v>
      </c>
      <c r="C414" s="1" t="s">
        <v>4293</v>
      </c>
      <c r="D414" s="1" t="s">
        <v>8035</v>
      </c>
      <c r="E414" s="1" t="s">
        <v>8037</v>
      </c>
      <c r="F414" s="1" t="s">
        <v>78</v>
      </c>
      <c r="G414" s="4"/>
      <c r="H414" s="3">
        <v>44406.0</v>
      </c>
      <c r="I414" s="1" t="s">
        <v>8006</v>
      </c>
      <c r="J414" s="1" t="s">
        <v>5900</v>
      </c>
    </row>
    <row r="415">
      <c r="A415" s="1" t="s">
        <v>8041</v>
      </c>
      <c r="B415" s="1" t="s">
        <v>8043</v>
      </c>
      <c r="C415" s="1" t="s">
        <v>4293</v>
      </c>
      <c r="D415" s="1" t="s">
        <v>8045</v>
      </c>
      <c r="E415" s="1" t="s">
        <v>8046</v>
      </c>
      <c r="F415" s="1" t="s">
        <v>78</v>
      </c>
      <c r="G415" s="4"/>
      <c r="H415" s="3">
        <v>44817.0</v>
      </c>
      <c r="I415" s="1" t="s">
        <v>6598</v>
      </c>
      <c r="J415" s="1" t="s">
        <v>5900</v>
      </c>
    </row>
    <row r="416">
      <c r="A416" s="1" t="s">
        <v>8050</v>
      </c>
      <c r="B416" s="1" t="s">
        <v>8052</v>
      </c>
      <c r="C416" s="1" t="s">
        <v>4293</v>
      </c>
      <c r="D416" s="1" t="s">
        <v>8054</v>
      </c>
      <c r="E416" s="1" t="s">
        <v>8056</v>
      </c>
      <c r="F416" s="1" t="s">
        <v>78</v>
      </c>
      <c r="G416" s="4"/>
      <c r="H416" s="3">
        <v>44865.0</v>
      </c>
      <c r="I416" s="1" t="s">
        <v>8006</v>
      </c>
      <c r="J416" s="1" t="s">
        <v>5900</v>
      </c>
    </row>
    <row r="417">
      <c r="A417" s="1" t="s">
        <v>8060</v>
      </c>
      <c r="B417" s="1" t="s">
        <v>8062</v>
      </c>
      <c r="C417" s="1" t="s">
        <v>4293</v>
      </c>
      <c r="D417" s="1" t="s">
        <v>8064</v>
      </c>
      <c r="E417" s="1" t="s">
        <v>8066</v>
      </c>
      <c r="F417" s="1" t="s">
        <v>78</v>
      </c>
      <c r="G417" s="4"/>
      <c r="H417" s="3">
        <v>44435.0</v>
      </c>
      <c r="I417" s="1" t="s">
        <v>6872</v>
      </c>
      <c r="J417" s="1" t="s">
        <v>5900</v>
      </c>
    </row>
    <row r="418">
      <c r="A418" s="1" t="s">
        <v>8070</v>
      </c>
      <c r="B418" s="1" t="s">
        <v>8071</v>
      </c>
      <c r="C418" s="1" t="s">
        <v>4293</v>
      </c>
      <c r="D418" s="1" t="s">
        <v>8072</v>
      </c>
      <c r="E418" s="1" t="s">
        <v>8074</v>
      </c>
      <c r="F418" s="1" t="s">
        <v>78</v>
      </c>
      <c r="G418" s="4"/>
      <c r="H418" s="3">
        <v>45743.0</v>
      </c>
      <c r="I418" s="1" t="s">
        <v>6199</v>
      </c>
      <c r="J418" s="1" t="s">
        <v>5900</v>
      </c>
    </row>
    <row r="419">
      <c r="A419" s="1" t="s">
        <v>8078</v>
      </c>
      <c r="B419" s="1" t="s">
        <v>6998</v>
      </c>
      <c r="C419" s="1" t="s">
        <v>4293</v>
      </c>
      <c r="D419" s="1" t="s">
        <v>8080</v>
      </c>
      <c r="E419" s="1" t="s">
        <v>8082</v>
      </c>
      <c r="F419" s="1" t="s">
        <v>78</v>
      </c>
      <c r="G419" s="4"/>
      <c r="H419" s="3">
        <v>44228.0</v>
      </c>
      <c r="I419" s="1" t="s">
        <v>5899</v>
      </c>
      <c r="J419" s="1" t="s">
        <v>5900</v>
      </c>
    </row>
    <row r="420">
      <c r="A420" s="1" t="s">
        <v>8084</v>
      </c>
      <c r="B420" s="1" t="s">
        <v>8085</v>
      </c>
      <c r="C420" s="1" t="s">
        <v>4293</v>
      </c>
      <c r="D420" s="1" t="s">
        <v>4466</v>
      </c>
      <c r="E420" s="1" t="s">
        <v>8087</v>
      </c>
      <c r="F420" s="1" t="s">
        <v>78</v>
      </c>
      <c r="G420" s="4"/>
      <c r="H420" s="3">
        <v>44335.0</v>
      </c>
      <c r="I420" s="1" t="s">
        <v>8091</v>
      </c>
      <c r="J420" s="1" t="s">
        <v>5900</v>
      </c>
    </row>
    <row r="421">
      <c r="A421" s="1" t="s">
        <v>8094</v>
      </c>
      <c r="B421" s="1" t="s">
        <v>8095</v>
      </c>
      <c r="C421" s="1" t="s">
        <v>4293</v>
      </c>
      <c r="D421" s="1" t="s">
        <v>8097</v>
      </c>
      <c r="E421" s="1" t="s">
        <v>8098</v>
      </c>
      <c r="F421" s="1" t="s">
        <v>78</v>
      </c>
      <c r="G421" s="4"/>
      <c r="H421" s="3">
        <v>45417.0</v>
      </c>
      <c r="I421" s="1" t="s">
        <v>5899</v>
      </c>
      <c r="J421" s="1" t="s">
        <v>5900</v>
      </c>
    </row>
    <row r="422">
      <c r="A422" s="1" t="s">
        <v>8100</v>
      </c>
      <c r="B422" s="1" t="s">
        <v>8101</v>
      </c>
      <c r="C422" s="1" t="s">
        <v>4293</v>
      </c>
      <c r="D422" s="1" t="s">
        <v>8103</v>
      </c>
      <c r="E422" s="1" t="s">
        <v>8105</v>
      </c>
      <c r="F422" s="1" t="s">
        <v>78</v>
      </c>
      <c r="G422" s="4"/>
      <c r="H422" s="3">
        <v>44244.0</v>
      </c>
      <c r="I422" s="1" t="s">
        <v>7313</v>
      </c>
      <c r="J422" s="1" t="s">
        <v>5900</v>
      </c>
    </row>
    <row r="423">
      <c r="A423" s="1" t="s">
        <v>8107</v>
      </c>
      <c r="B423" s="1" t="s">
        <v>8108</v>
      </c>
      <c r="C423" s="1" t="s">
        <v>4293</v>
      </c>
      <c r="D423" s="1" t="s">
        <v>8109</v>
      </c>
      <c r="E423" s="1" t="s">
        <v>8110</v>
      </c>
      <c r="F423" s="1" t="s">
        <v>78</v>
      </c>
      <c r="G423" s="4"/>
      <c r="H423" s="3">
        <v>44643.0</v>
      </c>
      <c r="I423" s="1" t="s">
        <v>8112</v>
      </c>
      <c r="J423" s="1" t="s">
        <v>5900</v>
      </c>
    </row>
    <row r="424">
      <c r="A424" s="1" t="s">
        <v>8113</v>
      </c>
      <c r="B424" s="1" t="s">
        <v>8114</v>
      </c>
      <c r="C424" s="1" t="s">
        <v>4293</v>
      </c>
      <c r="D424" s="1" t="s">
        <v>8115</v>
      </c>
      <c r="E424" s="1" t="s">
        <v>8116</v>
      </c>
      <c r="F424" s="1" t="s">
        <v>78</v>
      </c>
      <c r="G424" s="4"/>
      <c r="H424" s="3">
        <v>45596.0</v>
      </c>
      <c r="I424" s="1" t="s">
        <v>5952</v>
      </c>
      <c r="J424" s="1" t="s">
        <v>5900</v>
      </c>
    </row>
    <row r="425">
      <c r="A425" s="1" t="s">
        <v>8119</v>
      </c>
      <c r="B425" s="1" t="s">
        <v>8121</v>
      </c>
      <c r="C425" s="1" t="s">
        <v>4293</v>
      </c>
      <c r="D425" s="1" t="s">
        <v>8122</v>
      </c>
      <c r="E425" s="1" t="s">
        <v>8124</v>
      </c>
      <c r="F425" s="1" t="s">
        <v>78</v>
      </c>
      <c r="G425" s="4"/>
      <c r="H425" s="3">
        <v>44524.0</v>
      </c>
      <c r="I425" s="1" t="s">
        <v>5952</v>
      </c>
      <c r="J425" s="1" t="s">
        <v>5900</v>
      </c>
    </row>
    <row r="426">
      <c r="A426" s="1" t="s">
        <v>8126</v>
      </c>
      <c r="B426" s="1" t="s">
        <v>8127</v>
      </c>
      <c r="C426" s="1" t="s">
        <v>4293</v>
      </c>
      <c r="D426" s="1" t="s">
        <v>8129</v>
      </c>
      <c r="E426" s="1" t="s">
        <v>8131</v>
      </c>
      <c r="F426" s="1" t="s">
        <v>78</v>
      </c>
      <c r="G426" s="4"/>
      <c r="H426" s="3">
        <v>43902.0</v>
      </c>
      <c r="I426" s="1" t="s">
        <v>5952</v>
      </c>
      <c r="J426" s="1" t="s">
        <v>5900</v>
      </c>
    </row>
    <row r="427">
      <c r="A427" s="1" t="s">
        <v>8134</v>
      </c>
      <c r="B427" s="1" t="s">
        <v>4979</v>
      </c>
      <c r="C427" s="1" t="s">
        <v>4293</v>
      </c>
      <c r="D427" s="1" t="s">
        <v>8136</v>
      </c>
      <c r="E427" s="1" t="s">
        <v>8137</v>
      </c>
      <c r="F427" s="1" t="s">
        <v>78</v>
      </c>
      <c r="G427" s="4"/>
      <c r="H427" s="3">
        <v>44263.0</v>
      </c>
      <c r="I427" s="1" t="s">
        <v>5952</v>
      </c>
      <c r="J427" s="1" t="s">
        <v>5900</v>
      </c>
    </row>
    <row r="428">
      <c r="A428" s="1" t="s">
        <v>8140</v>
      </c>
      <c r="B428" s="1" t="s">
        <v>8143</v>
      </c>
      <c r="C428" s="1" t="s">
        <v>4293</v>
      </c>
      <c r="D428" s="1" t="s">
        <v>8145</v>
      </c>
      <c r="E428" s="1" t="s">
        <v>8146</v>
      </c>
      <c r="F428" s="1" t="s">
        <v>78</v>
      </c>
      <c r="G428" s="13"/>
      <c r="H428" s="3">
        <v>44097.0</v>
      </c>
      <c r="I428" s="1" t="s">
        <v>6135</v>
      </c>
      <c r="J428" s="1" t="s">
        <v>5900</v>
      </c>
    </row>
    <row r="429">
      <c r="A429" s="1" t="s">
        <v>8150</v>
      </c>
      <c r="B429" s="1" t="s">
        <v>8151</v>
      </c>
      <c r="C429" s="1" t="s">
        <v>4293</v>
      </c>
      <c r="D429" s="1" t="s">
        <v>8153</v>
      </c>
      <c r="E429" s="1" t="s">
        <v>8154</v>
      </c>
      <c r="F429" s="1" t="s">
        <v>78</v>
      </c>
      <c r="G429" s="4"/>
      <c r="H429" s="3">
        <v>44631.0</v>
      </c>
      <c r="I429" s="1" t="s">
        <v>8156</v>
      </c>
      <c r="J429" s="1" t="s">
        <v>5900</v>
      </c>
    </row>
    <row r="430">
      <c r="A430" s="1" t="s">
        <v>8159</v>
      </c>
      <c r="B430" s="1" t="s">
        <v>8162</v>
      </c>
      <c r="C430" s="1" t="s">
        <v>4293</v>
      </c>
      <c r="D430" s="1" t="s">
        <v>8164</v>
      </c>
      <c r="E430" s="1" t="s">
        <v>8165</v>
      </c>
      <c r="F430" s="1" t="s">
        <v>78</v>
      </c>
      <c r="G430" s="4"/>
      <c r="H430" s="3">
        <v>45784.0</v>
      </c>
      <c r="I430" s="1" t="s">
        <v>5999</v>
      </c>
      <c r="J430" s="1" t="s">
        <v>5900</v>
      </c>
    </row>
    <row r="431">
      <c r="A431" s="1" t="s">
        <v>8168</v>
      </c>
      <c r="B431" s="1" t="s">
        <v>6832</v>
      </c>
      <c r="C431" s="1" t="s">
        <v>4293</v>
      </c>
      <c r="D431" s="1" t="s">
        <v>8169</v>
      </c>
      <c r="E431" s="1" t="s">
        <v>8170</v>
      </c>
      <c r="F431" s="1" t="s">
        <v>78</v>
      </c>
      <c r="G431" s="4"/>
      <c r="H431" s="3">
        <v>44991.0</v>
      </c>
      <c r="I431" s="1" t="s">
        <v>6135</v>
      </c>
      <c r="J431" s="1" t="s">
        <v>5900</v>
      </c>
    </row>
    <row r="432">
      <c r="A432" s="1" t="s">
        <v>8175</v>
      </c>
      <c r="B432" s="1" t="s">
        <v>8177</v>
      </c>
      <c r="C432" s="1" t="s">
        <v>4293</v>
      </c>
      <c r="D432" s="1" t="s">
        <v>8178</v>
      </c>
      <c r="E432" s="1" t="s">
        <v>8179</v>
      </c>
      <c r="F432" s="1" t="s">
        <v>78</v>
      </c>
      <c r="G432" s="4"/>
      <c r="H432" s="3">
        <v>45536.0</v>
      </c>
      <c r="I432" s="1" t="s">
        <v>5999</v>
      </c>
      <c r="J432" s="1" t="s">
        <v>5900</v>
      </c>
    </row>
    <row r="433">
      <c r="A433" s="1" t="s">
        <v>8181</v>
      </c>
      <c r="B433" s="1" t="s">
        <v>8182</v>
      </c>
      <c r="C433" s="1" t="s">
        <v>4293</v>
      </c>
      <c r="D433" s="1" t="s">
        <v>8183</v>
      </c>
      <c r="E433" s="1" t="s">
        <v>8185</v>
      </c>
      <c r="F433" s="1" t="s">
        <v>78</v>
      </c>
      <c r="G433" s="4"/>
      <c r="H433" s="3">
        <v>44852.0</v>
      </c>
      <c r="I433" s="1" t="s">
        <v>6135</v>
      </c>
      <c r="J433" s="1" t="s">
        <v>5900</v>
      </c>
    </row>
    <row r="434">
      <c r="A434" s="1" t="s">
        <v>8187</v>
      </c>
      <c r="B434" s="1" t="s">
        <v>7680</v>
      </c>
      <c r="C434" s="1" t="s">
        <v>4293</v>
      </c>
      <c r="D434" s="1" t="s">
        <v>8191</v>
      </c>
      <c r="E434" s="1" t="s">
        <v>8193</v>
      </c>
      <c r="F434" s="1" t="s">
        <v>78</v>
      </c>
      <c r="G434" s="4"/>
      <c r="H434" s="3">
        <v>45086.0</v>
      </c>
      <c r="I434" s="1" t="s">
        <v>8196</v>
      </c>
      <c r="J434" s="1" t="s">
        <v>5900</v>
      </c>
    </row>
    <row r="435">
      <c r="A435" s="1" t="s">
        <v>8198</v>
      </c>
      <c r="B435" s="1" t="s">
        <v>8199</v>
      </c>
      <c r="C435" s="1" t="s">
        <v>4293</v>
      </c>
      <c r="D435" s="1" t="s">
        <v>8201</v>
      </c>
      <c r="E435" s="1" t="s">
        <v>8202</v>
      </c>
      <c r="F435" s="1" t="s">
        <v>78</v>
      </c>
      <c r="G435" s="4"/>
      <c r="H435" s="3">
        <v>44409.0</v>
      </c>
      <c r="I435" s="1" t="s">
        <v>8205</v>
      </c>
      <c r="J435" s="1" t="s">
        <v>5900</v>
      </c>
    </row>
    <row r="436">
      <c r="A436" s="1" t="s">
        <v>8208</v>
      </c>
      <c r="B436" s="1" t="s">
        <v>5225</v>
      </c>
      <c r="C436" s="1" t="s">
        <v>4293</v>
      </c>
      <c r="D436" s="1" t="s">
        <v>8212</v>
      </c>
      <c r="E436" s="1" t="s">
        <v>8214</v>
      </c>
      <c r="F436" s="1" t="s">
        <v>78</v>
      </c>
      <c r="G436" s="4"/>
      <c r="H436" s="3">
        <v>44106.0</v>
      </c>
      <c r="I436" s="1" t="s">
        <v>8205</v>
      </c>
      <c r="J436" s="1" t="s">
        <v>5900</v>
      </c>
    </row>
    <row r="437">
      <c r="A437" s="1" t="s">
        <v>8218</v>
      </c>
      <c r="B437" s="1" t="s">
        <v>8219</v>
      </c>
      <c r="C437" s="1" t="s">
        <v>4293</v>
      </c>
      <c r="D437" s="1" t="s">
        <v>8221</v>
      </c>
      <c r="E437" s="1" t="s">
        <v>8223</v>
      </c>
      <c r="F437" s="1" t="s">
        <v>78</v>
      </c>
      <c r="G437" s="1"/>
      <c r="H437" s="3">
        <v>45016.0</v>
      </c>
      <c r="I437" s="1" t="s">
        <v>8205</v>
      </c>
      <c r="J437" s="1" t="s">
        <v>5900</v>
      </c>
    </row>
    <row r="438">
      <c r="A438" s="1" t="s">
        <v>8227</v>
      </c>
      <c r="B438" s="1" t="s">
        <v>6884</v>
      </c>
      <c r="C438" s="1" t="s">
        <v>4293</v>
      </c>
      <c r="D438" s="1" t="s">
        <v>8232</v>
      </c>
      <c r="E438" s="1" t="s">
        <v>8234</v>
      </c>
      <c r="F438" s="1" t="s">
        <v>78</v>
      </c>
      <c r="G438" s="4"/>
      <c r="H438" s="3">
        <v>45968.0</v>
      </c>
      <c r="I438" s="1" t="s">
        <v>5899</v>
      </c>
      <c r="J438" s="1" t="s">
        <v>5900</v>
      </c>
    </row>
    <row r="439">
      <c r="A439" s="1" t="s">
        <v>8238</v>
      </c>
      <c r="B439" s="1" t="s">
        <v>8240</v>
      </c>
      <c r="C439" s="1" t="s">
        <v>4293</v>
      </c>
      <c r="D439" s="1" t="s">
        <v>8242</v>
      </c>
      <c r="E439" s="1" t="s">
        <v>8243</v>
      </c>
      <c r="F439" s="1" t="s">
        <v>78</v>
      </c>
      <c r="G439" s="4"/>
      <c r="H439" s="3">
        <v>43556.0</v>
      </c>
      <c r="I439" s="1" t="s">
        <v>8205</v>
      </c>
      <c r="J439" s="1" t="s">
        <v>5900</v>
      </c>
    </row>
    <row r="440">
      <c r="A440" s="1" t="s">
        <v>8246</v>
      </c>
      <c r="B440" s="1" t="s">
        <v>5421</v>
      </c>
      <c r="C440" s="1" t="s">
        <v>4293</v>
      </c>
      <c r="D440" s="1" t="s">
        <v>8250</v>
      </c>
      <c r="E440" s="1" t="s">
        <v>8251</v>
      </c>
      <c r="F440" s="1" t="s">
        <v>78</v>
      </c>
      <c r="G440" s="1"/>
      <c r="H440" s="3">
        <v>45397.0</v>
      </c>
      <c r="I440" s="1" t="s">
        <v>8253</v>
      </c>
      <c r="J440" s="1" t="s">
        <v>5900</v>
      </c>
    </row>
    <row r="441">
      <c r="A441" s="1" t="s">
        <v>8255</v>
      </c>
      <c r="B441" s="1" t="s">
        <v>8256</v>
      </c>
      <c r="C441" s="1" t="s">
        <v>4293</v>
      </c>
      <c r="D441" s="1" t="s">
        <v>8258</v>
      </c>
      <c r="E441" s="1" t="s">
        <v>8260</v>
      </c>
      <c r="F441" s="1" t="s">
        <v>78</v>
      </c>
      <c r="G441" s="1"/>
      <c r="H441" s="3">
        <v>44286.0</v>
      </c>
      <c r="I441" s="1" t="s">
        <v>8205</v>
      </c>
      <c r="J441" s="1" t="s">
        <v>5900</v>
      </c>
    </row>
    <row r="442">
      <c r="A442" s="1" t="s">
        <v>8261</v>
      </c>
      <c r="B442" s="1" t="s">
        <v>6984</v>
      </c>
      <c r="C442" s="1" t="s">
        <v>4293</v>
      </c>
      <c r="D442" s="1" t="s">
        <v>8264</v>
      </c>
      <c r="E442" s="1" t="s">
        <v>8265</v>
      </c>
      <c r="F442" s="1" t="s">
        <v>78</v>
      </c>
      <c r="G442" s="1"/>
      <c r="H442" s="3">
        <v>44662.0</v>
      </c>
      <c r="I442" s="1" t="s">
        <v>5999</v>
      </c>
      <c r="J442" s="1" t="s">
        <v>5900</v>
      </c>
    </row>
    <row r="443">
      <c r="A443" s="1" t="s">
        <v>8268</v>
      </c>
      <c r="B443" s="1" t="s">
        <v>8270</v>
      </c>
      <c r="C443" s="1" t="s">
        <v>4293</v>
      </c>
      <c r="D443" s="1" t="s">
        <v>8271</v>
      </c>
      <c r="E443" s="1" t="s">
        <v>8272</v>
      </c>
      <c r="F443" s="1" t="s">
        <v>78</v>
      </c>
      <c r="G443" s="1"/>
      <c r="H443" s="3">
        <v>43920.0</v>
      </c>
      <c r="I443" s="1" t="s">
        <v>8274</v>
      </c>
      <c r="J443" s="1" t="s">
        <v>5900</v>
      </c>
    </row>
    <row r="444">
      <c r="A444" s="1" t="s">
        <v>8276</v>
      </c>
      <c r="B444" s="1" t="s">
        <v>8278</v>
      </c>
      <c r="C444" s="1" t="s">
        <v>4293</v>
      </c>
      <c r="D444" s="1" t="s">
        <v>8279</v>
      </c>
      <c r="E444" s="1" t="s">
        <v>8281</v>
      </c>
      <c r="F444" s="1" t="s">
        <v>78</v>
      </c>
      <c r="G444" s="1"/>
      <c r="H444" s="3">
        <v>44721.0</v>
      </c>
      <c r="I444" s="1" t="s">
        <v>7253</v>
      </c>
      <c r="J444" s="1" t="s">
        <v>5900</v>
      </c>
    </row>
    <row r="445">
      <c r="A445" s="1" t="s">
        <v>8283</v>
      </c>
      <c r="B445" s="1" t="s">
        <v>8285</v>
      </c>
      <c r="C445" s="1" t="s">
        <v>4293</v>
      </c>
      <c r="D445" s="1" t="s">
        <v>8287</v>
      </c>
      <c r="E445" s="1" t="s">
        <v>8288</v>
      </c>
      <c r="F445" s="1" t="s">
        <v>78</v>
      </c>
      <c r="G445" s="4"/>
      <c r="H445" s="3">
        <v>43731.0</v>
      </c>
      <c r="I445" s="1" t="s">
        <v>8156</v>
      </c>
      <c r="J445" s="1" t="s">
        <v>5900</v>
      </c>
    </row>
    <row r="446">
      <c r="A446" s="1" t="s">
        <v>8293</v>
      </c>
      <c r="B446" s="1" t="s">
        <v>7011</v>
      </c>
      <c r="C446" s="1" t="s">
        <v>4293</v>
      </c>
      <c r="D446" s="1" t="s">
        <v>8295</v>
      </c>
      <c r="E446" s="1" t="s">
        <v>8297</v>
      </c>
      <c r="F446" s="1" t="s">
        <v>78</v>
      </c>
      <c r="G446" s="1"/>
      <c r="H446" s="3">
        <v>44535.0</v>
      </c>
      <c r="I446" s="1" t="s">
        <v>8156</v>
      </c>
      <c r="J446" s="1" t="s">
        <v>5900</v>
      </c>
    </row>
    <row r="447">
      <c r="A447" s="1" t="s">
        <v>8300</v>
      </c>
      <c r="B447" s="1" t="s">
        <v>8301</v>
      </c>
      <c r="C447" s="1" t="s">
        <v>4293</v>
      </c>
      <c r="D447" s="1" t="s">
        <v>8302</v>
      </c>
      <c r="E447" s="1" t="s">
        <v>8303</v>
      </c>
      <c r="F447" s="1" t="s">
        <v>78</v>
      </c>
      <c r="G447" s="4"/>
      <c r="H447" s="3">
        <v>42886.0</v>
      </c>
      <c r="I447" s="1" t="s">
        <v>7297</v>
      </c>
      <c r="J447" s="1" t="s">
        <v>5900</v>
      </c>
    </row>
    <row r="448">
      <c r="A448" s="1" t="s">
        <v>8306</v>
      </c>
      <c r="B448" s="1" t="s">
        <v>8307</v>
      </c>
      <c r="C448" s="1" t="s">
        <v>4293</v>
      </c>
      <c r="D448" s="1" t="s">
        <v>8309</v>
      </c>
      <c r="E448" s="1" t="s">
        <v>8311</v>
      </c>
      <c r="F448" s="1" t="s">
        <v>78</v>
      </c>
      <c r="G448" s="4"/>
      <c r="H448" s="3">
        <v>43777.0</v>
      </c>
      <c r="I448" s="1" t="s">
        <v>5899</v>
      </c>
      <c r="J448" s="1" t="s">
        <v>5900</v>
      </c>
    </row>
    <row r="449">
      <c r="A449" s="1" t="s">
        <v>8314</v>
      </c>
      <c r="B449" s="1" t="s">
        <v>8315</v>
      </c>
      <c r="C449" s="1" t="s">
        <v>4293</v>
      </c>
      <c r="D449" s="1" t="s">
        <v>8316</v>
      </c>
      <c r="E449" s="1" t="s">
        <v>8317</v>
      </c>
      <c r="F449" s="1" t="s">
        <v>78</v>
      </c>
      <c r="G449" s="4"/>
      <c r="H449" s="3">
        <v>45307.0</v>
      </c>
      <c r="I449" s="1" t="s">
        <v>8156</v>
      </c>
      <c r="J449" s="1" t="s">
        <v>5900</v>
      </c>
    </row>
    <row r="450">
      <c r="A450" s="1" t="s">
        <v>8321</v>
      </c>
      <c r="B450" s="1" t="s">
        <v>8322</v>
      </c>
      <c r="C450" s="1" t="s">
        <v>4293</v>
      </c>
      <c r="D450" s="1" t="s">
        <v>8323</v>
      </c>
      <c r="E450" s="1" t="s">
        <v>8325</v>
      </c>
      <c r="F450" s="1" t="s">
        <v>78</v>
      </c>
      <c r="G450" s="4"/>
      <c r="H450" s="3">
        <v>44531.0</v>
      </c>
      <c r="I450" s="1" t="s">
        <v>5899</v>
      </c>
      <c r="J450" s="1" t="s">
        <v>5900</v>
      </c>
    </row>
    <row r="451">
      <c r="A451" s="1" t="s">
        <v>8328</v>
      </c>
      <c r="B451" s="1" t="s">
        <v>8329</v>
      </c>
      <c r="C451" s="1" t="s">
        <v>4293</v>
      </c>
      <c r="D451" s="1" t="s">
        <v>8331</v>
      </c>
      <c r="E451" s="1" t="s">
        <v>8333</v>
      </c>
      <c r="F451" s="1" t="s">
        <v>78</v>
      </c>
      <c r="G451" s="4"/>
      <c r="H451" s="3">
        <v>45708.0</v>
      </c>
      <c r="I451" s="1" t="s">
        <v>6488</v>
      </c>
      <c r="J451" s="1" t="s">
        <v>5900</v>
      </c>
    </row>
    <row r="452">
      <c r="A452" s="1" t="s">
        <v>8338</v>
      </c>
      <c r="B452" s="1" t="s">
        <v>8339</v>
      </c>
      <c r="C452" s="1" t="s">
        <v>4293</v>
      </c>
      <c r="D452" s="1" t="s">
        <v>8341</v>
      </c>
      <c r="E452" s="1" t="s">
        <v>8342</v>
      </c>
      <c r="F452" s="1" t="s">
        <v>78</v>
      </c>
      <c r="G452" s="1"/>
      <c r="H452" s="3">
        <v>44796.0</v>
      </c>
      <c r="I452" s="1" t="s">
        <v>7069</v>
      </c>
      <c r="J452" s="1" t="s">
        <v>5900</v>
      </c>
    </row>
    <row r="453">
      <c r="A453" s="1" t="s">
        <v>8346</v>
      </c>
      <c r="B453" s="1" t="s">
        <v>8347</v>
      </c>
      <c r="C453" s="1" t="s">
        <v>4293</v>
      </c>
      <c r="D453" s="1" t="s">
        <v>8350</v>
      </c>
      <c r="E453" s="1" t="s">
        <v>8351</v>
      </c>
      <c r="F453" s="1" t="s">
        <v>78</v>
      </c>
      <c r="G453" s="1"/>
      <c r="H453" s="3">
        <v>45413.0</v>
      </c>
      <c r="I453" s="1" t="s">
        <v>8156</v>
      </c>
      <c r="J453" s="1" t="s">
        <v>5900</v>
      </c>
    </row>
    <row r="454">
      <c r="A454" s="1" t="s">
        <v>8352</v>
      </c>
      <c r="B454" s="1" t="s">
        <v>8353</v>
      </c>
      <c r="C454" s="1" t="s">
        <v>4293</v>
      </c>
      <c r="D454" s="1" t="s">
        <v>8354</v>
      </c>
      <c r="E454" s="1" t="s">
        <v>8355</v>
      </c>
      <c r="F454" s="1" t="s">
        <v>78</v>
      </c>
      <c r="G454" s="4"/>
      <c r="H454" s="3">
        <v>45268.0</v>
      </c>
      <c r="I454" s="1" t="s">
        <v>5899</v>
      </c>
      <c r="J454" s="1" t="s">
        <v>5900</v>
      </c>
    </row>
    <row r="455">
      <c r="A455" s="1" t="s">
        <v>8359</v>
      </c>
      <c r="B455" s="1" t="s">
        <v>8360</v>
      </c>
      <c r="C455" s="1" t="s">
        <v>4293</v>
      </c>
      <c r="D455" s="1" t="s">
        <v>8362</v>
      </c>
      <c r="E455" s="1" t="s">
        <v>8363</v>
      </c>
      <c r="F455" s="1" t="s">
        <v>78</v>
      </c>
      <c r="G455" s="4"/>
      <c r="H455" s="3">
        <v>44602.0</v>
      </c>
      <c r="I455" s="1" t="s">
        <v>6170</v>
      </c>
      <c r="J455" s="1" t="s">
        <v>5900</v>
      </c>
    </row>
    <row r="456">
      <c r="A456" s="1" t="s">
        <v>8365</v>
      </c>
      <c r="B456" s="1" t="s">
        <v>8366</v>
      </c>
      <c r="C456" s="1" t="s">
        <v>4293</v>
      </c>
      <c r="D456" s="1" t="s">
        <v>8367</v>
      </c>
      <c r="E456" s="1" t="s">
        <v>8368</v>
      </c>
      <c r="F456" s="1" t="s">
        <v>78</v>
      </c>
      <c r="G456" s="4"/>
      <c r="H456" s="3">
        <v>44111.0</v>
      </c>
      <c r="I456" s="1" t="s">
        <v>6091</v>
      </c>
      <c r="J456" s="1" t="s">
        <v>5900</v>
      </c>
    </row>
    <row r="457">
      <c r="A457" s="1" t="s">
        <v>8372</v>
      </c>
      <c r="B457" s="1" t="s">
        <v>8373</v>
      </c>
      <c r="C457" s="1" t="s">
        <v>4293</v>
      </c>
      <c r="D457" s="1" t="s">
        <v>8375</v>
      </c>
      <c r="E457" s="1" t="s">
        <v>8376</v>
      </c>
      <c r="F457" s="1" t="s">
        <v>78</v>
      </c>
      <c r="G457" s="4"/>
      <c r="H457" s="3">
        <v>45610.0</v>
      </c>
      <c r="I457" s="1" t="s">
        <v>5999</v>
      </c>
      <c r="J457" s="1" t="s">
        <v>5900</v>
      </c>
    </row>
    <row r="458">
      <c r="A458" s="1" t="s">
        <v>8380</v>
      </c>
      <c r="B458" s="1" t="s">
        <v>5931</v>
      </c>
      <c r="C458" s="1" t="s">
        <v>4293</v>
      </c>
      <c r="D458" s="1" t="s">
        <v>8385</v>
      </c>
      <c r="E458" s="1" t="s">
        <v>8386</v>
      </c>
      <c r="F458" s="1" t="s">
        <v>78</v>
      </c>
      <c r="G458" s="4"/>
      <c r="H458" s="3">
        <v>45973.0</v>
      </c>
      <c r="I458" s="1" t="s">
        <v>5999</v>
      </c>
      <c r="J458" s="1" t="s">
        <v>5900</v>
      </c>
    </row>
    <row r="459">
      <c r="A459" s="1" t="s">
        <v>8390</v>
      </c>
      <c r="B459" s="1" t="s">
        <v>8391</v>
      </c>
      <c r="C459" s="1" t="s">
        <v>4293</v>
      </c>
      <c r="D459" s="1" t="s">
        <v>8393</v>
      </c>
      <c r="E459" s="1" t="s">
        <v>8395</v>
      </c>
      <c r="F459" s="1" t="s">
        <v>78</v>
      </c>
      <c r="G459" s="4"/>
      <c r="H459" s="3">
        <v>45614.0</v>
      </c>
      <c r="I459" s="1" t="s">
        <v>6072</v>
      </c>
      <c r="J459" s="1" t="s">
        <v>5900</v>
      </c>
    </row>
    <row r="460">
      <c r="A460" s="1" t="s">
        <v>8400</v>
      </c>
      <c r="B460" s="1" t="s">
        <v>8401</v>
      </c>
      <c r="C460" s="1" t="s">
        <v>4293</v>
      </c>
      <c r="D460" s="1" t="s">
        <v>8403</v>
      </c>
      <c r="E460" s="1" t="s">
        <v>8404</v>
      </c>
      <c r="F460" s="1" t="s">
        <v>78</v>
      </c>
      <c r="G460" s="4"/>
      <c r="H460" s="3">
        <v>44257.0</v>
      </c>
      <c r="I460" s="1" t="s">
        <v>5999</v>
      </c>
      <c r="J460" s="1" t="s">
        <v>5900</v>
      </c>
    </row>
    <row r="461">
      <c r="A461" s="1" t="s">
        <v>8409</v>
      </c>
      <c r="B461" s="1" t="s">
        <v>8410</v>
      </c>
      <c r="C461" s="1" t="s">
        <v>4293</v>
      </c>
      <c r="D461" s="1" t="s">
        <v>8413</v>
      </c>
      <c r="E461" s="1" t="s">
        <v>8414</v>
      </c>
      <c r="F461" s="1" t="s">
        <v>78</v>
      </c>
      <c r="G461" s="4"/>
      <c r="H461" s="3">
        <v>45049.0</v>
      </c>
      <c r="I461" s="1" t="s">
        <v>5899</v>
      </c>
      <c r="J461" s="1" t="s">
        <v>5900</v>
      </c>
    </row>
    <row r="462">
      <c r="A462" s="1" t="s">
        <v>8418</v>
      </c>
      <c r="B462" s="1" t="s">
        <v>8420</v>
      </c>
      <c r="C462" s="1" t="s">
        <v>4293</v>
      </c>
      <c r="D462" s="1" t="s">
        <v>8422</v>
      </c>
      <c r="E462" s="1" t="s">
        <v>8423</v>
      </c>
      <c r="F462" s="1" t="s">
        <v>78</v>
      </c>
      <c r="G462" s="4"/>
      <c r="H462" s="3">
        <v>44497.0</v>
      </c>
      <c r="I462" s="1" t="s">
        <v>8425</v>
      </c>
      <c r="J462" s="1" t="s">
        <v>5900</v>
      </c>
    </row>
    <row r="463">
      <c r="A463" s="1" t="s">
        <v>8430</v>
      </c>
      <c r="B463" s="1" t="s">
        <v>8432</v>
      </c>
      <c r="C463" s="1" t="s">
        <v>4293</v>
      </c>
      <c r="D463" s="1" t="s">
        <v>8434</v>
      </c>
      <c r="E463" s="1" t="s">
        <v>8436</v>
      </c>
      <c r="F463" s="1" t="s">
        <v>78</v>
      </c>
      <c r="G463" s="4"/>
      <c r="H463" s="3">
        <v>45399.0</v>
      </c>
      <c r="I463" s="1" t="s">
        <v>5899</v>
      </c>
      <c r="J463" s="1" t="s">
        <v>5900</v>
      </c>
    </row>
    <row r="464">
      <c r="A464" s="1" t="s">
        <v>8440</v>
      </c>
      <c r="B464" s="1" t="s">
        <v>8441</v>
      </c>
      <c r="C464" s="1" t="s">
        <v>4293</v>
      </c>
      <c r="D464" s="1" t="s">
        <v>8444</v>
      </c>
      <c r="E464" s="1" t="s">
        <v>8446</v>
      </c>
      <c r="F464" s="1" t="s">
        <v>78</v>
      </c>
      <c r="G464" s="4"/>
      <c r="H464" s="3">
        <v>45686.0</v>
      </c>
      <c r="I464" s="1" t="s">
        <v>8425</v>
      </c>
      <c r="J464" s="1" t="s">
        <v>5900</v>
      </c>
    </row>
    <row r="465">
      <c r="A465" s="1" t="s">
        <v>8451</v>
      </c>
      <c r="B465" s="1" t="s">
        <v>8453</v>
      </c>
      <c r="C465" s="1" t="s">
        <v>4293</v>
      </c>
      <c r="D465" s="1" t="s">
        <v>8455</v>
      </c>
      <c r="E465" s="1" t="s">
        <v>8456</v>
      </c>
      <c r="F465" s="1" t="s">
        <v>78</v>
      </c>
      <c r="G465" s="4"/>
      <c r="H465" s="3">
        <v>45261.0</v>
      </c>
      <c r="I465" s="1" t="s">
        <v>6727</v>
      </c>
      <c r="J465" s="1" t="s">
        <v>5900</v>
      </c>
    </row>
    <row r="466">
      <c r="A466" s="1" t="s">
        <v>8458</v>
      </c>
      <c r="B466" s="1" t="s">
        <v>8459</v>
      </c>
      <c r="C466" s="1" t="s">
        <v>4293</v>
      </c>
      <c r="D466" s="1" t="s">
        <v>8460</v>
      </c>
      <c r="E466" s="1" t="s">
        <v>8462</v>
      </c>
      <c r="F466" s="1" t="s">
        <v>78</v>
      </c>
      <c r="G466" s="4"/>
      <c r="H466" s="3">
        <v>43200.0</v>
      </c>
      <c r="I466" s="1" t="s">
        <v>5899</v>
      </c>
      <c r="J466" s="1" t="s">
        <v>5900</v>
      </c>
    </row>
    <row r="467">
      <c r="A467" s="1" t="s">
        <v>8465</v>
      </c>
      <c r="B467" s="1" t="s">
        <v>8466</v>
      </c>
      <c r="C467" s="1" t="s">
        <v>4293</v>
      </c>
      <c r="D467" s="1" t="s">
        <v>8468</v>
      </c>
      <c r="E467" s="1" t="s">
        <v>8469</v>
      </c>
      <c r="F467" s="1" t="s">
        <v>78</v>
      </c>
      <c r="G467" s="4"/>
      <c r="H467" s="3">
        <v>45320.0</v>
      </c>
      <c r="I467" s="1" t="s">
        <v>5899</v>
      </c>
      <c r="J467" s="1" t="s">
        <v>5900</v>
      </c>
    </row>
    <row r="468">
      <c r="A468" s="1" t="s">
        <v>8475</v>
      </c>
      <c r="B468" s="1" t="s">
        <v>4940</v>
      </c>
      <c r="C468" s="1" t="s">
        <v>4293</v>
      </c>
      <c r="D468" s="1" t="s">
        <v>8478</v>
      </c>
      <c r="E468" s="1" t="s">
        <v>8479</v>
      </c>
      <c r="F468" s="1" t="s">
        <v>78</v>
      </c>
      <c r="G468" s="4"/>
      <c r="H468" s="3">
        <v>45959.0</v>
      </c>
      <c r="I468" s="1" t="s">
        <v>5899</v>
      </c>
      <c r="J468" s="1" t="s">
        <v>5900</v>
      </c>
    </row>
    <row r="469">
      <c r="A469" s="1" t="s">
        <v>8483</v>
      </c>
      <c r="B469" s="1" t="s">
        <v>8485</v>
      </c>
      <c r="C469" s="1" t="s">
        <v>4293</v>
      </c>
      <c r="D469" s="1" t="s">
        <v>8486</v>
      </c>
      <c r="E469" s="1" t="s">
        <v>8488</v>
      </c>
      <c r="F469" s="1" t="s">
        <v>78</v>
      </c>
      <c r="G469" s="4"/>
      <c r="H469" s="3">
        <v>44893.0</v>
      </c>
      <c r="I469" s="1" t="s">
        <v>5979</v>
      </c>
      <c r="J469" s="1" t="s">
        <v>5900</v>
      </c>
    </row>
    <row r="470">
      <c r="A470" s="1" t="s">
        <v>8491</v>
      </c>
      <c r="B470" s="1" t="s">
        <v>8493</v>
      </c>
      <c r="C470" s="1" t="s">
        <v>4293</v>
      </c>
      <c r="D470" s="1" t="s">
        <v>8495</v>
      </c>
      <c r="E470" s="1" t="s">
        <v>8497</v>
      </c>
      <c r="F470" s="1" t="s">
        <v>78</v>
      </c>
      <c r="G470" s="4"/>
      <c r="H470" s="3">
        <v>44561.0</v>
      </c>
      <c r="I470" s="1" t="s">
        <v>6012</v>
      </c>
      <c r="J470" s="1" t="s">
        <v>5900</v>
      </c>
    </row>
    <row r="471">
      <c r="A471" s="1" t="s">
        <v>8501</v>
      </c>
      <c r="B471" s="1" t="s">
        <v>8503</v>
      </c>
      <c r="C471" s="1" t="s">
        <v>4293</v>
      </c>
      <c r="D471" s="1" t="s">
        <v>8505</v>
      </c>
      <c r="E471" s="1" t="s">
        <v>8507</v>
      </c>
      <c r="F471" s="1" t="s">
        <v>78</v>
      </c>
      <c r="G471" s="4"/>
      <c r="H471" s="3">
        <v>46042.0</v>
      </c>
      <c r="I471" s="1" t="s">
        <v>5899</v>
      </c>
      <c r="J471" s="1" t="s">
        <v>5900</v>
      </c>
    </row>
    <row r="472">
      <c r="A472" s="1" t="s">
        <v>8510</v>
      </c>
      <c r="B472" s="1" t="s">
        <v>8513</v>
      </c>
      <c r="C472" s="1" t="s">
        <v>4293</v>
      </c>
      <c r="D472" s="1" t="s">
        <v>8257</v>
      </c>
      <c r="E472" s="1" t="s">
        <v>8514</v>
      </c>
      <c r="F472" s="1" t="s">
        <v>78</v>
      </c>
      <c r="G472" s="4"/>
      <c r="H472" s="3">
        <v>44719.0</v>
      </c>
      <c r="I472" s="1" t="s">
        <v>5999</v>
      </c>
      <c r="J472" s="1" t="s">
        <v>5900</v>
      </c>
    </row>
    <row r="473">
      <c r="A473" s="1" t="s">
        <v>8518</v>
      </c>
      <c r="B473" s="1" t="s">
        <v>7418</v>
      </c>
      <c r="C473" s="1" t="s">
        <v>4293</v>
      </c>
      <c r="D473" s="1" t="s">
        <v>8520</v>
      </c>
      <c r="E473" s="1" t="s">
        <v>8522</v>
      </c>
      <c r="F473" s="1" t="s">
        <v>78</v>
      </c>
      <c r="G473" s="4"/>
      <c r="H473" s="3">
        <v>45916.0</v>
      </c>
      <c r="I473" s="1" t="s">
        <v>8524</v>
      </c>
      <c r="J473" s="1" t="s">
        <v>5900</v>
      </c>
    </row>
    <row r="474">
      <c r="A474" s="1" t="s">
        <v>8525</v>
      </c>
      <c r="B474" s="1" t="s">
        <v>8527</v>
      </c>
      <c r="C474" s="1" t="s">
        <v>4293</v>
      </c>
      <c r="D474" s="1" t="s">
        <v>8528</v>
      </c>
      <c r="E474" s="1" t="s">
        <v>8530</v>
      </c>
      <c r="F474" s="1" t="s">
        <v>78</v>
      </c>
      <c r="G474" s="4"/>
      <c r="H474" s="3">
        <v>44833.0</v>
      </c>
      <c r="I474" s="1" t="s">
        <v>5999</v>
      </c>
      <c r="J474" s="1" t="s">
        <v>5900</v>
      </c>
    </row>
    <row r="475">
      <c r="A475" s="1" t="s">
        <v>8533</v>
      </c>
      <c r="B475" s="1" t="s">
        <v>8534</v>
      </c>
      <c r="C475" s="1" t="s">
        <v>4293</v>
      </c>
      <c r="D475" s="1" t="s">
        <v>8536</v>
      </c>
      <c r="E475" s="1" t="s">
        <v>8537</v>
      </c>
      <c r="F475" s="1" t="s">
        <v>78</v>
      </c>
      <c r="G475" s="4"/>
      <c r="H475" s="3">
        <v>44978.0</v>
      </c>
      <c r="I475" s="1" t="s">
        <v>5999</v>
      </c>
      <c r="J475" s="1" t="s">
        <v>5900</v>
      </c>
    </row>
    <row r="476">
      <c r="A476" s="1" t="s">
        <v>8540</v>
      </c>
      <c r="B476" s="1" t="s">
        <v>8541</v>
      </c>
      <c r="C476" s="1" t="s">
        <v>4293</v>
      </c>
      <c r="D476" s="1" t="s">
        <v>8543</v>
      </c>
      <c r="E476" s="1" t="s">
        <v>8544</v>
      </c>
      <c r="F476" s="1" t="s">
        <v>78</v>
      </c>
      <c r="G476" s="4"/>
      <c r="H476" s="3">
        <v>44858.0</v>
      </c>
      <c r="I476" s="1" t="s">
        <v>6242</v>
      </c>
      <c r="J476" s="1" t="s">
        <v>5900</v>
      </c>
    </row>
    <row r="477">
      <c r="A477" s="1" t="s">
        <v>8550</v>
      </c>
      <c r="B477" s="1" t="s">
        <v>8552</v>
      </c>
      <c r="C477" s="1" t="s">
        <v>4293</v>
      </c>
      <c r="D477" s="1" t="s">
        <v>8553</v>
      </c>
      <c r="E477" s="1" t="s">
        <v>8554</v>
      </c>
      <c r="F477" s="1" t="s">
        <v>78</v>
      </c>
      <c r="G477" s="4"/>
      <c r="H477" s="3">
        <v>44294.0</v>
      </c>
      <c r="I477" s="1" t="s">
        <v>7694</v>
      </c>
      <c r="J477" s="1" t="s">
        <v>5900</v>
      </c>
    </row>
    <row r="478">
      <c r="A478" s="1" t="s">
        <v>8558</v>
      </c>
      <c r="B478" s="1" t="s">
        <v>7089</v>
      </c>
      <c r="C478" s="1" t="s">
        <v>4293</v>
      </c>
      <c r="D478" s="1" t="s">
        <v>8560</v>
      </c>
      <c r="E478" s="1" t="s">
        <v>8561</v>
      </c>
      <c r="F478" s="1" t="s">
        <v>78</v>
      </c>
      <c r="G478" s="4"/>
      <c r="H478" s="3">
        <v>45627.0</v>
      </c>
      <c r="I478" s="1" t="s">
        <v>5899</v>
      </c>
      <c r="J478" s="1" t="s">
        <v>5900</v>
      </c>
    </row>
    <row r="479">
      <c r="A479" s="1" t="s">
        <v>8563</v>
      </c>
      <c r="B479" s="1" t="s">
        <v>8564</v>
      </c>
      <c r="C479" s="1" t="s">
        <v>4293</v>
      </c>
      <c r="D479" s="1" t="s">
        <v>8566</v>
      </c>
      <c r="E479" s="1" t="s">
        <v>8567</v>
      </c>
      <c r="F479" s="1" t="s">
        <v>78</v>
      </c>
      <c r="G479" s="4"/>
      <c r="H479" s="3">
        <v>45148.0</v>
      </c>
      <c r="I479" s="1" t="s">
        <v>5899</v>
      </c>
      <c r="J479" s="1" t="s">
        <v>5900</v>
      </c>
    </row>
    <row r="480">
      <c r="A480" s="1" t="s">
        <v>8571</v>
      </c>
      <c r="B480" s="1" t="s">
        <v>8572</v>
      </c>
      <c r="C480" s="1" t="s">
        <v>4293</v>
      </c>
      <c r="D480" s="1" t="s">
        <v>8575</v>
      </c>
      <c r="E480" s="1" t="s">
        <v>8576</v>
      </c>
      <c r="F480" s="1" t="s">
        <v>78</v>
      </c>
      <c r="G480" s="4"/>
      <c r="H480" s="3">
        <v>43210.0</v>
      </c>
      <c r="I480" s="1" t="s">
        <v>6740</v>
      </c>
      <c r="J480" s="1" t="s">
        <v>5900</v>
      </c>
    </row>
    <row r="481">
      <c r="A481" s="1" t="s">
        <v>8579</v>
      </c>
      <c r="B481" s="1" t="s">
        <v>8581</v>
      </c>
      <c r="C481" s="1" t="s">
        <v>4293</v>
      </c>
      <c r="D481" s="1" t="s">
        <v>8583</v>
      </c>
      <c r="E481" s="1" t="s">
        <v>8585</v>
      </c>
      <c r="F481" s="1" t="s">
        <v>78</v>
      </c>
      <c r="G481" s="4"/>
      <c r="H481" s="3">
        <v>43525.0</v>
      </c>
      <c r="I481" s="1" t="s">
        <v>6645</v>
      </c>
      <c r="J481" s="1" t="s">
        <v>5900</v>
      </c>
    </row>
    <row r="482">
      <c r="A482" s="1" t="s">
        <v>8587</v>
      </c>
      <c r="B482" s="1" t="s">
        <v>4712</v>
      </c>
      <c r="C482" s="1" t="s">
        <v>4293</v>
      </c>
      <c r="D482" s="1" t="s">
        <v>8588</v>
      </c>
      <c r="E482" s="1" t="s">
        <v>8590</v>
      </c>
      <c r="F482" s="1" t="s">
        <v>78</v>
      </c>
      <c r="G482" s="4"/>
      <c r="H482" s="3">
        <v>45853.0</v>
      </c>
      <c r="I482" s="1" t="s">
        <v>6645</v>
      </c>
      <c r="J482" s="1" t="s">
        <v>5900</v>
      </c>
    </row>
    <row r="483">
      <c r="A483" s="1" t="s">
        <v>8593</v>
      </c>
      <c r="B483" s="1" t="s">
        <v>8596</v>
      </c>
      <c r="C483" s="1" t="s">
        <v>4293</v>
      </c>
      <c r="D483" s="1" t="s">
        <v>8598</v>
      </c>
      <c r="E483" s="1" t="s">
        <v>8600</v>
      </c>
      <c r="F483" s="1" t="s">
        <v>78</v>
      </c>
      <c r="G483" s="4"/>
      <c r="H483" s="3">
        <v>44756.0</v>
      </c>
      <c r="I483" s="1" t="s">
        <v>5999</v>
      </c>
      <c r="J483" s="1" t="s">
        <v>5900</v>
      </c>
    </row>
    <row r="484">
      <c r="A484" s="1" t="s">
        <v>8602</v>
      </c>
      <c r="B484" s="1" t="s">
        <v>8606</v>
      </c>
      <c r="C484" s="1" t="s">
        <v>4293</v>
      </c>
      <c r="D484" s="1" t="s">
        <v>8608</v>
      </c>
      <c r="E484" s="1" t="s">
        <v>8609</v>
      </c>
      <c r="F484" s="1" t="s">
        <v>78</v>
      </c>
      <c r="G484" s="4"/>
      <c r="H484" s="3">
        <v>43440.0</v>
      </c>
      <c r="I484" s="1" t="s">
        <v>5899</v>
      </c>
      <c r="J484" s="1" t="s">
        <v>5900</v>
      </c>
    </row>
    <row r="485">
      <c r="A485" s="1" t="s">
        <v>8613</v>
      </c>
      <c r="B485" s="1" t="s">
        <v>8615</v>
      </c>
      <c r="C485" s="1" t="s">
        <v>4293</v>
      </c>
      <c r="D485" s="1" t="s">
        <v>8174</v>
      </c>
      <c r="E485" s="1" t="s">
        <v>8618</v>
      </c>
      <c r="F485" s="1" t="s">
        <v>78</v>
      </c>
      <c r="G485" s="4"/>
      <c r="H485" s="3">
        <v>44083.0</v>
      </c>
      <c r="I485" s="1" t="s">
        <v>7621</v>
      </c>
      <c r="J485" s="1" t="s">
        <v>5900</v>
      </c>
    </row>
    <row r="486">
      <c r="A486" s="1" t="s">
        <v>8621</v>
      </c>
      <c r="B486" s="1" t="s">
        <v>8622</v>
      </c>
      <c r="C486" s="1" t="s">
        <v>4293</v>
      </c>
      <c r="D486" s="1" t="s">
        <v>8624</v>
      </c>
      <c r="E486" s="1" t="s">
        <v>8625</v>
      </c>
      <c r="F486" s="1" t="s">
        <v>78</v>
      </c>
      <c r="G486" s="4"/>
      <c r="H486" s="3">
        <v>45392.0</v>
      </c>
      <c r="I486" s="1" t="s">
        <v>8627</v>
      </c>
      <c r="J486" s="1" t="s">
        <v>5900</v>
      </c>
    </row>
    <row r="487">
      <c r="A487" s="1" t="s">
        <v>8628</v>
      </c>
      <c r="B487" s="1" t="s">
        <v>8629</v>
      </c>
      <c r="C487" s="1" t="s">
        <v>4293</v>
      </c>
      <c r="D487" s="1" t="s">
        <v>8631</v>
      </c>
      <c r="E487" s="1" t="s">
        <v>8632</v>
      </c>
      <c r="F487" s="1" t="s">
        <v>78</v>
      </c>
      <c r="G487" s="1"/>
      <c r="H487" s="3">
        <v>45643.0</v>
      </c>
      <c r="I487" s="1" t="s">
        <v>5999</v>
      </c>
      <c r="J487" s="1" t="s">
        <v>5900</v>
      </c>
    </row>
    <row r="488">
      <c r="A488" s="1" t="s">
        <v>8635</v>
      </c>
      <c r="B488" s="1" t="s">
        <v>8637</v>
      </c>
      <c r="C488" s="1" t="s">
        <v>4293</v>
      </c>
      <c r="D488" s="1" t="s">
        <v>8639</v>
      </c>
      <c r="E488" s="1" t="s">
        <v>8640</v>
      </c>
      <c r="F488" s="1" t="s">
        <v>78</v>
      </c>
      <c r="G488" s="4"/>
      <c r="H488" s="3">
        <v>45702.0</v>
      </c>
      <c r="I488" s="1" t="s">
        <v>5899</v>
      </c>
      <c r="J488" s="1" t="s">
        <v>5900</v>
      </c>
    </row>
    <row r="489">
      <c r="A489" s="1" t="s">
        <v>8643</v>
      </c>
      <c r="B489" s="1" t="s">
        <v>8645</v>
      </c>
      <c r="C489" s="1" t="s">
        <v>4293</v>
      </c>
      <c r="D489" s="1" t="s">
        <v>8647</v>
      </c>
      <c r="E489" s="1" t="s">
        <v>8648</v>
      </c>
      <c r="F489" s="1" t="s">
        <v>78</v>
      </c>
      <c r="G489" s="4"/>
      <c r="H489" s="3">
        <v>44435.0</v>
      </c>
      <c r="I489" s="1" t="s">
        <v>8627</v>
      </c>
      <c r="J489" s="1" t="s">
        <v>5900</v>
      </c>
    </row>
    <row r="490">
      <c r="A490" s="1" t="s">
        <v>8651</v>
      </c>
      <c r="B490" s="1" t="s">
        <v>8653</v>
      </c>
      <c r="C490" s="1" t="s">
        <v>4293</v>
      </c>
      <c r="D490" s="1" t="s">
        <v>8654</v>
      </c>
      <c r="E490" s="1" t="s">
        <v>8656</v>
      </c>
      <c r="F490" s="1" t="s">
        <v>78</v>
      </c>
      <c r="G490" s="4"/>
      <c r="H490" s="3">
        <v>44839.0</v>
      </c>
      <c r="I490" s="1" t="s">
        <v>8658</v>
      </c>
      <c r="J490" s="1" t="s">
        <v>5900</v>
      </c>
    </row>
    <row r="491">
      <c r="A491" s="1" t="s">
        <v>8659</v>
      </c>
      <c r="B491" s="1" t="s">
        <v>8661</v>
      </c>
      <c r="C491" s="1" t="s">
        <v>4293</v>
      </c>
      <c r="D491" s="1" t="s">
        <v>8663</v>
      </c>
      <c r="E491" s="1" t="s">
        <v>8665</v>
      </c>
      <c r="F491" s="1" t="s">
        <v>78</v>
      </c>
      <c r="G491" s="4"/>
      <c r="H491" s="3">
        <v>45596.0</v>
      </c>
      <c r="I491" s="1" t="s">
        <v>5999</v>
      </c>
      <c r="J491" s="1" t="s">
        <v>5900</v>
      </c>
    </row>
    <row r="492">
      <c r="A492" s="1" t="s">
        <v>8670</v>
      </c>
      <c r="B492" s="1" t="s">
        <v>8671</v>
      </c>
      <c r="C492" s="1" t="s">
        <v>4293</v>
      </c>
      <c r="D492" s="1" t="s">
        <v>7757</v>
      </c>
      <c r="E492" s="1" t="s">
        <v>8673</v>
      </c>
      <c r="F492" s="1" t="s">
        <v>78</v>
      </c>
      <c r="G492" s="4"/>
      <c r="H492" s="3">
        <v>45069.0</v>
      </c>
      <c r="I492" s="1" t="s">
        <v>8677</v>
      </c>
      <c r="J492" s="1" t="s">
        <v>5900</v>
      </c>
    </row>
    <row r="493">
      <c r="A493" s="1" t="s">
        <v>8678</v>
      </c>
      <c r="B493" s="1" t="s">
        <v>8679</v>
      </c>
      <c r="C493" s="1" t="s">
        <v>4293</v>
      </c>
      <c r="D493" s="1" t="s">
        <v>8681</v>
      </c>
      <c r="E493" s="1" t="s">
        <v>8684</v>
      </c>
      <c r="F493" s="1" t="s">
        <v>78</v>
      </c>
      <c r="G493" s="4"/>
      <c r="H493" s="3">
        <v>43899.0</v>
      </c>
      <c r="I493" s="1" t="s">
        <v>5899</v>
      </c>
      <c r="J493" s="1" t="s">
        <v>5900</v>
      </c>
    </row>
    <row r="494">
      <c r="A494" s="1" t="s">
        <v>8687</v>
      </c>
      <c r="B494" s="1" t="s">
        <v>8689</v>
      </c>
      <c r="C494" s="1" t="s">
        <v>4293</v>
      </c>
      <c r="D494" s="1" t="s">
        <v>8690</v>
      </c>
      <c r="E494" s="1" t="s">
        <v>8691</v>
      </c>
      <c r="F494" s="1" t="s">
        <v>78</v>
      </c>
      <c r="G494" s="4"/>
      <c r="H494" s="3">
        <v>45062.0</v>
      </c>
      <c r="I494" s="1" t="s">
        <v>8627</v>
      </c>
      <c r="J494" s="1" t="s">
        <v>5900</v>
      </c>
    </row>
    <row r="495">
      <c r="A495" s="1" t="s">
        <v>8694</v>
      </c>
      <c r="B495" s="1" t="s">
        <v>8696</v>
      </c>
      <c r="C495" s="1" t="s">
        <v>4293</v>
      </c>
      <c r="D495" s="1" t="s">
        <v>8698</v>
      </c>
      <c r="E495" s="1" t="s">
        <v>8700</v>
      </c>
      <c r="F495" s="1" t="s">
        <v>78</v>
      </c>
      <c r="G495" s="4"/>
      <c r="H495" s="3">
        <v>45777.0</v>
      </c>
      <c r="I495" s="1" t="s">
        <v>5999</v>
      </c>
      <c r="J495" s="1" t="s">
        <v>5900</v>
      </c>
    </row>
    <row r="496">
      <c r="A496" s="1" t="s">
        <v>8703</v>
      </c>
      <c r="B496" s="1" t="s">
        <v>8705</v>
      </c>
      <c r="C496" s="1" t="s">
        <v>4293</v>
      </c>
      <c r="D496" s="1" t="s">
        <v>8706</v>
      </c>
      <c r="E496" s="1" t="s">
        <v>8708</v>
      </c>
      <c r="F496" s="1" t="s">
        <v>78</v>
      </c>
      <c r="G496" s="4"/>
      <c r="H496" s="3">
        <v>45429.0</v>
      </c>
      <c r="I496" s="1" t="s">
        <v>5899</v>
      </c>
      <c r="J496" s="1" t="s">
        <v>5900</v>
      </c>
    </row>
    <row r="497">
      <c r="A497" s="1" t="s">
        <v>8712</v>
      </c>
      <c r="B497" s="1" t="s">
        <v>8713</v>
      </c>
      <c r="C497" s="1" t="s">
        <v>4293</v>
      </c>
      <c r="D497" s="1" t="s">
        <v>8715</v>
      </c>
      <c r="E497" s="1" t="s">
        <v>8716</v>
      </c>
      <c r="F497" s="1" t="s">
        <v>78</v>
      </c>
      <c r="G497" s="4"/>
      <c r="H497" s="3">
        <v>44455.0</v>
      </c>
      <c r="I497" s="1" t="s">
        <v>8627</v>
      </c>
      <c r="J497" s="1" t="s">
        <v>5900</v>
      </c>
    </row>
    <row r="498">
      <c r="A498" s="1" t="s">
        <v>8719</v>
      </c>
      <c r="B498" s="1" t="s">
        <v>8721</v>
      </c>
      <c r="C498" s="1" t="s">
        <v>4293</v>
      </c>
      <c r="D498" s="1" t="s">
        <v>8723</v>
      </c>
      <c r="E498" s="1" t="s">
        <v>8725</v>
      </c>
      <c r="F498" s="1" t="s">
        <v>78</v>
      </c>
      <c r="G498" s="4"/>
      <c r="H498" s="3">
        <v>45558.0</v>
      </c>
      <c r="I498" s="1" t="s">
        <v>6477</v>
      </c>
      <c r="J498" s="1" t="s">
        <v>5900</v>
      </c>
    </row>
    <row r="499">
      <c r="A499" s="1" t="s">
        <v>8728</v>
      </c>
      <c r="B499" s="1" t="s">
        <v>8729</v>
      </c>
      <c r="C499" s="1" t="s">
        <v>4293</v>
      </c>
      <c r="D499" s="1" t="s">
        <v>8730</v>
      </c>
      <c r="E499" s="1" t="s">
        <v>8732</v>
      </c>
      <c r="F499" s="1" t="s">
        <v>78</v>
      </c>
      <c r="G499" s="4"/>
      <c r="H499" s="3">
        <v>44929.0</v>
      </c>
      <c r="I499" s="1" t="s">
        <v>5899</v>
      </c>
      <c r="J499" s="1" t="s">
        <v>5900</v>
      </c>
    </row>
    <row r="500">
      <c r="A500" s="1" t="s">
        <v>8736</v>
      </c>
      <c r="B500" s="1" t="s">
        <v>4905</v>
      </c>
      <c r="C500" s="1" t="s">
        <v>4293</v>
      </c>
      <c r="D500" s="1" t="s">
        <v>8739</v>
      </c>
      <c r="E500" s="1" t="s">
        <v>8740</v>
      </c>
      <c r="F500" s="1" t="s">
        <v>78</v>
      </c>
      <c r="G500" s="4"/>
      <c r="H500" s="3">
        <v>45862.0</v>
      </c>
      <c r="I500" s="1" t="s">
        <v>5899</v>
      </c>
      <c r="J500" s="1" t="s">
        <v>5900</v>
      </c>
    </row>
    <row r="501">
      <c r="A501" s="1" t="s">
        <v>8745</v>
      </c>
      <c r="B501" s="1" t="s">
        <v>8746</v>
      </c>
      <c r="C501" s="1" t="s">
        <v>4293</v>
      </c>
      <c r="D501" s="1" t="s">
        <v>8748</v>
      </c>
      <c r="E501" s="1" t="s">
        <v>8750</v>
      </c>
      <c r="F501" s="1" t="s">
        <v>78</v>
      </c>
      <c r="G501" s="4"/>
      <c r="H501" s="3">
        <v>44390.0</v>
      </c>
      <c r="I501" s="1" t="s">
        <v>5999</v>
      </c>
      <c r="J501" s="1" t="s">
        <v>5900</v>
      </c>
    </row>
    <row r="502">
      <c r="A502" s="1" t="s">
        <v>8755</v>
      </c>
      <c r="B502" s="1" t="s">
        <v>8757</v>
      </c>
      <c r="C502" s="1" t="s">
        <v>4293</v>
      </c>
      <c r="D502" s="1" t="s">
        <v>8759</v>
      </c>
      <c r="E502" s="1" t="s">
        <v>8760</v>
      </c>
      <c r="F502" s="1" t="s">
        <v>78</v>
      </c>
      <c r="G502" s="4"/>
      <c r="H502" s="3">
        <v>44421.0</v>
      </c>
      <c r="I502" s="1" t="s">
        <v>5899</v>
      </c>
      <c r="J502" s="1" t="s">
        <v>5900</v>
      </c>
    </row>
    <row r="503">
      <c r="A503" s="1" t="s">
        <v>8762</v>
      </c>
      <c r="B503" s="1" t="s">
        <v>8764</v>
      </c>
      <c r="C503" s="1" t="s">
        <v>4293</v>
      </c>
      <c r="D503" s="1" t="s">
        <v>8766</v>
      </c>
      <c r="E503" s="1" t="s">
        <v>8767</v>
      </c>
      <c r="F503" s="1" t="s">
        <v>78</v>
      </c>
      <c r="G503" s="4"/>
      <c r="H503" s="3">
        <v>45882.0</v>
      </c>
      <c r="I503" s="1" t="s">
        <v>5999</v>
      </c>
      <c r="J503" s="1" t="s">
        <v>5900</v>
      </c>
    </row>
    <row r="504">
      <c r="A504" s="1" t="s">
        <v>8770</v>
      </c>
      <c r="B504" s="1" t="s">
        <v>4774</v>
      </c>
      <c r="C504" s="1" t="s">
        <v>4293</v>
      </c>
      <c r="D504" s="1" t="s">
        <v>8773</v>
      </c>
      <c r="E504" s="1" t="s">
        <v>8775</v>
      </c>
      <c r="F504" s="1" t="s">
        <v>78</v>
      </c>
      <c r="G504" s="4"/>
      <c r="H504" s="3">
        <v>44446.0</v>
      </c>
      <c r="I504" s="1" t="s">
        <v>8524</v>
      </c>
      <c r="J504" s="1" t="s">
        <v>5900</v>
      </c>
    </row>
    <row r="505">
      <c r="A505" s="1" t="s">
        <v>8778</v>
      </c>
      <c r="B505" s="1" t="s">
        <v>6234</v>
      </c>
      <c r="C505" s="1" t="s">
        <v>4293</v>
      </c>
      <c r="D505" s="1" t="s">
        <v>8780</v>
      </c>
      <c r="E505" s="1" t="s">
        <v>8781</v>
      </c>
      <c r="F505" s="1" t="s">
        <v>78</v>
      </c>
      <c r="G505" s="4"/>
      <c r="H505" s="3">
        <v>45518.0</v>
      </c>
      <c r="I505" s="1" t="s">
        <v>5899</v>
      </c>
      <c r="J505" s="1" t="s">
        <v>5900</v>
      </c>
    </row>
    <row r="506">
      <c r="A506" s="1" t="s">
        <v>8783</v>
      </c>
      <c r="B506" s="1" t="s">
        <v>8784</v>
      </c>
      <c r="C506" s="1" t="s">
        <v>4293</v>
      </c>
      <c r="D506" s="1" t="s">
        <v>8787</v>
      </c>
      <c r="E506" s="1" t="s">
        <v>8789</v>
      </c>
      <c r="F506" s="1" t="s">
        <v>78</v>
      </c>
      <c r="G506" s="4"/>
      <c r="H506" s="3">
        <v>44515.0</v>
      </c>
      <c r="I506" s="1" t="s">
        <v>6299</v>
      </c>
      <c r="J506" s="1" t="s">
        <v>5900</v>
      </c>
    </row>
    <row r="507">
      <c r="A507" s="1" t="s">
        <v>8793</v>
      </c>
      <c r="B507" s="1" t="s">
        <v>8794</v>
      </c>
      <c r="C507" s="1" t="s">
        <v>4293</v>
      </c>
      <c r="D507" s="1" t="s">
        <v>8797</v>
      </c>
      <c r="E507" s="1" t="s">
        <v>8798</v>
      </c>
      <c r="F507" s="1" t="s">
        <v>78</v>
      </c>
      <c r="G507" s="4"/>
      <c r="H507" s="3">
        <v>44169.0</v>
      </c>
      <c r="I507" s="1" t="s">
        <v>8802</v>
      </c>
      <c r="J507" s="1" t="s">
        <v>5900</v>
      </c>
    </row>
    <row r="508">
      <c r="A508" s="1" t="s">
        <v>8804</v>
      </c>
      <c r="B508" s="1" t="s">
        <v>8805</v>
      </c>
      <c r="C508" s="1" t="s">
        <v>4293</v>
      </c>
      <c r="D508" s="1" t="s">
        <v>8389</v>
      </c>
      <c r="E508" s="1" t="s">
        <v>8806</v>
      </c>
      <c r="F508" s="1" t="s">
        <v>78</v>
      </c>
      <c r="G508" s="4"/>
      <c r="H508" s="3">
        <v>45819.0</v>
      </c>
      <c r="I508" s="1" t="s">
        <v>6170</v>
      </c>
      <c r="J508" s="1" t="s">
        <v>5900</v>
      </c>
    </row>
    <row r="509">
      <c r="A509" s="1" t="s">
        <v>8811</v>
      </c>
      <c r="B509" s="1" t="s">
        <v>8813</v>
      </c>
      <c r="C509" s="1" t="s">
        <v>4293</v>
      </c>
      <c r="D509" s="1" t="s">
        <v>8817</v>
      </c>
      <c r="E509" s="1" t="s">
        <v>8819</v>
      </c>
      <c r="F509" s="1" t="s">
        <v>78</v>
      </c>
      <c r="G509" s="4"/>
      <c r="H509" s="3">
        <v>45100.0</v>
      </c>
      <c r="I509" s="1" t="s">
        <v>7138</v>
      </c>
      <c r="J509" s="1" t="s">
        <v>5900</v>
      </c>
    </row>
    <row r="510">
      <c r="A510" s="1" t="s">
        <v>8824</v>
      </c>
      <c r="B510" s="1" t="s">
        <v>8825</v>
      </c>
      <c r="C510" s="1" t="s">
        <v>4293</v>
      </c>
      <c r="D510" s="1" t="s">
        <v>8828</v>
      </c>
      <c r="E510" s="1" t="s">
        <v>8830</v>
      </c>
      <c r="F510" s="1" t="s">
        <v>78</v>
      </c>
      <c r="G510" s="4"/>
      <c r="H510" s="3">
        <v>44469.0</v>
      </c>
      <c r="I510" s="1" t="s">
        <v>6170</v>
      </c>
      <c r="J510" s="1" t="s">
        <v>5900</v>
      </c>
    </row>
    <row r="511">
      <c r="A511" s="1" t="s">
        <v>8831</v>
      </c>
      <c r="B511" s="1" t="s">
        <v>8832</v>
      </c>
      <c r="C511" s="1" t="s">
        <v>4293</v>
      </c>
      <c r="D511" s="1" t="s">
        <v>8833</v>
      </c>
      <c r="E511" s="1" t="s">
        <v>8836</v>
      </c>
      <c r="F511" s="1" t="s">
        <v>78</v>
      </c>
      <c r="G511" s="4"/>
      <c r="H511" s="3">
        <v>44279.0</v>
      </c>
      <c r="I511" s="1" t="s">
        <v>6170</v>
      </c>
      <c r="J511" s="1" t="s">
        <v>5900</v>
      </c>
    </row>
    <row r="512">
      <c r="A512" s="1" t="s">
        <v>8841</v>
      </c>
      <c r="B512" s="1" t="s">
        <v>6576</v>
      </c>
      <c r="C512" s="1" t="s">
        <v>4293</v>
      </c>
      <c r="D512" s="1" t="s">
        <v>8844</v>
      </c>
      <c r="E512" s="1" t="s">
        <v>8845</v>
      </c>
      <c r="F512" s="1" t="s">
        <v>78</v>
      </c>
      <c r="G512" s="4"/>
      <c r="H512" s="3">
        <v>43854.0</v>
      </c>
      <c r="I512" s="1" t="s">
        <v>6170</v>
      </c>
      <c r="J512" s="1" t="s">
        <v>5900</v>
      </c>
    </row>
    <row r="513">
      <c r="A513" s="1" t="s">
        <v>8849</v>
      </c>
      <c r="B513" s="1" t="s">
        <v>8851</v>
      </c>
      <c r="C513" s="1" t="s">
        <v>4293</v>
      </c>
      <c r="D513" s="1" t="s">
        <v>8852</v>
      </c>
      <c r="E513" s="1" t="s">
        <v>8854</v>
      </c>
      <c r="F513" s="1" t="s">
        <v>78</v>
      </c>
      <c r="G513" s="4"/>
      <c r="H513" s="3">
        <v>44651.0</v>
      </c>
      <c r="I513" s="1" t="s">
        <v>6181</v>
      </c>
      <c r="J513" s="1" t="s">
        <v>5900</v>
      </c>
    </row>
    <row r="514">
      <c r="A514" s="1" t="s">
        <v>8856</v>
      </c>
      <c r="B514" s="1" t="s">
        <v>8857</v>
      </c>
      <c r="C514" s="1" t="s">
        <v>4293</v>
      </c>
      <c r="D514" s="1" t="s">
        <v>8858</v>
      </c>
      <c r="E514" s="1" t="s">
        <v>8859</v>
      </c>
      <c r="F514" s="1" t="s">
        <v>78</v>
      </c>
      <c r="G514" s="4"/>
      <c r="H514" s="3">
        <v>45600.0</v>
      </c>
      <c r="I514" s="1" t="s">
        <v>8860</v>
      </c>
      <c r="J514" s="1" t="s">
        <v>5900</v>
      </c>
    </row>
    <row r="515">
      <c r="A515" s="1" t="s">
        <v>8862</v>
      </c>
      <c r="B515" s="1" t="s">
        <v>6062</v>
      </c>
      <c r="C515" s="1" t="s">
        <v>4293</v>
      </c>
      <c r="D515" s="1" t="s">
        <v>8863</v>
      </c>
      <c r="E515" s="1" t="s">
        <v>8864</v>
      </c>
      <c r="F515" s="1" t="s">
        <v>78</v>
      </c>
      <c r="G515" s="4"/>
      <c r="H515" s="3">
        <v>44840.0</v>
      </c>
      <c r="I515" s="1" t="s">
        <v>6861</v>
      </c>
      <c r="J515" s="1" t="s">
        <v>5900</v>
      </c>
    </row>
    <row r="516">
      <c r="A516" s="1" t="s">
        <v>8866</v>
      </c>
      <c r="B516" s="1" t="s">
        <v>8801</v>
      </c>
      <c r="C516" s="1" t="s">
        <v>4293</v>
      </c>
      <c r="D516" s="1" t="s">
        <v>8867</v>
      </c>
      <c r="E516" s="1" t="s">
        <v>8868</v>
      </c>
      <c r="F516" s="1" t="s">
        <v>78</v>
      </c>
      <c r="G516" s="4"/>
      <c r="H516" s="3">
        <v>45349.0</v>
      </c>
      <c r="I516" s="1" t="s">
        <v>5899</v>
      </c>
      <c r="J516" s="1" t="s">
        <v>5900</v>
      </c>
    </row>
    <row r="517">
      <c r="A517" s="1" t="s">
        <v>8870</v>
      </c>
      <c r="B517" s="1" t="s">
        <v>8871</v>
      </c>
      <c r="C517" s="1" t="s">
        <v>4293</v>
      </c>
      <c r="D517" s="1" t="s">
        <v>8872</v>
      </c>
      <c r="E517" s="1" t="s">
        <v>8873</v>
      </c>
      <c r="F517" s="1" t="s">
        <v>78</v>
      </c>
      <c r="G517" s="4"/>
      <c r="H517" s="3">
        <v>44781.0</v>
      </c>
      <c r="I517" s="1" t="s">
        <v>5899</v>
      </c>
      <c r="J517" s="1" t="s">
        <v>5900</v>
      </c>
    </row>
    <row r="518">
      <c r="A518" s="1" t="s">
        <v>8876</v>
      </c>
      <c r="B518" s="1" t="s">
        <v>6629</v>
      </c>
      <c r="C518" s="1" t="s">
        <v>4293</v>
      </c>
      <c r="D518" s="1" t="s">
        <v>8877</v>
      </c>
      <c r="E518" s="1" t="s">
        <v>8878</v>
      </c>
      <c r="F518" s="1" t="s">
        <v>78</v>
      </c>
      <c r="G518" s="4"/>
      <c r="H518" s="3">
        <v>44986.0</v>
      </c>
      <c r="I518" s="1" t="s">
        <v>6798</v>
      </c>
      <c r="J518" s="1" t="s">
        <v>5900</v>
      </c>
    </row>
    <row r="519">
      <c r="A519" s="1" t="s">
        <v>8881</v>
      </c>
      <c r="B519" s="1" t="s">
        <v>7163</v>
      </c>
      <c r="C519" s="1" t="s">
        <v>4293</v>
      </c>
      <c r="D519" s="1" t="s">
        <v>8884</v>
      </c>
      <c r="E519" s="1" t="s">
        <v>8885</v>
      </c>
      <c r="F519" s="1" t="s">
        <v>78</v>
      </c>
      <c r="G519" s="4"/>
      <c r="H519" s="3">
        <v>45320.0</v>
      </c>
      <c r="I519" s="1" t="s">
        <v>8886</v>
      </c>
      <c r="J519" s="1" t="s">
        <v>5900</v>
      </c>
    </row>
    <row r="520">
      <c r="A520" s="1" t="s">
        <v>8887</v>
      </c>
      <c r="B520" s="1" t="s">
        <v>8104</v>
      </c>
      <c r="C520" s="1" t="s">
        <v>4293</v>
      </c>
      <c r="D520" s="1" t="s">
        <v>3704</v>
      </c>
      <c r="E520" s="1" t="s">
        <v>8888</v>
      </c>
      <c r="F520" s="1" t="s">
        <v>78</v>
      </c>
      <c r="G520" s="4"/>
      <c r="H520" s="3">
        <v>44518.0</v>
      </c>
      <c r="I520" s="1" t="s">
        <v>6798</v>
      </c>
      <c r="J520" s="1" t="s">
        <v>5900</v>
      </c>
    </row>
    <row r="521">
      <c r="A521" s="1" t="s">
        <v>8889</v>
      </c>
      <c r="B521" s="1" t="s">
        <v>8892</v>
      </c>
      <c r="C521" s="1" t="s">
        <v>4293</v>
      </c>
      <c r="D521" s="1" t="s">
        <v>8893</v>
      </c>
      <c r="E521" s="1" t="s">
        <v>8895</v>
      </c>
      <c r="F521" s="1" t="s">
        <v>78</v>
      </c>
      <c r="G521" s="4"/>
      <c r="H521" s="3">
        <v>46175.0</v>
      </c>
      <c r="I521" s="1" t="s">
        <v>8897</v>
      </c>
      <c r="J521" s="1" t="s">
        <v>5900</v>
      </c>
    </row>
    <row r="522">
      <c r="A522" s="1" t="s">
        <v>8898</v>
      </c>
      <c r="B522" s="1" t="s">
        <v>6518</v>
      </c>
      <c r="C522" s="1" t="s">
        <v>4293</v>
      </c>
      <c r="D522" s="1" t="s">
        <v>8899</v>
      </c>
      <c r="E522" s="1" t="s">
        <v>8900</v>
      </c>
      <c r="F522" s="1" t="s">
        <v>78</v>
      </c>
      <c r="G522" s="4"/>
      <c r="H522" s="3">
        <v>44240.0</v>
      </c>
      <c r="I522" s="1" t="s">
        <v>5899</v>
      </c>
      <c r="J522" s="1" t="s">
        <v>5900</v>
      </c>
    </row>
    <row r="523">
      <c r="A523" s="1" t="s">
        <v>8901</v>
      </c>
      <c r="B523" s="1" t="s">
        <v>8903</v>
      </c>
      <c r="C523" s="1" t="s">
        <v>4293</v>
      </c>
      <c r="D523" s="1" t="s">
        <v>8904</v>
      </c>
      <c r="E523" s="1" t="s">
        <v>8905</v>
      </c>
      <c r="F523" s="1" t="s">
        <v>78</v>
      </c>
      <c r="G523" s="4"/>
      <c r="H523" s="3">
        <v>45499.0</v>
      </c>
      <c r="I523" s="1" t="s">
        <v>5999</v>
      </c>
      <c r="J523" s="1" t="s">
        <v>5900</v>
      </c>
    </row>
    <row r="524">
      <c r="A524" s="1" t="s">
        <v>8907</v>
      </c>
      <c r="B524" s="1" t="s">
        <v>6774</v>
      </c>
      <c r="C524" s="1" t="s">
        <v>4293</v>
      </c>
      <c r="D524" s="1" t="s">
        <v>8908</v>
      </c>
      <c r="E524" s="1" t="s">
        <v>8909</v>
      </c>
      <c r="F524" s="1" t="s">
        <v>78</v>
      </c>
      <c r="G524" s="4"/>
      <c r="H524" s="3">
        <v>44939.0</v>
      </c>
      <c r="I524" s="1" t="s">
        <v>8910</v>
      </c>
      <c r="J524" s="1" t="s">
        <v>5900</v>
      </c>
    </row>
    <row r="525">
      <c r="A525" s="1" t="s">
        <v>8911</v>
      </c>
      <c r="B525" s="1" t="s">
        <v>8913</v>
      </c>
      <c r="C525" s="1" t="s">
        <v>4293</v>
      </c>
      <c r="D525" s="1" t="s">
        <v>8915</v>
      </c>
      <c r="E525" s="1" t="s">
        <v>8916</v>
      </c>
      <c r="F525" s="1" t="s">
        <v>78</v>
      </c>
      <c r="G525" s="4"/>
      <c r="H525" s="3">
        <v>43784.0</v>
      </c>
      <c r="I525" s="1" t="s">
        <v>6798</v>
      </c>
      <c r="J525" s="1" t="s">
        <v>5900</v>
      </c>
    </row>
    <row r="526">
      <c r="A526" s="1" t="s">
        <v>8918</v>
      </c>
      <c r="B526" s="1" t="s">
        <v>8919</v>
      </c>
      <c r="C526" s="1" t="s">
        <v>4293</v>
      </c>
      <c r="D526" s="1" t="s">
        <v>8920</v>
      </c>
      <c r="E526" s="1" t="s">
        <v>8922</v>
      </c>
      <c r="F526" s="1" t="s">
        <v>78</v>
      </c>
      <c r="G526" s="4"/>
      <c r="H526" s="3">
        <v>43808.0</v>
      </c>
      <c r="I526" s="1" t="s">
        <v>5899</v>
      </c>
      <c r="J526" s="1" t="s">
        <v>5900</v>
      </c>
    </row>
    <row r="527">
      <c r="A527" s="1" t="s">
        <v>8923</v>
      </c>
      <c r="B527" s="1" t="s">
        <v>8924</v>
      </c>
      <c r="C527" s="1" t="s">
        <v>4293</v>
      </c>
      <c r="D527" s="1" t="s">
        <v>8926</v>
      </c>
      <c r="E527" s="1" t="s">
        <v>8927</v>
      </c>
      <c r="F527" s="1" t="s">
        <v>78</v>
      </c>
      <c r="G527" s="4"/>
      <c r="H527" s="3">
        <v>44858.0</v>
      </c>
      <c r="I527" s="1" t="s">
        <v>6798</v>
      </c>
      <c r="J527" s="1" t="s">
        <v>5900</v>
      </c>
    </row>
    <row r="528">
      <c r="A528" s="1" t="s">
        <v>8929</v>
      </c>
      <c r="B528" s="1" t="s">
        <v>8726</v>
      </c>
      <c r="C528" s="1" t="s">
        <v>4293</v>
      </c>
      <c r="D528" s="1" t="s">
        <v>8931</v>
      </c>
      <c r="E528" s="1" t="s">
        <v>8933</v>
      </c>
      <c r="F528" s="1" t="s">
        <v>78</v>
      </c>
      <c r="G528" s="4"/>
      <c r="H528" s="3">
        <v>44755.0</v>
      </c>
      <c r="I528" s="1" t="s">
        <v>5899</v>
      </c>
      <c r="J528" s="1" t="s">
        <v>5900</v>
      </c>
    </row>
    <row r="529">
      <c r="A529" s="1" t="s">
        <v>8934</v>
      </c>
      <c r="B529" s="1" t="s">
        <v>8935</v>
      </c>
      <c r="C529" s="1" t="s">
        <v>4293</v>
      </c>
      <c r="D529" s="1" t="s">
        <v>8937</v>
      </c>
      <c r="E529" s="1" t="s">
        <v>8938</v>
      </c>
      <c r="F529" s="1" t="s">
        <v>78</v>
      </c>
      <c r="G529" s="4"/>
      <c r="H529" s="3">
        <v>43866.0</v>
      </c>
      <c r="I529" s="1" t="s">
        <v>5999</v>
      </c>
      <c r="J529" s="1" t="s">
        <v>5900</v>
      </c>
    </row>
    <row r="530">
      <c r="A530" s="1" t="s">
        <v>8940</v>
      </c>
      <c r="B530" s="1" t="s">
        <v>7444</v>
      </c>
      <c r="C530" s="1" t="s">
        <v>4293</v>
      </c>
      <c r="D530" s="1" t="s">
        <v>8941</v>
      </c>
      <c r="E530" s="1" t="s">
        <v>8942</v>
      </c>
      <c r="F530" s="1" t="s">
        <v>78</v>
      </c>
      <c r="G530" s="4"/>
      <c r="H530" s="3">
        <v>44271.0</v>
      </c>
      <c r="I530" s="1" t="s">
        <v>6678</v>
      </c>
      <c r="J530" s="1" t="s">
        <v>5900</v>
      </c>
    </row>
    <row r="531">
      <c r="A531" s="1" t="s">
        <v>8943</v>
      </c>
      <c r="B531" s="1" t="s">
        <v>6118</v>
      </c>
      <c r="C531" s="1" t="s">
        <v>4293</v>
      </c>
      <c r="D531" s="1" t="s">
        <v>8945</v>
      </c>
      <c r="E531" s="1" t="s">
        <v>8947</v>
      </c>
      <c r="F531" s="1" t="s">
        <v>78</v>
      </c>
      <c r="G531" s="4"/>
      <c r="H531" s="3">
        <v>44247.0</v>
      </c>
      <c r="I531" s="1" t="s">
        <v>5899</v>
      </c>
      <c r="J531" s="1" t="s">
        <v>5900</v>
      </c>
    </row>
    <row r="532">
      <c r="A532" s="1" t="s">
        <v>8948</v>
      </c>
      <c r="B532" s="1" t="s">
        <v>8949</v>
      </c>
      <c r="C532" s="1" t="s">
        <v>4293</v>
      </c>
      <c r="D532" s="1" t="s">
        <v>8950</v>
      </c>
      <c r="E532" s="1" t="s">
        <v>8951</v>
      </c>
      <c r="F532" s="1" t="s">
        <v>78</v>
      </c>
      <c r="G532" s="4"/>
      <c r="H532" s="3">
        <v>42744.0</v>
      </c>
      <c r="I532" s="1" t="s">
        <v>5999</v>
      </c>
      <c r="J532" s="1" t="s">
        <v>5900</v>
      </c>
    </row>
    <row r="533">
      <c r="A533" s="1" t="s">
        <v>8953</v>
      </c>
      <c r="B533" s="1" t="s">
        <v>8954</v>
      </c>
      <c r="C533" s="1" t="s">
        <v>4293</v>
      </c>
      <c r="D533" s="1" t="s">
        <v>8956</v>
      </c>
      <c r="E533" s="1" t="s">
        <v>8957</v>
      </c>
      <c r="F533" s="1" t="s">
        <v>78</v>
      </c>
      <c r="G533" s="4"/>
      <c r="H533" s="3">
        <v>44781.0</v>
      </c>
      <c r="I533" s="1" t="s">
        <v>6678</v>
      </c>
      <c r="J533" s="1" t="s">
        <v>5900</v>
      </c>
    </row>
    <row r="534">
      <c r="A534" s="1" t="s">
        <v>8959</v>
      </c>
      <c r="B534" s="1" t="s">
        <v>8960</v>
      </c>
      <c r="C534" s="1" t="s">
        <v>4293</v>
      </c>
      <c r="D534" s="1" t="s">
        <v>8961</v>
      </c>
      <c r="E534" s="1" t="s">
        <v>8962</v>
      </c>
      <c r="F534" s="1" t="s">
        <v>78</v>
      </c>
      <c r="G534" s="4"/>
      <c r="H534" s="3">
        <v>45218.0</v>
      </c>
      <c r="I534" s="1" t="s">
        <v>5899</v>
      </c>
      <c r="J534" s="1" t="s">
        <v>5900</v>
      </c>
    </row>
    <row r="535">
      <c r="A535" s="1" t="s">
        <v>8964</v>
      </c>
      <c r="B535" s="1" t="s">
        <v>7930</v>
      </c>
      <c r="C535" s="1" t="s">
        <v>4293</v>
      </c>
      <c r="D535" s="1" t="s">
        <v>8967</v>
      </c>
      <c r="E535" s="1" t="s">
        <v>8968</v>
      </c>
      <c r="F535" s="1" t="s">
        <v>78</v>
      </c>
      <c r="G535" s="4"/>
      <c r="H535" s="3">
        <v>44756.0</v>
      </c>
      <c r="I535" s="1" t="s">
        <v>6678</v>
      </c>
      <c r="J535" s="1" t="s">
        <v>5900</v>
      </c>
    </row>
    <row r="536">
      <c r="A536" s="1" t="s">
        <v>8971</v>
      </c>
      <c r="B536" s="1" t="s">
        <v>8972</v>
      </c>
      <c r="C536" s="1" t="s">
        <v>4293</v>
      </c>
      <c r="D536" s="1" t="s">
        <v>8973</v>
      </c>
      <c r="E536" s="1" t="s">
        <v>8974</v>
      </c>
      <c r="F536" s="1" t="s">
        <v>78</v>
      </c>
      <c r="G536" s="4"/>
      <c r="H536" s="3">
        <v>45499.0</v>
      </c>
      <c r="I536" s="1" t="s">
        <v>6678</v>
      </c>
      <c r="J536" s="1" t="s">
        <v>5900</v>
      </c>
    </row>
    <row r="537">
      <c r="A537" s="1" t="s">
        <v>8977</v>
      </c>
      <c r="B537" s="1" t="s">
        <v>8979</v>
      </c>
      <c r="C537" s="1" t="s">
        <v>4293</v>
      </c>
      <c r="D537" s="1" t="s">
        <v>8981</v>
      </c>
      <c r="E537" s="1" t="s">
        <v>8982</v>
      </c>
      <c r="F537" s="1" t="s">
        <v>78</v>
      </c>
      <c r="G537" s="4"/>
      <c r="H537" s="3">
        <v>43617.0</v>
      </c>
      <c r="I537" s="1" t="s">
        <v>5899</v>
      </c>
      <c r="J537" s="1" t="s">
        <v>5900</v>
      </c>
    </row>
    <row r="538">
      <c r="A538" s="1" t="s">
        <v>8983</v>
      </c>
      <c r="B538" s="1" t="s">
        <v>8985</v>
      </c>
      <c r="C538" s="1" t="s">
        <v>4293</v>
      </c>
      <c r="D538" s="1" t="s">
        <v>8986</v>
      </c>
      <c r="E538" s="1" t="s">
        <v>8988</v>
      </c>
      <c r="F538" s="1" t="s">
        <v>78</v>
      </c>
      <c r="G538" s="4"/>
      <c r="H538" s="3">
        <v>45925.0</v>
      </c>
      <c r="I538" s="1" t="s">
        <v>5922</v>
      </c>
      <c r="J538" s="1" t="s">
        <v>5900</v>
      </c>
    </row>
    <row r="539">
      <c r="A539" s="1" t="s">
        <v>8993</v>
      </c>
      <c r="B539" s="1" t="s">
        <v>8995</v>
      </c>
      <c r="C539" s="1" t="s">
        <v>4293</v>
      </c>
      <c r="D539" s="1" t="s">
        <v>8996</v>
      </c>
      <c r="E539" s="1" t="s">
        <v>8998</v>
      </c>
      <c r="F539" s="1" t="s">
        <v>78</v>
      </c>
      <c r="G539" s="4"/>
      <c r="H539" s="3">
        <v>45491.0</v>
      </c>
      <c r="I539" s="1" t="s">
        <v>6678</v>
      </c>
      <c r="J539" s="1" t="s">
        <v>5900</v>
      </c>
    </row>
    <row r="540">
      <c r="A540" s="1" t="s">
        <v>9002</v>
      </c>
      <c r="B540" s="1" t="s">
        <v>9003</v>
      </c>
      <c r="C540" s="1" t="s">
        <v>4293</v>
      </c>
      <c r="D540" s="1" t="s">
        <v>9004</v>
      </c>
      <c r="E540" s="1" t="s">
        <v>9006</v>
      </c>
      <c r="F540" s="1" t="s">
        <v>78</v>
      </c>
      <c r="G540" s="4"/>
      <c r="H540" s="3">
        <v>45454.0</v>
      </c>
      <c r="I540" s="1" t="s">
        <v>5899</v>
      </c>
      <c r="J540" s="1" t="s">
        <v>5900</v>
      </c>
    </row>
    <row r="541">
      <c r="A541" s="1" t="s">
        <v>9013</v>
      </c>
      <c r="B541" s="1" t="s">
        <v>9015</v>
      </c>
      <c r="C541" s="1" t="s">
        <v>4293</v>
      </c>
      <c r="D541" s="1" t="s">
        <v>9017</v>
      </c>
      <c r="E541" s="1" t="s">
        <v>9019</v>
      </c>
      <c r="F541" s="1" t="s">
        <v>78</v>
      </c>
      <c r="G541" s="4"/>
      <c r="H541" s="3">
        <v>44314.0</v>
      </c>
      <c r="I541" s="1" t="s">
        <v>5986</v>
      </c>
      <c r="J541" s="1" t="s">
        <v>5900</v>
      </c>
    </row>
    <row r="542">
      <c r="A542" s="1" t="s">
        <v>9024</v>
      </c>
      <c r="B542" s="1" t="s">
        <v>9027</v>
      </c>
      <c r="C542" s="1" t="s">
        <v>4293</v>
      </c>
      <c r="D542" s="1" t="s">
        <v>9029</v>
      </c>
      <c r="E542" s="1" t="s">
        <v>9031</v>
      </c>
      <c r="F542" s="1" t="s">
        <v>78</v>
      </c>
      <c r="G542" s="4"/>
      <c r="H542" s="3">
        <v>45393.0</v>
      </c>
      <c r="I542" s="1" t="s">
        <v>7986</v>
      </c>
      <c r="J542" s="1" t="s">
        <v>5900</v>
      </c>
    </row>
    <row r="543">
      <c r="A543" s="1" t="s">
        <v>9037</v>
      </c>
      <c r="B543" s="1" t="s">
        <v>5823</v>
      </c>
      <c r="C543" s="1" t="s">
        <v>4293</v>
      </c>
      <c r="D543" s="1" t="s">
        <v>9042</v>
      </c>
      <c r="E543" s="1" t="s">
        <v>9044</v>
      </c>
      <c r="F543" s="1" t="s">
        <v>78</v>
      </c>
      <c r="G543" s="4"/>
      <c r="H543" s="3">
        <v>45426.0</v>
      </c>
      <c r="I543" s="1" t="s">
        <v>5999</v>
      </c>
      <c r="J543" s="1" t="s">
        <v>5900</v>
      </c>
    </row>
    <row r="544">
      <c r="A544" s="1" t="s">
        <v>9048</v>
      </c>
      <c r="B544" s="1" t="s">
        <v>9050</v>
      </c>
      <c r="C544" s="1" t="s">
        <v>4293</v>
      </c>
      <c r="D544" s="1" t="s">
        <v>9053</v>
      </c>
      <c r="E544" s="1" t="s">
        <v>9055</v>
      </c>
      <c r="F544" s="1" t="s">
        <v>78</v>
      </c>
      <c r="G544" s="4"/>
      <c r="H544" s="3">
        <v>45696.0</v>
      </c>
      <c r="I544" s="1" t="s">
        <v>9059</v>
      </c>
      <c r="J544" s="1" t="s">
        <v>5900</v>
      </c>
    </row>
    <row r="545">
      <c r="A545" s="1" t="s">
        <v>9060</v>
      </c>
      <c r="B545" s="1" t="s">
        <v>4749</v>
      </c>
      <c r="C545" s="1" t="s">
        <v>4293</v>
      </c>
      <c r="D545" s="1" t="s">
        <v>9063</v>
      </c>
      <c r="E545" s="1" t="s">
        <v>9065</v>
      </c>
      <c r="F545" s="1" t="s">
        <v>78</v>
      </c>
      <c r="G545" s="4"/>
      <c r="H545" s="3">
        <v>44402.0</v>
      </c>
      <c r="I545" s="1" t="s">
        <v>9059</v>
      </c>
      <c r="J545" s="1" t="s">
        <v>5900</v>
      </c>
    </row>
    <row r="546">
      <c r="A546" s="1" t="s">
        <v>9072</v>
      </c>
      <c r="B546" s="1" t="s">
        <v>8310</v>
      </c>
      <c r="C546" s="1" t="s">
        <v>4293</v>
      </c>
      <c r="D546" s="1" t="s">
        <v>9074</v>
      </c>
      <c r="E546" s="1" t="s">
        <v>9075</v>
      </c>
      <c r="F546" s="1" t="s">
        <v>78</v>
      </c>
      <c r="G546" s="4"/>
      <c r="H546" s="3">
        <v>44552.0</v>
      </c>
      <c r="I546" s="1" t="s">
        <v>5999</v>
      </c>
      <c r="J546" s="1" t="s">
        <v>5900</v>
      </c>
    </row>
    <row r="547">
      <c r="A547" s="1" t="s">
        <v>9079</v>
      </c>
      <c r="B547" s="1" t="s">
        <v>4826</v>
      </c>
      <c r="C547" s="1" t="s">
        <v>4293</v>
      </c>
      <c r="D547" s="1" t="s">
        <v>9081</v>
      </c>
      <c r="E547" s="1" t="s">
        <v>9083</v>
      </c>
      <c r="F547" s="1" t="s">
        <v>78</v>
      </c>
      <c r="G547" s="4"/>
      <c r="H547" s="3">
        <v>45366.0</v>
      </c>
      <c r="I547" s="1" t="s">
        <v>5899</v>
      </c>
      <c r="J547" s="1" t="s">
        <v>5900</v>
      </c>
    </row>
    <row r="548">
      <c r="A548" s="1" t="s">
        <v>9086</v>
      </c>
      <c r="B548" s="1" t="s">
        <v>9089</v>
      </c>
      <c r="C548" s="1" t="s">
        <v>4293</v>
      </c>
      <c r="D548" s="1" t="s">
        <v>9092</v>
      </c>
      <c r="E548" s="1" t="s">
        <v>9095</v>
      </c>
      <c r="F548" s="1" t="s">
        <v>78</v>
      </c>
      <c r="G548" s="4"/>
      <c r="H548" s="3">
        <v>45743.0</v>
      </c>
      <c r="I548" s="1" t="s">
        <v>5999</v>
      </c>
      <c r="J548" s="1" t="s">
        <v>5900</v>
      </c>
    </row>
    <row r="549">
      <c r="A549" s="1" t="s">
        <v>9100</v>
      </c>
      <c r="B549" s="1" t="s">
        <v>9102</v>
      </c>
      <c r="C549" s="1" t="s">
        <v>4293</v>
      </c>
      <c r="D549" s="1" t="s">
        <v>9103</v>
      </c>
      <c r="E549" s="1" t="s">
        <v>9104</v>
      </c>
      <c r="F549" s="1" t="s">
        <v>78</v>
      </c>
      <c r="G549" s="4"/>
      <c r="H549" s="3">
        <v>45908.0</v>
      </c>
      <c r="I549" s="1" t="s">
        <v>9059</v>
      </c>
      <c r="J549" s="1" t="s">
        <v>5900</v>
      </c>
    </row>
    <row r="550">
      <c r="A550" s="1" t="s">
        <v>9110</v>
      </c>
      <c r="B550" s="1" t="s">
        <v>9111</v>
      </c>
      <c r="C550" s="1" t="s">
        <v>4293</v>
      </c>
      <c r="D550" s="1" t="s">
        <v>9115</v>
      </c>
      <c r="E550" s="1" t="s">
        <v>9117</v>
      </c>
      <c r="F550" s="1" t="s">
        <v>78</v>
      </c>
      <c r="G550" s="4"/>
      <c r="H550" s="3">
        <v>45670.0</v>
      </c>
      <c r="I550" s="1" t="s">
        <v>5899</v>
      </c>
      <c r="J550" s="1" t="s">
        <v>5900</v>
      </c>
    </row>
    <row r="551">
      <c r="A551" s="1" t="s">
        <v>9120</v>
      </c>
      <c r="B551" s="1" t="s">
        <v>9121</v>
      </c>
      <c r="C551" s="1" t="s">
        <v>4293</v>
      </c>
      <c r="D551" s="1" t="s">
        <v>9122</v>
      </c>
      <c r="E551" s="1" t="s">
        <v>9124</v>
      </c>
      <c r="F551" s="1" t="s">
        <v>78</v>
      </c>
      <c r="G551" s="4"/>
      <c r="H551" s="3">
        <v>46189.0</v>
      </c>
      <c r="I551" s="1" t="s">
        <v>9126</v>
      </c>
      <c r="J551" s="1" t="s">
        <v>4438</v>
      </c>
    </row>
    <row r="552">
      <c r="A552" s="1" t="s">
        <v>9128</v>
      </c>
      <c r="B552" s="1" t="s">
        <v>9130</v>
      </c>
      <c r="C552" s="1" t="s">
        <v>4293</v>
      </c>
      <c r="D552" s="1" t="s">
        <v>9131</v>
      </c>
      <c r="E552" s="1" t="s">
        <v>9134</v>
      </c>
      <c r="F552" s="1" t="s">
        <v>78</v>
      </c>
      <c r="G552" s="4"/>
      <c r="H552" s="3">
        <v>44732.0</v>
      </c>
      <c r="I552" s="1" t="s">
        <v>9059</v>
      </c>
      <c r="J552" s="1" t="s">
        <v>5900</v>
      </c>
    </row>
    <row r="553">
      <c r="A553" s="1" t="s">
        <v>9137</v>
      </c>
      <c r="B553" s="1" t="s">
        <v>9139</v>
      </c>
      <c r="C553" s="1" t="s">
        <v>4293</v>
      </c>
      <c r="D553" s="1" t="s">
        <v>9141</v>
      </c>
      <c r="E553" s="1" t="s">
        <v>9142</v>
      </c>
      <c r="F553" s="1" t="s">
        <v>78</v>
      </c>
      <c r="G553" s="4"/>
      <c r="H553" s="3">
        <v>45791.0</v>
      </c>
      <c r="I553" s="1" t="s">
        <v>5899</v>
      </c>
      <c r="J553" s="1" t="s">
        <v>5900</v>
      </c>
    </row>
    <row r="554">
      <c r="A554" s="1" t="s">
        <v>9146</v>
      </c>
      <c r="B554" s="1" t="s">
        <v>9147</v>
      </c>
      <c r="C554" s="1" t="s">
        <v>4293</v>
      </c>
      <c r="D554" s="1" t="s">
        <v>9149</v>
      </c>
      <c r="E554" s="1" t="s">
        <v>9151</v>
      </c>
      <c r="F554" s="1" t="s">
        <v>78</v>
      </c>
      <c r="G554" s="4"/>
      <c r="H554" s="3">
        <v>45911.0</v>
      </c>
      <c r="I554" s="1" t="s">
        <v>5999</v>
      </c>
      <c r="J554" s="1" t="s">
        <v>5900</v>
      </c>
    </row>
    <row r="555">
      <c r="A555" s="1" t="s">
        <v>9156</v>
      </c>
      <c r="B555" s="1" t="s">
        <v>9158</v>
      </c>
      <c r="C555" s="1" t="s">
        <v>4293</v>
      </c>
      <c r="D555" s="1" t="s">
        <v>9160</v>
      </c>
      <c r="E555" s="1" t="s">
        <v>9161</v>
      </c>
      <c r="F555" s="1" t="s">
        <v>78</v>
      </c>
      <c r="G555" s="4"/>
      <c r="H555" s="3">
        <v>45102.0</v>
      </c>
      <c r="I555" s="1" t="s">
        <v>9059</v>
      </c>
      <c r="J555" s="1" t="s">
        <v>5900</v>
      </c>
    </row>
    <row r="556">
      <c r="A556" s="1" t="s">
        <v>9170</v>
      </c>
      <c r="B556" s="1" t="s">
        <v>9171</v>
      </c>
      <c r="C556" s="1" t="s">
        <v>4293</v>
      </c>
      <c r="D556" s="1" t="s">
        <v>9174</v>
      </c>
      <c r="E556" s="1" t="s">
        <v>9176</v>
      </c>
      <c r="F556" s="1" t="s">
        <v>78</v>
      </c>
      <c r="G556" s="4"/>
      <c r="H556" s="3">
        <v>45814.0</v>
      </c>
      <c r="I556" s="1" t="s">
        <v>9059</v>
      </c>
      <c r="J556" s="1" t="s">
        <v>5900</v>
      </c>
    </row>
    <row r="557">
      <c r="A557" s="1" t="s">
        <v>9184</v>
      </c>
      <c r="B557" s="1" t="s">
        <v>9186</v>
      </c>
      <c r="C557" s="1" t="s">
        <v>4293</v>
      </c>
      <c r="D557" s="1" t="s">
        <v>9188</v>
      </c>
      <c r="E557" s="1" t="s">
        <v>9191</v>
      </c>
      <c r="F557" s="1" t="s">
        <v>78</v>
      </c>
      <c r="G557" s="4"/>
      <c r="H557" s="3">
        <v>43501.0</v>
      </c>
      <c r="I557" s="1" t="s">
        <v>7533</v>
      </c>
      <c r="J557" s="1" t="s">
        <v>5900</v>
      </c>
    </row>
    <row r="558">
      <c r="A558" s="1" t="s">
        <v>9193</v>
      </c>
      <c r="B558" s="1" t="s">
        <v>9196</v>
      </c>
      <c r="C558" s="1" t="s">
        <v>4293</v>
      </c>
      <c r="D558" s="1" t="s">
        <v>9197</v>
      </c>
      <c r="E558" s="1" t="s">
        <v>9200</v>
      </c>
      <c r="F558" s="1" t="s">
        <v>78</v>
      </c>
      <c r="G558" s="4"/>
      <c r="H558" s="3">
        <v>44102.0</v>
      </c>
      <c r="I558" s="1" t="s">
        <v>5899</v>
      </c>
      <c r="J558" s="1" t="s">
        <v>5900</v>
      </c>
    </row>
    <row r="559">
      <c r="A559" s="1" t="s">
        <v>9205</v>
      </c>
      <c r="B559" s="1" t="s">
        <v>9135</v>
      </c>
      <c r="C559" s="1" t="s">
        <v>4293</v>
      </c>
      <c r="D559" s="1" t="s">
        <v>9208</v>
      </c>
      <c r="E559" s="1" t="s">
        <v>9209</v>
      </c>
      <c r="F559" s="1" t="s">
        <v>78</v>
      </c>
      <c r="G559" s="4"/>
      <c r="H559" s="3">
        <v>44299.0</v>
      </c>
      <c r="I559" s="1" t="s">
        <v>8524</v>
      </c>
      <c r="J559" s="1" t="s">
        <v>5900</v>
      </c>
    </row>
    <row r="560">
      <c r="A560" s="1" t="s">
        <v>9215</v>
      </c>
      <c r="B560" s="1" t="s">
        <v>7782</v>
      </c>
      <c r="C560" s="1" t="s">
        <v>4293</v>
      </c>
      <c r="D560" s="1" t="s">
        <v>9217</v>
      </c>
      <c r="E560" s="1" t="s">
        <v>9219</v>
      </c>
      <c r="F560" s="1" t="s">
        <v>78</v>
      </c>
      <c r="G560" s="4"/>
      <c r="H560" s="3">
        <v>43787.0</v>
      </c>
      <c r="I560" s="1" t="s">
        <v>7533</v>
      </c>
      <c r="J560" s="1" t="s">
        <v>5900</v>
      </c>
    </row>
    <row r="561">
      <c r="A561" s="1" t="s">
        <v>9223</v>
      </c>
      <c r="B561" s="1" t="s">
        <v>9225</v>
      </c>
      <c r="C561" s="1" t="s">
        <v>4293</v>
      </c>
      <c r="D561" s="1" t="s">
        <v>9226</v>
      </c>
      <c r="E561" s="1" t="s">
        <v>9228</v>
      </c>
      <c r="F561" s="1" t="s">
        <v>78</v>
      </c>
      <c r="G561" s="4"/>
      <c r="H561" s="3">
        <v>44424.0</v>
      </c>
      <c r="I561" s="1" t="s">
        <v>7533</v>
      </c>
      <c r="J561" s="1" t="s">
        <v>5900</v>
      </c>
    </row>
    <row r="562">
      <c r="A562" s="1" t="s">
        <v>9235</v>
      </c>
      <c r="B562" s="1" t="s">
        <v>9236</v>
      </c>
      <c r="C562" s="1" t="s">
        <v>4293</v>
      </c>
      <c r="D562" s="1" t="s">
        <v>9238</v>
      </c>
      <c r="E562" s="1" t="s">
        <v>9241</v>
      </c>
      <c r="F562" s="1" t="s">
        <v>78</v>
      </c>
      <c r="G562" s="4"/>
      <c r="H562" s="3">
        <v>44537.0</v>
      </c>
      <c r="I562" s="1" t="s">
        <v>5999</v>
      </c>
      <c r="J562" s="1" t="s">
        <v>5900</v>
      </c>
    </row>
    <row r="563">
      <c r="A563" s="1" t="s">
        <v>9243</v>
      </c>
      <c r="B563" s="1" t="s">
        <v>9244</v>
      </c>
      <c r="C563" s="1" t="s">
        <v>4293</v>
      </c>
      <c r="D563" s="1" t="s">
        <v>9246</v>
      </c>
      <c r="E563" s="1" t="s">
        <v>9248</v>
      </c>
      <c r="F563" s="1" t="s">
        <v>78</v>
      </c>
      <c r="G563" s="4"/>
      <c r="H563" s="3">
        <v>45540.0</v>
      </c>
      <c r="I563" s="1" t="s">
        <v>6181</v>
      </c>
      <c r="J563" s="1" t="s">
        <v>5900</v>
      </c>
    </row>
    <row r="564">
      <c r="A564" s="1" t="s">
        <v>9255</v>
      </c>
      <c r="B564" s="1" t="s">
        <v>9256</v>
      </c>
      <c r="C564" s="1" t="s">
        <v>4293</v>
      </c>
      <c r="D564" s="1" t="s">
        <v>9258</v>
      </c>
      <c r="E564" s="1" t="s">
        <v>9260</v>
      </c>
      <c r="F564" s="1" t="s">
        <v>78</v>
      </c>
      <c r="G564" s="4"/>
      <c r="H564" s="3">
        <v>44348.0</v>
      </c>
      <c r="I564" s="1" t="s">
        <v>7060</v>
      </c>
      <c r="J564" s="1" t="s">
        <v>5900</v>
      </c>
    </row>
    <row r="565">
      <c r="A565" s="1" t="s">
        <v>9264</v>
      </c>
      <c r="B565" s="1" t="s">
        <v>5842</v>
      </c>
      <c r="C565" s="1" t="s">
        <v>4293</v>
      </c>
      <c r="D565" s="1" t="s">
        <v>9266</v>
      </c>
      <c r="E565" s="1" t="s">
        <v>9268</v>
      </c>
      <c r="F565" s="1" t="s">
        <v>78</v>
      </c>
      <c r="G565" s="4"/>
      <c r="H565" s="3">
        <v>45586.0</v>
      </c>
      <c r="I565" s="1" t="s">
        <v>5899</v>
      </c>
      <c r="J565" s="1" t="s">
        <v>5900</v>
      </c>
    </row>
    <row r="566">
      <c r="A566" s="1" t="s">
        <v>9272</v>
      </c>
      <c r="B566" s="1" t="s">
        <v>6916</v>
      </c>
      <c r="C566" s="1" t="s">
        <v>4293</v>
      </c>
      <c r="D566" s="1" t="s">
        <v>9275</v>
      </c>
      <c r="E566" s="1" t="s">
        <v>9277</v>
      </c>
      <c r="F566" s="1" t="s">
        <v>78</v>
      </c>
      <c r="G566" s="4"/>
      <c r="H566" s="3">
        <v>45432.0</v>
      </c>
      <c r="I566" s="1" t="s">
        <v>5899</v>
      </c>
      <c r="J566" s="1" t="s">
        <v>5900</v>
      </c>
    </row>
    <row r="567">
      <c r="A567" s="1" t="s">
        <v>9282</v>
      </c>
      <c r="B567" s="1" t="s">
        <v>9284</v>
      </c>
      <c r="C567" s="1" t="s">
        <v>4293</v>
      </c>
      <c r="D567" s="1" t="s">
        <v>9286</v>
      </c>
      <c r="E567" s="1" t="s">
        <v>9287</v>
      </c>
      <c r="F567" s="1" t="s">
        <v>78</v>
      </c>
      <c r="G567" s="4"/>
      <c r="H567" s="3">
        <v>43879.0</v>
      </c>
      <c r="I567" s="1" t="s">
        <v>5899</v>
      </c>
      <c r="J567" s="1" t="s">
        <v>5900</v>
      </c>
    </row>
    <row r="568">
      <c r="A568" s="1" t="s">
        <v>9292</v>
      </c>
      <c r="B568" s="1" t="s">
        <v>9294</v>
      </c>
      <c r="C568" s="1" t="s">
        <v>4293</v>
      </c>
      <c r="D568" s="1" t="s">
        <v>9295</v>
      </c>
      <c r="E568" s="1" t="s">
        <v>9298</v>
      </c>
      <c r="F568" s="1" t="s">
        <v>78</v>
      </c>
      <c r="G568" s="4"/>
      <c r="H568" s="3">
        <v>45742.0</v>
      </c>
      <c r="I568" s="1" t="s">
        <v>8658</v>
      </c>
      <c r="J568" s="1" t="s">
        <v>5900</v>
      </c>
    </row>
    <row r="569">
      <c r="A569" s="1" t="s">
        <v>9303</v>
      </c>
      <c r="B569" s="1" t="s">
        <v>5272</v>
      </c>
      <c r="C569" s="1" t="s">
        <v>4293</v>
      </c>
      <c r="D569" s="1" t="s">
        <v>9304</v>
      </c>
      <c r="E569" s="1" t="s">
        <v>9305</v>
      </c>
      <c r="F569" s="1" t="s">
        <v>78</v>
      </c>
      <c r="G569" s="4"/>
      <c r="H569" s="3">
        <v>43670.0</v>
      </c>
      <c r="I569" s="1" t="s">
        <v>6181</v>
      </c>
      <c r="J569" s="1" t="s">
        <v>5900</v>
      </c>
    </row>
    <row r="570">
      <c r="A570" s="1" t="s">
        <v>9309</v>
      </c>
      <c r="B570" s="1" t="s">
        <v>9310</v>
      </c>
      <c r="C570" s="1" t="s">
        <v>4293</v>
      </c>
      <c r="D570" s="1" t="s">
        <v>9311</v>
      </c>
      <c r="E570" s="1" t="s">
        <v>9313</v>
      </c>
      <c r="F570" s="1" t="s">
        <v>78</v>
      </c>
      <c r="G570" s="4"/>
      <c r="H570" s="3">
        <v>45350.0</v>
      </c>
      <c r="I570" s="1" t="s">
        <v>6181</v>
      </c>
      <c r="J570" s="1" t="s">
        <v>5900</v>
      </c>
    </row>
    <row r="571">
      <c r="A571" s="1" t="s">
        <v>9318</v>
      </c>
      <c r="B571" s="1" t="s">
        <v>6931</v>
      </c>
      <c r="C571" s="1" t="s">
        <v>4293</v>
      </c>
      <c r="D571" s="1" t="s">
        <v>9322</v>
      </c>
      <c r="E571" s="1" t="s">
        <v>9324</v>
      </c>
      <c r="F571" s="1" t="s">
        <v>78</v>
      </c>
      <c r="G571" s="4"/>
      <c r="H571" s="3">
        <v>43111.0</v>
      </c>
      <c r="I571" s="1" t="s">
        <v>5899</v>
      </c>
      <c r="J571" s="1" t="s">
        <v>5900</v>
      </c>
    </row>
    <row r="572">
      <c r="A572" s="1" t="s">
        <v>9327</v>
      </c>
      <c r="B572" s="1" t="s">
        <v>5448</v>
      </c>
      <c r="C572" s="1" t="s">
        <v>4293</v>
      </c>
      <c r="D572" s="1" t="s">
        <v>9331</v>
      </c>
      <c r="E572" s="1" t="s">
        <v>9332</v>
      </c>
      <c r="F572" s="1" t="s">
        <v>78</v>
      </c>
      <c r="G572" s="4"/>
      <c r="H572" s="3">
        <v>45069.0</v>
      </c>
      <c r="I572" s="1" t="s">
        <v>5999</v>
      </c>
      <c r="J572" s="1" t="s">
        <v>5900</v>
      </c>
    </row>
    <row r="573">
      <c r="A573" s="1" t="s">
        <v>9338</v>
      </c>
      <c r="B573" s="1" t="s">
        <v>9339</v>
      </c>
      <c r="C573" s="1" t="s">
        <v>4293</v>
      </c>
      <c r="D573" s="1" t="s">
        <v>9341</v>
      </c>
      <c r="E573" s="1" t="s">
        <v>9343</v>
      </c>
      <c r="F573" s="1" t="s">
        <v>78</v>
      </c>
      <c r="G573" s="4"/>
      <c r="H573" s="3">
        <v>44293.0</v>
      </c>
      <c r="I573" s="1" t="s">
        <v>9344</v>
      </c>
      <c r="J573" s="1" t="s">
        <v>5900</v>
      </c>
    </row>
    <row r="574">
      <c r="A574" s="1" t="s">
        <v>9348</v>
      </c>
      <c r="B574" s="1" t="s">
        <v>9349</v>
      </c>
      <c r="C574" s="1" t="s">
        <v>4293</v>
      </c>
      <c r="D574" s="1" t="s">
        <v>9352</v>
      </c>
      <c r="E574" s="1" t="s">
        <v>9354</v>
      </c>
      <c r="F574" s="1" t="s">
        <v>78</v>
      </c>
      <c r="G574" s="4"/>
      <c r="H574" s="3">
        <v>45365.0</v>
      </c>
      <c r="I574" s="1" t="s">
        <v>7012</v>
      </c>
      <c r="J574" s="1" t="s">
        <v>5900</v>
      </c>
    </row>
    <row r="575">
      <c r="A575" s="1" t="s">
        <v>9359</v>
      </c>
      <c r="B575" s="1" t="s">
        <v>9360</v>
      </c>
      <c r="C575" s="1" t="s">
        <v>4293</v>
      </c>
      <c r="D575" s="1" t="s">
        <v>9363</v>
      </c>
      <c r="E575" s="1" t="s">
        <v>9364</v>
      </c>
      <c r="F575" s="1" t="s">
        <v>78</v>
      </c>
      <c r="G575" s="4"/>
      <c r="H575" s="3">
        <v>44858.0</v>
      </c>
      <c r="I575" s="1" t="s">
        <v>6690</v>
      </c>
      <c r="J575" s="1" t="s">
        <v>5900</v>
      </c>
    </row>
    <row r="576">
      <c r="A576" s="1" t="s">
        <v>9369</v>
      </c>
      <c r="B576" s="1" t="s">
        <v>9371</v>
      </c>
      <c r="C576" s="1" t="s">
        <v>4293</v>
      </c>
      <c r="D576" s="1" t="s">
        <v>9373</v>
      </c>
      <c r="E576" s="1" t="s">
        <v>9375</v>
      </c>
      <c r="F576" s="1" t="s">
        <v>78</v>
      </c>
      <c r="G576" s="4"/>
      <c r="H576" s="3">
        <v>45204.0</v>
      </c>
      <c r="I576" s="1" t="s">
        <v>7012</v>
      </c>
      <c r="J576" s="1" t="s">
        <v>5900</v>
      </c>
    </row>
    <row r="577">
      <c r="A577" s="1" t="s">
        <v>9380</v>
      </c>
      <c r="B577" s="1" t="s">
        <v>9382</v>
      </c>
      <c r="C577" s="1" t="s">
        <v>4293</v>
      </c>
      <c r="D577" s="1" t="s">
        <v>9384</v>
      </c>
      <c r="E577" s="1" t="s">
        <v>9386</v>
      </c>
      <c r="F577" s="1" t="s">
        <v>78</v>
      </c>
      <c r="G577" s="4"/>
      <c r="H577" s="3">
        <v>44452.0</v>
      </c>
      <c r="I577" s="1" t="s">
        <v>5999</v>
      </c>
      <c r="J577" s="1" t="s">
        <v>5900</v>
      </c>
    </row>
    <row r="578">
      <c r="A578" s="1" t="s">
        <v>9391</v>
      </c>
      <c r="B578" s="1" t="s">
        <v>9394</v>
      </c>
      <c r="C578" s="1" t="s">
        <v>4293</v>
      </c>
      <c r="D578" s="1" t="s">
        <v>9395</v>
      </c>
      <c r="E578" s="1" t="s">
        <v>9396</v>
      </c>
      <c r="F578" s="1" t="s">
        <v>78</v>
      </c>
      <c r="G578" s="4"/>
      <c r="H578" s="3">
        <v>45446.0</v>
      </c>
      <c r="I578" s="1" t="s">
        <v>5899</v>
      </c>
      <c r="J578" s="1" t="s">
        <v>5900</v>
      </c>
    </row>
    <row r="579">
      <c r="A579" s="1" t="s">
        <v>9401</v>
      </c>
      <c r="B579" s="1" t="s">
        <v>9402</v>
      </c>
      <c r="C579" s="1" t="s">
        <v>4293</v>
      </c>
      <c r="D579" s="1" t="s">
        <v>9404</v>
      </c>
      <c r="E579" s="1" t="s">
        <v>9406</v>
      </c>
      <c r="F579" s="1" t="s">
        <v>78</v>
      </c>
      <c r="G579" s="4"/>
      <c r="H579" s="3">
        <v>45223.0</v>
      </c>
      <c r="I579" s="1" t="s">
        <v>7012</v>
      </c>
      <c r="J579" s="1" t="s">
        <v>5900</v>
      </c>
    </row>
    <row r="580">
      <c r="A580" s="1" t="s">
        <v>9412</v>
      </c>
      <c r="B580" s="1" t="s">
        <v>9413</v>
      </c>
      <c r="C580" s="1" t="s">
        <v>4293</v>
      </c>
      <c r="D580" s="1" t="s">
        <v>9416</v>
      </c>
      <c r="E580" s="1" t="s">
        <v>9417</v>
      </c>
      <c r="F580" s="1" t="s">
        <v>78</v>
      </c>
      <c r="G580" s="4"/>
      <c r="H580" s="3">
        <v>43692.0</v>
      </c>
      <c r="I580" s="1" t="s">
        <v>9420</v>
      </c>
      <c r="J580" s="1" t="s">
        <v>5900</v>
      </c>
    </row>
    <row r="581">
      <c r="A581" s="1" t="s">
        <v>9422</v>
      </c>
      <c r="B581" s="1" t="s">
        <v>4292</v>
      </c>
      <c r="C581" s="1" t="s">
        <v>4293</v>
      </c>
      <c r="D581" s="1" t="s">
        <v>9425</v>
      </c>
      <c r="E581" s="1" t="s">
        <v>9427</v>
      </c>
      <c r="F581" s="1" t="s">
        <v>78</v>
      </c>
      <c r="G581" s="4"/>
      <c r="H581" s="3">
        <v>45336.0</v>
      </c>
      <c r="I581" s="1" t="s">
        <v>7012</v>
      </c>
      <c r="J581" s="1" t="s">
        <v>5900</v>
      </c>
    </row>
    <row r="582">
      <c r="A582" s="1" t="s">
        <v>9432</v>
      </c>
      <c r="B582" s="1" t="s">
        <v>5035</v>
      </c>
      <c r="C582" s="1" t="s">
        <v>4293</v>
      </c>
      <c r="D582" s="1" t="s">
        <v>9433</v>
      </c>
      <c r="E582" s="1" t="s">
        <v>9436</v>
      </c>
      <c r="F582" s="1" t="s">
        <v>78</v>
      </c>
      <c r="G582" s="4"/>
      <c r="H582" s="3">
        <v>45379.0</v>
      </c>
      <c r="I582" s="1" t="s">
        <v>5899</v>
      </c>
      <c r="J582" s="1" t="s">
        <v>5900</v>
      </c>
    </row>
    <row r="583">
      <c r="A583" s="1" t="s">
        <v>9440</v>
      </c>
      <c r="B583" s="1" t="s">
        <v>4484</v>
      </c>
      <c r="C583" s="1" t="s">
        <v>4293</v>
      </c>
      <c r="D583" s="1" t="s">
        <v>9442</v>
      </c>
      <c r="E583" s="1" t="s">
        <v>9444</v>
      </c>
      <c r="F583" s="1" t="s">
        <v>78</v>
      </c>
      <c r="G583" s="4"/>
      <c r="H583" s="3">
        <v>44620.0</v>
      </c>
      <c r="I583" s="1" t="s">
        <v>5999</v>
      </c>
      <c r="J583" s="1" t="s">
        <v>5900</v>
      </c>
    </row>
    <row r="584">
      <c r="A584" s="1" t="s">
        <v>9450</v>
      </c>
      <c r="B584" s="1" t="s">
        <v>9451</v>
      </c>
      <c r="C584" s="1" t="s">
        <v>4293</v>
      </c>
      <c r="D584" s="1" t="s">
        <v>9453</v>
      </c>
      <c r="E584" s="1" t="s">
        <v>9455</v>
      </c>
      <c r="F584" s="1" t="s">
        <v>78</v>
      </c>
      <c r="G584" s="4"/>
      <c r="H584" s="3">
        <v>45261.0</v>
      </c>
      <c r="I584" s="1" t="s">
        <v>7593</v>
      </c>
      <c r="J584" s="1" t="s">
        <v>5900</v>
      </c>
    </row>
    <row r="585">
      <c r="A585" s="1" t="s">
        <v>9459</v>
      </c>
      <c r="B585" s="1" t="s">
        <v>5605</v>
      </c>
      <c r="C585" s="1" t="s">
        <v>4293</v>
      </c>
      <c r="D585" s="1" t="s">
        <v>9463</v>
      </c>
      <c r="E585" s="1" t="s">
        <v>9465</v>
      </c>
      <c r="F585" s="1" t="s">
        <v>78</v>
      </c>
      <c r="G585" s="4"/>
      <c r="H585" s="3">
        <v>44651.0</v>
      </c>
      <c r="I585" s="1" t="s">
        <v>5999</v>
      </c>
      <c r="J585" s="1" t="s">
        <v>5900</v>
      </c>
    </row>
    <row r="586">
      <c r="A586" s="1" t="s">
        <v>9469</v>
      </c>
      <c r="B586" s="1" t="s">
        <v>9470</v>
      </c>
      <c r="C586" s="1" t="s">
        <v>4293</v>
      </c>
      <c r="D586" s="1" t="s">
        <v>9471</v>
      </c>
      <c r="E586" s="1" t="s">
        <v>9474</v>
      </c>
      <c r="F586" s="1" t="s">
        <v>78</v>
      </c>
      <c r="G586" s="4"/>
      <c r="H586" s="3">
        <v>45383.0</v>
      </c>
      <c r="I586" s="1" t="s">
        <v>5899</v>
      </c>
      <c r="J586" s="1" t="s">
        <v>5900</v>
      </c>
    </row>
    <row r="587">
      <c r="A587" s="1" t="s">
        <v>9478</v>
      </c>
      <c r="B587" s="1" t="s">
        <v>8630</v>
      </c>
      <c r="C587" s="1" t="s">
        <v>4293</v>
      </c>
      <c r="D587" s="1" t="s">
        <v>9481</v>
      </c>
      <c r="E587" s="1" t="s">
        <v>9482</v>
      </c>
      <c r="F587" s="1" t="s">
        <v>78</v>
      </c>
      <c r="G587" s="4"/>
      <c r="H587" s="3">
        <v>45755.0</v>
      </c>
      <c r="I587" s="1" t="s">
        <v>6946</v>
      </c>
      <c r="J587" s="1" t="s">
        <v>5900</v>
      </c>
    </row>
    <row r="588">
      <c r="A588" s="1" t="s">
        <v>9486</v>
      </c>
      <c r="B588" s="1" t="s">
        <v>9487</v>
      </c>
      <c r="C588" s="1" t="s">
        <v>4293</v>
      </c>
      <c r="D588" s="1" t="s">
        <v>9488</v>
      </c>
      <c r="E588" s="1" t="s">
        <v>9490</v>
      </c>
      <c r="F588" s="1" t="s">
        <v>78</v>
      </c>
      <c r="G588" s="4"/>
      <c r="H588" s="3">
        <v>44197.0</v>
      </c>
      <c r="I588" s="1" t="s">
        <v>7060</v>
      </c>
      <c r="J588" s="1" t="s">
        <v>5900</v>
      </c>
    </row>
    <row r="589">
      <c r="A589" s="1" t="s">
        <v>9494</v>
      </c>
      <c r="B589" s="1" t="s">
        <v>9496</v>
      </c>
      <c r="C589" s="1" t="s">
        <v>4293</v>
      </c>
      <c r="D589" s="1" t="s">
        <v>9498</v>
      </c>
      <c r="E589" s="1" t="s">
        <v>9500</v>
      </c>
      <c r="F589" s="1" t="s">
        <v>78</v>
      </c>
      <c r="G589" s="4"/>
      <c r="H589" s="3">
        <v>45820.0</v>
      </c>
      <c r="I589" s="1" t="s">
        <v>8253</v>
      </c>
      <c r="J589" s="1" t="s">
        <v>5900</v>
      </c>
    </row>
    <row r="590">
      <c r="A590" s="1" t="s">
        <v>9505</v>
      </c>
      <c r="B590" s="1" t="s">
        <v>9506</v>
      </c>
      <c r="C590" s="1" t="s">
        <v>4293</v>
      </c>
      <c r="D590" s="1" t="s">
        <v>9507</v>
      </c>
      <c r="E590" s="1" t="s">
        <v>9508</v>
      </c>
      <c r="F590" s="1" t="s">
        <v>78</v>
      </c>
      <c r="G590" s="4"/>
      <c r="H590" s="3">
        <v>43525.0</v>
      </c>
      <c r="I590" s="1" t="s">
        <v>6946</v>
      </c>
      <c r="J590" s="1" t="s">
        <v>5900</v>
      </c>
    </row>
    <row r="591">
      <c r="A591" s="1" t="s">
        <v>9512</v>
      </c>
      <c r="B591" s="1" t="s">
        <v>9514</v>
      </c>
      <c r="C591" s="1" t="s">
        <v>4293</v>
      </c>
      <c r="D591" s="1" t="s">
        <v>9520</v>
      </c>
      <c r="E591" s="1" t="s">
        <v>9523</v>
      </c>
      <c r="F591" s="1" t="s">
        <v>78</v>
      </c>
      <c r="G591" s="4"/>
      <c r="H591" s="3">
        <v>45167.0</v>
      </c>
      <c r="I591" s="1" t="s">
        <v>5899</v>
      </c>
      <c r="J591" s="1" t="s">
        <v>5900</v>
      </c>
    </row>
    <row r="592">
      <c r="A592" s="1" t="s">
        <v>9530</v>
      </c>
      <c r="B592" s="1" t="s">
        <v>5055</v>
      </c>
      <c r="C592" s="1" t="s">
        <v>4293</v>
      </c>
      <c r="D592" s="1" t="s">
        <v>9532</v>
      </c>
      <c r="E592" s="1" t="s">
        <v>9534</v>
      </c>
      <c r="F592" s="1" t="s">
        <v>78</v>
      </c>
      <c r="G592" s="4"/>
      <c r="H592" s="3">
        <v>44136.0</v>
      </c>
      <c r="I592" s="1" t="s">
        <v>5999</v>
      </c>
      <c r="J592" s="1" t="s">
        <v>5900</v>
      </c>
    </row>
    <row r="593">
      <c r="A593" s="1" t="s">
        <v>9539</v>
      </c>
      <c r="B593" s="1" t="s">
        <v>9540</v>
      </c>
      <c r="C593" s="1" t="s">
        <v>4293</v>
      </c>
      <c r="D593" s="1" t="s">
        <v>9543</v>
      </c>
      <c r="E593" s="1" t="s">
        <v>9546</v>
      </c>
      <c r="F593" s="1" t="s">
        <v>78</v>
      </c>
      <c r="G593" s="4"/>
      <c r="H593" s="3">
        <v>45859.0</v>
      </c>
      <c r="I593" s="1" t="s">
        <v>5979</v>
      </c>
      <c r="J593" s="1" t="s">
        <v>5900</v>
      </c>
    </row>
    <row r="594">
      <c r="A594" s="1" t="s">
        <v>9549</v>
      </c>
      <c r="B594" s="1" t="s">
        <v>9551</v>
      </c>
      <c r="C594" s="1" t="s">
        <v>4293</v>
      </c>
      <c r="D594" s="1" t="s">
        <v>9553</v>
      </c>
      <c r="E594" s="1" t="s">
        <v>9555</v>
      </c>
      <c r="F594" s="1" t="s">
        <v>78</v>
      </c>
      <c r="G594" s="4"/>
      <c r="H594" s="3">
        <v>43593.0</v>
      </c>
      <c r="I594" s="1" t="s">
        <v>5899</v>
      </c>
      <c r="J594" s="1" t="s">
        <v>5900</v>
      </c>
    </row>
    <row r="595">
      <c r="A595" s="1" t="s">
        <v>9558</v>
      </c>
      <c r="B595" s="1" t="s">
        <v>9560</v>
      </c>
      <c r="C595" s="1" t="s">
        <v>4293</v>
      </c>
      <c r="D595" s="1" t="s">
        <v>9561</v>
      </c>
      <c r="E595" s="1" t="s">
        <v>9563</v>
      </c>
      <c r="F595" s="1" t="s">
        <v>78</v>
      </c>
      <c r="G595" s="4"/>
      <c r="H595" s="3">
        <v>44419.0</v>
      </c>
      <c r="I595" s="1" t="s">
        <v>9565</v>
      </c>
      <c r="J595" s="1" t="s">
        <v>5900</v>
      </c>
    </row>
    <row r="596">
      <c r="A596" s="1" t="s">
        <v>9569</v>
      </c>
      <c r="B596" s="1" t="s">
        <v>9570</v>
      </c>
      <c r="C596" s="1" t="s">
        <v>4293</v>
      </c>
      <c r="D596" s="1" t="s">
        <v>7150</v>
      </c>
      <c r="E596" s="1" t="s">
        <v>9573</v>
      </c>
      <c r="F596" s="1" t="s">
        <v>78</v>
      </c>
      <c r="G596" s="4"/>
      <c r="H596" s="3">
        <v>45876.0</v>
      </c>
      <c r="I596" s="1" t="s">
        <v>9565</v>
      </c>
      <c r="J596" s="1" t="s">
        <v>5900</v>
      </c>
    </row>
    <row r="597">
      <c r="A597" s="1" t="s">
        <v>9579</v>
      </c>
      <c r="B597" s="1" t="s">
        <v>9581</v>
      </c>
      <c r="C597" s="1" t="s">
        <v>4293</v>
      </c>
      <c r="D597" s="1" t="s">
        <v>9583</v>
      </c>
      <c r="E597" s="1" t="s">
        <v>9585</v>
      </c>
      <c r="F597" s="1" t="s">
        <v>84</v>
      </c>
      <c r="G597" s="1" t="s">
        <v>253</v>
      </c>
      <c r="H597" s="1" t="s">
        <v>460</v>
      </c>
      <c r="I597" s="1" t="s">
        <v>9589</v>
      </c>
      <c r="J597" s="1" t="s">
        <v>9590</v>
      </c>
    </row>
    <row r="598">
      <c r="A598" s="1" t="s">
        <v>9592</v>
      </c>
      <c r="B598" s="1" t="s">
        <v>9594</v>
      </c>
      <c r="C598" s="1" t="s">
        <v>4293</v>
      </c>
      <c r="D598" s="1" t="s">
        <v>9597</v>
      </c>
      <c r="E598" s="1" t="s">
        <v>9598</v>
      </c>
      <c r="F598" s="1" t="s">
        <v>78</v>
      </c>
      <c r="G598" s="4"/>
      <c r="H598" s="3">
        <v>45777.0</v>
      </c>
      <c r="I598" s="1" t="s">
        <v>6258</v>
      </c>
      <c r="J598" s="1" t="s">
        <v>5900</v>
      </c>
    </row>
    <row r="599">
      <c r="A599" s="1" t="s">
        <v>9608</v>
      </c>
      <c r="B599" s="1" t="s">
        <v>9610</v>
      </c>
      <c r="C599" s="1" t="s">
        <v>4293</v>
      </c>
      <c r="D599" s="1" t="s">
        <v>9611</v>
      </c>
      <c r="E599" s="1" t="s">
        <v>9612</v>
      </c>
      <c r="F599" s="1" t="s">
        <v>78</v>
      </c>
      <c r="G599" s="4"/>
      <c r="H599" s="3">
        <v>45742.0</v>
      </c>
      <c r="I599" s="1" t="s">
        <v>9420</v>
      </c>
      <c r="J599" s="1" t="s">
        <v>5900</v>
      </c>
    </row>
    <row r="600">
      <c r="A600" s="1" t="s">
        <v>9615</v>
      </c>
      <c r="B600" s="1" t="s">
        <v>9617</v>
      </c>
      <c r="C600" s="1" t="s">
        <v>4293</v>
      </c>
      <c r="D600" s="1" t="s">
        <v>9619</v>
      </c>
      <c r="E600" s="1" t="s">
        <v>9620</v>
      </c>
      <c r="F600" s="1" t="s">
        <v>78</v>
      </c>
      <c r="G600" s="4"/>
      <c r="H600" s="3">
        <v>44734.0</v>
      </c>
      <c r="I600" s="1" t="s">
        <v>6251</v>
      </c>
      <c r="J600" s="1" t="s">
        <v>5900</v>
      </c>
    </row>
    <row r="601">
      <c r="A601" s="1" t="s">
        <v>9626</v>
      </c>
      <c r="B601" s="1" t="s">
        <v>9628</v>
      </c>
      <c r="C601" s="1" t="s">
        <v>4293</v>
      </c>
      <c r="D601" s="1" t="s">
        <v>9630</v>
      </c>
      <c r="E601" s="1" t="s">
        <v>9632</v>
      </c>
      <c r="F601" s="1" t="s">
        <v>78</v>
      </c>
      <c r="G601" s="4"/>
      <c r="H601" s="3">
        <v>44385.0</v>
      </c>
      <c r="I601" s="1" t="s">
        <v>5899</v>
      </c>
      <c r="J601" s="1" t="s">
        <v>5900</v>
      </c>
    </row>
    <row r="602">
      <c r="A602" s="1" t="s">
        <v>9637</v>
      </c>
      <c r="B602" s="1" t="s">
        <v>9638</v>
      </c>
      <c r="C602" s="1" t="s">
        <v>4293</v>
      </c>
      <c r="D602" s="1" t="s">
        <v>9640</v>
      </c>
      <c r="E602" s="1" t="s">
        <v>9642</v>
      </c>
      <c r="F602" s="1" t="s">
        <v>78</v>
      </c>
      <c r="G602" s="4"/>
      <c r="H602" s="3">
        <v>44827.0</v>
      </c>
      <c r="I602" s="1" t="s">
        <v>5899</v>
      </c>
      <c r="J602" s="1" t="s">
        <v>5900</v>
      </c>
    </row>
    <row r="603">
      <c r="A603" s="1" t="s">
        <v>9646</v>
      </c>
      <c r="B603" s="1" t="s">
        <v>9647</v>
      </c>
      <c r="C603" s="1" t="s">
        <v>4293</v>
      </c>
      <c r="D603" s="1" t="s">
        <v>9649</v>
      </c>
      <c r="E603" s="1" t="s">
        <v>9651</v>
      </c>
      <c r="F603" s="1" t="s">
        <v>78</v>
      </c>
      <c r="G603" s="4"/>
      <c r="H603" s="3">
        <v>44799.0</v>
      </c>
      <c r="I603" s="1" t="s">
        <v>5899</v>
      </c>
      <c r="J603" s="1" t="s">
        <v>5900</v>
      </c>
    </row>
    <row r="604">
      <c r="A604" s="1" t="s">
        <v>9656</v>
      </c>
      <c r="B604" s="1" t="s">
        <v>5808</v>
      </c>
      <c r="C604" s="1" t="s">
        <v>4293</v>
      </c>
      <c r="D604" s="1" t="s">
        <v>9464</v>
      </c>
      <c r="E604" s="1" t="s">
        <v>9660</v>
      </c>
      <c r="F604" s="1" t="s">
        <v>78</v>
      </c>
      <c r="G604" s="4"/>
      <c r="H604" s="3">
        <v>45649.0</v>
      </c>
      <c r="I604" s="1" t="s">
        <v>6258</v>
      </c>
      <c r="J604" s="1" t="s">
        <v>5900</v>
      </c>
    </row>
    <row r="605">
      <c r="A605" s="1" t="s">
        <v>9664</v>
      </c>
      <c r="B605" s="1" t="s">
        <v>9666</v>
      </c>
      <c r="C605" s="1" t="s">
        <v>4293</v>
      </c>
      <c r="D605" s="1" t="s">
        <v>9668</v>
      </c>
      <c r="E605" s="1" t="s">
        <v>9669</v>
      </c>
      <c r="F605" s="1" t="s">
        <v>78</v>
      </c>
      <c r="G605" s="4"/>
      <c r="H605" s="3">
        <v>45715.0</v>
      </c>
      <c r="I605" s="1" t="s">
        <v>8886</v>
      </c>
      <c r="J605" s="1" t="s">
        <v>5900</v>
      </c>
    </row>
    <row r="606">
      <c r="A606" s="1" t="s">
        <v>9672</v>
      </c>
      <c r="B606" s="1" t="s">
        <v>6193</v>
      </c>
      <c r="C606" s="1" t="s">
        <v>4293</v>
      </c>
      <c r="D606" s="1" t="s">
        <v>9676</v>
      </c>
      <c r="E606" s="1" t="s">
        <v>9678</v>
      </c>
      <c r="F606" s="1" t="s">
        <v>78</v>
      </c>
      <c r="G606" s="4"/>
      <c r="H606" s="3">
        <v>43132.0</v>
      </c>
      <c r="I606" s="1" t="s">
        <v>6657</v>
      </c>
      <c r="J606" s="1" t="s">
        <v>5900</v>
      </c>
    </row>
    <row r="607">
      <c r="A607" s="1" t="s">
        <v>9682</v>
      </c>
      <c r="B607" s="1" t="s">
        <v>9683</v>
      </c>
      <c r="C607" s="1" t="s">
        <v>4293</v>
      </c>
      <c r="D607" s="1" t="s">
        <v>9684</v>
      </c>
      <c r="E607" s="1" t="s">
        <v>9686</v>
      </c>
      <c r="F607" s="1" t="s">
        <v>78</v>
      </c>
      <c r="G607" s="4"/>
      <c r="H607" s="3">
        <v>44298.0</v>
      </c>
      <c r="I607" s="1" t="s">
        <v>6842</v>
      </c>
      <c r="J607" s="1" t="s">
        <v>5900</v>
      </c>
    </row>
    <row r="608">
      <c r="A608" s="1" t="s">
        <v>9690</v>
      </c>
      <c r="B608" s="1" t="s">
        <v>9691</v>
      </c>
      <c r="C608" s="1" t="s">
        <v>4293</v>
      </c>
      <c r="D608" s="1" t="s">
        <v>9692</v>
      </c>
      <c r="E608" s="1" t="s">
        <v>9693</v>
      </c>
      <c r="F608" s="1" t="s">
        <v>78</v>
      </c>
      <c r="G608" s="4"/>
      <c r="H608" s="3">
        <v>43997.0</v>
      </c>
      <c r="I608" s="1" t="s">
        <v>6258</v>
      </c>
      <c r="J608" s="1" t="s">
        <v>5900</v>
      </c>
    </row>
    <row r="609">
      <c r="A609" s="1" t="s">
        <v>9699</v>
      </c>
      <c r="B609" s="1" t="s">
        <v>9700</v>
      </c>
      <c r="C609" s="1" t="s">
        <v>4293</v>
      </c>
      <c r="D609" s="1" t="s">
        <v>9702</v>
      </c>
      <c r="E609" s="1" t="s">
        <v>9704</v>
      </c>
      <c r="F609" s="1" t="s">
        <v>78</v>
      </c>
      <c r="G609" s="4"/>
      <c r="H609" s="3">
        <v>45322.0</v>
      </c>
      <c r="I609" s="1" t="s">
        <v>6258</v>
      </c>
      <c r="J609" s="1" t="s">
        <v>5900</v>
      </c>
    </row>
    <row r="610">
      <c r="A610" s="1" t="s">
        <v>9707</v>
      </c>
      <c r="B610" s="1" t="s">
        <v>5521</v>
      </c>
      <c r="C610" s="1" t="s">
        <v>4293</v>
      </c>
      <c r="D610" s="1" t="s">
        <v>9709</v>
      </c>
      <c r="E610" s="1" t="s">
        <v>9710</v>
      </c>
      <c r="F610" s="1" t="s">
        <v>78</v>
      </c>
      <c r="G610" s="4"/>
      <c r="H610" s="3">
        <v>45637.0</v>
      </c>
      <c r="I610" s="1" t="s">
        <v>9420</v>
      </c>
      <c r="J610" s="1" t="s">
        <v>5900</v>
      </c>
    </row>
    <row r="611">
      <c r="A611" s="1" t="s">
        <v>9713</v>
      </c>
      <c r="B611" s="1" t="s">
        <v>6649</v>
      </c>
      <c r="C611" s="1" t="s">
        <v>4293</v>
      </c>
      <c r="D611" s="1" t="s">
        <v>9718</v>
      </c>
      <c r="E611" s="1" t="s">
        <v>9720</v>
      </c>
      <c r="F611" s="1" t="s">
        <v>78</v>
      </c>
      <c r="G611" s="4"/>
      <c r="H611" s="3">
        <v>44292.0</v>
      </c>
      <c r="I611" s="1" t="s">
        <v>6012</v>
      </c>
      <c r="J611" s="1" t="s">
        <v>5900</v>
      </c>
    </row>
    <row r="612">
      <c r="A612" s="1" t="s">
        <v>9722</v>
      </c>
      <c r="B612" s="1" t="s">
        <v>8472</v>
      </c>
      <c r="C612" s="1" t="s">
        <v>4293</v>
      </c>
      <c r="D612" s="1" t="s">
        <v>9724</v>
      </c>
      <c r="E612" s="1" t="s">
        <v>9726</v>
      </c>
      <c r="F612" s="1" t="s">
        <v>78</v>
      </c>
      <c r="G612" s="4"/>
      <c r="H612" s="3">
        <v>45777.0</v>
      </c>
      <c r="I612" s="1" t="s">
        <v>6258</v>
      </c>
      <c r="J612" s="1" t="s">
        <v>5900</v>
      </c>
    </row>
    <row r="613">
      <c r="A613" s="1" t="s">
        <v>9729</v>
      </c>
      <c r="B613" s="1" t="s">
        <v>4509</v>
      </c>
      <c r="C613" s="1" t="s">
        <v>4293</v>
      </c>
      <c r="D613" s="1" t="s">
        <v>9730</v>
      </c>
      <c r="E613" s="1" t="s">
        <v>9731</v>
      </c>
      <c r="F613" s="1" t="s">
        <v>78</v>
      </c>
      <c r="G613" s="4"/>
      <c r="H613" s="3">
        <v>45747.0</v>
      </c>
      <c r="I613" s="1" t="s">
        <v>9420</v>
      </c>
      <c r="J613" s="1" t="s">
        <v>5900</v>
      </c>
    </row>
    <row r="614">
      <c r="A614" s="1" t="s">
        <v>9736</v>
      </c>
      <c r="B614" s="1" t="s">
        <v>5135</v>
      </c>
      <c r="C614" s="1" t="s">
        <v>4293</v>
      </c>
      <c r="D614" s="1" t="s">
        <v>9738</v>
      </c>
      <c r="E614" s="1" t="s">
        <v>9741</v>
      </c>
      <c r="F614" s="1" t="s">
        <v>78</v>
      </c>
      <c r="G614" s="4"/>
      <c r="H614" s="3">
        <v>45440.0</v>
      </c>
      <c r="I614" s="1" t="s">
        <v>5999</v>
      </c>
      <c r="J614" s="1" t="s">
        <v>5900</v>
      </c>
    </row>
    <row r="615">
      <c r="A615" s="1" t="s">
        <v>9747</v>
      </c>
      <c r="B615" s="1" t="s">
        <v>4789</v>
      </c>
      <c r="C615" s="1" t="s">
        <v>4293</v>
      </c>
      <c r="D615" s="1" t="s">
        <v>9456</v>
      </c>
      <c r="E615" s="1" t="s">
        <v>9754</v>
      </c>
      <c r="F615" s="1" t="s">
        <v>84</v>
      </c>
      <c r="G615" s="1" t="s">
        <v>253</v>
      </c>
      <c r="H615" s="1" t="s">
        <v>460</v>
      </c>
      <c r="I615" s="1" t="s">
        <v>9758</v>
      </c>
      <c r="J615" s="1" t="s">
        <v>9760</v>
      </c>
    </row>
    <row r="616">
      <c r="A616" s="1" t="s">
        <v>9762</v>
      </c>
      <c r="B616" s="1" t="s">
        <v>9763</v>
      </c>
      <c r="C616" s="1" t="s">
        <v>4293</v>
      </c>
      <c r="D616" s="1" t="s">
        <v>9765</v>
      </c>
      <c r="E616" s="1" t="s">
        <v>9767</v>
      </c>
      <c r="F616" s="1" t="s">
        <v>78</v>
      </c>
      <c r="G616" s="4"/>
      <c r="H616" s="3">
        <v>45106.0</v>
      </c>
      <c r="I616" s="1" t="s">
        <v>5899</v>
      </c>
      <c r="J616" s="1" t="s">
        <v>5900</v>
      </c>
    </row>
    <row r="617">
      <c r="A617" s="1" t="s">
        <v>9773</v>
      </c>
      <c r="B617" s="1" t="s">
        <v>9123</v>
      </c>
      <c r="C617" s="1" t="s">
        <v>4293</v>
      </c>
      <c r="D617" s="1" t="s">
        <v>9776</v>
      </c>
      <c r="E617" s="1" t="s">
        <v>9779</v>
      </c>
      <c r="F617" s="1" t="s">
        <v>78</v>
      </c>
      <c r="G617" s="4"/>
      <c r="H617" s="3">
        <v>44036.0</v>
      </c>
      <c r="I617" s="1" t="s">
        <v>5899</v>
      </c>
      <c r="J617" s="1" t="s">
        <v>5900</v>
      </c>
    </row>
    <row r="618">
      <c r="A618" s="1" t="s">
        <v>9780</v>
      </c>
      <c r="B618" s="1" t="s">
        <v>7548</v>
      </c>
      <c r="C618" s="1" t="s">
        <v>4293</v>
      </c>
      <c r="D618" s="1" t="s">
        <v>9783</v>
      </c>
      <c r="E618" s="1" t="s">
        <v>9784</v>
      </c>
      <c r="F618" s="1" t="s">
        <v>78</v>
      </c>
      <c r="G618" s="4"/>
      <c r="H618" s="3">
        <v>44321.0</v>
      </c>
      <c r="I618" s="1" t="s">
        <v>5999</v>
      </c>
      <c r="J618" s="1" t="s">
        <v>5900</v>
      </c>
    </row>
    <row r="619">
      <c r="A619" s="1" t="s">
        <v>9788</v>
      </c>
      <c r="B619" s="1" t="s">
        <v>9791</v>
      </c>
      <c r="C619" s="1" t="s">
        <v>4293</v>
      </c>
      <c r="D619" s="1" t="s">
        <v>9794</v>
      </c>
      <c r="E619" s="1" t="s">
        <v>9795</v>
      </c>
      <c r="F619" s="1" t="s">
        <v>78</v>
      </c>
      <c r="G619" s="4"/>
      <c r="H619" s="3">
        <v>45602.0</v>
      </c>
      <c r="I619" s="1" t="s">
        <v>7631</v>
      </c>
      <c r="J619" s="1" t="s">
        <v>5900</v>
      </c>
    </row>
    <row r="620">
      <c r="A620" s="1" t="s">
        <v>9799</v>
      </c>
      <c r="B620" s="1" t="s">
        <v>9230</v>
      </c>
      <c r="C620" s="1" t="s">
        <v>4293</v>
      </c>
      <c r="D620" s="1" t="s">
        <v>9801</v>
      </c>
      <c r="E620" s="1" t="s">
        <v>9802</v>
      </c>
      <c r="F620" s="1" t="s">
        <v>78</v>
      </c>
      <c r="G620" s="4"/>
      <c r="H620" s="3">
        <v>45923.0</v>
      </c>
      <c r="I620" s="1" t="s">
        <v>9420</v>
      </c>
      <c r="J620" s="1" t="s">
        <v>5900</v>
      </c>
    </row>
    <row r="621">
      <c r="A621" s="1" t="s">
        <v>9805</v>
      </c>
      <c r="B621" s="1" t="s">
        <v>9807</v>
      </c>
      <c r="C621" s="1" t="s">
        <v>4293</v>
      </c>
      <c r="D621" s="1" t="s">
        <v>9810</v>
      </c>
      <c r="E621" s="1" t="s">
        <v>9812</v>
      </c>
      <c r="F621" s="1" t="s">
        <v>78</v>
      </c>
      <c r="G621" s="4"/>
      <c r="H621" s="3">
        <v>44622.0</v>
      </c>
      <c r="I621" s="1" t="s">
        <v>6415</v>
      </c>
      <c r="J621" s="1" t="s">
        <v>5900</v>
      </c>
    </row>
    <row r="622">
      <c r="A622" s="1" t="s">
        <v>9818</v>
      </c>
      <c r="B622" s="1" t="s">
        <v>9819</v>
      </c>
      <c r="C622" s="1" t="s">
        <v>4293</v>
      </c>
      <c r="D622" s="1" t="s">
        <v>9821</v>
      </c>
      <c r="E622" s="1" t="s">
        <v>9823</v>
      </c>
      <c r="F622" s="1" t="s">
        <v>78</v>
      </c>
      <c r="G622" s="4"/>
      <c r="H622" s="3">
        <v>44053.0</v>
      </c>
      <c r="I622" s="1" t="s">
        <v>5999</v>
      </c>
      <c r="J622" s="1" t="s">
        <v>5900</v>
      </c>
    </row>
    <row r="623">
      <c r="A623" s="1" t="s">
        <v>9827</v>
      </c>
      <c r="B623" s="1" t="s">
        <v>8839</v>
      </c>
      <c r="C623" s="1" t="s">
        <v>4293</v>
      </c>
      <c r="D623" s="1" t="s">
        <v>7798</v>
      </c>
      <c r="E623" s="1" t="s">
        <v>9835</v>
      </c>
      <c r="F623" s="1" t="s">
        <v>78</v>
      </c>
      <c r="G623" s="4"/>
      <c r="H623" s="3">
        <v>43679.0</v>
      </c>
      <c r="I623" s="1" t="s">
        <v>5999</v>
      </c>
      <c r="J623" s="1" t="s">
        <v>5900</v>
      </c>
    </row>
    <row r="624">
      <c r="A624" s="1" t="s">
        <v>9839</v>
      </c>
      <c r="B624" s="1" t="s">
        <v>9841</v>
      </c>
      <c r="C624" s="1" t="s">
        <v>4293</v>
      </c>
      <c r="D624" s="1" t="s">
        <v>9843</v>
      </c>
      <c r="E624" s="1" t="s">
        <v>9845</v>
      </c>
      <c r="F624" s="1" t="s">
        <v>78</v>
      </c>
      <c r="G624" s="4"/>
      <c r="H624" s="3">
        <v>43339.0</v>
      </c>
      <c r="I624" s="1" t="s">
        <v>9565</v>
      </c>
      <c r="J624" s="1" t="s">
        <v>5900</v>
      </c>
    </row>
    <row r="625">
      <c r="A625" s="1" t="s">
        <v>9851</v>
      </c>
      <c r="B625" s="1" t="s">
        <v>9853</v>
      </c>
      <c r="C625" s="1" t="s">
        <v>4293</v>
      </c>
      <c r="D625" s="1" t="s">
        <v>9854</v>
      </c>
      <c r="E625" s="1" t="s">
        <v>9856</v>
      </c>
      <c r="F625" s="1" t="s">
        <v>78</v>
      </c>
      <c r="G625" s="4"/>
      <c r="H625" s="3">
        <v>44957.0</v>
      </c>
      <c r="I625" s="1" t="s">
        <v>5899</v>
      </c>
      <c r="J625" s="1" t="s">
        <v>5900</v>
      </c>
    </row>
    <row r="626">
      <c r="A626" s="1" t="s">
        <v>9861</v>
      </c>
      <c r="B626" s="1" t="s">
        <v>9862</v>
      </c>
      <c r="C626" s="1" t="s">
        <v>4293</v>
      </c>
      <c r="D626" s="1" t="s">
        <v>9864</v>
      </c>
      <c r="E626" s="1" t="s">
        <v>9865</v>
      </c>
      <c r="F626" s="1" t="s">
        <v>78</v>
      </c>
      <c r="G626" s="4"/>
      <c r="H626" s="3">
        <v>45399.0</v>
      </c>
      <c r="I626" s="1" t="s">
        <v>6251</v>
      </c>
      <c r="J626" s="1" t="s">
        <v>5900</v>
      </c>
    </row>
    <row r="627">
      <c r="A627" s="1" t="s">
        <v>9871</v>
      </c>
      <c r="B627" s="1" t="s">
        <v>9873</v>
      </c>
      <c r="C627" s="1" t="s">
        <v>4293</v>
      </c>
      <c r="D627" s="1" t="s">
        <v>9876</v>
      </c>
      <c r="E627" s="1" t="s">
        <v>9878</v>
      </c>
      <c r="F627" s="1" t="s">
        <v>78</v>
      </c>
      <c r="G627" s="4"/>
      <c r="H627" s="3">
        <v>43752.0</v>
      </c>
      <c r="I627" s="1" t="s">
        <v>6709</v>
      </c>
      <c r="J627" s="1" t="s">
        <v>5900</v>
      </c>
    </row>
    <row r="628">
      <c r="A628" s="1" t="s">
        <v>9883</v>
      </c>
      <c r="B628" s="1" t="s">
        <v>9421</v>
      </c>
      <c r="C628" s="1" t="s">
        <v>4293</v>
      </c>
      <c r="D628" s="1" t="s">
        <v>9885</v>
      </c>
      <c r="E628" s="1" t="s">
        <v>9887</v>
      </c>
      <c r="F628" s="1" t="s">
        <v>78</v>
      </c>
      <c r="G628" s="4"/>
      <c r="H628" s="3">
        <v>44148.0</v>
      </c>
      <c r="I628" s="1" t="s">
        <v>6709</v>
      </c>
      <c r="J628" s="1" t="s">
        <v>5900</v>
      </c>
    </row>
    <row r="629">
      <c r="A629" s="1" t="s">
        <v>9892</v>
      </c>
      <c r="B629" s="1" t="s">
        <v>9893</v>
      </c>
      <c r="C629" s="1" t="s">
        <v>4293</v>
      </c>
      <c r="D629" s="1" t="s">
        <v>9898</v>
      </c>
      <c r="E629" s="1" t="s">
        <v>9900</v>
      </c>
      <c r="F629" s="1" t="s">
        <v>78</v>
      </c>
      <c r="G629" s="4"/>
      <c r="H629" s="3">
        <v>43430.0</v>
      </c>
      <c r="I629" s="1" t="s">
        <v>5922</v>
      </c>
      <c r="J629" s="1" t="s">
        <v>5900</v>
      </c>
    </row>
    <row r="630">
      <c r="A630" s="1" t="s">
        <v>9903</v>
      </c>
      <c r="B630" s="1" t="s">
        <v>7127</v>
      </c>
      <c r="C630" s="1" t="s">
        <v>4293</v>
      </c>
      <c r="D630" s="1" t="s">
        <v>9906</v>
      </c>
      <c r="E630" s="1" t="s">
        <v>9907</v>
      </c>
      <c r="F630" s="1" t="s">
        <v>78</v>
      </c>
      <c r="G630" s="4"/>
      <c r="H630" s="3">
        <v>45468.0</v>
      </c>
      <c r="I630" s="1" t="s">
        <v>6230</v>
      </c>
      <c r="J630" s="1" t="s">
        <v>5900</v>
      </c>
    </row>
    <row r="631">
      <c r="A631" s="1" t="s">
        <v>9914</v>
      </c>
      <c r="B631" s="1" t="s">
        <v>9916</v>
      </c>
      <c r="C631" s="1" t="s">
        <v>4293</v>
      </c>
      <c r="D631" s="1" t="s">
        <v>9918</v>
      </c>
      <c r="E631" s="1" t="s">
        <v>9921</v>
      </c>
      <c r="F631" s="1" t="s">
        <v>78</v>
      </c>
      <c r="G631" s="4"/>
      <c r="H631" s="3">
        <v>43315.0</v>
      </c>
      <c r="I631" s="1" t="s">
        <v>5936</v>
      </c>
      <c r="J631" s="1" t="s">
        <v>5900</v>
      </c>
    </row>
    <row r="632">
      <c r="A632" s="1" t="s">
        <v>9925</v>
      </c>
      <c r="B632" s="1" t="s">
        <v>9926</v>
      </c>
      <c r="C632" s="1" t="s">
        <v>4293</v>
      </c>
      <c r="D632" s="1" t="s">
        <v>9928</v>
      </c>
      <c r="E632" s="1" t="s">
        <v>9929</v>
      </c>
      <c r="F632" s="1" t="s">
        <v>78</v>
      </c>
      <c r="G632" s="4"/>
      <c r="H632" s="3">
        <v>45206.0</v>
      </c>
      <c r="I632" s="1" t="s">
        <v>8860</v>
      </c>
      <c r="J632" s="1" t="s">
        <v>5900</v>
      </c>
    </row>
    <row r="633">
      <c r="A633" s="1" t="s">
        <v>9937</v>
      </c>
      <c r="B633" s="1" t="s">
        <v>9939</v>
      </c>
      <c r="C633" s="1" t="s">
        <v>4293</v>
      </c>
      <c r="D633" s="1" t="s">
        <v>9943</v>
      </c>
      <c r="E633" s="1" t="s">
        <v>9945</v>
      </c>
      <c r="F633" s="1" t="s">
        <v>78</v>
      </c>
      <c r="G633" s="4"/>
      <c r="H633" s="3">
        <v>44881.0</v>
      </c>
      <c r="I633" s="1" t="s">
        <v>5899</v>
      </c>
      <c r="J633" s="1" t="s">
        <v>5900</v>
      </c>
    </row>
    <row r="634">
      <c r="A634" s="1" t="s">
        <v>9949</v>
      </c>
      <c r="B634" s="1" t="s">
        <v>9951</v>
      </c>
      <c r="C634" s="1" t="s">
        <v>4293</v>
      </c>
      <c r="D634" s="1" t="s">
        <v>9953</v>
      </c>
      <c r="E634" s="1" t="s">
        <v>9955</v>
      </c>
      <c r="F634" s="1" t="s">
        <v>78</v>
      </c>
      <c r="G634" s="4"/>
      <c r="H634" s="3">
        <v>44812.0</v>
      </c>
      <c r="I634" s="1" t="s">
        <v>5899</v>
      </c>
      <c r="J634" s="1" t="s">
        <v>5900</v>
      </c>
    </row>
    <row r="635">
      <c r="A635" s="1" t="s">
        <v>9958</v>
      </c>
      <c r="B635" s="1" t="s">
        <v>9959</v>
      </c>
      <c r="C635" s="1" t="s">
        <v>4293</v>
      </c>
      <c r="D635" s="1" t="s">
        <v>9963</v>
      </c>
      <c r="E635" s="1" t="s">
        <v>9964</v>
      </c>
      <c r="F635" s="1" t="s">
        <v>78</v>
      </c>
      <c r="G635" s="1"/>
      <c r="H635" s="3">
        <v>44782.0</v>
      </c>
      <c r="I635" s="1" t="s">
        <v>8860</v>
      </c>
      <c r="J635" s="1" t="s">
        <v>5900</v>
      </c>
    </row>
    <row r="636">
      <c r="A636" s="1" t="s">
        <v>9967</v>
      </c>
      <c r="B636" s="1" t="s">
        <v>5950</v>
      </c>
      <c r="C636" s="1" t="s">
        <v>4293</v>
      </c>
      <c r="D636" s="1" t="s">
        <v>9968</v>
      </c>
      <c r="E636" s="1" t="s">
        <v>9971</v>
      </c>
      <c r="F636" s="1" t="s">
        <v>78</v>
      </c>
      <c r="G636" s="4"/>
      <c r="H636" s="3">
        <v>44256.0</v>
      </c>
      <c r="I636" s="1" t="s">
        <v>5999</v>
      </c>
      <c r="J636" s="1" t="s">
        <v>5900</v>
      </c>
    </row>
    <row r="637">
      <c r="A637" s="1" t="s">
        <v>9976</v>
      </c>
      <c r="B637" s="1" t="s">
        <v>9978</v>
      </c>
      <c r="C637" s="1" t="s">
        <v>4293</v>
      </c>
      <c r="D637" s="1" t="s">
        <v>9979</v>
      </c>
      <c r="E637" s="1" t="s">
        <v>9981</v>
      </c>
      <c r="F637" s="1" t="s">
        <v>78</v>
      </c>
      <c r="G637" s="4"/>
      <c r="H637" s="3">
        <v>43269.0</v>
      </c>
      <c r="I637" s="1" t="s">
        <v>7313</v>
      </c>
      <c r="J637" s="1" t="s">
        <v>5900</v>
      </c>
    </row>
    <row r="638">
      <c r="A638" s="1" t="s">
        <v>9985</v>
      </c>
      <c r="B638" s="1" t="s">
        <v>9986</v>
      </c>
      <c r="C638" s="1" t="s">
        <v>4293</v>
      </c>
      <c r="D638" s="1" t="s">
        <v>9990</v>
      </c>
      <c r="E638" s="1" t="s">
        <v>9992</v>
      </c>
      <c r="F638" s="1" t="s">
        <v>78</v>
      </c>
      <c r="G638" s="4"/>
      <c r="H638" s="3">
        <v>46254.0</v>
      </c>
      <c r="I638" s="1" t="s">
        <v>9998</v>
      </c>
      <c r="J638" s="1" t="s">
        <v>5097</v>
      </c>
    </row>
    <row r="639">
      <c r="A639" s="1" t="s">
        <v>10001</v>
      </c>
      <c r="B639" s="1" t="s">
        <v>9986</v>
      </c>
      <c r="C639" s="1" t="s">
        <v>4293</v>
      </c>
      <c r="D639" s="1" t="s">
        <v>9990</v>
      </c>
      <c r="E639" s="1" t="s">
        <v>10004</v>
      </c>
      <c r="F639" s="1" t="s">
        <v>84</v>
      </c>
      <c r="G639" s="1" t="s">
        <v>253</v>
      </c>
      <c r="H639" s="1" t="s">
        <v>216</v>
      </c>
      <c r="I639" s="1" t="s">
        <v>10007</v>
      </c>
      <c r="J639" s="1" t="s">
        <v>5097</v>
      </c>
    </row>
    <row r="640">
      <c r="A640" s="1" t="s">
        <v>10008</v>
      </c>
      <c r="B640" s="1" t="s">
        <v>10010</v>
      </c>
      <c r="C640" s="1" t="s">
        <v>4293</v>
      </c>
      <c r="D640" s="1" t="s">
        <v>10013</v>
      </c>
      <c r="E640" s="1" t="s">
        <v>10015</v>
      </c>
      <c r="F640" s="1" t="s">
        <v>78</v>
      </c>
      <c r="G640" s="4"/>
      <c r="H640" s="3">
        <v>46174.0</v>
      </c>
      <c r="I640" s="1" t="s">
        <v>5979</v>
      </c>
      <c r="J640" s="1" t="s">
        <v>5900</v>
      </c>
    </row>
    <row r="641">
      <c r="A641" s="1" t="s">
        <v>10018</v>
      </c>
      <c r="B641" s="1" t="s">
        <v>10020</v>
      </c>
      <c r="C641" s="1" t="s">
        <v>4293</v>
      </c>
      <c r="D641" s="1" t="s">
        <v>10021</v>
      </c>
      <c r="E641" s="1" t="s">
        <v>10022</v>
      </c>
      <c r="F641" s="1" t="s">
        <v>78</v>
      </c>
      <c r="G641" s="4"/>
      <c r="H641" s="3">
        <v>45593.0</v>
      </c>
      <c r="I641" s="1" t="s">
        <v>5899</v>
      </c>
      <c r="J641" s="1" t="s">
        <v>5900</v>
      </c>
    </row>
    <row r="642">
      <c r="A642" s="1" t="s">
        <v>10026</v>
      </c>
      <c r="B642" s="1" t="s">
        <v>10027</v>
      </c>
      <c r="C642" s="1" t="s">
        <v>4293</v>
      </c>
      <c r="D642" s="1" t="s">
        <v>10028</v>
      </c>
      <c r="E642" s="1" t="s">
        <v>10029</v>
      </c>
      <c r="F642" s="1" t="s">
        <v>78</v>
      </c>
      <c r="G642" s="4"/>
      <c r="H642" s="3">
        <v>46049.0</v>
      </c>
      <c r="I642" s="1" t="s">
        <v>8897</v>
      </c>
      <c r="J642" s="1" t="s">
        <v>5900</v>
      </c>
    </row>
    <row r="643">
      <c r="A643" s="1" t="s">
        <v>10034</v>
      </c>
      <c r="B643" s="1" t="s">
        <v>10036</v>
      </c>
      <c r="C643" s="1" t="s">
        <v>4293</v>
      </c>
      <c r="D643" s="1" t="s">
        <v>10037</v>
      </c>
      <c r="E643" s="1" t="s">
        <v>10040</v>
      </c>
      <c r="F643" s="1" t="s">
        <v>78</v>
      </c>
      <c r="G643" s="4"/>
      <c r="H643" s="3">
        <v>45426.0</v>
      </c>
      <c r="I643" s="1" t="s">
        <v>6404</v>
      </c>
      <c r="J643" s="1" t="s">
        <v>5900</v>
      </c>
    </row>
    <row r="644">
      <c r="A644" s="1" t="s">
        <v>10043</v>
      </c>
      <c r="B644" s="1" t="s">
        <v>10044</v>
      </c>
      <c r="C644" s="1" t="s">
        <v>4293</v>
      </c>
      <c r="D644" s="1" t="s">
        <v>10046</v>
      </c>
      <c r="E644" s="1" t="s">
        <v>10047</v>
      </c>
      <c r="F644" s="1" t="s">
        <v>78</v>
      </c>
      <c r="G644" s="4"/>
      <c r="H644" s="3">
        <v>45201.0</v>
      </c>
      <c r="I644" s="1" t="s">
        <v>5979</v>
      </c>
      <c r="J644" s="1" t="s">
        <v>5900</v>
      </c>
    </row>
    <row r="645">
      <c r="A645" s="1" t="s">
        <v>10050</v>
      </c>
      <c r="B645" s="1" t="s">
        <v>10052</v>
      </c>
      <c r="C645" s="1" t="s">
        <v>4293</v>
      </c>
      <c r="D645" s="1" t="s">
        <v>10055</v>
      </c>
      <c r="E645" s="1" t="s">
        <v>10056</v>
      </c>
      <c r="F645" s="1" t="s">
        <v>78</v>
      </c>
      <c r="G645" s="4"/>
      <c r="H645" s="3">
        <v>45925.0</v>
      </c>
      <c r="I645" s="1" t="s">
        <v>5899</v>
      </c>
      <c r="J645" s="1" t="s">
        <v>5900</v>
      </c>
    </row>
    <row r="646">
      <c r="A646" s="1" t="s">
        <v>10058</v>
      </c>
      <c r="B646" s="1" t="s">
        <v>10061</v>
      </c>
      <c r="C646" s="1" t="s">
        <v>4293</v>
      </c>
      <c r="D646" s="1" t="s">
        <v>10062</v>
      </c>
      <c r="E646" s="1" t="s">
        <v>10064</v>
      </c>
      <c r="F646" s="1" t="s">
        <v>78</v>
      </c>
      <c r="G646" s="4"/>
      <c r="H646" s="3">
        <v>45503.0</v>
      </c>
      <c r="I646" s="1" t="s">
        <v>5899</v>
      </c>
      <c r="J646" s="1" t="s">
        <v>5900</v>
      </c>
    </row>
    <row r="647">
      <c r="A647" s="1" t="s">
        <v>10067</v>
      </c>
      <c r="B647" s="1" t="s">
        <v>8963</v>
      </c>
      <c r="C647" s="1" t="s">
        <v>4293</v>
      </c>
      <c r="D647" s="1" t="s">
        <v>10069</v>
      </c>
      <c r="E647" s="1" t="s">
        <v>10070</v>
      </c>
      <c r="F647" s="1" t="s">
        <v>78</v>
      </c>
      <c r="G647" s="4"/>
      <c r="H647" s="3">
        <v>45323.0</v>
      </c>
      <c r="I647" s="1" t="s">
        <v>6872</v>
      </c>
      <c r="J647" s="1" t="s">
        <v>5900</v>
      </c>
    </row>
    <row r="648">
      <c r="A648" s="1" t="s">
        <v>10075</v>
      </c>
      <c r="B648" s="1" t="s">
        <v>8753</v>
      </c>
      <c r="C648" s="1" t="s">
        <v>4293</v>
      </c>
      <c r="D648" s="1" t="s">
        <v>10077</v>
      </c>
      <c r="E648" s="1" t="s">
        <v>10078</v>
      </c>
      <c r="F648" s="1" t="s">
        <v>78</v>
      </c>
      <c r="G648" s="4"/>
      <c r="H648" s="3">
        <v>44959.0</v>
      </c>
      <c r="I648" s="1" t="s">
        <v>10080</v>
      </c>
      <c r="J648" s="1" t="s">
        <v>5900</v>
      </c>
    </row>
    <row r="649">
      <c r="A649" s="1" t="s">
        <v>10082</v>
      </c>
      <c r="B649" s="1" t="s">
        <v>9974</v>
      </c>
      <c r="C649" s="1" t="s">
        <v>4293</v>
      </c>
      <c r="D649" s="1" t="s">
        <v>10083</v>
      </c>
      <c r="E649" s="1" t="s">
        <v>10085</v>
      </c>
      <c r="F649" s="1" t="s">
        <v>78</v>
      </c>
      <c r="G649" s="4"/>
      <c r="H649" s="3">
        <v>45867.0</v>
      </c>
      <c r="I649" s="1" t="s">
        <v>10080</v>
      </c>
      <c r="J649" s="1" t="s">
        <v>5900</v>
      </c>
    </row>
    <row r="650">
      <c r="A650" s="1" t="s">
        <v>10088</v>
      </c>
      <c r="B650" s="1" t="s">
        <v>8189</v>
      </c>
      <c r="C650" s="1" t="s">
        <v>4293</v>
      </c>
      <c r="D650" s="1" t="s">
        <v>10090</v>
      </c>
      <c r="E650" s="1" t="s">
        <v>10092</v>
      </c>
      <c r="F650" s="1" t="s">
        <v>78</v>
      </c>
      <c r="G650" s="4"/>
      <c r="H650" s="3">
        <v>44375.0</v>
      </c>
      <c r="I650" s="1" t="s">
        <v>5899</v>
      </c>
      <c r="J650" s="1" t="s">
        <v>5900</v>
      </c>
    </row>
    <row r="651">
      <c r="A651" s="1" t="s">
        <v>10094</v>
      </c>
      <c r="B651" s="1" t="s">
        <v>9008</v>
      </c>
      <c r="C651" s="1" t="s">
        <v>4293</v>
      </c>
      <c r="D651" s="1" t="s">
        <v>10097</v>
      </c>
      <c r="E651" s="1" t="s">
        <v>10099</v>
      </c>
      <c r="F651" s="1" t="s">
        <v>78</v>
      </c>
      <c r="G651" s="4"/>
      <c r="H651" s="3">
        <v>46056.0</v>
      </c>
      <c r="I651" s="1" t="s">
        <v>5899</v>
      </c>
      <c r="J651" s="1" t="s">
        <v>5900</v>
      </c>
    </row>
    <row r="652">
      <c r="A652" s="1" t="s">
        <v>10102</v>
      </c>
      <c r="B652" s="1" t="s">
        <v>10103</v>
      </c>
      <c r="C652" s="1" t="s">
        <v>4293</v>
      </c>
      <c r="D652" s="1" t="s">
        <v>10104</v>
      </c>
      <c r="E652" s="1" t="s">
        <v>10105</v>
      </c>
      <c r="F652" s="1" t="s">
        <v>78</v>
      </c>
      <c r="G652" s="4"/>
      <c r="H652" s="3">
        <v>45980.0</v>
      </c>
      <c r="I652" s="1" t="s">
        <v>5999</v>
      </c>
      <c r="J652" s="1" t="s">
        <v>5900</v>
      </c>
    </row>
    <row r="653">
      <c r="A653" s="1" t="s">
        <v>10108</v>
      </c>
      <c r="B653" s="1" t="s">
        <v>10109</v>
      </c>
      <c r="C653" s="1" t="s">
        <v>4293</v>
      </c>
      <c r="D653" s="1" t="s">
        <v>10111</v>
      </c>
      <c r="E653" s="1" t="s">
        <v>10113</v>
      </c>
      <c r="F653" s="1" t="s">
        <v>78</v>
      </c>
      <c r="G653" s="4"/>
      <c r="H653" s="3">
        <v>44729.0</v>
      </c>
      <c r="I653" s="1" t="s">
        <v>5999</v>
      </c>
      <c r="J653" s="1" t="s">
        <v>5900</v>
      </c>
    </row>
    <row r="654">
      <c r="A654" s="1" t="s">
        <v>10117</v>
      </c>
      <c r="B654" s="1" t="s">
        <v>9056</v>
      </c>
      <c r="C654" s="1" t="s">
        <v>4293</v>
      </c>
      <c r="D654" s="1" t="s">
        <v>10121</v>
      </c>
      <c r="E654" s="1" t="s">
        <v>10122</v>
      </c>
      <c r="F654" s="1" t="s">
        <v>78</v>
      </c>
      <c r="G654" s="4"/>
      <c r="H654" s="3">
        <v>44277.0</v>
      </c>
      <c r="I654" s="1" t="s">
        <v>7149</v>
      </c>
      <c r="J654" s="1" t="s">
        <v>5900</v>
      </c>
    </row>
    <row r="655">
      <c r="A655" s="1" t="s">
        <v>10126</v>
      </c>
      <c r="B655" s="1" t="s">
        <v>10127</v>
      </c>
      <c r="C655" s="1" t="s">
        <v>4293</v>
      </c>
      <c r="D655" s="1" t="s">
        <v>10129</v>
      </c>
      <c r="E655" s="1" t="s">
        <v>10130</v>
      </c>
      <c r="F655" s="1" t="s">
        <v>78</v>
      </c>
      <c r="G655" s="4"/>
      <c r="H655" s="3">
        <v>44378.0</v>
      </c>
      <c r="I655" s="1" t="s">
        <v>5999</v>
      </c>
      <c r="J655" s="1" t="s">
        <v>5900</v>
      </c>
    </row>
    <row r="656">
      <c r="A656" s="1" t="s">
        <v>10132</v>
      </c>
      <c r="B656" s="1" t="s">
        <v>10134</v>
      </c>
      <c r="C656" s="1" t="s">
        <v>4293</v>
      </c>
      <c r="D656" s="1" t="s">
        <v>10136</v>
      </c>
      <c r="E656" s="1" t="s">
        <v>10138</v>
      </c>
      <c r="F656" s="1" t="s">
        <v>78</v>
      </c>
      <c r="G656" s="4"/>
      <c r="H656" s="3">
        <v>44348.0</v>
      </c>
      <c r="I656" s="1" t="s">
        <v>10141</v>
      </c>
      <c r="J656" s="1" t="s">
        <v>5900</v>
      </c>
    </row>
    <row r="657">
      <c r="A657" s="1" t="s">
        <v>10142</v>
      </c>
      <c r="B657" s="1" t="s">
        <v>10144</v>
      </c>
      <c r="C657" s="1" t="s">
        <v>4293</v>
      </c>
      <c r="D657" s="1" t="s">
        <v>10146</v>
      </c>
      <c r="E657" s="1" t="s">
        <v>10147</v>
      </c>
      <c r="F657" s="1" t="s">
        <v>78</v>
      </c>
      <c r="G657" s="4"/>
      <c r="H657" s="3">
        <v>44520.0</v>
      </c>
      <c r="I657" s="1" t="s">
        <v>5999</v>
      </c>
      <c r="J657" s="1" t="s">
        <v>5900</v>
      </c>
    </row>
    <row r="658">
      <c r="A658" s="1" t="s">
        <v>10151</v>
      </c>
      <c r="B658" s="1" t="s">
        <v>6403</v>
      </c>
      <c r="C658" s="1" t="s">
        <v>4293</v>
      </c>
      <c r="D658" s="1" t="s">
        <v>10153</v>
      </c>
      <c r="E658" s="1" t="s">
        <v>10154</v>
      </c>
      <c r="F658" s="1" t="s">
        <v>78</v>
      </c>
      <c r="G658" s="4"/>
      <c r="H658" s="3">
        <v>45973.0</v>
      </c>
      <c r="I658" s="1" t="s">
        <v>7313</v>
      </c>
      <c r="J658" s="1" t="s">
        <v>5900</v>
      </c>
    </row>
    <row r="659">
      <c r="A659" s="1" t="s">
        <v>10158</v>
      </c>
      <c r="B659" s="1" t="s">
        <v>10051</v>
      </c>
      <c r="C659" s="1" t="s">
        <v>4293</v>
      </c>
      <c r="D659" s="1" t="s">
        <v>10161</v>
      </c>
      <c r="E659" s="1" t="s">
        <v>10162</v>
      </c>
      <c r="F659" s="1" t="s">
        <v>78</v>
      </c>
      <c r="G659" s="4"/>
      <c r="H659" s="3">
        <v>45804.0</v>
      </c>
      <c r="I659" s="1" t="s">
        <v>7253</v>
      </c>
      <c r="J659" s="1" t="s">
        <v>5900</v>
      </c>
    </row>
    <row r="660">
      <c r="A660" s="1" t="s">
        <v>10165</v>
      </c>
      <c r="B660" s="1" t="s">
        <v>10166</v>
      </c>
      <c r="C660" s="1" t="s">
        <v>4293</v>
      </c>
      <c r="D660" s="1" t="s">
        <v>10168</v>
      </c>
      <c r="E660" s="1" t="s">
        <v>10170</v>
      </c>
      <c r="F660" s="1" t="s">
        <v>78</v>
      </c>
      <c r="G660" s="4"/>
      <c r="H660" s="3">
        <v>44453.0</v>
      </c>
      <c r="I660" s="1" t="s">
        <v>7149</v>
      </c>
      <c r="J660" s="1" t="s">
        <v>5900</v>
      </c>
    </row>
    <row r="661">
      <c r="A661" s="1" t="s">
        <v>10173</v>
      </c>
      <c r="B661" s="1" t="s">
        <v>9808</v>
      </c>
      <c r="C661" s="1" t="s">
        <v>4293</v>
      </c>
      <c r="D661" s="1" t="s">
        <v>10178</v>
      </c>
      <c r="E661" s="1" t="s">
        <v>10179</v>
      </c>
      <c r="F661" s="1" t="s">
        <v>78</v>
      </c>
      <c r="G661" s="4"/>
      <c r="H661" s="3">
        <v>44096.0</v>
      </c>
      <c r="I661" s="1" t="s">
        <v>5899</v>
      </c>
      <c r="J661" s="1" t="s">
        <v>5900</v>
      </c>
    </row>
    <row r="662">
      <c r="A662" s="1" t="s">
        <v>10183</v>
      </c>
      <c r="B662" s="1" t="s">
        <v>10184</v>
      </c>
      <c r="C662" s="1" t="s">
        <v>4293</v>
      </c>
      <c r="D662" s="1" t="s">
        <v>10186</v>
      </c>
      <c r="E662" s="1" t="s">
        <v>10187</v>
      </c>
      <c r="F662" s="1" t="s">
        <v>78</v>
      </c>
      <c r="G662" s="4"/>
      <c r="H662" s="3">
        <v>45015.0</v>
      </c>
      <c r="I662" s="1" t="s">
        <v>6980</v>
      </c>
      <c r="J662" s="1" t="s">
        <v>5900</v>
      </c>
    </row>
    <row r="663">
      <c r="A663" s="1" t="s">
        <v>10193</v>
      </c>
      <c r="B663" s="1" t="s">
        <v>5719</v>
      </c>
      <c r="C663" s="1" t="s">
        <v>4293</v>
      </c>
      <c r="D663" s="1" t="s">
        <v>10196</v>
      </c>
      <c r="E663" s="1" t="s">
        <v>10198</v>
      </c>
      <c r="F663" s="1" t="s">
        <v>78</v>
      </c>
      <c r="G663" s="4"/>
      <c r="H663" s="3">
        <v>44671.0</v>
      </c>
      <c r="I663" s="1" t="s">
        <v>5999</v>
      </c>
      <c r="J663" s="1" t="s">
        <v>5900</v>
      </c>
    </row>
    <row r="664">
      <c r="A664" s="1" t="s">
        <v>10202</v>
      </c>
      <c r="B664" s="1" t="s">
        <v>10203</v>
      </c>
      <c r="C664" s="1" t="s">
        <v>4293</v>
      </c>
      <c r="D664" s="1" t="s">
        <v>10205</v>
      </c>
      <c r="E664" s="1" t="s">
        <v>10207</v>
      </c>
      <c r="F664" s="1" t="s">
        <v>78</v>
      </c>
      <c r="G664" s="4"/>
      <c r="H664" s="3">
        <v>44866.0</v>
      </c>
      <c r="I664" s="1" t="s">
        <v>7149</v>
      </c>
      <c r="J664" s="1" t="s">
        <v>5900</v>
      </c>
    </row>
    <row r="665">
      <c r="A665" s="1" t="s">
        <v>10212</v>
      </c>
      <c r="B665" s="1" t="s">
        <v>10213</v>
      </c>
      <c r="C665" s="1" t="s">
        <v>4293</v>
      </c>
      <c r="D665" s="1" t="s">
        <v>10214</v>
      </c>
      <c r="E665" s="1" t="s">
        <v>10217</v>
      </c>
      <c r="F665" s="1" t="s">
        <v>78</v>
      </c>
      <c r="G665" s="4"/>
      <c r="H665" s="3">
        <v>45296.0</v>
      </c>
      <c r="I665" s="1" t="s">
        <v>8196</v>
      </c>
      <c r="J665" s="1" t="s">
        <v>5900</v>
      </c>
    </row>
    <row r="666">
      <c r="A666" s="1" t="s">
        <v>10220</v>
      </c>
      <c r="B666" s="1" t="s">
        <v>10221</v>
      </c>
      <c r="C666" s="1" t="s">
        <v>4293</v>
      </c>
      <c r="D666" s="1" t="s">
        <v>10224</v>
      </c>
      <c r="E666" s="1" t="s">
        <v>10225</v>
      </c>
      <c r="F666" s="1" t="s">
        <v>78</v>
      </c>
      <c r="G666" s="4"/>
      <c r="H666" s="3">
        <v>45866.0</v>
      </c>
      <c r="I666" s="1" t="s">
        <v>5999</v>
      </c>
      <c r="J666" s="1" t="s">
        <v>5900</v>
      </c>
    </row>
    <row r="667">
      <c r="A667" s="1" t="s">
        <v>10228</v>
      </c>
      <c r="B667" s="1" t="s">
        <v>8226</v>
      </c>
      <c r="C667" s="1" t="s">
        <v>4293</v>
      </c>
      <c r="D667" s="1" t="s">
        <v>10231</v>
      </c>
      <c r="E667" s="1" t="s">
        <v>10233</v>
      </c>
      <c r="F667" s="1" t="s">
        <v>78</v>
      </c>
      <c r="G667" s="4"/>
      <c r="H667" s="3">
        <v>45896.0</v>
      </c>
      <c r="I667" s="1" t="s">
        <v>6872</v>
      </c>
      <c r="J667" s="1" t="s">
        <v>5900</v>
      </c>
    </row>
    <row r="668">
      <c r="A668" s="1" t="s">
        <v>10236</v>
      </c>
      <c r="B668" s="1" t="s">
        <v>5287</v>
      </c>
      <c r="C668" s="1" t="s">
        <v>4293</v>
      </c>
      <c r="D668" s="1" t="s">
        <v>10238</v>
      </c>
      <c r="E668" s="1" t="s">
        <v>10241</v>
      </c>
      <c r="F668" s="1" t="s">
        <v>78</v>
      </c>
      <c r="G668" s="4"/>
      <c r="H668" s="3">
        <v>45819.0</v>
      </c>
      <c r="I668" s="1" t="s">
        <v>8886</v>
      </c>
      <c r="J668" s="1" t="s">
        <v>5900</v>
      </c>
    </row>
    <row r="669">
      <c r="A669" s="1" t="s">
        <v>10244</v>
      </c>
      <c r="B669" s="1" t="s">
        <v>10245</v>
      </c>
      <c r="C669" s="1" t="s">
        <v>4293</v>
      </c>
      <c r="D669" s="1" t="s">
        <v>10246</v>
      </c>
      <c r="E669" s="1" t="s">
        <v>10249</v>
      </c>
      <c r="F669" s="1" t="s">
        <v>78</v>
      </c>
      <c r="G669" s="4"/>
      <c r="H669" s="3">
        <v>44446.0</v>
      </c>
      <c r="I669" s="1" t="s">
        <v>5899</v>
      </c>
      <c r="J669" s="1" t="s">
        <v>5900</v>
      </c>
    </row>
    <row r="670">
      <c r="A670" s="1" t="s">
        <v>10254</v>
      </c>
      <c r="B670" s="1" t="s">
        <v>10255</v>
      </c>
      <c r="C670" s="1" t="s">
        <v>4293</v>
      </c>
      <c r="D670" s="1" t="s">
        <v>10257</v>
      </c>
      <c r="E670" s="1" t="s">
        <v>10260</v>
      </c>
      <c r="F670" s="1" t="s">
        <v>78</v>
      </c>
      <c r="G670" s="4"/>
      <c r="H670" s="3">
        <v>45077.0</v>
      </c>
      <c r="I670" s="1" t="s">
        <v>5899</v>
      </c>
      <c r="J670" s="1" t="s">
        <v>5900</v>
      </c>
    </row>
    <row r="671">
      <c r="A671" s="1" t="s">
        <v>10262</v>
      </c>
      <c r="B671" s="1" t="s">
        <v>10264</v>
      </c>
      <c r="C671" s="1" t="s">
        <v>4293</v>
      </c>
      <c r="D671" s="1" t="s">
        <v>10266</v>
      </c>
      <c r="E671" s="1" t="s">
        <v>10268</v>
      </c>
      <c r="F671" s="1" t="s">
        <v>78</v>
      </c>
      <c r="G671" s="4"/>
      <c r="H671" s="3">
        <v>44490.0</v>
      </c>
      <c r="I671" s="1" t="s">
        <v>6434</v>
      </c>
      <c r="J671" s="1" t="s">
        <v>5900</v>
      </c>
    </row>
    <row r="672">
      <c r="A672" s="1" t="s">
        <v>10271</v>
      </c>
      <c r="B672" s="1" t="s">
        <v>10273</v>
      </c>
      <c r="C672" s="1" t="s">
        <v>4293</v>
      </c>
      <c r="D672" s="1" t="s">
        <v>10274</v>
      </c>
      <c r="E672" s="1" t="s">
        <v>10275</v>
      </c>
      <c r="F672" s="1" t="s">
        <v>78</v>
      </c>
      <c r="G672" s="4"/>
      <c r="H672" s="3">
        <v>43878.0</v>
      </c>
      <c r="I672" s="1" t="s">
        <v>8886</v>
      </c>
      <c r="J672" s="1" t="s">
        <v>5900</v>
      </c>
    </row>
    <row r="673">
      <c r="A673" s="1" t="s">
        <v>10277</v>
      </c>
      <c r="B673" s="1" t="s">
        <v>10278</v>
      </c>
      <c r="C673" s="1" t="s">
        <v>4293</v>
      </c>
      <c r="D673" s="1" t="s">
        <v>10280</v>
      </c>
      <c r="E673" s="1" t="s">
        <v>10281</v>
      </c>
      <c r="F673" s="1" t="s">
        <v>78</v>
      </c>
      <c r="G673" s="4"/>
      <c r="H673" s="3">
        <v>45106.0</v>
      </c>
      <c r="I673" s="1" t="s">
        <v>8886</v>
      </c>
      <c r="J673" s="1" t="s">
        <v>5900</v>
      </c>
    </row>
    <row r="674">
      <c r="A674" s="1" t="s">
        <v>10282</v>
      </c>
      <c r="B674" s="1" t="s">
        <v>10284</v>
      </c>
      <c r="C674" s="1" t="s">
        <v>4293</v>
      </c>
      <c r="D674" s="1" t="s">
        <v>10285</v>
      </c>
      <c r="E674" s="1" t="s">
        <v>10287</v>
      </c>
      <c r="F674" s="1" t="s">
        <v>78</v>
      </c>
      <c r="G674" s="4"/>
      <c r="H674" s="3">
        <v>45184.0</v>
      </c>
      <c r="I674" s="1" t="s">
        <v>5922</v>
      </c>
      <c r="J674" s="1" t="s">
        <v>5900</v>
      </c>
    </row>
    <row r="675">
      <c r="A675" s="1" t="s">
        <v>10290</v>
      </c>
      <c r="B675" s="1" t="s">
        <v>10291</v>
      </c>
      <c r="C675" s="1" t="s">
        <v>4293</v>
      </c>
      <c r="D675" s="1" t="s">
        <v>10292</v>
      </c>
      <c r="E675" s="1" t="s">
        <v>10293</v>
      </c>
      <c r="F675" s="1" t="s">
        <v>78</v>
      </c>
      <c r="G675" s="4"/>
      <c r="H675" s="3">
        <v>45749.0</v>
      </c>
      <c r="I675" s="1" t="s">
        <v>10294</v>
      </c>
      <c r="J675" s="1" t="s">
        <v>5900</v>
      </c>
    </row>
    <row r="676">
      <c r="A676" s="1" t="s">
        <v>10296</v>
      </c>
      <c r="B676" s="1" t="s">
        <v>4677</v>
      </c>
      <c r="C676" s="1" t="s">
        <v>4293</v>
      </c>
      <c r="D676" s="1" t="s">
        <v>10299</v>
      </c>
      <c r="E676" s="1" t="s">
        <v>10301</v>
      </c>
      <c r="F676" s="1" t="s">
        <v>78</v>
      </c>
      <c r="G676" s="4"/>
      <c r="H676" s="3">
        <v>44098.0</v>
      </c>
      <c r="I676" s="1" t="s">
        <v>5899</v>
      </c>
      <c r="J676" s="1" t="s">
        <v>5900</v>
      </c>
    </row>
    <row r="677">
      <c r="A677" s="1" t="s">
        <v>10302</v>
      </c>
      <c r="B677" s="1" t="s">
        <v>6284</v>
      </c>
      <c r="C677" s="1" t="s">
        <v>4293</v>
      </c>
      <c r="D677" s="1" t="s">
        <v>10303</v>
      </c>
      <c r="E677" s="1" t="s">
        <v>10304</v>
      </c>
      <c r="F677" s="1" t="s">
        <v>78</v>
      </c>
      <c r="G677" s="4"/>
      <c r="H677" s="3">
        <v>44284.0</v>
      </c>
      <c r="I677" s="1" t="s">
        <v>5999</v>
      </c>
      <c r="J677" s="1" t="s">
        <v>5900</v>
      </c>
    </row>
    <row r="678">
      <c r="A678" s="1" t="s">
        <v>10306</v>
      </c>
      <c r="B678" s="1" t="s">
        <v>10307</v>
      </c>
      <c r="C678" s="1" t="s">
        <v>4293</v>
      </c>
      <c r="D678" s="1" t="s">
        <v>10310</v>
      </c>
      <c r="E678" s="1" t="s">
        <v>10311</v>
      </c>
      <c r="F678" s="1" t="s">
        <v>78</v>
      </c>
      <c r="G678" s="4"/>
      <c r="H678" s="3">
        <v>44293.0</v>
      </c>
      <c r="I678" s="1" t="s">
        <v>8886</v>
      </c>
      <c r="J678" s="1" t="s">
        <v>5900</v>
      </c>
    </row>
    <row r="679">
      <c r="A679" s="1" t="s">
        <v>10313</v>
      </c>
      <c r="B679" s="1" t="s">
        <v>10314</v>
      </c>
      <c r="C679" s="1" t="s">
        <v>4293</v>
      </c>
      <c r="D679" s="1" t="s">
        <v>10315</v>
      </c>
      <c r="E679" s="1" t="s">
        <v>10316</v>
      </c>
      <c r="F679" s="1" t="s">
        <v>78</v>
      </c>
      <c r="G679" s="4"/>
      <c r="H679" s="3">
        <v>46051.0</v>
      </c>
      <c r="I679" s="1" t="s">
        <v>5899</v>
      </c>
      <c r="J679" s="1" t="s">
        <v>5900</v>
      </c>
    </row>
    <row r="680">
      <c r="A680" s="1" t="s">
        <v>10319</v>
      </c>
      <c r="B680" s="1" t="s">
        <v>10321</v>
      </c>
      <c r="C680" s="1" t="s">
        <v>4293</v>
      </c>
      <c r="D680" s="1" t="s">
        <v>10322</v>
      </c>
      <c r="E680" s="1" t="s">
        <v>10323</v>
      </c>
      <c r="F680" s="1" t="s">
        <v>78</v>
      </c>
      <c r="G680" s="4"/>
      <c r="H680" s="3">
        <v>44910.0</v>
      </c>
      <c r="I680" s="1" t="s">
        <v>5899</v>
      </c>
      <c r="J680" s="1" t="s">
        <v>5900</v>
      </c>
    </row>
    <row r="681">
      <c r="A681" s="1" t="s">
        <v>10325</v>
      </c>
      <c r="B681" s="1" t="s">
        <v>10326</v>
      </c>
      <c r="C681" s="1" t="s">
        <v>4293</v>
      </c>
      <c r="D681" s="1" t="s">
        <v>10327</v>
      </c>
      <c r="E681" s="1" t="s">
        <v>10328</v>
      </c>
      <c r="F681" s="1" t="s">
        <v>78</v>
      </c>
      <c r="G681" s="4"/>
      <c r="H681" s="3">
        <v>46148.0</v>
      </c>
      <c r="I681" s="1" t="s">
        <v>5899</v>
      </c>
      <c r="J681" s="1" t="s">
        <v>5900</v>
      </c>
    </row>
    <row r="682">
      <c r="A682" s="1" t="s">
        <v>10329</v>
      </c>
      <c r="B682" s="1" t="s">
        <v>8812</v>
      </c>
      <c r="C682" s="1" t="s">
        <v>4293</v>
      </c>
      <c r="D682" s="1" t="s">
        <v>10332</v>
      </c>
      <c r="E682" s="1" t="s">
        <v>10333</v>
      </c>
      <c r="F682" s="1" t="s">
        <v>78</v>
      </c>
      <c r="G682" s="4"/>
      <c r="H682" s="3">
        <v>45520.0</v>
      </c>
      <c r="I682" s="1" t="s">
        <v>5899</v>
      </c>
      <c r="J682" s="1" t="s">
        <v>5900</v>
      </c>
    </row>
    <row r="683">
      <c r="A683" s="1" t="s">
        <v>10335</v>
      </c>
      <c r="B683" s="1" t="s">
        <v>10336</v>
      </c>
      <c r="C683" s="1" t="s">
        <v>4293</v>
      </c>
      <c r="D683" s="1" t="s">
        <v>10337</v>
      </c>
      <c r="E683" s="1" t="s">
        <v>10338</v>
      </c>
      <c r="F683" s="1" t="s">
        <v>78</v>
      </c>
      <c r="G683" s="4"/>
      <c r="H683" s="3">
        <v>45576.0</v>
      </c>
      <c r="I683" s="1" t="s">
        <v>5899</v>
      </c>
      <c r="J683" s="1" t="s">
        <v>5900</v>
      </c>
    </row>
    <row r="684">
      <c r="A684" s="1" t="s">
        <v>10339</v>
      </c>
      <c r="B684" s="1" t="s">
        <v>4866</v>
      </c>
      <c r="C684" s="1" t="s">
        <v>4293</v>
      </c>
      <c r="D684" s="1" t="s">
        <v>10340</v>
      </c>
      <c r="E684" s="1" t="s">
        <v>10341</v>
      </c>
      <c r="F684" s="1" t="s">
        <v>78</v>
      </c>
      <c r="G684" s="4"/>
      <c r="H684" s="3">
        <v>43981.0</v>
      </c>
      <c r="I684" s="1" t="s">
        <v>5999</v>
      </c>
      <c r="J684" s="1" t="s">
        <v>5900</v>
      </c>
    </row>
    <row r="685">
      <c r="A685" s="1" t="s">
        <v>10343</v>
      </c>
      <c r="B685" s="1" t="s">
        <v>8247</v>
      </c>
      <c r="C685" s="1" t="s">
        <v>4293</v>
      </c>
      <c r="D685" s="1" t="s">
        <v>10345</v>
      </c>
      <c r="E685" s="1" t="s">
        <v>10346</v>
      </c>
      <c r="F685" s="1" t="s">
        <v>78</v>
      </c>
      <c r="G685" s="4"/>
      <c r="H685" s="3">
        <v>44500.0</v>
      </c>
      <c r="I685" s="1" t="s">
        <v>6299</v>
      </c>
      <c r="J685" s="1" t="s">
        <v>5900</v>
      </c>
    </row>
    <row r="686">
      <c r="A686" s="1" t="s">
        <v>10347</v>
      </c>
      <c r="B686" s="1" t="s">
        <v>10348</v>
      </c>
      <c r="C686" s="1" t="s">
        <v>4293</v>
      </c>
      <c r="D686" s="1" t="s">
        <v>10349</v>
      </c>
      <c r="E686" s="1" t="s">
        <v>10350</v>
      </c>
      <c r="F686" s="1" t="s">
        <v>78</v>
      </c>
      <c r="G686" s="4"/>
      <c r="H686" s="3">
        <v>45789.0</v>
      </c>
      <c r="I686" s="1" t="s">
        <v>10352</v>
      </c>
      <c r="J686" s="1" t="s">
        <v>5900</v>
      </c>
    </row>
    <row r="687">
      <c r="A687" s="1" t="s">
        <v>10353</v>
      </c>
      <c r="B687" s="1" t="s">
        <v>10354</v>
      </c>
      <c r="C687" s="1" t="s">
        <v>4293</v>
      </c>
      <c r="D687" s="1" t="s">
        <v>10355</v>
      </c>
      <c r="E687" s="1" t="s">
        <v>10356</v>
      </c>
      <c r="F687" s="1" t="s">
        <v>78</v>
      </c>
      <c r="G687" s="4"/>
      <c r="H687" s="3">
        <v>45495.0</v>
      </c>
      <c r="I687" s="1" t="s">
        <v>8860</v>
      </c>
      <c r="J687" s="1" t="s">
        <v>5900</v>
      </c>
    </row>
    <row r="688">
      <c r="A688" s="1" t="s">
        <v>10358</v>
      </c>
      <c r="B688" s="1" t="s">
        <v>10359</v>
      </c>
      <c r="C688" s="1" t="s">
        <v>4293</v>
      </c>
      <c r="D688" s="1" t="s">
        <v>10360</v>
      </c>
      <c r="E688" s="1" t="s">
        <v>10361</v>
      </c>
      <c r="F688" s="1" t="s">
        <v>78</v>
      </c>
      <c r="G688" s="4"/>
      <c r="H688" s="3">
        <v>44257.0</v>
      </c>
      <c r="I688" s="1" t="s">
        <v>10362</v>
      </c>
      <c r="J688" s="1" t="s">
        <v>5900</v>
      </c>
    </row>
    <row r="689">
      <c r="A689" s="1" t="s">
        <v>10364</v>
      </c>
      <c r="B689" s="1" t="s">
        <v>8141</v>
      </c>
      <c r="C689" s="1" t="s">
        <v>4293</v>
      </c>
      <c r="D689" s="1" t="s">
        <v>10365</v>
      </c>
      <c r="E689" s="1" t="s">
        <v>10366</v>
      </c>
      <c r="F689" s="1" t="s">
        <v>78</v>
      </c>
      <c r="G689" s="4"/>
      <c r="H689" s="3">
        <v>44482.0</v>
      </c>
      <c r="I689" s="1" t="s">
        <v>10362</v>
      </c>
      <c r="J689" s="1" t="s">
        <v>5900</v>
      </c>
    </row>
    <row r="690">
      <c r="A690" s="1" t="s">
        <v>10369</v>
      </c>
      <c r="B690" s="1" t="s">
        <v>10370</v>
      </c>
      <c r="C690" s="1" t="s">
        <v>4293</v>
      </c>
      <c r="D690" s="1" t="s">
        <v>10371</v>
      </c>
      <c r="E690" s="1" t="s">
        <v>10372</v>
      </c>
      <c r="F690" s="1" t="s">
        <v>78</v>
      </c>
      <c r="G690" s="4"/>
      <c r="H690" s="3">
        <v>46020.0</v>
      </c>
      <c r="I690" s="1" t="s">
        <v>10362</v>
      </c>
      <c r="J690" s="1" t="s">
        <v>5900</v>
      </c>
    </row>
    <row r="691">
      <c r="A691" s="1" t="s">
        <v>10374</v>
      </c>
      <c r="B691" s="1" t="s">
        <v>10376</v>
      </c>
      <c r="C691" s="1" t="s">
        <v>4293</v>
      </c>
      <c r="D691" s="1" t="s">
        <v>10377</v>
      </c>
      <c r="E691" s="1" t="s">
        <v>10378</v>
      </c>
      <c r="F691" s="1" t="s">
        <v>78</v>
      </c>
      <c r="G691" s="4"/>
      <c r="H691" s="3">
        <v>43532.0</v>
      </c>
      <c r="I691" s="1" t="s">
        <v>6609</v>
      </c>
      <c r="J691" s="1" t="s">
        <v>5900</v>
      </c>
    </row>
    <row r="692">
      <c r="A692" s="1" t="s">
        <v>10381</v>
      </c>
      <c r="B692" s="1" t="s">
        <v>10382</v>
      </c>
      <c r="C692" s="1" t="s">
        <v>4293</v>
      </c>
      <c r="D692" s="1" t="s">
        <v>10383</v>
      </c>
      <c r="E692" s="1" t="s">
        <v>10384</v>
      </c>
      <c r="F692" s="1" t="s">
        <v>78</v>
      </c>
      <c r="G692" s="4"/>
      <c r="H692" s="3">
        <v>45387.0</v>
      </c>
      <c r="I692" s="1" t="s">
        <v>6609</v>
      </c>
      <c r="J692" s="1" t="s">
        <v>5900</v>
      </c>
    </row>
    <row r="693">
      <c r="A693" s="1" t="s">
        <v>10386</v>
      </c>
      <c r="B693" s="1" t="s">
        <v>10297</v>
      </c>
      <c r="C693" s="1" t="s">
        <v>4293</v>
      </c>
      <c r="D693" s="1" t="s">
        <v>10388</v>
      </c>
      <c r="E693" s="1" t="s">
        <v>10389</v>
      </c>
      <c r="F693" s="1" t="s">
        <v>78</v>
      </c>
      <c r="G693" s="4"/>
      <c r="H693" s="3">
        <v>45162.0</v>
      </c>
      <c r="I693" s="1" t="s">
        <v>6609</v>
      </c>
      <c r="J693" s="1" t="s">
        <v>5900</v>
      </c>
    </row>
    <row r="694">
      <c r="A694" s="1" t="s">
        <v>10390</v>
      </c>
      <c r="B694" s="1" t="s">
        <v>10391</v>
      </c>
      <c r="C694" s="1" t="s">
        <v>4293</v>
      </c>
      <c r="D694" s="1" t="s">
        <v>10392</v>
      </c>
      <c r="E694" s="1" t="s">
        <v>10393</v>
      </c>
      <c r="F694" s="1" t="s">
        <v>78</v>
      </c>
      <c r="G694" s="4"/>
      <c r="H694" s="3">
        <v>44748.0</v>
      </c>
      <c r="I694" s="1" t="s">
        <v>6980</v>
      </c>
      <c r="J694" s="1" t="s">
        <v>5900</v>
      </c>
    </row>
    <row r="695">
      <c r="A695" s="1" t="s">
        <v>10396</v>
      </c>
      <c r="B695" s="1" t="s">
        <v>10397</v>
      </c>
      <c r="C695" s="1" t="s">
        <v>4293</v>
      </c>
      <c r="D695" s="1" t="s">
        <v>10398</v>
      </c>
      <c r="E695" s="1" t="s">
        <v>10400</v>
      </c>
      <c r="F695" s="1" t="s">
        <v>78</v>
      </c>
      <c r="G695" s="4"/>
      <c r="H695" s="3">
        <v>44476.0</v>
      </c>
      <c r="I695" s="1" t="s">
        <v>7593</v>
      </c>
      <c r="J695" s="1" t="s">
        <v>5900</v>
      </c>
    </row>
    <row r="696">
      <c r="A696" s="1" t="s">
        <v>10401</v>
      </c>
      <c r="B696" s="1" t="s">
        <v>10402</v>
      </c>
      <c r="C696" s="1" t="s">
        <v>4293</v>
      </c>
      <c r="D696" s="1" t="s">
        <v>10403</v>
      </c>
      <c r="E696" s="1" t="s">
        <v>10404</v>
      </c>
      <c r="F696" s="1" t="s">
        <v>78</v>
      </c>
      <c r="G696" s="4"/>
      <c r="H696" s="3">
        <v>44840.0</v>
      </c>
      <c r="I696" s="1" t="s">
        <v>5999</v>
      </c>
      <c r="J696" s="1" t="s">
        <v>5900</v>
      </c>
    </row>
    <row r="697">
      <c r="A697" s="1" t="s">
        <v>10406</v>
      </c>
      <c r="B697" s="1" t="s">
        <v>10407</v>
      </c>
      <c r="C697" s="1" t="s">
        <v>4293</v>
      </c>
      <c r="D697" s="1" t="s">
        <v>10408</v>
      </c>
      <c r="E697" s="1" t="s">
        <v>10409</v>
      </c>
      <c r="F697" s="1" t="s">
        <v>78</v>
      </c>
      <c r="G697" s="4"/>
      <c r="H697" s="3">
        <v>45509.0</v>
      </c>
      <c r="I697" s="1" t="s">
        <v>5899</v>
      </c>
      <c r="J697" s="1" t="s">
        <v>5900</v>
      </c>
    </row>
    <row r="698">
      <c r="A698" s="1" t="s">
        <v>10410</v>
      </c>
      <c r="B698" s="1" t="s">
        <v>8882</v>
      </c>
      <c r="C698" s="1" t="s">
        <v>4293</v>
      </c>
      <c r="D698" s="1" t="s">
        <v>10412</v>
      </c>
      <c r="E698" s="1" t="s">
        <v>10413</v>
      </c>
      <c r="F698" s="1" t="s">
        <v>78</v>
      </c>
      <c r="G698" s="4"/>
      <c r="H698" s="3">
        <v>45840.0</v>
      </c>
      <c r="I698" s="1" t="s">
        <v>7297</v>
      </c>
      <c r="J698" s="1" t="s">
        <v>5900</v>
      </c>
    </row>
    <row r="699">
      <c r="A699" s="1" t="s">
        <v>10415</v>
      </c>
      <c r="B699" s="1" t="s">
        <v>10416</v>
      </c>
      <c r="C699" s="1" t="s">
        <v>4293</v>
      </c>
      <c r="D699" s="1" t="s">
        <v>10417</v>
      </c>
      <c r="E699" s="1" t="s">
        <v>10419</v>
      </c>
      <c r="F699" s="1" t="s">
        <v>78</v>
      </c>
      <c r="G699" s="4"/>
      <c r="H699" s="3">
        <v>44531.0</v>
      </c>
      <c r="I699" s="1" t="s">
        <v>7069</v>
      </c>
      <c r="J699" s="1" t="s">
        <v>5900</v>
      </c>
    </row>
    <row r="700">
      <c r="A700" s="1" t="s">
        <v>10420</v>
      </c>
      <c r="B700" s="1" t="s">
        <v>10421</v>
      </c>
      <c r="C700" s="1" t="s">
        <v>4293</v>
      </c>
      <c r="D700" s="1" t="s">
        <v>10422</v>
      </c>
      <c r="E700" s="1" t="s">
        <v>10423</v>
      </c>
      <c r="F700" s="1" t="s">
        <v>78</v>
      </c>
      <c r="G700" s="4"/>
      <c r="H700" s="3">
        <v>45020.0</v>
      </c>
      <c r="I700" s="1" t="s">
        <v>7297</v>
      </c>
      <c r="J700" s="1" t="s">
        <v>5900</v>
      </c>
    </row>
    <row r="701">
      <c r="A701" s="1" t="s">
        <v>10424</v>
      </c>
      <c r="B701" s="1" t="s">
        <v>10426</v>
      </c>
      <c r="C701" s="1" t="s">
        <v>4293</v>
      </c>
      <c r="D701" s="1" t="s">
        <v>10427</v>
      </c>
      <c r="E701" s="1" t="s">
        <v>10428</v>
      </c>
      <c r="F701" s="1" t="s">
        <v>78</v>
      </c>
      <c r="G701" s="4"/>
      <c r="H701" s="3">
        <v>45056.0</v>
      </c>
      <c r="I701" s="1" t="s">
        <v>6330</v>
      </c>
      <c r="J701" s="1" t="s">
        <v>5900</v>
      </c>
    </row>
    <row r="702">
      <c r="A702" s="1" t="s">
        <v>10430</v>
      </c>
      <c r="B702" s="1" t="s">
        <v>6802</v>
      </c>
      <c r="C702" s="1" t="s">
        <v>4293</v>
      </c>
      <c r="D702" s="1" t="s">
        <v>10432</v>
      </c>
      <c r="E702" s="1" t="s">
        <v>10433</v>
      </c>
      <c r="F702" s="1" t="s">
        <v>78</v>
      </c>
      <c r="G702" s="4"/>
      <c r="H702" s="3">
        <v>44316.0</v>
      </c>
      <c r="I702" s="1" t="s">
        <v>5899</v>
      </c>
      <c r="J702" s="1" t="s">
        <v>5900</v>
      </c>
    </row>
    <row r="703">
      <c r="A703" s="1" t="s">
        <v>10434</v>
      </c>
      <c r="B703" s="1" t="s">
        <v>10435</v>
      </c>
      <c r="C703" s="1" t="s">
        <v>4293</v>
      </c>
      <c r="D703" s="1" t="s">
        <v>10436</v>
      </c>
      <c r="E703" s="1" t="s">
        <v>10438</v>
      </c>
      <c r="F703" s="1" t="s">
        <v>78</v>
      </c>
      <c r="G703" s="4"/>
      <c r="H703" s="3">
        <v>45404.0</v>
      </c>
      <c r="I703" s="1" t="s">
        <v>5899</v>
      </c>
      <c r="J703" s="1" t="s">
        <v>5900</v>
      </c>
    </row>
    <row r="704">
      <c r="A704" s="1" t="s">
        <v>10440</v>
      </c>
      <c r="B704" s="1" t="s">
        <v>10441</v>
      </c>
      <c r="C704" s="1" t="s">
        <v>4293</v>
      </c>
      <c r="D704" s="1" t="s">
        <v>10442</v>
      </c>
      <c r="E704" s="1" t="s">
        <v>10443</v>
      </c>
      <c r="F704" s="1" t="s">
        <v>78</v>
      </c>
      <c r="G704" s="4"/>
      <c r="H704" s="3">
        <v>45936.0</v>
      </c>
      <c r="I704" s="1" t="s">
        <v>5999</v>
      </c>
      <c r="J704" s="1" t="s">
        <v>5900</v>
      </c>
    </row>
    <row r="705">
      <c r="A705" s="1" t="s">
        <v>10444</v>
      </c>
      <c r="B705" s="1" t="s">
        <v>8427</v>
      </c>
      <c r="C705" s="1" t="s">
        <v>4293</v>
      </c>
      <c r="D705" s="1" t="s">
        <v>10446</v>
      </c>
      <c r="E705" s="1" t="s">
        <v>10447</v>
      </c>
      <c r="F705" s="1" t="s">
        <v>78</v>
      </c>
      <c r="G705" s="4"/>
      <c r="H705" s="3">
        <v>45616.0</v>
      </c>
      <c r="I705" s="1" t="s">
        <v>5899</v>
      </c>
      <c r="J705" s="1" t="s">
        <v>5900</v>
      </c>
    </row>
    <row r="706">
      <c r="A706" s="1" t="s">
        <v>10451</v>
      </c>
      <c r="B706" s="1" t="s">
        <v>10453</v>
      </c>
      <c r="C706" s="1" t="s">
        <v>4293</v>
      </c>
      <c r="D706" s="1" t="s">
        <v>10455</v>
      </c>
      <c r="E706" s="1" t="s">
        <v>10456</v>
      </c>
      <c r="F706" s="1" t="s">
        <v>78</v>
      </c>
      <c r="G706" s="4"/>
      <c r="H706" s="3">
        <v>45376.0</v>
      </c>
      <c r="I706" s="1" t="s">
        <v>5899</v>
      </c>
      <c r="J706" s="1" t="s">
        <v>5900</v>
      </c>
    </row>
    <row r="707">
      <c r="A707" s="1" t="s">
        <v>10457</v>
      </c>
      <c r="B707" s="1" t="s">
        <v>10458</v>
      </c>
      <c r="C707" s="1" t="s">
        <v>4293</v>
      </c>
      <c r="D707" s="1" t="s">
        <v>10459</v>
      </c>
      <c r="E707" s="1" t="s">
        <v>10460</v>
      </c>
      <c r="F707" s="1" t="s">
        <v>78</v>
      </c>
      <c r="G707" s="4"/>
      <c r="H707" s="3">
        <v>45355.0</v>
      </c>
      <c r="I707" s="1" t="s">
        <v>6330</v>
      </c>
      <c r="J707" s="1" t="s">
        <v>5900</v>
      </c>
    </row>
    <row r="708">
      <c r="A708" s="1" t="s">
        <v>10461</v>
      </c>
      <c r="B708" s="1" t="s">
        <v>10462</v>
      </c>
      <c r="C708" s="1" t="s">
        <v>4293</v>
      </c>
      <c r="D708" s="1" t="s">
        <v>10464</v>
      </c>
      <c r="E708" s="1" t="s">
        <v>10465</v>
      </c>
      <c r="F708" s="1" t="s">
        <v>78</v>
      </c>
      <c r="G708" s="4"/>
      <c r="H708" s="3">
        <v>45967.0</v>
      </c>
      <c r="I708" s="1" t="s">
        <v>5899</v>
      </c>
      <c r="J708" s="1" t="s">
        <v>5900</v>
      </c>
    </row>
    <row r="709">
      <c r="A709" s="1" t="s">
        <v>10467</v>
      </c>
      <c r="B709" s="1" t="s">
        <v>6154</v>
      </c>
      <c r="C709" s="1" t="s">
        <v>4293</v>
      </c>
      <c r="D709" s="1" t="s">
        <v>10469</v>
      </c>
      <c r="E709" s="1" t="s">
        <v>10470</v>
      </c>
      <c r="F709" s="1" t="s">
        <v>78</v>
      </c>
      <c r="G709" s="4"/>
      <c r="H709" s="3">
        <v>43273.0</v>
      </c>
      <c r="I709" s="1" t="s">
        <v>7659</v>
      </c>
      <c r="J709" s="1" t="s">
        <v>5900</v>
      </c>
    </row>
    <row r="710">
      <c r="A710" s="1" t="s">
        <v>10471</v>
      </c>
      <c r="B710" s="1" t="s">
        <v>10472</v>
      </c>
      <c r="C710" s="1" t="s">
        <v>4293</v>
      </c>
      <c r="D710" s="1" t="s">
        <v>10474</v>
      </c>
      <c r="E710" s="1" t="s">
        <v>10475</v>
      </c>
      <c r="F710" s="1" t="s">
        <v>78</v>
      </c>
      <c r="G710" s="4"/>
      <c r="H710" s="3">
        <v>44725.0</v>
      </c>
      <c r="I710" s="1" t="s">
        <v>6127</v>
      </c>
      <c r="J710" s="1" t="s">
        <v>5900</v>
      </c>
    </row>
    <row r="711">
      <c r="A711" s="1" t="s">
        <v>10478</v>
      </c>
      <c r="B711" s="1" t="s">
        <v>5486</v>
      </c>
      <c r="C711" s="1" t="s">
        <v>4293</v>
      </c>
      <c r="D711" s="1" t="s">
        <v>10479</v>
      </c>
      <c r="E711" s="1" t="s">
        <v>10481</v>
      </c>
      <c r="F711" s="1" t="s">
        <v>78</v>
      </c>
      <c r="G711" s="4"/>
      <c r="H711" s="3">
        <v>45740.0</v>
      </c>
      <c r="I711" s="1" t="s">
        <v>5999</v>
      </c>
      <c r="J711" s="1" t="s">
        <v>5900</v>
      </c>
    </row>
    <row r="712">
      <c r="A712" s="1" t="s">
        <v>10486</v>
      </c>
      <c r="B712" s="1" t="s">
        <v>9913</v>
      </c>
      <c r="C712" s="1" t="s">
        <v>4293</v>
      </c>
      <c r="D712" s="1" t="s">
        <v>10490</v>
      </c>
      <c r="E712" s="1" t="s">
        <v>10492</v>
      </c>
      <c r="F712" s="1" t="s">
        <v>78</v>
      </c>
      <c r="G712" s="4"/>
      <c r="H712" s="3">
        <v>44867.0</v>
      </c>
      <c r="I712" s="1" t="s">
        <v>6740</v>
      </c>
      <c r="J712" s="1" t="s">
        <v>5900</v>
      </c>
    </row>
    <row r="713">
      <c r="A713" s="1" t="s">
        <v>10497</v>
      </c>
      <c r="B713" s="1" t="s">
        <v>10498</v>
      </c>
      <c r="C713" s="1" t="s">
        <v>4293</v>
      </c>
      <c r="D713" s="1" t="s">
        <v>10501</v>
      </c>
      <c r="E713" s="1" t="s">
        <v>10503</v>
      </c>
      <c r="F713" s="1" t="s">
        <v>78</v>
      </c>
      <c r="G713" s="4"/>
      <c r="H713" s="3">
        <v>44562.0</v>
      </c>
      <c r="I713" s="1" t="s">
        <v>10141</v>
      </c>
      <c r="J713" s="1" t="s">
        <v>5900</v>
      </c>
    </row>
    <row r="714">
      <c r="A714" s="1" t="s">
        <v>10505</v>
      </c>
      <c r="B714" s="1" t="s">
        <v>7391</v>
      </c>
      <c r="C714" s="1" t="s">
        <v>4293</v>
      </c>
      <c r="D714" s="1" t="s">
        <v>10511</v>
      </c>
      <c r="E714" s="1" t="s">
        <v>10513</v>
      </c>
      <c r="F714" s="1" t="s">
        <v>78</v>
      </c>
      <c r="G714" s="4"/>
      <c r="H714" s="3">
        <v>45301.0</v>
      </c>
      <c r="I714" s="1" t="s">
        <v>5999</v>
      </c>
      <c r="J714" s="1" t="s">
        <v>5900</v>
      </c>
    </row>
    <row r="715">
      <c r="A715" s="1" t="s">
        <v>10518</v>
      </c>
      <c r="B715" s="1" t="s">
        <v>4387</v>
      </c>
      <c r="C715" s="1" t="s">
        <v>4293</v>
      </c>
      <c r="D715" s="1" t="s">
        <v>10521</v>
      </c>
      <c r="E715" s="1" t="s">
        <v>10523</v>
      </c>
      <c r="F715" s="1" t="s">
        <v>78</v>
      </c>
      <c r="G715" s="4"/>
      <c r="H715" s="3">
        <v>45498.0</v>
      </c>
      <c r="I715" s="1" t="s">
        <v>5999</v>
      </c>
      <c r="J715" s="1" t="s">
        <v>5900</v>
      </c>
    </row>
    <row r="716">
      <c r="A716" s="1" t="s">
        <v>10526</v>
      </c>
      <c r="B716" s="1" t="s">
        <v>10527</v>
      </c>
      <c r="C716" s="1" t="s">
        <v>4293</v>
      </c>
      <c r="D716" s="1" t="s">
        <v>10529</v>
      </c>
      <c r="E716" s="1" t="s">
        <v>10530</v>
      </c>
      <c r="F716" s="1" t="s">
        <v>78</v>
      </c>
      <c r="G716" s="4"/>
      <c r="H716" s="3">
        <v>45154.0</v>
      </c>
      <c r="I716" s="1" t="s">
        <v>7426</v>
      </c>
      <c r="J716" s="1" t="s">
        <v>5900</v>
      </c>
    </row>
    <row r="717">
      <c r="A717" s="1" t="s">
        <v>10535</v>
      </c>
      <c r="B717" s="1" t="s">
        <v>10537</v>
      </c>
      <c r="C717" s="1" t="s">
        <v>4293</v>
      </c>
      <c r="D717" s="1" t="s">
        <v>10540</v>
      </c>
      <c r="E717" s="1" t="s">
        <v>10542</v>
      </c>
      <c r="F717" s="1" t="s">
        <v>78</v>
      </c>
      <c r="G717" s="4"/>
      <c r="H717" s="3">
        <v>43964.0</v>
      </c>
      <c r="I717" s="1" t="s">
        <v>7426</v>
      </c>
      <c r="J717" s="1" t="s">
        <v>5900</v>
      </c>
    </row>
    <row r="718">
      <c r="A718" s="1" t="s">
        <v>10548</v>
      </c>
      <c r="B718" s="1" t="s">
        <v>10550</v>
      </c>
      <c r="C718" s="1" t="s">
        <v>4293</v>
      </c>
      <c r="D718" s="1" t="s">
        <v>10100</v>
      </c>
      <c r="E718" s="1" t="s">
        <v>10553</v>
      </c>
      <c r="F718" s="1" t="s">
        <v>78</v>
      </c>
      <c r="G718" s="4"/>
      <c r="H718" s="3">
        <v>44238.0</v>
      </c>
      <c r="I718" s="1" t="s">
        <v>6882</v>
      </c>
      <c r="J718" s="1" t="s">
        <v>5900</v>
      </c>
    </row>
    <row r="719">
      <c r="A719" s="1" t="s">
        <v>10559</v>
      </c>
      <c r="B719" s="1" t="s">
        <v>10560</v>
      </c>
      <c r="C719" s="1" t="s">
        <v>4293</v>
      </c>
      <c r="D719" s="1" t="s">
        <v>10561</v>
      </c>
      <c r="E719" s="1" t="s">
        <v>10563</v>
      </c>
      <c r="F719" s="1" t="s">
        <v>78</v>
      </c>
      <c r="G719" s="4"/>
      <c r="H719" s="3">
        <v>44297.0</v>
      </c>
      <c r="I719" s="1" t="s">
        <v>7426</v>
      </c>
      <c r="J719" s="1" t="s">
        <v>5900</v>
      </c>
    </row>
    <row r="720">
      <c r="A720" s="1" t="s">
        <v>10566</v>
      </c>
      <c r="B720" s="1" t="s">
        <v>10569</v>
      </c>
      <c r="C720" s="1" t="s">
        <v>4293</v>
      </c>
      <c r="D720" s="1" t="s">
        <v>10571</v>
      </c>
      <c r="E720" s="1" t="s">
        <v>10572</v>
      </c>
      <c r="F720" s="1" t="s">
        <v>78</v>
      </c>
      <c r="G720" s="4"/>
      <c r="H720" s="3">
        <v>44400.0</v>
      </c>
      <c r="I720" s="1" t="s">
        <v>8524</v>
      </c>
      <c r="J720" s="1" t="s">
        <v>5900</v>
      </c>
    </row>
    <row r="721">
      <c r="A721" s="1" t="s">
        <v>10577</v>
      </c>
      <c r="B721" s="1" t="s">
        <v>10578</v>
      </c>
      <c r="C721" s="1" t="s">
        <v>4293</v>
      </c>
      <c r="D721" s="1" t="s">
        <v>10580</v>
      </c>
      <c r="E721" s="1" t="s">
        <v>10582</v>
      </c>
      <c r="F721" s="1" t="s">
        <v>78</v>
      </c>
      <c r="G721" s="4"/>
      <c r="H721" s="3">
        <v>44225.0</v>
      </c>
      <c r="I721" s="1" t="s">
        <v>6872</v>
      </c>
      <c r="J721" s="1" t="s">
        <v>5900</v>
      </c>
    </row>
    <row r="722">
      <c r="A722" s="1" t="s">
        <v>10586</v>
      </c>
      <c r="B722" s="1" t="s">
        <v>10588</v>
      </c>
      <c r="C722" s="1" t="s">
        <v>4293</v>
      </c>
      <c r="D722" s="1" t="s">
        <v>10590</v>
      </c>
      <c r="E722" s="1" t="s">
        <v>10591</v>
      </c>
      <c r="F722" s="1" t="s">
        <v>78</v>
      </c>
      <c r="G722" s="4"/>
      <c r="H722" s="3">
        <v>44499.0</v>
      </c>
      <c r="I722" s="1" t="s">
        <v>8091</v>
      </c>
      <c r="J722" s="1" t="s">
        <v>5900</v>
      </c>
    </row>
    <row r="723">
      <c r="A723" s="1" t="s">
        <v>10594</v>
      </c>
      <c r="B723" s="1" t="s">
        <v>10595</v>
      </c>
      <c r="C723" s="1" t="s">
        <v>4293</v>
      </c>
      <c r="D723" s="1" t="s">
        <v>10598</v>
      </c>
      <c r="E723" s="1" t="s">
        <v>10599</v>
      </c>
      <c r="F723" s="1" t="s">
        <v>78</v>
      </c>
      <c r="G723" s="4"/>
      <c r="H723" s="3">
        <v>44790.0</v>
      </c>
      <c r="I723" s="1" t="s">
        <v>8897</v>
      </c>
      <c r="J723" s="1" t="s">
        <v>5900</v>
      </c>
    </row>
    <row r="724">
      <c r="A724" s="1" t="s">
        <v>10607</v>
      </c>
      <c r="B724" s="1" t="s">
        <v>10609</v>
      </c>
      <c r="C724" s="1" t="s">
        <v>4293</v>
      </c>
      <c r="D724" s="1" t="s">
        <v>10611</v>
      </c>
      <c r="E724" s="1" t="s">
        <v>10614</v>
      </c>
      <c r="F724" s="1" t="s">
        <v>78</v>
      </c>
      <c r="G724" s="4"/>
      <c r="H724" s="3">
        <v>45966.0</v>
      </c>
      <c r="I724" s="1" t="s">
        <v>6872</v>
      </c>
      <c r="J724" s="1" t="s">
        <v>5900</v>
      </c>
    </row>
    <row r="725">
      <c r="A725" s="1" t="s">
        <v>10617</v>
      </c>
      <c r="B725" s="1" t="s">
        <v>8592</v>
      </c>
      <c r="C725" s="1" t="s">
        <v>4293</v>
      </c>
      <c r="D725" s="1" t="s">
        <v>10620</v>
      </c>
      <c r="E725" s="1" t="s">
        <v>10622</v>
      </c>
      <c r="F725" s="1" t="s">
        <v>78</v>
      </c>
      <c r="G725" s="4"/>
      <c r="H725" s="3">
        <v>45652.0</v>
      </c>
      <c r="I725" s="1" t="s">
        <v>8274</v>
      </c>
      <c r="J725" s="1" t="s">
        <v>5900</v>
      </c>
    </row>
    <row r="726">
      <c r="A726" s="1" t="s">
        <v>10626</v>
      </c>
      <c r="B726" s="1" t="s">
        <v>10628</v>
      </c>
      <c r="C726" s="1" t="s">
        <v>4293</v>
      </c>
      <c r="D726" s="1" t="s">
        <v>10630</v>
      </c>
      <c r="E726" s="1" t="s">
        <v>10632</v>
      </c>
      <c r="F726" s="1" t="s">
        <v>78</v>
      </c>
      <c r="G726" s="4"/>
      <c r="H726" s="3">
        <v>44623.0</v>
      </c>
      <c r="I726" s="1" t="s">
        <v>6872</v>
      </c>
      <c r="J726" s="1" t="s">
        <v>5900</v>
      </c>
    </row>
    <row r="727">
      <c r="A727" s="1" t="s">
        <v>10636</v>
      </c>
      <c r="B727" s="1" t="s">
        <v>10637</v>
      </c>
      <c r="C727" s="1" t="s">
        <v>4293</v>
      </c>
      <c r="D727" s="1" t="s">
        <v>10638</v>
      </c>
      <c r="E727" s="1" t="s">
        <v>10639</v>
      </c>
      <c r="F727" s="1" t="s">
        <v>78</v>
      </c>
      <c r="G727" s="4"/>
      <c r="H727" s="3">
        <v>44209.0</v>
      </c>
      <c r="I727" s="1" t="s">
        <v>8274</v>
      </c>
      <c r="J727" s="1" t="s">
        <v>5900</v>
      </c>
    </row>
    <row r="728">
      <c r="A728" s="1" t="s">
        <v>10640</v>
      </c>
      <c r="B728" s="1" t="s">
        <v>10641</v>
      </c>
      <c r="C728" s="1" t="s">
        <v>4293</v>
      </c>
      <c r="D728" s="1" t="s">
        <v>10642</v>
      </c>
      <c r="E728" s="1" t="s">
        <v>10643</v>
      </c>
      <c r="F728" s="1" t="s">
        <v>78</v>
      </c>
      <c r="G728" s="4"/>
      <c r="H728" s="3">
        <v>44783.0</v>
      </c>
      <c r="I728" s="1" t="s">
        <v>5899</v>
      </c>
      <c r="J728" s="1" t="s">
        <v>5900</v>
      </c>
    </row>
    <row r="729">
      <c r="A729" s="1" t="s">
        <v>10648</v>
      </c>
      <c r="B729" s="1" t="s">
        <v>10649</v>
      </c>
      <c r="C729" s="1" t="s">
        <v>4293</v>
      </c>
      <c r="D729" s="1" t="s">
        <v>10654</v>
      </c>
      <c r="E729" s="1" t="s">
        <v>10656</v>
      </c>
      <c r="F729" s="1" t="s">
        <v>78</v>
      </c>
      <c r="G729" s="4"/>
      <c r="H729" s="3">
        <v>45903.0</v>
      </c>
      <c r="I729" s="1" t="s">
        <v>10658</v>
      </c>
      <c r="J729" s="1" t="s">
        <v>5900</v>
      </c>
    </row>
    <row r="730">
      <c r="A730" s="1" t="s">
        <v>10661</v>
      </c>
      <c r="B730" s="1" t="s">
        <v>10664</v>
      </c>
      <c r="C730" s="1" t="s">
        <v>4293</v>
      </c>
      <c r="D730" s="1" t="s">
        <v>10667</v>
      </c>
      <c r="E730" s="1" t="s">
        <v>10668</v>
      </c>
      <c r="F730" s="1" t="s">
        <v>78</v>
      </c>
      <c r="G730" s="4"/>
      <c r="H730" s="3">
        <v>44253.0</v>
      </c>
      <c r="I730" s="1" t="s">
        <v>5899</v>
      </c>
      <c r="J730" s="1" t="s">
        <v>5900</v>
      </c>
    </row>
    <row r="731">
      <c r="A731" s="1" t="s">
        <v>10669</v>
      </c>
      <c r="B731" s="1" t="s">
        <v>10671</v>
      </c>
      <c r="C731" s="1" t="s">
        <v>4293</v>
      </c>
      <c r="D731" s="1" t="s">
        <v>10672</v>
      </c>
      <c r="E731" s="1" t="s">
        <v>10673</v>
      </c>
      <c r="F731" s="1" t="s">
        <v>78</v>
      </c>
      <c r="G731" s="4"/>
      <c r="H731" s="3">
        <v>44376.0</v>
      </c>
      <c r="I731" s="1" t="s">
        <v>10080</v>
      </c>
      <c r="J731" s="1" t="s">
        <v>5900</v>
      </c>
    </row>
    <row r="732">
      <c r="A732" s="1" t="s">
        <v>10675</v>
      </c>
      <c r="B732" s="1" t="s">
        <v>10677</v>
      </c>
      <c r="C732" s="1" t="s">
        <v>4293</v>
      </c>
      <c r="D732" s="1" t="s">
        <v>10681</v>
      </c>
      <c r="E732" s="1" t="s">
        <v>10683</v>
      </c>
      <c r="F732" s="1" t="s">
        <v>78</v>
      </c>
      <c r="G732" s="4"/>
      <c r="H732" s="3">
        <v>45112.0</v>
      </c>
      <c r="I732" s="1" t="s">
        <v>10080</v>
      </c>
      <c r="J732" s="1" t="s">
        <v>5900</v>
      </c>
    </row>
    <row r="733">
      <c r="A733" s="1" t="s">
        <v>10684</v>
      </c>
      <c r="B733" s="1" t="s">
        <v>6730</v>
      </c>
      <c r="C733" s="1" t="s">
        <v>4293</v>
      </c>
      <c r="D733" s="1" t="s">
        <v>10685</v>
      </c>
      <c r="E733" s="1" t="s">
        <v>10686</v>
      </c>
      <c r="F733" s="1" t="s">
        <v>78</v>
      </c>
      <c r="G733" s="4"/>
      <c r="H733" s="3">
        <v>43994.0</v>
      </c>
      <c r="I733" s="1" t="s">
        <v>5899</v>
      </c>
      <c r="J733" s="1" t="s">
        <v>5900</v>
      </c>
    </row>
    <row r="734">
      <c r="A734" s="1" t="s">
        <v>10687</v>
      </c>
      <c r="B734" s="1" t="s">
        <v>10317</v>
      </c>
      <c r="C734" s="1" t="s">
        <v>4293</v>
      </c>
      <c r="D734" s="1" t="s">
        <v>10689</v>
      </c>
      <c r="E734" s="1" t="s">
        <v>10690</v>
      </c>
      <c r="F734" s="1" t="s">
        <v>78</v>
      </c>
      <c r="G734" s="4"/>
      <c r="H734" s="3">
        <v>45289.0</v>
      </c>
      <c r="I734" s="1" t="s">
        <v>6620</v>
      </c>
      <c r="J734" s="1" t="s">
        <v>5900</v>
      </c>
    </row>
    <row r="735">
      <c r="A735" s="1" t="s">
        <v>10694</v>
      </c>
      <c r="B735" s="1" t="s">
        <v>10696</v>
      </c>
      <c r="C735" s="1" t="s">
        <v>4293</v>
      </c>
      <c r="D735" s="1" t="s">
        <v>3742</v>
      </c>
      <c r="E735" s="1" t="s">
        <v>10698</v>
      </c>
      <c r="F735" s="1" t="s">
        <v>78</v>
      </c>
      <c r="G735" s="4"/>
      <c r="H735" s="3">
        <v>44012.0</v>
      </c>
      <c r="I735" s="1" t="s">
        <v>7060</v>
      </c>
      <c r="J735" s="1" t="s">
        <v>5900</v>
      </c>
    </row>
    <row r="736">
      <c r="A736" s="1" t="s">
        <v>10702</v>
      </c>
      <c r="B736" s="1" t="s">
        <v>10703</v>
      </c>
      <c r="C736" s="1" t="s">
        <v>4293</v>
      </c>
      <c r="D736" s="1" t="s">
        <v>10706</v>
      </c>
      <c r="E736" s="1" t="s">
        <v>10708</v>
      </c>
      <c r="F736" s="1" t="s">
        <v>78</v>
      </c>
      <c r="G736" s="4"/>
      <c r="H736" s="3">
        <v>45033.0</v>
      </c>
      <c r="I736" s="1" t="s">
        <v>6415</v>
      </c>
      <c r="J736" s="1" t="s">
        <v>5900</v>
      </c>
    </row>
    <row r="737">
      <c r="A737" s="1" t="s">
        <v>10711</v>
      </c>
      <c r="B737" s="1" t="s">
        <v>10713</v>
      </c>
      <c r="C737" s="1" t="s">
        <v>4293</v>
      </c>
      <c r="D737" s="1" t="s">
        <v>10716</v>
      </c>
      <c r="E737" s="1" t="s">
        <v>10718</v>
      </c>
      <c r="F737" s="1" t="s">
        <v>78</v>
      </c>
      <c r="G737" s="4"/>
      <c r="H737" s="3">
        <v>44241.0</v>
      </c>
      <c r="I737" s="1" t="s">
        <v>10080</v>
      </c>
      <c r="J737" s="1" t="s">
        <v>5900</v>
      </c>
    </row>
    <row r="738">
      <c r="A738" s="1" t="s">
        <v>10723</v>
      </c>
      <c r="B738" s="1" t="s">
        <v>10724</v>
      </c>
      <c r="C738" s="1" t="s">
        <v>4293</v>
      </c>
      <c r="D738" s="1" t="s">
        <v>10726</v>
      </c>
      <c r="E738" s="1" t="s">
        <v>10727</v>
      </c>
      <c r="F738" s="1" t="s">
        <v>78</v>
      </c>
      <c r="G738" s="4"/>
      <c r="H738" s="3">
        <v>44922.0</v>
      </c>
      <c r="I738" s="1" t="s">
        <v>5999</v>
      </c>
      <c r="J738" s="1" t="s">
        <v>5900</v>
      </c>
    </row>
    <row r="739">
      <c r="A739" s="1" t="s">
        <v>10732</v>
      </c>
      <c r="B739" s="1" t="s">
        <v>10734</v>
      </c>
      <c r="C739" s="1" t="s">
        <v>4293</v>
      </c>
      <c r="D739" s="1" t="s">
        <v>10736</v>
      </c>
      <c r="E739" s="1" t="s">
        <v>10738</v>
      </c>
      <c r="F739" s="1" t="s">
        <v>78</v>
      </c>
      <c r="G739" s="4"/>
      <c r="H739" s="3">
        <v>45727.0</v>
      </c>
      <c r="I739" s="1" t="s">
        <v>8091</v>
      </c>
      <c r="J739" s="1" t="s">
        <v>5900</v>
      </c>
    </row>
    <row r="740">
      <c r="A740" s="1" t="s">
        <v>10740</v>
      </c>
      <c r="B740" s="1" t="s">
        <v>10741</v>
      </c>
      <c r="C740" s="1" t="s">
        <v>4293</v>
      </c>
      <c r="D740" s="1" t="s">
        <v>10744</v>
      </c>
      <c r="E740" s="1" t="s">
        <v>10745</v>
      </c>
      <c r="F740" s="1" t="s">
        <v>78</v>
      </c>
      <c r="G740" s="4"/>
      <c r="H740" s="3">
        <v>44356.0</v>
      </c>
      <c r="I740" s="1" t="s">
        <v>5922</v>
      </c>
      <c r="J740" s="1" t="s">
        <v>5900</v>
      </c>
    </row>
    <row r="741">
      <c r="A741" s="1" t="s">
        <v>10749</v>
      </c>
      <c r="B741" s="1" t="s">
        <v>6367</v>
      </c>
      <c r="C741" s="1" t="s">
        <v>4293</v>
      </c>
      <c r="D741" s="1" t="s">
        <v>10751</v>
      </c>
      <c r="E741" s="1" t="s">
        <v>10753</v>
      </c>
      <c r="F741" s="1" t="s">
        <v>78</v>
      </c>
      <c r="G741" s="4"/>
      <c r="H741" s="3">
        <v>44517.0</v>
      </c>
      <c r="I741" s="1" t="s">
        <v>5922</v>
      </c>
      <c r="J741" s="1" t="s">
        <v>5900</v>
      </c>
    </row>
    <row r="742">
      <c r="A742" s="1" t="s">
        <v>10758</v>
      </c>
      <c r="B742" s="1" t="s">
        <v>10759</v>
      </c>
      <c r="C742" s="1" t="s">
        <v>4293</v>
      </c>
      <c r="D742" s="1" t="s">
        <v>10762</v>
      </c>
      <c r="E742" s="1" t="s">
        <v>10763</v>
      </c>
      <c r="F742" s="1" t="s">
        <v>78</v>
      </c>
      <c r="G742" s="4"/>
      <c r="H742" s="3">
        <v>44727.0</v>
      </c>
      <c r="I742" s="1" t="s">
        <v>7864</v>
      </c>
      <c r="J742" s="1" t="s">
        <v>5900</v>
      </c>
    </row>
    <row r="743">
      <c r="A743" s="1" t="s">
        <v>10767</v>
      </c>
      <c r="B743" s="1" t="s">
        <v>8578</v>
      </c>
      <c r="C743" s="1" t="s">
        <v>4293</v>
      </c>
      <c r="D743" s="1" t="s">
        <v>10772</v>
      </c>
      <c r="E743" s="1" t="s">
        <v>10773</v>
      </c>
      <c r="F743" s="1" t="s">
        <v>78</v>
      </c>
      <c r="G743" s="4"/>
      <c r="H743" s="3">
        <v>44215.0</v>
      </c>
      <c r="I743" s="1" t="s">
        <v>8091</v>
      </c>
      <c r="J743" s="1" t="s">
        <v>5900</v>
      </c>
    </row>
    <row r="744">
      <c r="A744" s="1" t="s">
        <v>10776</v>
      </c>
      <c r="B744" s="1" t="s">
        <v>8408</v>
      </c>
      <c r="C744" s="1" t="s">
        <v>4293</v>
      </c>
      <c r="D744" s="1" t="s">
        <v>10779</v>
      </c>
      <c r="E744" s="1" t="s">
        <v>10781</v>
      </c>
      <c r="F744" s="1" t="s">
        <v>78</v>
      </c>
      <c r="G744" s="4"/>
      <c r="H744" s="3">
        <v>44172.0</v>
      </c>
      <c r="I744" s="1" t="s">
        <v>6620</v>
      </c>
      <c r="J744" s="1" t="s">
        <v>5900</v>
      </c>
    </row>
    <row r="745">
      <c r="A745" s="1" t="s">
        <v>10785</v>
      </c>
      <c r="B745" s="1" t="s">
        <v>10786</v>
      </c>
      <c r="C745" s="1" t="s">
        <v>4293</v>
      </c>
      <c r="D745" s="1" t="s">
        <v>10788</v>
      </c>
      <c r="E745" s="1" t="s">
        <v>10789</v>
      </c>
      <c r="F745" s="1" t="s">
        <v>78</v>
      </c>
      <c r="G745" s="4"/>
      <c r="H745" s="3">
        <v>44317.0</v>
      </c>
      <c r="I745" s="1" t="s">
        <v>5999</v>
      </c>
      <c r="J745" s="1" t="s">
        <v>5900</v>
      </c>
    </row>
    <row r="746">
      <c r="A746" s="1" t="s">
        <v>10790</v>
      </c>
      <c r="B746" s="1" t="s">
        <v>10791</v>
      </c>
      <c r="C746" s="1" t="s">
        <v>4293</v>
      </c>
      <c r="D746" s="1" t="s">
        <v>10793</v>
      </c>
      <c r="E746" s="1" t="s">
        <v>10794</v>
      </c>
      <c r="F746" s="1" t="s">
        <v>78</v>
      </c>
      <c r="G746" s="4"/>
      <c r="H746" s="3">
        <v>44896.0</v>
      </c>
      <c r="I746" s="1" t="s">
        <v>5999</v>
      </c>
      <c r="J746" s="1" t="s">
        <v>5900</v>
      </c>
    </row>
    <row r="747">
      <c r="A747" s="1" t="s">
        <v>10799</v>
      </c>
      <c r="B747" s="1" t="s">
        <v>4325</v>
      </c>
      <c r="C747" s="1" t="s">
        <v>4293</v>
      </c>
      <c r="D747" s="1" t="s">
        <v>10801</v>
      </c>
      <c r="E747" s="1" t="s">
        <v>10802</v>
      </c>
      <c r="F747" s="1" t="s">
        <v>78</v>
      </c>
      <c r="G747" s="4"/>
      <c r="H747" s="3">
        <v>45063.0</v>
      </c>
      <c r="I747" s="1" t="s">
        <v>5899</v>
      </c>
      <c r="J747" s="1" t="s">
        <v>5900</v>
      </c>
    </row>
    <row r="748">
      <c r="A748" s="1" t="s">
        <v>10807</v>
      </c>
      <c r="B748" s="1" t="s">
        <v>10810</v>
      </c>
      <c r="C748" s="1" t="s">
        <v>4293</v>
      </c>
      <c r="D748" s="1" t="s">
        <v>10812</v>
      </c>
      <c r="E748" s="1" t="s">
        <v>10814</v>
      </c>
      <c r="F748" s="1" t="s">
        <v>78</v>
      </c>
      <c r="G748" s="4"/>
      <c r="H748" s="3">
        <v>44805.0</v>
      </c>
      <c r="I748" s="1" t="s">
        <v>5899</v>
      </c>
      <c r="J748" s="1" t="s">
        <v>5900</v>
      </c>
    </row>
    <row r="749">
      <c r="A749" s="1" t="s">
        <v>10819</v>
      </c>
      <c r="B749" s="1" t="s">
        <v>9328</v>
      </c>
      <c r="C749" s="1" t="s">
        <v>4293</v>
      </c>
      <c r="D749" s="1" t="s">
        <v>10822</v>
      </c>
      <c r="E749" s="1" t="s">
        <v>10824</v>
      </c>
      <c r="F749" s="1" t="s">
        <v>78</v>
      </c>
      <c r="G749" s="4"/>
      <c r="H749" s="3">
        <v>44252.0</v>
      </c>
      <c r="I749" s="1" t="s">
        <v>10826</v>
      </c>
      <c r="J749" s="1" t="s">
        <v>5900</v>
      </c>
    </row>
    <row r="750">
      <c r="A750" s="1" t="s">
        <v>10828</v>
      </c>
      <c r="B750" s="1" t="s">
        <v>9181</v>
      </c>
      <c r="C750" s="1" t="s">
        <v>4293</v>
      </c>
      <c r="D750" s="1" t="s">
        <v>10832</v>
      </c>
      <c r="E750" s="1" t="s">
        <v>10835</v>
      </c>
      <c r="F750" s="1" t="s">
        <v>78</v>
      </c>
      <c r="G750" s="4"/>
      <c r="H750" s="3">
        <v>45636.0</v>
      </c>
      <c r="I750" s="1" t="s">
        <v>10826</v>
      </c>
      <c r="J750" s="1" t="s">
        <v>5900</v>
      </c>
    </row>
    <row r="751">
      <c r="A751" s="1" t="s">
        <v>10839</v>
      </c>
      <c r="B751" s="1" t="s">
        <v>9347</v>
      </c>
      <c r="C751" s="1" t="s">
        <v>4293</v>
      </c>
      <c r="D751" s="1" t="s">
        <v>10842</v>
      </c>
      <c r="E751" s="1" t="s">
        <v>10844</v>
      </c>
      <c r="F751" s="1" t="s">
        <v>78</v>
      </c>
      <c r="G751" s="4"/>
      <c r="H751" s="3">
        <v>44376.0</v>
      </c>
      <c r="I751" s="1" t="s">
        <v>6697</v>
      </c>
      <c r="J751" s="1" t="s">
        <v>5900</v>
      </c>
    </row>
    <row r="752">
      <c r="A752" s="1" t="s">
        <v>10847</v>
      </c>
      <c r="B752" s="1" t="s">
        <v>10849</v>
      </c>
      <c r="C752" s="1" t="s">
        <v>4293</v>
      </c>
      <c r="D752" s="1" t="s">
        <v>10851</v>
      </c>
      <c r="E752" s="1" t="s">
        <v>10852</v>
      </c>
      <c r="F752" s="1" t="s">
        <v>78</v>
      </c>
      <c r="G752" s="4"/>
      <c r="H752" s="3">
        <v>45832.0</v>
      </c>
      <c r="I752" s="1" t="s">
        <v>10826</v>
      </c>
      <c r="J752" s="1" t="s">
        <v>5900</v>
      </c>
    </row>
    <row r="753">
      <c r="A753" s="1" t="s">
        <v>10853</v>
      </c>
      <c r="B753" s="1" t="s">
        <v>9714</v>
      </c>
      <c r="C753" s="1" t="s">
        <v>4293</v>
      </c>
      <c r="D753" s="1" t="s">
        <v>10854</v>
      </c>
      <c r="E753" s="1" t="s">
        <v>10856</v>
      </c>
      <c r="F753" s="1" t="s">
        <v>78</v>
      </c>
      <c r="G753" s="4"/>
      <c r="H753" s="3">
        <v>44026.0</v>
      </c>
      <c r="I753" s="1" t="s">
        <v>10826</v>
      </c>
      <c r="J753" s="1" t="s">
        <v>5900</v>
      </c>
    </row>
    <row r="754">
      <c r="A754" s="1" t="s">
        <v>10863</v>
      </c>
      <c r="B754" s="1" t="s">
        <v>10865</v>
      </c>
      <c r="C754" s="1" t="s">
        <v>4293</v>
      </c>
      <c r="D754" s="1" t="s">
        <v>8791</v>
      </c>
      <c r="E754" s="1" t="s">
        <v>10869</v>
      </c>
      <c r="F754" s="1" t="s">
        <v>78</v>
      </c>
      <c r="G754" s="4"/>
      <c r="H754" s="3">
        <v>44041.0</v>
      </c>
      <c r="I754" s="1" t="s">
        <v>5999</v>
      </c>
      <c r="J754" s="1" t="s">
        <v>5900</v>
      </c>
    </row>
    <row r="755">
      <c r="A755" s="1" t="s">
        <v>10870</v>
      </c>
      <c r="B755" s="1" t="s">
        <v>4637</v>
      </c>
      <c r="C755" s="1" t="s">
        <v>4293</v>
      </c>
      <c r="D755" s="1" t="s">
        <v>10871</v>
      </c>
      <c r="E755" s="1" t="s">
        <v>10872</v>
      </c>
      <c r="F755" s="1" t="s">
        <v>78</v>
      </c>
      <c r="G755" s="4"/>
      <c r="H755" s="3">
        <v>44904.0</v>
      </c>
      <c r="I755" s="1" t="s">
        <v>6620</v>
      </c>
      <c r="J755" s="1" t="s">
        <v>5900</v>
      </c>
    </row>
    <row r="756">
      <c r="A756" s="1" t="s">
        <v>10874</v>
      </c>
      <c r="B756" s="1" t="s">
        <v>10876</v>
      </c>
      <c r="C756" s="1" t="s">
        <v>4293</v>
      </c>
      <c r="D756" s="1" t="s">
        <v>10877</v>
      </c>
      <c r="E756" s="1" t="s">
        <v>10878</v>
      </c>
      <c r="F756" s="1" t="s">
        <v>78</v>
      </c>
      <c r="G756" s="4"/>
      <c r="H756" s="3">
        <v>44587.0</v>
      </c>
      <c r="I756" s="1" t="s">
        <v>7621</v>
      </c>
      <c r="J756" s="1" t="s">
        <v>5900</v>
      </c>
    </row>
    <row r="757">
      <c r="A757" s="1" t="s">
        <v>10880</v>
      </c>
      <c r="B757" s="1" t="s">
        <v>10881</v>
      </c>
      <c r="C757" s="1" t="s">
        <v>4293</v>
      </c>
      <c r="D757" s="1" t="s">
        <v>4496</v>
      </c>
      <c r="E757" s="1" t="s">
        <v>10882</v>
      </c>
      <c r="F757" s="1" t="s">
        <v>78</v>
      </c>
      <c r="G757" s="4"/>
      <c r="H757" s="3">
        <v>45372.0</v>
      </c>
      <c r="I757" s="1" t="s">
        <v>7621</v>
      </c>
      <c r="J757" s="1" t="s">
        <v>5900</v>
      </c>
    </row>
    <row r="758">
      <c r="A758" s="1" t="s">
        <v>10888</v>
      </c>
      <c r="B758" s="1" t="s">
        <v>10883</v>
      </c>
      <c r="C758" s="1" t="s">
        <v>4293</v>
      </c>
      <c r="D758" s="1" t="s">
        <v>10891</v>
      </c>
      <c r="E758" s="1" t="s">
        <v>10892</v>
      </c>
      <c r="F758" s="1" t="s">
        <v>78</v>
      </c>
      <c r="G758" s="1"/>
      <c r="H758" s="3">
        <v>44378.0</v>
      </c>
      <c r="I758" s="1" t="s">
        <v>7060</v>
      </c>
      <c r="J758" s="1" t="s">
        <v>5900</v>
      </c>
    </row>
    <row r="759">
      <c r="A759" s="1" t="s">
        <v>10895</v>
      </c>
      <c r="B759" s="1" t="s">
        <v>10897</v>
      </c>
      <c r="C759" s="1" t="s">
        <v>4293</v>
      </c>
      <c r="D759" s="1" t="s">
        <v>10899</v>
      </c>
      <c r="E759" s="1" t="s">
        <v>10901</v>
      </c>
      <c r="F759" s="1" t="s">
        <v>78</v>
      </c>
      <c r="G759" s="4"/>
      <c r="H759" s="3">
        <v>43872.0</v>
      </c>
      <c r="I759" s="1" t="s">
        <v>6292</v>
      </c>
      <c r="J759" s="1" t="s">
        <v>5900</v>
      </c>
    </row>
    <row r="760">
      <c r="A760" s="1" t="s">
        <v>10906</v>
      </c>
      <c r="B760" s="1" t="s">
        <v>10907</v>
      </c>
      <c r="C760" s="1" t="s">
        <v>4293</v>
      </c>
      <c r="D760" s="1" t="s">
        <v>10909</v>
      </c>
      <c r="E760" s="1" t="s">
        <v>10910</v>
      </c>
      <c r="F760" s="1" t="s">
        <v>78</v>
      </c>
      <c r="G760" s="4"/>
      <c r="H760" s="3">
        <v>45734.0</v>
      </c>
      <c r="I760" s="1" t="s">
        <v>7621</v>
      </c>
      <c r="J760" s="1" t="s">
        <v>5900</v>
      </c>
    </row>
    <row r="761">
      <c r="A761" s="1" t="s">
        <v>10911</v>
      </c>
      <c r="B761" s="1" t="s">
        <v>10912</v>
      </c>
      <c r="C761" s="1" t="s">
        <v>4293</v>
      </c>
      <c r="D761" s="1" t="s">
        <v>10914</v>
      </c>
      <c r="E761" s="1" t="s">
        <v>10915</v>
      </c>
      <c r="F761" s="1" t="s">
        <v>78</v>
      </c>
      <c r="G761" s="4"/>
      <c r="H761" s="3">
        <v>44545.0</v>
      </c>
      <c r="I761" s="1" t="s">
        <v>6657</v>
      </c>
      <c r="J761" s="1" t="s">
        <v>5900</v>
      </c>
    </row>
    <row r="762">
      <c r="A762" s="1" t="s">
        <v>10917</v>
      </c>
      <c r="B762" s="1" t="s">
        <v>10918</v>
      </c>
      <c r="C762" s="1" t="s">
        <v>4293</v>
      </c>
      <c r="D762" s="1" t="s">
        <v>10919</v>
      </c>
      <c r="E762" s="1" t="s">
        <v>10921</v>
      </c>
      <c r="F762" s="1" t="s">
        <v>84</v>
      </c>
      <c r="G762" s="1" t="s">
        <v>253</v>
      </c>
      <c r="H762" s="1" t="s">
        <v>363</v>
      </c>
      <c r="I762" s="1" t="s">
        <v>10922</v>
      </c>
      <c r="J762" s="1" t="s">
        <v>5097</v>
      </c>
    </row>
    <row r="763">
      <c r="A763" s="1" t="s">
        <v>10928</v>
      </c>
      <c r="B763" s="1" t="s">
        <v>10930</v>
      </c>
      <c r="C763" s="1" t="s">
        <v>4293</v>
      </c>
      <c r="D763" s="1" t="s">
        <v>10933</v>
      </c>
      <c r="E763" s="1" t="s">
        <v>10934</v>
      </c>
      <c r="F763" s="1" t="s">
        <v>78</v>
      </c>
      <c r="G763" s="4"/>
      <c r="H763" s="3">
        <v>45709.0</v>
      </c>
      <c r="I763" s="1" t="s">
        <v>6620</v>
      </c>
      <c r="J763" s="1" t="s">
        <v>5900</v>
      </c>
    </row>
    <row r="764">
      <c r="A764" s="1" t="s">
        <v>10937</v>
      </c>
      <c r="B764" s="1" t="s">
        <v>9602</v>
      </c>
      <c r="C764" s="1" t="s">
        <v>4293</v>
      </c>
      <c r="D764" s="1" t="s">
        <v>10941</v>
      </c>
      <c r="E764" s="1" t="s">
        <v>10943</v>
      </c>
      <c r="F764" s="1" t="s">
        <v>78</v>
      </c>
      <c r="G764" s="4"/>
      <c r="H764" s="3">
        <v>44012.0</v>
      </c>
      <c r="I764" s="1" t="s">
        <v>7060</v>
      </c>
      <c r="J764" s="1" t="s">
        <v>5900</v>
      </c>
    </row>
    <row r="765">
      <c r="A765" s="1" t="s">
        <v>10949</v>
      </c>
      <c r="B765" s="1" t="s">
        <v>10950</v>
      </c>
      <c r="C765" s="1" t="s">
        <v>4293</v>
      </c>
      <c r="D765" s="1" t="s">
        <v>10951</v>
      </c>
      <c r="E765" s="1" t="s">
        <v>10952</v>
      </c>
      <c r="F765" s="1" t="s">
        <v>78</v>
      </c>
      <c r="G765" s="4"/>
      <c r="H765" s="3">
        <v>45298.0</v>
      </c>
      <c r="I765" s="1" t="s">
        <v>6882</v>
      </c>
      <c r="J765" s="1" t="s">
        <v>5900</v>
      </c>
    </row>
    <row r="766">
      <c r="A766" s="1" t="s">
        <v>10953</v>
      </c>
      <c r="B766" s="1" t="s">
        <v>10955</v>
      </c>
      <c r="C766" s="1" t="s">
        <v>4293</v>
      </c>
      <c r="D766" s="1" t="s">
        <v>10956</v>
      </c>
      <c r="E766" s="1" t="s">
        <v>10957</v>
      </c>
      <c r="F766" s="1" t="s">
        <v>78</v>
      </c>
      <c r="G766" s="4"/>
      <c r="H766" s="3">
        <v>45427.0</v>
      </c>
      <c r="I766" s="1" t="s">
        <v>5899</v>
      </c>
      <c r="J766" s="1" t="s">
        <v>5900</v>
      </c>
    </row>
    <row r="767">
      <c r="A767" s="1" t="s">
        <v>10960</v>
      </c>
      <c r="B767" s="1" t="s">
        <v>6747</v>
      </c>
      <c r="C767" s="1" t="s">
        <v>4293</v>
      </c>
      <c r="D767" s="1" t="s">
        <v>3786</v>
      </c>
      <c r="E767" s="1" t="s">
        <v>10963</v>
      </c>
      <c r="F767" s="1" t="s">
        <v>78</v>
      </c>
      <c r="G767" s="4"/>
      <c r="H767" s="3">
        <v>45334.0</v>
      </c>
      <c r="I767" s="1" t="s">
        <v>6349</v>
      </c>
      <c r="J767" s="1" t="s">
        <v>5900</v>
      </c>
    </row>
    <row r="768">
      <c r="A768" s="1" t="s">
        <v>10970</v>
      </c>
      <c r="B768" s="1" t="s">
        <v>8073</v>
      </c>
      <c r="C768" s="1" t="s">
        <v>4293</v>
      </c>
      <c r="D768" s="1" t="s">
        <v>10974</v>
      </c>
      <c r="E768" s="1" t="s">
        <v>10975</v>
      </c>
      <c r="F768" s="1" t="s">
        <v>78</v>
      </c>
      <c r="G768" s="4"/>
      <c r="H768" s="3">
        <v>44979.0</v>
      </c>
      <c r="I768" s="1" t="s">
        <v>5899</v>
      </c>
      <c r="J768" s="1" t="s">
        <v>5900</v>
      </c>
    </row>
    <row r="769">
      <c r="A769" s="1" t="s">
        <v>10979</v>
      </c>
      <c r="B769" s="1" t="s">
        <v>7819</v>
      </c>
      <c r="C769" s="1" t="s">
        <v>4293</v>
      </c>
      <c r="D769" s="1" t="s">
        <v>10981</v>
      </c>
      <c r="E769" s="1" t="s">
        <v>10982</v>
      </c>
      <c r="F769" s="1" t="s">
        <v>78</v>
      </c>
      <c r="G769" s="4"/>
      <c r="H769" s="3">
        <v>44623.0</v>
      </c>
      <c r="I769" s="1" t="s">
        <v>6012</v>
      </c>
      <c r="J769" s="1" t="s">
        <v>5900</v>
      </c>
    </row>
    <row r="770">
      <c r="A770" s="1" t="s">
        <v>10985</v>
      </c>
      <c r="B770" s="1" t="s">
        <v>10986</v>
      </c>
      <c r="C770" s="1" t="s">
        <v>4293</v>
      </c>
      <c r="D770" s="1" t="s">
        <v>10988</v>
      </c>
      <c r="E770" s="1" t="s">
        <v>10989</v>
      </c>
      <c r="F770" s="1" t="s">
        <v>78</v>
      </c>
      <c r="G770" s="4"/>
      <c r="H770" s="3">
        <v>44348.0</v>
      </c>
      <c r="I770" s="1" t="s">
        <v>10992</v>
      </c>
      <c r="J770" s="1" t="s">
        <v>5900</v>
      </c>
    </row>
    <row r="771">
      <c r="A771" s="1" t="s">
        <v>10993</v>
      </c>
      <c r="B771" s="1" t="s">
        <v>10994</v>
      </c>
      <c r="C771" s="1" t="s">
        <v>4293</v>
      </c>
      <c r="D771" s="1" t="s">
        <v>10995</v>
      </c>
      <c r="E771" s="1" t="s">
        <v>10996</v>
      </c>
      <c r="F771" s="1" t="s">
        <v>78</v>
      </c>
      <c r="G771" s="13"/>
      <c r="H771" s="3">
        <v>43993.0</v>
      </c>
      <c r="I771" s="1" t="s">
        <v>5999</v>
      </c>
      <c r="J771" s="1" t="s">
        <v>5900</v>
      </c>
    </row>
    <row r="772">
      <c r="A772" s="1" t="s">
        <v>10999</v>
      </c>
      <c r="B772" s="1" t="s">
        <v>11001</v>
      </c>
      <c r="C772" s="1" t="s">
        <v>4293</v>
      </c>
      <c r="D772" s="1" t="s">
        <v>11003</v>
      </c>
      <c r="E772" s="1" t="s">
        <v>11004</v>
      </c>
      <c r="F772" s="1" t="s">
        <v>78</v>
      </c>
      <c r="G772" s="13"/>
      <c r="H772" s="3">
        <v>44560.0</v>
      </c>
      <c r="I772" s="1" t="s">
        <v>10992</v>
      </c>
      <c r="J772" s="1" t="s">
        <v>5900</v>
      </c>
    </row>
    <row r="773">
      <c r="A773" s="1" t="s">
        <v>11007</v>
      </c>
      <c r="B773" s="1" t="s">
        <v>11009</v>
      </c>
      <c r="C773" s="1" t="s">
        <v>4293</v>
      </c>
      <c r="D773" s="1" t="s">
        <v>11011</v>
      </c>
      <c r="E773" s="1" t="s">
        <v>11014</v>
      </c>
      <c r="F773" s="1" t="s">
        <v>78</v>
      </c>
      <c r="G773" s="4"/>
      <c r="H773" s="3">
        <v>44301.0</v>
      </c>
      <c r="I773" s="1" t="s">
        <v>10658</v>
      </c>
      <c r="J773" s="1" t="s">
        <v>5900</v>
      </c>
    </row>
    <row r="774">
      <c r="A774" s="1" t="s">
        <v>11019</v>
      </c>
      <c r="B774" s="1" t="s">
        <v>11020</v>
      </c>
      <c r="C774" s="1" t="s">
        <v>4293</v>
      </c>
      <c r="D774" s="1" t="s">
        <v>9249</v>
      </c>
      <c r="E774" s="1" t="s">
        <v>11022</v>
      </c>
      <c r="F774" s="1" t="s">
        <v>78</v>
      </c>
      <c r="G774" s="4"/>
      <c r="H774" s="3">
        <v>45761.0</v>
      </c>
      <c r="I774" s="1" t="s">
        <v>6727</v>
      </c>
      <c r="J774" s="1" t="s">
        <v>5900</v>
      </c>
    </row>
    <row r="775">
      <c r="A775" s="1" t="s">
        <v>11023</v>
      </c>
      <c r="B775" s="1" t="s">
        <v>4563</v>
      </c>
      <c r="C775" s="1" t="s">
        <v>4293</v>
      </c>
      <c r="D775" s="1" t="s">
        <v>11024</v>
      </c>
      <c r="E775" s="1" t="s">
        <v>11026</v>
      </c>
      <c r="F775" s="1" t="s">
        <v>78</v>
      </c>
      <c r="G775" s="4"/>
      <c r="H775" s="3">
        <v>44887.0</v>
      </c>
      <c r="I775" s="1" t="s">
        <v>10658</v>
      </c>
      <c r="J775" s="1" t="s">
        <v>5900</v>
      </c>
    </row>
    <row r="776">
      <c r="A776" s="1" t="s">
        <v>11029</v>
      </c>
      <c r="B776" s="1" t="s">
        <v>8235</v>
      </c>
      <c r="C776" s="1" t="s">
        <v>4293</v>
      </c>
      <c r="D776" s="1" t="s">
        <v>6911</v>
      </c>
      <c r="E776" s="1" t="s">
        <v>11030</v>
      </c>
      <c r="F776" s="1" t="s">
        <v>78</v>
      </c>
      <c r="G776" s="4"/>
      <c r="H776" s="3">
        <v>45881.0</v>
      </c>
      <c r="I776" s="1" t="s">
        <v>5899</v>
      </c>
      <c r="J776" s="1" t="s">
        <v>5900</v>
      </c>
    </row>
    <row r="777">
      <c r="A777" s="1" t="s">
        <v>11032</v>
      </c>
      <c r="B777" s="1" t="s">
        <v>10190</v>
      </c>
      <c r="C777" s="1" t="s">
        <v>4293</v>
      </c>
      <c r="D777" s="1" t="s">
        <v>11036</v>
      </c>
      <c r="E777" s="1" t="s">
        <v>11037</v>
      </c>
      <c r="F777" s="1" t="s">
        <v>78</v>
      </c>
      <c r="G777" s="4"/>
      <c r="H777" s="3">
        <v>44552.0</v>
      </c>
      <c r="I777" s="1" t="s">
        <v>11041</v>
      </c>
      <c r="J777" s="1" t="s">
        <v>5900</v>
      </c>
    </row>
    <row r="778">
      <c r="A778" s="1" t="s">
        <v>11042</v>
      </c>
      <c r="B778" s="1" t="s">
        <v>5592</v>
      </c>
      <c r="C778" s="1" t="s">
        <v>4293</v>
      </c>
      <c r="D778" s="1" t="s">
        <v>11043</v>
      </c>
      <c r="E778" s="1" t="s">
        <v>11044</v>
      </c>
      <c r="F778" s="1" t="s">
        <v>78</v>
      </c>
      <c r="G778" s="4"/>
      <c r="H778" s="3">
        <v>45180.0</v>
      </c>
      <c r="I778" s="1" t="s">
        <v>10658</v>
      </c>
      <c r="J778" s="1" t="s">
        <v>5900</v>
      </c>
    </row>
    <row r="779">
      <c r="A779" s="1" t="s">
        <v>11046</v>
      </c>
      <c r="B779" s="1" t="s">
        <v>11047</v>
      </c>
      <c r="C779" s="1" t="s">
        <v>4293</v>
      </c>
      <c r="D779" s="1" t="s">
        <v>11049</v>
      </c>
      <c r="E779" s="1" t="s">
        <v>11050</v>
      </c>
      <c r="F779" s="1" t="s">
        <v>78</v>
      </c>
      <c r="G779" s="4"/>
      <c r="H779" s="3">
        <v>45471.0</v>
      </c>
      <c r="I779" s="1" t="s">
        <v>5999</v>
      </c>
      <c r="J779" s="1" t="s">
        <v>5900</v>
      </c>
    </row>
    <row r="780">
      <c r="A780" s="1" t="s">
        <v>11051</v>
      </c>
      <c r="B780" s="1" t="s">
        <v>11052</v>
      </c>
      <c r="C780" s="1" t="s">
        <v>4293</v>
      </c>
      <c r="D780" s="1" t="s">
        <v>11053</v>
      </c>
      <c r="E780" s="1" t="s">
        <v>11054</v>
      </c>
      <c r="F780" s="1" t="s">
        <v>78</v>
      </c>
      <c r="G780" s="4"/>
      <c r="H780" s="3">
        <v>43836.0</v>
      </c>
      <c r="I780" s="1" t="s">
        <v>10658</v>
      </c>
      <c r="J780" s="1" t="s">
        <v>5900</v>
      </c>
    </row>
    <row r="781">
      <c r="A781" s="1" t="s">
        <v>11059</v>
      </c>
      <c r="B781" s="1" t="s">
        <v>10030</v>
      </c>
      <c r="C781" s="1" t="s">
        <v>4293</v>
      </c>
      <c r="D781" s="1" t="s">
        <v>11061</v>
      </c>
      <c r="E781" s="1" t="s">
        <v>11062</v>
      </c>
      <c r="F781" s="1" t="s">
        <v>78</v>
      </c>
      <c r="G781" s="4"/>
      <c r="H781" s="3">
        <v>44476.0</v>
      </c>
      <c r="I781" s="1" t="s">
        <v>5899</v>
      </c>
      <c r="J781" s="1" t="s">
        <v>5900</v>
      </c>
    </row>
    <row r="782">
      <c r="A782" s="1" t="s">
        <v>11063</v>
      </c>
      <c r="B782" s="1" t="s">
        <v>4464</v>
      </c>
      <c r="C782" s="1" t="s">
        <v>4293</v>
      </c>
      <c r="D782" s="1" t="s">
        <v>11064</v>
      </c>
      <c r="E782" s="1" t="s">
        <v>11065</v>
      </c>
      <c r="F782" s="1" t="s">
        <v>78</v>
      </c>
      <c r="G782" s="4"/>
      <c r="H782" s="3">
        <v>46162.0</v>
      </c>
      <c r="I782" s="1" t="s">
        <v>5899</v>
      </c>
      <c r="J782" s="1" t="s">
        <v>5900</v>
      </c>
    </row>
    <row r="783">
      <c r="A783" s="1" t="s">
        <v>11070</v>
      </c>
      <c r="B783" s="1" t="s">
        <v>11071</v>
      </c>
      <c r="C783" s="1" t="s">
        <v>4293</v>
      </c>
      <c r="D783" s="1" t="s">
        <v>11073</v>
      </c>
      <c r="E783" s="1" t="s">
        <v>11076</v>
      </c>
      <c r="F783" s="1" t="s">
        <v>78</v>
      </c>
      <c r="G783" s="4"/>
      <c r="H783" s="3">
        <v>45746.0</v>
      </c>
      <c r="I783" s="1" t="s">
        <v>10658</v>
      </c>
      <c r="J783" s="1" t="s">
        <v>5900</v>
      </c>
    </row>
    <row r="784">
      <c r="A784" s="1" t="s">
        <v>11078</v>
      </c>
      <c r="B784" s="1" t="s">
        <v>11079</v>
      </c>
      <c r="C784" s="1" t="s">
        <v>4293</v>
      </c>
      <c r="D784" s="1" t="s">
        <v>11080</v>
      </c>
      <c r="E784" s="1" t="s">
        <v>11081</v>
      </c>
      <c r="F784" s="1" t="s">
        <v>78</v>
      </c>
      <c r="G784" s="4"/>
      <c r="H784" s="3">
        <v>44935.0</v>
      </c>
      <c r="I784" s="1" t="s">
        <v>6072</v>
      </c>
      <c r="J784" s="1" t="s">
        <v>5900</v>
      </c>
    </row>
    <row r="785">
      <c r="A785" s="1" t="s">
        <v>11084</v>
      </c>
      <c r="B785" s="1" t="s">
        <v>11085</v>
      </c>
      <c r="C785" s="1" t="s">
        <v>4293</v>
      </c>
      <c r="D785" s="1" t="s">
        <v>11086</v>
      </c>
      <c r="E785" s="1" t="s">
        <v>11089</v>
      </c>
      <c r="F785" s="1" t="s">
        <v>78</v>
      </c>
      <c r="G785" s="4"/>
      <c r="H785" s="3">
        <v>43787.0</v>
      </c>
      <c r="I785" s="1" t="s">
        <v>6292</v>
      </c>
      <c r="J785" s="1" t="s">
        <v>5900</v>
      </c>
    </row>
    <row r="786">
      <c r="A786" s="1" t="s">
        <v>11091</v>
      </c>
      <c r="B786" s="1" t="s">
        <v>8546</v>
      </c>
      <c r="C786" s="1" t="s">
        <v>4293</v>
      </c>
      <c r="D786" s="1" t="s">
        <v>11093</v>
      </c>
      <c r="E786" s="1" t="s">
        <v>11095</v>
      </c>
      <c r="F786" s="1" t="s">
        <v>78</v>
      </c>
      <c r="G786" s="4"/>
      <c r="H786" s="3">
        <v>44940.0</v>
      </c>
      <c r="I786" s="1" t="s">
        <v>6292</v>
      </c>
      <c r="J786" s="1" t="s">
        <v>5900</v>
      </c>
    </row>
    <row r="787">
      <c r="A787" s="1" t="s">
        <v>11098</v>
      </c>
      <c r="B787" s="1" t="s">
        <v>11100</v>
      </c>
      <c r="C787" s="1" t="s">
        <v>4293</v>
      </c>
      <c r="D787" s="1" t="s">
        <v>11103</v>
      </c>
      <c r="E787" s="1" t="s">
        <v>11105</v>
      </c>
      <c r="F787" s="1" t="s">
        <v>78</v>
      </c>
      <c r="G787" s="4"/>
      <c r="H787" s="3">
        <v>44255.0</v>
      </c>
      <c r="I787" s="1" t="s">
        <v>5999</v>
      </c>
      <c r="J787" s="1" t="s">
        <v>5900</v>
      </c>
    </row>
    <row r="788">
      <c r="A788" s="1" t="s">
        <v>11107</v>
      </c>
      <c r="B788" s="1" t="s">
        <v>11108</v>
      </c>
      <c r="C788" s="1" t="s">
        <v>4293</v>
      </c>
      <c r="D788" s="1" t="s">
        <v>11110</v>
      </c>
      <c r="E788" s="1" t="s">
        <v>11111</v>
      </c>
      <c r="F788" s="1" t="s">
        <v>78</v>
      </c>
      <c r="G788" s="4"/>
      <c r="H788" s="3">
        <v>45035.0</v>
      </c>
      <c r="I788" s="1" t="s">
        <v>7069</v>
      </c>
      <c r="J788" s="1" t="s">
        <v>5900</v>
      </c>
    </row>
    <row r="789">
      <c r="A789" s="1" t="s">
        <v>11115</v>
      </c>
      <c r="B789" s="1" t="s">
        <v>4962</v>
      </c>
      <c r="C789" s="1" t="s">
        <v>4293</v>
      </c>
      <c r="D789" s="1" t="s">
        <v>11117</v>
      </c>
      <c r="E789" s="1" t="s">
        <v>11119</v>
      </c>
      <c r="F789" s="1" t="s">
        <v>78</v>
      </c>
      <c r="G789" s="4"/>
      <c r="H789" s="3">
        <v>45019.0</v>
      </c>
      <c r="I789" s="1" t="s">
        <v>5899</v>
      </c>
      <c r="J789" s="1" t="s">
        <v>5900</v>
      </c>
    </row>
    <row r="790">
      <c r="A790" s="1" t="s">
        <v>11121</v>
      </c>
      <c r="B790" s="1" t="s">
        <v>9789</v>
      </c>
      <c r="C790" s="1" t="s">
        <v>4293</v>
      </c>
      <c r="D790" s="1" t="s">
        <v>11124</v>
      </c>
      <c r="E790" s="1" t="s">
        <v>11126</v>
      </c>
      <c r="F790" s="1" t="s">
        <v>78</v>
      </c>
      <c r="G790" s="4"/>
      <c r="H790" s="3">
        <v>44830.0</v>
      </c>
      <c r="I790" s="1" t="s">
        <v>5999</v>
      </c>
      <c r="J790" s="1" t="s">
        <v>5900</v>
      </c>
    </row>
    <row r="791">
      <c r="A791" s="1" t="s">
        <v>11129</v>
      </c>
      <c r="B791" s="1" t="s">
        <v>11130</v>
      </c>
      <c r="C791" s="1" t="s">
        <v>4293</v>
      </c>
      <c r="D791" s="1" t="s">
        <v>11131</v>
      </c>
      <c r="E791" s="1" t="s">
        <v>11132</v>
      </c>
      <c r="F791" s="1" t="s">
        <v>78</v>
      </c>
      <c r="G791" s="4"/>
      <c r="H791" s="3">
        <v>45908.0</v>
      </c>
      <c r="I791" s="1" t="s">
        <v>6727</v>
      </c>
      <c r="J791" s="1" t="s">
        <v>5900</v>
      </c>
    </row>
    <row r="792">
      <c r="A792" s="1" t="s">
        <v>11134</v>
      </c>
      <c r="B792" s="1" t="s">
        <v>11135</v>
      </c>
      <c r="C792" s="1" t="s">
        <v>4293</v>
      </c>
      <c r="D792" s="1" t="s">
        <v>11136</v>
      </c>
      <c r="E792" s="1" t="s">
        <v>11137</v>
      </c>
      <c r="F792" s="1" t="s">
        <v>78</v>
      </c>
      <c r="G792" s="4"/>
      <c r="H792" s="3">
        <v>44699.0</v>
      </c>
      <c r="I792" s="1" t="s">
        <v>6415</v>
      </c>
      <c r="J792" s="1" t="s">
        <v>5900</v>
      </c>
    </row>
    <row r="793">
      <c r="A793" s="1" t="s">
        <v>11140</v>
      </c>
      <c r="B793" s="1" t="s">
        <v>4358</v>
      </c>
      <c r="C793" s="1" t="s">
        <v>4293</v>
      </c>
      <c r="D793" s="1" t="s">
        <v>11145</v>
      </c>
      <c r="E793" s="1" t="s">
        <v>11146</v>
      </c>
      <c r="F793" s="1" t="s">
        <v>78</v>
      </c>
      <c r="G793" s="4"/>
      <c r="H793" s="3">
        <v>43770.0</v>
      </c>
      <c r="I793" s="1" t="s">
        <v>7565</v>
      </c>
      <c r="J793" s="1" t="s">
        <v>5900</v>
      </c>
    </row>
    <row r="794">
      <c r="A794" s="1" t="s">
        <v>11150</v>
      </c>
      <c r="B794" s="1" t="s">
        <v>11152</v>
      </c>
      <c r="C794" s="1" t="s">
        <v>4293</v>
      </c>
      <c r="D794" s="1" t="s">
        <v>11155</v>
      </c>
      <c r="E794" s="1" t="s">
        <v>11157</v>
      </c>
      <c r="F794" s="1" t="s">
        <v>78</v>
      </c>
      <c r="G794" s="4"/>
      <c r="H794" s="3">
        <v>44329.0</v>
      </c>
      <c r="I794" s="1" t="s">
        <v>6415</v>
      </c>
      <c r="J794" s="1" t="s">
        <v>5900</v>
      </c>
    </row>
    <row r="795">
      <c r="A795" s="1" t="s">
        <v>11160</v>
      </c>
      <c r="B795" s="1" t="s">
        <v>7038</v>
      </c>
      <c r="C795" s="1" t="s">
        <v>4293</v>
      </c>
      <c r="D795" s="1" t="s">
        <v>11163</v>
      </c>
      <c r="E795" s="1" t="s">
        <v>11165</v>
      </c>
      <c r="F795" s="1" t="s">
        <v>78</v>
      </c>
      <c r="G795" s="4"/>
      <c r="H795" s="3">
        <v>45097.0</v>
      </c>
      <c r="I795" s="1" t="s">
        <v>6072</v>
      </c>
      <c r="J795" s="1" t="s">
        <v>5900</v>
      </c>
    </row>
    <row r="796">
      <c r="A796" s="1" t="s">
        <v>11172</v>
      </c>
      <c r="B796" s="1" t="s">
        <v>6850</v>
      </c>
      <c r="C796" s="1" t="s">
        <v>4293</v>
      </c>
      <c r="D796" s="1" t="s">
        <v>11174</v>
      </c>
      <c r="E796" s="1" t="s">
        <v>11178</v>
      </c>
      <c r="F796" s="1" t="s">
        <v>78</v>
      </c>
      <c r="G796" s="4"/>
      <c r="H796" s="3">
        <v>44308.0</v>
      </c>
      <c r="I796" s="1" t="s">
        <v>5999</v>
      </c>
      <c r="J796" s="1" t="s">
        <v>5900</v>
      </c>
    </row>
    <row r="797">
      <c r="A797" s="1" t="s">
        <v>11183</v>
      </c>
      <c r="B797" s="1" t="s">
        <v>11184</v>
      </c>
      <c r="C797" s="1" t="s">
        <v>4293</v>
      </c>
      <c r="D797" s="1" t="s">
        <v>11185</v>
      </c>
      <c r="E797" s="1" t="s">
        <v>11186</v>
      </c>
      <c r="F797" s="1" t="s">
        <v>78</v>
      </c>
      <c r="G797" s="4"/>
      <c r="H797" s="3">
        <v>44726.0</v>
      </c>
      <c r="I797" s="1" t="s">
        <v>6072</v>
      </c>
      <c r="J797" s="1" t="s">
        <v>5900</v>
      </c>
    </row>
    <row r="798">
      <c r="A798" s="1" t="s">
        <v>11187</v>
      </c>
      <c r="B798" s="1" t="s">
        <v>11189</v>
      </c>
      <c r="C798" s="1" t="s">
        <v>4293</v>
      </c>
      <c r="D798" s="1" t="s">
        <v>11190</v>
      </c>
      <c r="E798" s="1" t="s">
        <v>11191</v>
      </c>
      <c r="F798" s="1" t="s">
        <v>78</v>
      </c>
      <c r="G798" s="4"/>
      <c r="H798" s="3">
        <v>45196.0</v>
      </c>
      <c r="I798" s="1" t="s">
        <v>5899</v>
      </c>
      <c r="J798" s="1" t="s">
        <v>5900</v>
      </c>
    </row>
    <row r="799">
      <c r="A799" s="1" t="s">
        <v>11197</v>
      </c>
      <c r="B799" s="1" t="s">
        <v>10729</v>
      </c>
      <c r="C799" s="1" t="s">
        <v>4293</v>
      </c>
      <c r="D799" s="1" t="s">
        <v>11202</v>
      </c>
      <c r="E799" s="1" t="s">
        <v>11204</v>
      </c>
      <c r="F799" s="1" t="s">
        <v>78</v>
      </c>
      <c r="G799" s="4"/>
      <c r="H799" s="3">
        <v>46002.0</v>
      </c>
      <c r="I799" s="1" t="s">
        <v>5899</v>
      </c>
      <c r="J799" s="1" t="s">
        <v>5900</v>
      </c>
    </row>
    <row r="800">
      <c r="A800" s="1" t="s">
        <v>11209</v>
      </c>
      <c r="B800" s="1" t="s">
        <v>11211</v>
      </c>
      <c r="C800" s="1" t="s">
        <v>4293</v>
      </c>
      <c r="D800" s="1" t="s">
        <v>11213</v>
      </c>
      <c r="E800" s="1" t="s">
        <v>11214</v>
      </c>
      <c r="F800" s="1" t="s">
        <v>78</v>
      </c>
      <c r="G800" s="4"/>
      <c r="H800" s="3">
        <v>45188.0</v>
      </c>
      <c r="I800" s="1" t="s">
        <v>5899</v>
      </c>
      <c r="J800" s="1" t="s">
        <v>5900</v>
      </c>
    </row>
    <row r="801">
      <c r="A801" s="1" t="s">
        <v>11218</v>
      </c>
      <c r="B801" s="1" t="s">
        <v>7897</v>
      </c>
      <c r="C801" s="1" t="s">
        <v>4293</v>
      </c>
      <c r="D801" s="1" t="s">
        <v>11221</v>
      </c>
      <c r="E801" s="1" t="s">
        <v>11223</v>
      </c>
      <c r="F801" s="1" t="s">
        <v>78</v>
      </c>
      <c r="G801" s="4"/>
      <c r="H801" s="3">
        <v>44217.0</v>
      </c>
      <c r="I801" s="1" t="s">
        <v>6634</v>
      </c>
      <c r="J801" s="1" t="s">
        <v>5900</v>
      </c>
    </row>
    <row r="802">
      <c r="A802" s="1" t="s">
        <v>11227</v>
      </c>
      <c r="B802" s="1" t="s">
        <v>11228</v>
      </c>
      <c r="C802" s="1" t="s">
        <v>4293</v>
      </c>
      <c r="D802" s="1" t="s">
        <v>11230</v>
      </c>
      <c r="E802" s="1" t="s">
        <v>11231</v>
      </c>
      <c r="F802" s="1" t="s">
        <v>78</v>
      </c>
      <c r="G802" s="4"/>
      <c r="H802" s="3">
        <v>44378.0</v>
      </c>
      <c r="I802" s="1" t="s">
        <v>5999</v>
      </c>
      <c r="J802" s="1" t="s">
        <v>5900</v>
      </c>
    </row>
    <row r="803">
      <c r="A803" s="1" t="s">
        <v>11232</v>
      </c>
      <c r="B803" s="1" t="s">
        <v>11234</v>
      </c>
      <c r="C803" s="1" t="s">
        <v>4293</v>
      </c>
      <c r="D803" s="1" t="s">
        <v>11236</v>
      </c>
      <c r="E803" s="1" t="s">
        <v>11237</v>
      </c>
      <c r="F803" s="1" t="s">
        <v>78</v>
      </c>
      <c r="G803" s="4"/>
      <c r="H803" s="3">
        <v>44371.0</v>
      </c>
      <c r="I803" s="1" t="s">
        <v>5899</v>
      </c>
      <c r="J803" s="1" t="s">
        <v>5900</v>
      </c>
    </row>
    <row r="804">
      <c r="A804" s="1" t="s">
        <v>11250</v>
      </c>
      <c r="B804" s="1" t="s">
        <v>11251</v>
      </c>
      <c r="C804" s="1" t="s">
        <v>4293</v>
      </c>
      <c r="D804" s="1" t="s">
        <v>11253</v>
      </c>
      <c r="E804" s="1" t="s">
        <v>11255</v>
      </c>
      <c r="F804" s="1" t="s">
        <v>78</v>
      </c>
      <c r="G804" s="4"/>
      <c r="H804" s="3">
        <v>44471.0</v>
      </c>
      <c r="I804" s="1" t="s">
        <v>8196</v>
      </c>
      <c r="J804" s="1" t="s">
        <v>5900</v>
      </c>
    </row>
    <row r="805">
      <c r="A805" s="1" t="s">
        <v>11258</v>
      </c>
      <c r="B805" s="1" t="s">
        <v>11260</v>
      </c>
      <c r="C805" s="1" t="s">
        <v>4293</v>
      </c>
      <c r="D805" s="1" t="s">
        <v>11262</v>
      </c>
      <c r="E805" s="1" t="s">
        <v>11265</v>
      </c>
      <c r="F805" s="1" t="s">
        <v>78</v>
      </c>
      <c r="G805" s="4"/>
      <c r="H805" s="3">
        <v>44136.0</v>
      </c>
      <c r="I805" s="1" t="s">
        <v>7253</v>
      </c>
      <c r="J805" s="1" t="s">
        <v>5900</v>
      </c>
    </row>
    <row r="806">
      <c r="A806" s="1" t="s">
        <v>11282</v>
      </c>
      <c r="B806" s="1" t="s">
        <v>11284</v>
      </c>
      <c r="C806" s="1" t="s">
        <v>4293</v>
      </c>
      <c r="D806" s="1" t="s">
        <v>11287</v>
      </c>
      <c r="E806" s="1" t="s">
        <v>11288</v>
      </c>
      <c r="F806" s="1" t="s">
        <v>78</v>
      </c>
      <c r="G806" s="4"/>
      <c r="H806" s="3">
        <v>44378.0</v>
      </c>
      <c r="I806" s="1" t="s">
        <v>8196</v>
      </c>
      <c r="J806" s="1" t="s">
        <v>5900</v>
      </c>
    </row>
    <row r="807">
      <c r="A807" s="1" t="s">
        <v>11295</v>
      </c>
      <c r="B807" s="1" t="s">
        <v>11297</v>
      </c>
      <c r="C807" s="1" t="s">
        <v>4293</v>
      </c>
      <c r="D807" s="1" t="s">
        <v>11300</v>
      </c>
      <c r="E807" s="1" t="s">
        <v>11301</v>
      </c>
      <c r="F807" s="1" t="s">
        <v>78</v>
      </c>
      <c r="G807" s="4"/>
      <c r="H807" s="3">
        <v>44255.0</v>
      </c>
      <c r="I807" s="1" t="s">
        <v>11307</v>
      </c>
      <c r="J807" s="1" t="s">
        <v>5900</v>
      </c>
    </row>
    <row r="808">
      <c r="A808" s="1" t="s">
        <v>11310</v>
      </c>
      <c r="B808" s="1" t="s">
        <v>11312</v>
      </c>
      <c r="C808" s="1" t="s">
        <v>4293</v>
      </c>
      <c r="D808" s="1" t="s">
        <v>11314</v>
      </c>
      <c r="E808" s="1" t="s">
        <v>11315</v>
      </c>
      <c r="F808" s="1" t="s">
        <v>78</v>
      </c>
      <c r="G808" s="4"/>
      <c r="H808" s="3">
        <v>44377.0</v>
      </c>
      <c r="I808" s="1" t="s">
        <v>8196</v>
      </c>
      <c r="J808" s="1" t="s">
        <v>5900</v>
      </c>
    </row>
    <row r="809">
      <c r="A809" s="1" t="s">
        <v>11317</v>
      </c>
      <c r="B809" s="1" t="s">
        <v>4547</v>
      </c>
      <c r="C809" s="1" t="s">
        <v>4293</v>
      </c>
      <c r="D809" s="1" t="s">
        <v>11319</v>
      </c>
      <c r="E809" s="1" t="s">
        <v>11321</v>
      </c>
      <c r="F809" s="1" t="s">
        <v>78</v>
      </c>
      <c r="G809" s="4"/>
      <c r="H809" s="3">
        <v>45894.0</v>
      </c>
      <c r="I809" s="1" t="s">
        <v>6690</v>
      </c>
      <c r="J809" s="1" t="s">
        <v>5900</v>
      </c>
    </row>
    <row r="810">
      <c r="A810" s="1" t="s">
        <v>11328</v>
      </c>
      <c r="B810" s="1" t="s">
        <v>11329</v>
      </c>
      <c r="C810" s="1" t="s">
        <v>4293</v>
      </c>
      <c r="D810" s="1" t="s">
        <v>11332</v>
      </c>
      <c r="E810" s="1" t="s">
        <v>11334</v>
      </c>
      <c r="F810" s="1" t="s">
        <v>78</v>
      </c>
      <c r="G810" s="4"/>
      <c r="H810" s="3">
        <v>45754.0</v>
      </c>
      <c r="I810" s="1" t="s">
        <v>6488</v>
      </c>
      <c r="J810" s="1" t="s">
        <v>5900</v>
      </c>
    </row>
    <row r="811">
      <c r="A811" s="1" t="s">
        <v>11338</v>
      </c>
      <c r="B811" s="1" t="s">
        <v>10367</v>
      </c>
      <c r="C811" s="1" t="s">
        <v>4293</v>
      </c>
      <c r="D811" s="1" t="s">
        <v>11341</v>
      </c>
      <c r="E811" s="1" t="s">
        <v>11346</v>
      </c>
      <c r="F811" s="1" t="s">
        <v>78</v>
      </c>
      <c r="G811" s="4"/>
      <c r="H811" s="3">
        <v>43983.0</v>
      </c>
      <c r="I811" s="1" t="s">
        <v>6727</v>
      </c>
      <c r="J811" s="1" t="s">
        <v>5900</v>
      </c>
    </row>
    <row r="812">
      <c r="A812" s="1" t="s">
        <v>11354</v>
      </c>
      <c r="B812" s="1" t="s">
        <v>5504</v>
      </c>
      <c r="C812" s="1" t="s">
        <v>4293</v>
      </c>
      <c r="D812" s="1" t="s">
        <v>11357</v>
      </c>
      <c r="E812" s="1" t="s">
        <v>11358</v>
      </c>
      <c r="F812" s="1" t="s">
        <v>78</v>
      </c>
      <c r="G812" s="4"/>
      <c r="H812" s="3">
        <v>45505.0</v>
      </c>
      <c r="I812" s="1" t="s">
        <v>5909</v>
      </c>
      <c r="J812" s="1" t="s">
        <v>5900</v>
      </c>
    </row>
    <row r="813">
      <c r="A813" s="1" t="s">
        <v>11374</v>
      </c>
      <c r="B813" s="1" t="s">
        <v>11376</v>
      </c>
      <c r="C813" s="1" t="s">
        <v>4293</v>
      </c>
      <c r="D813" s="1" t="s">
        <v>11378</v>
      </c>
      <c r="E813" s="1" t="s">
        <v>11380</v>
      </c>
      <c r="F813" s="1" t="s">
        <v>78</v>
      </c>
      <c r="G813" s="4"/>
      <c r="H813" s="3">
        <v>45163.0</v>
      </c>
      <c r="I813" s="1" t="s">
        <v>5899</v>
      </c>
      <c r="J813" s="1" t="s">
        <v>5900</v>
      </c>
    </row>
    <row r="814">
      <c r="A814" s="1" t="s">
        <v>11388</v>
      </c>
      <c r="B814" s="1" t="s">
        <v>9250</v>
      </c>
      <c r="C814" s="1" t="s">
        <v>4293</v>
      </c>
      <c r="D814" s="1" t="s">
        <v>11390</v>
      </c>
      <c r="E814" s="1" t="s">
        <v>11392</v>
      </c>
      <c r="F814" s="1" t="s">
        <v>78</v>
      </c>
      <c r="G814" s="4"/>
      <c r="H814" s="3">
        <v>45707.0</v>
      </c>
      <c r="I814" s="1" t="s">
        <v>6992</v>
      </c>
      <c r="J814" s="1" t="s">
        <v>5900</v>
      </c>
    </row>
    <row r="815">
      <c r="A815" s="1" t="s">
        <v>11398</v>
      </c>
      <c r="B815" s="1" t="s">
        <v>10014</v>
      </c>
      <c r="C815" s="1" t="s">
        <v>4293</v>
      </c>
      <c r="D815" s="1" t="s">
        <v>11401</v>
      </c>
      <c r="E815" s="1" t="s">
        <v>11404</v>
      </c>
      <c r="F815" s="1" t="s">
        <v>78</v>
      </c>
      <c r="G815" s="4"/>
      <c r="H815" s="3">
        <v>45635.0</v>
      </c>
      <c r="I815" s="1" t="s">
        <v>6299</v>
      </c>
      <c r="J815" s="1" t="s">
        <v>5900</v>
      </c>
    </row>
    <row r="816">
      <c r="A816" s="1" t="s">
        <v>11409</v>
      </c>
      <c r="B816" s="1" t="s">
        <v>11410</v>
      </c>
      <c r="C816" s="1" t="s">
        <v>4293</v>
      </c>
      <c r="D816" s="1" t="s">
        <v>11411</v>
      </c>
      <c r="E816" s="1" t="s">
        <v>11413</v>
      </c>
      <c r="F816" s="1" t="s">
        <v>78</v>
      </c>
      <c r="G816" s="4"/>
      <c r="H816" s="3">
        <v>44503.0</v>
      </c>
      <c r="I816" s="1" t="s">
        <v>5999</v>
      </c>
      <c r="J816" s="1" t="s">
        <v>5900</v>
      </c>
    </row>
    <row r="817">
      <c r="A817" s="1" t="s">
        <v>11417</v>
      </c>
      <c r="B817" s="1" t="s">
        <v>11419</v>
      </c>
      <c r="C817" s="1" t="s">
        <v>4293</v>
      </c>
      <c r="D817" s="1" t="s">
        <v>11421</v>
      </c>
      <c r="E817" s="1" t="s">
        <v>11423</v>
      </c>
      <c r="F817" s="1" t="s">
        <v>78</v>
      </c>
      <c r="G817" s="4"/>
      <c r="H817" s="3">
        <v>45677.0</v>
      </c>
      <c r="I817" s="1" t="s">
        <v>10352</v>
      </c>
      <c r="J817" s="1" t="s">
        <v>5900</v>
      </c>
    </row>
    <row r="818">
      <c r="A818" s="1" t="s">
        <v>11431</v>
      </c>
      <c r="B818" s="1" t="s">
        <v>6136</v>
      </c>
      <c r="C818" s="1" t="s">
        <v>4293</v>
      </c>
      <c r="D818" s="1" t="s">
        <v>11434</v>
      </c>
      <c r="E818" s="1" t="s">
        <v>11437</v>
      </c>
      <c r="F818" s="1" t="s">
        <v>78</v>
      </c>
      <c r="G818" s="4"/>
      <c r="H818" s="3">
        <v>45836.0</v>
      </c>
      <c r="I818" s="1" t="s">
        <v>6488</v>
      </c>
      <c r="J818" s="1" t="s">
        <v>5900</v>
      </c>
    </row>
    <row r="819">
      <c r="A819" s="1" t="s">
        <v>11441</v>
      </c>
      <c r="B819" s="1" t="s">
        <v>11443</v>
      </c>
      <c r="C819" s="1" t="s">
        <v>4293</v>
      </c>
      <c r="D819" s="1" t="s">
        <v>11444</v>
      </c>
      <c r="E819" s="1" t="s">
        <v>11446</v>
      </c>
      <c r="F819" s="1" t="s">
        <v>78</v>
      </c>
      <c r="G819" s="4"/>
      <c r="H819" s="3">
        <v>45882.0</v>
      </c>
      <c r="I819" s="1" t="s">
        <v>5899</v>
      </c>
      <c r="J819" s="1" t="s">
        <v>5900</v>
      </c>
    </row>
    <row r="820">
      <c r="A820" s="1" t="s">
        <v>11451</v>
      </c>
      <c r="B820" s="1" t="s">
        <v>8036</v>
      </c>
      <c r="C820" s="1" t="s">
        <v>4293</v>
      </c>
      <c r="D820" s="1" t="s">
        <v>11454</v>
      </c>
      <c r="E820" s="1" t="s">
        <v>11457</v>
      </c>
      <c r="F820" s="1" t="s">
        <v>78</v>
      </c>
      <c r="G820" s="13"/>
      <c r="H820" s="3">
        <v>45140.0</v>
      </c>
      <c r="I820" s="1" t="s">
        <v>6488</v>
      </c>
      <c r="J820" s="1" t="s">
        <v>5900</v>
      </c>
    </row>
    <row r="821">
      <c r="A821" s="1" t="s">
        <v>11463</v>
      </c>
      <c r="B821" s="1" t="s">
        <v>11465</v>
      </c>
      <c r="C821" s="1" t="s">
        <v>4293</v>
      </c>
      <c r="D821" s="1" t="s">
        <v>11468</v>
      </c>
      <c r="E821" s="1" t="s">
        <v>11470</v>
      </c>
      <c r="F821" s="1" t="s">
        <v>78</v>
      </c>
      <c r="G821" s="4"/>
      <c r="H821" s="3">
        <v>44545.0</v>
      </c>
      <c r="I821" s="1" t="s">
        <v>5999</v>
      </c>
      <c r="J821" s="1" t="s">
        <v>5900</v>
      </c>
    </row>
    <row r="822">
      <c r="A822" s="1" t="s">
        <v>11477</v>
      </c>
      <c r="B822" s="1" t="s">
        <v>8157</v>
      </c>
      <c r="C822" s="1" t="s">
        <v>4293</v>
      </c>
      <c r="D822" s="1" t="s">
        <v>11478</v>
      </c>
      <c r="E822" s="1" t="s">
        <v>11479</v>
      </c>
      <c r="F822" s="1" t="s">
        <v>78</v>
      </c>
      <c r="G822" s="4"/>
      <c r="H822" s="3">
        <v>45897.0</v>
      </c>
      <c r="I822" s="1" t="s">
        <v>5899</v>
      </c>
      <c r="J822" s="1" t="s">
        <v>5900</v>
      </c>
    </row>
    <row r="823">
      <c r="A823" s="1" t="s">
        <v>11500</v>
      </c>
      <c r="B823" s="1" t="s">
        <v>4592</v>
      </c>
      <c r="C823" s="1" t="s">
        <v>4293</v>
      </c>
      <c r="D823" s="1" t="s">
        <v>9586</v>
      </c>
      <c r="E823" s="1" t="s">
        <v>11506</v>
      </c>
      <c r="F823" s="1" t="s">
        <v>78</v>
      </c>
      <c r="G823" s="4"/>
      <c r="H823" s="3">
        <v>43978.0</v>
      </c>
      <c r="I823" s="1" t="s">
        <v>7506</v>
      </c>
      <c r="J823" s="1" t="s">
        <v>5900</v>
      </c>
    </row>
    <row r="824">
      <c r="A824" s="1" t="s">
        <v>11510</v>
      </c>
      <c r="B824" s="1" t="s">
        <v>5402</v>
      </c>
      <c r="C824" s="1" t="s">
        <v>4293</v>
      </c>
      <c r="D824" s="1" t="s">
        <v>11512</v>
      </c>
      <c r="E824" s="1" t="s">
        <v>11513</v>
      </c>
      <c r="F824" s="1" t="s">
        <v>78</v>
      </c>
      <c r="G824" s="4"/>
      <c r="H824" s="3">
        <v>46076.0</v>
      </c>
      <c r="I824" s="1" t="s">
        <v>8253</v>
      </c>
      <c r="J824" s="1" t="s">
        <v>5900</v>
      </c>
    </row>
    <row r="825">
      <c r="A825" s="1" t="s">
        <v>11519</v>
      </c>
      <c r="B825" s="1" t="s">
        <v>8614</v>
      </c>
      <c r="C825" s="1" t="s">
        <v>4293</v>
      </c>
      <c r="D825" s="1" t="s">
        <v>11523</v>
      </c>
      <c r="E825" s="1" t="s">
        <v>11525</v>
      </c>
      <c r="F825" s="1" t="s">
        <v>78</v>
      </c>
      <c r="G825" s="4"/>
      <c r="H825" s="3">
        <v>45086.0</v>
      </c>
      <c r="I825" s="1" t="s">
        <v>6012</v>
      </c>
      <c r="J825" s="1" t="s">
        <v>5900</v>
      </c>
    </row>
    <row r="826">
      <c r="A826" s="1" t="s">
        <v>11532</v>
      </c>
      <c r="B826" s="1" t="s">
        <v>11534</v>
      </c>
      <c r="C826" s="1" t="s">
        <v>4293</v>
      </c>
      <c r="D826" s="1" t="s">
        <v>11536</v>
      </c>
      <c r="E826" s="1" t="s">
        <v>11538</v>
      </c>
      <c r="F826" s="1" t="s">
        <v>78</v>
      </c>
      <c r="G826" s="4"/>
      <c r="H826" s="3">
        <v>45825.0</v>
      </c>
      <c r="I826" s="1" t="s">
        <v>8253</v>
      </c>
      <c r="J826" s="1" t="s">
        <v>5900</v>
      </c>
    </row>
    <row r="827">
      <c r="A827" s="1" t="s">
        <v>11544</v>
      </c>
      <c r="B827" s="1" t="s">
        <v>11546</v>
      </c>
      <c r="C827" s="1" t="s">
        <v>4293</v>
      </c>
      <c r="D827" s="1" t="s">
        <v>11549</v>
      </c>
      <c r="E827" s="1" t="s">
        <v>11550</v>
      </c>
      <c r="F827" s="1" t="s">
        <v>78</v>
      </c>
      <c r="G827" s="4"/>
      <c r="H827" s="3">
        <v>43905.0</v>
      </c>
      <c r="I827" s="1" t="s">
        <v>6727</v>
      </c>
      <c r="J827" s="1" t="s">
        <v>5900</v>
      </c>
    </row>
    <row r="828">
      <c r="A828" s="1" t="s">
        <v>11554</v>
      </c>
      <c r="B828" s="1" t="s">
        <v>7722</v>
      </c>
      <c r="C828" s="1" t="s">
        <v>4293</v>
      </c>
      <c r="D828" s="1" t="s">
        <v>11557</v>
      </c>
      <c r="E828" s="1" t="s">
        <v>11559</v>
      </c>
      <c r="F828" s="1" t="s">
        <v>78</v>
      </c>
      <c r="G828" s="4"/>
      <c r="H828" s="3">
        <v>44756.0</v>
      </c>
      <c r="I828" s="1" t="s">
        <v>5999</v>
      </c>
      <c r="J828" s="1" t="s">
        <v>5900</v>
      </c>
    </row>
    <row r="829">
      <c r="A829" s="1" t="s">
        <v>11563</v>
      </c>
      <c r="B829" s="1" t="s">
        <v>11564</v>
      </c>
      <c r="C829" s="1" t="s">
        <v>4293</v>
      </c>
      <c r="D829" s="1" t="s">
        <v>8203</v>
      </c>
      <c r="E829" s="1" t="s">
        <v>11568</v>
      </c>
      <c r="F829" s="1" t="s">
        <v>78</v>
      </c>
      <c r="G829" s="4"/>
      <c r="H829" s="3">
        <v>44734.0</v>
      </c>
      <c r="I829" s="1" t="s">
        <v>10826</v>
      </c>
      <c r="J829" s="1" t="s">
        <v>5900</v>
      </c>
    </row>
    <row r="830">
      <c r="A830" s="1" t="s">
        <v>11575</v>
      </c>
      <c r="B830" s="1" t="s">
        <v>11577</v>
      </c>
      <c r="C830" s="1" t="s">
        <v>4293</v>
      </c>
      <c r="D830" s="1" t="s">
        <v>9740</v>
      </c>
      <c r="E830" s="1" t="s">
        <v>11580</v>
      </c>
      <c r="F830" s="1" t="s">
        <v>78</v>
      </c>
      <c r="G830" s="4"/>
      <c r="H830" s="3">
        <v>45369.0</v>
      </c>
      <c r="I830" s="1" t="s">
        <v>5899</v>
      </c>
      <c r="J830" s="1" t="s">
        <v>5900</v>
      </c>
    </row>
    <row r="831">
      <c r="A831" s="1" t="s">
        <v>11584</v>
      </c>
      <c r="B831" s="1" t="s">
        <v>9897</v>
      </c>
      <c r="C831" s="1" t="s">
        <v>4293</v>
      </c>
      <c r="D831" s="1" t="s">
        <v>9752</v>
      </c>
      <c r="E831" s="1" t="s">
        <v>11586</v>
      </c>
      <c r="F831" s="1" t="s">
        <v>78</v>
      </c>
      <c r="G831" s="4"/>
      <c r="H831" s="3">
        <v>43815.0</v>
      </c>
      <c r="I831" s="1" t="s">
        <v>5899</v>
      </c>
      <c r="J831" s="1" t="s">
        <v>5900</v>
      </c>
    </row>
    <row r="832">
      <c r="A832" s="1" t="s">
        <v>11590</v>
      </c>
      <c r="B832" s="1" t="s">
        <v>8394</v>
      </c>
      <c r="C832" s="1" t="s">
        <v>4293</v>
      </c>
      <c r="D832" s="1" t="s">
        <v>11592</v>
      </c>
      <c r="E832" s="1" t="s">
        <v>11593</v>
      </c>
      <c r="F832" s="1" t="s">
        <v>78</v>
      </c>
      <c r="G832" s="4"/>
      <c r="H832" s="3">
        <v>45769.0</v>
      </c>
      <c r="I832" s="1" t="s">
        <v>5999</v>
      </c>
      <c r="J832" s="1" t="s">
        <v>5900</v>
      </c>
    </row>
    <row r="833">
      <c r="A833" s="1" t="s">
        <v>11600</v>
      </c>
      <c r="B833" s="1" t="s">
        <v>11602</v>
      </c>
      <c r="C833" s="1" t="s">
        <v>4293</v>
      </c>
      <c r="D833" s="1" t="s">
        <v>9688</v>
      </c>
      <c r="E833" s="1" t="s">
        <v>11605</v>
      </c>
      <c r="F833" s="1" t="s">
        <v>78</v>
      </c>
      <c r="G833" s="4"/>
      <c r="H833" s="3">
        <v>43934.0</v>
      </c>
      <c r="I833" s="1" t="s">
        <v>5899</v>
      </c>
      <c r="J833" s="1" t="s">
        <v>5900</v>
      </c>
    </row>
    <row r="834">
      <c r="A834" s="1" t="s">
        <v>11608</v>
      </c>
      <c r="B834" s="1" t="s">
        <v>11610</v>
      </c>
      <c r="C834" s="1" t="s">
        <v>4293</v>
      </c>
      <c r="D834" s="1" t="s">
        <v>11613</v>
      </c>
      <c r="E834" s="1" t="s">
        <v>11615</v>
      </c>
      <c r="F834" s="1" t="s">
        <v>78</v>
      </c>
      <c r="G834" s="4"/>
      <c r="H834" s="3">
        <v>45701.0</v>
      </c>
      <c r="I834" s="1" t="s">
        <v>7864</v>
      </c>
      <c r="J834" s="1" t="s">
        <v>5900</v>
      </c>
    </row>
    <row r="835">
      <c r="A835" s="1" t="s">
        <v>11620</v>
      </c>
      <c r="B835" s="1" t="s">
        <v>8357</v>
      </c>
      <c r="C835" s="1" t="s">
        <v>4293</v>
      </c>
      <c r="D835" s="1" t="s">
        <v>11623</v>
      </c>
      <c r="E835" s="1" t="s">
        <v>11625</v>
      </c>
      <c r="F835" s="1" t="s">
        <v>78</v>
      </c>
      <c r="G835" s="4"/>
      <c r="H835" s="3">
        <v>43720.0</v>
      </c>
      <c r="I835" s="1" t="s">
        <v>6992</v>
      </c>
      <c r="J835" s="1" t="s">
        <v>5900</v>
      </c>
    </row>
    <row r="836">
      <c r="A836" s="1" t="s">
        <v>11629</v>
      </c>
      <c r="B836" s="1" t="s">
        <v>11631</v>
      </c>
      <c r="C836" s="1" t="s">
        <v>4293</v>
      </c>
      <c r="D836" s="1" t="s">
        <v>11634</v>
      </c>
      <c r="E836" s="1" t="s">
        <v>11635</v>
      </c>
      <c r="F836" s="1" t="s">
        <v>78</v>
      </c>
      <c r="G836" s="4"/>
      <c r="H836" s="3">
        <v>44348.0</v>
      </c>
      <c r="I836" s="1" t="s">
        <v>5899</v>
      </c>
      <c r="J836" s="1" t="s">
        <v>5900</v>
      </c>
    </row>
    <row r="837">
      <c r="A837" s="1" t="s">
        <v>11641</v>
      </c>
      <c r="B837" s="1" t="s">
        <v>11644</v>
      </c>
      <c r="C837" s="1" t="s">
        <v>4293</v>
      </c>
      <c r="D837" s="1" t="s">
        <v>11648</v>
      </c>
      <c r="E837" s="1" t="s">
        <v>11652</v>
      </c>
      <c r="F837" s="1" t="s">
        <v>78</v>
      </c>
      <c r="G837" s="4"/>
      <c r="H837" s="3">
        <v>44347.0</v>
      </c>
      <c r="I837" s="1" t="s">
        <v>7864</v>
      </c>
      <c r="J837" s="1" t="s">
        <v>5900</v>
      </c>
    </row>
    <row r="838">
      <c r="A838" s="1" t="s">
        <v>11657</v>
      </c>
      <c r="B838" s="1" t="s">
        <v>11659</v>
      </c>
      <c r="C838" s="1" t="s">
        <v>4293</v>
      </c>
      <c r="D838" s="1" t="s">
        <v>11661</v>
      </c>
      <c r="E838" s="1" t="s">
        <v>11663</v>
      </c>
      <c r="F838" s="1" t="s">
        <v>78</v>
      </c>
      <c r="G838" s="4"/>
      <c r="H838" s="3">
        <v>43952.0</v>
      </c>
      <c r="I838" s="1" t="s">
        <v>5999</v>
      </c>
      <c r="J838" s="1" t="s">
        <v>5900</v>
      </c>
    </row>
    <row r="839">
      <c r="A839" s="1" t="s">
        <v>11668</v>
      </c>
      <c r="B839" s="1" t="s">
        <v>5913</v>
      </c>
      <c r="C839" s="1" t="s">
        <v>4293</v>
      </c>
      <c r="D839" s="1" t="s">
        <v>11671</v>
      </c>
      <c r="E839" s="1" t="s">
        <v>11673</v>
      </c>
      <c r="F839" s="1" t="s">
        <v>78</v>
      </c>
      <c r="G839" s="4"/>
      <c r="H839" s="3">
        <v>45545.0</v>
      </c>
      <c r="I839" s="1" t="s">
        <v>5899</v>
      </c>
      <c r="J839" s="1" t="s">
        <v>5900</v>
      </c>
    </row>
    <row r="840">
      <c r="A840" s="1" t="s">
        <v>11679</v>
      </c>
      <c r="B840" s="1" t="s">
        <v>11681</v>
      </c>
      <c r="C840" s="1" t="s">
        <v>4293</v>
      </c>
      <c r="D840" s="1" t="s">
        <v>11684</v>
      </c>
      <c r="E840" s="1" t="s">
        <v>11685</v>
      </c>
      <c r="F840" s="1" t="s">
        <v>78</v>
      </c>
      <c r="G840" s="4"/>
      <c r="H840" s="3">
        <v>45908.0</v>
      </c>
      <c r="I840" s="1" t="s">
        <v>5999</v>
      </c>
      <c r="J840" s="1" t="s">
        <v>5900</v>
      </c>
    </row>
    <row r="841">
      <c r="A841" s="1" t="s">
        <v>11689</v>
      </c>
      <c r="B841" s="1" t="s">
        <v>11690</v>
      </c>
      <c r="C841" s="1" t="s">
        <v>4293</v>
      </c>
      <c r="D841" s="1" t="s">
        <v>11692</v>
      </c>
      <c r="E841" s="1" t="s">
        <v>11694</v>
      </c>
      <c r="F841" s="1" t="s">
        <v>78</v>
      </c>
      <c r="G841" s="4"/>
      <c r="H841" s="3">
        <v>45233.0</v>
      </c>
      <c r="I841" s="1" t="s">
        <v>6349</v>
      </c>
      <c r="J841" s="1" t="s">
        <v>5900</v>
      </c>
    </row>
    <row r="842">
      <c r="A842" s="1" t="s">
        <v>11696</v>
      </c>
      <c r="B842" s="1" t="s">
        <v>11698</v>
      </c>
      <c r="C842" s="1" t="s">
        <v>4293</v>
      </c>
      <c r="D842" s="1" t="s">
        <v>11700</v>
      </c>
      <c r="E842" s="1" t="s">
        <v>11703</v>
      </c>
      <c r="F842" s="1" t="s">
        <v>78</v>
      </c>
      <c r="G842" s="13"/>
      <c r="H842" s="3">
        <v>45789.0</v>
      </c>
      <c r="I842" s="1" t="s">
        <v>7659</v>
      </c>
      <c r="J842" s="1" t="s">
        <v>5900</v>
      </c>
    </row>
    <row r="843">
      <c r="A843" s="1" t="s">
        <v>11706</v>
      </c>
      <c r="B843" s="1" t="s">
        <v>6616</v>
      </c>
      <c r="C843" s="1" t="s">
        <v>4293</v>
      </c>
      <c r="D843" s="1" t="s">
        <v>11710</v>
      </c>
      <c r="E843" s="1" t="s">
        <v>11713</v>
      </c>
      <c r="F843" s="1" t="s">
        <v>78</v>
      </c>
      <c r="G843" s="13"/>
      <c r="H843" s="3">
        <v>45950.0</v>
      </c>
      <c r="I843" s="1" t="s">
        <v>6021</v>
      </c>
      <c r="J843" s="1" t="s">
        <v>5900</v>
      </c>
    </row>
    <row r="844">
      <c r="A844" s="1" t="s">
        <v>11717</v>
      </c>
      <c r="B844" s="1" t="s">
        <v>11718</v>
      </c>
      <c r="C844" s="1" t="s">
        <v>4293</v>
      </c>
      <c r="D844" s="1" t="s">
        <v>11720</v>
      </c>
      <c r="E844" s="1" t="s">
        <v>11723</v>
      </c>
      <c r="F844" s="1" t="s">
        <v>78</v>
      </c>
      <c r="G844" s="4"/>
      <c r="H844" s="3">
        <v>45022.0</v>
      </c>
      <c r="I844" s="1" t="s">
        <v>5899</v>
      </c>
      <c r="J844" s="1" t="s">
        <v>5900</v>
      </c>
    </row>
    <row r="845">
      <c r="A845" s="1" t="s">
        <v>11727</v>
      </c>
      <c r="B845" s="1" t="s">
        <v>5185</v>
      </c>
      <c r="C845" s="1" t="s">
        <v>4293</v>
      </c>
      <c r="D845" s="1" t="s">
        <v>11731</v>
      </c>
      <c r="E845" s="1" t="s">
        <v>11733</v>
      </c>
      <c r="F845" s="1" t="s">
        <v>78</v>
      </c>
      <c r="G845" s="4"/>
      <c r="H845" s="3">
        <v>44958.0</v>
      </c>
      <c r="I845" s="1" t="s">
        <v>5899</v>
      </c>
      <c r="J845" s="1" t="s">
        <v>5900</v>
      </c>
    </row>
    <row r="846">
      <c r="A846" s="1" t="s">
        <v>11735</v>
      </c>
      <c r="B846" s="1" t="s">
        <v>4411</v>
      </c>
      <c r="C846" s="1" t="s">
        <v>4293</v>
      </c>
      <c r="D846" s="1" t="s">
        <v>11737</v>
      </c>
      <c r="E846" s="1" t="s">
        <v>11740</v>
      </c>
      <c r="F846" s="1" t="s">
        <v>78</v>
      </c>
      <c r="G846" s="4"/>
      <c r="H846" s="3">
        <v>45770.0</v>
      </c>
      <c r="I846" s="1" t="s">
        <v>5999</v>
      </c>
      <c r="J846" s="1" t="s">
        <v>5900</v>
      </c>
    </row>
    <row r="847">
      <c r="A847" s="1" t="s">
        <v>11745</v>
      </c>
      <c r="B847" s="1" t="s">
        <v>11747</v>
      </c>
      <c r="C847" s="1" t="s">
        <v>4293</v>
      </c>
      <c r="D847" s="1" t="s">
        <v>11750</v>
      </c>
      <c r="E847" s="1" t="s">
        <v>11751</v>
      </c>
      <c r="F847" s="1" t="s">
        <v>78</v>
      </c>
      <c r="G847" s="4"/>
      <c r="H847" s="3">
        <v>44581.0</v>
      </c>
      <c r="I847" s="1" t="s">
        <v>5999</v>
      </c>
      <c r="J847" s="1" t="s">
        <v>5900</v>
      </c>
    </row>
    <row r="848">
      <c r="A848" s="1" t="s">
        <v>11755</v>
      </c>
      <c r="B848" s="1" t="s">
        <v>11757</v>
      </c>
      <c r="C848" s="1" t="s">
        <v>4293</v>
      </c>
      <c r="D848" s="1" t="s">
        <v>11759</v>
      </c>
      <c r="E848" s="1" t="s">
        <v>11762</v>
      </c>
      <c r="F848" s="1" t="s">
        <v>78</v>
      </c>
      <c r="G848" s="4"/>
      <c r="H848" s="3">
        <v>43923.0</v>
      </c>
      <c r="I848" s="1" t="s">
        <v>11307</v>
      </c>
      <c r="J848" s="1" t="s">
        <v>5900</v>
      </c>
    </row>
    <row r="849">
      <c r="A849" s="1" t="s">
        <v>11769</v>
      </c>
      <c r="B849" s="1" t="s">
        <v>11770</v>
      </c>
      <c r="C849" s="1" t="s">
        <v>4293</v>
      </c>
      <c r="D849" s="1" t="s">
        <v>11772</v>
      </c>
      <c r="E849" s="1" t="s">
        <v>11778</v>
      </c>
      <c r="F849" s="1" t="s">
        <v>78</v>
      </c>
      <c r="G849" s="4"/>
      <c r="H849" s="3">
        <v>45138.0</v>
      </c>
      <c r="I849" s="1" t="s">
        <v>6404</v>
      </c>
      <c r="J849" s="1" t="s">
        <v>5900</v>
      </c>
    </row>
    <row r="850">
      <c r="A850" s="1" t="s">
        <v>11782</v>
      </c>
      <c r="B850" s="1" t="s">
        <v>11783</v>
      </c>
      <c r="C850" s="1" t="s">
        <v>4293</v>
      </c>
      <c r="D850" s="1" t="s">
        <v>11784</v>
      </c>
      <c r="E850" s="1" t="s">
        <v>11785</v>
      </c>
      <c r="F850" s="1" t="s">
        <v>78</v>
      </c>
      <c r="G850" s="4"/>
      <c r="H850" s="3">
        <v>45636.0</v>
      </c>
      <c r="I850" s="1" t="s">
        <v>5899</v>
      </c>
      <c r="J850" s="1" t="s">
        <v>5900</v>
      </c>
    </row>
    <row r="851">
      <c r="A851" s="1" t="s">
        <v>11789</v>
      </c>
      <c r="B851" s="1" t="s">
        <v>11792</v>
      </c>
      <c r="C851" s="1" t="s">
        <v>4293</v>
      </c>
      <c r="D851" s="1" t="s">
        <v>11795</v>
      </c>
      <c r="E851" s="1" t="s">
        <v>11796</v>
      </c>
      <c r="F851" s="1" t="s">
        <v>78</v>
      </c>
      <c r="G851" s="4"/>
      <c r="H851" s="3">
        <v>45181.0</v>
      </c>
      <c r="I851" s="1" t="s">
        <v>6049</v>
      </c>
      <c r="J851" s="1" t="s">
        <v>5900</v>
      </c>
    </row>
    <row r="852">
      <c r="A852" s="1" t="s">
        <v>11802</v>
      </c>
      <c r="B852" s="1" t="s">
        <v>5574</v>
      </c>
      <c r="C852" s="1" t="s">
        <v>4293</v>
      </c>
      <c r="D852" s="1" t="s">
        <v>11805</v>
      </c>
      <c r="E852" s="1" t="s">
        <v>11807</v>
      </c>
      <c r="F852" s="1" t="s">
        <v>78</v>
      </c>
      <c r="G852" s="4"/>
      <c r="H852" s="3">
        <v>45677.0</v>
      </c>
      <c r="I852" s="1" t="s">
        <v>6527</v>
      </c>
      <c r="J852" s="1" t="s">
        <v>5900</v>
      </c>
    </row>
    <row r="853">
      <c r="A853" s="1" t="s">
        <v>11811</v>
      </c>
      <c r="B853" s="1" t="s">
        <v>11813</v>
      </c>
      <c r="C853" s="1" t="s">
        <v>4293</v>
      </c>
      <c r="D853" s="1" t="s">
        <v>11815</v>
      </c>
      <c r="E853" s="1" t="s">
        <v>11817</v>
      </c>
      <c r="F853" s="1" t="s">
        <v>78</v>
      </c>
      <c r="G853" s="4"/>
      <c r="H853" s="3">
        <v>43599.0</v>
      </c>
      <c r="I853" s="1" t="s">
        <v>6842</v>
      </c>
      <c r="J853" s="1" t="s">
        <v>5900</v>
      </c>
    </row>
    <row r="854">
      <c r="A854" s="1" t="s">
        <v>11822</v>
      </c>
      <c r="B854" s="1" t="s">
        <v>11823</v>
      </c>
      <c r="C854" s="1" t="s">
        <v>4293</v>
      </c>
      <c r="D854" s="1" t="s">
        <v>11826</v>
      </c>
      <c r="E854" s="1" t="s">
        <v>11828</v>
      </c>
      <c r="F854" s="1" t="s">
        <v>78</v>
      </c>
      <c r="G854" s="4"/>
      <c r="H854" s="3">
        <v>45558.0</v>
      </c>
      <c r="I854" s="1" t="s">
        <v>6527</v>
      </c>
      <c r="J854" s="1" t="s">
        <v>5900</v>
      </c>
    </row>
    <row r="855">
      <c r="A855" s="1" t="s">
        <v>11831</v>
      </c>
      <c r="B855" s="1" t="s">
        <v>5989</v>
      </c>
      <c r="C855" s="1" t="s">
        <v>4293</v>
      </c>
      <c r="D855" s="1" t="s">
        <v>11835</v>
      </c>
      <c r="E855" s="1" t="s">
        <v>11837</v>
      </c>
      <c r="F855" s="1" t="s">
        <v>78</v>
      </c>
      <c r="G855" s="4"/>
      <c r="H855" s="3">
        <v>44753.0</v>
      </c>
      <c r="I855" s="1" t="s">
        <v>7069</v>
      </c>
      <c r="J855" s="1" t="s">
        <v>5900</v>
      </c>
    </row>
    <row r="856">
      <c r="A856" s="1" t="s">
        <v>11842</v>
      </c>
      <c r="B856" s="1" t="s">
        <v>11311</v>
      </c>
      <c r="C856" s="1" t="s">
        <v>4293</v>
      </c>
      <c r="D856" s="1" t="s">
        <v>11845</v>
      </c>
      <c r="E856" s="1" t="s">
        <v>11847</v>
      </c>
      <c r="F856" s="1" t="s">
        <v>78</v>
      </c>
      <c r="G856" s="4"/>
      <c r="H856" s="3">
        <v>45744.0</v>
      </c>
      <c r="I856" s="1" t="s">
        <v>5899</v>
      </c>
      <c r="J856" s="1" t="s">
        <v>5900</v>
      </c>
    </row>
    <row r="857">
      <c r="A857" s="1" t="s">
        <v>11851</v>
      </c>
      <c r="B857" s="1" t="s">
        <v>5700</v>
      </c>
      <c r="C857" s="1" t="s">
        <v>4293</v>
      </c>
      <c r="D857" s="1" t="s">
        <v>11855</v>
      </c>
      <c r="E857" s="1" t="s">
        <v>11856</v>
      </c>
      <c r="F857" s="1" t="s">
        <v>78</v>
      </c>
      <c r="G857" s="4"/>
      <c r="H857" s="3">
        <v>45322.0</v>
      </c>
      <c r="I857" s="1" t="s">
        <v>8658</v>
      </c>
      <c r="J857" s="1" t="s">
        <v>5900</v>
      </c>
    </row>
    <row r="858">
      <c r="A858" s="1" t="s">
        <v>11864</v>
      </c>
      <c r="B858" s="1" t="s">
        <v>11865</v>
      </c>
      <c r="C858" s="1" t="s">
        <v>4293</v>
      </c>
      <c r="D858" s="1" t="s">
        <v>11867</v>
      </c>
      <c r="E858" s="1" t="s">
        <v>11870</v>
      </c>
      <c r="F858" s="1" t="s">
        <v>78</v>
      </c>
      <c r="G858" s="4"/>
      <c r="H858" s="3">
        <v>44305.0</v>
      </c>
      <c r="I858" s="1" t="s">
        <v>7565</v>
      </c>
      <c r="J858" s="1" t="s">
        <v>5900</v>
      </c>
    </row>
    <row r="859">
      <c r="A859" s="1" t="s">
        <v>11874</v>
      </c>
      <c r="B859" s="1" t="s">
        <v>11876</v>
      </c>
      <c r="C859" s="1" t="s">
        <v>4293</v>
      </c>
      <c r="D859" s="1" t="s">
        <v>11878</v>
      </c>
      <c r="E859" s="1" t="s">
        <v>11879</v>
      </c>
      <c r="F859" s="1" t="s">
        <v>78</v>
      </c>
      <c r="G859" s="4"/>
      <c r="H859" s="3">
        <v>44428.0</v>
      </c>
      <c r="I859" s="1" t="s">
        <v>5986</v>
      </c>
      <c r="J859" s="1" t="s">
        <v>5900</v>
      </c>
    </row>
    <row r="860">
      <c r="A860" s="1" t="s">
        <v>11886</v>
      </c>
      <c r="B860" s="1" t="s">
        <v>8088</v>
      </c>
      <c r="C860" s="1" t="s">
        <v>4293</v>
      </c>
      <c r="D860" s="1" t="s">
        <v>11891</v>
      </c>
      <c r="E860" s="1" t="s">
        <v>11893</v>
      </c>
      <c r="F860" s="1" t="s">
        <v>78</v>
      </c>
      <c r="G860" s="4"/>
      <c r="H860" s="3">
        <v>45891.0</v>
      </c>
      <c r="I860" s="1" t="s">
        <v>7565</v>
      </c>
      <c r="J860" s="1" t="s">
        <v>5900</v>
      </c>
    </row>
    <row r="861">
      <c r="A861" s="1" t="s">
        <v>11898</v>
      </c>
      <c r="B861" s="1" t="s">
        <v>11900</v>
      </c>
      <c r="C861" s="1" t="s">
        <v>4293</v>
      </c>
      <c r="D861" s="1" t="s">
        <v>11903</v>
      </c>
      <c r="E861" s="1" t="s">
        <v>11905</v>
      </c>
      <c r="F861" s="1" t="s">
        <v>78</v>
      </c>
      <c r="G861" s="4"/>
      <c r="H861" s="3">
        <v>45910.0</v>
      </c>
      <c r="I861" s="1" t="s">
        <v>7565</v>
      </c>
      <c r="J861" s="1" t="s">
        <v>5900</v>
      </c>
    </row>
    <row r="862">
      <c r="A862" s="1" t="s">
        <v>11912</v>
      </c>
      <c r="B862" s="1" t="s">
        <v>11913</v>
      </c>
      <c r="C862" s="1" t="s">
        <v>4293</v>
      </c>
      <c r="D862" s="1" t="s">
        <v>11917</v>
      </c>
      <c r="E862" s="1" t="s">
        <v>11920</v>
      </c>
      <c r="F862" s="1" t="s">
        <v>78</v>
      </c>
      <c r="G862" s="4"/>
      <c r="H862" s="3">
        <v>45196.0</v>
      </c>
      <c r="I862" s="1" t="s">
        <v>8910</v>
      </c>
      <c r="J862" s="1" t="s">
        <v>5900</v>
      </c>
    </row>
    <row r="863">
      <c r="A863" s="1" t="s">
        <v>11923</v>
      </c>
      <c r="B863" s="1" t="s">
        <v>11055</v>
      </c>
      <c r="C863" s="1" t="s">
        <v>4293</v>
      </c>
      <c r="D863" s="1" t="s">
        <v>11927</v>
      </c>
      <c r="E863" s="1" t="s">
        <v>11928</v>
      </c>
      <c r="F863" s="1" t="s">
        <v>78</v>
      </c>
      <c r="G863" s="4"/>
      <c r="H863" s="3">
        <v>45107.0</v>
      </c>
      <c r="I863" s="1" t="s">
        <v>5899</v>
      </c>
      <c r="J863" s="1" t="s">
        <v>5900</v>
      </c>
    </row>
    <row r="864">
      <c r="A864" s="1" t="s">
        <v>11934</v>
      </c>
      <c r="B864" s="1" t="s">
        <v>11936</v>
      </c>
      <c r="C864" s="1" t="s">
        <v>4293</v>
      </c>
      <c r="D864" s="1" t="s">
        <v>11938</v>
      </c>
      <c r="E864" s="1" t="s">
        <v>11941</v>
      </c>
      <c r="F864" s="1" t="s">
        <v>78</v>
      </c>
      <c r="G864" s="4"/>
      <c r="H864" s="3">
        <v>45502.0</v>
      </c>
      <c r="I864" s="1" t="s">
        <v>5999</v>
      </c>
      <c r="J864" s="1" t="s">
        <v>5900</v>
      </c>
    </row>
    <row r="865">
      <c r="A865" s="1" t="s">
        <v>11945</v>
      </c>
      <c r="B865" s="1" t="s">
        <v>8008</v>
      </c>
      <c r="C865" s="1" t="s">
        <v>4293</v>
      </c>
      <c r="D865" s="1" t="s">
        <v>11948</v>
      </c>
      <c r="E865" s="1" t="s">
        <v>11951</v>
      </c>
      <c r="F865" s="1" t="s">
        <v>78</v>
      </c>
      <c r="G865" s="4"/>
      <c r="H865" s="3">
        <v>45231.0</v>
      </c>
      <c r="I865" s="1" t="s">
        <v>11953</v>
      </c>
      <c r="J865" s="1" t="s">
        <v>5900</v>
      </c>
    </row>
    <row r="866">
      <c r="A866" s="1" t="s">
        <v>11956</v>
      </c>
      <c r="B866" s="1" t="s">
        <v>11958</v>
      </c>
      <c r="C866" s="1" t="s">
        <v>4293</v>
      </c>
      <c r="D866" s="1" t="s">
        <v>11963</v>
      </c>
      <c r="E866" s="1" t="s">
        <v>11964</v>
      </c>
      <c r="F866" s="1" t="s">
        <v>78</v>
      </c>
      <c r="G866" s="4"/>
      <c r="H866" s="3">
        <v>44105.0</v>
      </c>
      <c r="I866" s="1" t="s">
        <v>6199</v>
      </c>
      <c r="J866" s="1" t="s">
        <v>5900</v>
      </c>
    </row>
    <row r="867">
      <c r="A867" s="1" t="s">
        <v>11968</v>
      </c>
      <c r="B867" s="1" t="s">
        <v>10357</v>
      </c>
      <c r="C867" s="1" t="s">
        <v>4293</v>
      </c>
      <c r="D867" s="1" t="s">
        <v>11971</v>
      </c>
      <c r="E867" s="1" t="s">
        <v>11975</v>
      </c>
      <c r="F867" s="1" t="s">
        <v>78</v>
      </c>
      <c r="G867" s="4"/>
      <c r="H867" s="3">
        <v>45645.0</v>
      </c>
      <c r="I867" s="1" t="s">
        <v>5899</v>
      </c>
      <c r="J867" s="1" t="s">
        <v>5900</v>
      </c>
    </row>
    <row r="868">
      <c r="A868" s="1" t="s">
        <v>11979</v>
      </c>
      <c r="B868" s="1" t="s">
        <v>11981</v>
      </c>
      <c r="C868" s="1" t="s">
        <v>4293</v>
      </c>
      <c r="D868" s="1" t="s">
        <v>9118</v>
      </c>
      <c r="E868" s="1" t="s">
        <v>11985</v>
      </c>
      <c r="F868" s="1" t="s">
        <v>78</v>
      </c>
      <c r="G868" s="4"/>
      <c r="H868" s="3">
        <v>44287.0</v>
      </c>
      <c r="I868" s="1" t="s">
        <v>5899</v>
      </c>
      <c r="J868" s="1" t="s">
        <v>5900</v>
      </c>
    </row>
    <row r="869">
      <c r="A869" s="1" t="s">
        <v>11989</v>
      </c>
      <c r="B869" s="1" t="s">
        <v>11991</v>
      </c>
      <c r="C869" s="1" t="s">
        <v>4293</v>
      </c>
      <c r="D869" s="1" t="s">
        <v>11994</v>
      </c>
      <c r="E869" s="1" t="s">
        <v>11995</v>
      </c>
      <c r="F869" s="1" t="s">
        <v>78</v>
      </c>
      <c r="G869" s="4"/>
      <c r="H869" s="3">
        <v>46141.0</v>
      </c>
      <c r="I869" s="1" t="s">
        <v>6657</v>
      </c>
      <c r="J869" s="1" t="s">
        <v>5900</v>
      </c>
    </row>
    <row r="870">
      <c r="A870" s="1" t="s">
        <v>11997</v>
      </c>
      <c r="B870" s="1" t="s">
        <v>8771</v>
      </c>
      <c r="C870" s="1" t="s">
        <v>4293</v>
      </c>
      <c r="D870" s="1" t="s">
        <v>12001</v>
      </c>
      <c r="E870" s="1" t="s">
        <v>12004</v>
      </c>
      <c r="F870" s="1" t="s">
        <v>78</v>
      </c>
      <c r="G870" s="4"/>
      <c r="H870" s="3">
        <v>45490.0</v>
      </c>
      <c r="I870" s="1" t="s">
        <v>6634</v>
      </c>
      <c r="J870" s="1" t="s">
        <v>5900</v>
      </c>
    </row>
    <row r="871">
      <c r="A871" s="1" t="s">
        <v>12010</v>
      </c>
      <c r="B871" s="1" t="s">
        <v>7338</v>
      </c>
      <c r="C871" s="1" t="s">
        <v>4293</v>
      </c>
      <c r="D871" s="1" t="s">
        <v>12012</v>
      </c>
      <c r="E871" s="1" t="s">
        <v>12014</v>
      </c>
      <c r="F871" s="1" t="s">
        <v>78</v>
      </c>
      <c r="G871" s="4"/>
      <c r="H871" s="3">
        <v>45744.0</v>
      </c>
      <c r="I871" s="1" t="s">
        <v>8196</v>
      </c>
      <c r="J871" s="1" t="s">
        <v>5900</v>
      </c>
    </row>
    <row r="872">
      <c r="A872" s="1" t="s">
        <v>12017</v>
      </c>
      <c r="B872" s="1" t="s">
        <v>12020</v>
      </c>
      <c r="C872" s="1" t="s">
        <v>4293</v>
      </c>
      <c r="D872" s="1" t="s">
        <v>12023</v>
      </c>
      <c r="E872" s="1" t="s">
        <v>12026</v>
      </c>
      <c r="F872" s="1" t="s">
        <v>78</v>
      </c>
      <c r="G872" s="4"/>
      <c r="H872" s="3">
        <v>46077.0</v>
      </c>
      <c r="I872" s="1" t="s">
        <v>5999</v>
      </c>
      <c r="J872" s="1" t="s">
        <v>5900</v>
      </c>
    </row>
    <row r="873">
      <c r="A873" s="1" t="s">
        <v>12032</v>
      </c>
      <c r="B873" s="1" t="s">
        <v>10830</v>
      </c>
      <c r="C873" s="1" t="s">
        <v>4293</v>
      </c>
      <c r="D873" s="1" t="s">
        <v>12035</v>
      </c>
      <c r="E873" s="1" t="s">
        <v>12038</v>
      </c>
      <c r="F873" s="1" t="s">
        <v>78</v>
      </c>
      <c r="G873" s="4"/>
      <c r="H873" s="3">
        <v>44104.0</v>
      </c>
      <c r="I873" s="1" t="s">
        <v>5999</v>
      </c>
      <c r="J873" s="1" t="s">
        <v>5900</v>
      </c>
    </row>
    <row r="874">
      <c r="A874" s="1" t="s">
        <v>12044</v>
      </c>
      <c r="B874" s="1" t="s">
        <v>12045</v>
      </c>
      <c r="C874" s="1" t="s">
        <v>4293</v>
      </c>
      <c r="D874" s="1" t="s">
        <v>12047</v>
      </c>
      <c r="E874" s="1" t="s">
        <v>12049</v>
      </c>
      <c r="F874" s="1" t="s">
        <v>78</v>
      </c>
      <c r="G874" s="4"/>
      <c r="H874" s="3">
        <v>45614.0</v>
      </c>
      <c r="I874" s="1" t="s">
        <v>6049</v>
      </c>
      <c r="J874" s="1" t="s">
        <v>5900</v>
      </c>
    </row>
    <row r="875">
      <c r="A875" s="1" t="s">
        <v>12054</v>
      </c>
      <c r="B875" s="1" t="s">
        <v>8449</v>
      </c>
      <c r="C875" s="1" t="s">
        <v>4293</v>
      </c>
      <c r="D875" s="1" t="s">
        <v>12057</v>
      </c>
      <c r="E875" s="1" t="s">
        <v>12060</v>
      </c>
      <c r="F875" s="1" t="s">
        <v>78</v>
      </c>
      <c r="G875" s="4"/>
      <c r="H875" s="3">
        <v>45681.0</v>
      </c>
      <c r="I875" s="1" t="s">
        <v>5909</v>
      </c>
      <c r="J875" s="1" t="s">
        <v>5900</v>
      </c>
    </row>
    <row r="876">
      <c r="A876" s="1" t="s">
        <v>12065</v>
      </c>
      <c r="B876" s="1" t="s">
        <v>9039</v>
      </c>
      <c r="C876" s="1" t="s">
        <v>4293</v>
      </c>
      <c r="D876" s="1" t="s">
        <v>12068</v>
      </c>
      <c r="E876" s="1" t="s">
        <v>12070</v>
      </c>
      <c r="F876" s="1" t="s">
        <v>78</v>
      </c>
      <c r="G876" s="4"/>
      <c r="H876" s="3">
        <v>45624.0</v>
      </c>
      <c r="I876" s="1" t="s">
        <v>5899</v>
      </c>
      <c r="J876" s="1" t="s">
        <v>5900</v>
      </c>
    </row>
    <row r="877">
      <c r="A877" s="1" t="s">
        <v>12076</v>
      </c>
      <c r="B877" s="1" t="s">
        <v>9774</v>
      </c>
      <c r="C877" s="1" t="s">
        <v>4293</v>
      </c>
      <c r="D877" s="1" t="s">
        <v>12079</v>
      </c>
      <c r="E877" s="1" t="s">
        <v>12082</v>
      </c>
      <c r="F877" s="1" t="s">
        <v>78</v>
      </c>
      <c r="G877" s="4"/>
      <c r="H877" s="3">
        <v>45855.0</v>
      </c>
      <c r="I877" s="1" t="s">
        <v>5909</v>
      </c>
      <c r="J877" s="1" t="s">
        <v>5900</v>
      </c>
    </row>
    <row r="878">
      <c r="A878" s="1" t="s">
        <v>12085</v>
      </c>
      <c r="B878" s="1" t="s">
        <v>12086</v>
      </c>
      <c r="C878" s="1" t="s">
        <v>4293</v>
      </c>
      <c r="D878" s="1" t="s">
        <v>12088</v>
      </c>
      <c r="E878" s="1" t="s">
        <v>12090</v>
      </c>
      <c r="F878" s="1" t="s">
        <v>78</v>
      </c>
      <c r="G878" s="4"/>
      <c r="H878" s="3">
        <v>44909.0</v>
      </c>
      <c r="I878" s="1" t="s">
        <v>5899</v>
      </c>
      <c r="J878" s="1" t="s">
        <v>5900</v>
      </c>
    </row>
    <row r="879">
      <c r="A879" s="1" t="s">
        <v>12092</v>
      </c>
      <c r="B879" s="1" t="s">
        <v>12094</v>
      </c>
      <c r="C879" s="1" t="s">
        <v>4293</v>
      </c>
      <c r="D879" s="1" t="s">
        <v>12095</v>
      </c>
      <c r="E879" s="1" t="s">
        <v>12096</v>
      </c>
      <c r="F879" s="1" t="s">
        <v>78</v>
      </c>
      <c r="G879" s="4"/>
      <c r="H879" s="3">
        <v>45462.0</v>
      </c>
      <c r="I879" s="1" t="s">
        <v>5999</v>
      </c>
      <c r="J879" s="1" t="s">
        <v>5900</v>
      </c>
    </row>
    <row r="880">
      <c r="A880" s="1" t="s">
        <v>12099</v>
      </c>
      <c r="B880" s="1" t="s">
        <v>12101</v>
      </c>
      <c r="C880" s="1" t="s">
        <v>4293</v>
      </c>
      <c r="D880" s="1" t="s">
        <v>12103</v>
      </c>
      <c r="E880" s="1" t="s">
        <v>12105</v>
      </c>
      <c r="F880" s="1" t="s">
        <v>78</v>
      </c>
      <c r="G880" s="4"/>
      <c r="H880" s="3">
        <v>45622.0</v>
      </c>
      <c r="I880" s="1" t="s">
        <v>8658</v>
      </c>
      <c r="J880" s="1" t="s">
        <v>5900</v>
      </c>
    </row>
    <row r="881">
      <c r="A881" s="1" t="s">
        <v>12108</v>
      </c>
      <c r="B881" s="1" t="s">
        <v>5553</v>
      </c>
      <c r="C881" s="1" t="s">
        <v>4293</v>
      </c>
      <c r="D881" s="1" t="s">
        <v>12111</v>
      </c>
      <c r="E881" s="1" t="s">
        <v>12112</v>
      </c>
      <c r="F881" s="1" t="s">
        <v>78</v>
      </c>
      <c r="G881" s="4"/>
      <c r="H881" s="3">
        <v>44127.0</v>
      </c>
      <c r="I881" s="1" t="s">
        <v>6021</v>
      </c>
      <c r="J881" s="1" t="s">
        <v>5900</v>
      </c>
    </row>
    <row r="882">
      <c r="A882" s="1" t="s">
        <v>12115</v>
      </c>
      <c r="B882" s="1" t="s">
        <v>12117</v>
      </c>
      <c r="C882" s="1" t="s">
        <v>4293</v>
      </c>
      <c r="D882" s="1" t="s">
        <v>12118</v>
      </c>
      <c r="E882" s="1" t="s">
        <v>12121</v>
      </c>
      <c r="F882" s="1" t="s">
        <v>78</v>
      </c>
      <c r="G882" s="4"/>
      <c r="H882" s="3">
        <v>45517.0</v>
      </c>
      <c r="I882" s="1" t="s">
        <v>7090</v>
      </c>
      <c r="J882" s="1" t="s">
        <v>5900</v>
      </c>
    </row>
    <row r="883">
      <c r="A883" s="1" t="s">
        <v>12126</v>
      </c>
      <c r="B883" s="1" t="s">
        <v>6254</v>
      </c>
      <c r="C883" s="1" t="s">
        <v>4293</v>
      </c>
      <c r="D883" s="1" t="s">
        <v>12130</v>
      </c>
      <c r="E883" s="1" t="s">
        <v>12132</v>
      </c>
      <c r="F883" s="1" t="s">
        <v>78</v>
      </c>
      <c r="G883" s="4"/>
      <c r="H883" s="3">
        <v>45673.0</v>
      </c>
      <c r="I883" s="1" t="s">
        <v>7090</v>
      </c>
      <c r="J883" s="1" t="s">
        <v>5900</v>
      </c>
    </row>
    <row r="884">
      <c r="A884" s="1" t="s">
        <v>12136</v>
      </c>
      <c r="B884" s="1" t="s">
        <v>10379</v>
      </c>
      <c r="C884" s="1" t="s">
        <v>4293</v>
      </c>
      <c r="D884" s="1" t="s">
        <v>12140</v>
      </c>
      <c r="E884" s="1" t="s">
        <v>12142</v>
      </c>
      <c r="F884" s="1" t="s">
        <v>78</v>
      </c>
      <c r="G884" s="4"/>
      <c r="H884" s="3">
        <v>44615.0</v>
      </c>
      <c r="I884" s="1" t="s">
        <v>5899</v>
      </c>
      <c r="J884" s="1" t="s">
        <v>5900</v>
      </c>
    </row>
    <row r="885">
      <c r="A885" s="1" t="s">
        <v>12146</v>
      </c>
      <c r="B885" s="1" t="s">
        <v>12148</v>
      </c>
      <c r="C885" s="1" t="s">
        <v>4293</v>
      </c>
      <c r="D885" s="1" t="s">
        <v>12150</v>
      </c>
      <c r="E885" s="1" t="s">
        <v>12151</v>
      </c>
      <c r="F885" s="1" t="s">
        <v>78</v>
      </c>
      <c r="G885" s="4"/>
      <c r="H885" s="3">
        <v>43729.0</v>
      </c>
      <c r="I885" s="1" t="s">
        <v>5899</v>
      </c>
      <c r="J885" s="1" t="s">
        <v>5900</v>
      </c>
    </row>
    <row r="886">
      <c r="A886" s="1" t="s">
        <v>12155</v>
      </c>
      <c r="B886" s="1" t="s">
        <v>9022</v>
      </c>
      <c r="C886" s="1" t="s">
        <v>4293</v>
      </c>
      <c r="D886" s="1" t="s">
        <v>12157</v>
      </c>
      <c r="E886" s="1" t="s">
        <v>12158</v>
      </c>
      <c r="F886" s="1" t="s">
        <v>78</v>
      </c>
      <c r="G886" s="4"/>
      <c r="H886" s="3">
        <v>45993.0</v>
      </c>
      <c r="I886" s="1" t="s">
        <v>5999</v>
      </c>
      <c r="J886" s="1" t="s">
        <v>5900</v>
      </c>
    </row>
    <row r="887">
      <c r="A887" s="1" t="s">
        <v>12161</v>
      </c>
      <c r="B887" s="1" t="s">
        <v>12164</v>
      </c>
      <c r="C887" s="1" t="s">
        <v>4293</v>
      </c>
      <c r="D887" s="1" t="s">
        <v>12166</v>
      </c>
      <c r="E887" s="1" t="s">
        <v>12168</v>
      </c>
      <c r="F887" s="1" t="s">
        <v>78</v>
      </c>
      <c r="G887" s="4"/>
      <c r="H887" s="3">
        <v>45992.0</v>
      </c>
      <c r="I887" s="1" t="s">
        <v>10294</v>
      </c>
      <c r="J887" s="1" t="s">
        <v>5900</v>
      </c>
    </row>
    <row r="888">
      <c r="A888" s="1" t="s">
        <v>12172</v>
      </c>
      <c r="B888" s="1" t="s">
        <v>7833</v>
      </c>
      <c r="C888" s="1" t="s">
        <v>4293</v>
      </c>
      <c r="D888" s="1" t="s">
        <v>12176</v>
      </c>
      <c r="E888" s="1" t="s">
        <v>12177</v>
      </c>
      <c r="F888" s="1" t="s">
        <v>78</v>
      </c>
      <c r="G888" s="4"/>
      <c r="H888" s="3">
        <v>44319.0</v>
      </c>
      <c r="I888" s="1" t="s">
        <v>6434</v>
      </c>
      <c r="J888" s="1" t="s">
        <v>5900</v>
      </c>
    </row>
    <row r="889">
      <c r="A889" s="1" t="s">
        <v>12180</v>
      </c>
      <c r="B889" s="1" t="s">
        <v>10676</v>
      </c>
      <c r="C889" s="1" t="s">
        <v>4293</v>
      </c>
      <c r="D889" s="1" t="s">
        <v>12183</v>
      </c>
      <c r="E889" s="1" t="s">
        <v>12185</v>
      </c>
      <c r="F889" s="1" t="s">
        <v>78</v>
      </c>
      <c r="G889" s="4"/>
      <c r="H889" s="3">
        <v>44517.0</v>
      </c>
      <c r="I889" s="1" t="s">
        <v>10294</v>
      </c>
      <c r="J889" s="1" t="s">
        <v>5900</v>
      </c>
    </row>
    <row r="890">
      <c r="A890" s="1" t="s">
        <v>12190</v>
      </c>
      <c r="B890" s="1" t="s">
        <v>12192</v>
      </c>
      <c r="C890" s="1" t="s">
        <v>4293</v>
      </c>
      <c r="D890" s="1" t="s">
        <v>12194</v>
      </c>
      <c r="E890" s="1" t="s">
        <v>12197</v>
      </c>
      <c r="F890" s="1" t="s">
        <v>78</v>
      </c>
      <c r="G890" s="4"/>
      <c r="H890" s="3">
        <v>46085.0</v>
      </c>
      <c r="I890" s="1" t="s">
        <v>5899</v>
      </c>
      <c r="J890" s="1" t="s">
        <v>5900</v>
      </c>
    </row>
    <row r="891">
      <c r="A891" s="1" t="s">
        <v>12200</v>
      </c>
      <c r="B891" s="1" t="s">
        <v>10968</v>
      </c>
      <c r="C891" s="1" t="s">
        <v>4293</v>
      </c>
      <c r="D891" s="1" t="s">
        <v>12203</v>
      </c>
      <c r="E891" s="1" t="s">
        <v>12205</v>
      </c>
      <c r="F891" s="1" t="s">
        <v>78</v>
      </c>
      <c r="G891" s="4"/>
      <c r="H891" s="3">
        <v>44516.0</v>
      </c>
      <c r="I891" s="1" t="s">
        <v>8524</v>
      </c>
      <c r="J891" s="1" t="s">
        <v>5900</v>
      </c>
    </row>
    <row r="892">
      <c r="A892" s="1" t="s">
        <v>12208</v>
      </c>
      <c r="B892" s="1" t="s">
        <v>12209</v>
      </c>
      <c r="C892" s="1" t="s">
        <v>4293</v>
      </c>
      <c r="D892" s="1" t="s">
        <v>12210</v>
      </c>
      <c r="E892" s="1" t="s">
        <v>12212</v>
      </c>
      <c r="F892" s="1" t="s">
        <v>78</v>
      </c>
      <c r="G892" s="4"/>
      <c r="H892" s="3">
        <v>44004.0</v>
      </c>
      <c r="I892" s="1" t="s">
        <v>8524</v>
      </c>
      <c r="J892" s="1" t="s">
        <v>5900</v>
      </c>
    </row>
    <row r="893">
      <c r="A893" s="1" t="s">
        <v>12215</v>
      </c>
      <c r="B893" s="1" t="s">
        <v>12216</v>
      </c>
      <c r="C893" s="1" t="s">
        <v>4293</v>
      </c>
      <c r="D893" s="1" t="s">
        <v>12218</v>
      </c>
      <c r="E893" s="1" t="s">
        <v>12219</v>
      </c>
      <c r="F893" s="1" t="s">
        <v>78</v>
      </c>
      <c r="G893" s="4"/>
      <c r="H893" s="3">
        <v>45735.0</v>
      </c>
      <c r="I893" s="1" t="s">
        <v>6109</v>
      </c>
      <c r="J893" s="1" t="s">
        <v>5900</v>
      </c>
    </row>
    <row r="894">
      <c r="A894" s="1" t="s">
        <v>12222</v>
      </c>
      <c r="B894" s="1" t="s">
        <v>12224</v>
      </c>
      <c r="C894" s="1" t="s">
        <v>4293</v>
      </c>
      <c r="D894" s="1" t="s">
        <v>12227</v>
      </c>
      <c r="E894" s="1" t="s">
        <v>12228</v>
      </c>
      <c r="F894" s="1" t="s">
        <v>78</v>
      </c>
      <c r="G894" s="1"/>
      <c r="H894" s="3">
        <v>44532.0</v>
      </c>
      <c r="I894" s="1" t="s">
        <v>5999</v>
      </c>
      <c r="J894" s="1" t="s">
        <v>5900</v>
      </c>
    </row>
    <row r="895">
      <c r="A895" s="1" t="s">
        <v>12231</v>
      </c>
      <c r="B895" s="1" t="s">
        <v>12233</v>
      </c>
      <c r="C895" s="1" t="s">
        <v>4293</v>
      </c>
      <c r="D895" s="1" t="s">
        <v>12235</v>
      </c>
      <c r="E895" s="1" t="s">
        <v>12236</v>
      </c>
      <c r="F895" s="1" t="s">
        <v>78</v>
      </c>
      <c r="G895" s="4"/>
      <c r="H895" s="3">
        <v>45985.0</v>
      </c>
      <c r="I895" s="1" t="s">
        <v>6851</v>
      </c>
      <c r="J895" s="1" t="s">
        <v>5900</v>
      </c>
    </row>
    <row r="896">
      <c r="A896" s="1" t="s">
        <v>12242</v>
      </c>
      <c r="B896" s="1" t="s">
        <v>12243</v>
      </c>
      <c r="C896" s="1" t="s">
        <v>4293</v>
      </c>
      <c r="D896" s="1" t="s">
        <v>12245</v>
      </c>
      <c r="E896" s="1" t="s">
        <v>12246</v>
      </c>
      <c r="F896" s="1" t="s">
        <v>78</v>
      </c>
      <c r="G896" s="4"/>
      <c r="H896" s="3">
        <v>44832.0</v>
      </c>
      <c r="I896" s="1" t="s">
        <v>7261</v>
      </c>
      <c r="J896" s="1" t="s">
        <v>5900</v>
      </c>
    </row>
    <row r="897">
      <c r="A897" s="1" t="s">
        <v>12259</v>
      </c>
      <c r="B897" s="1" t="s">
        <v>12262</v>
      </c>
      <c r="C897" s="1" t="s">
        <v>4293</v>
      </c>
      <c r="D897" s="1" t="s">
        <v>12265</v>
      </c>
      <c r="E897" s="1" t="s">
        <v>12267</v>
      </c>
      <c r="F897" s="1" t="s">
        <v>78</v>
      </c>
      <c r="G897" s="4"/>
      <c r="H897" s="3">
        <v>42893.0</v>
      </c>
      <c r="I897" s="1" t="s">
        <v>5899</v>
      </c>
      <c r="J897" s="1" t="s">
        <v>5900</v>
      </c>
    </row>
    <row r="898">
      <c r="A898" s="1" t="s">
        <v>12270</v>
      </c>
      <c r="B898" s="1" t="s">
        <v>12272</v>
      </c>
      <c r="C898" s="1" t="s">
        <v>4293</v>
      </c>
      <c r="D898" s="1" t="s">
        <v>12273</v>
      </c>
      <c r="E898" s="1" t="s">
        <v>12275</v>
      </c>
      <c r="F898" s="1" t="s">
        <v>84</v>
      </c>
      <c r="G898" s="1" t="s">
        <v>253</v>
      </c>
      <c r="H898" s="1" t="s">
        <v>363</v>
      </c>
      <c r="I898" s="1" t="s">
        <v>12276</v>
      </c>
      <c r="J898" s="1" t="s">
        <v>5097</v>
      </c>
    </row>
    <row r="899">
      <c r="A899" s="1" t="s">
        <v>12278</v>
      </c>
      <c r="B899" s="1" t="s">
        <v>10646</v>
      </c>
      <c r="C899" s="1" t="s">
        <v>4293</v>
      </c>
      <c r="D899" s="1" t="s">
        <v>12281</v>
      </c>
      <c r="E899" s="1" t="s">
        <v>12283</v>
      </c>
      <c r="F899" s="1" t="s">
        <v>78</v>
      </c>
      <c r="G899" s="4"/>
      <c r="H899" s="3">
        <v>45887.0</v>
      </c>
      <c r="I899" s="1" t="s">
        <v>6057</v>
      </c>
      <c r="J899" s="1" t="s">
        <v>5900</v>
      </c>
    </row>
    <row r="900">
      <c r="A900" s="1" t="s">
        <v>12289</v>
      </c>
      <c r="B900" s="1" t="s">
        <v>12290</v>
      </c>
      <c r="C900" s="1" t="s">
        <v>4293</v>
      </c>
      <c r="D900" s="1" t="s">
        <v>12291</v>
      </c>
      <c r="E900" s="1" t="s">
        <v>12292</v>
      </c>
      <c r="F900" s="1" t="s">
        <v>78</v>
      </c>
      <c r="G900" s="4"/>
      <c r="H900" s="3">
        <v>44657.0</v>
      </c>
      <c r="I900" s="1" t="s">
        <v>6109</v>
      </c>
      <c r="J900" s="1" t="s">
        <v>5900</v>
      </c>
    </row>
    <row r="901">
      <c r="A901" s="1" t="s">
        <v>12293</v>
      </c>
      <c r="B901" s="1" t="s">
        <v>4659</v>
      </c>
      <c r="C901" s="1" t="s">
        <v>4293</v>
      </c>
      <c r="D901" s="1" t="s">
        <v>12295</v>
      </c>
      <c r="E901" s="1" t="s">
        <v>12297</v>
      </c>
      <c r="F901" s="1" t="s">
        <v>78</v>
      </c>
      <c r="G901" s="4"/>
      <c r="H901" s="3">
        <v>45106.0</v>
      </c>
      <c r="I901" s="1" t="s">
        <v>5999</v>
      </c>
      <c r="J901" s="1" t="s">
        <v>5900</v>
      </c>
    </row>
    <row r="902">
      <c r="A902" s="1" t="s">
        <v>12298</v>
      </c>
      <c r="B902" s="1" t="s">
        <v>12300</v>
      </c>
      <c r="C902" s="1" t="s">
        <v>4293</v>
      </c>
      <c r="D902" s="1" t="s">
        <v>12302</v>
      </c>
      <c r="E902" s="1" t="s">
        <v>12305</v>
      </c>
      <c r="F902" s="1" t="s">
        <v>78</v>
      </c>
      <c r="G902" s="4"/>
      <c r="H902" s="3">
        <v>45999.0</v>
      </c>
      <c r="I902" s="1" t="s">
        <v>5899</v>
      </c>
      <c r="J902" s="1" t="s">
        <v>5900</v>
      </c>
    </row>
    <row r="903">
      <c r="A903" s="1" t="s">
        <v>12307</v>
      </c>
      <c r="B903" s="1" t="s">
        <v>12309</v>
      </c>
      <c r="C903" s="1" t="s">
        <v>4293</v>
      </c>
      <c r="D903" s="1" t="s">
        <v>9719</v>
      </c>
      <c r="E903" s="1" t="s">
        <v>12312</v>
      </c>
      <c r="F903" s="1" t="s">
        <v>78</v>
      </c>
      <c r="G903" s="4"/>
      <c r="H903" s="3">
        <v>45054.0</v>
      </c>
      <c r="I903" s="1" t="s">
        <v>5999</v>
      </c>
      <c r="J903" s="1" t="s">
        <v>5900</v>
      </c>
    </row>
    <row r="904">
      <c r="A904" s="1" t="s">
        <v>12314</v>
      </c>
      <c r="B904" s="1" t="s">
        <v>5665</v>
      </c>
      <c r="C904" s="1" t="s">
        <v>4293</v>
      </c>
      <c r="D904" s="1" t="s">
        <v>12316</v>
      </c>
      <c r="E904" s="1" t="s">
        <v>12317</v>
      </c>
      <c r="F904" s="1" t="s">
        <v>78</v>
      </c>
      <c r="G904" s="4"/>
      <c r="H904" s="3">
        <v>44013.0</v>
      </c>
      <c r="I904" s="1" t="s">
        <v>5999</v>
      </c>
      <c r="J904" s="1" t="s">
        <v>5900</v>
      </c>
    </row>
    <row r="905">
      <c r="A905" s="1" t="s">
        <v>12322</v>
      </c>
      <c r="B905" s="1" t="s">
        <v>10288</v>
      </c>
      <c r="C905" s="1" t="s">
        <v>4293</v>
      </c>
      <c r="D905" s="1" t="s">
        <v>12326</v>
      </c>
      <c r="E905" s="1" t="s">
        <v>12327</v>
      </c>
      <c r="F905" s="1" t="s">
        <v>78</v>
      </c>
      <c r="G905" s="4"/>
      <c r="H905" s="3">
        <v>45840.0</v>
      </c>
      <c r="I905" s="1" t="s">
        <v>5899</v>
      </c>
      <c r="J905" s="1" t="s">
        <v>5900</v>
      </c>
    </row>
    <row r="906">
      <c r="A906" s="1" t="s">
        <v>12336</v>
      </c>
      <c r="B906" s="1" t="s">
        <v>12337</v>
      </c>
      <c r="C906" s="1" t="s">
        <v>4293</v>
      </c>
      <c r="D906" s="1" t="s">
        <v>12338</v>
      </c>
      <c r="E906" s="1" t="s">
        <v>12340</v>
      </c>
      <c r="F906" s="1" t="s">
        <v>78</v>
      </c>
      <c r="G906" s="4"/>
      <c r="H906" s="3">
        <v>43119.0</v>
      </c>
      <c r="I906" s="1" t="s">
        <v>6740</v>
      </c>
      <c r="J906" s="1" t="s">
        <v>5900</v>
      </c>
    </row>
    <row r="907">
      <c r="A907" s="1" t="s">
        <v>12342</v>
      </c>
      <c r="B907" s="1" t="s">
        <v>12344</v>
      </c>
      <c r="C907" s="1" t="s">
        <v>4293</v>
      </c>
      <c r="D907" s="1" t="s">
        <v>12346</v>
      </c>
      <c r="E907" s="1" t="s">
        <v>12347</v>
      </c>
      <c r="F907" s="1" t="s">
        <v>78</v>
      </c>
      <c r="G907" s="4"/>
      <c r="H907" s="3">
        <v>44012.0</v>
      </c>
      <c r="I907" s="1" t="s">
        <v>6740</v>
      </c>
      <c r="J907" s="1" t="s">
        <v>5900</v>
      </c>
    </row>
    <row r="908">
      <c r="A908" s="1" t="s">
        <v>12348</v>
      </c>
      <c r="B908" s="1" t="s">
        <v>12349</v>
      </c>
      <c r="C908" s="1" t="s">
        <v>4293</v>
      </c>
      <c r="D908" s="1" t="s">
        <v>12350</v>
      </c>
      <c r="E908" s="1" t="s">
        <v>12352</v>
      </c>
      <c r="F908" s="1" t="s">
        <v>78</v>
      </c>
      <c r="G908" s="4"/>
      <c r="H908" s="3">
        <v>44223.0</v>
      </c>
      <c r="I908" s="1" t="s">
        <v>6740</v>
      </c>
      <c r="J908" s="1" t="s">
        <v>5900</v>
      </c>
    </row>
    <row r="909">
      <c r="A909" s="1" t="s">
        <v>12353</v>
      </c>
      <c r="B909" s="1" t="s">
        <v>12355</v>
      </c>
      <c r="C909" s="1" t="s">
        <v>4293</v>
      </c>
      <c r="D909" s="1" t="s">
        <v>12356</v>
      </c>
      <c r="E909" s="1" t="s">
        <v>12357</v>
      </c>
      <c r="F909" s="1" t="s">
        <v>78</v>
      </c>
      <c r="G909" s="4"/>
      <c r="H909" s="3">
        <v>44733.0</v>
      </c>
      <c r="I909" s="1" t="s">
        <v>5999</v>
      </c>
      <c r="J909" s="1" t="s">
        <v>5900</v>
      </c>
    </row>
    <row r="910">
      <c r="A910" s="1" t="s">
        <v>12358</v>
      </c>
      <c r="B910" s="1" t="s">
        <v>12360</v>
      </c>
      <c r="C910" s="1" t="s">
        <v>4293</v>
      </c>
      <c r="D910" s="1" t="s">
        <v>12361</v>
      </c>
      <c r="E910" s="1" t="s">
        <v>12362</v>
      </c>
      <c r="F910" s="1" t="s">
        <v>78</v>
      </c>
      <c r="G910" s="4"/>
      <c r="H910" s="3">
        <v>45379.0</v>
      </c>
      <c r="I910" s="1" t="s">
        <v>6740</v>
      </c>
      <c r="J910" s="1" t="s">
        <v>5900</v>
      </c>
    </row>
    <row r="911">
      <c r="A911" s="1" t="s">
        <v>12365</v>
      </c>
      <c r="B911" s="1" t="s">
        <v>12366</v>
      </c>
      <c r="C911" s="1" t="s">
        <v>4293</v>
      </c>
      <c r="D911" s="1" t="s">
        <v>12368</v>
      </c>
      <c r="E911" s="1" t="s">
        <v>12369</v>
      </c>
      <c r="F911" s="1" t="s">
        <v>78</v>
      </c>
      <c r="G911" s="4"/>
      <c r="H911" s="3">
        <v>44587.0</v>
      </c>
      <c r="I911" s="1" t="s">
        <v>6697</v>
      </c>
      <c r="J911" s="1" t="s">
        <v>5900</v>
      </c>
    </row>
    <row r="912">
      <c r="A912" s="1" t="s">
        <v>12370</v>
      </c>
      <c r="B912" s="1" t="s">
        <v>11360</v>
      </c>
      <c r="C912" s="1" t="s">
        <v>4293</v>
      </c>
      <c r="D912" s="1" t="s">
        <v>12371</v>
      </c>
      <c r="E912" s="1" t="s">
        <v>12372</v>
      </c>
      <c r="F912" s="1" t="s">
        <v>78</v>
      </c>
      <c r="G912" s="4"/>
      <c r="H912" s="3">
        <v>44259.0</v>
      </c>
      <c r="I912" s="1" t="s">
        <v>5899</v>
      </c>
      <c r="J912" s="1" t="s">
        <v>5900</v>
      </c>
    </row>
    <row r="913">
      <c r="A913" s="1" t="s">
        <v>12374</v>
      </c>
      <c r="B913" s="1" t="s">
        <v>12376</v>
      </c>
      <c r="C913" s="1" t="s">
        <v>4293</v>
      </c>
      <c r="D913" s="1" t="s">
        <v>12378</v>
      </c>
      <c r="E913" s="1" t="s">
        <v>12379</v>
      </c>
      <c r="F913" s="1" t="s">
        <v>78</v>
      </c>
      <c r="G913" s="4"/>
      <c r="H913" s="3">
        <v>45267.0</v>
      </c>
      <c r="I913" s="1" t="s">
        <v>6697</v>
      </c>
      <c r="J913" s="1" t="s">
        <v>5900</v>
      </c>
    </row>
    <row r="914">
      <c r="A914" s="1" t="s">
        <v>12381</v>
      </c>
      <c r="B914" s="1" t="s">
        <v>12382</v>
      </c>
      <c r="C914" s="1" t="s">
        <v>4293</v>
      </c>
      <c r="D914" s="1" t="s">
        <v>12383</v>
      </c>
      <c r="E914" s="1" t="s">
        <v>12384</v>
      </c>
      <c r="F914" s="1" t="s">
        <v>78</v>
      </c>
      <c r="G914" s="4"/>
      <c r="H914" s="3">
        <v>44482.0</v>
      </c>
      <c r="I914" s="1" t="s">
        <v>6851</v>
      </c>
      <c r="J914" s="1" t="s">
        <v>5900</v>
      </c>
    </row>
    <row r="915">
      <c r="A915" s="1" t="s">
        <v>12386</v>
      </c>
      <c r="B915" s="1" t="s">
        <v>7530</v>
      </c>
      <c r="C915" s="1" t="s">
        <v>4293</v>
      </c>
      <c r="D915" s="1" t="s">
        <v>12388</v>
      </c>
      <c r="E915" s="1" t="s">
        <v>12390</v>
      </c>
      <c r="F915" s="1" t="s">
        <v>78</v>
      </c>
      <c r="G915" s="4"/>
      <c r="H915" s="3">
        <v>44433.0</v>
      </c>
      <c r="I915" s="1" t="s">
        <v>6851</v>
      </c>
      <c r="J915" s="1" t="s">
        <v>5900</v>
      </c>
    </row>
    <row r="916">
      <c r="A916" s="1" t="s">
        <v>12391</v>
      </c>
      <c r="B916" s="1" t="s">
        <v>9067</v>
      </c>
      <c r="C916" s="1" t="s">
        <v>4293</v>
      </c>
      <c r="D916" s="1" t="s">
        <v>3559</v>
      </c>
      <c r="E916" s="1" t="s">
        <v>12392</v>
      </c>
      <c r="F916" s="1" t="s">
        <v>78</v>
      </c>
      <c r="G916" s="4"/>
      <c r="H916" s="3">
        <v>45105.0</v>
      </c>
      <c r="I916" s="1" t="s">
        <v>5899</v>
      </c>
      <c r="J916" s="1" t="s">
        <v>5900</v>
      </c>
    </row>
    <row r="917">
      <c r="A917" s="1" t="s">
        <v>12395</v>
      </c>
      <c r="B917" s="1" t="s">
        <v>12396</v>
      </c>
      <c r="C917" s="1" t="s">
        <v>4293</v>
      </c>
      <c r="D917" s="1" t="s">
        <v>12397</v>
      </c>
      <c r="E917" s="1" t="s">
        <v>12398</v>
      </c>
      <c r="F917" s="1" t="s">
        <v>78</v>
      </c>
      <c r="G917" s="4"/>
      <c r="H917" s="3">
        <v>44271.0</v>
      </c>
      <c r="I917" s="1" t="s">
        <v>5999</v>
      </c>
      <c r="J917" s="1" t="s">
        <v>5900</v>
      </c>
    </row>
    <row r="918">
      <c r="A918" s="1" t="s">
        <v>12400</v>
      </c>
      <c r="B918" s="1" t="s">
        <v>6949</v>
      </c>
      <c r="C918" s="1" t="s">
        <v>4293</v>
      </c>
      <c r="D918" s="1" t="s">
        <v>12402</v>
      </c>
      <c r="E918" s="1" t="s">
        <v>12403</v>
      </c>
      <c r="F918" s="1" t="s">
        <v>78</v>
      </c>
      <c r="G918" s="4"/>
      <c r="H918" s="3">
        <v>44249.0</v>
      </c>
      <c r="I918" s="1" t="s">
        <v>10294</v>
      </c>
      <c r="J918" s="1" t="s">
        <v>5900</v>
      </c>
    </row>
    <row r="919">
      <c r="A919" s="1" t="s">
        <v>12404</v>
      </c>
      <c r="B919" s="1" t="s">
        <v>12405</v>
      </c>
      <c r="C919" s="1" t="s">
        <v>4293</v>
      </c>
      <c r="D919" s="1" t="s">
        <v>12407</v>
      </c>
      <c r="E919" s="1" t="s">
        <v>12408</v>
      </c>
      <c r="F919" s="1" t="s">
        <v>78</v>
      </c>
      <c r="G919" s="4"/>
      <c r="H919" s="3">
        <v>45257.0</v>
      </c>
      <c r="I919" s="1" t="s">
        <v>5899</v>
      </c>
      <c r="J919" s="1" t="s">
        <v>5900</v>
      </c>
    </row>
    <row r="920">
      <c r="A920" s="1" t="s">
        <v>12410</v>
      </c>
      <c r="B920" s="1" t="s">
        <v>12411</v>
      </c>
      <c r="C920" s="1" t="s">
        <v>4293</v>
      </c>
      <c r="D920" s="1" t="s">
        <v>12412</v>
      </c>
      <c r="E920" s="1" t="s">
        <v>12413</v>
      </c>
      <c r="F920" s="1" t="s">
        <v>78</v>
      </c>
      <c r="G920" s="4"/>
      <c r="H920" s="3">
        <v>46027.0</v>
      </c>
      <c r="I920" s="1" t="s">
        <v>5899</v>
      </c>
      <c r="J920" s="1" t="s">
        <v>5900</v>
      </c>
    </row>
    <row r="921">
      <c r="A921" s="1" t="s">
        <v>12417</v>
      </c>
      <c r="B921" s="1" t="s">
        <v>12418</v>
      </c>
      <c r="C921" s="1" t="s">
        <v>4293</v>
      </c>
      <c r="D921" s="1" t="s">
        <v>12419</v>
      </c>
      <c r="E921" s="1" t="s">
        <v>12420</v>
      </c>
      <c r="F921" s="1" t="s">
        <v>78</v>
      </c>
      <c r="G921" s="4"/>
      <c r="H921" s="3">
        <v>45363.0</v>
      </c>
      <c r="I921" s="1" t="s">
        <v>11307</v>
      </c>
      <c r="J921" s="1" t="s">
        <v>5900</v>
      </c>
    </row>
    <row r="922">
      <c r="A922" s="1" t="s">
        <v>12422</v>
      </c>
      <c r="B922" s="1" t="s">
        <v>12423</v>
      </c>
      <c r="C922" s="1" t="s">
        <v>4293</v>
      </c>
      <c r="D922" s="1" t="s">
        <v>12425</v>
      </c>
      <c r="E922" s="1" t="s">
        <v>12426</v>
      </c>
      <c r="F922" s="1" t="s">
        <v>78</v>
      </c>
      <c r="G922" s="4"/>
      <c r="H922" s="3">
        <v>45016.0</v>
      </c>
      <c r="I922" s="1" t="s">
        <v>11307</v>
      </c>
      <c r="J922" s="1" t="s">
        <v>5900</v>
      </c>
    </row>
    <row r="923">
      <c r="A923" s="1" t="s">
        <v>12427</v>
      </c>
      <c r="B923" s="1" t="s">
        <v>12428</v>
      </c>
      <c r="C923" s="1" t="s">
        <v>4293</v>
      </c>
      <c r="D923" s="1" t="s">
        <v>12429</v>
      </c>
      <c r="E923" s="1" t="s">
        <v>12430</v>
      </c>
      <c r="F923" s="1" t="s">
        <v>78</v>
      </c>
      <c r="G923" s="4"/>
      <c r="H923" s="3">
        <v>44957.0</v>
      </c>
      <c r="I923" s="1" t="s">
        <v>5999</v>
      </c>
      <c r="J923" s="1" t="s">
        <v>5900</v>
      </c>
    </row>
    <row r="924">
      <c r="A924" s="1" t="s">
        <v>12432</v>
      </c>
      <c r="B924" s="1" t="s">
        <v>9675</v>
      </c>
      <c r="C924" s="1" t="s">
        <v>4293</v>
      </c>
      <c r="D924" s="1" t="s">
        <v>12434</v>
      </c>
      <c r="E924" s="1" t="s">
        <v>12435</v>
      </c>
      <c r="F924" s="1" t="s">
        <v>78</v>
      </c>
      <c r="G924" s="4"/>
      <c r="H924" s="3">
        <v>45778.0</v>
      </c>
      <c r="I924" s="1" t="s">
        <v>11307</v>
      </c>
      <c r="J924" s="1" t="s">
        <v>5900</v>
      </c>
    </row>
    <row r="925">
      <c r="A925" s="1" t="s">
        <v>12436</v>
      </c>
      <c r="B925" s="1" t="s">
        <v>4577</v>
      </c>
      <c r="C925" s="1" t="s">
        <v>4293</v>
      </c>
      <c r="D925" s="1" t="s">
        <v>12437</v>
      </c>
      <c r="E925" s="1" t="s">
        <v>12438</v>
      </c>
      <c r="F925" s="1" t="s">
        <v>78</v>
      </c>
      <c r="G925" s="4"/>
      <c r="H925" s="3">
        <v>44484.0</v>
      </c>
      <c r="I925" s="1" t="s">
        <v>5899</v>
      </c>
      <c r="J925" s="1" t="s">
        <v>5900</v>
      </c>
    </row>
    <row r="926">
      <c r="A926" s="1" t="s">
        <v>12440</v>
      </c>
      <c r="B926" s="1" t="s">
        <v>12441</v>
      </c>
      <c r="C926" s="1" t="s">
        <v>4293</v>
      </c>
      <c r="D926" s="1" t="s">
        <v>12443</v>
      </c>
      <c r="E926" s="1" t="s">
        <v>12444</v>
      </c>
      <c r="F926" s="1" t="s">
        <v>78</v>
      </c>
      <c r="G926" s="4"/>
      <c r="H926" s="3">
        <v>44273.0</v>
      </c>
      <c r="I926" s="1" t="s">
        <v>10141</v>
      </c>
      <c r="J926" s="1" t="s">
        <v>5900</v>
      </c>
    </row>
    <row r="927">
      <c r="A927" s="1" t="s">
        <v>12446</v>
      </c>
      <c r="B927" s="1" t="s">
        <v>12260</v>
      </c>
      <c r="C927" s="1" t="s">
        <v>4293</v>
      </c>
      <c r="D927" s="1" t="s">
        <v>12447</v>
      </c>
      <c r="E927" s="1" t="s">
        <v>12448</v>
      </c>
      <c r="F927" s="1" t="s">
        <v>78</v>
      </c>
      <c r="G927" s="4"/>
      <c r="H927" s="3">
        <v>44595.0</v>
      </c>
      <c r="I927" s="1" t="s">
        <v>10141</v>
      </c>
      <c r="J927" s="1" t="s">
        <v>5900</v>
      </c>
    </row>
    <row r="928">
      <c r="A928" s="1" t="s">
        <v>12450</v>
      </c>
      <c r="B928" s="1" t="s">
        <v>8209</v>
      </c>
      <c r="C928" s="1" t="s">
        <v>4293</v>
      </c>
      <c r="D928" s="1" t="s">
        <v>12451</v>
      </c>
      <c r="E928" s="1" t="s">
        <v>12453</v>
      </c>
      <c r="F928" s="1" t="s">
        <v>78</v>
      </c>
      <c r="G928" s="4"/>
      <c r="H928" s="3">
        <v>45299.0</v>
      </c>
      <c r="I928" s="1" t="s">
        <v>7631</v>
      </c>
      <c r="J928" s="1" t="s">
        <v>5900</v>
      </c>
    </row>
    <row r="929">
      <c r="A929" s="1" t="s">
        <v>12454</v>
      </c>
      <c r="B929" s="1" t="s">
        <v>12455</v>
      </c>
      <c r="C929" s="1" t="s">
        <v>4293</v>
      </c>
      <c r="D929" s="1" t="s">
        <v>12456</v>
      </c>
      <c r="E929" s="1" t="s">
        <v>12457</v>
      </c>
      <c r="F929" s="1" t="s">
        <v>78</v>
      </c>
      <c r="G929" s="4"/>
      <c r="H929" s="3">
        <v>43978.0</v>
      </c>
      <c r="I929" s="1" t="s">
        <v>7517</v>
      </c>
      <c r="J929" s="1" t="s">
        <v>5900</v>
      </c>
    </row>
    <row r="930">
      <c r="A930" s="1" t="s">
        <v>12459</v>
      </c>
      <c r="B930" s="1" t="s">
        <v>12461</v>
      </c>
      <c r="C930" s="1" t="s">
        <v>4293</v>
      </c>
      <c r="D930" s="1" t="s">
        <v>12462</v>
      </c>
      <c r="E930" s="1" t="s">
        <v>12463</v>
      </c>
      <c r="F930" s="1" t="s">
        <v>78</v>
      </c>
      <c r="G930" s="4"/>
      <c r="H930" s="3">
        <v>45896.0</v>
      </c>
      <c r="I930" s="1" t="s">
        <v>11041</v>
      </c>
      <c r="J930" s="1" t="s">
        <v>5900</v>
      </c>
    </row>
    <row r="931">
      <c r="A931" s="1" t="s">
        <v>12464</v>
      </c>
      <c r="B931" s="1" t="s">
        <v>12465</v>
      </c>
      <c r="C931" s="1" t="s">
        <v>4293</v>
      </c>
      <c r="D931" s="1" t="s">
        <v>12466</v>
      </c>
      <c r="E931" s="1" t="s">
        <v>12467</v>
      </c>
      <c r="F931" s="1" t="s">
        <v>78</v>
      </c>
      <c r="G931" s="4"/>
      <c r="H931" s="3">
        <v>45700.0</v>
      </c>
      <c r="I931" s="1" t="s">
        <v>5999</v>
      </c>
      <c r="J931" s="1" t="s">
        <v>5900</v>
      </c>
    </row>
    <row r="932">
      <c r="A932" s="1" t="s">
        <v>12469</v>
      </c>
      <c r="B932" s="1" t="s">
        <v>9535</v>
      </c>
      <c r="C932" s="1" t="s">
        <v>4293</v>
      </c>
      <c r="D932" s="1" t="s">
        <v>12472</v>
      </c>
      <c r="E932" s="1" t="s">
        <v>12473</v>
      </c>
      <c r="F932" s="1" t="s">
        <v>78</v>
      </c>
      <c r="G932" s="4"/>
      <c r="H932" s="3">
        <v>46056.0</v>
      </c>
      <c r="I932" s="1" t="s">
        <v>5999</v>
      </c>
      <c r="J932" s="1" t="s">
        <v>5900</v>
      </c>
    </row>
    <row r="933">
      <c r="A933" s="1" t="s">
        <v>12474</v>
      </c>
      <c r="B933" s="1" t="s">
        <v>12476</v>
      </c>
      <c r="C933" s="1" t="s">
        <v>4293</v>
      </c>
      <c r="D933" s="1" t="s">
        <v>12477</v>
      </c>
      <c r="E933" s="1" t="s">
        <v>12478</v>
      </c>
      <c r="F933" s="1" t="s">
        <v>78</v>
      </c>
      <c r="G933" s="4"/>
      <c r="H933" s="3">
        <v>44295.0</v>
      </c>
      <c r="I933" s="1" t="s">
        <v>10352</v>
      </c>
      <c r="J933" s="1" t="s">
        <v>5900</v>
      </c>
    </row>
    <row r="934">
      <c r="A934" s="1" t="s">
        <v>12480</v>
      </c>
      <c r="B934" s="1" t="s">
        <v>9994</v>
      </c>
      <c r="C934" s="1" t="s">
        <v>4293</v>
      </c>
      <c r="D934" s="1" t="s">
        <v>12481</v>
      </c>
      <c r="E934" s="1" t="s">
        <v>12482</v>
      </c>
      <c r="F934" s="1" t="s">
        <v>78</v>
      </c>
      <c r="G934" s="4"/>
      <c r="H934" s="3">
        <v>44859.0</v>
      </c>
      <c r="I934" s="1" t="s">
        <v>5899</v>
      </c>
      <c r="J934" s="1" t="s">
        <v>5900</v>
      </c>
    </row>
    <row r="935">
      <c r="A935" s="1" t="s">
        <v>12483</v>
      </c>
      <c r="B935" s="1" t="s">
        <v>12485</v>
      </c>
      <c r="C935" s="1" t="s">
        <v>4293</v>
      </c>
      <c r="D935" s="1" t="s">
        <v>12487</v>
      </c>
      <c r="E935" s="1" t="s">
        <v>12489</v>
      </c>
      <c r="F935" s="1" t="s">
        <v>78</v>
      </c>
      <c r="G935" s="4"/>
      <c r="H935" s="3">
        <v>44463.0</v>
      </c>
      <c r="I935" s="1" t="s">
        <v>5899</v>
      </c>
      <c r="J935" s="1" t="s">
        <v>5900</v>
      </c>
    </row>
    <row r="936">
      <c r="A936" s="1" t="s">
        <v>12492</v>
      </c>
      <c r="B936" s="1" t="s">
        <v>10265</v>
      </c>
      <c r="C936" s="1" t="s">
        <v>4293</v>
      </c>
      <c r="D936" s="1" t="s">
        <v>12493</v>
      </c>
      <c r="E936" s="1" t="s">
        <v>12494</v>
      </c>
      <c r="F936" s="1" t="s">
        <v>78</v>
      </c>
      <c r="G936" s="4"/>
      <c r="H936" s="3">
        <v>45295.0</v>
      </c>
      <c r="I936" s="1" t="s">
        <v>5899</v>
      </c>
      <c r="J936" s="1" t="s">
        <v>5900</v>
      </c>
    </row>
    <row r="937">
      <c r="A937" s="1" t="s">
        <v>12496</v>
      </c>
      <c r="B937" s="1" t="s">
        <v>10483</v>
      </c>
      <c r="C937" s="1" t="s">
        <v>4293</v>
      </c>
      <c r="D937" s="1" t="s">
        <v>12498</v>
      </c>
      <c r="E937" s="1" t="s">
        <v>12499</v>
      </c>
      <c r="F937" s="1" t="s">
        <v>78</v>
      </c>
      <c r="G937" s="4"/>
      <c r="H937" s="3">
        <v>45127.0</v>
      </c>
      <c r="I937" s="1" t="s">
        <v>5964</v>
      </c>
      <c r="J937" s="1" t="s">
        <v>5900</v>
      </c>
    </row>
    <row r="938">
      <c r="A938" s="1" t="s">
        <v>12500</v>
      </c>
      <c r="B938" s="1" t="s">
        <v>12501</v>
      </c>
      <c r="C938" s="1" t="s">
        <v>4293</v>
      </c>
      <c r="D938" s="1" t="s">
        <v>12502</v>
      </c>
      <c r="E938" s="1" t="s">
        <v>12503</v>
      </c>
      <c r="F938" s="1" t="s">
        <v>78</v>
      </c>
      <c r="G938" s="4"/>
      <c r="H938" s="3">
        <v>45735.0</v>
      </c>
      <c r="I938" s="1" t="s">
        <v>5999</v>
      </c>
      <c r="J938" s="1" t="s">
        <v>5900</v>
      </c>
    </row>
    <row r="939">
      <c r="A939" s="1" t="s">
        <v>12506</v>
      </c>
      <c r="B939" s="1" t="s">
        <v>12507</v>
      </c>
      <c r="C939" s="1" t="s">
        <v>4293</v>
      </c>
      <c r="D939" s="1" t="s">
        <v>12508</v>
      </c>
      <c r="E939" s="1" t="s">
        <v>12510</v>
      </c>
      <c r="F939" s="1" t="s">
        <v>78</v>
      </c>
      <c r="G939" s="4"/>
      <c r="H939" s="3">
        <v>44197.0</v>
      </c>
      <c r="I939" s="1" t="s">
        <v>7694</v>
      </c>
      <c r="J939" s="1" t="s">
        <v>5900</v>
      </c>
    </row>
    <row r="940">
      <c r="A940" s="1" t="s">
        <v>12511</v>
      </c>
      <c r="B940" s="1" t="s">
        <v>12512</v>
      </c>
      <c r="C940" s="1" t="s">
        <v>4293</v>
      </c>
      <c r="D940" s="1" t="s">
        <v>12513</v>
      </c>
      <c r="E940" s="1" t="s">
        <v>12514</v>
      </c>
      <c r="F940" s="1" t="s">
        <v>78</v>
      </c>
      <c r="G940" s="4"/>
      <c r="H940" s="3">
        <v>45909.0</v>
      </c>
      <c r="I940" s="1" t="s">
        <v>7694</v>
      </c>
      <c r="J940" s="1" t="s">
        <v>5900</v>
      </c>
    </row>
    <row r="941">
      <c r="A941" s="1" t="s">
        <v>12516</v>
      </c>
      <c r="B941" s="1" t="s">
        <v>12517</v>
      </c>
      <c r="C941" s="1" t="s">
        <v>4293</v>
      </c>
      <c r="D941" s="1" t="s">
        <v>12519</v>
      </c>
      <c r="E941" s="1" t="s">
        <v>12520</v>
      </c>
      <c r="F941" s="1" t="s">
        <v>78</v>
      </c>
      <c r="G941" s="4"/>
      <c r="H941" s="3">
        <v>44620.0</v>
      </c>
      <c r="I941" s="1" t="s">
        <v>6861</v>
      </c>
      <c r="J941" s="1" t="s">
        <v>5900</v>
      </c>
    </row>
    <row r="942">
      <c r="A942" s="1" t="s">
        <v>12521</v>
      </c>
      <c r="B942" s="1" t="s">
        <v>12522</v>
      </c>
      <c r="C942" s="1" t="s">
        <v>4293</v>
      </c>
      <c r="D942" s="1" t="s">
        <v>12523</v>
      </c>
      <c r="E942" s="1" t="s">
        <v>12524</v>
      </c>
      <c r="F942" s="1" t="s">
        <v>78</v>
      </c>
      <c r="G942" s="4"/>
      <c r="H942" s="3">
        <v>44968.0</v>
      </c>
      <c r="I942" s="1" t="s">
        <v>5899</v>
      </c>
      <c r="J942" s="1" t="s">
        <v>5900</v>
      </c>
    </row>
    <row r="943">
      <c r="A943" s="1" t="s">
        <v>12529</v>
      </c>
      <c r="B943" s="1" t="s">
        <v>12530</v>
      </c>
      <c r="C943" s="1" t="s">
        <v>4293</v>
      </c>
      <c r="D943" s="1" t="s">
        <v>12531</v>
      </c>
      <c r="E943" s="1" t="s">
        <v>12532</v>
      </c>
      <c r="F943" s="1" t="s">
        <v>78</v>
      </c>
      <c r="G943" s="4"/>
      <c r="H943" s="3">
        <v>44075.0</v>
      </c>
      <c r="I943" s="1" t="s">
        <v>5899</v>
      </c>
      <c r="J943" s="1" t="s">
        <v>5900</v>
      </c>
    </row>
    <row r="944">
      <c r="A944" s="1" t="s">
        <v>12533</v>
      </c>
      <c r="B944" s="1" t="s">
        <v>12341</v>
      </c>
      <c r="C944" s="1" t="s">
        <v>4293</v>
      </c>
      <c r="D944" s="1" t="s">
        <v>12534</v>
      </c>
      <c r="E944" s="1" t="s">
        <v>12536</v>
      </c>
      <c r="F944" s="1" t="s">
        <v>78</v>
      </c>
      <c r="G944" s="4"/>
      <c r="H944" s="3">
        <v>45735.0</v>
      </c>
      <c r="I944" s="1" t="s">
        <v>5999</v>
      </c>
      <c r="J944" s="1" t="s">
        <v>5900</v>
      </c>
    </row>
    <row r="945">
      <c r="A945" s="1" t="s">
        <v>12538</v>
      </c>
      <c r="B945" s="1" t="s">
        <v>12188</v>
      </c>
      <c r="C945" s="1" t="s">
        <v>4293</v>
      </c>
      <c r="D945" s="1" t="s">
        <v>12540</v>
      </c>
      <c r="E945" s="1" t="s">
        <v>12541</v>
      </c>
      <c r="F945" s="1" t="s">
        <v>78</v>
      </c>
      <c r="G945" s="4"/>
      <c r="H945" s="3">
        <v>45504.0</v>
      </c>
      <c r="I945" s="1" t="s">
        <v>5999</v>
      </c>
      <c r="J945" s="1" t="s">
        <v>5900</v>
      </c>
    </row>
    <row r="946">
      <c r="A946" s="1" t="s">
        <v>12544</v>
      </c>
      <c r="B946" s="1" t="s">
        <v>12545</v>
      </c>
      <c r="C946" s="1" t="s">
        <v>4293</v>
      </c>
      <c r="D946" s="1" t="s">
        <v>12547</v>
      </c>
      <c r="E946" s="1" t="s">
        <v>12548</v>
      </c>
      <c r="F946" s="1" t="s">
        <v>78</v>
      </c>
      <c r="G946" s="4"/>
      <c r="H946" s="3">
        <v>45848.0</v>
      </c>
      <c r="I946" s="1" t="s">
        <v>5899</v>
      </c>
      <c r="J946" s="1" t="s">
        <v>5900</v>
      </c>
    </row>
    <row r="947">
      <c r="A947" s="1" t="s">
        <v>12554</v>
      </c>
      <c r="B947" s="1" t="s">
        <v>5346</v>
      </c>
      <c r="C947" s="1" t="s">
        <v>4293</v>
      </c>
      <c r="D947" s="1" t="s">
        <v>12560</v>
      </c>
      <c r="E947" s="1" t="s">
        <v>12562</v>
      </c>
      <c r="F947" s="1" t="s">
        <v>78</v>
      </c>
      <c r="G947" s="4"/>
      <c r="H947" s="3">
        <v>45321.0</v>
      </c>
      <c r="I947" s="1" t="s">
        <v>5999</v>
      </c>
      <c r="J947" s="1" t="s">
        <v>5900</v>
      </c>
    </row>
    <row r="948">
      <c r="A948" s="1" t="s">
        <v>12567</v>
      </c>
      <c r="B948" s="1" t="s">
        <v>12570</v>
      </c>
      <c r="C948" s="1" t="s">
        <v>4293</v>
      </c>
      <c r="D948" s="1" t="s">
        <v>12573</v>
      </c>
      <c r="E948" s="1" t="s">
        <v>12575</v>
      </c>
      <c r="F948" s="1" t="s">
        <v>78</v>
      </c>
      <c r="G948" s="4"/>
      <c r="H948" s="3">
        <v>44270.0</v>
      </c>
      <c r="I948" s="1" t="s">
        <v>12581</v>
      </c>
      <c r="J948" s="1" t="s">
        <v>5900</v>
      </c>
    </row>
    <row r="949">
      <c r="A949" s="1" t="s">
        <v>12583</v>
      </c>
      <c r="B949" s="1" t="s">
        <v>8058</v>
      </c>
      <c r="C949" s="1" t="s">
        <v>4293</v>
      </c>
      <c r="D949" s="1" t="s">
        <v>12588</v>
      </c>
      <c r="E949" s="1" t="s">
        <v>12590</v>
      </c>
      <c r="F949" s="1" t="s">
        <v>78</v>
      </c>
      <c r="G949" s="4"/>
      <c r="H949" s="3">
        <v>45721.0</v>
      </c>
      <c r="I949" s="1" t="s">
        <v>5899</v>
      </c>
      <c r="J949" s="1" t="s">
        <v>5900</v>
      </c>
    </row>
    <row r="950">
      <c r="A950" s="1" t="s">
        <v>12596</v>
      </c>
      <c r="B950" s="1" t="s">
        <v>12599</v>
      </c>
      <c r="C950" s="1" t="s">
        <v>4293</v>
      </c>
      <c r="D950" s="1" t="s">
        <v>12601</v>
      </c>
      <c r="E950" s="1" t="s">
        <v>12603</v>
      </c>
      <c r="F950" s="1" t="s">
        <v>78</v>
      </c>
      <c r="G950" s="4"/>
      <c r="H950" s="3">
        <v>45853.0</v>
      </c>
      <c r="I950" s="1" t="s">
        <v>5986</v>
      </c>
      <c r="J950" s="1" t="s">
        <v>5900</v>
      </c>
    </row>
    <row r="951">
      <c r="A951" s="1" t="s">
        <v>12610</v>
      </c>
      <c r="B951" s="1" t="s">
        <v>12612</v>
      </c>
      <c r="C951" s="1" t="s">
        <v>4293</v>
      </c>
      <c r="D951" s="1" t="s">
        <v>12617</v>
      </c>
      <c r="E951" s="1" t="s">
        <v>12620</v>
      </c>
      <c r="F951" s="1" t="s">
        <v>78</v>
      </c>
      <c r="G951" s="4"/>
      <c r="H951" s="3">
        <v>45287.0</v>
      </c>
      <c r="I951" s="1" t="s">
        <v>5999</v>
      </c>
      <c r="J951" s="1" t="s">
        <v>5900</v>
      </c>
    </row>
    <row r="952">
      <c r="A952" s="1" t="s">
        <v>12625</v>
      </c>
      <c r="B952" s="1" t="s">
        <v>4736</v>
      </c>
      <c r="C952" s="1" t="s">
        <v>4293</v>
      </c>
      <c r="D952" s="1" t="s">
        <v>12629</v>
      </c>
      <c r="E952" s="1" t="s">
        <v>12630</v>
      </c>
      <c r="F952" s="1" t="s">
        <v>78</v>
      </c>
      <c r="G952" s="4"/>
      <c r="H952" s="3">
        <v>44544.0</v>
      </c>
      <c r="I952" s="1" t="s">
        <v>5999</v>
      </c>
      <c r="J952" s="1" t="s">
        <v>5900</v>
      </c>
    </row>
    <row r="953">
      <c r="A953" s="1" t="s">
        <v>12636</v>
      </c>
      <c r="B953" s="1" t="s">
        <v>7243</v>
      </c>
      <c r="C953" s="1" t="s">
        <v>4293</v>
      </c>
      <c r="D953" s="1" t="s">
        <v>12638</v>
      </c>
      <c r="E953" s="1" t="s">
        <v>12640</v>
      </c>
      <c r="F953" s="1" t="s">
        <v>78</v>
      </c>
      <c r="G953" s="4"/>
      <c r="H953" s="3">
        <v>44274.0</v>
      </c>
      <c r="I953" s="1" t="s">
        <v>6773</v>
      </c>
      <c r="J953" s="1" t="s">
        <v>5900</v>
      </c>
    </row>
    <row r="954">
      <c r="A954" s="1" t="s">
        <v>12646</v>
      </c>
      <c r="B954" s="1" t="s">
        <v>12648</v>
      </c>
      <c r="C954" s="1" t="s">
        <v>4293</v>
      </c>
      <c r="D954" s="1" t="s">
        <v>12651</v>
      </c>
      <c r="E954" s="1" t="s">
        <v>12653</v>
      </c>
      <c r="F954" s="1" t="s">
        <v>78</v>
      </c>
      <c r="G954" s="4"/>
      <c r="H954" s="3">
        <v>45302.0</v>
      </c>
      <c r="I954" s="1" t="s">
        <v>5899</v>
      </c>
      <c r="J954" s="1" t="s">
        <v>5900</v>
      </c>
    </row>
    <row r="955">
      <c r="A955" s="1" t="s">
        <v>12658</v>
      </c>
      <c r="B955" s="1" t="s">
        <v>12659</v>
      </c>
      <c r="C955" s="1" t="s">
        <v>4293</v>
      </c>
      <c r="D955" s="1" t="s">
        <v>12662</v>
      </c>
      <c r="E955" s="1" t="s">
        <v>12664</v>
      </c>
      <c r="F955" s="1" t="s">
        <v>78</v>
      </c>
      <c r="G955" s="4"/>
      <c r="H955" s="3">
        <v>45425.0</v>
      </c>
      <c r="I955" s="1" t="s">
        <v>5999</v>
      </c>
      <c r="J955" s="1" t="s">
        <v>5900</v>
      </c>
    </row>
    <row r="956">
      <c r="A956" s="1" t="s">
        <v>12670</v>
      </c>
      <c r="B956" s="1" t="s">
        <v>12672</v>
      </c>
      <c r="C956" s="1" t="s">
        <v>4293</v>
      </c>
      <c r="D956" s="1" t="s">
        <v>12674</v>
      </c>
      <c r="E956" s="1" t="s">
        <v>12675</v>
      </c>
      <c r="F956" s="1" t="s">
        <v>78</v>
      </c>
      <c r="G956" s="4"/>
      <c r="H956" s="3">
        <v>43847.0</v>
      </c>
      <c r="I956" s="1" t="s">
        <v>7593</v>
      </c>
      <c r="J956" s="1" t="s">
        <v>5900</v>
      </c>
    </row>
    <row r="957">
      <c r="A957" s="1" t="s">
        <v>12682</v>
      </c>
      <c r="B957" s="1" t="s">
        <v>10305</v>
      </c>
      <c r="C957" s="1" t="s">
        <v>4293</v>
      </c>
      <c r="D957" s="1" t="s">
        <v>12692</v>
      </c>
      <c r="E957" s="1" t="s">
        <v>12694</v>
      </c>
      <c r="F957" s="1" t="s">
        <v>78</v>
      </c>
      <c r="G957" s="4"/>
      <c r="H957" s="3">
        <v>44273.0</v>
      </c>
      <c r="I957" s="1" t="s">
        <v>7593</v>
      </c>
      <c r="J957" s="1" t="s">
        <v>5900</v>
      </c>
    </row>
    <row r="958">
      <c r="A958" s="1" t="s">
        <v>12701</v>
      </c>
      <c r="B958" s="1" t="s">
        <v>12703</v>
      </c>
      <c r="C958" s="1" t="s">
        <v>4293</v>
      </c>
      <c r="D958" s="1" t="s">
        <v>12706</v>
      </c>
      <c r="E958" s="1" t="s">
        <v>12709</v>
      </c>
      <c r="F958" s="1" t="s">
        <v>78</v>
      </c>
      <c r="G958" s="1"/>
      <c r="H958" s="3">
        <v>44998.0</v>
      </c>
      <c r="I958" s="1" t="s">
        <v>5899</v>
      </c>
      <c r="J958" s="1" t="s">
        <v>5900</v>
      </c>
    </row>
    <row r="959">
      <c r="A959" s="1" t="s">
        <v>12714</v>
      </c>
      <c r="B959" s="1" t="s">
        <v>12715</v>
      </c>
      <c r="C959" s="1" t="s">
        <v>4293</v>
      </c>
      <c r="D959" s="1" t="s">
        <v>12718</v>
      </c>
      <c r="E959" s="1" t="s">
        <v>12720</v>
      </c>
      <c r="F959" s="1" t="s">
        <v>78</v>
      </c>
      <c r="G959" s="4"/>
      <c r="H959" s="3">
        <v>43586.0</v>
      </c>
      <c r="I959" s="1" t="s">
        <v>5964</v>
      </c>
      <c r="J959" s="1" t="s">
        <v>5900</v>
      </c>
    </row>
    <row r="960">
      <c r="A960" s="1" t="s">
        <v>12726</v>
      </c>
      <c r="B960" s="1" t="s">
        <v>12727</v>
      </c>
      <c r="C960" s="1" t="s">
        <v>4293</v>
      </c>
      <c r="D960" s="1" t="s">
        <v>12731</v>
      </c>
      <c r="E960" s="1" t="s">
        <v>12732</v>
      </c>
      <c r="F960" s="1" t="s">
        <v>78</v>
      </c>
      <c r="G960" s="4"/>
      <c r="H960" s="3">
        <v>44389.0</v>
      </c>
      <c r="I960" s="1" t="s">
        <v>5999</v>
      </c>
      <c r="J960" s="1" t="s">
        <v>5900</v>
      </c>
    </row>
    <row r="961">
      <c r="A961" s="1" t="s">
        <v>12737</v>
      </c>
      <c r="B961" s="1" t="s">
        <v>12738</v>
      </c>
      <c r="C961" s="1" t="s">
        <v>4293</v>
      </c>
      <c r="D961" s="1" t="s">
        <v>12742</v>
      </c>
      <c r="E961" s="1" t="s">
        <v>12743</v>
      </c>
      <c r="F961" s="1" t="s">
        <v>78</v>
      </c>
      <c r="G961" s="4"/>
      <c r="H961" s="3">
        <v>46076.0</v>
      </c>
      <c r="I961" s="1" t="s">
        <v>5899</v>
      </c>
      <c r="J961" s="1" t="s">
        <v>5900</v>
      </c>
    </row>
    <row r="962">
      <c r="A962" s="1" t="s">
        <v>12748</v>
      </c>
      <c r="B962" s="1" t="s">
        <v>12749</v>
      </c>
      <c r="C962" s="1" t="s">
        <v>4293</v>
      </c>
      <c r="D962" s="1" t="s">
        <v>12752</v>
      </c>
      <c r="E962" s="1" t="s">
        <v>12755</v>
      </c>
      <c r="F962" s="1" t="s">
        <v>84</v>
      </c>
      <c r="G962" s="1" t="s">
        <v>253</v>
      </c>
      <c r="H962" s="1" t="s">
        <v>300</v>
      </c>
      <c r="I962" s="1" t="s">
        <v>12758</v>
      </c>
      <c r="J962" s="1" t="s">
        <v>9590</v>
      </c>
    </row>
    <row r="963">
      <c r="A963" s="1" t="s">
        <v>12762</v>
      </c>
      <c r="B963" s="1" t="s">
        <v>12764</v>
      </c>
      <c r="C963" s="1" t="s">
        <v>4293</v>
      </c>
      <c r="D963" s="1" t="s">
        <v>12766</v>
      </c>
      <c r="E963" s="1" t="s">
        <v>12770</v>
      </c>
      <c r="F963" s="1" t="s">
        <v>78</v>
      </c>
      <c r="G963" s="4"/>
      <c r="H963" s="3">
        <v>43551.0</v>
      </c>
      <c r="I963" s="1" t="s">
        <v>6434</v>
      </c>
      <c r="J963" s="1" t="s">
        <v>5900</v>
      </c>
    </row>
    <row r="964">
      <c r="A964" s="4"/>
      <c r="B964" s="4"/>
      <c r="C964" s="4"/>
      <c r="D964" s="4"/>
      <c r="E964" s="4"/>
      <c r="F964" s="4"/>
      <c r="G964" s="4"/>
      <c r="H964" s="4"/>
      <c r="I964" s="4"/>
      <c r="J964" s="4"/>
    </row>
    <row r="965">
      <c r="A965" s="4"/>
      <c r="B965" s="4"/>
      <c r="C965" s="4"/>
      <c r="D965" s="4"/>
      <c r="E965" s="4"/>
      <c r="F965" s="4"/>
      <c r="G965" s="4"/>
      <c r="H965" s="4"/>
      <c r="I965" s="4"/>
      <c r="J965" s="4"/>
    </row>
    <row r="966">
      <c r="A966" s="4"/>
      <c r="B966" s="4"/>
      <c r="C966" s="4"/>
      <c r="D966" s="4"/>
      <c r="E966" s="4"/>
      <c r="F966" s="4"/>
      <c r="G966" s="4"/>
      <c r="H966" s="4"/>
      <c r="I966" s="4"/>
      <c r="J966" s="4"/>
    </row>
    <row r="967">
      <c r="A967" s="4"/>
      <c r="B967" s="4"/>
      <c r="C967" s="4"/>
      <c r="D967" s="4"/>
      <c r="E967" s="4"/>
      <c r="F967" s="4"/>
      <c r="G967" s="4"/>
      <c r="H967" s="4"/>
      <c r="I967" s="4"/>
      <c r="J967" s="4"/>
    </row>
    <row r="968">
      <c r="A968" s="4"/>
      <c r="B968" s="4"/>
      <c r="C968" s="4"/>
      <c r="D968" s="4"/>
      <c r="E968" s="4"/>
      <c r="F968" s="4"/>
      <c r="G968" s="4"/>
      <c r="H968" s="4"/>
      <c r="I968" s="4"/>
      <c r="J968" s="4"/>
    </row>
    <row r="969">
      <c r="A969" s="4"/>
      <c r="B969" s="4"/>
      <c r="C969" s="4"/>
      <c r="D969" s="4"/>
      <c r="E969" s="4"/>
      <c r="F969" s="4"/>
      <c r="G969" s="4"/>
      <c r="H969" s="4"/>
      <c r="I969" s="4"/>
      <c r="J969" s="4"/>
    </row>
    <row r="970">
      <c r="A970" s="4"/>
      <c r="B970" s="4"/>
      <c r="C970" s="4"/>
      <c r="D970" s="4"/>
      <c r="E970" s="4"/>
      <c r="F970" s="4"/>
      <c r="G970" s="4"/>
      <c r="H970" s="4"/>
      <c r="I970" s="4"/>
      <c r="J970" s="4"/>
    </row>
    <row r="971">
      <c r="A971" s="4"/>
      <c r="B971" s="4"/>
      <c r="C971" s="4"/>
      <c r="D971" s="4"/>
      <c r="E971" s="4"/>
      <c r="F971" s="4"/>
      <c r="G971" s="4"/>
      <c r="H971" s="4"/>
      <c r="I971" s="4"/>
      <c r="J971" s="4"/>
    </row>
    <row r="972">
      <c r="A972" s="4"/>
      <c r="B972" s="4"/>
      <c r="C972" s="4"/>
      <c r="D972" s="4"/>
      <c r="E972" s="4"/>
      <c r="F972" s="4"/>
      <c r="G972" s="4"/>
      <c r="H972" s="13"/>
      <c r="I972" s="4"/>
      <c r="J972" s="4"/>
    </row>
    <row r="973">
      <c r="A973" s="4"/>
      <c r="B973" s="4"/>
      <c r="C973" s="4"/>
      <c r="D973" s="4"/>
      <c r="E973" s="4"/>
      <c r="F973" s="4"/>
      <c r="G973" s="4"/>
      <c r="H973" s="4"/>
      <c r="I973" s="4"/>
      <c r="J973" s="4"/>
    </row>
    <row r="974">
      <c r="A974" s="4"/>
      <c r="B974" s="4"/>
      <c r="C974" s="4"/>
      <c r="D974" s="4"/>
      <c r="E974" s="4"/>
      <c r="F974" s="4"/>
      <c r="G974" s="4"/>
      <c r="H974" s="4"/>
      <c r="I974" s="4"/>
      <c r="J974" s="4"/>
    </row>
    <row r="975">
      <c r="A975" s="4"/>
      <c r="B975" s="4"/>
      <c r="C975" s="4"/>
      <c r="D975" s="4"/>
      <c r="E975" s="4"/>
      <c r="F975" s="4"/>
      <c r="G975" s="4"/>
      <c r="H975" s="4"/>
      <c r="I975" s="4"/>
      <c r="J975" s="4"/>
    </row>
    <row r="976">
      <c r="A976" s="4"/>
      <c r="B976" s="4"/>
      <c r="C976" s="4"/>
      <c r="D976" s="4"/>
      <c r="E976" s="4"/>
      <c r="F976" s="4"/>
      <c r="G976" s="4"/>
      <c r="H976" s="4"/>
      <c r="I976" s="4"/>
      <c r="J976" s="4"/>
    </row>
    <row r="977">
      <c r="A977" s="4"/>
      <c r="B977" s="4"/>
      <c r="C977" s="4"/>
      <c r="D977" s="4"/>
      <c r="E977" s="4"/>
      <c r="F977" s="4"/>
      <c r="G977" s="4"/>
      <c r="H977" s="4"/>
      <c r="I977" s="4"/>
      <c r="J977" s="4"/>
    </row>
    <row r="978">
      <c r="A978" s="4"/>
      <c r="B978" s="4"/>
      <c r="C978" s="4"/>
      <c r="D978" s="4"/>
      <c r="E978" s="4"/>
      <c r="F978" s="4"/>
      <c r="G978" s="4"/>
      <c r="H978" s="4"/>
      <c r="I978" s="4"/>
      <c r="J978" s="4"/>
    </row>
    <row r="979">
      <c r="A979" s="4"/>
      <c r="B979" s="4"/>
      <c r="C979" s="4"/>
      <c r="D979" s="4"/>
      <c r="E979" s="4"/>
      <c r="F979" s="4"/>
      <c r="G979" s="4"/>
      <c r="H979" s="4"/>
      <c r="I979" s="4"/>
      <c r="J979" s="4"/>
    </row>
    <row r="980">
      <c r="A980" s="4"/>
      <c r="B980" s="4"/>
      <c r="C980" s="4"/>
      <c r="D980" s="4"/>
      <c r="E980" s="4"/>
      <c r="F980" s="4"/>
      <c r="G980" s="4"/>
      <c r="H980" s="4"/>
      <c r="I980" s="4"/>
      <c r="J980" s="4"/>
    </row>
    <row r="981">
      <c r="A981" s="4"/>
      <c r="B981" s="4"/>
      <c r="C981" s="4"/>
      <c r="D981" s="4"/>
      <c r="E981" s="4"/>
      <c r="F981" s="4"/>
      <c r="G981" s="4"/>
      <c r="H981" s="4"/>
      <c r="I981" s="4"/>
      <c r="J981" s="4"/>
    </row>
    <row r="982">
      <c r="A982" s="4"/>
      <c r="B982" s="4"/>
      <c r="C982" s="4"/>
      <c r="D982" s="4"/>
      <c r="E982" s="4"/>
      <c r="F982" s="4"/>
      <c r="G982" s="4"/>
      <c r="H982" s="4"/>
      <c r="I982" s="4"/>
      <c r="J982" s="4"/>
    </row>
    <row r="983">
      <c r="A983" s="4"/>
      <c r="B983" s="4"/>
      <c r="C983" s="4"/>
      <c r="D983" s="4"/>
      <c r="E983" s="4"/>
      <c r="F983" s="4"/>
      <c r="G983" s="4"/>
      <c r="H983" s="4"/>
      <c r="I983" s="4"/>
      <c r="J983" s="4"/>
    </row>
    <row r="984">
      <c r="A984" s="4"/>
      <c r="B984" s="4"/>
      <c r="C984" s="4"/>
      <c r="D984" s="4"/>
      <c r="E984" s="4"/>
      <c r="F984" s="4"/>
      <c r="G984" s="4"/>
      <c r="H984" s="4"/>
      <c r="I984" s="4"/>
      <c r="J984" s="4"/>
    </row>
    <row r="985">
      <c r="A985" s="4"/>
      <c r="B985" s="4"/>
      <c r="C985" s="4"/>
      <c r="D985" s="4"/>
      <c r="E985" s="4"/>
      <c r="F985" s="4"/>
      <c r="G985" s="4"/>
      <c r="H985" s="4"/>
      <c r="I985" s="4"/>
      <c r="J985" s="4"/>
    </row>
    <row r="986">
      <c r="A986" s="4"/>
      <c r="B986" s="4"/>
      <c r="C986" s="4"/>
      <c r="D986" s="4"/>
      <c r="E986" s="4"/>
      <c r="F986" s="4"/>
      <c r="G986" s="4"/>
      <c r="H986" s="4"/>
      <c r="I986" s="4"/>
      <c r="J986" s="4"/>
    </row>
    <row r="987">
      <c r="A987" s="4"/>
      <c r="B987" s="4"/>
      <c r="C987" s="4"/>
      <c r="D987" s="4"/>
      <c r="E987" s="4"/>
      <c r="F987" s="4"/>
      <c r="G987" s="4"/>
      <c r="H987" s="4"/>
      <c r="I987" s="4"/>
      <c r="J987" s="4"/>
    </row>
    <row r="988">
      <c r="A988" s="4"/>
      <c r="B988" s="4"/>
      <c r="C988" s="4"/>
      <c r="D988" s="4"/>
      <c r="E988" s="4"/>
      <c r="F988" s="4"/>
      <c r="G988" s="4"/>
      <c r="H988" s="4"/>
      <c r="I988" s="4"/>
      <c r="J988" s="4"/>
    </row>
    <row r="989">
      <c r="A989" s="4"/>
      <c r="B989" s="4"/>
      <c r="C989" s="4"/>
      <c r="D989" s="4"/>
      <c r="E989" s="4"/>
      <c r="F989" s="4"/>
      <c r="G989" s="4"/>
      <c r="H989" s="4"/>
      <c r="I989" s="4"/>
      <c r="J989" s="4"/>
    </row>
    <row r="990">
      <c r="A990" s="4"/>
      <c r="B990" s="4"/>
      <c r="C990" s="4"/>
      <c r="D990" s="4"/>
      <c r="E990" s="4"/>
      <c r="F990" s="4"/>
      <c r="G990" s="4"/>
      <c r="H990" s="13"/>
      <c r="I990" s="4"/>
      <c r="J990" s="4"/>
    </row>
    <row r="991">
      <c r="A991" s="4"/>
      <c r="B991" s="4"/>
      <c r="C991" s="4"/>
      <c r="D991" s="4"/>
      <c r="E991" s="4"/>
      <c r="F991" s="4"/>
      <c r="G991" s="4"/>
      <c r="H991" s="4"/>
      <c r="I991" s="4"/>
      <c r="J991" s="4"/>
    </row>
    <row r="992">
      <c r="A992" s="4"/>
      <c r="B992" s="4"/>
      <c r="C992" s="4"/>
      <c r="D992" s="4"/>
      <c r="E992" s="4"/>
      <c r="F992" s="4"/>
      <c r="G992" s="4"/>
      <c r="H992" s="4"/>
      <c r="I992" s="4"/>
      <c r="J992" s="4"/>
    </row>
    <row r="993">
      <c r="A993" s="4"/>
      <c r="B993" s="4"/>
      <c r="C993" s="4"/>
      <c r="D993" s="4"/>
      <c r="E993" s="4"/>
      <c r="F993" s="4"/>
      <c r="G993" s="4"/>
      <c r="H993" s="4"/>
      <c r="I993" s="4"/>
      <c r="J993" s="4"/>
    </row>
    <row r="994">
      <c r="A994" s="4"/>
      <c r="B994" s="4"/>
      <c r="C994" s="4"/>
      <c r="D994" s="4"/>
      <c r="E994" s="4"/>
      <c r="F994" s="4"/>
      <c r="G994" s="4"/>
      <c r="H994" s="4"/>
      <c r="I994" s="4"/>
      <c r="J994" s="4"/>
    </row>
    <row r="995">
      <c r="A995" s="4"/>
      <c r="B995" s="4"/>
      <c r="C995" s="4"/>
      <c r="D995" s="4"/>
      <c r="E995" s="4"/>
      <c r="F995" s="4"/>
      <c r="G995" s="4"/>
      <c r="H995" s="4"/>
      <c r="I995" s="4"/>
      <c r="J995" s="4"/>
    </row>
    <row r="996">
      <c r="A996" s="4"/>
      <c r="B996" s="4"/>
      <c r="C996" s="4"/>
      <c r="D996" s="4"/>
      <c r="E996" s="4"/>
      <c r="F996" s="4"/>
      <c r="G996" s="4"/>
      <c r="H996" s="4"/>
      <c r="I996" s="4"/>
      <c r="J996" s="4"/>
    </row>
    <row r="997">
      <c r="A997" s="4"/>
      <c r="B997" s="4"/>
      <c r="C997" s="4"/>
      <c r="D997" s="4"/>
      <c r="E997" s="4"/>
      <c r="F997" s="4"/>
      <c r="G997" s="4"/>
      <c r="H997" s="4"/>
      <c r="I997" s="4"/>
      <c r="J997" s="4"/>
    </row>
    <row r="998">
      <c r="A998" s="4"/>
      <c r="B998" s="4"/>
      <c r="C998" s="4"/>
      <c r="D998" s="4"/>
      <c r="E998" s="4"/>
      <c r="F998" s="4"/>
      <c r="G998" s="4"/>
      <c r="H998" s="4"/>
      <c r="I998" s="4"/>
      <c r="J998" s="4"/>
    </row>
    <row r="999">
      <c r="A999" s="4"/>
      <c r="B999" s="4"/>
      <c r="C999" s="4"/>
      <c r="D999" s="4"/>
      <c r="E999" s="4"/>
      <c r="F999" s="4"/>
      <c r="G999" s="4"/>
      <c r="H999" s="4"/>
      <c r="I999" s="4"/>
      <c r="J999" s="4"/>
    </row>
    <row r="1000">
      <c r="A1000" s="4"/>
      <c r="B1000" s="4"/>
      <c r="C1000" s="4"/>
      <c r="D1000" s="4"/>
      <c r="E1000" s="4"/>
      <c r="F1000" s="4"/>
      <c r="G1000" s="4"/>
      <c r="H1000" s="4"/>
      <c r="I1000" s="4"/>
      <c r="J1000" s="4"/>
    </row>
    <row r="1001">
      <c r="A1001" s="4"/>
      <c r="B1001" s="4"/>
      <c r="C1001" s="4"/>
      <c r="D1001" s="4"/>
      <c r="E1001" s="4"/>
      <c r="F1001" s="4"/>
      <c r="G1001" s="4"/>
      <c r="H1001" s="4"/>
      <c r="I1001" s="4"/>
      <c r="J1001" s="4"/>
    </row>
    <row r="1002">
      <c r="A1002" s="4"/>
      <c r="B1002" s="4"/>
      <c r="C1002" s="4"/>
      <c r="D1002" s="4"/>
      <c r="E1002" s="4"/>
      <c r="F1002" s="4"/>
      <c r="G1002" s="4"/>
      <c r="H1002" s="4"/>
      <c r="I1002" s="4"/>
      <c r="J1002" s="4"/>
    </row>
    <row r="1003">
      <c r="A1003" s="4"/>
      <c r="B1003" s="4"/>
      <c r="C1003" s="4"/>
      <c r="D1003" s="4"/>
      <c r="E1003" s="4"/>
      <c r="F1003" s="4"/>
      <c r="G1003" s="4"/>
      <c r="H1003" s="4"/>
      <c r="I1003" s="4"/>
      <c r="J1003" s="4"/>
    </row>
    <row r="1004">
      <c r="A1004" s="4"/>
      <c r="B1004" s="4"/>
      <c r="C1004" s="4"/>
      <c r="D1004" s="4"/>
      <c r="E1004" s="4"/>
      <c r="F1004" s="4"/>
      <c r="G1004" s="4"/>
      <c r="H1004" s="13"/>
      <c r="I1004" s="4"/>
      <c r="J1004" s="4"/>
    </row>
    <row r="1005">
      <c r="A1005" s="4"/>
      <c r="B1005" s="4"/>
      <c r="C1005" s="4"/>
      <c r="D1005" s="4"/>
      <c r="E1005" s="4"/>
      <c r="F1005" s="4"/>
      <c r="G1005" s="4"/>
      <c r="H1005" s="4"/>
      <c r="I1005" s="4"/>
      <c r="J1005" s="4"/>
    </row>
    <row r="1006">
      <c r="A1006" s="4"/>
      <c r="B1006" s="4"/>
      <c r="C1006" s="4"/>
      <c r="D1006" s="4"/>
      <c r="E1006" s="4"/>
      <c r="F1006" s="4"/>
      <c r="G1006" s="4"/>
      <c r="H1006" s="4"/>
      <c r="I1006" s="4"/>
      <c r="J1006" s="4"/>
    </row>
    <row r="1007">
      <c r="A1007" s="4"/>
      <c r="B1007" s="4"/>
      <c r="C1007" s="4"/>
      <c r="D1007" s="4"/>
      <c r="E1007" s="4"/>
      <c r="F1007" s="4"/>
      <c r="G1007" s="4"/>
      <c r="H1007" s="4"/>
      <c r="I1007" s="4"/>
      <c r="J1007" s="4"/>
    </row>
    <row r="1008">
      <c r="A1008" s="4"/>
      <c r="B1008" s="4"/>
      <c r="C1008" s="4"/>
      <c r="D1008" s="4"/>
      <c r="E1008" s="4"/>
      <c r="F1008" s="4"/>
      <c r="G1008" s="4"/>
      <c r="H1008" s="4"/>
      <c r="I1008" s="4"/>
      <c r="J1008" s="4"/>
    </row>
    <row r="1009">
      <c r="A1009" s="4"/>
      <c r="B1009" s="4"/>
      <c r="C1009" s="4"/>
      <c r="D1009" s="4"/>
      <c r="E1009" s="4"/>
      <c r="F1009" s="4"/>
      <c r="G1009" s="4"/>
      <c r="H1009" s="4"/>
      <c r="I1009" s="4"/>
      <c r="J1009" s="4"/>
    </row>
    <row r="1010">
      <c r="A1010" s="4"/>
      <c r="B1010" s="4"/>
      <c r="C1010" s="4"/>
      <c r="D1010" s="4"/>
      <c r="E1010" s="4"/>
      <c r="F1010" s="4"/>
      <c r="G1010" s="4"/>
      <c r="H1010" s="13"/>
      <c r="I1010" s="4"/>
      <c r="J1010" s="4"/>
    </row>
    <row r="1011">
      <c r="A1011" s="4"/>
      <c r="B1011" s="4"/>
      <c r="C1011" s="4"/>
      <c r="D1011" s="4"/>
      <c r="E1011" s="4"/>
      <c r="F1011" s="4"/>
      <c r="G1011" s="4"/>
      <c r="H1011" s="4"/>
      <c r="I1011" s="4"/>
      <c r="J1011" s="4"/>
    </row>
    <row r="1012">
      <c r="A1012" s="4"/>
      <c r="B1012" s="4"/>
      <c r="C1012" s="4"/>
      <c r="D1012" s="4"/>
      <c r="E1012" s="4"/>
      <c r="F1012" s="4"/>
      <c r="G1012" s="4"/>
      <c r="H1012" s="4"/>
      <c r="I1012" s="4"/>
      <c r="J1012" s="4"/>
    </row>
    <row r="1013">
      <c r="A1013" s="4"/>
      <c r="B1013" s="4"/>
      <c r="C1013" s="4"/>
      <c r="D1013" s="4"/>
      <c r="E1013" s="4"/>
      <c r="F1013" s="4"/>
      <c r="G1013" s="4"/>
      <c r="H1013" s="4"/>
      <c r="I1013" s="4"/>
      <c r="J1013" s="4"/>
    </row>
    <row r="1014">
      <c r="A1014" s="4"/>
      <c r="B1014" s="4"/>
      <c r="C1014" s="4"/>
      <c r="D1014" s="4"/>
      <c r="E1014" s="4"/>
      <c r="F1014" s="4"/>
      <c r="G1014" s="4"/>
      <c r="H1014" s="4"/>
      <c r="I1014" s="4"/>
      <c r="J1014" s="4"/>
    </row>
    <row r="1015">
      <c r="A1015" s="4"/>
      <c r="B1015" s="4"/>
      <c r="C1015" s="4"/>
      <c r="D1015" s="4"/>
      <c r="E1015" s="4"/>
      <c r="F1015" s="4"/>
      <c r="G1015" s="4"/>
      <c r="H1015" s="4"/>
      <c r="I1015" s="4"/>
      <c r="J1015" s="4"/>
    </row>
    <row r="1016">
      <c r="A1016" s="4"/>
      <c r="B1016" s="4"/>
      <c r="C1016" s="4"/>
      <c r="D1016" s="4"/>
      <c r="E1016" s="4"/>
      <c r="F1016" s="4"/>
      <c r="G1016" s="4"/>
      <c r="H1016" s="4"/>
      <c r="I1016" s="4"/>
      <c r="J1016" s="4"/>
    </row>
    <row r="1017">
      <c r="A1017" s="4"/>
      <c r="B1017" s="4"/>
      <c r="C1017" s="4"/>
      <c r="D1017" s="4"/>
      <c r="E1017" s="4"/>
      <c r="F1017" s="4"/>
      <c r="G1017" s="4"/>
      <c r="H1017" s="4"/>
      <c r="I1017" s="4"/>
      <c r="J1017" s="4"/>
    </row>
    <row r="1018">
      <c r="A1018" s="4"/>
      <c r="B1018" s="4"/>
      <c r="C1018" s="4"/>
      <c r="D1018" s="4"/>
      <c r="E1018" s="4"/>
      <c r="F1018" s="4"/>
      <c r="G1018" s="4"/>
      <c r="H1018" s="4"/>
      <c r="I1018" s="4"/>
      <c r="J1018" s="4"/>
    </row>
    <row r="1019">
      <c r="A1019" s="4"/>
      <c r="B1019" s="4"/>
      <c r="C1019" s="4"/>
      <c r="D1019" s="4"/>
      <c r="E1019" s="4"/>
      <c r="F1019" s="4"/>
      <c r="G1019" s="4"/>
      <c r="H1019" s="4"/>
      <c r="I1019" s="4"/>
      <c r="J1019" s="4"/>
    </row>
    <row r="1020">
      <c r="A1020" s="4"/>
      <c r="B1020" s="4"/>
      <c r="C1020" s="4"/>
      <c r="D1020" s="4"/>
      <c r="E1020" s="4"/>
      <c r="F1020" s="4"/>
      <c r="G1020" s="4"/>
      <c r="H1020" s="4"/>
      <c r="I1020" s="4"/>
      <c r="J1020" s="4"/>
    </row>
    <row r="1021">
      <c r="A1021" s="4"/>
      <c r="B1021" s="4"/>
      <c r="C1021" s="4"/>
      <c r="D1021" s="4"/>
      <c r="E1021" s="4"/>
      <c r="F1021" s="4"/>
      <c r="G1021" s="4"/>
      <c r="H1021" s="4"/>
      <c r="I1021" s="4"/>
      <c r="J1021" s="4"/>
    </row>
    <row r="1022">
      <c r="A1022" s="4"/>
      <c r="B1022" s="4"/>
      <c r="C1022" s="4"/>
      <c r="D1022" s="4"/>
      <c r="E1022" s="4"/>
      <c r="F1022" s="4"/>
      <c r="G1022" s="4"/>
      <c r="H1022" s="13"/>
      <c r="I1022" s="4"/>
      <c r="J1022" s="4"/>
    </row>
    <row r="1023">
      <c r="A1023" s="4"/>
      <c r="B1023" s="4"/>
      <c r="C1023" s="4"/>
      <c r="D1023" s="4"/>
      <c r="E1023" s="4"/>
      <c r="F1023" s="4"/>
      <c r="G1023" s="4"/>
      <c r="H1023" s="4"/>
      <c r="I1023" s="4"/>
      <c r="J1023" s="4"/>
    </row>
    <row r="1024">
      <c r="A1024" s="4"/>
      <c r="B1024" s="4"/>
      <c r="C1024" s="4"/>
      <c r="D1024" s="4"/>
      <c r="E1024" s="4"/>
      <c r="F1024" s="4"/>
      <c r="G1024" s="4"/>
      <c r="H1024" s="4"/>
      <c r="I1024" s="4"/>
      <c r="J1024" s="4"/>
    </row>
    <row r="1025">
      <c r="A1025" s="4"/>
      <c r="B1025" s="4"/>
      <c r="C1025" s="4"/>
      <c r="D1025" s="4"/>
      <c r="E1025" s="4"/>
      <c r="F1025" s="4"/>
      <c r="G1025" s="4"/>
      <c r="H1025" s="4"/>
      <c r="I1025" s="4"/>
      <c r="J1025" s="4"/>
    </row>
    <row r="1026">
      <c r="A1026" s="4"/>
      <c r="B1026" s="4"/>
      <c r="C1026" s="4"/>
      <c r="D1026" s="4"/>
      <c r="E1026" s="4"/>
      <c r="F1026" s="4"/>
      <c r="G1026" s="4"/>
      <c r="H1026" s="4"/>
      <c r="I1026" s="4"/>
      <c r="J1026" s="4"/>
    </row>
    <row r="1027">
      <c r="A1027" s="4"/>
      <c r="B1027" s="4"/>
      <c r="C1027" s="4"/>
      <c r="D1027" s="4"/>
      <c r="E1027" s="4"/>
      <c r="F1027" s="4"/>
      <c r="G1027" s="4"/>
      <c r="H1027" s="4"/>
      <c r="I1027" s="4"/>
      <c r="J1027" s="4"/>
    </row>
    <row r="1028">
      <c r="A1028" s="4"/>
      <c r="B1028" s="4"/>
      <c r="C1028" s="4"/>
      <c r="D1028" s="4"/>
      <c r="E1028" s="4"/>
      <c r="F1028" s="4"/>
      <c r="G1028" s="4"/>
      <c r="H1028" s="4"/>
      <c r="I1028" s="4"/>
      <c r="J1028" s="4"/>
    </row>
    <row r="1029">
      <c r="A1029" s="4"/>
      <c r="B1029" s="4"/>
      <c r="C1029" s="4"/>
      <c r="D1029" s="4"/>
      <c r="E1029" s="4"/>
      <c r="F1029" s="4"/>
      <c r="G1029" s="4"/>
      <c r="H1029" s="4"/>
      <c r="I1029" s="4"/>
      <c r="J1029" s="4"/>
    </row>
    <row r="1030">
      <c r="A1030" s="4"/>
      <c r="B1030" s="4"/>
      <c r="C1030" s="4"/>
      <c r="D1030" s="4"/>
      <c r="E1030" s="4"/>
      <c r="F1030" s="4"/>
      <c r="G1030" s="4"/>
      <c r="H1030" s="13"/>
      <c r="I1030" s="4"/>
      <c r="J1030" s="4"/>
    </row>
    <row r="1031">
      <c r="A1031" s="4"/>
      <c r="B1031" s="4"/>
      <c r="C1031" s="4"/>
      <c r="D1031" s="4"/>
      <c r="E1031" s="4"/>
      <c r="F1031" s="4"/>
      <c r="G1031" s="4"/>
      <c r="H1031" s="4"/>
      <c r="I1031" s="4"/>
      <c r="J1031" s="4"/>
    </row>
    <row r="1032">
      <c r="A1032" s="4"/>
      <c r="B1032" s="4"/>
      <c r="C1032" s="4"/>
      <c r="D1032" s="4"/>
      <c r="E1032" s="4"/>
      <c r="F1032" s="4"/>
      <c r="G1032" s="4"/>
      <c r="H1032" s="4"/>
      <c r="I1032" s="4"/>
      <c r="J1032" s="4"/>
    </row>
    <row r="1033">
      <c r="A1033" s="4"/>
      <c r="B1033" s="4"/>
      <c r="C1033" s="4"/>
      <c r="D1033" s="4"/>
      <c r="E1033" s="4"/>
      <c r="F1033" s="4"/>
      <c r="G1033" s="4"/>
      <c r="H1033" s="4"/>
      <c r="I1033" s="4"/>
      <c r="J1033" s="4"/>
    </row>
    <row r="1034">
      <c r="A1034" s="4"/>
      <c r="B1034" s="4"/>
      <c r="C1034" s="4"/>
      <c r="D1034" s="4"/>
      <c r="E1034" s="4"/>
      <c r="F1034" s="4"/>
      <c r="G1034" s="4"/>
      <c r="H1034" s="4"/>
      <c r="I1034" s="4"/>
      <c r="J1034" s="4"/>
    </row>
    <row r="1035">
      <c r="A1035" s="4"/>
      <c r="B1035" s="4"/>
      <c r="C1035" s="4"/>
      <c r="D1035" s="4"/>
      <c r="E1035" s="4"/>
      <c r="F1035" s="4"/>
      <c r="G1035" s="4"/>
      <c r="H1035" s="4"/>
      <c r="I1035" s="4"/>
      <c r="J1035" s="4"/>
    </row>
    <row r="1036">
      <c r="A1036" s="4"/>
      <c r="B1036" s="4"/>
      <c r="C1036" s="4"/>
      <c r="D1036" s="4"/>
      <c r="E1036" s="4"/>
      <c r="F1036" s="4"/>
      <c r="G1036" s="4"/>
      <c r="H1036" s="4"/>
      <c r="I1036" s="4"/>
      <c r="J1036" s="4"/>
    </row>
    <row r="1037">
      <c r="A1037" s="4"/>
      <c r="B1037" s="4"/>
      <c r="C1037" s="4"/>
      <c r="D1037" s="4"/>
      <c r="E1037" s="4"/>
      <c r="F1037" s="4"/>
      <c r="G1037" s="4"/>
      <c r="H1037" s="4"/>
      <c r="I1037" s="4"/>
      <c r="J1037" s="4"/>
    </row>
    <row r="1038">
      <c r="A1038" s="4"/>
      <c r="B1038" s="4"/>
      <c r="C1038" s="4"/>
      <c r="D1038" s="4"/>
      <c r="E1038" s="4"/>
      <c r="F1038" s="4"/>
      <c r="G1038" s="4"/>
      <c r="H1038" s="4"/>
      <c r="I1038" s="4"/>
      <c r="J1038" s="4"/>
    </row>
    <row r="1039">
      <c r="A1039" s="4"/>
      <c r="B1039" s="4"/>
      <c r="C1039" s="4"/>
      <c r="D1039" s="4"/>
      <c r="E1039" s="4"/>
      <c r="F1039" s="4"/>
      <c r="G1039" s="4"/>
      <c r="H1039" s="4"/>
      <c r="I1039" s="4"/>
      <c r="J1039" s="4"/>
    </row>
    <row r="1040">
      <c r="A1040" s="4"/>
      <c r="B1040" s="4"/>
      <c r="C1040" s="4"/>
      <c r="D1040" s="4"/>
      <c r="E1040" s="4"/>
      <c r="F1040" s="4"/>
      <c r="G1040" s="4"/>
      <c r="H1040" s="4"/>
      <c r="I1040" s="4"/>
      <c r="J1040" s="4"/>
    </row>
    <row r="1041">
      <c r="A1041" s="4"/>
      <c r="B1041" s="4"/>
      <c r="C1041" s="4"/>
      <c r="D1041" s="4"/>
      <c r="E1041" s="4"/>
      <c r="F1041" s="4"/>
      <c r="G1041" s="4"/>
      <c r="H1041" s="4"/>
      <c r="I1041" s="4"/>
      <c r="J1041" s="4"/>
    </row>
    <row r="1042">
      <c r="A1042" s="4"/>
      <c r="B1042" s="4"/>
      <c r="C1042" s="4"/>
      <c r="D1042" s="4"/>
      <c r="E1042" s="4"/>
      <c r="F1042" s="4"/>
      <c r="G1042" s="4"/>
      <c r="H1042" s="13"/>
      <c r="I1042" s="4"/>
      <c r="J1042" s="4"/>
    </row>
    <row r="1043">
      <c r="A1043" s="4"/>
      <c r="B1043" s="4"/>
      <c r="C1043" s="4"/>
      <c r="D1043" s="4"/>
      <c r="E1043" s="4"/>
      <c r="F1043" s="4"/>
      <c r="G1043" s="4"/>
      <c r="H1043" s="4"/>
      <c r="I1043" s="4"/>
      <c r="J1043" s="4"/>
    </row>
    <row r="1044">
      <c r="A1044" s="4"/>
      <c r="B1044" s="4"/>
      <c r="C1044" s="4"/>
      <c r="D1044" s="4"/>
      <c r="E1044" s="4"/>
      <c r="F1044" s="4"/>
      <c r="G1044" s="4"/>
      <c r="H1044" s="4"/>
      <c r="I1044" s="4"/>
      <c r="J1044" s="4"/>
    </row>
    <row r="1045">
      <c r="A1045" s="4"/>
      <c r="B1045" s="4"/>
      <c r="C1045" s="4"/>
      <c r="D1045" s="4"/>
      <c r="E1045" s="4"/>
      <c r="F1045" s="4"/>
      <c r="G1045" s="4"/>
      <c r="H1045" s="4"/>
      <c r="I1045" s="4"/>
      <c r="J1045" s="4"/>
    </row>
    <row r="1046">
      <c r="A1046" s="4"/>
      <c r="B1046" s="4"/>
      <c r="C1046" s="4"/>
      <c r="D1046" s="4"/>
      <c r="E1046" s="4"/>
      <c r="F1046" s="4"/>
      <c r="G1046" s="4"/>
      <c r="H1046" s="4"/>
      <c r="I1046" s="4"/>
      <c r="J1046" s="4"/>
    </row>
    <row r="1047">
      <c r="A1047" s="4"/>
      <c r="B1047" s="4"/>
      <c r="C1047" s="4"/>
      <c r="D1047" s="4"/>
      <c r="E1047" s="4"/>
      <c r="F1047" s="4"/>
      <c r="G1047" s="4"/>
      <c r="H1047" s="4"/>
      <c r="I1047" s="4"/>
      <c r="J1047" s="4"/>
    </row>
    <row r="1048">
      <c r="A1048" s="4"/>
      <c r="B1048" s="4"/>
      <c r="C1048" s="4"/>
      <c r="D1048" s="4"/>
      <c r="E1048" s="4"/>
      <c r="F1048" s="4"/>
      <c r="G1048" s="4"/>
      <c r="H1048" s="4"/>
      <c r="I1048" s="4"/>
      <c r="J1048" s="4"/>
    </row>
    <row r="1049">
      <c r="A1049" s="4"/>
      <c r="B1049" s="4"/>
      <c r="C1049" s="4"/>
      <c r="D1049" s="4"/>
      <c r="E1049" s="4"/>
      <c r="F1049" s="4"/>
      <c r="G1049" s="4"/>
      <c r="H1049" s="4"/>
      <c r="I1049" s="4"/>
      <c r="J1049" s="4"/>
    </row>
    <row r="1050">
      <c r="A1050" s="4"/>
      <c r="B1050" s="4"/>
      <c r="C1050" s="4"/>
      <c r="D1050" s="4"/>
      <c r="E1050" s="4"/>
      <c r="F1050" s="4"/>
      <c r="G1050" s="4"/>
      <c r="H1050" s="4"/>
      <c r="I1050" s="4"/>
      <c r="J1050" s="4"/>
    </row>
    <row r="1051">
      <c r="A1051" s="4"/>
      <c r="B1051" s="4"/>
      <c r="C1051" s="4"/>
      <c r="D1051" s="4"/>
      <c r="E1051" s="4"/>
      <c r="F1051" s="4"/>
      <c r="G1051" s="4"/>
      <c r="H1051" s="4"/>
      <c r="I1051" s="4"/>
      <c r="J1051" s="4"/>
    </row>
    <row r="1052">
      <c r="A1052" s="4"/>
      <c r="B1052" s="4"/>
      <c r="C1052" s="4"/>
      <c r="D1052" s="4"/>
      <c r="E1052" s="4"/>
      <c r="F1052" s="4"/>
      <c r="G1052" s="4"/>
      <c r="H1052" s="4"/>
      <c r="I1052" s="4"/>
      <c r="J1052" s="4"/>
    </row>
    <row r="1053">
      <c r="A1053" s="4"/>
      <c r="B1053" s="4"/>
      <c r="C1053" s="4"/>
      <c r="D1053" s="4"/>
      <c r="E1053" s="4"/>
      <c r="F1053" s="4"/>
      <c r="G1053" s="4"/>
      <c r="H1053" s="4"/>
      <c r="I1053" s="4"/>
      <c r="J1053" s="4"/>
    </row>
    <row r="1054">
      <c r="A1054" s="4"/>
      <c r="B1054" s="4"/>
      <c r="C1054" s="4"/>
      <c r="D1054" s="4"/>
      <c r="E1054" s="4"/>
      <c r="F1054" s="4"/>
      <c r="G1054" s="4"/>
      <c r="H1054" s="4"/>
      <c r="I1054" s="4"/>
      <c r="J1054" s="4"/>
    </row>
    <row r="1055">
      <c r="A1055" s="4"/>
      <c r="B1055" s="4"/>
      <c r="C1055" s="4"/>
      <c r="D1055" s="4"/>
      <c r="E1055" s="4"/>
      <c r="F1055" s="4"/>
      <c r="G1055" s="4"/>
      <c r="H1055" s="4"/>
      <c r="I1055" s="4"/>
      <c r="J1055" s="4"/>
    </row>
    <row r="1056">
      <c r="A1056" s="4"/>
      <c r="B1056" s="4"/>
      <c r="C1056" s="4"/>
      <c r="D1056" s="4"/>
      <c r="E1056" s="4"/>
      <c r="F1056" s="4"/>
      <c r="G1056" s="4"/>
      <c r="H1056" s="4"/>
      <c r="I1056" s="4"/>
      <c r="J1056" s="4"/>
    </row>
    <row r="1057">
      <c r="A1057" s="4"/>
      <c r="B1057" s="4"/>
      <c r="C1057" s="4"/>
      <c r="D1057" s="4"/>
      <c r="E1057" s="4"/>
      <c r="F1057" s="4"/>
      <c r="G1057" s="4"/>
      <c r="H1057" s="4"/>
      <c r="I1057" s="4"/>
      <c r="J1057" s="4"/>
    </row>
    <row r="1058">
      <c r="A1058" s="4"/>
      <c r="B1058" s="4"/>
      <c r="C1058" s="4"/>
      <c r="D1058" s="4"/>
      <c r="E1058" s="4"/>
      <c r="F1058" s="4"/>
      <c r="G1058" s="4"/>
      <c r="H1058" s="4"/>
      <c r="I1058" s="4"/>
      <c r="J1058" s="4"/>
    </row>
    <row r="1059">
      <c r="A1059" s="4"/>
      <c r="B1059" s="4"/>
      <c r="C1059" s="4"/>
      <c r="D1059" s="4"/>
      <c r="E1059" s="4"/>
      <c r="F1059" s="4"/>
      <c r="G1059" s="4"/>
      <c r="H1059" s="13"/>
      <c r="I1059" s="4"/>
      <c r="J1059" s="4"/>
    </row>
    <row r="1060">
      <c r="A1060" s="4"/>
      <c r="B1060" s="4"/>
      <c r="C1060" s="4"/>
      <c r="D1060" s="4"/>
      <c r="E1060" s="4"/>
      <c r="F1060" s="4"/>
      <c r="G1060" s="4"/>
      <c r="H1060" s="4"/>
      <c r="I1060" s="4"/>
      <c r="J1060" s="4"/>
    </row>
    <row r="1061">
      <c r="A1061" s="4"/>
      <c r="B1061" s="4"/>
      <c r="C1061" s="4"/>
      <c r="D1061" s="4"/>
      <c r="E1061" s="4"/>
      <c r="F1061" s="4"/>
      <c r="G1061" s="4"/>
      <c r="H1061" s="4"/>
      <c r="I1061" s="4"/>
      <c r="J1061" s="4"/>
    </row>
    <row r="1062">
      <c r="A1062" s="4"/>
      <c r="B1062" s="4"/>
      <c r="C1062" s="4"/>
      <c r="D1062" s="4"/>
      <c r="E1062" s="4"/>
      <c r="F1062" s="4"/>
      <c r="G1062" s="4"/>
      <c r="H1062" s="4"/>
      <c r="I1062" s="4"/>
      <c r="J1062" s="4"/>
    </row>
    <row r="1063">
      <c r="A1063" s="4"/>
      <c r="B1063" s="4"/>
      <c r="C1063" s="4"/>
      <c r="D1063" s="4"/>
      <c r="E1063" s="4"/>
      <c r="F1063" s="4"/>
      <c r="G1063" s="4"/>
      <c r="H1063" s="4"/>
      <c r="I1063" s="4"/>
      <c r="J1063" s="4"/>
    </row>
    <row r="1064">
      <c r="A1064" s="4"/>
      <c r="B1064" s="4"/>
      <c r="C1064" s="4"/>
      <c r="D1064" s="4"/>
      <c r="E1064" s="4"/>
      <c r="F1064" s="4"/>
      <c r="G1064" s="4"/>
      <c r="H1064" s="4"/>
      <c r="I1064" s="4"/>
      <c r="J1064" s="4"/>
    </row>
    <row r="1065">
      <c r="A1065" s="4"/>
      <c r="B1065" s="4"/>
      <c r="C1065" s="4"/>
      <c r="D1065" s="4"/>
      <c r="E1065" s="4"/>
      <c r="F1065" s="4"/>
      <c r="G1065" s="4"/>
      <c r="H1065" s="4"/>
      <c r="I1065" s="4"/>
      <c r="J1065" s="4"/>
    </row>
    <row r="1066">
      <c r="A1066" s="4"/>
      <c r="B1066" s="4"/>
      <c r="C1066" s="4"/>
      <c r="D1066" s="4"/>
      <c r="E1066" s="4"/>
      <c r="F1066" s="4"/>
      <c r="G1066" s="4"/>
      <c r="H1066" s="4"/>
      <c r="I1066" s="4"/>
      <c r="J1066" s="4"/>
    </row>
    <row r="1067">
      <c r="A1067" s="4"/>
      <c r="B1067" s="4"/>
      <c r="C1067" s="4"/>
      <c r="D1067" s="4"/>
      <c r="E1067" s="4"/>
      <c r="F1067" s="4"/>
      <c r="G1067" s="4"/>
      <c r="H1067" s="4"/>
      <c r="I1067" s="4"/>
      <c r="J1067" s="4"/>
    </row>
    <row r="1068">
      <c r="A1068" s="4"/>
      <c r="B1068" s="4"/>
      <c r="C1068" s="4"/>
      <c r="D1068" s="4"/>
      <c r="E1068" s="4"/>
      <c r="F1068" s="4"/>
      <c r="G1068" s="4"/>
      <c r="H1068" s="4"/>
      <c r="I1068" s="4"/>
      <c r="J1068" s="4"/>
    </row>
    <row r="1069">
      <c r="A1069" s="4"/>
      <c r="B1069" s="4"/>
      <c r="C1069" s="4"/>
      <c r="D1069" s="4"/>
      <c r="E1069" s="4"/>
      <c r="F1069" s="4"/>
      <c r="G1069" s="4"/>
      <c r="H1069" s="4"/>
      <c r="I1069" s="4"/>
      <c r="J1069" s="4"/>
    </row>
    <row r="1070">
      <c r="A1070" s="4"/>
      <c r="B1070" s="4"/>
      <c r="C1070" s="4"/>
      <c r="D1070" s="4"/>
      <c r="E1070" s="4"/>
      <c r="F1070" s="4"/>
      <c r="G1070" s="4"/>
      <c r="H1070" s="4"/>
      <c r="I1070" s="4"/>
      <c r="J1070" s="4"/>
    </row>
    <row r="1071">
      <c r="A1071" s="4"/>
      <c r="B1071" s="4"/>
      <c r="C1071" s="4"/>
      <c r="D1071" s="4"/>
      <c r="E1071" s="4"/>
      <c r="F1071" s="4"/>
      <c r="G1071" s="4"/>
      <c r="H1071" s="4"/>
      <c r="I1071" s="4"/>
      <c r="J1071" s="4"/>
    </row>
    <row r="1072">
      <c r="A1072" s="4"/>
      <c r="B1072" s="4"/>
      <c r="C1072" s="4"/>
      <c r="D1072" s="4"/>
      <c r="E1072" s="4"/>
      <c r="F1072" s="4"/>
      <c r="G1072" s="4"/>
      <c r="H1072" s="4"/>
      <c r="I1072" s="4"/>
      <c r="J1072" s="4"/>
    </row>
    <row r="1073">
      <c r="A1073" s="4"/>
      <c r="B1073" s="4"/>
      <c r="C1073" s="4"/>
      <c r="D1073" s="4"/>
      <c r="E1073" s="4"/>
      <c r="F1073" s="4"/>
      <c r="G1073" s="4"/>
      <c r="H1073" s="4"/>
      <c r="I1073" s="4"/>
      <c r="J1073" s="4"/>
    </row>
    <row r="1074">
      <c r="A1074" s="4"/>
      <c r="B1074" s="4"/>
      <c r="C1074" s="4"/>
      <c r="D1074" s="4"/>
      <c r="E1074" s="4"/>
      <c r="F1074" s="4"/>
      <c r="G1074" s="4"/>
      <c r="H1074" s="4"/>
      <c r="I1074" s="4"/>
      <c r="J1074" s="4"/>
    </row>
    <row r="1075">
      <c r="A1075" s="4"/>
      <c r="B1075" s="4"/>
      <c r="C1075" s="4"/>
      <c r="D1075" s="4"/>
      <c r="E1075" s="4"/>
      <c r="F1075" s="4"/>
      <c r="G1075" s="4"/>
      <c r="H1075" s="4"/>
      <c r="I1075" s="4"/>
      <c r="J1075" s="4"/>
    </row>
    <row r="1076">
      <c r="A1076" s="4"/>
      <c r="B1076" s="4"/>
      <c r="C1076" s="4"/>
      <c r="D1076" s="4"/>
      <c r="E1076" s="4"/>
      <c r="F1076" s="4"/>
      <c r="G1076" s="4"/>
      <c r="H1076" s="4"/>
      <c r="I1076" s="4"/>
      <c r="J1076" s="4"/>
    </row>
    <row r="1077">
      <c r="A1077" s="4"/>
      <c r="B1077" s="4"/>
      <c r="C1077" s="4"/>
      <c r="D1077" s="4"/>
      <c r="E1077" s="4"/>
      <c r="F1077" s="4"/>
      <c r="G1077" s="4"/>
      <c r="H1077" s="4"/>
      <c r="I1077" s="4"/>
      <c r="J1077" s="4"/>
    </row>
    <row r="1078">
      <c r="A1078" s="4"/>
      <c r="B1078" s="4"/>
      <c r="C1078" s="4"/>
      <c r="D1078" s="4"/>
      <c r="E1078" s="4"/>
      <c r="F1078" s="4"/>
      <c r="G1078" s="4"/>
      <c r="H1078" s="4"/>
      <c r="I1078" s="4"/>
      <c r="J1078" s="4"/>
    </row>
    <row r="1079">
      <c r="A1079" s="4"/>
      <c r="B1079" s="4"/>
      <c r="C1079" s="4"/>
      <c r="D1079" s="4"/>
      <c r="E1079" s="4"/>
      <c r="F1079" s="4"/>
      <c r="G1079" s="4"/>
      <c r="H1079" s="4"/>
      <c r="I1079" s="4"/>
      <c r="J1079" s="4"/>
    </row>
    <row r="1080">
      <c r="A1080" s="4"/>
      <c r="B1080" s="4"/>
      <c r="C1080" s="4"/>
      <c r="D1080" s="4"/>
      <c r="E1080" s="4"/>
      <c r="F1080" s="4"/>
      <c r="G1080" s="4"/>
      <c r="H1080" s="4"/>
      <c r="I1080" s="4"/>
      <c r="J1080" s="4"/>
    </row>
    <row r="1081">
      <c r="A1081" s="4"/>
      <c r="B1081" s="4"/>
      <c r="C1081" s="4"/>
      <c r="D1081" s="4"/>
      <c r="E1081" s="4"/>
      <c r="F1081" s="4"/>
      <c r="G1081" s="4"/>
      <c r="H1081" s="4"/>
      <c r="I1081" s="4"/>
      <c r="J1081" s="4"/>
    </row>
    <row r="1082">
      <c r="A1082" s="4"/>
      <c r="B1082" s="4"/>
      <c r="C1082" s="4"/>
      <c r="D1082" s="4"/>
      <c r="E1082" s="4"/>
      <c r="F1082" s="4"/>
      <c r="G1082" s="4"/>
      <c r="H1082" s="4"/>
      <c r="I1082" s="4"/>
      <c r="J1082" s="4"/>
    </row>
    <row r="1083">
      <c r="A1083" s="4"/>
      <c r="B1083" s="4"/>
      <c r="C1083" s="4"/>
      <c r="D1083" s="4"/>
      <c r="E1083" s="4"/>
      <c r="F1083" s="4"/>
      <c r="G1083" s="4"/>
      <c r="H1083" s="4"/>
      <c r="I1083" s="4"/>
      <c r="J1083" s="4"/>
    </row>
    <row r="1084">
      <c r="A1084" s="4"/>
      <c r="B1084" s="4"/>
      <c r="C1084" s="4"/>
      <c r="D1084" s="4"/>
      <c r="E1084" s="4"/>
      <c r="F1084" s="4"/>
      <c r="G1084" s="4"/>
      <c r="H1084" s="4"/>
      <c r="I1084" s="4"/>
      <c r="J1084" s="4"/>
    </row>
    <row r="1085">
      <c r="A1085" s="4"/>
      <c r="B1085" s="4"/>
      <c r="C1085" s="4"/>
      <c r="D1085" s="4"/>
      <c r="E1085" s="4"/>
      <c r="F1085" s="4"/>
      <c r="G1085" s="4"/>
      <c r="H1085" s="4"/>
      <c r="I1085" s="4"/>
      <c r="J1085" s="4"/>
    </row>
    <row r="1086">
      <c r="A1086" s="4"/>
      <c r="B1086" s="4"/>
      <c r="C1086" s="4"/>
      <c r="D1086" s="4"/>
      <c r="E1086" s="4"/>
      <c r="F1086" s="4"/>
      <c r="G1086" s="4"/>
      <c r="H1086" s="4"/>
      <c r="I1086" s="4"/>
      <c r="J1086" s="4"/>
    </row>
    <row r="1087">
      <c r="A1087" s="4"/>
      <c r="B1087" s="4"/>
      <c r="C1087" s="4"/>
      <c r="D1087" s="4"/>
      <c r="E1087" s="4"/>
      <c r="F1087" s="4"/>
      <c r="G1087" s="4"/>
      <c r="H1087" s="4"/>
      <c r="I1087" s="4"/>
      <c r="J1087" s="4"/>
    </row>
    <row r="1088">
      <c r="A1088" s="4"/>
      <c r="B1088" s="4"/>
      <c r="C1088" s="4"/>
      <c r="D1088" s="4"/>
      <c r="E1088" s="4"/>
      <c r="F1088" s="4"/>
      <c r="G1088" s="4"/>
      <c r="H1088" s="4"/>
      <c r="I1088" s="4"/>
      <c r="J1088" s="4"/>
    </row>
    <row r="1089">
      <c r="A1089" s="4"/>
      <c r="B1089" s="4"/>
      <c r="C1089" s="4"/>
      <c r="D1089" s="4"/>
      <c r="E1089" s="4"/>
      <c r="F1089" s="4"/>
      <c r="G1089" s="4"/>
      <c r="H1089" s="4"/>
      <c r="I1089" s="4"/>
      <c r="J1089" s="4"/>
    </row>
    <row r="1090">
      <c r="A1090" s="4"/>
      <c r="B1090" s="4"/>
      <c r="C1090" s="4"/>
      <c r="D1090" s="4"/>
      <c r="E1090" s="4"/>
      <c r="F1090" s="4"/>
      <c r="G1090" s="4"/>
      <c r="H1090" s="4"/>
      <c r="I1090" s="4"/>
      <c r="J1090" s="4"/>
    </row>
    <row r="1091">
      <c r="A1091" s="4"/>
      <c r="B1091" s="4"/>
      <c r="C1091" s="4"/>
      <c r="D1091" s="4"/>
      <c r="E1091" s="4"/>
      <c r="F1091" s="4"/>
      <c r="G1091" s="4"/>
      <c r="H1091" s="4"/>
      <c r="I1091" s="4"/>
      <c r="J1091" s="4"/>
    </row>
    <row r="1092">
      <c r="A1092" s="4"/>
      <c r="B1092" s="4"/>
      <c r="C1092" s="4"/>
      <c r="D1092" s="4"/>
      <c r="E1092" s="4"/>
      <c r="F1092" s="4"/>
      <c r="G1092" s="4"/>
      <c r="H1092" s="4"/>
      <c r="I1092" s="4"/>
      <c r="J1092" s="4"/>
    </row>
    <row r="1093">
      <c r="A1093" s="4"/>
      <c r="B1093" s="4"/>
      <c r="C1093" s="4"/>
      <c r="D1093" s="4"/>
      <c r="E1093" s="4"/>
      <c r="F1093" s="4"/>
      <c r="G1093" s="4"/>
      <c r="H1093" s="4"/>
      <c r="I1093" s="4"/>
      <c r="J1093" s="4"/>
    </row>
    <row r="1094">
      <c r="A1094" s="4"/>
      <c r="B1094" s="4"/>
      <c r="C1094" s="4"/>
      <c r="D1094" s="4"/>
      <c r="E1094" s="4"/>
      <c r="F1094" s="4"/>
      <c r="G1094" s="4"/>
      <c r="H1094" s="4"/>
      <c r="I1094" s="4"/>
      <c r="J1094" s="4"/>
    </row>
    <row r="1095">
      <c r="A1095" s="4"/>
      <c r="B1095" s="4"/>
      <c r="C1095" s="4"/>
      <c r="D1095" s="4"/>
      <c r="E1095" s="4"/>
      <c r="F1095" s="4"/>
      <c r="G1095" s="4"/>
      <c r="H1095" s="4"/>
      <c r="I1095" s="4"/>
      <c r="J1095" s="4"/>
    </row>
    <row r="1096">
      <c r="A1096" s="4"/>
      <c r="B1096" s="4"/>
      <c r="C1096" s="4"/>
      <c r="D1096" s="4"/>
      <c r="E1096" s="4"/>
      <c r="F1096" s="4"/>
      <c r="G1096" s="4"/>
      <c r="H1096" s="4"/>
      <c r="I1096" s="4"/>
      <c r="J1096" s="4"/>
    </row>
    <row r="1097">
      <c r="A1097" s="4"/>
      <c r="B1097" s="4"/>
      <c r="C1097" s="4"/>
      <c r="D1097" s="4"/>
      <c r="E1097" s="4"/>
      <c r="F1097" s="4"/>
      <c r="G1097" s="4"/>
      <c r="H1097" s="4"/>
      <c r="I1097" s="4"/>
      <c r="J1097" s="4"/>
    </row>
    <row r="1098">
      <c r="A1098" s="4"/>
      <c r="B1098" s="4"/>
      <c r="C1098" s="4"/>
      <c r="D1098" s="4"/>
      <c r="E1098" s="4"/>
      <c r="F1098" s="4"/>
      <c r="G1098" s="4"/>
      <c r="H1098" s="4"/>
      <c r="I1098" s="4"/>
      <c r="J1098" s="4"/>
    </row>
    <row r="1099">
      <c r="A1099" s="4"/>
      <c r="B1099" s="4"/>
      <c r="C1099" s="4"/>
      <c r="D1099" s="4"/>
      <c r="E1099" s="4"/>
      <c r="F1099" s="4"/>
      <c r="G1099" s="4"/>
      <c r="H1099" s="4"/>
      <c r="I1099" s="4"/>
      <c r="J1099" s="4"/>
    </row>
    <row r="1100">
      <c r="A1100" s="4"/>
      <c r="B1100" s="4"/>
      <c r="C1100" s="4"/>
      <c r="D1100" s="4"/>
      <c r="E1100" s="4"/>
      <c r="F1100" s="4"/>
      <c r="G1100" s="4"/>
      <c r="H1100" s="4"/>
      <c r="I1100" s="4"/>
      <c r="J1100" s="4"/>
    </row>
    <row r="1101">
      <c r="A1101" s="4"/>
      <c r="B1101" s="4"/>
      <c r="C1101" s="4"/>
      <c r="D1101" s="4"/>
      <c r="E1101" s="4"/>
      <c r="F1101" s="4"/>
      <c r="G1101" s="4"/>
      <c r="H1101" s="4"/>
      <c r="I1101" s="4"/>
      <c r="J1101" s="4"/>
    </row>
    <row r="1102">
      <c r="A1102" s="4"/>
      <c r="B1102" s="4"/>
      <c r="C1102" s="4"/>
      <c r="D1102" s="4"/>
      <c r="E1102" s="4"/>
      <c r="F1102" s="4"/>
      <c r="G1102" s="4"/>
      <c r="H1102" s="4"/>
      <c r="I1102" s="4"/>
      <c r="J1102" s="4"/>
    </row>
    <row r="1103">
      <c r="A1103" s="4"/>
      <c r="B1103" s="4"/>
      <c r="C1103" s="4"/>
      <c r="D1103" s="4"/>
      <c r="E1103" s="4"/>
      <c r="F1103" s="4"/>
      <c r="G1103" s="4"/>
      <c r="H1103" s="4"/>
      <c r="I1103" s="4"/>
      <c r="J1103" s="4"/>
    </row>
    <row r="1104">
      <c r="A1104" s="4"/>
      <c r="B1104" s="4"/>
      <c r="C1104" s="4"/>
      <c r="D1104" s="4"/>
      <c r="E1104" s="4"/>
      <c r="F1104" s="4"/>
      <c r="G1104" s="4"/>
      <c r="H1104" s="4"/>
      <c r="I1104" s="4"/>
      <c r="J1104" s="4"/>
    </row>
    <row r="1105">
      <c r="A1105" s="4"/>
      <c r="B1105" s="4"/>
      <c r="C1105" s="4"/>
      <c r="D1105" s="4"/>
      <c r="E1105" s="4"/>
      <c r="F1105" s="4"/>
      <c r="G1105" s="4"/>
      <c r="H1105" s="4"/>
      <c r="I1105" s="4"/>
      <c r="J1105" s="4"/>
    </row>
    <row r="1106">
      <c r="A1106" s="4"/>
      <c r="B1106" s="4"/>
      <c r="C1106" s="4"/>
      <c r="D1106" s="4"/>
      <c r="E1106" s="4"/>
      <c r="F1106" s="4"/>
      <c r="G1106" s="4"/>
      <c r="H1106" s="4"/>
      <c r="I1106" s="4"/>
      <c r="J1106" s="4"/>
    </row>
    <row r="1107">
      <c r="A1107" s="4"/>
      <c r="B1107" s="4"/>
      <c r="C1107" s="4"/>
      <c r="D1107" s="4"/>
      <c r="E1107" s="4"/>
      <c r="F1107" s="4"/>
      <c r="G1107" s="4"/>
      <c r="H1107" s="4"/>
      <c r="I1107" s="4"/>
      <c r="J1107" s="4"/>
    </row>
    <row r="1108">
      <c r="A1108" s="4"/>
      <c r="B1108" s="4"/>
      <c r="C1108" s="4"/>
      <c r="D1108" s="4"/>
      <c r="E1108" s="4"/>
      <c r="F1108" s="4"/>
      <c r="G1108" s="4"/>
      <c r="H1108" s="4"/>
      <c r="I1108" s="4"/>
      <c r="J1108" s="4"/>
    </row>
    <row r="1109">
      <c r="A1109" s="4"/>
      <c r="B1109" s="4"/>
      <c r="C1109" s="4"/>
      <c r="D1109" s="4"/>
      <c r="E1109" s="4"/>
      <c r="F1109" s="4"/>
      <c r="G1109" s="4"/>
      <c r="H1109" s="4"/>
      <c r="I1109" s="4"/>
      <c r="J1109" s="4"/>
    </row>
    <row r="1110">
      <c r="A1110" s="4"/>
      <c r="B1110" s="4"/>
      <c r="C1110" s="4"/>
      <c r="D1110" s="4"/>
      <c r="E1110" s="4"/>
      <c r="F1110" s="4"/>
      <c r="G1110" s="4"/>
      <c r="H1110" s="4"/>
      <c r="I1110" s="4"/>
      <c r="J1110" s="4"/>
    </row>
    <row r="1111">
      <c r="A1111" s="4"/>
      <c r="B1111" s="4"/>
      <c r="C1111" s="4"/>
      <c r="D1111" s="4"/>
      <c r="E1111" s="4"/>
      <c r="F1111" s="4"/>
      <c r="G1111" s="4"/>
      <c r="H1111" s="4"/>
      <c r="I1111" s="4"/>
      <c r="J1111" s="4"/>
    </row>
    <row r="1112">
      <c r="A1112" s="4"/>
      <c r="B1112" s="4"/>
      <c r="C1112" s="4"/>
      <c r="D1112" s="4"/>
      <c r="E1112" s="4"/>
      <c r="F1112" s="4"/>
      <c r="G1112" s="4"/>
      <c r="H1112" s="13"/>
      <c r="I1112" s="4"/>
      <c r="J1112" s="4"/>
    </row>
    <row r="1113">
      <c r="A1113" s="4"/>
      <c r="B1113" s="4"/>
      <c r="C1113" s="4"/>
      <c r="D1113" s="4"/>
      <c r="E1113" s="4"/>
      <c r="F1113" s="4"/>
      <c r="G1113" s="4"/>
      <c r="H1113" s="4"/>
      <c r="I1113" s="4"/>
      <c r="J1113" s="4"/>
    </row>
    <row r="1114">
      <c r="A1114" s="4"/>
      <c r="B1114" s="4"/>
      <c r="C1114" s="4"/>
      <c r="D1114" s="4"/>
      <c r="E1114" s="4"/>
      <c r="F1114" s="4"/>
      <c r="G1114" s="4"/>
      <c r="H1114" s="4"/>
      <c r="I1114" s="4"/>
      <c r="J1114" s="4"/>
    </row>
    <row r="1115">
      <c r="A1115" s="4"/>
      <c r="B1115" s="4"/>
      <c r="C1115" s="4"/>
      <c r="D1115" s="4"/>
      <c r="E1115" s="4"/>
      <c r="F1115" s="4"/>
      <c r="G1115" s="4"/>
      <c r="H1115" s="4"/>
      <c r="I1115" s="4"/>
      <c r="J1115" s="4"/>
    </row>
    <row r="1116">
      <c r="A1116" s="4"/>
      <c r="B1116" s="4"/>
      <c r="C1116" s="4"/>
      <c r="D1116" s="4"/>
      <c r="E1116" s="4"/>
      <c r="F1116" s="4"/>
      <c r="G1116" s="4"/>
      <c r="H1116" s="4"/>
      <c r="I1116" s="4"/>
      <c r="J1116" s="4"/>
    </row>
    <row r="1117">
      <c r="A1117" s="4"/>
      <c r="B1117" s="4"/>
      <c r="C1117" s="4"/>
      <c r="D1117" s="4"/>
      <c r="E1117" s="4"/>
      <c r="F1117" s="4"/>
      <c r="G1117" s="4"/>
      <c r="H1117" s="4"/>
      <c r="I1117" s="4"/>
      <c r="J1117" s="4"/>
    </row>
    <row r="1118">
      <c r="A1118" s="4"/>
      <c r="B1118" s="4"/>
      <c r="C1118" s="4"/>
      <c r="D1118" s="4"/>
      <c r="E1118" s="4"/>
      <c r="F1118" s="4"/>
      <c r="G1118" s="4"/>
      <c r="H1118" s="4"/>
      <c r="I1118" s="4"/>
      <c r="J1118" s="4"/>
    </row>
    <row r="1119">
      <c r="A1119" s="4"/>
      <c r="B1119" s="4"/>
      <c r="C1119" s="4"/>
      <c r="D1119" s="4"/>
      <c r="E1119" s="4"/>
      <c r="F1119" s="4"/>
      <c r="G1119" s="4"/>
      <c r="H1119" s="4"/>
      <c r="I1119" s="4"/>
      <c r="J1119" s="4"/>
    </row>
    <row r="1120">
      <c r="A1120" s="4"/>
      <c r="B1120" s="4"/>
      <c r="C1120" s="4"/>
      <c r="D1120" s="4"/>
      <c r="E1120" s="4"/>
      <c r="F1120" s="4"/>
      <c r="G1120" s="4"/>
      <c r="H1120" s="4"/>
      <c r="I1120" s="4"/>
      <c r="J1120" s="4"/>
    </row>
    <row r="1121">
      <c r="A1121" s="4"/>
      <c r="B1121" s="4"/>
      <c r="C1121" s="4"/>
      <c r="D1121" s="4"/>
      <c r="E1121" s="4"/>
      <c r="F1121" s="4"/>
      <c r="G1121" s="4"/>
      <c r="H1121" s="4"/>
      <c r="I1121" s="4"/>
      <c r="J1121" s="4"/>
    </row>
    <row r="1122">
      <c r="A1122" s="4"/>
      <c r="B1122" s="4"/>
      <c r="C1122" s="4"/>
      <c r="D1122" s="4"/>
      <c r="E1122" s="4"/>
      <c r="F1122" s="4"/>
      <c r="G1122" s="4"/>
      <c r="H1122" s="4"/>
      <c r="I1122" s="4"/>
      <c r="J1122" s="4"/>
    </row>
    <row r="1123">
      <c r="A1123" s="4"/>
      <c r="B1123" s="4"/>
      <c r="C1123" s="4"/>
      <c r="D1123" s="4"/>
      <c r="E1123" s="4"/>
      <c r="F1123" s="4"/>
      <c r="G1123" s="4"/>
      <c r="H1123" s="4"/>
      <c r="I1123" s="4"/>
      <c r="J1123" s="4"/>
    </row>
    <row r="1124">
      <c r="A1124" s="4"/>
      <c r="B1124" s="4"/>
      <c r="C1124" s="4"/>
      <c r="D1124" s="4"/>
      <c r="E1124" s="4"/>
      <c r="F1124" s="4"/>
      <c r="G1124" s="4"/>
      <c r="H1124" s="4"/>
      <c r="I1124" s="4"/>
      <c r="J1124" s="4"/>
    </row>
    <row r="1125">
      <c r="A1125" s="4"/>
      <c r="B1125" s="4"/>
      <c r="C1125" s="4"/>
      <c r="D1125" s="4"/>
      <c r="E1125" s="4"/>
      <c r="F1125" s="4"/>
      <c r="G1125" s="4"/>
      <c r="H1125" s="4"/>
      <c r="I1125" s="4"/>
      <c r="J1125" s="4"/>
    </row>
    <row r="1126">
      <c r="A1126" s="4"/>
      <c r="B1126" s="4"/>
      <c r="C1126" s="4"/>
      <c r="D1126" s="4"/>
      <c r="E1126" s="4"/>
      <c r="F1126" s="4"/>
      <c r="G1126" s="4"/>
      <c r="H1126" s="4"/>
      <c r="I1126" s="4"/>
      <c r="J1126" s="4"/>
    </row>
    <row r="1127">
      <c r="A1127" s="4"/>
      <c r="B1127" s="4"/>
      <c r="C1127" s="4"/>
      <c r="D1127" s="4"/>
      <c r="E1127" s="4"/>
      <c r="F1127" s="4"/>
      <c r="G1127" s="4"/>
      <c r="H1127" s="4"/>
      <c r="I1127" s="4"/>
      <c r="J1127" s="4"/>
    </row>
    <row r="1128">
      <c r="A1128" s="4"/>
      <c r="B1128" s="4"/>
      <c r="C1128" s="4"/>
      <c r="D1128" s="4"/>
      <c r="E1128" s="4"/>
      <c r="F1128" s="4"/>
      <c r="G1128" s="4"/>
      <c r="H1128" s="4"/>
      <c r="I1128" s="4"/>
      <c r="J1128" s="4"/>
    </row>
    <row r="1129">
      <c r="A1129" s="4"/>
      <c r="B1129" s="4"/>
      <c r="C1129" s="4"/>
      <c r="D1129" s="4"/>
      <c r="E1129" s="4"/>
      <c r="F1129" s="4"/>
      <c r="G1129" s="4"/>
      <c r="H1129" s="4"/>
      <c r="I1129" s="4"/>
      <c r="J1129" s="4"/>
    </row>
    <row r="1130">
      <c r="A1130" s="4"/>
      <c r="B1130" s="4"/>
      <c r="C1130" s="4"/>
      <c r="D1130" s="4"/>
      <c r="E1130" s="4"/>
      <c r="F1130" s="4"/>
      <c r="G1130" s="4"/>
      <c r="H1130" s="4"/>
      <c r="I1130" s="4"/>
      <c r="J1130" s="4"/>
    </row>
    <row r="1131">
      <c r="A1131" s="4"/>
      <c r="B1131" s="4"/>
      <c r="C1131" s="4"/>
      <c r="D1131" s="4"/>
      <c r="E1131" s="4"/>
      <c r="F1131" s="4"/>
      <c r="G1131" s="4"/>
      <c r="H1131" s="4"/>
      <c r="I1131" s="4"/>
      <c r="J1131" s="4"/>
    </row>
    <row r="1132">
      <c r="A1132" s="4"/>
      <c r="B1132" s="4"/>
      <c r="C1132" s="4"/>
      <c r="D1132" s="4"/>
      <c r="E1132" s="4"/>
      <c r="F1132" s="4"/>
      <c r="G1132" s="4"/>
      <c r="H1132" s="4"/>
      <c r="I1132" s="4"/>
      <c r="J1132" s="4"/>
    </row>
    <row r="1133">
      <c r="A1133" s="4"/>
      <c r="B1133" s="4"/>
      <c r="C1133" s="4"/>
      <c r="D1133" s="4"/>
      <c r="E1133" s="4"/>
      <c r="F1133" s="4"/>
      <c r="G1133" s="4"/>
      <c r="H1133" s="4"/>
      <c r="I1133" s="4"/>
      <c r="J1133" s="4"/>
    </row>
    <row r="1134">
      <c r="A1134" s="4"/>
      <c r="B1134" s="4"/>
      <c r="C1134" s="4"/>
      <c r="D1134" s="4"/>
      <c r="E1134" s="4"/>
      <c r="F1134" s="4"/>
      <c r="G1134" s="4"/>
      <c r="H1134" s="4"/>
      <c r="I1134" s="4"/>
      <c r="J1134" s="4"/>
    </row>
    <row r="1135">
      <c r="A1135" s="4"/>
      <c r="B1135" s="4"/>
      <c r="C1135" s="4"/>
      <c r="D1135" s="4"/>
      <c r="E1135" s="4"/>
      <c r="F1135" s="4"/>
      <c r="G1135" s="4"/>
      <c r="H1135" s="4"/>
      <c r="I1135" s="4"/>
      <c r="J1135" s="4"/>
    </row>
    <row r="1136">
      <c r="A1136" s="4"/>
      <c r="B1136" s="4"/>
      <c r="C1136" s="4"/>
      <c r="D1136" s="4"/>
      <c r="E1136" s="4"/>
      <c r="F1136" s="4"/>
      <c r="G1136" s="4"/>
      <c r="H1136" s="4"/>
      <c r="I1136" s="4"/>
      <c r="J1136" s="4"/>
    </row>
    <row r="1137">
      <c r="A1137" s="4"/>
      <c r="B1137" s="4"/>
      <c r="C1137" s="4"/>
      <c r="D1137" s="4"/>
      <c r="E1137" s="4"/>
      <c r="F1137" s="4"/>
      <c r="G1137" s="4"/>
      <c r="H1137" s="4"/>
      <c r="I1137" s="4"/>
      <c r="J1137" s="4"/>
    </row>
    <row r="1138">
      <c r="A1138" s="4"/>
      <c r="B1138" s="4"/>
      <c r="C1138" s="4"/>
      <c r="D1138" s="4"/>
      <c r="E1138" s="4"/>
      <c r="F1138" s="4"/>
      <c r="G1138" s="4"/>
      <c r="H1138" s="4"/>
      <c r="I1138" s="4"/>
      <c r="J1138" s="4"/>
    </row>
    <row r="1139">
      <c r="A1139" s="4"/>
      <c r="B1139" s="4"/>
      <c r="C1139" s="4"/>
      <c r="D1139" s="4"/>
      <c r="E1139" s="4"/>
      <c r="F1139" s="4"/>
      <c r="G1139" s="4"/>
      <c r="H1139" s="4"/>
      <c r="I1139" s="4"/>
      <c r="J1139" s="4"/>
    </row>
    <row r="1140">
      <c r="A1140" s="4"/>
      <c r="B1140" s="4"/>
      <c r="C1140" s="4"/>
      <c r="D1140" s="4"/>
      <c r="E1140" s="4"/>
      <c r="F1140" s="4"/>
      <c r="G1140" s="4"/>
      <c r="H1140" s="4"/>
      <c r="I1140" s="4"/>
      <c r="J1140" s="4"/>
    </row>
    <row r="1141">
      <c r="A1141" s="4"/>
      <c r="B1141" s="4"/>
      <c r="C1141" s="4"/>
      <c r="D1141" s="4"/>
      <c r="E1141" s="4"/>
      <c r="F1141" s="4"/>
      <c r="G1141" s="4"/>
      <c r="H1141" s="4"/>
      <c r="I1141" s="4"/>
      <c r="J1141" s="4"/>
    </row>
    <row r="1142">
      <c r="A1142" s="4"/>
      <c r="B1142" s="4"/>
      <c r="C1142" s="4"/>
      <c r="D1142" s="4"/>
      <c r="E1142" s="4"/>
      <c r="F1142" s="4"/>
      <c r="G1142" s="4"/>
      <c r="H1142" s="4"/>
      <c r="I1142" s="4"/>
      <c r="J1142" s="4"/>
    </row>
    <row r="1143">
      <c r="A1143" s="4"/>
      <c r="B1143" s="4"/>
      <c r="C1143" s="4"/>
      <c r="D1143" s="4"/>
      <c r="E1143" s="4"/>
      <c r="F1143" s="4"/>
      <c r="G1143" s="4"/>
      <c r="H1143" s="4"/>
      <c r="I1143" s="4"/>
      <c r="J1143" s="4"/>
    </row>
    <row r="1144">
      <c r="A1144" s="4"/>
      <c r="B1144" s="4"/>
      <c r="C1144" s="4"/>
      <c r="D1144" s="4"/>
      <c r="E1144" s="4"/>
      <c r="F1144" s="4"/>
      <c r="G1144" s="4"/>
      <c r="H1144" s="4"/>
      <c r="I1144" s="4"/>
      <c r="J1144" s="4"/>
    </row>
    <row r="1145">
      <c r="A1145" s="4"/>
      <c r="B1145" s="4"/>
      <c r="C1145" s="4"/>
      <c r="D1145" s="4"/>
      <c r="E1145" s="4"/>
      <c r="F1145" s="4"/>
      <c r="G1145" s="4"/>
      <c r="H1145" s="4"/>
      <c r="I1145" s="4"/>
      <c r="J1145" s="4"/>
    </row>
    <row r="1146">
      <c r="A1146" s="4"/>
      <c r="B1146" s="4"/>
      <c r="C1146" s="4"/>
      <c r="D1146" s="4"/>
      <c r="E1146" s="4"/>
      <c r="F1146" s="4"/>
      <c r="G1146" s="4"/>
      <c r="H1146" s="4"/>
      <c r="I1146" s="4"/>
      <c r="J1146" s="4"/>
    </row>
    <row r="1147">
      <c r="A1147" s="4"/>
      <c r="B1147" s="4"/>
      <c r="C1147" s="4"/>
      <c r="D1147" s="4"/>
      <c r="E1147" s="4"/>
      <c r="F1147" s="4"/>
      <c r="G1147" s="4"/>
      <c r="H1147" s="4"/>
      <c r="I1147" s="4"/>
      <c r="J1147" s="4"/>
    </row>
    <row r="1148">
      <c r="A1148" s="4"/>
      <c r="B1148" s="4"/>
      <c r="C1148" s="4"/>
      <c r="D1148" s="4"/>
      <c r="E1148" s="4"/>
      <c r="F1148" s="4"/>
      <c r="G1148" s="4"/>
      <c r="H1148" s="4"/>
      <c r="I1148" s="4"/>
      <c r="J1148" s="4"/>
    </row>
    <row r="1149">
      <c r="A1149" s="4"/>
      <c r="B1149" s="4"/>
      <c r="C1149" s="4"/>
      <c r="D1149" s="4"/>
      <c r="E1149" s="4"/>
      <c r="F1149" s="4"/>
      <c r="G1149" s="4"/>
      <c r="H1149" s="4"/>
      <c r="I1149" s="4"/>
      <c r="J1149" s="4"/>
    </row>
    <row r="1150">
      <c r="A1150" s="4"/>
      <c r="B1150" s="4"/>
      <c r="C1150" s="4"/>
      <c r="D1150" s="4"/>
      <c r="E1150" s="4"/>
      <c r="F1150" s="4"/>
      <c r="G1150" s="4"/>
      <c r="H1150" s="4"/>
      <c r="I1150" s="4"/>
      <c r="J1150" s="4"/>
    </row>
    <row r="1151">
      <c r="A1151" s="4"/>
      <c r="B1151" s="4"/>
      <c r="C1151" s="4"/>
      <c r="D1151" s="4"/>
      <c r="E1151" s="4"/>
      <c r="F1151" s="4"/>
      <c r="G1151" s="4"/>
      <c r="H1151" s="4"/>
      <c r="I1151" s="4"/>
      <c r="J1151" s="4"/>
    </row>
    <row r="1152">
      <c r="A1152" s="4"/>
      <c r="B1152" s="4"/>
      <c r="C1152" s="4"/>
      <c r="D1152" s="4"/>
      <c r="E1152" s="4"/>
      <c r="F1152" s="4"/>
      <c r="G1152" s="4"/>
      <c r="H1152" s="4"/>
      <c r="I1152" s="4"/>
      <c r="J1152" s="4"/>
    </row>
    <row r="1153">
      <c r="A1153" s="4"/>
      <c r="B1153" s="4"/>
      <c r="C1153" s="4"/>
      <c r="D1153" s="4"/>
      <c r="E1153" s="4"/>
      <c r="F1153" s="4"/>
      <c r="G1153" s="4"/>
      <c r="H1153" s="4"/>
      <c r="I1153" s="4"/>
      <c r="J1153" s="4"/>
    </row>
    <row r="1154">
      <c r="A1154" s="4"/>
      <c r="B1154" s="4"/>
      <c r="C1154" s="4"/>
      <c r="D1154" s="4"/>
      <c r="E1154" s="4"/>
      <c r="F1154" s="4"/>
      <c r="G1154" s="4"/>
      <c r="H1154" s="4"/>
      <c r="I1154" s="4"/>
      <c r="J1154" s="4"/>
    </row>
    <row r="1155">
      <c r="A1155" s="4"/>
      <c r="B1155" s="4"/>
      <c r="C1155" s="4"/>
      <c r="D1155" s="4"/>
      <c r="E1155" s="4"/>
      <c r="F1155" s="4"/>
      <c r="G1155" s="4"/>
      <c r="H1155" s="4"/>
      <c r="I1155" s="4"/>
      <c r="J1155" s="4"/>
    </row>
    <row r="1156">
      <c r="A1156" s="4"/>
      <c r="B1156" s="4"/>
      <c r="C1156" s="4"/>
      <c r="D1156" s="4"/>
      <c r="E1156" s="4"/>
      <c r="F1156" s="4"/>
      <c r="G1156" s="4"/>
      <c r="H1156" s="13"/>
      <c r="I1156" s="4"/>
      <c r="J1156" s="4"/>
    </row>
    <row r="1157">
      <c r="A1157" s="4"/>
      <c r="B1157" s="4"/>
      <c r="C1157" s="4"/>
      <c r="D1157" s="4"/>
      <c r="E1157" s="4"/>
      <c r="F1157" s="4"/>
      <c r="G1157" s="4"/>
      <c r="H1157" s="4"/>
      <c r="I1157" s="4"/>
      <c r="J1157" s="4"/>
    </row>
    <row r="1158">
      <c r="A1158" s="4"/>
      <c r="B1158" s="4"/>
      <c r="C1158" s="4"/>
      <c r="D1158" s="4"/>
      <c r="E1158" s="4"/>
      <c r="F1158" s="4"/>
      <c r="G1158" s="4"/>
      <c r="H1158" s="4"/>
      <c r="I1158" s="4"/>
      <c r="J1158" s="4"/>
    </row>
    <row r="1159">
      <c r="A1159" s="4"/>
      <c r="B1159" s="4"/>
      <c r="C1159" s="4"/>
      <c r="D1159" s="4"/>
      <c r="E1159" s="4"/>
      <c r="F1159" s="4"/>
      <c r="G1159" s="4"/>
      <c r="H1159" s="4"/>
      <c r="I1159" s="4"/>
      <c r="J1159" s="4"/>
    </row>
    <row r="1160">
      <c r="A1160" s="4"/>
      <c r="B1160" s="4"/>
      <c r="C1160" s="4"/>
      <c r="D1160" s="4"/>
      <c r="E1160" s="4"/>
      <c r="F1160" s="4"/>
      <c r="G1160" s="4"/>
      <c r="H1160" s="4"/>
      <c r="I1160" s="4"/>
      <c r="J1160" s="4"/>
    </row>
    <row r="1161">
      <c r="A1161" s="4"/>
      <c r="B1161" s="4"/>
      <c r="C1161" s="4"/>
      <c r="D1161" s="4"/>
      <c r="E1161" s="4"/>
      <c r="F1161" s="4"/>
      <c r="G1161" s="4"/>
      <c r="H1161" s="13"/>
      <c r="I1161" s="4"/>
      <c r="J1161" s="4"/>
    </row>
    <row r="1162">
      <c r="A1162" s="4"/>
      <c r="B1162" s="4"/>
      <c r="C1162" s="4"/>
      <c r="D1162" s="4"/>
      <c r="E1162" s="4"/>
      <c r="F1162" s="4"/>
      <c r="G1162" s="4"/>
      <c r="H1162" s="4"/>
      <c r="I1162" s="4"/>
      <c r="J1162" s="4"/>
    </row>
    <row r="1163">
      <c r="A1163" s="4"/>
      <c r="B1163" s="4"/>
      <c r="C1163" s="4"/>
      <c r="D1163" s="4"/>
      <c r="E1163" s="4"/>
      <c r="F1163" s="4"/>
      <c r="G1163" s="4"/>
      <c r="H1163" s="4"/>
      <c r="I1163" s="4"/>
      <c r="J1163" s="4"/>
    </row>
    <row r="1164">
      <c r="A1164" s="4"/>
      <c r="B1164" s="4"/>
      <c r="C1164" s="4"/>
      <c r="D1164" s="4"/>
      <c r="E1164" s="4"/>
      <c r="F1164" s="4"/>
      <c r="G1164" s="4"/>
      <c r="H1164" s="4"/>
      <c r="I1164" s="4"/>
      <c r="J1164" s="4"/>
    </row>
    <row r="1165">
      <c r="A1165" s="4"/>
      <c r="B1165" s="4"/>
      <c r="C1165" s="4"/>
      <c r="D1165" s="4"/>
      <c r="E1165" s="4"/>
      <c r="F1165" s="4"/>
      <c r="G1165" s="4"/>
      <c r="H1165" s="4"/>
      <c r="I1165" s="4"/>
      <c r="J1165" s="4"/>
    </row>
    <row r="1166">
      <c r="A1166" s="4"/>
      <c r="B1166" s="4"/>
      <c r="C1166" s="4"/>
      <c r="D1166" s="4"/>
      <c r="E1166" s="4"/>
      <c r="F1166" s="4"/>
      <c r="G1166" s="4"/>
      <c r="H1166" s="4"/>
      <c r="I1166" s="4"/>
      <c r="J1166" s="4"/>
    </row>
    <row r="1167">
      <c r="A1167" s="4"/>
      <c r="B1167" s="4"/>
      <c r="C1167" s="4"/>
      <c r="D1167" s="4"/>
      <c r="E1167" s="4"/>
      <c r="F1167" s="4"/>
      <c r="G1167" s="4"/>
      <c r="H1167" s="4"/>
      <c r="I1167" s="4"/>
      <c r="J1167" s="4"/>
    </row>
    <row r="1168">
      <c r="A1168" s="4"/>
      <c r="B1168" s="4"/>
      <c r="C1168" s="4"/>
      <c r="D1168" s="4"/>
      <c r="E1168" s="4"/>
      <c r="F1168" s="4"/>
      <c r="G1168" s="4"/>
      <c r="H1168" s="4"/>
      <c r="I1168" s="4"/>
      <c r="J1168" s="4"/>
    </row>
    <row r="1169">
      <c r="A1169" s="4"/>
      <c r="B1169" s="4"/>
      <c r="C1169" s="4"/>
      <c r="D1169" s="4"/>
      <c r="E1169" s="4"/>
      <c r="F1169" s="4"/>
      <c r="G1169" s="4"/>
      <c r="H1169" s="4"/>
      <c r="I1169" s="4"/>
      <c r="J1169" s="4"/>
    </row>
    <row r="1170">
      <c r="A1170" s="4"/>
      <c r="B1170" s="4"/>
      <c r="C1170" s="4"/>
      <c r="D1170" s="4"/>
      <c r="E1170" s="4"/>
      <c r="F1170" s="4"/>
      <c r="G1170" s="4"/>
      <c r="H1170" s="4"/>
      <c r="I1170" s="4"/>
      <c r="J1170" s="4"/>
    </row>
    <row r="1171">
      <c r="A1171" s="4"/>
      <c r="B1171" s="4"/>
      <c r="C1171" s="4"/>
      <c r="D1171" s="4"/>
      <c r="E1171" s="4"/>
      <c r="F1171" s="4"/>
      <c r="G1171" s="4"/>
      <c r="H1171" s="4"/>
      <c r="I1171" s="4"/>
      <c r="J1171" s="4"/>
    </row>
    <row r="1172">
      <c r="A1172" s="4"/>
      <c r="B1172" s="4"/>
      <c r="C1172" s="4"/>
      <c r="D1172" s="4"/>
      <c r="E1172" s="4"/>
      <c r="F1172" s="4"/>
      <c r="G1172" s="4"/>
      <c r="H1172" s="4"/>
      <c r="I1172" s="4"/>
      <c r="J1172" s="4"/>
    </row>
    <row r="1173">
      <c r="A1173" s="4"/>
      <c r="B1173" s="4"/>
      <c r="C1173" s="4"/>
      <c r="D1173" s="4"/>
      <c r="E1173" s="4"/>
      <c r="F1173" s="4"/>
      <c r="G1173" s="4"/>
      <c r="H1173" s="4"/>
      <c r="I1173" s="4"/>
      <c r="J1173" s="4"/>
    </row>
    <row r="1174">
      <c r="A1174" s="4"/>
      <c r="B1174" s="4"/>
      <c r="C1174" s="4"/>
      <c r="D1174" s="4"/>
      <c r="E1174" s="4"/>
      <c r="F1174" s="4"/>
      <c r="G1174" s="4"/>
      <c r="H1174" s="4"/>
      <c r="I1174" s="4"/>
      <c r="J1174" s="4"/>
    </row>
    <row r="1175">
      <c r="A1175" s="4"/>
      <c r="B1175" s="4"/>
      <c r="C1175" s="4"/>
      <c r="D1175" s="4"/>
      <c r="E1175" s="4"/>
      <c r="F1175" s="4"/>
      <c r="G1175" s="4"/>
      <c r="H1175" s="4"/>
      <c r="I1175" s="4"/>
      <c r="J1175" s="4"/>
    </row>
    <row r="1176">
      <c r="A1176" s="4"/>
      <c r="B1176" s="4"/>
      <c r="C1176" s="4"/>
      <c r="D1176" s="4"/>
      <c r="E1176" s="4"/>
      <c r="F1176" s="4"/>
      <c r="G1176" s="4"/>
      <c r="H1176" s="4"/>
      <c r="I1176" s="4"/>
      <c r="J1176" s="4"/>
    </row>
    <row r="1177">
      <c r="A1177" s="4"/>
      <c r="B1177" s="4"/>
      <c r="C1177" s="4"/>
      <c r="D1177" s="4"/>
      <c r="E1177" s="4"/>
      <c r="F1177" s="4"/>
      <c r="G1177" s="4"/>
      <c r="H1177" s="4"/>
      <c r="I1177" s="4"/>
      <c r="J1177" s="4"/>
    </row>
    <row r="1178">
      <c r="A1178" s="4"/>
      <c r="B1178" s="4"/>
      <c r="C1178" s="4"/>
      <c r="D1178" s="4"/>
      <c r="E1178" s="4"/>
      <c r="F1178" s="4"/>
      <c r="G1178" s="4"/>
      <c r="H1178" s="13"/>
      <c r="I1178" s="4"/>
      <c r="J1178" s="4"/>
    </row>
    <row r="1179">
      <c r="A1179" s="4"/>
      <c r="B1179" s="4"/>
      <c r="C1179" s="4"/>
      <c r="D1179" s="4"/>
      <c r="E1179" s="4"/>
      <c r="F1179" s="4"/>
      <c r="G1179" s="4"/>
      <c r="H1179" s="4"/>
      <c r="I1179" s="4"/>
      <c r="J1179" s="4"/>
    </row>
    <row r="1180">
      <c r="A1180" s="4"/>
      <c r="B1180" s="4"/>
      <c r="C1180" s="4"/>
      <c r="D1180" s="4"/>
      <c r="E1180" s="4"/>
      <c r="F1180" s="4"/>
      <c r="G1180" s="4"/>
      <c r="H1180" s="4"/>
      <c r="I1180" s="4"/>
      <c r="J1180" s="4"/>
    </row>
    <row r="1181">
      <c r="A1181" s="4"/>
      <c r="B1181" s="4"/>
      <c r="C1181" s="4"/>
      <c r="D1181" s="4"/>
      <c r="E1181" s="4"/>
      <c r="F1181" s="4"/>
      <c r="G1181" s="4"/>
      <c r="H1181" s="4"/>
      <c r="I1181" s="4"/>
      <c r="J1181" s="4"/>
    </row>
    <row r="1182">
      <c r="A1182" s="4"/>
      <c r="B1182" s="4"/>
      <c r="C1182" s="4"/>
      <c r="D1182" s="4"/>
      <c r="E1182" s="4"/>
      <c r="F1182" s="4"/>
      <c r="G1182" s="4"/>
      <c r="H1182" s="4"/>
      <c r="I1182" s="4"/>
      <c r="J1182" s="4"/>
    </row>
    <row r="1183">
      <c r="A1183" s="4"/>
      <c r="B1183" s="4"/>
      <c r="C1183" s="4"/>
      <c r="D1183" s="4"/>
      <c r="E1183" s="4"/>
      <c r="F1183" s="4"/>
      <c r="G1183" s="4"/>
      <c r="H1183" s="4"/>
      <c r="I1183" s="4"/>
      <c r="J1183" s="4"/>
    </row>
    <row r="1184">
      <c r="A1184" s="4"/>
      <c r="B1184" s="4"/>
      <c r="C1184" s="4"/>
      <c r="D1184" s="4"/>
      <c r="E1184" s="4"/>
      <c r="F1184" s="4"/>
      <c r="G1184" s="4"/>
      <c r="H1184" s="4"/>
      <c r="I1184" s="4"/>
      <c r="J1184" s="4"/>
    </row>
    <row r="1185">
      <c r="A1185" s="4"/>
      <c r="B1185" s="4"/>
      <c r="C1185" s="4"/>
      <c r="D1185" s="4"/>
      <c r="E1185" s="4"/>
      <c r="F1185" s="4"/>
      <c r="G1185" s="4"/>
      <c r="H1185" s="4"/>
      <c r="I1185" s="4"/>
      <c r="J1185" s="4"/>
    </row>
    <row r="1186">
      <c r="A1186" s="4"/>
      <c r="B1186" s="4"/>
      <c r="C1186" s="4"/>
      <c r="D1186" s="4"/>
      <c r="E1186" s="4"/>
      <c r="F1186" s="4"/>
      <c r="G1186" s="4"/>
      <c r="H1186" s="4"/>
      <c r="I1186" s="4"/>
      <c r="J1186" s="4"/>
    </row>
    <row r="1187">
      <c r="A1187" s="4"/>
      <c r="B1187" s="4"/>
      <c r="C1187" s="4"/>
      <c r="D1187" s="4"/>
      <c r="E1187" s="4"/>
      <c r="F1187" s="4"/>
      <c r="G1187" s="4"/>
      <c r="H1187" s="4"/>
      <c r="I1187" s="4"/>
      <c r="J1187" s="4"/>
    </row>
    <row r="1188">
      <c r="A1188" s="4"/>
      <c r="B1188" s="4"/>
      <c r="C1188" s="4"/>
      <c r="D1188" s="4"/>
      <c r="E1188" s="4"/>
      <c r="F1188" s="4"/>
      <c r="G1188" s="4"/>
      <c r="H1188" s="4"/>
      <c r="I1188" s="4"/>
      <c r="J1188" s="4"/>
    </row>
    <row r="1189">
      <c r="A1189" s="4"/>
      <c r="B1189" s="4"/>
      <c r="C1189" s="4"/>
      <c r="D1189" s="4"/>
      <c r="E1189" s="4"/>
      <c r="F1189" s="4"/>
      <c r="G1189" s="4"/>
      <c r="H1189" s="4"/>
      <c r="I1189" s="4"/>
      <c r="J1189" s="4"/>
    </row>
    <row r="1190">
      <c r="A1190" s="4"/>
      <c r="B1190" s="4"/>
      <c r="C1190" s="4"/>
      <c r="D1190" s="4"/>
      <c r="E1190" s="4"/>
      <c r="F1190" s="4"/>
      <c r="G1190" s="4"/>
      <c r="H1190" s="4"/>
      <c r="I1190" s="4"/>
      <c r="J1190" s="4"/>
    </row>
    <row r="1191">
      <c r="A1191" s="4"/>
      <c r="B1191" s="4"/>
      <c r="C1191" s="4"/>
      <c r="D1191" s="4"/>
      <c r="E1191" s="4"/>
      <c r="F1191" s="4"/>
      <c r="G1191" s="4"/>
      <c r="H1191" s="4"/>
      <c r="I1191" s="4"/>
      <c r="J1191" s="4"/>
    </row>
    <row r="1192">
      <c r="A1192" s="4"/>
      <c r="B1192" s="4"/>
      <c r="C1192" s="4"/>
      <c r="D1192" s="4"/>
      <c r="E1192" s="4"/>
      <c r="F1192" s="4"/>
      <c r="G1192" s="4"/>
      <c r="H1192" s="4"/>
      <c r="I1192" s="4"/>
      <c r="J1192" s="4"/>
    </row>
    <row r="1193">
      <c r="A1193" s="4"/>
      <c r="B1193" s="4"/>
      <c r="C1193" s="4"/>
      <c r="D1193" s="4"/>
      <c r="E1193" s="4"/>
      <c r="F1193" s="4"/>
      <c r="G1193" s="4"/>
      <c r="H1193" s="4"/>
      <c r="I1193" s="4"/>
      <c r="J1193" s="4"/>
    </row>
    <row r="1194">
      <c r="A1194" s="4"/>
      <c r="B1194" s="4"/>
      <c r="C1194" s="4"/>
      <c r="D1194" s="4"/>
      <c r="E1194" s="4"/>
      <c r="F1194" s="4"/>
      <c r="G1194" s="4"/>
      <c r="H1194" s="4"/>
      <c r="I1194" s="4"/>
      <c r="J1194" s="4"/>
    </row>
    <row r="1195">
      <c r="A1195" s="4"/>
      <c r="B1195" s="4"/>
      <c r="C1195" s="4"/>
      <c r="D1195" s="4"/>
      <c r="E1195" s="4"/>
      <c r="F1195" s="4"/>
      <c r="G1195" s="4"/>
      <c r="H1195" s="4"/>
      <c r="I1195" s="4"/>
      <c r="J1195" s="4"/>
    </row>
    <row r="1196">
      <c r="A1196" s="4"/>
      <c r="B1196" s="4"/>
      <c r="C1196" s="4"/>
      <c r="D1196" s="4"/>
      <c r="E1196" s="4"/>
      <c r="F1196" s="4"/>
      <c r="G1196" s="4"/>
      <c r="H1196" s="4"/>
      <c r="I1196" s="4"/>
      <c r="J1196" s="4"/>
    </row>
    <row r="1197">
      <c r="A1197" s="4"/>
      <c r="B1197" s="4"/>
      <c r="C1197" s="4"/>
      <c r="D1197" s="4"/>
      <c r="E1197" s="4"/>
      <c r="F1197" s="4"/>
      <c r="G1197" s="4"/>
      <c r="H1197" s="4"/>
      <c r="I1197" s="4"/>
      <c r="J1197" s="4"/>
    </row>
    <row r="1198">
      <c r="A1198" s="4"/>
      <c r="B1198" s="4"/>
      <c r="C1198" s="4"/>
      <c r="D1198" s="4"/>
      <c r="E1198" s="4"/>
      <c r="F1198" s="4"/>
      <c r="G1198" s="4"/>
      <c r="H1198" s="4"/>
      <c r="I1198" s="4"/>
      <c r="J1198" s="4"/>
    </row>
    <row r="1199">
      <c r="A1199" s="4"/>
      <c r="B1199" s="4"/>
      <c r="C1199" s="4"/>
      <c r="D1199" s="4"/>
      <c r="E1199" s="4"/>
      <c r="F1199" s="4"/>
      <c r="G1199" s="4"/>
      <c r="H1199" s="4"/>
      <c r="I1199" s="4"/>
      <c r="J1199" s="4"/>
    </row>
    <row r="1200">
      <c r="A1200" s="4"/>
      <c r="B1200" s="4"/>
      <c r="C1200" s="4"/>
      <c r="D1200" s="4"/>
      <c r="E1200" s="4"/>
      <c r="F1200" s="4"/>
      <c r="G1200" s="4"/>
      <c r="H1200" s="4"/>
      <c r="I1200" s="4"/>
      <c r="J1200" s="4"/>
    </row>
    <row r="1201">
      <c r="A1201" s="4"/>
      <c r="B1201" s="4"/>
      <c r="C1201" s="4"/>
      <c r="D1201" s="4"/>
      <c r="E1201" s="4"/>
      <c r="F1201" s="4"/>
      <c r="G1201" s="4"/>
      <c r="H1201" s="4"/>
      <c r="I1201" s="4"/>
      <c r="J1201" s="4"/>
    </row>
    <row r="1202">
      <c r="A1202" s="4"/>
      <c r="B1202" s="4"/>
      <c r="C1202" s="4"/>
      <c r="D1202" s="4"/>
      <c r="E1202" s="4"/>
      <c r="F1202" s="4"/>
      <c r="G1202" s="4"/>
      <c r="H1202" s="4"/>
      <c r="I1202" s="4"/>
      <c r="J1202" s="4"/>
    </row>
    <row r="1203">
      <c r="A1203" s="4"/>
      <c r="B1203" s="4"/>
      <c r="C1203" s="4"/>
      <c r="D1203" s="4"/>
      <c r="E1203" s="4"/>
      <c r="F1203" s="4"/>
      <c r="G1203" s="4"/>
      <c r="H1203" s="4"/>
      <c r="I1203" s="4"/>
      <c r="J1203" s="4"/>
    </row>
    <row r="1204">
      <c r="A1204" s="4"/>
      <c r="B1204" s="4"/>
      <c r="C1204" s="4"/>
      <c r="D1204" s="4"/>
      <c r="E1204" s="4"/>
      <c r="F1204" s="4"/>
      <c r="G1204" s="4"/>
      <c r="H1204" s="4"/>
      <c r="I1204" s="4"/>
      <c r="J1204" s="4"/>
    </row>
    <row r="1205">
      <c r="A1205" s="4"/>
      <c r="B1205" s="4"/>
      <c r="C1205" s="4"/>
      <c r="D1205" s="4"/>
      <c r="E1205" s="4"/>
      <c r="F1205" s="4"/>
      <c r="G1205" s="4"/>
      <c r="H1205" s="4"/>
      <c r="I1205" s="4"/>
      <c r="J1205" s="4"/>
    </row>
    <row r="1206">
      <c r="A1206" s="4"/>
      <c r="B1206" s="4"/>
      <c r="C1206" s="4"/>
      <c r="D1206" s="4"/>
      <c r="E1206" s="4"/>
      <c r="F1206" s="4"/>
      <c r="G1206" s="4"/>
      <c r="H1206" s="4"/>
      <c r="I1206" s="4"/>
      <c r="J1206" s="4"/>
    </row>
    <row r="1207">
      <c r="A1207" s="4"/>
      <c r="B1207" s="4"/>
      <c r="C1207" s="4"/>
      <c r="D1207" s="4"/>
      <c r="E1207" s="4"/>
      <c r="F1207" s="4"/>
      <c r="G1207" s="4"/>
      <c r="H1207" s="4"/>
      <c r="I1207" s="4"/>
      <c r="J1207" s="4"/>
    </row>
    <row r="1208">
      <c r="A1208" s="4"/>
      <c r="B1208" s="4"/>
      <c r="C1208" s="4"/>
      <c r="D1208" s="4"/>
      <c r="E1208" s="4"/>
      <c r="F1208" s="4"/>
      <c r="G1208" s="4"/>
      <c r="H1208" s="4"/>
      <c r="I1208" s="4"/>
      <c r="J1208" s="4"/>
    </row>
    <row r="1209">
      <c r="A1209" s="4"/>
      <c r="B1209" s="4"/>
      <c r="C1209" s="4"/>
      <c r="D1209" s="4"/>
      <c r="E1209" s="4"/>
      <c r="F1209" s="4"/>
      <c r="G1209" s="4"/>
      <c r="H1209" s="4"/>
      <c r="I1209" s="4"/>
      <c r="J1209" s="4"/>
    </row>
    <row r="1210">
      <c r="A1210" s="4"/>
      <c r="B1210" s="4"/>
      <c r="C1210" s="4"/>
      <c r="D1210" s="4"/>
      <c r="E1210" s="4"/>
      <c r="F1210" s="4"/>
      <c r="G1210" s="4"/>
      <c r="H1210" s="4"/>
      <c r="I1210" s="4"/>
      <c r="J1210" s="4"/>
    </row>
    <row r="1211">
      <c r="A1211" s="4"/>
      <c r="B1211" s="4"/>
      <c r="C1211" s="4"/>
      <c r="D1211" s="4"/>
      <c r="E1211" s="4"/>
      <c r="F1211" s="4"/>
      <c r="G1211" s="4"/>
      <c r="H1211" s="4"/>
      <c r="I1211" s="4"/>
      <c r="J1211" s="4"/>
    </row>
    <row r="1212">
      <c r="A1212" s="4"/>
      <c r="B1212" s="4"/>
      <c r="C1212" s="4"/>
      <c r="D1212" s="4"/>
      <c r="E1212" s="4"/>
      <c r="F1212" s="4"/>
      <c r="G1212" s="4"/>
      <c r="H1212" s="4"/>
      <c r="I1212" s="4"/>
      <c r="J1212" s="4"/>
    </row>
    <row r="1213">
      <c r="A1213" s="4"/>
      <c r="B1213" s="4"/>
      <c r="C1213" s="4"/>
      <c r="D1213" s="4"/>
      <c r="E1213" s="4"/>
      <c r="F1213" s="4"/>
      <c r="G1213" s="4"/>
      <c r="H1213" s="4"/>
      <c r="I1213" s="4"/>
      <c r="J1213" s="4"/>
    </row>
    <row r="1214">
      <c r="A1214" s="4"/>
      <c r="B1214" s="4"/>
      <c r="C1214" s="4"/>
      <c r="D1214" s="4"/>
      <c r="E1214" s="4"/>
      <c r="F1214" s="4"/>
      <c r="G1214" s="4"/>
      <c r="H1214" s="4"/>
      <c r="I1214" s="4"/>
      <c r="J1214" s="4"/>
    </row>
    <row r="1215">
      <c r="A1215" s="4"/>
      <c r="B1215" s="4"/>
      <c r="C1215" s="4"/>
      <c r="D1215" s="4"/>
      <c r="E1215" s="4"/>
      <c r="F1215" s="4"/>
      <c r="G1215" s="4"/>
      <c r="H1215" s="13"/>
      <c r="I1215" s="4"/>
      <c r="J1215" s="4"/>
    </row>
    <row r="1216">
      <c r="A1216" s="4"/>
      <c r="B1216" s="4"/>
      <c r="C1216" s="4"/>
      <c r="D1216" s="4"/>
      <c r="E1216" s="4"/>
      <c r="F1216" s="4"/>
      <c r="G1216" s="4"/>
      <c r="H1216" s="4"/>
      <c r="I1216" s="4"/>
      <c r="J1216" s="4"/>
    </row>
    <row r="1217">
      <c r="A1217" s="4"/>
      <c r="B1217" s="4"/>
      <c r="C1217" s="4"/>
      <c r="D1217" s="4"/>
      <c r="E1217" s="4"/>
      <c r="F1217" s="4"/>
      <c r="G1217" s="4"/>
      <c r="H1217" s="13"/>
      <c r="I1217" s="4"/>
      <c r="J1217" s="4"/>
    </row>
    <row r="1218">
      <c r="A1218" s="4"/>
      <c r="B1218" s="4"/>
      <c r="C1218" s="4"/>
      <c r="D1218" s="4"/>
      <c r="E1218" s="4"/>
      <c r="F1218" s="4"/>
      <c r="G1218" s="4"/>
      <c r="H1218" s="4"/>
      <c r="I1218" s="4"/>
      <c r="J1218" s="4"/>
    </row>
    <row r="1219">
      <c r="A1219" s="4"/>
      <c r="B1219" s="4"/>
      <c r="C1219" s="4"/>
      <c r="D1219" s="4"/>
      <c r="E1219" s="4"/>
      <c r="F1219" s="4"/>
      <c r="G1219" s="4"/>
      <c r="H1219" s="4"/>
      <c r="I1219" s="4"/>
      <c r="J1219" s="4"/>
    </row>
    <row r="1220">
      <c r="A1220" s="4"/>
      <c r="B1220" s="4"/>
      <c r="C1220" s="4"/>
      <c r="D1220" s="4"/>
      <c r="E1220" s="4"/>
      <c r="F1220" s="4"/>
      <c r="G1220" s="4"/>
      <c r="H1220" s="4"/>
      <c r="I1220" s="4"/>
      <c r="J1220" s="4"/>
    </row>
    <row r="1221">
      <c r="A1221" s="4"/>
      <c r="B1221" s="4"/>
      <c r="C1221" s="4"/>
      <c r="D1221" s="4"/>
      <c r="E1221" s="4"/>
      <c r="F1221" s="4"/>
      <c r="G1221" s="4"/>
      <c r="H1221" s="4"/>
      <c r="I1221" s="4"/>
      <c r="J1221" s="4"/>
    </row>
    <row r="1222">
      <c r="A1222" s="4"/>
      <c r="B1222" s="4"/>
      <c r="C1222" s="4"/>
      <c r="D1222" s="4"/>
      <c r="E1222" s="4"/>
      <c r="F1222" s="4"/>
      <c r="G1222" s="4"/>
      <c r="H1222" s="4"/>
      <c r="I1222" s="4"/>
      <c r="J1222" s="4"/>
    </row>
    <row r="1223">
      <c r="A1223" s="4"/>
      <c r="B1223" s="4"/>
      <c r="C1223" s="4"/>
      <c r="D1223" s="4"/>
      <c r="E1223" s="4"/>
      <c r="F1223" s="4"/>
      <c r="G1223" s="4"/>
      <c r="H1223" s="4"/>
      <c r="I1223" s="4"/>
      <c r="J1223" s="4"/>
    </row>
    <row r="1224">
      <c r="A1224" s="4"/>
      <c r="B1224" s="4"/>
      <c r="C1224" s="4"/>
      <c r="D1224" s="4"/>
      <c r="E1224" s="4"/>
      <c r="F1224" s="4"/>
      <c r="G1224" s="4"/>
      <c r="H1224" s="4"/>
      <c r="I1224" s="4"/>
      <c r="J1224" s="4"/>
    </row>
    <row r="1225">
      <c r="A1225" s="4"/>
      <c r="B1225" s="4"/>
      <c r="C1225" s="4"/>
      <c r="D1225" s="4"/>
      <c r="E1225" s="4"/>
      <c r="F1225" s="4"/>
      <c r="G1225" s="4"/>
      <c r="H1225" s="4"/>
      <c r="I1225" s="4"/>
      <c r="J1225" s="4"/>
    </row>
    <row r="1226">
      <c r="A1226" s="4"/>
      <c r="B1226" s="4"/>
      <c r="C1226" s="4"/>
      <c r="D1226" s="4"/>
      <c r="E1226" s="4"/>
      <c r="F1226" s="4"/>
      <c r="G1226" s="4"/>
      <c r="H1226" s="4"/>
      <c r="I1226" s="4"/>
      <c r="J1226" s="4"/>
    </row>
    <row r="1227">
      <c r="A1227" s="4"/>
      <c r="B1227" s="4"/>
      <c r="C1227" s="4"/>
      <c r="D1227" s="4"/>
      <c r="E1227" s="4"/>
      <c r="F1227" s="4"/>
      <c r="G1227" s="4"/>
      <c r="H1227" s="4"/>
      <c r="I1227" s="4"/>
      <c r="J1227" s="4"/>
    </row>
    <row r="1228">
      <c r="A1228" s="4"/>
      <c r="B1228" s="4"/>
      <c r="C1228" s="4"/>
      <c r="D1228" s="4"/>
      <c r="E1228" s="4"/>
      <c r="F1228" s="4"/>
      <c r="G1228" s="4"/>
      <c r="H1228" s="4"/>
      <c r="I1228" s="4"/>
      <c r="J1228" s="4"/>
    </row>
    <row r="1229">
      <c r="A1229" s="4"/>
      <c r="B1229" s="4"/>
      <c r="C1229" s="4"/>
      <c r="D1229" s="4"/>
      <c r="E1229" s="4"/>
      <c r="F1229" s="4"/>
      <c r="G1229" s="4"/>
      <c r="H1229" s="4"/>
      <c r="I1229" s="4"/>
      <c r="J1229" s="4"/>
    </row>
    <row r="1230">
      <c r="A1230" s="4"/>
      <c r="B1230" s="4"/>
      <c r="C1230" s="4"/>
      <c r="D1230" s="4"/>
      <c r="E1230" s="4"/>
      <c r="F1230" s="4"/>
      <c r="G1230" s="4"/>
      <c r="H1230" s="4"/>
      <c r="I1230" s="4"/>
      <c r="J1230" s="4"/>
    </row>
    <row r="1231">
      <c r="A1231" s="4"/>
      <c r="B1231" s="4"/>
      <c r="C1231" s="4"/>
      <c r="D1231" s="4"/>
      <c r="E1231" s="4"/>
      <c r="F1231" s="4"/>
      <c r="G1231" s="4"/>
      <c r="H1231" s="4"/>
      <c r="I1231" s="4"/>
      <c r="J1231" s="4"/>
    </row>
    <row r="1232">
      <c r="A1232" s="4"/>
      <c r="B1232" s="4"/>
      <c r="C1232" s="4"/>
      <c r="D1232" s="4"/>
      <c r="E1232" s="4"/>
      <c r="F1232" s="4"/>
      <c r="G1232" s="4"/>
      <c r="H1232" s="4"/>
      <c r="I1232" s="4"/>
      <c r="J1232" s="4"/>
    </row>
    <row r="1233">
      <c r="A1233" s="4"/>
      <c r="B1233" s="4"/>
      <c r="C1233" s="4"/>
      <c r="D1233" s="4"/>
      <c r="E1233" s="4"/>
      <c r="F1233" s="4"/>
      <c r="G1233" s="4"/>
      <c r="H1233" s="4"/>
      <c r="I1233" s="4"/>
      <c r="J1233" s="4"/>
    </row>
    <row r="1234">
      <c r="A1234" s="4"/>
      <c r="B1234" s="4"/>
      <c r="C1234" s="4"/>
      <c r="D1234" s="4"/>
      <c r="E1234" s="4"/>
      <c r="F1234" s="4"/>
      <c r="G1234" s="4"/>
      <c r="H1234" s="4"/>
      <c r="I1234" s="4"/>
      <c r="J1234" s="4"/>
    </row>
    <row r="1235">
      <c r="A1235" s="4"/>
      <c r="B1235" s="4"/>
      <c r="C1235" s="4"/>
      <c r="D1235" s="4"/>
      <c r="E1235" s="4"/>
      <c r="F1235" s="4"/>
      <c r="G1235" s="4"/>
      <c r="H1235" s="4"/>
      <c r="I1235" s="4"/>
      <c r="J1235" s="4"/>
    </row>
    <row r="1236">
      <c r="A1236" s="4"/>
      <c r="B1236" s="4"/>
      <c r="C1236" s="4"/>
      <c r="D1236" s="4"/>
      <c r="E1236" s="4"/>
      <c r="F1236" s="4"/>
      <c r="G1236" s="4"/>
      <c r="H1236" s="4"/>
      <c r="I1236" s="4"/>
      <c r="J1236" s="4"/>
    </row>
    <row r="1237">
      <c r="A1237" s="4"/>
      <c r="B1237" s="4"/>
      <c r="C1237" s="4"/>
      <c r="D1237" s="4"/>
      <c r="E1237" s="4"/>
      <c r="F1237" s="4"/>
      <c r="G1237" s="4"/>
      <c r="H1237" s="4"/>
      <c r="I1237" s="4"/>
      <c r="J1237" s="4"/>
    </row>
    <row r="1238">
      <c r="A1238" s="4"/>
      <c r="B1238" s="4"/>
      <c r="C1238" s="4"/>
      <c r="D1238" s="4"/>
      <c r="E1238" s="4"/>
      <c r="F1238" s="4"/>
      <c r="G1238" s="4"/>
      <c r="H1238" s="4"/>
      <c r="I1238" s="4"/>
      <c r="J1238" s="4"/>
    </row>
    <row r="1239">
      <c r="A1239" s="4"/>
      <c r="B1239" s="4"/>
      <c r="C1239" s="4"/>
      <c r="D1239" s="4"/>
      <c r="E1239" s="4"/>
      <c r="F1239" s="4"/>
      <c r="G1239" s="4"/>
      <c r="H1239" s="4"/>
      <c r="I1239" s="4"/>
      <c r="J1239" s="4"/>
    </row>
    <row r="1240">
      <c r="A1240" s="4"/>
      <c r="B1240" s="4"/>
      <c r="C1240" s="4"/>
      <c r="D1240" s="4"/>
      <c r="E1240" s="4"/>
      <c r="F1240" s="4"/>
      <c r="G1240" s="4"/>
      <c r="H1240" s="4"/>
      <c r="I1240" s="4"/>
      <c r="J1240" s="4"/>
    </row>
    <row r="1241">
      <c r="A1241" s="4"/>
      <c r="B1241" s="4"/>
      <c r="C1241" s="4"/>
      <c r="D1241" s="4"/>
      <c r="E1241" s="4"/>
      <c r="F1241" s="4"/>
      <c r="G1241" s="4"/>
      <c r="H1241" s="4"/>
      <c r="I1241" s="4"/>
      <c r="J1241" s="4"/>
    </row>
    <row r="1242">
      <c r="A1242" s="4"/>
      <c r="B1242" s="4"/>
      <c r="C1242" s="4"/>
      <c r="D1242" s="4"/>
      <c r="E1242" s="4"/>
      <c r="F1242" s="4"/>
      <c r="G1242" s="4"/>
      <c r="H1242" s="4"/>
      <c r="I1242" s="4"/>
      <c r="J1242" s="4"/>
    </row>
    <row r="1243">
      <c r="A1243" s="4"/>
      <c r="B1243" s="4"/>
      <c r="C1243" s="4"/>
      <c r="D1243" s="4"/>
      <c r="E1243" s="4"/>
      <c r="F1243" s="4"/>
      <c r="G1243" s="4"/>
      <c r="H1243" s="4"/>
      <c r="I1243" s="4"/>
      <c r="J1243" s="4"/>
    </row>
    <row r="1244">
      <c r="A1244" s="4"/>
      <c r="B1244" s="4"/>
      <c r="C1244" s="4"/>
      <c r="D1244" s="4"/>
      <c r="E1244" s="4"/>
      <c r="F1244" s="4"/>
      <c r="G1244" s="4"/>
      <c r="H1244" s="4"/>
      <c r="I1244" s="4"/>
      <c r="J1244" s="4"/>
    </row>
    <row r="1245">
      <c r="A1245" s="4"/>
      <c r="B1245" s="4"/>
      <c r="C1245" s="4"/>
      <c r="D1245" s="4"/>
      <c r="E1245" s="4"/>
      <c r="F1245" s="4"/>
      <c r="G1245" s="4"/>
      <c r="H1245" s="4"/>
      <c r="I1245" s="4"/>
      <c r="J1245" s="4"/>
    </row>
    <row r="1246">
      <c r="A1246" s="4"/>
      <c r="B1246" s="4"/>
      <c r="C1246" s="4"/>
      <c r="D1246" s="4"/>
      <c r="E1246" s="4"/>
      <c r="F1246" s="4"/>
      <c r="G1246" s="4"/>
      <c r="H1246" s="4"/>
      <c r="I1246" s="4"/>
      <c r="J1246" s="4"/>
    </row>
    <row r="1247">
      <c r="A1247" s="4"/>
      <c r="B1247" s="4"/>
      <c r="C1247" s="4"/>
      <c r="D1247" s="4"/>
      <c r="E1247" s="4"/>
      <c r="F1247" s="4"/>
      <c r="G1247" s="4"/>
      <c r="H1247" s="4"/>
      <c r="I1247" s="4"/>
      <c r="J1247" s="4"/>
    </row>
    <row r="1248">
      <c r="A1248" s="4"/>
      <c r="B1248" s="4"/>
      <c r="C1248" s="4"/>
      <c r="D1248" s="4"/>
      <c r="E1248" s="4"/>
      <c r="F1248" s="4"/>
      <c r="G1248" s="4"/>
      <c r="H1248" s="4"/>
      <c r="I1248" s="4"/>
      <c r="J1248" s="4"/>
    </row>
    <row r="1249">
      <c r="A1249" s="4"/>
      <c r="B1249" s="4"/>
      <c r="C1249" s="4"/>
      <c r="D1249" s="4"/>
      <c r="E1249" s="4"/>
      <c r="F1249" s="4"/>
      <c r="G1249" s="4"/>
      <c r="H1249" s="4"/>
      <c r="I1249" s="4"/>
      <c r="J1249" s="4"/>
    </row>
    <row r="1250">
      <c r="A1250" s="4"/>
      <c r="B1250" s="4"/>
      <c r="C1250" s="4"/>
      <c r="D1250" s="4"/>
      <c r="E1250" s="4"/>
      <c r="F1250" s="4"/>
      <c r="G1250" s="4"/>
      <c r="H1250" s="4"/>
      <c r="I1250" s="4"/>
      <c r="J1250" s="4"/>
    </row>
    <row r="1251">
      <c r="A1251" s="4"/>
      <c r="B1251" s="4"/>
      <c r="C1251" s="4"/>
      <c r="D1251" s="4"/>
      <c r="E1251" s="4"/>
      <c r="F1251" s="4"/>
      <c r="G1251" s="4"/>
      <c r="H1251" s="4"/>
      <c r="I1251" s="4"/>
      <c r="J1251" s="4"/>
    </row>
    <row r="1252">
      <c r="A1252" s="4"/>
      <c r="B1252" s="4"/>
      <c r="C1252" s="4"/>
      <c r="D1252" s="4"/>
      <c r="E1252" s="4"/>
      <c r="F1252" s="4"/>
      <c r="G1252" s="4"/>
      <c r="H1252" s="4"/>
      <c r="I1252" s="4"/>
      <c r="J1252" s="4"/>
    </row>
    <row r="1253">
      <c r="A1253" s="4"/>
      <c r="B1253" s="4"/>
      <c r="C1253" s="4"/>
      <c r="D1253" s="4"/>
      <c r="E1253" s="4"/>
      <c r="F1253" s="4"/>
      <c r="G1253" s="4"/>
      <c r="H1253" s="4"/>
      <c r="I1253" s="4"/>
      <c r="J1253" s="4"/>
    </row>
    <row r="1254">
      <c r="A1254" s="4"/>
      <c r="B1254" s="4"/>
      <c r="C1254" s="4"/>
      <c r="D1254" s="4"/>
      <c r="E1254" s="4"/>
      <c r="F1254" s="4"/>
      <c r="G1254" s="4"/>
      <c r="H1254" s="4"/>
      <c r="I1254" s="4"/>
      <c r="J1254" s="4"/>
    </row>
    <row r="1255">
      <c r="A1255" s="4"/>
      <c r="B1255" s="4"/>
      <c r="C1255" s="4"/>
      <c r="D1255" s="4"/>
      <c r="E1255" s="4"/>
      <c r="F1255" s="4"/>
      <c r="G1255" s="4"/>
      <c r="H1255" s="4"/>
      <c r="I1255" s="4"/>
      <c r="J1255" s="4"/>
    </row>
    <row r="1256">
      <c r="A1256" s="4"/>
      <c r="B1256" s="4"/>
      <c r="C1256" s="4"/>
      <c r="D1256" s="4"/>
      <c r="E1256" s="4"/>
      <c r="F1256" s="4"/>
      <c r="G1256" s="4"/>
      <c r="H1256" s="4"/>
      <c r="I1256" s="4"/>
      <c r="J1256" s="4"/>
    </row>
    <row r="1257">
      <c r="A1257" s="4"/>
      <c r="B1257" s="4"/>
      <c r="C1257" s="4"/>
      <c r="D1257" s="4"/>
      <c r="E1257" s="4"/>
      <c r="F1257" s="4"/>
      <c r="G1257" s="4"/>
      <c r="H1257" s="4"/>
      <c r="I1257" s="4"/>
      <c r="J1257" s="4"/>
    </row>
    <row r="1258">
      <c r="A1258" s="4"/>
      <c r="B1258" s="4"/>
      <c r="C1258" s="4"/>
      <c r="D1258" s="4"/>
      <c r="E1258" s="4"/>
      <c r="F1258" s="4"/>
      <c r="G1258" s="4"/>
      <c r="H1258" s="4"/>
      <c r="I1258" s="4"/>
      <c r="J1258" s="4"/>
    </row>
    <row r="1259">
      <c r="A1259" s="4"/>
      <c r="B1259" s="4"/>
      <c r="C1259" s="4"/>
      <c r="D1259" s="4"/>
      <c r="E1259" s="4"/>
      <c r="F1259" s="4"/>
      <c r="G1259" s="4"/>
      <c r="H1259" s="4"/>
      <c r="I1259" s="4"/>
      <c r="J1259" s="4"/>
    </row>
    <row r="1260">
      <c r="A1260" s="4"/>
      <c r="B1260" s="4"/>
      <c r="C1260" s="4"/>
      <c r="D1260" s="4"/>
      <c r="E1260" s="4"/>
      <c r="F1260" s="4"/>
      <c r="G1260" s="4"/>
      <c r="H1260" s="4"/>
      <c r="I1260" s="4"/>
      <c r="J1260" s="4"/>
    </row>
    <row r="1261">
      <c r="A1261" s="4"/>
      <c r="B1261" s="4"/>
      <c r="C1261" s="4"/>
      <c r="D1261" s="4"/>
      <c r="E1261" s="4"/>
      <c r="F1261" s="4"/>
      <c r="G1261" s="4"/>
      <c r="H1261" s="4"/>
      <c r="I1261" s="4"/>
      <c r="J1261" s="4"/>
    </row>
    <row r="1262">
      <c r="A1262" s="4"/>
      <c r="B1262" s="4"/>
      <c r="C1262" s="4"/>
      <c r="D1262" s="4"/>
      <c r="E1262" s="4"/>
      <c r="F1262" s="4"/>
      <c r="G1262" s="4"/>
      <c r="H1262" s="4"/>
      <c r="I1262" s="4"/>
      <c r="J1262" s="4"/>
    </row>
    <row r="1263">
      <c r="A1263" s="4"/>
      <c r="B1263" s="4"/>
      <c r="C1263" s="4"/>
      <c r="D1263" s="4"/>
      <c r="E1263" s="4"/>
      <c r="F1263" s="4"/>
      <c r="G1263" s="4"/>
      <c r="H1263" s="4"/>
      <c r="I1263" s="4"/>
      <c r="J1263" s="4"/>
    </row>
    <row r="1264">
      <c r="A1264" s="4"/>
      <c r="B1264" s="4"/>
      <c r="C1264" s="4"/>
      <c r="D1264" s="4"/>
      <c r="E1264" s="4"/>
      <c r="F1264" s="4"/>
      <c r="G1264" s="4"/>
      <c r="H1264" s="4"/>
      <c r="I1264" s="4"/>
      <c r="J1264" s="4"/>
    </row>
    <row r="1265">
      <c r="A1265" s="4"/>
      <c r="B1265" s="4"/>
      <c r="C1265" s="4"/>
      <c r="D1265" s="4"/>
      <c r="E1265" s="4"/>
      <c r="F1265" s="4"/>
      <c r="G1265" s="4"/>
      <c r="H1265" s="4"/>
      <c r="I1265" s="4"/>
      <c r="J1265" s="4"/>
    </row>
    <row r="1266">
      <c r="A1266" s="4"/>
      <c r="B1266" s="4"/>
      <c r="C1266" s="4"/>
      <c r="D1266" s="4"/>
      <c r="E1266" s="4"/>
      <c r="F1266" s="4"/>
      <c r="G1266" s="4"/>
      <c r="H1266" s="4"/>
      <c r="I1266" s="4"/>
      <c r="J1266" s="4"/>
    </row>
    <row r="1267">
      <c r="A1267" s="4"/>
      <c r="B1267" s="4"/>
      <c r="C1267" s="4"/>
      <c r="D1267" s="4"/>
      <c r="E1267" s="4"/>
      <c r="F1267" s="4"/>
      <c r="G1267" s="4"/>
      <c r="H1267" s="4"/>
      <c r="I1267" s="4"/>
      <c r="J1267" s="4"/>
    </row>
    <row r="1268">
      <c r="A1268" s="4"/>
      <c r="B1268" s="4"/>
      <c r="C1268" s="4"/>
      <c r="D1268" s="4"/>
      <c r="E1268" s="4"/>
      <c r="F1268" s="4"/>
      <c r="G1268" s="4"/>
      <c r="H1268" s="4"/>
      <c r="I1268" s="4"/>
      <c r="J1268" s="4"/>
    </row>
    <row r="1269">
      <c r="A1269" s="4"/>
      <c r="B1269" s="4"/>
      <c r="C1269" s="4"/>
      <c r="D1269" s="4"/>
      <c r="E1269" s="4"/>
      <c r="F1269" s="4"/>
      <c r="G1269" s="4"/>
      <c r="H1269" s="4"/>
      <c r="I1269" s="4"/>
      <c r="J1269" s="4"/>
    </row>
    <row r="1270">
      <c r="A1270" s="4"/>
      <c r="B1270" s="4"/>
      <c r="C1270" s="4"/>
      <c r="D1270" s="4"/>
      <c r="E1270" s="4"/>
      <c r="F1270" s="4"/>
      <c r="G1270" s="4"/>
      <c r="H1270" s="4"/>
      <c r="I1270" s="4"/>
      <c r="J1270" s="4"/>
    </row>
    <row r="1271">
      <c r="A1271" s="4"/>
      <c r="B1271" s="4"/>
      <c r="C1271" s="4"/>
      <c r="D1271" s="4"/>
      <c r="E1271" s="4"/>
      <c r="F1271" s="4"/>
      <c r="G1271" s="4"/>
      <c r="H1271" s="4"/>
      <c r="I1271" s="4"/>
      <c r="J1271" s="4"/>
    </row>
    <row r="1272">
      <c r="A1272" s="4"/>
      <c r="B1272" s="4"/>
      <c r="C1272" s="4"/>
      <c r="D1272" s="4"/>
      <c r="E1272" s="4"/>
      <c r="F1272" s="4"/>
      <c r="G1272" s="4"/>
      <c r="H1272" s="4"/>
      <c r="I1272" s="4"/>
      <c r="J1272" s="4"/>
    </row>
    <row r="1273">
      <c r="A1273" s="4"/>
      <c r="B1273" s="4"/>
      <c r="C1273" s="4"/>
      <c r="D1273" s="4"/>
      <c r="E1273" s="4"/>
      <c r="F1273" s="4"/>
      <c r="G1273" s="4"/>
      <c r="H1273" s="4"/>
      <c r="I1273" s="4"/>
      <c r="J1273" s="4"/>
    </row>
    <row r="1274">
      <c r="A1274" s="4"/>
      <c r="B1274" s="4"/>
      <c r="C1274" s="4"/>
      <c r="D1274" s="4"/>
      <c r="E1274" s="4"/>
      <c r="F1274" s="4"/>
      <c r="G1274" s="4"/>
      <c r="H1274" s="13"/>
      <c r="I1274" s="4"/>
      <c r="J1274" s="4"/>
    </row>
    <row r="1275">
      <c r="A1275" s="4"/>
      <c r="B1275" s="4"/>
      <c r="C1275" s="4"/>
      <c r="D1275" s="4"/>
      <c r="E1275" s="4"/>
      <c r="F1275" s="4"/>
      <c r="G1275" s="4"/>
      <c r="H1275" s="4"/>
      <c r="I1275" s="4"/>
      <c r="J1275" s="4"/>
    </row>
    <row r="1276">
      <c r="A1276" s="4"/>
      <c r="B1276" s="4"/>
      <c r="C1276" s="4"/>
      <c r="D1276" s="4"/>
      <c r="E1276" s="4"/>
      <c r="F1276" s="4"/>
      <c r="G1276" s="4"/>
      <c r="H1276" s="4"/>
      <c r="I1276" s="4"/>
      <c r="J1276" s="4"/>
    </row>
    <row r="1277">
      <c r="A1277" s="4"/>
      <c r="B1277" s="4"/>
      <c r="C1277" s="4"/>
      <c r="D1277" s="4"/>
      <c r="E1277" s="4"/>
      <c r="F1277" s="4"/>
      <c r="G1277" s="4"/>
      <c r="H1277" s="4"/>
      <c r="I1277" s="4"/>
      <c r="J1277" s="4"/>
    </row>
    <row r="1278">
      <c r="A1278" s="4"/>
      <c r="B1278" s="4"/>
      <c r="C1278" s="4"/>
      <c r="D1278" s="4"/>
      <c r="E1278" s="4"/>
      <c r="F1278" s="4"/>
      <c r="G1278" s="4"/>
      <c r="H1278" s="4"/>
      <c r="I1278" s="4"/>
      <c r="J1278" s="4"/>
    </row>
    <row r="1279">
      <c r="A1279" s="4"/>
      <c r="B1279" s="4"/>
      <c r="C1279" s="4"/>
      <c r="D1279" s="4"/>
      <c r="E1279" s="4"/>
      <c r="F1279" s="4"/>
      <c r="G1279" s="4"/>
      <c r="H1279" s="4"/>
      <c r="I1279" s="4"/>
      <c r="J1279" s="4"/>
    </row>
    <row r="1280">
      <c r="A1280" s="4"/>
      <c r="B1280" s="4"/>
      <c r="C1280" s="4"/>
      <c r="D1280" s="4"/>
      <c r="E1280" s="4"/>
      <c r="F1280" s="4"/>
      <c r="G1280" s="4"/>
      <c r="H1280" s="4"/>
      <c r="I1280" s="4"/>
      <c r="J1280" s="4"/>
    </row>
    <row r="1281">
      <c r="A1281" s="4"/>
      <c r="B1281" s="4"/>
      <c r="C1281" s="4"/>
      <c r="D1281" s="4"/>
      <c r="E1281" s="4"/>
      <c r="F1281" s="4"/>
      <c r="G1281" s="4"/>
      <c r="H1281" s="4"/>
      <c r="I1281" s="4"/>
      <c r="J1281" s="4"/>
    </row>
    <row r="1282">
      <c r="A1282" s="4"/>
      <c r="B1282" s="4"/>
      <c r="C1282" s="4"/>
      <c r="D1282" s="4"/>
      <c r="E1282" s="4"/>
      <c r="F1282" s="4"/>
      <c r="G1282" s="4"/>
      <c r="H1282" s="4"/>
      <c r="I1282" s="4"/>
      <c r="J1282" s="4"/>
    </row>
    <row r="1283">
      <c r="A1283" s="4"/>
      <c r="B1283" s="4"/>
      <c r="C1283" s="4"/>
      <c r="D1283" s="4"/>
      <c r="E1283" s="4"/>
      <c r="F1283" s="4"/>
      <c r="G1283" s="4"/>
      <c r="H1283" s="4"/>
      <c r="I1283" s="4"/>
      <c r="J1283" s="4"/>
    </row>
    <row r="1284">
      <c r="A1284" s="4"/>
      <c r="B1284" s="4"/>
      <c r="C1284" s="4"/>
      <c r="D1284" s="4"/>
      <c r="E1284" s="4"/>
      <c r="F1284" s="4"/>
      <c r="G1284" s="4"/>
      <c r="H1284" s="4"/>
      <c r="I1284" s="4"/>
      <c r="J1284" s="4"/>
    </row>
    <row r="1285">
      <c r="A1285" s="4"/>
      <c r="B1285" s="4"/>
      <c r="C1285" s="4"/>
      <c r="D1285" s="4"/>
      <c r="E1285" s="4"/>
      <c r="F1285" s="4"/>
      <c r="G1285" s="4"/>
      <c r="H1285" s="13"/>
      <c r="I1285" s="4"/>
      <c r="J1285" s="4"/>
    </row>
    <row r="1286">
      <c r="A1286" s="4"/>
      <c r="B1286" s="4"/>
      <c r="C1286" s="4"/>
      <c r="D1286" s="4"/>
      <c r="E1286" s="4"/>
      <c r="F1286" s="4"/>
      <c r="G1286" s="4"/>
      <c r="H1286" s="4"/>
      <c r="I1286" s="4"/>
      <c r="J1286" s="4"/>
    </row>
    <row r="1287">
      <c r="A1287" s="4"/>
      <c r="B1287" s="4"/>
      <c r="C1287" s="4"/>
      <c r="D1287" s="4"/>
      <c r="E1287" s="4"/>
      <c r="F1287" s="4"/>
      <c r="G1287" s="4"/>
      <c r="H1287" s="4"/>
      <c r="I1287" s="4"/>
      <c r="J1287" s="4"/>
    </row>
    <row r="1288">
      <c r="A1288" s="4"/>
      <c r="B1288" s="4"/>
      <c r="C1288" s="4"/>
      <c r="D1288" s="4"/>
      <c r="E1288" s="4"/>
      <c r="F1288" s="4"/>
      <c r="G1288" s="4"/>
      <c r="H1288" s="13"/>
      <c r="I1288" s="4"/>
      <c r="J1288" s="4"/>
    </row>
    <row r="1289">
      <c r="A1289" s="4"/>
      <c r="B1289" s="4"/>
      <c r="C1289" s="4"/>
      <c r="D1289" s="4"/>
      <c r="E1289" s="4"/>
      <c r="F1289" s="4"/>
      <c r="G1289" s="4"/>
      <c r="H1289" s="4"/>
      <c r="I1289" s="4"/>
      <c r="J1289" s="4"/>
    </row>
    <row r="1290">
      <c r="A1290" s="4"/>
      <c r="B1290" s="4"/>
      <c r="C1290" s="4"/>
      <c r="D1290" s="4"/>
      <c r="E1290" s="4"/>
      <c r="F1290" s="4"/>
      <c r="G1290" s="4"/>
      <c r="H1290" s="4"/>
      <c r="I1290" s="4"/>
      <c r="J1290" s="4"/>
    </row>
    <row r="1291">
      <c r="A1291" s="4"/>
      <c r="B1291" s="4"/>
      <c r="C1291" s="4"/>
      <c r="D1291" s="4"/>
      <c r="E1291" s="4"/>
      <c r="F1291" s="4"/>
      <c r="G1291" s="4"/>
      <c r="H1291" s="4"/>
      <c r="I1291" s="4"/>
      <c r="J1291" s="4"/>
    </row>
    <row r="1292">
      <c r="A1292" s="4"/>
      <c r="B1292" s="4"/>
      <c r="C1292" s="4"/>
      <c r="D1292" s="4"/>
      <c r="E1292" s="4"/>
      <c r="F1292" s="4"/>
      <c r="G1292" s="4"/>
      <c r="H1292" s="4"/>
      <c r="I1292" s="4"/>
      <c r="J1292" s="4"/>
    </row>
    <row r="1293">
      <c r="A1293" s="4"/>
      <c r="B1293" s="4"/>
      <c r="C1293" s="4"/>
      <c r="D1293" s="4"/>
      <c r="E1293" s="4"/>
      <c r="F1293" s="4"/>
      <c r="G1293" s="4"/>
      <c r="H1293" s="4"/>
      <c r="I1293" s="4"/>
      <c r="J1293" s="4"/>
    </row>
    <row r="1294">
      <c r="A1294" s="4"/>
      <c r="B1294" s="4"/>
      <c r="C1294" s="4"/>
      <c r="D1294" s="4"/>
      <c r="E1294" s="4"/>
      <c r="F1294" s="4"/>
      <c r="G1294" s="4"/>
      <c r="H1294" s="4"/>
      <c r="I1294" s="4"/>
      <c r="J1294" s="4"/>
    </row>
    <row r="1295">
      <c r="A1295" s="4"/>
      <c r="B1295" s="4"/>
      <c r="C1295" s="4"/>
      <c r="D1295" s="4"/>
      <c r="E1295" s="4"/>
      <c r="F1295" s="4"/>
      <c r="G1295" s="4"/>
      <c r="H1295" s="4"/>
      <c r="I1295" s="4"/>
      <c r="J1295" s="4"/>
    </row>
    <row r="1296">
      <c r="A1296" s="4"/>
      <c r="B1296" s="4"/>
      <c r="C1296" s="4"/>
      <c r="D1296" s="4"/>
      <c r="E1296" s="4"/>
      <c r="F1296" s="4"/>
      <c r="G1296" s="4"/>
      <c r="H1296" s="4"/>
      <c r="I1296" s="4"/>
      <c r="J1296" s="4"/>
    </row>
    <row r="1297">
      <c r="A1297" s="4"/>
      <c r="B1297" s="4"/>
      <c r="C1297" s="4"/>
      <c r="D1297" s="4"/>
      <c r="E1297" s="4"/>
      <c r="F1297" s="4"/>
      <c r="G1297" s="4"/>
      <c r="H1297" s="4"/>
      <c r="I1297" s="4"/>
      <c r="J1297" s="4"/>
    </row>
    <row r="1298">
      <c r="A1298" s="4"/>
      <c r="B1298" s="4"/>
      <c r="C1298" s="4"/>
      <c r="D1298" s="4"/>
      <c r="E1298" s="4"/>
      <c r="F1298" s="4"/>
      <c r="G1298" s="4"/>
      <c r="H1298" s="4"/>
      <c r="I1298" s="4"/>
      <c r="J1298" s="4"/>
    </row>
    <row r="1299">
      <c r="A1299" s="4"/>
      <c r="B1299" s="4"/>
      <c r="C1299" s="4"/>
      <c r="D1299" s="4"/>
      <c r="E1299" s="4"/>
      <c r="F1299" s="4"/>
      <c r="G1299" s="4"/>
      <c r="H1299" s="4"/>
      <c r="I1299" s="4"/>
      <c r="J1299" s="4"/>
    </row>
    <row r="1300">
      <c r="A1300" s="4"/>
      <c r="B1300" s="4"/>
      <c r="C1300" s="4"/>
      <c r="D1300" s="4"/>
      <c r="E1300" s="4"/>
      <c r="F1300" s="4"/>
      <c r="G1300" s="4"/>
      <c r="H1300" s="4"/>
      <c r="I1300" s="4"/>
      <c r="J1300" s="4"/>
    </row>
    <row r="1301">
      <c r="A1301" s="4"/>
      <c r="B1301" s="4"/>
      <c r="C1301" s="4"/>
      <c r="D1301" s="4"/>
      <c r="E1301" s="4"/>
      <c r="F1301" s="4"/>
      <c r="G1301" s="4"/>
      <c r="H1301" s="4"/>
      <c r="I1301" s="4"/>
      <c r="J1301" s="4"/>
    </row>
    <row r="1302">
      <c r="A1302" s="4"/>
      <c r="B1302" s="4"/>
      <c r="C1302" s="4"/>
      <c r="D1302" s="4"/>
      <c r="E1302" s="4"/>
      <c r="F1302" s="4"/>
      <c r="G1302" s="4"/>
      <c r="H1302" s="4"/>
      <c r="I1302" s="4"/>
      <c r="J1302" s="4"/>
    </row>
    <row r="1303">
      <c r="A1303" s="4"/>
      <c r="B1303" s="4"/>
      <c r="C1303" s="4"/>
      <c r="D1303" s="4"/>
      <c r="E1303" s="4"/>
      <c r="F1303" s="4"/>
      <c r="G1303" s="4"/>
      <c r="H1303" s="4"/>
      <c r="I1303" s="4"/>
      <c r="J1303" s="4"/>
    </row>
    <row r="1304">
      <c r="A1304" s="4"/>
      <c r="B1304" s="4"/>
      <c r="C1304" s="4"/>
      <c r="D1304" s="4"/>
      <c r="E1304" s="4"/>
      <c r="F1304" s="4"/>
      <c r="G1304" s="4"/>
      <c r="H1304" s="4"/>
      <c r="I1304" s="4"/>
      <c r="J1304" s="4"/>
    </row>
    <row r="1305">
      <c r="A1305" s="4"/>
      <c r="B1305" s="4"/>
      <c r="C1305" s="4"/>
      <c r="D1305" s="4"/>
      <c r="E1305" s="4"/>
      <c r="F1305" s="4"/>
      <c r="G1305" s="4"/>
      <c r="H1305" s="4"/>
      <c r="I1305" s="4"/>
      <c r="J1305" s="4"/>
    </row>
    <row r="1306">
      <c r="A1306" s="4"/>
      <c r="B1306" s="4"/>
      <c r="C1306" s="4"/>
      <c r="D1306" s="4"/>
      <c r="E1306" s="4"/>
      <c r="F1306" s="4"/>
      <c r="G1306" s="4"/>
      <c r="H1306" s="4"/>
      <c r="I1306" s="4"/>
      <c r="J1306" s="4"/>
    </row>
    <row r="1307">
      <c r="A1307" s="4"/>
      <c r="B1307" s="4"/>
      <c r="C1307" s="4"/>
      <c r="D1307" s="4"/>
      <c r="E1307" s="4"/>
      <c r="F1307" s="4"/>
      <c r="G1307" s="4"/>
      <c r="H1307" s="13"/>
      <c r="I1307" s="4"/>
      <c r="J1307" s="4"/>
    </row>
    <row r="1308">
      <c r="A1308" s="4"/>
      <c r="B1308" s="4"/>
      <c r="C1308" s="4"/>
      <c r="D1308" s="4"/>
      <c r="E1308" s="4"/>
      <c r="F1308" s="4"/>
      <c r="G1308" s="4"/>
      <c r="H1308" s="4"/>
      <c r="I1308" s="4"/>
      <c r="J1308" s="4"/>
    </row>
    <row r="1309">
      <c r="A1309" s="4"/>
      <c r="B1309" s="4"/>
      <c r="C1309" s="4"/>
      <c r="D1309" s="4"/>
      <c r="E1309" s="4"/>
      <c r="F1309" s="4"/>
      <c r="G1309" s="4"/>
      <c r="H1309" s="4"/>
      <c r="I1309" s="4"/>
      <c r="J1309" s="4"/>
    </row>
    <row r="1310">
      <c r="A1310" s="4"/>
      <c r="B1310" s="4"/>
      <c r="C1310" s="4"/>
      <c r="D1310" s="4"/>
      <c r="E1310" s="4"/>
      <c r="F1310" s="4"/>
      <c r="G1310" s="4"/>
      <c r="H1310" s="13"/>
      <c r="I1310" s="4"/>
      <c r="J1310" s="4"/>
    </row>
    <row r="1311">
      <c r="A1311" s="4"/>
      <c r="B1311" s="4"/>
      <c r="C1311" s="4"/>
      <c r="D1311" s="4"/>
      <c r="E1311" s="4"/>
      <c r="F1311" s="4"/>
      <c r="G1311" s="4"/>
      <c r="H1311" s="4"/>
      <c r="I1311" s="4"/>
      <c r="J1311" s="4"/>
    </row>
    <row r="1312">
      <c r="A1312" s="4"/>
      <c r="B1312" s="4"/>
      <c r="C1312" s="4"/>
      <c r="D1312" s="4"/>
      <c r="E1312" s="4"/>
      <c r="F1312" s="4"/>
      <c r="G1312" s="4"/>
      <c r="H1312" s="4"/>
      <c r="I1312" s="4"/>
      <c r="J1312" s="4"/>
    </row>
    <row r="1313">
      <c r="A1313" s="4"/>
      <c r="B1313" s="4"/>
      <c r="C1313" s="4"/>
      <c r="D1313" s="4"/>
      <c r="E1313" s="4"/>
      <c r="F1313" s="4"/>
      <c r="G1313" s="4"/>
      <c r="H1313" s="4"/>
      <c r="I1313" s="4"/>
      <c r="J1313" s="4"/>
    </row>
    <row r="1314">
      <c r="A1314" s="4"/>
      <c r="B1314" s="4"/>
      <c r="C1314" s="4"/>
      <c r="D1314" s="4"/>
      <c r="E1314" s="4"/>
      <c r="F1314" s="4"/>
      <c r="G1314" s="4"/>
      <c r="H1314" s="4"/>
      <c r="I1314" s="4"/>
      <c r="J1314" s="4"/>
    </row>
    <row r="1315">
      <c r="A1315" s="4"/>
      <c r="B1315" s="4"/>
      <c r="C1315" s="4"/>
      <c r="D1315" s="4"/>
      <c r="E1315" s="4"/>
      <c r="F1315" s="4"/>
      <c r="G1315" s="4"/>
      <c r="H1315" s="4"/>
      <c r="I1315" s="4"/>
      <c r="J1315" s="4"/>
    </row>
    <row r="1316">
      <c r="A1316" s="4"/>
      <c r="B1316" s="4"/>
      <c r="C1316" s="4"/>
      <c r="D1316" s="4"/>
      <c r="E1316" s="4"/>
      <c r="F1316" s="4"/>
      <c r="G1316" s="4"/>
      <c r="H1316" s="4"/>
      <c r="I1316" s="4"/>
      <c r="J1316" s="4"/>
    </row>
    <row r="1317">
      <c r="A1317" s="4"/>
      <c r="B1317" s="4"/>
      <c r="C1317" s="4"/>
      <c r="D1317" s="4"/>
      <c r="E1317" s="4"/>
      <c r="F1317" s="4"/>
      <c r="G1317" s="4"/>
      <c r="H1317" s="4"/>
      <c r="I1317" s="4"/>
      <c r="J1317" s="4"/>
    </row>
    <row r="1318">
      <c r="A1318" s="4"/>
      <c r="B1318" s="4"/>
      <c r="C1318" s="4"/>
      <c r="D1318" s="4"/>
      <c r="E1318" s="4"/>
      <c r="F1318" s="4"/>
      <c r="G1318" s="4"/>
      <c r="H1318" s="4"/>
      <c r="I1318" s="4"/>
      <c r="J1318" s="4"/>
    </row>
    <row r="1319">
      <c r="A1319" s="4"/>
      <c r="B1319" s="4"/>
      <c r="C1319" s="4"/>
      <c r="D1319" s="4"/>
      <c r="E1319" s="4"/>
      <c r="F1319" s="4"/>
      <c r="G1319" s="4"/>
      <c r="H1319" s="4"/>
      <c r="I1319" s="4"/>
      <c r="J1319" s="4"/>
    </row>
    <row r="1320">
      <c r="A1320" s="4"/>
      <c r="B1320" s="4"/>
      <c r="C1320" s="4"/>
      <c r="D1320" s="4"/>
      <c r="E1320" s="4"/>
      <c r="F1320" s="4"/>
      <c r="G1320" s="4"/>
      <c r="H1320" s="4"/>
      <c r="I1320" s="4"/>
      <c r="J1320" s="4"/>
    </row>
    <row r="1321">
      <c r="A1321" s="4"/>
      <c r="B1321" s="4"/>
      <c r="C1321" s="4"/>
      <c r="D1321" s="4"/>
      <c r="E1321" s="4"/>
      <c r="F1321" s="4"/>
      <c r="G1321" s="4"/>
      <c r="H1321" s="4"/>
      <c r="I1321" s="4"/>
      <c r="J1321" s="4"/>
    </row>
    <row r="1322">
      <c r="A1322" s="4"/>
      <c r="B1322" s="4"/>
      <c r="C1322" s="4"/>
      <c r="D1322" s="4"/>
      <c r="E1322" s="4"/>
      <c r="F1322" s="4"/>
      <c r="G1322" s="4"/>
      <c r="H1322" s="4"/>
      <c r="I1322" s="4"/>
      <c r="J1322" s="4"/>
    </row>
    <row r="1323">
      <c r="A1323" s="4"/>
      <c r="B1323" s="4"/>
      <c r="C1323" s="4"/>
      <c r="D1323" s="4"/>
      <c r="E1323" s="4"/>
      <c r="F1323" s="4"/>
      <c r="G1323" s="4"/>
      <c r="H1323" s="4"/>
      <c r="I1323" s="4"/>
      <c r="J1323" s="4"/>
    </row>
    <row r="1324">
      <c r="A1324" s="4"/>
      <c r="B1324" s="4"/>
      <c r="C1324" s="4"/>
      <c r="D1324" s="4"/>
      <c r="E1324" s="4"/>
      <c r="F1324" s="4"/>
      <c r="G1324" s="4"/>
      <c r="H1324" s="4"/>
      <c r="I1324" s="4"/>
      <c r="J1324" s="4"/>
    </row>
    <row r="1325">
      <c r="A1325" s="4"/>
      <c r="B1325" s="4"/>
      <c r="C1325" s="4"/>
      <c r="D1325" s="4"/>
      <c r="E1325" s="4"/>
      <c r="F1325" s="4"/>
      <c r="G1325" s="4"/>
      <c r="H1325" s="13"/>
      <c r="I1325" s="4"/>
      <c r="J1325" s="4"/>
    </row>
    <row r="1326">
      <c r="A1326" s="4"/>
      <c r="B1326" s="4"/>
      <c r="C1326" s="4"/>
      <c r="D1326" s="4"/>
      <c r="E1326" s="4"/>
      <c r="F1326" s="4"/>
      <c r="G1326" s="4"/>
      <c r="H1326" s="4"/>
      <c r="I1326" s="4"/>
      <c r="J1326" s="4"/>
    </row>
    <row r="1327">
      <c r="A1327" s="4"/>
      <c r="B1327" s="4"/>
      <c r="C1327" s="4"/>
      <c r="D1327" s="4"/>
      <c r="E1327" s="4"/>
      <c r="F1327" s="4"/>
      <c r="G1327" s="4"/>
      <c r="H1327" s="4"/>
      <c r="I1327" s="4"/>
      <c r="J1327" s="4"/>
    </row>
    <row r="1328">
      <c r="A1328" s="4"/>
      <c r="B1328" s="4"/>
      <c r="C1328" s="4"/>
      <c r="D1328" s="4"/>
      <c r="E1328" s="4"/>
      <c r="F1328" s="4"/>
      <c r="G1328" s="4"/>
      <c r="H1328" s="4"/>
      <c r="I1328" s="4"/>
      <c r="J1328" s="4"/>
    </row>
    <row r="1329">
      <c r="A1329" s="4"/>
      <c r="B1329" s="4"/>
      <c r="C1329" s="4"/>
      <c r="D1329" s="4"/>
      <c r="E1329" s="4"/>
      <c r="F1329" s="4"/>
      <c r="G1329" s="4"/>
      <c r="H1329" s="13"/>
      <c r="I1329" s="4"/>
      <c r="J1329" s="4"/>
    </row>
    <row r="1330">
      <c r="A1330" s="4"/>
      <c r="B1330" s="4"/>
      <c r="C1330" s="4"/>
      <c r="D1330" s="4"/>
      <c r="E1330" s="4"/>
      <c r="F1330" s="4"/>
      <c r="G1330" s="4"/>
      <c r="H1330" s="13"/>
      <c r="I1330" s="4"/>
      <c r="J1330" s="4"/>
    </row>
    <row r="1331">
      <c r="A1331" s="4"/>
      <c r="B1331" s="4"/>
      <c r="C1331" s="4"/>
      <c r="D1331" s="4"/>
      <c r="E1331" s="4"/>
      <c r="F1331" s="4"/>
      <c r="G1331" s="4"/>
      <c r="H1331" s="13"/>
      <c r="I1331" s="4"/>
      <c r="J1331" s="4"/>
    </row>
    <row r="1332">
      <c r="A1332" s="4"/>
      <c r="B1332" s="4"/>
      <c r="C1332" s="4"/>
      <c r="D1332" s="4"/>
      <c r="E1332" s="4"/>
      <c r="F1332" s="4"/>
      <c r="G1332" s="4"/>
      <c r="H1332" s="13"/>
      <c r="I1332" s="4"/>
      <c r="J1332" s="4"/>
    </row>
    <row r="1333">
      <c r="A1333" s="4"/>
      <c r="B1333" s="4"/>
      <c r="C1333" s="4"/>
      <c r="D1333" s="4"/>
      <c r="E1333" s="4"/>
      <c r="F1333" s="4"/>
      <c r="G1333" s="4"/>
      <c r="H1333" s="13"/>
      <c r="I1333" s="4"/>
      <c r="J1333" s="4"/>
    </row>
    <row r="1334">
      <c r="A1334" s="4"/>
      <c r="B1334" s="4"/>
      <c r="C1334" s="4"/>
      <c r="D1334" s="4"/>
      <c r="E1334" s="4"/>
      <c r="F1334" s="4"/>
      <c r="G1334" s="4"/>
      <c r="H1334" s="13"/>
      <c r="I1334" s="4"/>
      <c r="J1334" s="4"/>
    </row>
    <row r="1335">
      <c r="A1335" s="4"/>
      <c r="B1335" s="4"/>
      <c r="C1335" s="4"/>
      <c r="D1335" s="4"/>
      <c r="E1335" s="4"/>
      <c r="F1335" s="4"/>
      <c r="G1335" s="4"/>
      <c r="H1335" s="13"/>
      <c r="I1335" s="4"/>
      <c r="J1335" s="4"/>
    </row>
    <row r="1336">
      <c r="A1336" s="4"/>
      <c r="B1336" s="4"/>
      <c r="C1336" s="4"/>
      <c r="D1336" s="4"/>
      <c r="E1336" s="4"/>
      <c r="F1336" s="4"/>
      <c r="G1336" s="4"/>
      <c r="H1336" s="13"/>
      <c r="I1336" s="4"/>
      <c r="J1336" s="4"/>
    </row>
    <row r="1337">
      <c r="A1337" s="4"/>
      <c r="B1337" s="4"/>
      <c r="C1337" s="4"/>
      <c r="D1337" s="4"/>
      <c r="E1337" s="4"/>
      <c r="F1337" s="4"/>
      <c r="G1337" s="4"/>
      <c r="H1337" s="13"/>
      <c r="I1337" s="4"/>
      <c r="J1337" s="4"/>
    </row>
    <row r="1338">
      <c r="A1338" s="4"/>
      <c r="B1338" s="4"/>
      <c r="C1338" s="4"/>
      <c r="D1338" s="4"/>
      <c r="E1338" s="4"/>
      <c r="F1338" s="4"/>
      <c r="G1338" s="4"/>
      <c r="H1338" s="13"/>
      <c r="I1338" s="4"/>
      <c r="J1338" s="4"/>
    </row>
    <row r="1339">
      <c r="A1339" s="4"/>
      <c r="B1339" s="4"/>
      <c r="C1339" s="4"/>
      <c r="D1339" s="4"/>
      <c r="E1339" s="4"/>
      <c r="F1339" s="4"/>
      <c r="G1339" s="4"/>
      <c r="H1339" s="13"/>
      <c r="I1339" s="4"/>
      <c r="J1339" s="4"/>
    </row>
    <row r="1340">
      <c r="A1340" s="4"/>
      <c r="B1340" s="4"/>
      <c r="C1340" s="4"/>
      <c r="D1340" s="4"/>
      <c r="E1340" s="4"/>
      <c r="F1340" s="4"/>
      <c r="G1340" s="4"/>
      <c r="H1340" s="13"/>
      <c r="I1340" s="4"/>
      <c r="J1340" s="4"/>
    </row>
    <row r="1341">
      <c r="A1341" s="4"/>
      <c r="B1341" s="4"/>
      <c r="C1341" s="4"/>
      <c r="D1341" s="4"/>
      <c r="E1341" s="4"/>
      <c r="F1341" s="4"/>
      <c r="G1341" s="4"/>
      <c r="H1341" s="13"/>
      <c r="I1341" s="4"/>
      <c r="J1341" s="4"/>
    </row>
    <row r="1342">
      <c r="A1342" s="4"/>
      <c r="B1342" s="4"/>
      <c r="C1342" s="4"/>
      <c r="D1342" s="4"/>
      <c r="E1342" s="4"/>
      <c r="F1342" s="4"/>
      <c r="G1342" s="4"/>
      <c r="H1342" s="13"/>
      <c r="I1342" s="4"/>
      <c r="J1342" s="4"/>
    </row>
    <row r="1343">
      <c r="A1343" s="4"/>
      <c r="B1343" s="4"/>
      <c r="C1343" s="4"/>
      <c r="D1343" s="4"/>
      <c r="E1343" s="4"/>
      <c r="F1343" s="4"/>
      <c r="G1343" s="4"/>
      <c r="H1343" s="13"/>
      <c r="I1343" s="4"/>
      <c r="J1343" s="4"/>
    </row>
    <row r="1344">
      <c r="A1344" s="4"/>
      <c r="B1344" s="4"/>
      <c r="C1344" s="4"/>
      <c r="D1344" s="4"/>
      <c r="E1344" s="4"/>
      <c r="F1344" s="4"/>
      <c r="G1344" s="4"/>
      <c r="H1344" s="13"/>
      <c r="I1344" s="4"/>
      <c r="J1344" s="4"/>
    </row>
    <row r="1345">
      <c r="A1345" s="4"/>
      <c r="B1345" s="4"/>
      <c r="C1345" s="4"/>
      <c r="D1345" s="4"/>
      <c r="E1345" s="4"/>
      <c r="F1345" s="4"/>
      <c r="G1345" s="4"/>
      <c r="H1345" s="13"/>
      <c r="I1345" s="4"/>
      <c r="J1345" s="4"/>
    </row>
    <row r="1346">
      <c r="A1346" s="4"/>
      <c r="B1346" s="4"/>
      <c r="C1346" s="4"/>
      <c r="D1346" s="4"/>
      <c r="E1346" s="4"/>
      <c r="F1346" s="4"/>
      <c r="G1346" s="4"/>
      <c r="H1346" s="13"/>
      <c r="I1346" s="4"/>
      <c r="J1346" s="4"/>
    </row>
    <row r="1347">
      <c r="A1347" s="4"/>
      <c r="B1347" s="4"/>
      <c r="C1347" s="4"/>
      <c r="D1347" s="4"/>
      <c r="E1347" s="4"/>
      <c r="F1347" s="4"/>
      <c r="G1347" s="4"/>
      <c r="H1347" s="13"/>
      <c r="I1347" s="4"/>
      <c r="J1347" s="4"/>
    </row>
    <row r="1348">
      <c r="A1348" s="4"/>
      <c r="B1348" s="4"/>
      <c r="C1348" s="4"/>
      <c r="D1348" s="4"/>
      <c r="E1348" s="4"/>
      <c r="F1348" s="4"/>
      <c r="G1348" s="4"/>
      <c r="H1348" s="13"/>
      <c r="I1348" s="4"/>
      <c r="J1348" s="4"/>
    </row>
    <row r="1349">
      <c r="A1349" s="4"/>
      <c r="B1349" s="4"/>
      <c r="C1349" s="4"/>
      <c r="D1349" s="4"/>
      <c r="E1349" s="4"/>
      <c r="F1349" s="4"/>
      <c r="G1349" s="4"/>
      <c r="H1349" s="13"/>
      <c r="I1349" s="4"/>
      <c r="J1349" s="4"/>
    </row>
    <row r="1350">
      <c r="A1350" s="4"/>
      <c r="B1350" s="4"/>
      <c r="C1350" s="4"/>
      <c r="D1350" s="4"/>
      <c r="E1350" s="4"/>
      <c r="F1350" s="4"/>
      <c r="G1350" s="4"/>
      <c r="H1350" s="13"/>
      <c r="I1350" s="4"/>
      <c r="J1350" s="4"/>
    </row>
    <row r="1351">
      <c r="A1351" s="4"/>
      <c r="B1351" s="4"/>
      <c r="C1351" s="4"/>
      <c r="D1351" s="4"/>
      <c r="E1351" s="4"/>
      <c r="F1351" s="4"/>
      <c r="G1351" s="4"/>
      <c r="H1351" s="13"/>
      <c r="I1351" s="4"/>
      <c r="J1351" s="4"/>
    </row>
    <row r="1352">
      <c r="A1352" s="4"/>
      <c r="B1352" s="4"/>
      <c r="C1352" s="4"/>
      <c r="D1352" s="4"/>
      <c r="E1352" s="4"/>
      <c r="F1352" s="4"/>
      <c r="G1352" s="4"/>
      <c r="H1352" s="13"/>
      <c r="I1352" s="4"/>
      <c r="J1352" s="4"/>
    </row>
    <row r="1353">
      <c r="A1353" s="4"/>
      <c r="B1353" s="4"/>
      <c r="C1353" s="4"/>
      <c r="D1353" s="4"/>
      <c r="E1353" s="4"/>
      <c r="F1353" s="4"/>
      <c r="G1353" s="4"/>
      <c r="H1353" s="13"/>
      <c r="I1353" s="4"/>
      <c r="J1353" s="4"/>
    </row>
    <row r="1354">
      <c r="A1354" s="4"/>
      <c r="B1354" s="4"/>
      <c r="C1354" s="4"/>
      <c r="D1354" s="4"/>
      <c r="E1354" s="4"/>
      <c r="F1354" s="4"/>
      <c r="G1354" s="4"/>
      <c r="H1354" s="13"/>
      <c r="I1354" s="4"/>
      <c r="J1354" s="4"/>
    </row>
    <row r="1355">
      <c r="A1355" s="4"/>
      <c r="B1355" s="4"/>
      <c r="C1355" s="4"/>
      <c r="D1355" s="4"/>
      <c r="E1355" s="4"/>
      <c r="F1355" s="4"/>
      <c r="G1355" s="4"/>
      <c r="H1355" s="13"/>
      <c r="I1355" s="4"/>
      <c r="J1355" s="4"/>
    </row>
    <row r="1356">
      <c r="A1356" s="4"/>
      <c r="B1356" s="4"/>
      <c r="C1356" s="4"/>
      <c r="D1356" s="4"/>
      <c r="E1356" s="4"/>
      <c r="F1356" s="4"/>
      <c r="G1356" s="4"/>
      <c r="H1356" s="13"/>
      <c r="I1356" s="4"/>
      <c r="J1356" s="4"/>
    </row>
    <row r="1357">
      <c r="A1357" s="4"/>
      <c r="B1357" s="4"/>
      <c r="C1357" s="4"/>
      <c r="D1357" s="4"/>
      <c r="E1357" s="4"/>
      <c r="F1357" s="4"/>
      <c r="G1357" s="4"/>
      <c r="H1357" s="13"/>
      <c r="I1357" s="4"/>
      <c r="J1357" s="4"/>
    </row>
    <row r="1358">
      <c r="A1358" s="4"/>
      <c r="B1358" s="4"/>
      <c r="C1358" s="4"/>
      <c r="D1358" s="4"/>
      <c r="E1358" s="4"/>
      <c r="F1358" s="4"/>
      <c r="G1358" s="4"/>
      <c r="H1358" s="13"/>
      <c r="I1358" s="4"/>
      <c r="J1358" s="4"/>
    </row>
    <row r="1359">
      <c r="A1359" s="4"/>
      <c r="B1359" s="4"/>
      <c r="C1359" s="4"/>
      <c r="D1359" s="4"/>
      <c r="E1359" s="4"/>
      <c r="F1359" s="4"/>
      <c r="G1359" s="4"/>
      <c r="H1359" s="13"/>
      <c r="I1359" s="4"/>
      <c r="J1359" s="4"/>
    </row>
    <row r="1360">
      <c r="A1360" s="4"/>
      <c r="B1360" s="4"/>
      <c r="C1360" s="4"/>
      <c r="D1360" s="4"/>
      <c r="E1360" s="4"/>
      <c r="F1360" s="4"/>
      <c r="G1360" s="4"/>
      <c r="H1360" s="13"/>
      <c r="I1360" s="4"/>
      <c r="J1360" s="4"/>
    </row>
    <row r="1361">
      <c r="A1361" s="4"/>
      <c r="B1361" s="4"/>
      <c r="C1361" s="4"/>
      <c r="D1361" s="4"/>
      <c r="E1361" s="4"/>
      <c r="F1361" s="4"/>
      <c r="G1361" s="4"/>
      <c r="H1361" s="13"/>
      <c r="I1361" s="4"/>
      <c r="J1361" s="4"/>
    </row>
    <row r="1362">
      <c r="A1362" s="4"/>
      <c r="B1362" s="4"/>
      <c r="C1362" s="4"/>
      <c r="D1362" s="4"/>
      <c r="E1362" s="4"/>
      <c r="F1362" s="4"/>
      <c r="G1362" s="4"/>
      <c r="H1362" s="13"/>
      <c r="I1362" s="4"/>
      <c r="J1362" s="4"/>
    </row>
    <row r="1363">
      <c r="A1363" s="4"/>
      <c r="B1363" s="4"/>
      <c r="C1363" s="4"/>
      <c r="D1363" s="4"/>
      <c r="E1363" s="4"/>
      <c r="F1363" s="4"/>
      <c r="G1363" s="4"/>
      <c r="H1363" s="13"/>
      <c r="I1363" s="4"/>
      <c r="J1363" s="4"/>
    </row>
    <row r="1364">
      <c r="A1364" s="4"/>
      <c r="B1364" s="4"/>
      <c r="C1364" s="4"/>
      <c r="D1364" s="4"/>
      <c r="E1364" s="4"/>
      <c r="F1364" s="4"/>
      <c r="G1364" s="4"/>
      <c r="H1364" s="13"/>
      <c r="I1364" s="4"/>
      <c r="J1364" s="4"/>
    </row>
    <row r="1365">
      <c r="A1365" s="4"/>
      <c r="B1365" s="4"/>
      <c r="C1365" s="4"/>
      <c r="D1365" s="4"/>
      <c r="E1365" s="4"/>
      <c r="F1365" s="4"/>
      <c r="G1365" s="4"/>
      <c r="H1365" s="13"/>
      <c r="I1365" s="4"/>
      <c r="J1365" s="4"/>
    </row>
    <row r="1366">
      <c r="A1366" s="4"/>
      <c r="B1366" s="4"/>
      <c r="C1366" s="4"/>
      <c r="D1366" s="4"/>
      <c r="E1366" s="4"/>
      <c r="F1366" s="4"/>
      <c r="G1366" s="4"/>
      <c r="H1366" s="13"/>
      <c r="I1366" s="4"/>
      <c r="J1366" s="4"/>
    </row>
    <row r="1367">
      <c r="A1367" s="4"/>
      <c r="B1367" s="4"/>
      <c r="C1367" s="4"/>
      <c r="D1367" s="4"/>
      <c r="E1367" s="4"/>
      <c r="F1367" s="4"/>
      <c r="G1367" s="4"/>
      <c r="H1367" s="13"/>
      <c r="I1367" s="4"/>
      <c r="J1367" s="4"/>
    </row>
    <row r="1368">
      <c r="A1368" s="4"/>
      <c r="B1368" s="4"/>
      <c r="C1368" s="4"/>
      <c r="D1368" s="4"/>
      <c r="E1368" s="4"/>
      <c r="F1368" s="4"/>
      <c r="G1368" s="4"/>
      <c r="H1368" s="13"/>
      <c r="I1368" s="4"/>
      <c r="J1368" s="4"/>
    </row>
    <row r="1369">
      <c r="A1369" s="4"/>
      <c r="B1369" s="4"/>
      <c r="C1369" s="4"/>
      <c r="D1369" s="4"/>
      <c r="E1369" s="4"/>
      <c r="F1369" s="4"/>
      <c r="G1369" s="4"/>
      <c r="H1369" s="13"/>
      <c r="I1369" s="4"/>
      <c r="J1369" s="4"/>
    </row>
    <row r="1370">
      <c r="A1370" s="4"/>
      <c r="B1370" s="4"/>
      <c r="C1370" s="4"/>
      <c r="D1370" s="4"/>
      <c r="E1370" s="4"/>
      <c r="F1370" s="4"/>
      <c r="G1370" s="4"/>
      <c r="H1370" s="13"/>
      <c r="I1370" s="4"/>
      <c r="J1370" s="4"/>
    </row>
    <row r="1371">
      <c r="A1371" s="4"/>
      <c r="B1371" s="4"/>
      <c r="C1371" s="4"/>
      <c r="D1371" s="4"/>
      <c r="E1371" s="4"/>
      <c r="F1371" s="4"/>
      <c r="G1371" s="4"/>
      <c r="H1371" s="13"/>
      <c r="I1371" s="4"/>
      <c r="J1371" s="4"/>
    </row>
    <row r="1372">
      <c r="A1372" s="4"/>
      <c r="B1372" s="4"/>
      <c r="C1372" s="4"/>
      <c r="D1372" s="4"/>
      <c r="E1372" s="4"/>
      <c r="F1372" s="4"/>
      <c r="G1372" s="4"/>
      <c r="H1372" s="13"/>
      <c r="I1372" s="4"/>
      <c r="J1372" s="4"/>
    </row>
    <row r="1373">
      <c r="A1373" s="4"/>
      <c r="B1373" s="4"/>
      <c r="C1373" s="4"/>
      <c r="D1373" s="4"/>
      <c r="E1373" s="4"/>
      <c r="F1373" s="4"/>
      <c r="G1373" s="4"/>
      <c r="H1373" s="13"/>
      <c r="I1373" s="4"/>
      <c r="J1373" s="4"/>
    </row>
    <row r="1374">
      <c r="A1374" s="4"/>
      <c r="B1374" s="4"/>
      <c r="C1374" s="4"/>
      <c r="D1374" s="4"/>
      <c r="E1374" s="4"/>
      <c r="F1374" s="4"/>
      <c r="G1374" s="4"/>
      <c r="H1374" s="13"/>
      <c r="I1374" s="4"/>
      <c r="J1374" s="4"/>
    </row>
    <row r="1375">
      <c r="A1375" s="4"/>
      <c r="B1375" s="4"/>
      <c r="C1375" s="4"/>
      <c r="D1375" s="4"/>
      <c r="E1375" s="4"/>
      <c r="F1375" s="4"/>
      <c r="G1375" s="4"/>
      <c r="H1375" s="13"/>
      <c r="I1375" s="4"/>
      <c r="J1375" s="4"/>
    </row>
    <row r="1376">
      <c r="A1376" s="4"/>
      <c r="B1376" s="4"/>
      <c r="C1376" s="4"/>
      <c r="D1376" s="4"/>
      <c r="E1376" s="4"/>
      <c r="F1376" s="4"/>
      <c r="G1376" s="4"/>
      <c r="H1376" s="13"/>
      <c r="I1376" s="4"/>
      <c r="J1376" s="4"/>
    </row>
    <row r="1377">
      <c r="A1377" s="4"/>
      <c r="B1377" s="4"/>
      <c r="C1377" s="4"/>
      <c r="D1377" s="4"/>
      <c r="E1377" s="4"/>
      <c r="F1377" s="4"/>
      <c r="G1377" s="4"/>
      <c r="H1377" s="13"/>
      <c r="I1377" s="4"/>
      <c r="J1377" s="4"/>
    </row>
    <row r="1378">
      <c r="A1378" s="4"/>
      <c r="B1378" s="4"/>
      <c r="C1378" s="4"/>
      <c r="D1378" s="4"/>
      <c r="E1378" s="4"/>
      <c r="F1378" s="4"/>
      <c r="G1378" s="4"/>
      <c r="H1378" s="13"/>
      <c r="I1378" s="4"/>
      <c r="J1378" s="4"/>
    </row>
    <row r="1379">
      <c r="A1379" s="4"/>
      <c r="B1379" s="4"/>
      <c r="C1379" s="4"/>
      <c r="D1379" s="4"/>
      <c r="E1379" s="4"/>
      <c r="F1379" s="4"/>
      <c r="G1379" s="4"/>
      <c r="H1379" s="13"/>
      <c r="I1379" s="4"/>
      <c r="J1379" s="4"/>
    </row>
    <row r="1380">
      <c r="A1380" s="4"/>
      <c r="B1380" s="4"/>
      <c r="C1380" s="4"/>
      <c r="D1380" s="4"/>
      <c r="E1380" s="4"/>
      <c r="F1380" s="4"/>
      <c r="G1380" s="4"/>
      <c r="H1380" s="13"/>
      <c r="I1380" s="4"/>
      <c r="J1380" s="4"/>
    </row>
    <row r="1381">
      <c r="A1381" s="4"/>
      <c r="B1381" s="4"/>
      <c r="C1381" s="4"/>
      <c r="D1381" s="4"/>
      <c r="E1381" s="4"/>
      <c r="F1381" s="4"/>
      <c r="G1381" s="4"/>
      <c r="H1381" s="13"/>
      <c r="I1381" s="4"/>
      <c r="J1381" s="4"/>
    </row>
    <row r="1382">
      <c r="A1382" s="4"/>
      <c r="B1382" s="4"/>
      <c r="C1382" s="4"/>
      <c r="D1382" s="4"/>
      <c r="E1382" s="4"/>
      <c r="F1382" s="4"/>
      <c r="G1382" s="4"/>
      <c r="H1382" s="13"/>
      <c r="I1382" s="4"/>
      <c r="J1382" s="4"/>
    </row>
    <row r="1383">
      <c r="A1383" s="4"/>
      <c r="B1383" s="4"/>
      <c r="C1383" s="4"/>
      <c r="D1383" s="4"/>
      <c r="E1383" s="4"/>
      <c r="F1383" s="4"/>
      <c r="G1383" s="4"/>
      <c r="H1383" s="13"/>
      <c r="I1383" s="4"/>
      <c r="J1383" s="4"/>
    </row>
    <row r="1384">
      <c r="A1384" s="4"/>
      <c r="B1384" s="4"/>
      <c r="C1384" s="4"/>
      <c r="D1384" s="4"/>
      <c r="E1384" s="4"/>
      <c r="F1384" s="4"/>
      <c r="G1384" s="4"/>
      <c r="H1384" s="13"/>
      <c r="I1384" s="4"/>
      <c r="J1384" s="4"/>
    </row>
    <row r="1385">
      <c r="A1385" s="4"/>
      <c r="B1385" s="4"/>
      <c r="C1385" s="4"/>
      <c r="D1385" s="4"/>
      <c r="E1385" s="4"/>
      <c r="F1385" s="4"/>
      <c r="G1385" s="4"/>
      <c r="H1385" s="13"/>
      <c r="I1385" s="4"/>
      <c r="J1385" s="4"/>
    </row>
    <row r="1386">
      <c r="A1386" s="4"/>
      <c r="B1386" s="4"/>
      <c r="C1386" s="4"/>
      <c r="D1386" s="4"/>
      <c r="E1386" s="4"/>
      <c r="F1386" s="4"/>
      <c r="G1386" s="4"/>
      <c r="H1386" s="13"/>
      <c r="I1386" s="4"/>
      <c r="J1386" s="4"/>
    </row>
    <row r="1387">
      <c r="A1387" s="4"/>
      <c r="B1387" s="4"/>
      <c r="C1387" s="4"/>
      <c r="D1387" s="4"/>
      <c r="E1387" s="4"/>
      <c r="F1387" s="4"/>
      <c r="G1387" s="4"/>
      <c r="H1387" s="13"/>
      <c r="I1387" s="4"/>
      <c r="J1387" s="4"/>
    </row>
    <row r="1388">
      <c r="A1388" s="4"/>
      <c r="B1388" s="4"/>
      <c r="C1388" s="4"/>
      <c r="D1388" s="4"/>
      <c r="E1388" s="4"/>
      <c r="F1388" s="4"/>
      <c r="G1388" s="4"/>
      <c r="H1388" s="13"/>
      <c r="I1388" s="4"/>
      <c r="J1388" s="4"/>
    </row>
    <row r="1389">
      <c r="A1389" s="4"/>
      <c r="B1389" s="4"/>
      <c r="C1389" s="4"/>
      <c r="D1389" s="4"/>
      <c r="E1389" s="4"/>
      <c r="F1389" s="4"/>
      <c r="G1389" s="4"/>
      <c r="H1389" s="13"/>
      <c r="I1389" s="4"/>
      <c r="J1389" s="4"/>
    </row>
    <row r="1390">
      <c r="A1390" s="4"/>
      <c r="B1390" s="4"/>
      <c r="C1390" s="4"/>
      <c r="D1390" s="4"/>
      <c r="E1390" s="4"/>
      <c r="F1390" s="4"/>
      <c r="G1390" s="4"/>
      <c r="H1390" s="13"/>
      <c r="I1390" s="4"/>
      <c r="J1390" s="4"/>
    </row>
    <row r="1391">
      <c r="A1391" s="4"/>
      <c r="B1391" s="4"/>
      <c r="C1391" s="4"/>
      <c r="D1391" s="4"/>
      <c r="E1391" s="4"/>
      <c r="F1391" s="4"/>
      <c r="G1391" s="4"/>
      <c r="H1391" s="13"/>
      <c r="I1391" s="4"/>
      <c r="J1391" s="4"/>
    </row>
    <row r="1392">
      <c r="A1392" s="4"/>
      <c r="B1392" s="4"/>
      <c r="C1392" s="4"/>
      <c r="D1392" s="4"/>
      <c r="E1392" s="4"/>
      <c r="F1392" s="4"/>
      <c r="G1392" s="4"/>
      <c r="H1392" s="13"/>
      <c r="I1392" s="4"/>
      <c r="J1392" s="4"/>
    </row>
    <row r="1393">
      <c r="A1393" s="4"/>
      <c r="B1393" s="4"/>
      <c r="C1393" s="4"/>
      <c r="D1393" s="4"/>
      <c r="E1393" s="4"/>
      <c r="F1393" s="4"/>
      <c r="G1393" s="4"/>
      <c r="H1393" s="13"/>
      <c r="I1393" s="4"/>
      <c r="J1393" s="4"/>
    </row>
    <row r="1394">
      <c r="A1394" s="4"/>
      <c r="B1394" s="4"/>
      <c r="C1394" s="4"/>
      <c r="D1394" s="4"/>
      <c r="E1394" s="4"/>
      <c r="F1394" s="4"/>
      <c r="G1394" s="4"/>
      <c r="H1394" s="13"/>
      <c r="I1394" s="4"/>
      <c r="J1394" s="4"/>
    </row>
    <row r="1395">
      <c r="A1395" s="4"/>
      <c r="B1395" s="4"/>
      <c r="C1395" s="4"/>
      <c r="D1395" s="4"/>
      <c r="E1395" s="4"/>
      <c r="F1395" s="4"/>
      <c r="G1395" s="4"/>
      <c r="H1395" s="13"/>
      <c r="I1395" s="4"/>
      <c r="J1395" s="4"/>
    </row>
    <row r="1396">
      <c r="A1396" s="4"/>
      <c r="B1396" s="4"/>
      <c r="C1396" s="4"/>
      <c r="D1396" s="4"/>
      <c r="E1396" s="4"/>
      <c r="F1396" s="4"/>
      <c r="G1396" s="4"/>
      <c r="H1396" s="13"/>
      <c r="I1396" s="4"/>
      <c r="J1396" s="4"/>
    </row>
    <row r="1397">
      <c r="A1397" s="4"/>
      <c r="B1397" s="4"/>
      <c r="C1397" s="4"/>
      <c r="D1397" s="4"/>
      <c r="E1397" s="4"/>
      <c r="F1397" s="4"/>
      <c r="G1397" s="4"/>
      <c r="H1397" s="13"/>
      <c r="I1397" s="4"/>
      <c r="J1397" s="4"/>
    </row>
    <row r="1398">
      <c r="A1398" s="4"/>
      <c r="B1398" s="4"/>
      <c r="C1398" s="4"/>
      <c r="D1398" s="4"/>
      <c r="E1398" s="4"/>
      <c r="F1398" s="4"/>
      <c r="G1398" s="4"/>
      <c r="H1398" s="13"/>
      <c r="I1398" s="4"/>
      <c r="J1398" s="4"/>
    </row>
    <row r="1399">
      <c r="A1399" s="4"/>
      <c r="B1399" s="4"/>
      <c r="C1399" s="4"/>
      <c r="D1399" s="4"/>
      <c r="E1399" s="4"/>
      <c r="F1399" s="4"/>
      <c r="G1399" s="4"/>
      <c r="H1399" s="13"/>
      <c r="I1399" s="4"/>
      <c r="J1399" s="4"/>
    </row>
    <row r="1400">
      <c r="A1400" s="4"/>
      <c r="B1400" s="4"/>
      <c r="C1400" s="4"/>
      <c r="D1400" s="4"/>
      <c r="E1400" s="4"/>
      <c r="F1400" s="4"/>
      <c r="G1400" s="4"/>
      <c r="H1400" s="13"/>
      <c r="I1400" s="4"/>
      <c r="J1400" s="4"/>
    </row>
    <row r="1401">
      <c r="A1401" s="4"/>
      <c r="B1401" s="4"/>
      <c r="C1401" s="4"/>
      <c r="D1401" s="4"/>
      <c r="E1401" s="4"/>
      <c r="F1401" s="4"/>
      <c r="G1401" s="4"/>
      <c r="H1401" s="13"/>
      <c r="I1401" s="4"/>
      <c r="J1401" s="4"/>
    </row>
    <row r="1402">
      <c r="A1402" s="4"/>
      <c r="B1402" s="4"/>
      <c r="C1402" s="4"/>
      <c r="D1402" s="4"/>
      <c r="E1402" s="4"/>
      <c r="F1402" s="4"/>
      <c r="G1402" s="4"/>
      <c r="H1402" s="13"/>
      <c r="I1402" s="4"/>
      <c r="J1402" s="4"/>
    </row>
    <row r="1403">
      <c r="A1403" s="4"/>
      <c r="B1403" s="4"/>
      <c r="C1403" s="4"/>
      <c r="D1403" s="4"/>
      <c r="E1403" s="4"/>
      <c r="F1403" s="4"/>
      <c r="G1403" s="4"/>
      <c r="H1403" s="13"/>
      <c r="I1403" s="4"/>
      <c r="J1403" s="4"/>
    </row>
    <row r="1404">
      <c r="A1404" s="4"/>
      <c r="B1404" s="4"/>
      <c r="C1404" s="4"/>
      <c r="D1404" s="4"/>
      <c r="E1404" s="4"/>
      <c r="F1404" s="4"/>
      <c r="G1404" s="4"/>
      <c r="H1404" s="13"/>
      <c r="I1404" s="4"/>
      <c r="J1404" s="4"/>
    </row>
    <row r="1405">
      <c r="A1405" s="4"/>
      <c r="B1405" s="4"/>
      <c r="C1405" s="4"/>
      <c r="D1405" s="4"/>
      <c r="E1405" s="4"/>
      <c r="F1405" s="4"/>
      <c r="G1405" s="4"/>
      <c r="H1405" s="13"/>
      <c r="I1405" s="4"/>
      <c r="J1405" s="4"/>
    </row>
    <row r="1406">
      <c r="A1406" s="4"/>
      <c r="B1406" s="4"/>
      <c r="C1406" s="4"/>
      <c r="D1406" s="4"/>
      <c r="E1406" s="4"/>
      <c r="F1406" s="4"/>
      <c r="G1406" s="4"/>
      <c r="H1406" s="13"/>
      <c r="I1406" s="4"/>
      <c r="J1406" s="4"/>
    </row>
    <row r="1407">
      <c r="A1407" s="4"/>
      <c r="B1407" s="4"/>
      <c r="C1407" s="4"/>
      <c r="D1407" s="4"/>
      <c r="E1407" s="4"/>
      <c r="F1407" s="4"/>
      <c r="G1407" s="4"/>
      <c r="H1407" s="13"/>
      <c r="I1407" s="4"/>
      <c r="J1407" s="4"/>
    </row>
    <row r="1408">
      <c r="A1408" s="4"/>
      <c r="B1408" s="4"/>
      <c r="C1408" s="4"/>
      <c r="D1408" s="4"/>
      <c r="E1408" s="4"/>
      <c r="F1408" s="4"/>
      <c r="G1408" s="4"/>
      <c r="H1408" s="13"/>
      <c r="I1408" s="4"/>
      <c r="J1408" s="4"/>
    </row>
    <row r="1409">
      <c r="A1409" s="4"/>
      <c r="B1409" s="4"/>
      <c r="C1409" s="4"/>
      <c r="D1409" s="4"/>
      <c r="E1409" s="4"/>
      <c r="F1409" s="4"/>
      <c r="G1409" s="4"/>
      <c r="H1409" s="13"/>
      <c r="I1409" s="4"/>
      <c r="J1409" s="4"/>
    </row>
    <row r="1410">
      <c r="A1410" s="4"/>
      <c r="B1410" s="4"/>
      <c r="C1410" s="4"/>
      <c r="D1410" s="4"/>
      <c r="E1410" s="4"/>
      <c r="F1410" s="4"/>
      <c r="G1410" s="4"/>
      <c r="H1410" s="13"/>
      <c r="I1410" s="4"/>
      <c r="J1410" s="4"/>
    </row>
    <row r="1411">
      <c r="A1411" s="4"/>
      <c r="B1411" s="4"/>
      <c r="C1411" s="4"/>
      <c r="D1411" s="4"/>
      <c r="E1411" s="4"/>
      <c r="F1411" s="4"/>
      <c r="G1411" s="4"/>
      <c r="H1411" s="13"/>
      <c r="I1411" s="4"/>
      <c r="J1411" s="4"/>
    </row>
    <row r="1412">
      <c r="A1412" s="4"/>
      <c r="B1412" s="4"/>
      <c r="C1412" s="4"/>
      <c r="D1412" s="4"/>
      <c r="E1412" s="4"/>
      <c r="F1412" s="4"/>
      <c r="G1412" s="4"/>
      <c r="H1412" s="13"/>
      <c r="I1412" s="4"/>
      <c r="J1412" s="4"/>
    </row>
    <row r="1413">
      <c r="A1413" s="4"/>
      <c r="B1413" s="4"/>
      <c r="C1413" s="4"/>
      <c r="D1413" s="4"/>
      <c r="E1413" s="4"/>
      <c r="F1413" s="4"/>
      <c r="G1413" s="4"/>
      <c r="H1413" s="13"/>
      <c r="I1413" s="4"/>
      <c r="J1413" s="4"/>
    </row>
    <row r="1414">
      <c r="A1414" s="4"/>
      <c r="B1414" s="4"/>
      <c r="C1414" s="4"/>
      <c r="D1414" s="4"/>
      <c r="E1414" s="4"/>
      <c r="F1414" s="4"/>
      <c r="G1414" s="4"/>
      <c r="H1414" s="13"/>
      <c r="I1414" s="4"/>
      <c r="J1414" s="4"/>
    </row>
    <row r="1415">
      <c r="A1415" s="4"/>
      <c r="B1415" s="4"/>
      <c r="C1415" s="4"/>
      <c r="D1415" s="4"/>
      <c r="E1415" s="4"/>
      <c r="F1415" s="4"/>
      <c r="G1415" s="4"/>
      <c r="H1415" s="13"/>
      <c r="I1415" s="4"/>
      <c r="J1415" s="4"/>
    </row>
    <row r="1416">
      <c r="A1416" s="4"/>
      <c r="B1416" s="4"/>
      <c r="C1416" s="4"/>
      <c r="D1416" s="4"/>
      <c r="E1416" s="4"/>
      <c r="F1416" s="4"/>
      <c r="G1416" s="4"/>
      <c r="H1416" s="13"/>
      <c r="I1416" s="4"/>
      <c r="J1416" s="4"/>
    </row>
    <row r="1417">
      <c r="A1417" s="4"/>
      <c r="B1417" s="4"/>
      <c r="C1417" s="4"/>
      <c r="D1417" s="4"/>
      <c r="E1417" s="4"/>
      <c r="F1417" s="4"/>
      <c r="G1417" s="4"/>
      <c r="H1417" s="13"/>
      <c r="I1417" s="4"/>
      <c r="J1417" s="4"/>
    </row>
    <row r="1418">
      <c r="A1418" s="4"/>
      <c r="B1418" s="4"/>
      <c r="C1418" s="4"/>
      <c r="D1418" s="4"/>
      <c r="E1418" s="4"/>
      <c r="F1418" s="4"/>
      <c r="G1418" s="4"/>
      <c r="H1418" s="13"/>
      <c r="I1418" s="4"/>
      <c r="J1418" s="4"/>
    </row>
    <row r="1419">
      <c r="A1419" s="4"/>
      <c r="B1419" s="4"/>
      <c r="C1419" s="4"/>
      <c r="D1419" s="4"/>
      <c r="E1419" s="4"/>
      <c r="F1419" s="4"/>
      <c r="G1419" s="4"/>
      <c r="H1419" s="13"/>
      <c r="I1419" s="4"/>
      <c r="J1419" s="4"/>
    </row>
    <row r="1420">
      <c r="A1420" s="4"/>
      <c r="B1420" s="4"/>
      <c r="C1420" s="4"/>
      <c r="D1420" s="4"/>
      <c r="E1420" s="4"/>
      <c r="F1420" s="4"/>
      <c r="G1420" s="4"/>
      <c r="H1420" s="13"/>
      <c r="I1420" s="4"/>
      <c r="J1420" s="4"/>
    </row>
    <row r="1421">
      <c r="A1421" s="4"/>
      <c r="B1421" s="4"/>
      <c r="C1421" s="4"/>
      <c r="D1421" s="4"/>
      <c r="E1421" s="4"/>
      <c r="F1421" s="4"/>
      <c r="G1421" s="4"/>
      <c r="H1421" s="13"/>
      <c r="I1421" s="4"/>
      <c r="J1421" s="4"/>
    </row>
    <row r="1422">
      <c r="A1422" s="4"/>
      <c r="B1422" s="4"/>
      <c r="C1422" s="4"/>
      <c r="D1422" s="4"/>
      <c r="E1422" s="4"/>
      <c r="F1422" s="4"/>
      <c r="G1422" s="4"/>
      <c r="H1422" s="13"/>
      <c r="I1422" s="4"/>
      <c r="J1422" s="4"/>
    </row>
    <row r="1423">
      <c r="A1423" s="4"/>
      <c r="B1423" s="4"/>
      <c r="C1423" s="4"/>
      <c r="D1423" s="4"/>
      <c r="E1423" s="4"/>
      <c r="F1423" s="4"/>
      <c r="G1423" s="4"/>
      <c r="H1423" s="13"/>
      <c r="I1423" s="4"/>
      <c r="J1423" s="4"/>
    </row>
    <row r="1424">
      <c r="A1424" s="4"/>
      <c r="B1424" s="4"/>
      <c r="C1424" s="4"/>
      <c r="D1424" s="4"/>
      <c r="E1424" s="4"/>
      <c r="F1424" s="4"/>
      <c r="G1424" s="4"/>
      <c r="H1424" s="13"/>
      <c r="I1424" s="4"/>
      <c r="J1424" s="4"/>
    </row>
    <row r="1425">
      <c r="A1425" s="4"/>
      <c r="B1425" s="4"/>
      <c r="C1425" s="4"/>
      <c r="D1425" s="4"/>
      <c r="E1425" s="4"/>
      <c r="F1425" s="4"/>
      <c r="G1425" s="4"/>
      <c r="H1425" s="13"/>
      <c r="I1425" s="4"/>
      <c r="J1425" s="4"/>
    </row>
    <row r="1426">
      <c r="A1426" s="4"/>
      <c r="B1426" s="4"/>
      <c r="C1426" s="4"/>
      <c r="D1426" s="4"/>
      <c r="E1426" s="4"/>
      <c r="F1426" s="4"/>
      <c r="G1426" s="4"/>
      <c r="H1426" s="13"/>
      <c r="I1426" s="4"/>
      <c r="J1426" s="4"/>
    </row>
    <row r="1427">
      <c r="A1427" s="4"/>
      <c r="B1427" s="4"/>
      <c r="C1427" s="4"/>
      <c r="D1427" s="4"/>
      <c r="E1427" s="4"/>
      <c r="F1427" s="4"/>
      <c r="G1427" s="4"/>
      <c r="H1427" s="13"/>
      <c r="I1427" s="4"/>
      <c r="J1427" s="4"/>
    </row>
    <row r="1428">
      <c r="A1428" s="4"/>
      <c r="B1428" s="4"/>
      <c r="C1428" s="4"/>
      <c r="D1428" s="4"/>
      <c r="E1428" s="4"/>
      <c r="F1428" s="4"/>
      <c r="G1428" s="4"/>
      <c r="H1428" s="13"/>
      <c r="I1428" s="4"/>
      <c r="J1428" s="4"/>
    </row>
    <row r="1429">
      <c r="A1429" s="4"/>
      <c r="B1429" s="4"/>
      <c r="C1429" s="4"/>
      <c r="D1429" s="4"/>
      <c r="E1429" s="4"/>
      <c r="F1429" s="4"/>
      <c r="G1429" s="4"/>
      <c r="H1429" s="13"/>
      <c r="I1429" s="4"/>
      <c r="J1429" s="4"/>
    </row>
    <row r="1430">
      <c r="A1430" s="4"/>
      <c r="B1430" s="4"/>
      <c r="C1430" s="4"/>
      <c r="D1430" s="4"/>
      <c r="E1430" s="4"/>
      <c r="F1430" s="4"/>
      <c r="G1430" s="4"/>
      <c r="H1430" s="13"/>
      <c r="I1430" s="4"/>
      <c r="J1430" s="4"/>
    </row>
    <row r="1431">
      <c r="A1431" s="4"/>
      <c r="B1431" s="4"/>
      <c r="C1431" s="4"/>
      <c r="D1431" s="4"/>
      <c r="E1431" s="4"/>
      <c r="F1431" s="4"/>
      <c r="G1431" s="4"/>
      <c r="H1431" s="13"/>
      <c r="I1431" s="4"/>
      <c r="J1431" s="4"/>
    </row>
    <row r="1432">
      <c r="A1432" s="4"/>
      <c r="B1432" s="4"/>
      <c r="C1432" s="4"/>
      <c r="D1432" s="4"/>
      <c r="E1432" s="4"/>
      <c r="F1432" s="4"/>
      <c r="G1432" s="4"/>
      <c r="H1432" s="13"/>
      <c r="I1432" s="4"/>
      <c r="J1432" s="4"/>
    </row>
    <row r="1433">
      <c r="A1433" s="4"/>
      <c r="B1433" s="4"/>
      <c r="C1433" s="4"/>
      <c r="D1433" s="4"/>
      <c r="E1433" s="4"/>
      <c r="F1433" s="4"/>
      <c r="G1433" s="4"/>
      <c r="H1433" s="13"/>
      <c r="I1433" s="4"/>
      <c r="J1433" s="4"/>
    </row>
    <row r="1434">
      <c r="A1434" s="4"/>
      <c r="B1434" s="4"/>
      <c r="C1434" s="4"/>
      <c r="D1434" s="4"/>
      <c r="E1434" s="4"/>
      <c r="F1434" s="4"/>
      <c r="G1434" s="4"/>
      <c r="H1434" s="13"/>
      <c r="I1434" s="4"/>
      <c r="J1434" s="4"/>
    </row>
    <row r="1435">
      <c r="A1435" s="4"/>
      <c r="B1435" s="4"/>
      <c r="C1435" s="4"/>
      <c r="D1435" s="4"/>
      <c r="E1435" s="4"/>
      <c r="F1435" s="4"/>
      <c r="G1435" s="4"/>
      <c r="H1435" s="13"/>
      <c r="I1435" s="4"/>
      <c r="J1435" s="4"/>
    </row>
    <row r="1436">
      <c r="A1436" s="4"/>
      <c r="B1436" s="4"/>
      <c r="C1436" s="4"/>
      <c r="D1436" s="4"/>
      <c r="E1436" s="4"/>
      <c r="F1436" s="4"/>
      <c r="G1436" s="4"/>
      <c r="H1436" s="13"/>
      <c r="I1436" s="4"/>
      <c r="J1436" s="4"/>
    </row>
    <row r="1437">
      <c r="A1437" s="4"/>
      <c r="B1437" s="4"/>
      <c r="C1437" s="4"/>
      <c r="D1437" s="4"/>
      <c r="E1437" s="4"/>
      <c r="F1437" s="4"/>
      <c r="G1437" s="4"/>
      <c r="H1437" s="13"/>
      <c r="I1437" s="4"/>
      <c r="J1437" s="4"/>
    </row>
    <row r="1438">
      <c r="A1438" s="4"/>
      <c r="B1438" s="4"/>
      <c r="C1438" s="4"/>
      <c r="D1438" s="4"/>
      <c r="E1438" s="4"/>
      <c r="F1438" s="4"/>
      <c r="G1438" s="4"/>
      <c r="H1438" s="13"/>
      <c r="I1438" s="4"/>
      <c r="J1438" s="4"/>
    </row>
    <row r="1439">
      <c r="A1439" s="4"/>
      <c r="B1439" s="4"/>
      <c r="C1439" s="4"/>
      <c r="D1439" s="4"/>
      <c r="E1439" s="4"/>
      <c r="F1439" s="4"/>
      <c r="G1439" s="4"/>
      <c r="H1439" s="13"/>
      <c r="I1439" s="4"/>
      <c r="J1439" s="4"/>
    </row>
    <row r="1440">
      <c r="A1440" s="4"/>
      <c r="B1440" s="4"/>
      <c r="C1440" s="4"/>
      <c r="D1440" s="4"/>
      <c r="E1440" s="4"/>
      <c r="F1440" s="4"/>
      <c r="G1440" s="4"/>
      <c r="H1440" s="13"/>
      <c r="I1440" s="4"/>
      <c r="J1440" s="4"/>
    </row>
    <row r="1441">
      <c r="A1441" s="4"/>
      <c r="B1441" s="4"/>
      <c r="C1441" s="4"/>
      <c r="D1441" s="4"/>
      <c r="E1441" s="4"/>
      <c r="F1441" s="4"/>
      <c r="G1441" s="4"/>
      <c r="H1441" s="13"/>
      <c r="I1441" s="4"/>
      <c r="J1441" s="4"/>
    </row>
    <row r="1442">
      <c r="A1442" s="4"/>
      <c r="B1442" s="4"/>
      <c r="C1442" s="4"/>
      <c r="D1442" s="4"/>
      <c r="E1442" s="4"/>
      <c r="F1442" s="4"/>
      <c r="G1442" s="4"/>
      <c r="H1442" s="13"/>
      <c r="I1442" s="4"/>
      <c r="J1442" s="4"/>
    </row>
    <row r="1443">
      <c r="A1443" s="4"/>
      <c r="B1443" s="4"/>
      <c r="C1443" s="4"/>
      <c r="D1443" s="4"/>
      <c r="E1443" s="4"/>
      <c r="F1443" s="4"/>
      <c r="G1443" s="4"/>
      <c r="H1443" s="13"/>
      <c r="I1443" s="4"/>
      <c r="J1443" s="4"/>
    </row>
    <row r="1444">
      <c r="A1444" s="4"/>
      <c r="B1444" s="4"/>
      <c r="C1444" s="4"/>
      <c r="D1444" s="4"/>
      <c r="E1444" s="4"/>
      <c r="F1444" s="4"/>
      <c r="G1444" s="4"/>
      <c r="H1444" s="13"/>
      <c r="I1444" s="4"/>
      <c r="J1444" s="4"/>
    </row>
    <row r="1445">
      <c r="A1445" s="4"/>
      <c r="B1445" s="4"/>
      <c r="C1445" s="4"/>
      <c r="D1445" s="4"/>
      <c r="E1445" s="4"/>
      <c r="F1445" s="4"/>
      <c r="G1445" s="4"/>
      <c r="H1445" s="13"/>
      <c r="I1445" s="4"/>
      <c r="J1445" s="4"/>
    </row>
    <row r="1446">
      <c r="A1446" s="4"/>
      <c r="B1446" s="4"/>
      <c r="C1446" s="4"/>
      <c r="D1446" s="4"/>
      <c r="E1446" s="4"/>
      <c r="F1446" s="4"/>
      <c r="G1446" s="4"/>
      <c r="H1446" s="13"/>
      <c r="I1446" s="4"/>
      <c r="J1446" s="4"/>
    </row>
    <row r="1447">
      <c r="A1447" s="4"/>
      <c r="B1447" s="4"/>
      <c r="C1447" s="4"/>
      <c r="D1447" s="4"/>
      <c r="E1447" s="4"/>
      <c r="F1447" s="4"/>
      <c r="G1447" s="4"/>
      <c r="H1447" s="13"/>
      <c r="I1447" s="4"/>
      <c r="J1447" s="4"/>
    </row>
    <row r="1448">
      <c r="A1448" s="4"/>
      <c r="B1448" s="4"/>
      <c r="C1448" s="4"/>
      <c r="D1448" s="4"/>
      <c r="E1448" s="4"/>
      <c r="F1448" s="4"/>
      <c r="G1448" s="4"/>
      <c r="H1448" s="13"/>
      <c r="I1448" s="4"/>
      <c r="J1448" s="4"/>
    </row>
    <row r="1449">
      <c r="A1449" s="4"/>
      <c r="B1449" s="4"/>
      <c r="C1449" s="4"/>
      <c r="D1449" s="4"/>
      <c r="E1449" s="4"/>
      <c r="F1449" s="4"/>
      <c r="G1449" s="4"/>
      <c r="H1449" s="13"/>
      <c r="I1449" s="4"/>
      <c r="J1449" s="4"/>
    </row>
    <row r="1450">
      <c r="A1450" s="4"/>
      <c r="B1450" s="4"/>
      <c r="C1450" s="4"/>
      <c r="D1450" s="4"/>
      <c r="E1450" s="4"/>
      <c r="F1450" s="4"/>
      <c r="G1450" s="4"/>
      <c r="H1450" s="13"/>
      <c r="I1450" s="4"/>
      <c r="J1450" s="4"/>
    </row>
    <row r="1451">
      <c r="A1451" s="4"/>
      <c r="B1451" s="4"/>
      <c r="C1451" s="4"/>
      <c r="D1451" s="4"/>
      <c r="E1451" s="4"/>
      <c r="F1451" s="4"/>
      <c r="G1451" s="4"/>
      <c r="H1451" s="13"/>
      <c r="I1451" s="4"/>
      <c r="J1451" s="4"/>
    </row>
    <row r="1452">
      <c r="A1452" s="4"/>
      <c r="B1452" s="4"/>
      <c r="C1452" s="4"/>
      <c r="D1452" s="4"/>
      <c r="E1452" s="4"/>
      <c r="F1452" s="4"/>
      <c r="G1452" s="4"/>
      <c r="H1452" s="13"/>
      <c r="I1452" s="4"/>
      <c r="J1452" s="4"/>
    </row>
    <row r="1453">
      <c r="A1453" s="4"/>
      <c r="B1453" s="4"/>
      <c r="C1453" s="4"/>
      <c r="D1453" s="4"/>
      <c r="E1453" s="4"/>
      <c r="F1453" s="4"/>
      <c r="G1453" s="4"/>
      <c r="H1453" s="13"/>
      <c r="I1453" s="4"/>
      <c r="J1453" s="4"/>
    </row>
    <row r="1454">
      <c r="A1454" s="4"/>
      <c r="B1454" s="4"/>
      <c r="C1454" s="4"/>
      <c r="D1454" s="4"/>
      <c r="E1454" s="4"/>
      <c r="F1454" s="4"/>
      <c r="G1454" s="4"/>
      <c r="H1454" s="13"/>
      <c r="I1454" s="4"/>
      <c r="J1454" s="4"/>
    </row>
    <row r="1455">
      <c r="A1455" s="4"/>
      <c r="B1455" s="4"/>
      <c r="C1455" s="4"/>
      <c r="D1455" s="4"/>
      <c r="E1455" s="4"/>
      <c r="F1455" s="4"/>
      <c r="G1455" s="4"/>
      <c r="H1455" s="13"/>
      <c r="I1455" s="4"/>
      <c r="J1455" s="4"/>
    </row>
    <row r="1456">
      <c r="A1456" s="4"/>
      <c r="B1456" s="4"/>
      <c r="C1456" s="4"/>
      <c r="D1456" s="4"/>
      <c r="E1456" s="4"/>
      <c r="F1456" s="4"/>
      <c r="G1456" s="4"/>
      <c r="H1456" s="13"/>
      <c r="I1456" s="4"/>
      <c r="J1456" s="4"/>
    </row>
    <row r="1457">
      <c r="A1457" s="4"/>
      <c r="B1457" s="4"/>
      <c r="C1457" s="4"/>
      <c r="D1457" s="4"/>
      <c r="E1457" s="4"/>
      <c r="F1457" s="4"/>
      <c r="G1457" s="4"/>
      <c r="H1457" s="13"/>
      <c r="I1457" s="4"/>
      <c r="J1457" s="4"/>
    </row>
    <row r="1458">
      <c r="A1458" s="4"/>
      <c r="B1458" s="4"/>
      <c r="C1458" s="4"/>
      <c r="D1458" s="4"/>
      <c r="E1458" s="4"/>
      <c r="F1458" s="4"/>
      <c r="G1458" s="4"/>
      <c r="H1458" s="13"/>
      <c r="I1458" s="4"/>
      <c r="J1458" s="4"/>
    </row>
    <row r="1459">
      <c r="A1459" s="4"/>
      <c r="B1459" s="4"/>
      <c r="C1459" s="4"/>
      <c r="D1459" s="4"/>
      <c r="E1459" s="4"/>
      <c r="F1459" s="4"/>
      <c r="G1459" s="4"/>
      <c r="H1459" s="13"/>
      <c r="I1459" s="4"/>
      <c r="J1459" s="4"/>
    </row>
    <row r="1460">
      <c r="A1460" s="4"/>
      <c r="B1460" s="4"/>
      <c r="C1460" s="4"/>
      <c r="D1460" s="4"/>
      <c r="E1460" s="4"/>
      <c r="F1460" s="4"/>
      <c r="G1460" s="4"/>
      <c r="H1460" s="13"/>
      <c r="I1460" s="4"/>
      <c r="J1460" s="4"/>
    </row>
    <row r="1461">
      <c r="A1461" s="4"/>
      <c r="B1461" s="4"/>
      <c r="C1461" s="4"/>
      <c r="D1461" s="4"/>
      <c r="E1461" s="4"/>
      <c r="F1461" s="4"/>
      <c r="G1461" s="4"/>
      <c r="H1461" s="13"/>
      <c r="I1461" s="4"/>
      <c r="J1461" s="4"/>
    </row>
    <row r="1462">
      <c r="A1462" s="4"/>
      <c r="B1462" s="4"/>
      <c r="C1462" s="4"/>
      <c r="D1462" s="4"/>
      <c r="E1462" s="4"/>
      <c r="F1462" s="4"/>
      <c r="G1462" s="4"/>
      <c r="H1462" s="13"/>
      <c r="I1462" s="4"/>
      <c r="J1462" s="4"/>
    </row>
    <row r="1463">
      <c r="A1463" s="4"/>
      <c r="B1463" s="4"/>
      <c r="C1463" s="4"/>
      <c r="D1463" s="4"/>
      <c r="E1463" s="4"/>
      <c r="F1463" s="4"/>
      <c r="G1463" s="4"/>
      <c r="H1463" s="13"/>
      <c r="I1463" s="4"/>
      <c r="J1463" s="4"/>
    </row>
    <row r="1464">
      <c r="A1464" s="4"/>
      <c r="B1464" s="4"/>
      <c r="C1464" s="4"/>
      <c r="D1464" s="4"/>
      <c r="E1464" s="4"/>
      <c r="F1464" s="4"/>
      <c r="G1464" s="4"/>
      <c r="H1464" s="13"/>
      <c r="I1464" s="4"/>
      <c r="J1464" s="4"/>
    </row>
    <row r="1465">
      <c r="A1465" s="4"/>
      <c r="B1465" s="4"/>
      <c r="C1465" s="4"/>
      <c r="D1465" s="4"/>
      <c r="E1465" s="4"/>
      <c r="F1465" s="4"/>
      <c r="G1465" s="4"/>
      <c r="H1465" s="13"/>
      <c r="I1465" s="4"/>
      <c r="J1465" s="4"/>
    </row>
    <row r="1466">
      <c r="A1466" s="4"/>
      <c r="B1466" s="4"/>
      <c r="C1466" s="4"/>
      <c r="D1466" s="4"/>
      <c r="E1466" s="4"/>
      <c r="F1466" s="4"/>
      <c r="G1466" s="4"/>
      <c r="H1466" s="13"/>
      <c r="I1466" s="4"/>
      <c r="J1466" s="4"/>
    </row>
    <row r="1467">
      <c r="A1467" s="4"/>
      <c r="B1467" s="4"/>
      <c r="C1467" s="4"/>
      <c r="D1467" s="4"/>
      <c r="E1467" s="4"/>
      <c r="F1467" s="4"/>
      <c r="G1467" s="4"/>
      <c r="H1467" s="13"/>
      <c r="I1467" s="4"/>
      <c r="J1467" s="4"/>
    </row>
    <row r="1468">
      <c r="A1468" s="4"/>
      <c r="B1468" s="4"/>
      <c r="C1468" s="4"/>
      <c r="D1468" s="4"/>
      <c r="E1468" s="4"/>
      <c r="F1468" s="4"/>
      <c r="G1468" s="4"/>
      <c r="H1468" s="13"/>
      <c r="I1468" s="4"/>
      <c r="J1468" s="4"/>
    </row>
    <row r="1469">
      <c r="A1469" s="4"/>
      <c r="B1469" s="4"/>
      <c r="C1469" s="4"/>
      <c r="D1469" s="4"/>
      <c r="E1469" s="4"/>
      <c r="F1469" s="4"/>
      <c r="G1469" s="4"/>
      <c r="H1469" s="13"/>
      <c r="I1469" s="4"/>
      <c r="J1469" s="4"/>
    </row>
    <row r="1470">
      <c r="A1470" s="4"/>
      <c r="B1470" s="4"/>
      <c r="C1470" s="4"/>
      <c r="D1470" s="4"/>
      <c r="E1470" s="4"/>
      <c r="F1470" s="4"/>
      <c r="G1470" s="4"/>
      <c r="H1470" s="13"/>
      <c r="I1470" s="4"/>
      <c r="J1470" s="4"/>
    </row>
    <row r="1471">
      <c r="A1471" s="4"/>
      <c r="B1471" s="4"/>
      <c r="C1471" s="4"/>
      <c r="D1471" s="4"/>
      <c r="E1471" s="4"/>
      <c r="F1471" s="4"/>
      <c r="G1471" s="4"/>
      <c r="H1471" s="13"/>
      <c r="I1471" s="4"/>
      <c r="J1471" s="4"/>
    </row>
    <row r="1472">
      <c r="A1472" s="4"/>
      <c r="B1472" s="4"/>
      <c r="C1472" s="4"/>
      <c r="D1472" s="4"/>
      <c r="E1472" s="4"/>
      <c r="F1472" s="4"/>
      <c r="G1472" s="4"/>
      <c r="H1472" s="13"/>
      <c r="I1472" s="4"/>
      <c r="J1472" s="4"/>
    </row>
    <row r="1473">
      <c r="A1473" s="4"/>
      <c r="B1473" s="4"/>
      <c r="C1473" s="4"/>
      <c r="D1473" s="4"/>
      <c r="E1473" s="4"/>
      <c r="F1473" s="4"/>
      <c r="G1473" s="4"/>
      <c r="H1473" s="13"/>
      <c r="I1473" s="4"/>
      <c r="J1473" s="4"/>
    </row>
    <row r="1474">
      <c r="A1474" s="4"/>
      <c r="B1474" s="4"/>
      <c r="C1474" s="4"/>
      <c r="D1474" s="4"/>
      <c r="E1474" s="4"/>
      <c r="F1474" s="4"/>
      <c r="G1474" s="4"/>
      <c r="H1474" s="13"/>
      <c r="I1474" s="4"/>
      <c r="J1474" s="4"/>
    </row>
    <row r="1475">
      <c r="A1475" s="4"/>
      <c r="B1475" s="4"/>
      <c r="C1475" s="4"/>
      <c r="D1475" s="4"/>
      <c r="E1475" s="4"/>
      <c r="F1475" s="4"/>
      <c r="G1475" s="4"/>
      <c r="H1475" s="13"/>
      <c r="I1475" s="4"/>
      <c r="J1475" s="4"/>
    </row>
    <row r="1476">
      <c r="A1476" s="4"/>
      <c r="B1476" s="4"/>
      <c r="C1476" s="4"/>
      <c r="D1476" s="4"/>
      <c r="E1476" s="4"/>
      <c r="F1476" s="4"/>
      <c r="G1476" s="4"/>
      <c r="H1476" s="13"/>
      <c r="I1476" s="4"/>
      <c r="J1476" s="4"/>
    </row>
    <row r="1477">
      <c r="A1477" s="4"/>
      <c r="B1477" s="4"/>
      <c r="C1477" s="4"/>
      <c r="D1477" s="4"/>
      <c r="E1477" s="4"/>
      <c r="F1477" s="4"/>
      <c r="G1477" s="4"/>
      <c r="H1477" s="13"/>
      <c r="I1477" s="4"/>
      <c r="J1477" s="4"/>
    </row>
    <row r="1478">
      <c r="A1478" s="4"/>
      <c r="B1478" s="4"/>
      <c r="C1478" s="4"/>
      <c r="D1478" s="4"/>
      <c r="E1478" s="4"/>
      <c r="F1478" s="4"/>
      <c r="G1478" s="4"/>
      <c r="H1478" s="13"/>
      <c r="I1478" s="4"/>
      <c r="J1478" s="4"/>
    </row>
    <row r="1479">
      <c r="A1479" s="4"/>
      <c r="B1479" s="4"/>
      <c r="C1479" s="4"/>
      <c r="D1479" s="4"/>
      <c r="E1479" s="4"/>
      <c r="F1479" s="4"/>
      <c r="G1479" s="4"/>
      <c r="H1479" s="13"/>
      <c r="I1479" s="4"/>
      <c r="J1479" s="4"/>
    </row>
    <row r="1480">
      <c r="A1480" s="4"/>
      <c r="B1480" s="4"/>
      <c r="C1480" s="4"/>
      <c r="D1480" s="4"/>
      <c r="E1480" s="4"/>
      <c r="F1480" s="4"/>
      <c r="G1480" s="4"/>
      <c r="H1480" s="13"/>
      <c r="I1480" s="4"/>
      <c r="J1480" s="4"/>
    </row>
    <row r="1481">
      <c r="A1481" s="4"/>
      <c r="B1481" s="4"/>
      <c r="C1481" s="4"/>
      <c r="D1481" s="4"/>
      <c r="E1481" s="4"/>
      <c r="F1481" s="4"/>
      <c r="G1481" s="4"/>
      <c r="H1481" s="13"/>
      <c r="I1481" s="4"/>
      <c r="J1481" s="4"/>
    </row>
    <row r="1482">
      <c r="A1482" s="4"/>
      <c r="B1482" s="4"/>
      <c r="C1482" s="4"/>
      <c r="D1482" s="4"/>
      <c r="E1482" s="4"/>
      <c r="F1482" s="4"/>
      <c r="G1482" s="4"/>
      <c r="H1482" s="13"/>
      <c r="I1482" s="4"/>
      <c r="J1482" s="4"/>
    </row>
    <row r="1483">
      <c r="A1483" s="4"/>
      <c r="B1483" s="4"/>
      <c r="C1483" s="4"/>
      <c r="D1483" s="4"/>
      <c r="E1483" s="4"/>
      <c r="F1483" s="4"/>
      <c r="G1483" s="4"/>
      <c r="H1483" s="13"/>
      <c r="I1483" s="4"/>
      <c r="J1483" s="4"/>
    </row>
    <row r="1484">
      <c r="A1484" s="4"/>
      <c r="B1484" s="4"/>
      <c r="C1484" s="4"/>
      <c r="D1484" s="4"/>
      <c r="E1484" s="4"/>
      <c r="F1484" s="4"/>
      <c r="G1484" s="4"/>
      <c r="H1484" s="13"/>
      <c r="I1484" s="4"/>
      <c r="J1484" s="4"/>
    </row>
    <row r="1485">
      <c r="A1485" s="4"/>
      <c r="B1485" s="4"/>
      <c r="C1485" s="4"/>
      <c r="D1485" s="4"/>
      <c r="E1485" s="4"/>
      <c r="F1485" s="4"/>
      <c r="G1485" s="4"/>
      <c r="H1485" s="13"/>
      <c r="I1485" s="4"/>
      <c r="J1485" s="4"/>
    </row>
    <row r="1486">
      <c r="A1486" s="4"/>
      <c r="B1486" s="4"/>
      <c r="C1486" s="4"/>
      <c r="D1486" s="4"/>
      <c r="E1486" s="4"/>
      <c r="F1486" s="4"/>
      <c r="G1486" s="4"/>
      <c r="H1486" s="13"/>
      <c r="I1486" s="4"/>
      <c r="J1486" s="4"/>
    </row>
    <row r="1487">
      <c r="A1487" s="4"/>
      <c r="B1487" s="4"/>
      <c r="C1487" s="4"/>
      <c r="D1487" s="4"/>
      <c r="E1487" s="4"/>
      <c r="F1487" s="4"/>
      <c r="G1487" s="4"/>
      <c r="H1487" s="13"/>
      <c r="I1487" s="4"/>
      <c r="J1487" s="4"/>
    </row>
    <row r="1488">
      <c r="A1488" s="4"/>
      <c r="B1488" s="4"/>
      <c r="C1488" s="4"/>
      <c r="D1488" s="4"/>
      <c r="E1488" s="4"/>
      <c r="F1488" s="4"/>
      <c r="G1488" s="4"/>
      <c r="H1488" s="13"/>
      <c r="I1488" s="4"/>
      <c r="J1488" s="4"/>
    </row>
    <row r="1489">
      <c r="A1489" s="4"/>
      <c r="B1489" s="4"/>
      <c r="C1489" s="4"/>
      <c r="D1489" s="4"/>
      <c r="E1489" s="4"/>
      <c r="F1489" s="4"/>
      <c r="G1489" s="4"/>
      <c r="H1489" s="13"/>
      <c r="I1489" s="4"/>
      <c r="J1489" s="4"/>
    </row>
    <row r="1490">
      <c r="A1490" s="4"/>
      <c r="B1490" s="4"/>
      <c r="C1490" s="4"/>
      <c r="D1490" s="4"/>
      <c r="E1490" s="4"/>
      <c r="F1490" s="4"/>
      <c r="G1490" s="4"/>
      <c r="H1490" s="13"/>
      <c r="I1490" s="4"/>
      <c r="J1490" s="4"/>
    </row>
    <row r="1491">
      <c r="A1491" s="4"/>
      <c r="B1491" s="4"/>
      <c r="C1491" s="4"/>
      <c r="D1491" s="4"/>
      <c r="E1491" s="4"/>
      <c r="F1491" s="4"/>
      <c r="G1491" s="4"/>
      <c r="H1491" s="13"/>
      <c r="I1491" s="4"/>
      <c r="J1491" s="4"/>
    </row>
    <row r="1492">
      <c r="A1492" s="4"/>
      <c r="B1492" s="4"/>
      <c r="C1492" s="4"/>
      <c r="D1492" s="4"/>
      <c r="E1492" s="4"/>
      <c r="F1492" s="4"/>
      <c r="G1492" s="4"/>
      <c r="H1492" s="13"/>
      <c r="I1492" s="4"/>
      <c r="J1492" s="4"/>
    </row>
    <row r="1493">
      <c r="A1493" s="4"/>
      <c r="B1493" s="4"/>
      <c r="C1493" s="4"/>
      <c r="D1493" s="4"/>
      <c r="E1493" s="4"/>
      <c r="F1493" s="4"/>
      <c r="G1493" s="4"/>
      <c r="H1493" s="13"/>
      <c r="I1493" s="4"/>
      <c r="J1493" s="4"/>
    </row>
    <row r="1494">
      <c r="A1494" s="4"/>
      <c r="B1494" s="4"/>
      <c r="C1494" s="4"/>
      <c r="D1494" s="4"/>
      <c r="E1494" s="4"/>
      <c r="F1494" s="4"/>
      <c r="G1494" s="4"/>
      <c r="H1494" s="13"/>
      <c r="I1494" s="4"/>
      <c r="J1494" s="4"/>
    </row>
    <row r="1495">
      <c r="A1495" s="4"/>
      <c r="B1495" s="4"/>
      <c r="C1495" s="4"/>
      <c r="D1495" s="4"/>
      <c r="E1495" s="4"/>
      <c r="F1495" s="4"/>
      <c r="G1495" s="4"/>
      <c r="H1495" s="13"/>
      <c r="I1495" s="4"/>
      <c r="J1495" s="4"/>
    </row>
    <row r="1496">
      <c r="A1496" s="4"/>
      <c r="B1496" s="4"/>
      <c r="C1496" s="4"/>
      <c r="D1496" s="4"/>
      <c r="E1496" s="4"/>
      <c r="F1496" s="4"/>
      <c r="G1496" s="4"/>
      <c r="H1496" s="13"/>
      <c r="I1496" s="4"/>
      <c r="J1496" s="4"/>
    </row>
    <row r="1497">
      <c r="A1497" s="4"/>
      <c r="B1497" s="4"/>
      <c r="C1497" s="4"/>
      <c r="D1497" s="4"/>
      <c r="E1497" s="4"/>
      <c r="F1497" s="4"/>
      <c r="G1497" s="4"/>
      <c r="H1497" s="13"/>
      <c r="I1497" s="4"/>
      <c r="J1497" s="4"/>
    </row>
    <row r="1498">
      <c r="A1498" s="4"/>
      <c r="B1498" s="4"/>
      <c r="C1498" s="4"/>
      <c r="D1498" s="4"/>
      <c r="E1498" s="4"/>
      <c r="F1498" s="4"/>
      <c r="G1498" s="4"/>
      <c r="H1498" s="13"/>
      <c r="I1498" s="4"/>
      <c r="J1498" s="4"/>
    </row>
    <row r="1499">
      <c r="A1499" s="4"/>
      <c r="B1499" s="4"/>
      <c r="C1499" s="4"/>
      <c r="D1499" s="4"/>
      <c r="E1499" s="4"/>
      <c r="F1499" s="4"/>
      <c r="G1499" s="4"/>
      <c r="H1499" s="13"/>
      <c r="I1499" s="4"/>
      <c r="J1499" s="4"/>
    </row>
    <row r="1500">
      <c r="A1500" s="4"/>
      <c r="B1500" s="4"/>
      <c r="C1500" s="4"/>
      <c r="D1500" s="4"/>
      <c r="E1500" s="4"/>
      <c r="F1500" s="4"/>
      <c r="G1500" s="4"/>
      <c r="H1500" s="13"/>
      <c r="I1500" s="4"/>
      <c r="J1500" s="4"/>
    </row>
    <row r="1501">
      <c r="A1501" s="4"/>
      <c r="B1501" s="4"/>
      <c r="C1501" s="4"/>
      <c r="D1501" s="4"/>
      <c r="E1501" s="4"/>
      <c r="F1501" s="4"/>
      <c r="G1501" s="4"/>
      <c r="H1501" s="13"/>
      <c r="I1501" s="4"/>
      <c r="J1501" s="4"/>
    </row>
    <row r="1502">
      <c r="A1502" s="4"/>
      <c r="B1502" s="4"/>
      <c r="C1502" s="4"/>
      <c r="D1502" s="4"/>
      <c r="E1502" s="4"/>
      <c r="F1502" s="4"/>
      <c r="G1502" s="4"/>
      <c r="H1502" s="13"/>
      <c r="I1502" s="4"/>
      <c r="J1502" s="4"/>
    </row>
    <row r="1503">
      <c r="A1503" s="4"/>
      <c r="B1503" s="4"/>
      <c r="C1503" s="4"/>
      <c r="D1503" s="4"/>
      <c r="E1503" s="4"/>
      <c r="F1503" s="4"/>
      <c r="G1503" s="4"/>
      <c r="H1503" s="13"/>
      <c r="I1503" s="4"/>
      <c r="J1503" s="4"/>
    </row>
    <row r="1504">
      <c r="A1504" s="4"/>
      <c r="B1504" s="4"/>
      <c r="C1504" s="4"/>
      <c r="D1504" s="4"/>
      <c r="E1504" s="4"/>
      <c r="F1504" s="4"/>
      <c r="G1504" s="4"/>
      <c r="H1504" s="13"/>
      <c r="I1504" s="4"/>
      <c r="J1504" s="4"/>
    </row>
    <row r="1505">
      <c r="A1505" s="4"/>
      <c r="B1505" s="4"/>
      <c r="C1505" s="4"/>
      <c r="D1505" s="4"/>
      <c r="E1505" s="4"/>
      <c r="F1505" s="4"/>
      <c r="G1505" s="4"/>
      <c r="H1505" s="13"/>
      <c r="I1505" s="4"/>
      <c r="J1505" s="4"/>
    </row>
    <row r="1506">
      <c r="A1506" s="4"/>
      <c r="B1506" s="4"/>
      <c r="C1506" s="4"/>
      <c r="D1506" s="4"/>
      <c r="E1506" s="4"/>
      <c r="F1506" s="4"/>
      <c r="G1506" s="4"/>
      <c r="H1506" s="13"/>
      <c r="I1506" s="4"/>
      <c r="J1506" s="4"/>
    </row>
    <row r="1507">
      <c r="A1507" s="4"/>
      <c r="B1507" s="4"/>
      <c r="C1507" s="4"/>
      <c r="D1507" s="4"/>
      <c r="E1507" s="4"/>
      <c r="F1507" s="4"/>
      <c r="G1507" s="4"/>
      <c r="H1507" s="13"/>
      <c r="I1507" s="4"/>
      <c r="J1507" s="4"/>
    </row>
    <row r="1508">
      <c r="A1508" s="4"/>
      <c r="B1508" s="4"/>
      <c r="C1508" s="4"/>
      <c r="D1508" s="4"/>
      <c r="E1508" s="4"/>
      <c r="F1508" s="4"/>
      <c r="G1508" s="4"/>
      <c r="H1508" s="13"/>
      <c r="I1508" s="4"/>
      <c r="J1508" s="4"/>
    </row>
    <row r="1509">
      <c r="A1509" s="4"/>
      <c r="B1509" s="4"/>
      <c r="C1509" s="4"/>
      <c r="D1509" s="4"/>
      <c r="E1509" s="4"/>
      <c r="F1509" s="4"/>
      <c r="G1509" s="4"/>
      <c r="H1509" s="13"/>
      <c r="I1509" s="4"/>
      <c r="J1509" s="4"/>
    </row>
    <row r="1510">
      <c r="A1510" s="4"/>
      <c r="B1510" s="4"/>
      <c r="C1510" s="4"/>
      <c r="D1510" s="4"/>
      <c r="E1510" s="4"/>
      <c r="F1510" s="4"/>
      <c r="G1510" s="4"/>
      <c r="H1510" s="13"/>
      <c r="I1510" s="4"/>
      <c r="J1510" s="4"/>
    </row>
    <row r="1511">
      <c r="A1511" s="4"/>
      <c r="B1511" s="4"/>
      <c r="C1511" s="4"/>
      <c r="D1511" s="4"/>
      <c r="E1511" s="4"/>
      <c r="F1511" s="4"/>
      <c r="G1511" s="4"/>
      <c r="H1511" s="13"/>
      <c r="I1511" s="4"/>
      <c r="J1511" s="4"/>
    </row>
    <row r="1512">
      <c r="A1512" s="4"/>
      <c r="B1512" s="4"/>
      <c r="C1512" s="4"/>
      <c r="D1512" s="4"/>
      <c r="E1512" s="4"/>
      <c r="F1512" s="4"/>
      <c r="G1512" s="4"/>
      <c r="H1512" s="13"/>
      <c r="I1512" s="4"/>
      <c r="J1512" s="4"/>
    </row>
    <row r="1513">
      <c r="A1513" s="4"/>
      <c r="B1513" s="4"/>
      <c r="C1513" s="4"/>
      <c r="D1513" s="4"/>
      <c r="E1513" s="4"/>
      <c r="F1513" s="4"/>
      <c r="G1513" s="4"/>
      <c r="H1513" s="13"/>
      <c r="I1513" s="4"/>
      <c r="J1513" s="4"/>
    </row>
    <row r="1514">
      <c r="A1514" s="4"/>
      <c r="B1514" s="4"/>
      <c r="C1514" s="4"/>
      <c r="D1514" s="4"/>
      <c r="E1514" s="4"/>
      <c r="F1514" s="4"/>
      <c r="G1514" s="4"/>
      <c r="H1514" s="13"/>
      <c r="I1514" s="4"/>
      <c r="J1514" s="4"/>
    </row>
    <row r="1515">
      <c r="A1515" s="4"/>
      <c r="B1515" s="4"/>
      <c r="C1515" s="4"/>
      <c r="D1515" s="4"/>
      <c r="E1515" s="4"/>
      <c r="F1515" s="4"/>
      <c r="G1515" s="4"/>
      <c r="H1515" s="13"/>
      <c r="I1515" s="4"/>
      <c r="J1515" s="4"/>
    </row>
    <row r="1516">
      <c r="A1516" s="4"/>
      <c r="B1516" s="4"/>
      <c r="C1516" s="4"/>
      <c r="D1516" s="4"/>
      <c r="E1516" s="4"/>
      <c r="F1516" s="4"/>
      <c r="G1516" s="4"/>
      <c r="H1516" s="13"/>
      <c r="I1516" s="4"/>
      <c r="J1516" s="4"/>
    </row>
    <row r="1517">
      <c r="A1517" s="4"/>
      <c r="B1517" s="4"/>
      <c r="C1517" s="4"/>
      <c r="D1517" s="4"/>
      <c r="E1517" s="4"/>
      <c r="F1517" s="4"/>
      <c r="G1517" s="4"/>
      <c r="H1517" s="13"/>
      <c r="I1517" s="4"/>
      <c r="J1517" s="4"/>
    </row>
    <row r="1518">
      <c r="A1518" s="4"/>
      <c r="B1518" s="4"/>
      <c r="C1518" s="4"/>
      <c r="D1518" s="4"/>
      <c r="E1518" s="4"/>
      <c r="F1518" s="4"/>
      <c r="G1518" s="4"/>
      <c r="H1518" s="13"/>
      <c r="I1518" s="4"/>
      <c r="J1518" s="4"/>
    </row>
    <row r="1519">
      <c r="A1519" s="4"/>
      <c r="B1519" s="4"/>
      <c r="C1519" s="4"/>
      <c r="D1519" s="4"/>
      <c r="E1519" s="4"/>
      <c r="F1519" s="4"/>
      <c r="G1519" s="4"/>
      <c r="H1519" s="13"/>
      <c r="I1519" s="4"/>
      <c r="J1519" s="4"/>
    </row>
    <row r="1520">
      <c r="A1520" s="4"/>
      <c r="B1520" s="4"/>
      <c r="C1520" s="4"/>
      <c r="D1520" s="4"/>
      <c r="E1520" s="4"/>
      <c r="F1520" s="4"/>
      <c r="G1520" s="4"/>
      <c r="H1520" s="13"/>
      <c r="I1520" s="4"/>
      <c r="J1520" s="4"/>
    </row>
    <row r="1521">
      <c r="A1521" s="4"/>
      <c r="B1521" s="4"/>
      <c r="C1521" s="4"/>
      <c r="D1521" s="4"/>
      <c r="E1521" s="4"/>
      <c r="F1521" s="4"/>
      <c r="G1521" s="4"/>
      <c r="H1521" s="13"/>
      <c r="I1521" s="4"/>
      <c r="J1521" s="4"/>
    </row>
    <row r="1522">
      <c r="A1522" s="4"/>
      <c r="B1522" s="4"/>
      <c r="C1522" s="4"/>
      <c r="D1522" s="4"/>
      <c r="E1522" s="4"/>
      <c r="F1522" s="4"/>
      <c r="G1522" s="4"/>
      <c r="H1522" s="13"/>
      <c r="I1522" s="4"/>
      <c r="J1522" s="4"/>
    </row>
    <row r="1523">
      <c r="A1523" s="4"/>
      <c r="B1523" s="4"/>
      <c r="C1523" s="4"/>
      <c r="D1523" s="4"/>
      <c r="E1523" s="4"/>
      <c r="F1523" s="4"/>
      <c r="G1523" s="4"/>
      <c r="H1523" s="13"/>
      <c r="I1523" s="4"/>
      <c r="J1523" s="4"/>
    </row>
    <row r="1524">
      <c r="A1524" s="4"/>
      <c r="B1524" s="4"/>
      <c r="C1524" s="4"/>
      <c r="D1524" s="4"/>
      <c r="E1524" s="4"/>
      <c r="F1524" s="4"/>
      <c r="G1524" s="4"/>
      <c r="H1524" s="13"/>
      <c r="I1524" s="4"/>
      <c r="J1524" s="4"/>
    </row>
    <row r="1525">
      <c r="A1525" s="4"/>
      <c r="B1525" s="4"/>
      <c r="C1525" s="4"/>
      <c r="D1525" s="4"/>
      <c r="E1525" s="4"/>
      <c r="F1525" s="4"/>
      <c r="G1525" s="4"/>
      <c r="H1525" s="13"/>
      <c r="I1525" s="4"/>
      <c r="J1525" s="4"/>
    </row>
    <row r="1526">
      <c r="A1526" s="4"/>
      <c r="B1526" s="4"/>
      <c r="C1526" s="4"/>
      <c r="D1526" s="4"/>
      <c r="E1526" s="4"/>
      <c r="F1526" s="4"/>
      <c r="G1526" s="4"/>
      <c r="H1526" s="13"/>
      <c r="I1526" s="4"/>
      <c r="J1526" s="4"/>
    </row>
    <row r="1527">
      <c r="A1527" s="4"/>
      <c r="B1527" s="4"/>
      <c r="C1527" s="4"/>
      <c r="D1527" s="4"/>
      <c r="E1527" s="4"/>
      <c r="F1527" s="4"/>
      <c r="G1527" s="4"/>
      <c r="H1527" s="13"/>
      <c r="I1527" s="4"/>
      <c r="J1527" s="4"/>
    </row>
    <row r="1528">
      <c r="A1528" s="4"/>
      <c r="B1528" s="4"/>
      <c r="C1528" s="4"/>
      <c r="D1528" s="4"/>
      <c r="E1528" s="4"/>
      <c r="F1528" s="4"/>
      <c r="G1528" s="4"/>
      <c r="H1528" s="13"/>
      <c r="I1528" s="4"/>
      <c r="J1528" s="4"/>
    </row>
    <row r="1529">
      <c r="A1529" s="4"/>
      <c r="B1529" s="4"/>
      <c r="C1529" s="4"/>
      <c r="D1529" s="4"/>
      <c r="E1529" s="4"/>
      <c r="F1529" s="4"/>
      <c r="G1529" s="4"/>
      <c r="H1529" s="13"/>
      <c r="I1529" s="4"/>
      <c r="J1529" s="4"/>
    </row>
    <row r="1530">
      <c r="A1530" s="4"/>
      <c r="B1530" s="4"/>
      <c r="C1530" s="4"/>
      <c r="D1530" s="4"/>
      <c r="E1530" s="4"/>
      <c r="F1530" s="4"/>
      <c r="G1530" s="4"/>
      <c r="H1530" s="13"/>
      <c r="I1530" s="4"/>
      <c r="J1530" s="4"/>
    </row>
    <row r="1531">
      <c r="A1531" s="4"/>
      <c r="B1531" s="4"/>
      <c r="C1531" s="4"/>
      <c r="D1531" s="4"/>
      <c r="E1531" s="4"/>
      <c r="F1531" s="4"/>
      <c r="G1531" s="4"/>
      <c r="H1531" s="13"/>
      <c r="I1531" s="4"/>
      <c r="J1531" s="4"/>
    </row>
    <row r="1532">
      <c r="A1532" s="4"/>
      <c r="B1532" s="4"/>
      <c r="C1532" s="4"/>
      <c r="D1532" s="4"/>
      <c r="E1532" s="4"/>
      <c r="F1532" s="4"/>
      <c r="G1532" s="4"/>
      <c r="H1532" s="13"/>
      <c r="I1532" s="4"/>
      <c r="J1532" s="4"/>
    </row>
    <row r="1533">
      <c r="A1533" s="4"/>
      <c r="B1533" s="4"/>
      <c r="C1533" s="4"/>
      <c r="D1533" s="4"/>
      <c r="E1533" s="4"/>
      <c r="F1533" s="4"/>
      <c r="G1533" s="4"/>
      <c r="H1533" s="13"/>
      <c r="I1533" s="4"/>
      <c r="J1533" s="4"/>
    </row>
    <row r="1534">
      <c r="A1534" s="4"/>
      <c r="B1534" s="4"/>
      <c r="C1534" s="4"/>
      <c r="D1534" s="4"/>
      <c r="E1534" s="4"/>
      <c r="F1534" s="4"/>
      <c r="G1534" s="4"/>
      <c r="H1534" s="13"/>
      <c r="I1534" s="4"/>
      <c r="J1534" s="4"/>
    </row>
    <row r="1535">
      <c r="A1535" s="4"/>
      <c r="B1535" s="4"/>
      <c r="C1535" s="4"/>
      <c r="D1535" s="4"/>
      <c r="E1535" s="4"/>
      <c r="F1535" s="4"/>
      <c r="G1535" s="4"/>
      <c r="H1535" s="13"/>
      <c r="I1535" s="4"/>
      <c r="J1535" s="4"/>
    </row>
    <row r="1536">
      <c r="A1536" s="4"/>
      <c r="B1536" s="4"/>
      <c r="C1536" s="4"/>
      <c r="D1536" s="4"/>
      <c r="E1536" s="4"/>
      <c r="F1536" s="4"/>
      <c r="G1536" s="4"/>
      <c r="H1536" s="13"/>
      <c r="I1536" s="4"/>
      <c r="J1536" s="4"/>
    </row>
    <row r="1537">
      <c r="A1537" s="4"/>
      <c r="B1537" s="4"/>
      <c r="C1537" s="4"/>
      <c r="D1537" s="4"/>
      <c r="E1537" s="4"/>
      <c r="F1537" s="4"/>
      <c r="G1537" s="4"/>
      <c r="H1537" s="13"/>
      <c r="I1537" s="4"/>
      <c r="J1537" s="4"/>
    </row>
    <row r="1538">
      <c r="A1538" s="4"/>
      <c r="B1538" s="4"/>
      <c r="C1538" s="4"/>
      <c r="D1538" s="4"/>
      <c r="E1538" s="4"/>
      <c r="F1538" s="4"/>
      <c r="G1538" s="4"/>
      <c r="H1538" s="13"/>
      <c r="I1538" s="4"/>
      <c r="J1538" s="4"/>
    </row>
    <row r="1539">
      <c r="A1539" s="4"/>
      <c r="B1539" s="4"/>
      <c r="C1539" s="4"/>
      <c r="D1539" s="4"/>
      <c r="E1539" s="4"/>
      <c r="F1539" s="4"/>
      <c r="G1539" s="4"/>
      <c r="H1539" s="13"/>
      <c r="I1539" s="4"/>
      <c r="J1539" s="4"/>
    </row>
    <row r="1540">
      <c r="A1540" s="4"/>
      <c r="B1540" s="4"/>
      <c r="C1540" s="4"/>
      <c r="D1540" s="4"/>
      <c r="E1540" s="4"/>
      <c r="F1540" s="4"/>
      <c r="G1540" s="4"/>
      <c r="H1540" s="13"/>
      <c r="I1540" s="4"/>
      <c r="J1540" s="4"/>
    </row>
    <row r="1541">
      <c r="A1541" s="4"/>
      <c r="B1541" s="4"/>
      <c r="C1541" s="4"/>
      <c r="D1541" s="4"/>
      <c r="E1541" s="4"/>
      <c r="F1541" s="4"/>
      <c r="G1541" s="4"/>
      <c r="H1541" s="13"/>
      <c r="I1541" s="4"/>
      <c r="J1541" s="4"/>
    </row>
    <row r="1542">
      <c r="A1542" s="4"/>
      <c r="B1542" s="4"/>
      <c r="C1542" s="4"/>
      <c r="D1542" s="4"/>
      <c r="E1542" s="4"/>
      <c r="F1542" s="4"/>
      <c r="G1542" s="4"/>
      <c r="H1542" s="13"/>
      <c r="I1542" s="4"/>
      <c r="J1542" s="4"/>
    </row>
    <row r="1543">
      <c r="A1543" s="4"/>
      <c r="B1543" s="4"/>
      <c r="C1543" s="4"/>
      <c r="D1543" s="4"/>
      <c r="E1543" s="4"/>
      <c r="F1543" s="4"/>
      <c r="G1543" s="4"/>
      <c r="H1543" s="13"/>
      <c r="I1543" s="4"/>
      <c r="J1543" s="4"/>
    </row>
    <row r="1544">
      <c r="A1544" s="4"/>
      <c r="B1544" s="4"/>
      <c r="C1544" s="4"/>
      <c r="D1544" s="4"/>
      <c r="E1544" s="4"/>
      <c r="F1544" s="4"/>
      <c r="G1544" s="4"/>
      <c r="H1544" s="13"/>
      <c r="I1544" s="4"/>
      <c r="J1544" s="4"/>
    </row>
    <row r="1545">
      <c r="A1545" s="4"/>
      <c r="B1545" s="4"/>
      <c r="C1545" s="4"/>
      <c r="D1545" s="4"/>
      <c r="E1545" s="4"/>
      <c r="F1545" s="4"/>
      <c r="G1545" s="4"/>
      <c r="H1545" s="13"/>
      <c r="I1545" s="4"/>
      <c r="J1545" s="4"/>
    </row>
    <row r="1546">
      <c r="A1546" s="4"/>
      <c r="B1546" s="4"/>
      <c r="C1546" s="4"/>
      <c r="D1546" s="4"/>
      <c r="E1546" s="4"/>
      <c r="F1546" s="4"/>
      <c r="G1546" s="4"/>
      <c r="H1546" s="13"/>
      <c r="I1546" s="4"/>
      <c r="J1546" s="4"/>
    </row>
    <row r="1547">
      <c r="A1547" s="4"/>
      <c r="B1547" s="4"/>
      <c r="C1547" s="4"/>
      <c r="D1547" s="4"/>
      <c r="E1547" s="4"/>
      <c r="F1547" s="4"/>
      <c r="G1547" s="4"/>
      <c r="H1547" s="13"/>
      <c r="I1547" s="4"/>
      <c r="J1547" s="4"/>
    </row>
    <row r="1548">
      <c r="A1548" s="4"/>
      <c r="B1548" s="4"/>
      <c r="C1548" s="4"/>
      <c r="D1548" s="4"/>
      <c r="E1548" s="4"/>
      <c r="F1548" s="4"/>
      <c r="G1548" s="4"/>
      <c r="H1548" s="13"/>
      <c r="I1548" s="4"/>
      <c r="J1548" s="4"/>
    </row>
    <row r="1549">
      <c r="A1549" s="4"/>
      <c r="B1549" s="4"/>
      <c r="C1549" s="4"/>
      <c r="D1549" s="4"/>
      <c r="E1549" s="4"/>
      <c r="F1549" s="4"/>
      <c r="G1549" s="4"/>
      <c r="H1549" s="13"/>
      <c r="I1549" s="4"/>
      <c r="J1549" s="4"/>
    </row>
    <row r="1550">
      <c r="A1550" s="4"/>
      <c r="B1550" s="4"/>
      <c r="C1550" s="4"/>
      <c r="D1550" s="4"/>
      <c r="E1550" s="4"/>
      <c r="F1550" s="4"/>
      <c r="G1550" s="4"/>
      <c r="H1550" s="13"/>
      <c r="I1550" s="4"/>
      <c r="J1550" s="4"/>
    </row>
    <row r="1551">
      <c r="A1551" s="4"/>
      <c r="B1551" s="4"/>
      <c r="C1551" s="4"/>
      <c r="D1551" s="4"/>
      <c r="E1551" s="4"/>
      <c r="F1551" s="4"/>
      <c r="G1551" s="4"/>
      <c r="H1551" s="13"/>
      <c r="I1551" s="4"/>
      <c r="J1551" s="4"/>
    </row>
    <row r="1552">
      <c r="A1552" s="4"/>
      <c r="B1552" s="4"/>
      <c r="C1552" s="4"/>
      <c r="D1552" s="4"/>
      <c r="E1552" s="4"/>
      <c r="F1552" s="4"/>
      <c r="G1552" s="4"/>
      <c r="H1552" s="13"/>
      <c r="I1552" s="4"/>
      <c r="J1552" s="4"/>
    </row>
    <row r="1553">
      <c r="A1553" s="4"/>
      <c r="B1553" s="4"/>
      <c r="C1553" s="4"/>
      <c r="D1553" s="4"/>
      <c r="E1553" s="4"/>
      <c r="F1553" s="4"/>
      <c r="G1553" s="4"/>
      <c r="H1553" s="13"/>
      <c r="I1553" s="4"/>
      <c r="J1553" s="4"/>
    </row>
    <row r="1554">
      <c r="A1554" s="4"/>
      <c r="B1554" s="4"/>
      <c r="C1554" s="4"/>
      <c r="D1554" s="4"/>
      <c r="E1554" s="4"/>
      <c r="F1554" s="4"/>
      <c r="G1554" s="4"/>
      <c r="H1554" s="13"/>
      <c r="I1554" s="4"/>
      <c r="J1554" s="4"/>
    </row>
    <row r="1555">
      <c r="A1555" s="4"/>
      <c r="B1555" s="4"/>
      <c r="C1555" s="4"/>
      <c r="D1555" s="4"/>
      <c r="E1555" s="4"/>
      <c r="F1555" s="4"/>
      <c r="G1555" s="4"/>
      <c r="H1555" s="13"/>
      <c r="I1555" s="4"/>
      <c r="J1555" s="4"/>
    </row>
    <row r="1556">
      <c r="A1556" s="4"/>
      <c r="B1556" s="4"/>
      <c r="C1556" s="4"/>
      <c r="D1556" s="4"/>
      <c r="E1556" s="4"/>
      <c r="F1556" s="4"/>
      <c r="G1556" s="4"/>
      <c r="H1556" s="13"/>
      <c r="I1556" s="4"/>
      <c r="J1556" s="4"/>
    </row>
    <row r="1557">
      <c r="A1557" s="4"/>
      <c r="B1557" s="4"/>
      <c r="C1557" s="4"/>
      <c r="D1557" s="4"/>
      <c r="E1557" s="4"/>
      <c r="F1557" s="4"/>
      <c r="G1557" s="4"/>
      <c r="H1557" s="13"/>
      <c r="I1557" s="4"/>
      <c r="J1557" s="4"/>
    </row>
    <row r="1558">
      <c r="A1558" s="4"/>
      <c r="B1558" s="4"/>
      <c r="C1558" s="4"/>
      <c r="D1558" s="4"/>
      <c r="E1558" s="4"/>
      <c r="F1558" s="4"/>
      <c r="G1558" s="4"/>
      <c r="H1558" s="13"/>
      <c r="I1558" s="4"/>
      <c r="J1558" s="4"/>
    </row>
    <row r="1559">
      <c r="A1559" s="4"/>
      <c r="B1559" s="4"/>
      <c r="C1559" s="4"/>
      <c r="D1559" s="4"/>
      <c r="E1559" s="4"/>
      <c r="F1559" s="4"/>
      <c r="G1559" s="4"/>
      <c r="H1559" s="13"/>
      <c r="I1559" s="4"/>
      <c r="J1559" s="4"/>
    </row>
    <row r="1560">
      <c r="A1560" s="4"/>
      <c r="B1560" s="4"/>
      <c r="C1560" s="4"/>
      <c r="D1560" s="4"/>
      <c r="E1560" s="4"/>
      <c r="F1560" s="4"/>
      <c r="G1560" s="4"/>
      <c r="H1560" s="13"/>
      <c r="I1560" s="4"/>
      <c r="J1560" s="4"/>
    </row>
    <row r="1561">
      <c r="A1561" s="4"/>
      <c r="B1561" s="4"/>
      <c r="C1561" s="4"/>
      <c r="D1561" s="4"/>
      <c r="E1561" s="4"/>
      <c r="F1561" s="4"/>
      <c r="G1561" s="4"/>
      <c r="H1561" s="13"/>
      <c r="I1561" s="4"/>
      <c r="J1561" s="4"/>
    </row>
    <row r="1562">
      <c r="A1562" s="4"/>
      <c r="B1562" s="4"/>
      <c r="C1562" s="4"/>
      <c r="D1562" s="4"/>
      <c r="E1562" s="4"/>
      <c r="F1562" s="4"/>
      <c r="G1562" s="4"/>
      <c r="H1562" s="13"/>
      <c r="I1562" s="4"/>
      <c r="J1562" s="4"/>
    </row>
    <row r="1563">
      <c r="A1563" s="4"/>
      <c r="B1563" s="4"/>
      <c r="C1563" s="4"/>
      <c r="D1563" s="4"/>
      <c r="E1563" s="4"/>
      <c r="F1563" s="4"/>
      <c r="G1563" s="4"/>
      <c r="H1563" s="13"/>
      <c r="I1563" s="4"/>
      <c r="J1563" s="4"/>
    </row>
    <row r="1564">
      <c r="A1564" s="4"/>
      <c r="B1564" s="4"/>
      <c r="C1564" s="4"/>
      <c r="D1564" s="4"/>
      <c r="E1564" s="4"/>
      <c r="F1564" s="4"/>
      <c r="G1564" s="4"/>
      <c r="H1564" s="13"/>
      <c r="I1564" s="4"/>
      <c r="J1564" s="4"/>
    </row>
    <row r="1565">
      <c r="A1565" s="4"/>
      <c r="B1565" s="4"/>
      <c r="C1565" s="4"/>
      <c r="D1565" s="4"/>
      <c r="E1565" s="4"/>
      <c r="F1565" s="4"/>
      <c r="G1565" s="4"/>
      <c r="H1565" s="13"/>
      <c r="I1565" s="4"/>
      <c r="J1565" s="4"/>
    </row>
    <row r="1566">
      <c r="A1566" s="4"/>
      <c r="B1566" s="4"/>
      <c r="C1566" s="4"/>
      <c r="D1566" s="4"/>
      <c r="E1566" s="4"/>
      <c r="F1566" s="4"/>
      <c r="G1566" s="4"/>
      <c r="H1566" s="13"/>
      <c r="I1566" s="4"/>
      <c r="J1566" s="4"/>
    </row>
    <row r="1567">
      <c r="A1567" s="4"/>
      <c r="B1567" s="4"/>
      <c r="C1567" s="4"/>
      <c r="D1567" s="4"/>
      <c r="E1567" s="4"/>
      <c r="F1567" s="4"/>
      <c r="G1567" s="4"/>
      <c r="H1567" s="13"/>
      <c r="I1567" s="4"/>
      <c r="J1567" s="4"/>
    </row>
    <row r="1568">
      <c r="A1568" s="4"/>
      <c r="B1568" s="4"/>
      <c r="C1568" s="4"/>
      <c r="D1568" s="4"/>
      <c r="E1568" s="4"/>
      <c r="F1568" s="4"/>
      <c r="G1568" s="4"/>
      <c r="H1568" s="13"/>
      <c r="I1568" s="4"/>
      <c r="J1568" s="4"/>
    </row>
    <row r="1569">
      <c r="A1569" s="4"/>
      <c r="B1569" s="4"/>
      <c r="C1569" s="4"/>
      <c r="D1569" s="4"/>
      <c r="E1569" s="4"/>
      <c r="F1569" s="4"/>
      <c r="G1569" s="4"/>
      <c r="H1569" s="13"/>
      <c r="I1569" s="4"/>
      <c r="J1569" s="4"/>
    </row>
    <row r="1570">
      <c r="A1570" s="4"/>
      <c r="B1570" s="4"/>
      <c r="C1570" s="4"/>
      <c r="D1570" s="4"/>
      <c r="E1570" s="4"/>
      <c r="F1570" s="4"/>
      <c r="G1570" s="4"/>
      <c r="H1570" s="13"/>
      <c r="I1570" s="4"/>
      <c r="J1570" s="4"/>
    </row>
    <row r="1571">
      <c r="A1571" s="4"/>
      <c r="B1571" s="4"/>
      <c r="C1571" s="4"/>
      <c r="D1571" s="4"/>
      <c r="E1571" s="4"/>
      <c r="F1571" s="4"/>
      <c r="G1571" s="4"/>
      <c r="H1571" s="13"/>
      <c r="I1571" s="4"/>
      <c r="J1571" s="4"/>
    </row>
    <row r="1572">
      <c r="A1572" s="4"/>
      <c r="B1572" s="4"/>
      <c r="C1572" s="4"/>
      <c r="D1572" s="4"/>
      <c r="E1572" s="4"/>
      <c r="F1572" s="4"/>
      <c r="G1572" s="4"/>
      <c r="H1572" s="13"/>
      <c r="I1572" s="4"/>
      <c r="J1572" s="4"/>
    </row>
    <row r="1573">
      <c r="A1573" s="4"/>
      <c r="B1573" s="4"/>
      <c r="C1573" s="4"/>
      <c r="D1573" s="4"/>
      <c r="E1573" s="4"/>
      <c r="F1573" s="4"/>
      <c r="G1573" s="4"/>
      <c r="H1573" s="13"/>
      <c r="I1573" s="4"/>
      <c r="J1573" s="4"/>
    </row>
    <row r="1574">
      <c r="A1574" s="4"/>
      <c r="B1574" s="4"/>
      <c r="C1574" s="4"/>
      <c r="D1574" s="4"/>
      <c r="E1574" s="4"/>
      <c r="F1574" s="4"/>
      <c r="G1574" s="4"/>
      <c r="H1574" s="13"/>
      <c r="I1574" s="4"/>
      <c r="J1574" s="4"/>
    </row>
    <row r="1575">
      <c r="A1575" s="4"/>
      <c r="B1575" s="4"/>
      <c r="C1575" s="4"/>
      <c r="D1575" s="4"/>
      <c r="E1575" s="4"/>
      <c r="F1575" s="4"/>
      <c r="G1575" s="4"/>
      <c r="H1575" s="13"/>
      <c r="I1575" s="4"/>
      <c r="J1575" s="4"/>
    </row>
    <row r="1576">
      <c r="A1576" s="4"/>
      <c r="B1576" s="4"/>
      <c r="C1576" s="4"/>
      <c r="D1576" s="4"/>
      <c r="E1576" s="4"/>
      <c r="F1576" s="4"/>
      <c r="G1576" s="4"/>
      <c r="H1576" s="13"/>
      <c r="I1576" s="4"/>
      <c r="J1576" s="4"/>
    </row>
    <row r="1577">
      <c r="A1577" s="4"/>
      <c r="B1577" s="4"/>
      <c r="C1577" s="4"/>
      <c r="D1577" s="4"/>
      <c r="E1577" s="4"/>
      <c r="F1577" s="4"/>
      <c r="G1577" s="4"/>
      <c r="H1577" s="13"/>
      <c r="I1577" s="4"/>
      <c r="J1577" s="4"/>
    </row>
    <row r="1578">
      <c r="A1578" s="4"/>
      <c r="B1578" s="4"/>
      <c r="C1578" s="4"/>
      <c r="D1578" s="4"/>
      <c r="E1578" s="4"/>
      <c r="F1578" s="4"/>
      <c r="G1578" s="4"/>
      <c r="H1578" s="13"/>
      <c r="I1578" s="4"/>
      <c r="J1578" s="4"/>
    </row>
    <row r="1579">
      <c r="A1579" s="4"/>
      <c r="B1579" s="4"/>
      <c r="C1579" s="4"/>
      <c r="D1579" s="4"/>
      <c r="E1579" s="4"/>
      <c r="F1579" s="4"/>
      <c r="G1579" s="4"/>
      <c r="H1579" s="13"/>
      <c r="I1579" s="4"/>
      <c r="J1579" s="4"/>
    </row>
    <row r="1580">
      <c r="A1580" s="4"/>
      <c r="B1580" s="4"/>
      <c r="C1580" s="4"/>
      <c r="D1580" s="4"/>
      <c r="E1580" s="4"/>
      <c r="F1580" s="4"/>
      <c r="G1580" s="4"/>
      <c r="H1580" s="13"/>
      <c r="I1580" s="4"/>
      <c r="J1580" s="4"/>
    </row>
    <row r="1581">
      <c r="A1581" s="4"/>
      <c r="B1581" s="4"/>
      <c r="C1581" s="4"/>
      <c r="D1581" s="4"/>
      <c r="E1581" s="4"/>
      <c r="F1581" s="4"/>
      <c r="G1581" s="4"/>
      <c r="H1581" s="13"/>
      <c r="I1581" s="4"/>
      <c r="J1581" s="4"/>
    </row>
    <row r="1582">
      <c r="A1582" s="4"/>
      <c r="B1582" s="4"/>
      <c r="C1582" s="4"/>
      <c r="D1582" s="4"/>
      <c r="E1582" s="4"/>
      <c r="F1582" s="4"/>
      <c r="G1582" s="4"/>
      <c r="H1582" s="13"/>
      <c r="I1582" s="4"/>
      <c r="J1582" s="4"/>
    </row>
    <row r="1583">
      <c r="A1583" s="4"/>
      <c r="B1583" s="4"/>
      <c r="C1583" s="4"/>
      <c r="D1583" s="4"/>
      <c r="E1583" s="4"/>
      <c r="F1583" s="4"/>
      <c r="G1583" s="4"/>
      <c r="H1583" s="13"/>
      <c r="I1583" s="4"/>
      <c r="J1583" s="4"/>
    </row>
    <row r="1584">
      <c r="A1584" s="4"/>
      <c r="B1584" s="4"/>
      <c r="C1584" s="4"/>
      <c r="D1584" s="4"/>
      <c r="E1584" s="4"/>
      <c r="F1584" s="4"/>
      <c r="G1584" s="4"/>
      <c r="H1584" s="13"/>
      <c r="I1584" s="4"/>
      <c r="J1584" s="4"/>
    </row>
    <row r="1585">
      <c r="A1585" s="4"/>
      <c r="B1585" s="4"/>
      <c r="C1585" s="4"/>
      <c r="D1585" s="4"/>
      <c r="E1585" s="4"/>
      <c r="F1585" s="4"/>
      <c r="G1585" s="4"/>
      <c r="H1585" s="13"/>
      <c r="I1585" s="4"/>
      <c r="J1585" s="4"/>
    </row>
    <row r="1586">
      <c r="A1586" s="4"/>
      <c r="B1586" s="4"/>
      <c r="C1586" s="4"/>
      <c r="D1586" s="4"/>
      <c r="E1586" s="4"/>
      <c r="F1586" s="4"/>
      <c r="G1586" s="4"/>
      <c r="H1586" s="13"/>
      <c r="I1586" s="4"/>
      <c r="J1586" s="4"/>
    </row>
    <row r="1587">
      <c r="A1587" s="4"/>
      <c r="B1587" s="4"/>
      <c r="C1587" s="4"/>
      <c r="D1587" s="4"/>
      <c r="E1587" s="4"/>
      <c r="F1587" s="4"/>
      <c r="G1587" s="4"/>
      <c r="H1587" s="13"/>
      <c r="I1587" s="4"/>
      <c r="J1587" s="4"/>
    </row>
    <row r="1588">
      <c r="A1588" s="4"/>
      <c r="B1588" s="4"/>
      <c r="C1588" s="4"/>
      <c r="D1588" s="4"/>
      <c r="E1588" s="4"/>
      <c r="F1588" s="4"/>
      <c r="G1588" s="4"/>
      <c r="H1588" s="13"/>
      <c r="I1588" s="4"/>
      <c r="J1588" s="4"/>
    </row>
    <row r="1589">
      <c r="A1589" s="4"/>
      <c r="B1589" s="4"/>
      <c r="C1589" s="4"/>
      <c r="D1589" s="4"/>
      <c r="E1589" s="4"/>
      <c r="F1589" s="4"/>
      <c r="G1589" s="4"/>
      <c r="H1589" s="13"/>
      <c r="I1589" s="4"/>
      <c r="J1589" s="4"/>
    </row>
    <row r="1590">
      <c r="A1590" s="4"/>
      <c r="B1590" s="4"/>
      <c r="C1590" s="4"/>
      <c r="D1590" s="4"/>
      <c r="E1590" s="4"/>
      <c r="F1590" s="4"/>
      <c r="G1590" s="4"/>
      <c r="H1590" s="13"/>
      <c r="I1590" s="4"/>
      <c r="J1590" s="4"/>
    </row>
    <row r="1591">
      <c r="A1591" s="4"/>
      <c r="B1591" s="4"/>
      <c r="C1591" s="4"/>
      <c r="D1591" s="4"/>
      <c r="E1591" s="4"/>
      <c r="F1591" s="4"/>
      <c r="G1591" s="4"/>
      <c r="H1591" s="13"/>
      <c r="I1591" s="4"/>
      <c r="J1591" s="4"/>
    </row>
    <row r="1592">
      <c r="A1592" s="4"/>
      <c r="B1592" s="4"/>
      <c r="C1592" s="4"/>
      <c r="D1592" s="4"/>
      <c r="E1592" s="4"/>
      <c r="F1592" s="4"/>
      <c r="G1592" s="4"/>
      <c r="H1592" s="13"/>
      <c r="I1592" s="4"/>
      <c r="J1592" s="4"/>
    </row>
    <row r="1593">
      <c r="A1593" s="4"/>
      <c r="B1593" s="4"/>
      <c r="C1593" s="4"/>
      <c r="D1593" s="4"/>
      <c r="E1593" s="4"/>
      <c r="F1593" s="4"/>
      <c r="G1593" s="4"/>
      <c r="H1593" s="13"/>
      <c r="I1593" s="4"/>
      <c r="J1593" s="4"/>
    </row>
    <row r="1594">
      <c r="A1594" s="4"/>
      <c r="B1594" s="4"/>
      <c r="C1594" s="4"/>
      <c r="D1594" s="4"/>
      <c r="E1594" s="4"/>
      <c r="F1594" s="4"/>
      <c r="G1594" s="4"/>
      <c r="H1594" s="13"/>
      <c r="I1594" s="4"/>
      <c r="J1594" s="4"/>
    </row>
    <row r="1595">
      <c r="A1595" s="4"/>
      <c r="B1595" s="4"/>
      <c r="C1595" s="4"/>
      <c r="D1595" s="4"/>
      <c r="E1595" s="4"/>
      <c r="F1595" s="4"/>
      <c r="G1595" s="4"/>
      <c r="H1595" s="13"/>
      <c r="I1595" s="4"/>
      <c r="J1595" s="4"/>
    </row>
    <row r="1596">
      <c r="A1596" s="4"/>
      <c r="B1596" s="4"/>
      <c r="C1596" s="4"/>
      <c r="D1596" s="4"/>
      <c r="E1596" s="4"/>
      <c r="F1596" s="4"/>
      <c r="G1596" s="4"/>
      <c r="H1596" s="13"/>
      <c r="I1596" s="4"/>
      <c r="J1596" s="4"/>
    </row>
    <row r="1597">
      <c r="A1597" s="4"/>
      <c r="B1597" s="4"/>
      <c r="C1597" s="4"/>
      <c r="D1597" s="4"/>
      <c r="E1597" s="4"/>
      <c r="F1597" s="4"/>
      <c r="G1597" s="4"/>
      <c r="H1597" s="13"/>
      <c r="I1597" s="4"/>
      <c r="J1597" s="4"/>
    </row>
    <row r="1598">
      <c r="A1598" s="4"/>
      <c r="B1598" s="4"/>
      <c r="C1598" s="4"/>
      <c r="D1598" s="4"/>
      <c r="E1598" s="4"/>
      <c r="F1598" s="4"/>
      <c r="G1598" s="4"/>
      <c r="H1598" s="13"/>
      <c r="I1598" s="4"/>
      <c r="J1598" s="4"/>
    </row>
    <row r="1599">
      <c r="A1599" s="4"/>
      <c r="B1599" s="4"/>
      <c r="C1599" s="4"/>
      <c r="D1599" s="4"/>
      <c r="E1599" s="4"/>
      <c r="F1599" s="4"/>
      <c r="G1599" s="4"/>
      <c r="H1599" s="13"/>
      <c r="I1599" s="4"/>
      <c r="J1599" s="4"/>
    </row>
    <row r="1600">
      <c r="A1600" s="4"/>
      <c r="B1600" s="4"/>
      <c r="C1600" s="4"/>
      <c r="D1600" s="4"/>
      <c r="E1600" s="4"/>
      <c r="F1600" s="4"/>
      <c r="G1600" s="4"/>
      <c r="H1600" s="13"/>
      <c r="I1600" s="4"/>
      <c r="J1600" s="4"/>
    </row>
    <row r="1601">
      <c r="A1601" s="4"/>
      <c r="B1601" s="4"/>
      <c r="C1601" s="4"/>
      <c r="D1601" s="4"/>
      <c r="E1601" s="4"/>
      <c r="F1601" s="4"/>
      <c r="G1601" s="4"/>
      <c r="H1601" s="13"/>
      <c r="I1601" s="4"/>
      <c r="J1601" s="4"/>
    </row>
    <row r="1602">
      <c r="A1602" s="4"/>
      <c r="B1602" s="4"/>
      <c r="C1602" s="4"/>
      <c r="D1602" s="4"/>
      <c r="E1602" s="4"/>
      <c r="F1602" s="4"/>
      <c r="G1602" s="4"/>
      <c r="H1602" s="13"/>
      <c r="I1602" s="4"/>
      <c r="J1602" s="4"/>
    </row>
    <row r="1603">
      <c r="A1603" s="4"/>
      <c r="B1603" s="4"/>
      <c r="C1603" s="4"/>
      <c r="D1603" s="4"/>
      <c r="E1603" s="4"/>
      <c r="F1603" s="4"/>
      <c r="G1603" s="4"/>
      <c r="H1603" s="13"/>
      <c r="I1603" s="4"/>
      <c r="J1603" s="4"/>
    </row>
    <row r="1604">
      <c r="A1604" s="4"/>
      <c r="B1604" s="4"/>
      <c r="C1604" s="4"/>
      <c r="D1604" s="4"/>
      <c r="E1604" s="4"/>
      <c r="F1604" s="4"/>
      <c r="G1604" s="4"/>
      <c r="H1604" s="13"/>
      <c r="I1604" s="4"/>
      <c r="J1604" s="4"/>
    </row>
    <row r="1605">
      <c r="A1605" s="4"/>
      <c r="B1605" s="4"/>
      <c r="C1605" s="4"/>
      <c r="D1605" s="4"/>
      <c r="E1605" s="4"/>
      <c r="F1605" s="4"/>
      <c r="G1605" s="4"/>
      <c r="H1605" s="13"/>
      <c r="I1605" s="4"/>
      <c r="J1605" s="4"/>
    </row>
    <row r="1606">
      <c r="A1606" s="4"/>
      <c r="B1606" s="4"/>
      <c r="C1606" s="4"/>
      <c r="D1606" s="4"/>
      <c r="E1606" s="4"/>
      <c r="F1606" s="4"/>
      <c r="G1606" s="4"/>
      <c r="H1606" s="13"/>
      <c r="I1606" s="4"/>
      <c r="J1606" s="4"/>
    </row>
    <row r="1607">
      <c r="A1607" s="4"/>
      <c r="B1607" s="4"/>
      <c r="C1607" s="4"/>
      <c r="D1607" s="4"/>
      <c r="E1607" s="4"/>
      <c r="F1607" s="4"/>
      <c r="G1607" s="4"/>
      <c r="H1607" s="13"/>
      <c r="I1607" s="4"/>
      <c r="J1607" s="4"/>
    </row>
    <row r="1608">
      <c r="A1608" s="4"/>
      <c r="B1608" s="4"/>
      <c r="C1608" s="4"/>
      <c r="D1608" s="4"/>
      <c r="E1608" s="4"/>
      <c r="F1608" s="4"/>
      <c r="G1608" s="4"/>
      <c r="H1608" s="13"/>
      <c r="I1608" s="4"/>
      <c r="J1608" s="4"/>
    </row>
    <row r="1609">
      <c r="A1609" s="4"/>
      <c r="B1609" s="4"/>
      <c r="C1609" s="4"/>
      <c r="D1609" s="4"/>
      <c r="E1609" s="4"/>
      <c r="F1609" s="4"/>
      <c r="G1609" s="4"/>
      <c r="H1609" s="13"/>
      <c r="I1609" s="4"/>
      <c r="J1609" s="4"/>
    </row>
    <row r="1610">
      <c r="A1610" s="4"/>
      <c r="B1610" s="4"/>
      <c r="C1610" s="4"/>
      <c r="D1610" s="4"/>
      <c r="E1610" s="4"/>
      <c r="F1610" s="4"/>
      <c r="G1610" s="4"/>
      <c r="H1610" s="13"/>
      <c r="I1610" s="4"/>
      <c r="J1610" s="4"/>
    </row>
    <row r="1611">
      <c r="A1611" s="4"/>
      <c r="B1611" s="4"/>
      <c r="C1611" s="4"/>
      <c r="D1611" s="4"/>
      <c r="E1611" s="4"/>
      <c r="F1611" s="4"/>
      <c r="G1611" s="4"/>
      <c r="H1611" s="13"/>
      <c r="I1611" s="4"/>
      <c r="J1611" s="4"/>
    </row>
    <row r="1612">
      <c r="A1612" s="4"/>
      <c r="B1612" s="4"/>
      <c r="C1612" s="4"/>
      <c r="D1612" s="4"/>
      <c r="E1612" s="4"/>
      <c r="F1612" s="4"/>
      <c r="G1612" s="4"/>
      <c r="H1612" s="13"/>
      <c r="I1612" s="4"/>
      <c r="J1612" s="4"/>
    </row>
    <row r="1613">
      <c r="A1613" s="4"/>
      <c r="B1613" s="4"/>
      <c r="C1613" s="4"/>
      <c r="D1613" s="4"/>
      <c r="E1613" s="4"/>
      <c r="F1613" s="4"/>
      <c r="G1613" s="4"/>
      <c r="H1613" s="13"/>
      <c r="I1613" s="4"/>
      <c r="J1613" s="4"/>
    </row>
    <row r="1614">
      <c r="A1614" s="4"/>
      <c r="B1614" s="4"/>
      <c r="C1614" s="4"/>
      <c r="D1614" s="4"/>
      <c r="E1614" s="4"/>
      <c r="F1614" s="4"/>
      <c r="G1614" s="4"/>
      <c r="H1614" s="13"/>
      <c r="I1614" s="4"/>
      <c r="J1614" s="4"/>
    </row>
    <row r="1615">
      <c r="A1615" s="4"/>
      <c r="B1615" s="4"/>
      <c r="C1615" s="4"/>
      <c r="D1615" s="4"/>
      <c r="E1615" s="4"/>
      <c r="F1615" s="4"/>
      <c r="G1615" s="4"/>
      <c r="H1615" s="13"/>
      <c r="I1615" s="4"/>
      <c r="J1615" s="4"/>
    </row>
    <row r="1616">
      <c r="A1616" s="4"/>
      <c r="B1616" s="4"/>
      <c r="C1616" s="4"/>
      <c r="D1616" s="4"/>
      <c r="E1616" s="4"/>
      <c r="F1616" s="4"/>
      <c r="G1616" s="4"/>
      <c r="H1616" s="13"/>
      <c r="I1616" s="4"/>
      <c r="J1616" s="4"/>
    </row>
    <row r="1617">
      <c r="A1617" s="4"/>
      <c r="B1617" s="4"/>
      <c r="C1617" s="4"/>
      <c r="D1617" s="4"/>
      <c r="E1617" s="4"/>
      <c r="F1617" s="4"/>
      <c r="G1617" s="4"/>
      <c r="H1617" s="13"/>
      <c r="I1617" s="4"/>
      <c r="J1617" s="4"/>
    </row>
    <row r="1618">
      <c r="A1618" s="4"/>
      <c r="B1618" s="4"/>
      <c r="C1618" s="4"/>
      <c r="D1618" s="4"/>
      <c r="E1618" s="4"/>
      <c r="F1618" s="4"/>
      <c r="G1618" s="4"/>
      <c r="H1618" s="13"/>
      <c r="I1618" s="4"/>
      <c r="J1618" s="4"/>
    </row>
    <row r="1619">
      <c r="A1619" s="4"/>
      <c r="B1619" s="4"/>
      <c r="C1619" s="4"/>
      <c r="D1619" s="4"/>
      <c r="E1619" s="4"/>
      <c r="F1619" s="4"/>
      <c r="G1619" s="4"/>
      <c r="H1619" s="13"/>
      <c r="I1619" s="4"/>
      <c r="J1619" s="4"/>
    </row>
    <row r="1620">
      <c r="A1620" s="4"/>
      <c r="B1620" s="4"/>
      <c r="C1620" s="4"/>
      <c r="D1620" s="4"/>
      <c r="E1620" s="4"/>
      <c r="F1620" s="4"/>
      <c r="G1620" s="4"/>
      <c r="H1620" s="13"/>
      <c r="I1620" s="4"/>
      <c r="J1620" s="4"/>
    </row>
    <row r="1621">
      <c r="A1621" s="4"/>
      <c r="B1621" s="4"/>
      <c r="C1621" s="4"/>
      <c r="D1621" s="4"/>
      <c r="E1621" s="4"/>
      <c r="F1621" s="4"/>
      <c r="G1621" s="4"/>
      <c r="H1621" s="13"/>
      <c r="I1621" s="4"/>
      <c r="J1621" s="4"/>
    </row>
    <row r="1622">
      <c r="A1622" s="4"/>
      <c r="B1622" s="4"/>
      <c r="C1622" s="4"/>
      <c r="D1622" s="4"/>
      <c r="E1622" s="4"/>
      <c r="F1622" s="4"/>
      <c r="G1622" s="4"/>
      <c r="H1622" s="13"/>
      <c r="I1622" s="4"/>
      <c r="J1622" s="4"/>
    </row>
    <row r="1623">
      <c r="A1623" s="4"/>
      <c r="B1623" s="4"/>
      <c r="C1623" s="4"/>
      <c r="D1623" s="4"/>
      <c r="E1623" s="4"/>
      <c r="F1623" s="4"/>
      <c r="G1623" s="4"/>
      <c r="H1623" s="13"/>
      <c r="I1623" s="4"/>
      <c r="J1623" s="4"/>
    </row>
    <row r="1624">
      <c r="A1624" s="4"/>
      <c r="B1624" s="4"/>
      <c r="C1624" s="4"/>
      <c r="D1624" s="4"/>
      <c r="E1624" s="4"/>
      <c r="F1624" s="4"/>
      <c r="G1624" s="4"/>
      <c r="H1624" s="13"/>
      <c r="I1624" s="4"/>
      <c r="J1624" s="4"/>
    </row>
    <row r="1625">
      <c r="A1625" s="4"/>
      <c r="B1625" s="4"/>
      <c r="C1625" s="4"/>
      <c r="D1625" s="4"/>
      <c r="E1625" s="4"/>
      <c r="F1625" s="4"/>
      <c r="G1625" s="4"/>
      <c r="H1625" s="13"/>
      <c r="I1625" s="4"/>
      <c r="J1625" s="4"/>
    </row>
    <row r="1626">
      <c r="A1626" s="4"/>
      <c r="B1626" s="4"/>
      <c r="C1626" s="4"/>
      <c r="D1626" s="13"/>
      <c r="E1626" s="13"/>
      <c r="F1626" s="4"/>
      <c r="G1626" s="4"/>
    </row>
    <row r="1627">
      <c r="A1627" s="4"/>
      <c r="B1627" s="4"/>
      <c r="C1627" s="4"/>
      <c r="D1627" s="4"/>
      <c r="E1627" s="4"/>
      <c r="F1627" s="4"/>
      <c r="G1627" s="4"/>
    </row>
    <row r="1628">
      <c r="A1628" s="4"/>
      <c r="B1628" s="4"/>
      <c r="C1628" s="4"/>
      <c r="D1628" s="13"/>
      <c r="E1628" s="13"/>
      <c r="F1628" s="4"/>
      <c r="G1628" s="4"/>
    </row>
    <row r="1629">
      <c r="A1629" s="4"/>
      <c r="B1629" s="4"/>
      <c r="C1629" s="4"/>
      <c r="D1629" s="4"/>
      <c r="E1629" s="4"/>
      <c r="F1629" s="4"/>
      <c r="G1629" s="4"/>
    </row>
    <row r="1630">
      <c r="A1630" s="4"/>
      <c r="B1630" s="4"/>
      <c r="C1630" s="4"/>
      <c r="D1630" s="4"/>
      <c r="E1630" s="4"/>
      <c r="F1630" s="4"/>
      <c r="G1630" s="4"/>
    </row>
    <row r="1631">
      <c r="A1631" s="4"/>
      <c r="B1631" s="4"/>
      <c r="C1631" s="4"/>
      <c r="D1631" s="4"/>
      <c r="E1631" s="4"/>
      <c r="F1631" s="4"/>
      <c r="G1631" s="4"/>
    </row>
    <row r="1632">
      <c r="A1632" s="4"/>
      <c r="B1632" s="4"/>
      <c r="C1632" s="4"/>
      <c r="D1632" s="4"/>
      <c r="E1632" s="4"/>
      <c r="F1632" s="4"/>
      <c r="G1632" s="4"/>
    </row>
    <row r="1633">
      <c r="A1633" s="4"/>
      <c r="B1633" s="4"/>
      <c r="C1633" s="4"/>
      <c r="D1633" s="4"/>
      <c r="E1633" s="4"/>
      <c r="F1633" s="4"/>
      <c r="G1633" s="4"/>
    </row>
    <row r="1634">
      <c r="A1634" s="4"/>
      <c r="B1634" s="4"/>
      <c r="C1634" s="4"/>
      <c r="D1634" s="4"/>
      <c r="E1634" s="4"/>
      <c r="F1634" s="4"/>
      <c r="G1634" s="4"/>
    </row>
    <row r="1635">
      <c r="A1635" s="4"/>
      <c r="B1635" s="4"/>
      <c r="C1635" s="4"/>
      <c r="D1635" s="4"/>
      <c r="E1635" s="4"/>
      <c r="F1635" s="4"/>
      <c r="G1635" s="4"/>
    </row>
    <row r="1636">
      <c r="A1636" s="4"/>
      <c r="B1636" s="4"/>
      <c r="C1636" s="4"/>
      <c r="D1636" s="4"/>
      <c r="E1636" s="4"/>
      <c r="F1636" s="4"/>
      <c r="G1636" s="4"/>
    </row>
    <row r="1637">
      <c r="A1637" s="4"/>
      <c r="B1637" s="4"/>
      <c r="C1637" s="4"/>
      <c r="D1637" s="4"/>
      <c r="E1637" s="13"/>
      <c r="F1637" s="4"/>
      <c r="G1637" s="4"/>
    </row>
    <row r="1638">
      <c r="A1638" s="4"/>
      <c r="B1638" s="4"/>
      <c r="C1638" s="4"/>
      <c r="D1638" s="4"/>
      <c r="E1638" s="4"/>
      <c r="F1638" s="4"/>
      <c r="G1638" s="4"/>
    </row>
    <row r="1639">
      <c r="A1639" s="4"/>
      <c r="B1639" s="4"/>
      <c r="C1639" s="4"/>
      <c r="D1639" s="4"/>
      <c r="E1639" s="4"/>
      <c r="F1639" s="4"/>
      <c r="G1639" s="4"/>
    </row>
    <row r="1640">
      <c r="A1640" s="4"/>
      <c r="B1640" s="4"/>
      <c r="C1640" s="4"/>
      <c r="D1640" s="4"/>
      <c r="E1640" s="4"/>
      <c r="F1640" s="4"/>
      <c r="G1640" s="4"/>
    </row>
    <row r="1641">
      <c r="A1641" s="4"/>
      <c r="B1641" s="4"/>
      <c r="C1641" s="4"/>
      <c r="D1641" s="4"/>
      <c r="E1641" s="13"/>
      <c r="F1641" s="4"/>
      <c r="G1641" s="4"/>
    </row>
    <row r="1642">
      <c r="A1642" s="4"/>
      <c r="B1642" s="4"/>
      <c r="C1642" s="4"/>
      <c r="D1642" s="4"/>
      <c r="E1642" s="4"/>
      <c r="F1642" s="4"/>
      <c r="G1642" s="4"/>
    </row>
    <row r="1643">
      <c r="A1643" s="4"/>
      <c r="B1643" s="4"/>
      <c r="C1643" s="4"/>
      <c r="D1643" s="4"/>
      <c r="E1643" s="4"/>
      <c r="F1643" s="4"/>
      <c r="G1643" s="4"/>
    </row>
    <row r="1644">
      <c r="A1644" s="4"/>
      <c r="B1644" s="4"/>
      <c r="C1644" s="4"/>
      <c r="D1644" s="4"/>
      <c r="E1644" s="4"/>
      <c r="F1644" s="4"/>
      <c r="G1644" s="4"/>
    </row>
    <row r="1645">
      <c r="A1645" s="4"/>
      <c r="B1645" s="4"/>
      <c r="C1645" s="4"/>
      <c r="D1645" s="13"/>
      <c r="E1645" s="13"/>
      <c r="F1645" s="4"/>
      <c r="G1645" s="4"/>
    </row>
    <row r="1646">
      <c r="A1646" s="4"/>
      <c r="B1646" s="4"/>
      <c r="C1646" s="4"/>
      <c r="D1646" s="13"/>
      <c r="E1646" s="13"/>
      <c r="F1646" s="4"/>
      <c r="G1646" s="4"/>
    </row>
    <row r="1647">
      <c r="A1647" s="4"/>
      <c r="B1647" s="4"/>
      <c r="C1647" s="4"/>
      <c r="D1647" s="4"/>
      <c r="E1647" s="4"/>
      <c r="F1647" s="4"/>
      <c r="G1647" s="4"/>
    </row>
    <row r="1648">
      <c r="A1648" s="4"/>
      <c r="B1648" s="4"/>
      <c r="C1648" s="4"/>
      <c r="D1648" s="4"/>
      <c r="E1648" s="4"/>
      <c r="F1648" s="4"/>
      <c r="G1648" s="4"/>
    </row>
    <row r="1649">
      <c r="A1649" s="4"/>
      <c r="B1649" s="4"/>
      <c r="C1649" s="4"/>
      <c r="D1649" s="4"/>
      <c r="E1649" s="4"/>
      <c r="F1649" s="4"/>
      <c r="G1649" s="4"/>
    </row>
    <row r="1650">
      <c r="A1650" s="4"/>
      <c r="B1650" s="4"/>
      <c r="C1650" s="4"/>
      <c r="D1650" s="4"/>
      <c r="E1650" s="4"/>
      <c r="F1650" s="4"/>
      <c r="G1650" s="4"/>
    </row>
    <row r="1651">
      <c r="A1651" s="4"/>
      <c r="B1651" s="4"/>
      <c r="C1651" s="4"/>
      <c r="D1651" s="4"/>
      <c r="E1651" s="4"/>
      <c r="F1651" s="4"/>
      <c r="G1651" s="4"/>
    </row>
    <row r="1652">
      <c r="A1652" s="4"/>
      <c r="B1652" s="4"/>
      <c r="C1652" s="4"/>
      <c r="D1652" s="4"/>
      <c r="E1652" s="13"/>
      <c r="F1652" s="4"/>
      <c r="G1652" s="4"/>
    </row>
    <row r="1653">
      <c r="A1653" s="4"/>
      <c r="B1653" s="4"/>
      <c r="C1653" s="4"/>
      <c r="D1653" s="4"/>
      <c r="E1653" s="4"/>
      <c r="F1653" s="4"/>
      <c r="G1653" s="4"/>
    </row>
    <row r="1654">
      <c r="A1654" s="4"/>
      <c r="B1654" s="4"/>
      <c r="C1654" s="4"/>
      <c r="D1654" s="4"/>
      <c r="E1654" s="4"/>
      <c r="F1654" s="4"/>
      <c r="G1654" s="4"/>
    </row>
    <row r="1655">
      <c r="A1655" s="4"/>
      <c r="B1655" s="4"/>
      <c r="C1655" s="4"/>
      <c r="D1655" s="4"/>
      <c r="E1655" s="13"/>
      <c r="F1655" s="4"/>
      <c r="G1655" s="4"/>
    </row>
    <row r="1656">
      <c r="A1656" s="4"/>
      <c r="B1656" s="4"/>
      <c r="C1656" s="4"/>
      <c r="D1656" s="4"/>
      <c r="E1656" s="4"/>
      <c r="F1656" s="4"/>
      <c r="G1656" s="4"/>
    </row>
    <row r="1657">
      <c r="A1657" s="4"/>
      <c r="B1657" s="4"/>
      <c r="C1657" s="4"/>
      <c r="D1657" s="4"/>
      <c r="E1657" s="4"/>
      <c r="F1657" s="4"/>
      <c r="G1657" s="4"/>
    </row>
    <row r="1658">
      <c r="A1658" s="4"/>
      <c r="B1658" s="4"/>
      <c r="C1658" s="4"/>
      <c r="D1658" s="4"/>
      <c r="E1658" s="13"/>
      <c r="F1658" s="4"/>
      <c r="G1658" s="4"/>
    </row>
    <row r="1659">
      <c r="A1659" s="4"/>
      <c r="B1659" s="4"/>
      <c r="C1659" s="4"/>
      <c r="D1659" s="4"/>
      <c r="E1659" s="4"/>
      <c r="F1659" s="4"/>
      <c r="G1659" s="4"/>
    </row>
    <row r="1660">
      <c r="A1660" s="4"/>
      <c r="B1660" s="4"/>
      <c r="C1660" s="4"/>
      <c r="D1660" s="4"/>
      <c r="E1660" s="4"/>
      <c r="F1660" s="4"/>
      <c r="G1660" s="4"/>
    </row>
    <row r="1661">
      <c r="A1661" s="4"/>
      <c r="B1661" s="4"/>
      <c r="C1661" s="4"/>
      <c r="D1661" s="4"/>
      <c r="E1661" s="4"/>
      <c r="F1661" s="4"/>
      <c r="G1661" s="4"/>
    </row>
    <row r="1662">
      <c r="A1662" s="4"/>
      <c r="B1662" s="4"/>
      <c r="C1662" s="4"/>
      <c r="D1662" s="13"/>
      <c r="E1662" s="13"/>
      <c r="F1662" s="4"/>
      <c r="G1662" s="4"/>
    </row>
    <row r="1663">
      <c r="A1663" s="4"/>
      <c r="B1663" s="4"/>
      <c r="C1663" s="4"/>
      <c r="D1663" s="13"/>
      <c r="E1663" s="13"/>
      <c r="F1663" s="4"/>
      <c r="G1663" s="4"/>
    </row>
    <row r="1664">
      <c r="A1664" s="4"/>
      <c r="B1664" s="4"/>
      <c r="C1664" s="4"/>
      <c r="D1664" s="4"/>
      <c r="E1664" s="4"/>
      <c r="F1664" s="4"/>
      <c r="G1664" s="4"/>
    </row>
    <row r="1665">
      <c r="A1665" s="4"/>
      <c r="B1665" s="4"/>
      <c r="C1665" s="4"/>
      <c r="D1665" s="4"/>
      <c r="E1665" s="4"/>
      <c r="F1665" s="4"/>
      <c r="G1665" s="4"/>
    </row>
    <row r="1666">
      <c r="A1666" s="4"/>
      <c r="B1666" s="4"/>
      <c r="C1666" s="4"/>
      <c r="D1666" s="4"/>
      <c r="E1666" s="4"/>
      <c r="F1666" s="4"/>
      <c r="G1666" s="4"/>
    </row>
    <row r="1667">
      <c r="A1667" s="4"/>
      <c r="B1667" s="4"/>
      <c r="C1667" s="4"/>
      <c r="D1667" s="4"/>
      <c r="E1667" s="4"/>
      <c r="F1667" s="4"/>
      <c r="G1667" s="4"/>
    </row>
    <row r="1668">
      <c r="A1668" s="4"/>
      <c r="B1668" s="4"/>
      <c r="C1668" s="4"/>
      <c r="D1668" s="4"/>
      <c r="E1668" s="4"/>
      <c r="F1668" s="4"/>
      <c r="G1668" s="4"/>
    </row>
    <row r="1669">
      <c r="A1669" s="4"/>
      <c r="B1669" s="4"/>
      <c r="C1669" s="4"/>
      <c r="D1669" s="4"/>
      <c r="E1669" s="13"/>
      <c r="F1669" s="4"/>
      <c r="G1669" s="4"/>
    </row>
    <row r="1670">
      <c r="A1670" s="4"/>
      <c r="B1670" s="4"/>
      <c r="C1670" s="4"/>
      <c r="D1670" s="4"/>
      <c r="E1670" s="13"/>
      <c r="F1670" s="4"/>
      <c r="G1670" s="4"/>
    </row>
    <row r="1671">
      <c r="A1671" s="4"/>
      <c r="B1671" s="4"/>
      <c r="C1671" s="4"/>
      <c r="D1671" s="4"/>
      <c r="E1671" s="4"/>
      <c r="F1671" s="4"/>
      <c r="G1671" s="4"/>
    </row>
    <row r="1672">
      <c r="A1672" s="4"/>
      <c r="B1672" s="4"/>
      <c r="C1672" s="4"/>
      <c r="D1672" s="4"/>
      <c r="E1672" s="4"/>
      <c r="F1672" s="4"/>
      <c r="G1672" s="4"/>
    </row>
    <row r="1673">
      <c r="A1673" s="4"/>
      <c r="B1673" s="4"/>
      <c r="C1673" s="4"/>
      <c r="D1673" s="4"/>
      <c r="E1673" s="13"/>
      <c r="F1673" s="4"/>
      <c r="G1673" s="4"/>
    </row>
    <row r="1674">
      <c r="A1674" s="4"/>
      <c r="B1674" s="4"/>
      <c r="C1674" s="4"/>
      <c r="D1674" s="4"/>
      <c r="E1674" s="13"/>
      <c r="F1674" s="4"/>
      <c r="G1674" s="4"/>
    </row>
    <row r="1675">
      <c r="A1675" s="4"/>
      <c r="B1675" s="4"/>
      <c r="C1675" s="4"/>
      <c r="D1675" s="4"/>
      <c r="E1675" s="13"/>
      <c r="F1675" s="4"/>
      <c r="G1675" s="4"/>
    </row>
    <row r="1676">
      <c r="A1676" s="4"/>
      <c r="B1676" s="4"/>
      <c r="C1676" s="4"/>
      <c r="D1676" s="4"/>
      <c r="E1676" s="4"/>
      <c r="F1676" s="4"/>
      <c r="G1676" s="4"/>
    </row>
    <row r="1677">
      <c r="A1677" s="4"/>
      <c r="B1677" s="4"/>
      <c r="C1677" s="4"/>
      <c r="D1677" s="4"/>
      <c r="E1677" s="4"/>
      <c r="F1677" s="4"/>
      <c r="G1677" s="4"/>
    </row>
    <row r="1678">
      <c r="A1678" s="4"/>
      <c r="B1678" s="4"/>
      <c r="C1678" s="4"/>
      <c r="D1678" s="4"/>
      <c r="E1678" s="4"/>
      <c r="F1678" s="4"/>
      <c r="G1678" s="4"/>
    </row>
    <row r="1679">
      <c r="A1679" s="4"/>
      <c r="B1679" s="4"/>
      <c r="C1679" s="4"/>
      <c r="D1679" s="4"/>
      <c r="E1679" s="13"/>
      <c r="F1679" s="4"/>
      <c r="G1679" s="4"/>
    </row>
    <row r="1680">
      <c r="A1680" s="4"/>
      <c r="B1680" s="4"/>
      <c r="C1680" s="4"/>
      <c r="D1680" s="4"/>
      <c r="E1680" s="4"/>
      <c r="F1680" s="4"/>
      <c r="G1680" s="4"/>
    </row>
    <row r="1681">
      <c r="A1681" s="4"/>
      <c r="B1681" s="4"/>
      <c r="C1681" s="4"/>
      <c r="D1681" s="4"/>
      <c r="E1681" s="4"/>
      <c r="F1681" s="4"/>
      <c r="G1681" s="4"/>
    </row>
    <row r="1682">
      <c r="A1682" s="4"/>
      <c r="B1682" s="4"/>
      <c r="C1682" s="4"/>
      <c r="D1682" s="4"/>
      <c r="E1682" s="4"/>
      <c r="F1682" s="4"/>
      <c r="G1682" s="4"/>
    </row>
    <row r="1683">
      <c r="A1683" s="4"/>
      <c r="B1683" s="4"/>
      <c r="C1683" s="4"/>
      <c r="D1683" s="4"/>
      <c r="E1683" s="4"/>
      <c r="F1683" s="4"/>
      <c r="G1683" s="4"/>
    </row>
    <row r="1684">
      <c r="A1684" s="4"/>
      <c r="B1684" s="4"/>
      <c r="C1684" s="4"/>
      <c r="D1684" s="4"/>
      <c r="E1684" s="13"/>
      <c r="F1684" s="4"/>
      <c r="G1684" s="4"/>
    </row>
    <row r="1685">
      <c r="A1685" s="4"/>
      <c r="B1685" s="4"/>
      <c r="C1685" s="4"/>
      <c r="D1685" s="4"/>
      <c r="E1685" s="4"/>
      <c r="F1685" s="4"/>
      <c r="G1685" s="4"/>
    </row>
    <row r="1686">
      <c r="A1686" s="4"/>
      <c r="B1686" s="4"/>
      <c r="C1686" s="4"/>
      <c r="D1686" s="13"/>
      <c r="E1686" s="13"/>
      <c r="F1686" s="4"/>
      <c r="G1686" s="4"/>
    </row>
    <row r="1687">
      <c r="A1687" s="4"/>
      <c r="B1687" s="4"/>
      <c r="C1687" s="4"/>
      <c r="D1687" s="13"/>
      <c r="E1687" s="13"/>
      <c r="F1687" s="4"/>
      <c r="G1687" s="4"/>
    </row>
    <row r="1688">
      <c r="A1688" s="4"/>
      <c r="B1688" s="4"/>
      <c r="C1688" s="4"/>
      <c r="D1688" s="13"/>
      <c r="E1688" s="13"/>
      <c r="F1688" s="4"/>
      <c r="G1688" s="4"/>
    </row>
    <row r="1689">
      <c r="A1689" s="4"/>
      <c r="B1689" s="4"/>
      <c r="C1689" s="4"/>
      <c r="D1689" s="4"/>
      <c r="E1689" s="4"/>
      <c r="F1689" s="4"/>
      <c r="G1689" s="4"/>
    </row>
    <row r="1690">
      <c r="A1690" s="4"/>
      <c r="B1690" s="4"/>
      <c r="C1690" s="4"/>
      <c r="D1690" s="4"/>
      <c r="E1690" s="4"/>
      <c r="F1690" s="4"/>
      <c r="G1690" s="4"/>
    </row>
    <row r="1691">
      <c r="A1691" s="4"/>
      <c r="B1691" s="4"/>
      <c r="C1691" s="4"/>
      <c r="D1691" s="4"/>
      <c r="E1691" s="4"/>
      <c r="F1691" s="4"/>
      <c r="G1691" s="4"/>
    </row>
    <row r="1692">
      <c r="A1692" s="4"/>
      <c r="B1692" s="4"/>
      <c r="C1692" s="4"/>
      <c r="D1692" s="13"/>
      <c r="E1692" s="13"/>
      <c r="F1692" s="4"/>
      <c r="G1692" s="4"/>
    </row>
    <row r="1693">
      <c r="A1693" s="4"/>
      <c r="B1693" s="4"/>
      <c r="C1693" s="4"/>
      <c r="D1693" s="13"/>
      <c r="E1693" s="13"/>
      <c r="F1693" s="4"/>
      <c r="G1693" s="4"/>
    </row>
    <row r="1694">
      <c r="A1694" s="4"/>
      <c r="B1694" s="4"/>
      <c r="C1694" s="4"/>
      <c r="D1694" s="13"/>
      <c r="E1694" s="13"/>
      <c r="F1694" s="4"/>
      <c r="G1694" s="4"/>
    </row>
    <row r="1695">
      <c r="A1695" s="4"/>
      <c r="B1695" s="4"/>
      <c r="C1695" s="4"/>
      <c r="D1695" s="4"/>
      <c r="E1695" s="4"/>
      <c r="F1695" s="4"/>
      <c r="G1695" s="4"/>
    </row>
    <row r="1696">
      <c r="A1696" s="4"/>
      <c r="B1696" s="4"/>
      <c r="C1696" s="4"/>
      <c r="D1696" s="4"/>
      <c r="E1696" s="4"/>
      <c r="F1696" s="4"/>
      <c r="G1696" s="4"/>
    </row>
    <row r="1697">
      <c r="A1697" s="4"/>
      <c r="B1697" s="4"/>
      <c r="C1697" s="4"/>
      <c r="D1697" s="4"/>
      <c r="E1697" s="13"/>
      <c r="F1697" s="4"/>
      <c r="G1697" s="4"/>
    </row>
    <row r="1698">
      <c r="A1698" s="4"/>
      <c r="B1698" s="4"/>
      <c r="C1698" s="4"/>
      <c r="D1698" s="4"/>
      <c r="E1698" s="4"/>
      <c r="F1698" s="4"/>
      <c r="G1698" s="4"/>
    </row>
    <row r="1699">
      <c r="A1699" s="4"/>
      <c r="B1699" s="4"/>
      <c r="C1699" s="4"/>
      <c r="D1699" s="4"/>
      <c r="E1699" s="13"/>
      <c r="F1699" s="4"/>
      <c r="G1699" s="4"/>
    </row>
    <row r="1700">
      <c r="A1700" s="4"/>
      <c r="B1700" s="4"/>
      <c r="C1700" s="4"/>
      <c r="D1700" s="4"/>
      <c r="E1700" s="4"/>
      <c r="F1700" s="4"/>
      <c r="G1700" s="4"/>
    </row>
    <row r="1701">
      <c r="A1701" s="4"/>
      <c r="B1701" s="4"/>
      <c r="C1701" s="4"/>
      <c r="D1701" s="4"/>
      <c r="E1701" s="4"/>
      <c r="F1701" s="4"/>
      <c r="G1701" s="4"/>
    </row>
    <row r="1702">
      <c r="A1702" s="4"/>
      <c r="B1702" s="4"/>
      <c r="C1702" s="4"/>
      <c r="D1702" s="4"/>
      <c r="E1702" s="13"/>
      <c r="F1702" s="4"/>
      <c r="G1702" s="4"/>
    </row>
    <row r="1703">
      <c r="A1703" s="4"/>
      <c r="B1703" s="4"/>
      <c r="C1703" s="4"/>
      <c r="D1703" s="4"/>
      <c r="E1703" s="13"/>
      <c r="F1703" s="4"/>
      <c r="G1703" s="4"/>
    </row>
    <row r="1704">
      <c r="A1704" s="4"/>
      <c r="B1704" s="4"/>
      <c r="C1704" s="4"/>
      <c r="D1704" s="4"/>
      <c r="E1704" s="4"/>
      <c r="F1704" s="4"/>
      <c r="G1704" s="4"/>
    </row>
    <row r="1705">
      <c r="A1705" s="4"/>
      <c r="B1705" s="4"/>
      <c r="C1705" s="4"/>
      <c r="D1705" s="4"/>
      <c r="E1705" s="4"/>
      <c r="F1705" s="4"/>
      <c r="G1705" s="4"/>
    </row>
    <row r="1706">
      <c r="A1706" s="4"/>
      <c r="B1706" s="4"/>
      <c r="C1706" s="4"/>
      <c r="D1706" s="4"/>
      <c r="E1706" s="4"/>
      <c r="F1706" s="4"/>
      <c r="G1706" s="4"/>
    </row>
    <row r="1707">
      <c r="A1707" s="4"/>
      <c r="B1707" s="4"/>
      <c r="C1707" s="4"/>
      <c r="D1707" s="4"/>
      <c r="E1707" s="4"/>
      <c r="F1707" s="4"/>
      <c r="G1707" s="4"/>
    </row>
    <row r="1708">
      <c r="A1708" s="4"/>
      <c r="B1708" s="4"/>
      <c r="C1708" s="4"/>
      <c r="D1708" s="4"/>
      <c r="E1708" s="4"/>
      <c r="F1708" s="4"/>
      <c r="G1708" s="4"/>
    </row>
    <row r="1709">
      <c r="A1709" s="4"/>
      <c r="B1709" s="4"/>
      <c r="C1709" s="4"/>
      <c r="D1709" s="4"/>
      <c r="E1709" s="4"/>
      <c r="F1709" s="4"/>
      <c r="G1709" s="4"/>
    </row>
    <row r="1710">
      <c r="A1710" s="4"/>
      <c r="B1710" s="4"/>
      <c r="C1710" s="4"/>
      <c r="D1710" s="4"/>
      <c r="E1710" s="4"/>
      <c r="F1710" s="4"/>
      <c r="G1710" s="4"/>
    </row>
    <row r="1711">
      <c r="A1711" s="4"/>
      <c r="B1711" s="4"/>
      <c r="C1711" s="4"/>
      <c r="D1711" s="4"/>
      <c r="E1711" s="13"/>
      <c r="F1711" s="4"/>
      <c r="G1711" s="4"/>
    </row>
    <row r="1712">
      <c r="A1712" s="4"/>
      <c r="B1712" s="4"/>
      <c r="C1712" s="4"/>
      <c r="D1712" s="4"/>
      <c r="E1712" s="13"/>
      <c r="F1712" s="4"/>
      <c r="G1712" s="4"/>
    </row>
    <row r="1713">
      <c r="A1713" s="4"/>
      <c r="B1713" s="4"/>
      <c r="C1713" s="4"/>
      <c r="D1713" s="4"/>
      <c r="E1713" s="4"/>
      <c r="F1713" s="4"/>
      <c r="G1713" s="4"/>
    </row>
    <row r="1714">
      <c r="A1714" s="4"/>
      <c r="B1714" s="4"/>
      <c r="C1714" s="4"/>
      <c r="D1714" s="4"/>
      <c r="E1714" s="4"/>
      <c r="F1714" s="4"/>
      <c r="G1714" s="4"/>
    </row>
    <row r="1715">
      <c r="A1715" s="4"/>
      <c r="B1715" s="4"/>
      <c r="C1715" s="4"/>
      <c r="D1715" s="4"/>
      <c r="E1715" s="13"/>
      <c r="F1715" s="4"/>
      <c r="G1715" s="4"/>
    </row>
    <row r="1716">
      <c r="A1716" s="4"/>
      <c r="B1716" s="4"/>
      <c r="C1716" s="4"/>
      <c r="D1716" s="4"/>
      <c r="E1716" s="4"/>
      <c r="F1716" s="4"/>
      <c r="G1716" s="4"/>
    </row>
    <row r="1717">
      <c r="A1717" s="4"/>
      <c r="B1717" s="4"/>
      <c r="C1717" s="4"/>
      <c r="D1717" s="4"/>
      <c r="E1717" s="13"/>
      <c r="F1717" s="4"/>
      <c r="G1717" s="4"/>
    </row>
    <row r="1718">
      <c r="A1718" s="4"/>
      <c r="B1718" s="4"/>
      <c r="C1718" s="4"/>
      <c r="D1718" s="4"/>
      <c r="E1718" s="13"/>
      <c r="F1718" s="4"/>
      <c r="G1718" s="4"/>
    </row>
    <row r="1719">
      <c r="A1719" s="4"/>
      <c r="B1719" s="4"/>
      <c r="C1719" s="4"/>
      <c r="D1719" s="4"/>
      <c r="E1719" s="4"/>
      <c r="F1719" s="4"/>
      <c r="G1719" s="4"/>
    </row>
    <row r="1720">
      <c r="A1720" s="4"/>
      <c r="B1720" s="4"/>
      <c r="C1720" s="4"/>
      <c r="D1720" s="4"/>
      <c r="E1720" s="4"/>
      <c r="F1720" s="4"/>
      <c r="G1720" s="4"/>
    </row>
    <row r="1721">
      <c r="A1721" s="4"/>
      <c r="B1721" s="4"/>
      <c r="C1721" s="4"/>
      <c r="D1721" s="4"/>
      <c r="E1721" s="13"/>
      <c r="F1721" s="4"/>
      <c r="G1721" s="4"/>
    </row>
    <row r="1722">
      <c r="A1722" s="4"/>
      <c r="B1722" s="4"/>
      <c r="C1722" s="4"/>
      <c r="D1722" s="4"/>
      <c r="E1722" s="4"/>
      <c r="F1722" s="4"/>
      <c r="G1722" s="4"/>
    </row>
    <row r="1723">
      <c r="A1723" s="4"/>
      <c r="B1723" s="4"/>
      <c r="C1723" s="4"/>
      <c r="D1723" s="4"/>
      <c r="E1723" s="4"/>
      <c r="F1723" s="4"/>
      <c r="G1723" s="4"/>
    </row>
    <row r="1724">
      <c r="A1724" s="4"/>
      <c r="B1724" s="4"/>
      <c r="C1724" s="4"/>
      <c r="D1724" s="4"/>
      <c r="E1724" s="13"/>
      <c r="F1724" s="4"/>
      <c r="G1724" s="4"/>
    </row>
    <row r="1725">
      <c r="A1725" s="4"/>
      <c r="B1725" s="4"/>
      <c r="C1725" s="4"/>
      <c r="D1725" s="4"/>
      <c r="E1725" s="13"/>
      <c r="F1725" s="4"/>
      <c r="G1725" s="4"/>
    </row>
    <row r="1726">
      <c r="A1726" s="4"/>
      <c r="B1726" s="4"/>
      <c r="C1726" s="4"/>
      <c r="D1726" s="4"/>
      <c r="E1726" s="13"/>
      <c r="F1726" s="4"/>
      <c r="G1726" s="4"/>
    </row>
    <row r="1727">
      <c r="A1727" s="4"/>
      <c r="B1727" s="4"/>
      <c r="C1727" s="4"/>
      <c r="D1727" s="4"/>
      <c r="E1727" s="4"/>
      <c r="F1727" s="4"/>
      <c r="G1727" s="4"/>
    </row>
    <row r="1728">
      <c r="A1728" s="4"/>
      <c r="B1728" s="4"/>
      <c r="C1728" s="4"/>
      <c r="D1728" s="4"/>
      <c r="E1728" s="4"/>
      <c r="F1728" s="4"/>
      <c r="G1728" s="4"/>
    </row>
    <row r="1729">
      <c r="A1729" s="4"/>
      <c r="B1729" s="4"/>
      <c r="C1729" s="4"/>
      <c r="D1729" s="4"/>
      <c r="E1729" s="13"/>
      <c r="F1729" s="4"/>
      <c r="G1729" s="4"/>
    </row>
    <row r="1730">
      <c r="A1730" s="4"/>
      <c r="B1730" s="4"/>
      <c r="C1730" s="4"/>
      <c r="D1730" s="4"/>
      <c r="E1730" s="13"/>
      <c r="F1730" s="4"/>
      <c r="G1730" s="4"/>
    </row>
    <row r="1731">
      <c r="A1731" s="4"/>
      <c r="B1731" s="4"/>
      <c r="C1731" s="4"/>
      <c r="D1731" s="4"/>
      <c r="E1731" s="4"/>
      <c r="F1731" s="4"/>
      <c r="G1731" s="4"/>
    </row>
    <row r="1732">
      <c r="A1732" s="4"/>
      <c r="B1732" s="4"/>
      <c r="C1732" s="4"/>
      <c r="D1732" s="13"/>
      <c r="E1732" s="13"/>
      <c r="F1732" s="4"/>
      <c r="G1732" s="4"/>
    </row>
    <row r="1733">
      <c r="A1733" s="4"/>
      <c r="B1733" s="4"/>
      <c r="C1733" s="4"/>
      <c r="D1733" s="4"/>
      <c r="E1733" s="4"/>
      <c r="F1733" s="4"/>
      <c r="G1733" s="4"/>
    </row>
    <row r="1734">
      <c r="A1734" s="4"/>
      <c r="B1734" s="4"/>
      <c r="C1734" s="4"/>
      <c r="D1734" s="4"/>
      <c r="E1734" s="13"/>
      <c r="F1734" s="4"/>
      <c r="G1734" s="4"/>
    </row>
    <row r="1735">
      <c r="A1735" s="4"/>
      <c r="B1735" s="4"/>
      <c r="C1735" s="4"/>
      <c r="D1735" s="4"/>
      <c r="E1735" s="4"/>
      <c r="F1735" s="4"/>
      <c r="G1735" s="4"/>
    </row>
    <row r="1736">
      <c r="A1736" s="4"/>
      <c r="B1736" s="4"/>
      <c r="C1736" s="4"/>
      <c r="D1736" s="4"/>
      <c r="E1736" s="4"/>
      <c r="F1736" s="4"/>
      <c r="G1736" s="4"/>
    </row>
    <row r="1737">
      <c r="A1737" s="4"/>
      <c r="B1737" s="4"/>
      <c r="C1737" s="4"/>
      <c r="D1737" s="4"/>
      <c r="E1737" s="13"/>
      <c r="F1737" s="4"/>
      <c r="G1737" s="4"/>
    </row>
    <row r="1738">
      <c r="A1738" s="4"/>
      <c r="B1738" s="4"/>
      <c r="C1738" s="4"/>
      <c r="D1738" s="13"/>
      <c r="E1738" s="13"/>
      <c r="F1738" s="4"/>
      <c r="G1738" s="4"/>
    </row>
    <row r="1739">
      <c r="A1739" s="4"/>
      <c r="B1739" s="4"/>
      <c r="C1739" s="4"/>
      <c r="D1739" s="13"/>
      <c r="E1739" s="13"/>
      <c r="F1739" s="4"/>
      <c r="G1739" s="4"/>
    </row>
    <row r="1740">
      <c r="A1740" s="4"/>
      <c r="B1740" s="4"/>
      <c r="C1740" s="4"/>
      <c r="D1740" s="13"/>
      <c r="E1740" s="13"/>
      <c r="F1740" s="4"/>
      <c r="G1740" s="4"/>
    </row>
    <row r="1741">
      <c r="A1741" s="4"/>
      <c r="B1741" s="4"/>
      <c r="C1741" s="4"/>
      <c r="D1741" s="13"/>
      <c r="E1741" s="13"/>
      <c r="F1741" s="4"/>
      <c r="G1741" s="4"/>
    </row>
    <row r="1742">
      <c r="A1742" s="4"/>
      <c r="B1742" s="4"/>
      <c r="C1742" s="4"/>
      <c r="D1742" s="13"/>
      <c r="E1742" s="13"/>
      <c r="F1742" s="4"/>
      <c r="G1742" s="4"/>
    </row>
    <row r="1743">
      <c r="A1743" s="4"/>
      <c r="B1743" s="4"/>
      <c r="C1743" s="4"/>
      <c r="D1743" s="13"/>
      <c r="E1743" s="13"/>
      <c r="F1743" s="4"/>
      <c r="G1743" s="4"/>
    </row>
    <row r="1744">
      <c r="A1744" s="4"/>
      <c r="B1744" s="4"/>
      <c r="C1744" s="4"/>
      <c r="D1744" s="4"/>
      <c r="E1744" s="4"/>
      <c r="F1744" s="4"/>
      <c r="G1744" s="4"/>
    </row>
    <row r="1745">
      <c r="A1745" s="4"/>
      <c r="B1745" s="4"/>
      <c r="C1745" s="4"/>
      <c r="D1745" s="13"/>
      <c r="E1745" s="13"/>
      <c r="F1745" s="4"/>
      <c r="G1745" s="4"/>
    </row>
    <row r="1746">
      <c r="A1746" s="4"/>
      <c r="B1746" s="4"/>
      <c r="C1746" s="4"/>
      <c r="D1746" s="4"/>
      <c r="E1746" s="4"/>
      <c r="F1746" s="4"/>
      <c r="G1746" s="4"/>
    </row>
    <row r="1747">
      <c r="A1747" s="4"/>
      <c r="B1747" s="4"/>
      <c r="C1747" s="4"/>
      <c r="D1747" s="4"/>
      <c r="E1747" s="4"/>
      <c r="F1747" s="4"/>
      <c r="G1747" s="4"/>
    </row>
    <row r="1748">
      <c r="A1748" s="4"/>
      <c r="B1748" s="4"/>
      <c r="C1748" s="4"/>
      <c r="D1748" s="13"/>
      <c r="E1748" s="13"/>
      <c r="F1748" s="4"/>
      <c r="G1748" s="4"/>
    </row>
    <row r="1749">
      <c r="A1749" s="4"/>
      <c r="B1749" s="4"/>
      <c r="C1749" s="4"/>
      <c r="D1749" s="13"/>
      <c r="E1749" s="13"/>
      <c r="F1749" s="4"/>
      <c r="G1749" s="4"/>
    </row>
    <row r="1750">
      <c r="A1750" s="4"/>
      <c r="B1750" s="4"/>
      <c r="C1750" s="4"/>
      <c r="D1750" s="13"/>
      <c r="E1750" s="13"/>
      <c r="F1750" s="4"/>
      <c r="G1750" s="4"/>
    </row>
    <row r="1751">
      <c r="A1751" s="4"/>
      <c r="B1751" s="4"/>
      <c r="C1751" s="4"/>
      <c r="D1751" s="13"/>
      <c r="E1751" s="13"/>
      <c r="F1751" s="4"/>
      <c r="G1751" s="4"/>
    </row>
    <row r="1752">
      <c r="A1752" s="4"/>
      <c r="B1752" s="4"/>
      <c r="C1752" s="4"/>
      <c r="D1752" s="13"/>
      <c r="E1752" s="13"/>
      <c r="F1752" s="4"/>
      <c r="G1752" s="4"/>
    </row>
    <row r="1753">
      <c r="A1753" s="4"/>
      <c r="B1753" s="4"/>
      <c r="C1753" s="4"/>
      <c r="D1753" s="13"/>
      <c r="E1753" s="13"/>
      <c r="F1753" s="4"/>
      <c r="G1753" s="4"/>
    </row>
    <row r="1754">
      <c r="A1754" s="4"/>
      <c r="B1754" s="4"/>
      <c r="C1754" s="4"/>
      <c r="D1754" s="13"/>
      <c r="E1754" s="13"/>
      <c r="F1754" s="4"/>
      <c r="G1754" s="4"/>
    </row>
    <row r="1755">
      <c r="A1755" s="4"/>
      <c r="B1755" s="4"/>
      <c r="C1755" s="4"/>
      <c r="D1755" s="13"/>
      <c r="E1755" s="13"/>
      <c r="F1755" s="4"/>
      <c r="G1755" s="4"/>
    </row>
    <row r="1756">
      <c r="A1756" s="4"/>
      <c r="B1756" s="4"/>
      <c r="C1756" s="4"/>
      <c r="D1756" s="4"/>
      <c r="E1756" s="4"/>
      <c r="F1756" s="4"/>
      <c r="G1756" s="4"/>
    </row>
    <row r="1757">
      <c r="A1757" s="4"/>
      <c r="B1757" s="4"/>
      <c r="C1757" s="4"/>
      <c r="D1757" s="4"/>
      <c r="E1757" s="4"/>
      <c r="F1757" s="4"/>
      <c r="G1757" s="4"/>
    </row>
    <row r="1758">
      <c r="A1758" s="4"/>
      <c r="B1758" s="4"/>
      <c r="C1758" s="4"/>
      <c r="D1758" s="4"/>
      <c r="E1758" s="4"/>
      <c r="F1758" s="4"/>
      <c r="G1758" s="4"/>
    </row>
    <row r="1759">
      <c r="A1759" s="4"/>
      <c r="B1759" s="4"/>
      <c r="C1759" s="4"/>
      <c r="D1759" s="4"/>
      <c r="E1759" s="13"/>
      <c r="F1759" s="4"/>
      <c r="G1759" s="4"/>
    </row>
    <row r="1760">
      <c r="A1760" s="4"/>
      <c r="B1760" s="4"/>
      <c r="C1760" s="4"/>
      <c r="D1760" s="13"/>
      <c r="E1760" s="4"/>
      <c r="F1760" s="4"/>
      <c r="G1760" s="4"/>
    </row>
    <row r="1761">
      <c r="A1761" s="4"/>
      <c r="B1761" s="4"/>
      <c r="C1761" s="4"/>
      <c r="D1761" s="4"/>
      <c r="E1761" s="4"/>
      <c r="F1761" s="4"/>
      <c r="G1761" s="4"/>
    </row>
    <row r="1762">
      <c r="A1762" s="4"/>
      <c r="B1762" s="4"/>
      <c r="C1762" s="4"/>
      <c r="D1762" s="4"/>
      <c r="E1762" s="4"/>
      <c r="F1762" s="4"/>
      <c r="G1762" s="4"/>
    </row>
    <row r="1763">
      <c r="A1763" s="4"/>
      <c r="B1763" s="4"/>
      <c r="C1763" s="4"/>
      <c r="D1763" s="4"/>
      <c r="E1763" s="13"/>
      <c r="F1763" s="4"/>
      <c r="G1763" s="4"/>
    </row>
    <row r="1764">
      <c r="A1764" s="4"/>
      <c r="B1764" s="4"/>
      <c r="C1764" s="4"/>
      <c r="D1764" s="4"/>
      <c r="E1764" s="4"/>
      <c r="F1764" s="4"/>
      <c r="G1764" s="4"/>
    </row>
    <row r="1765">
      <c r="A1765" s="4"/>
      <c r="B1765" s="4"/>
      <c r="C1765" s="4"/>
      <c r="D1765" s="4"/>
      <c r="E1765" s="4"/>
      <c r="F1765" s="4"/>
      <c r="G1765" s="4"/>
    </row>
    <row r="1766">
      <c r="A1766" s="4"/>
      <c r="B1766" s="4"/>
      <c r="C1766" s="4"/>
      <c r="D1766" s="4"/>
      <c r="E1766" s="13"/>
      <c r="F1766" s="4"/>
      <c r="G1766" s="4"/>
    </row>
    <row r="1767">
      <c r="A1767" s="4"/>
      <c r="B1767" s="4"/>
      <c r="C1767" s="4"/>
      <c r="D1767" s="4"/>
      <c r="E1767" s="4"/>
      <c r="F1767" s="4"/>
      <c r="G1767" s="4"/>
    </row>
    <row r="1768">
      <c r="A1768" s="4"/>
      <c r="B1768" s="4"/>
      <c r="C1768" s="4"/>
      <c r="D1768" s="13"/>
      <c r="E1768" s="13"/>
      <c r="F1768" s="4"/>
      <c r="G1768" s="4"/>
    </row>
    <row r="1769">
      <c r="A1769" s="4"/>
      <c r="B1769" s="4"/>
      <c r="C1769" s="4"/>
      <c r="D1769" s="4"/>
      <c r="E1769" s="13"/>
      <c r="F1769" s="4"/>
      <c r="G1769" s="4"/>
    </row>
    <row r="1770">
      <c r="A1770" s="4"/>
      <c r="B1770" s="4"/>
      <c r="C1770" s="4"/>
      <c r="D1770" s="4"/>
      <c r="E1770" s="4"/>
      <c r="F1770" s="4"/>
      <c r="G1770" s="4"/>
    </row>
    <row r="1771">
      <c r="A1771" s="4"/>
      <c r="B1771" s="4"/>
      <c r="C1771" s="4"/>
      <c r="D1771" s="4"/>
      <c r="E1771" s="4"/>
      <c r="F1771" s="4"/>
      <c r="G1771" s="4"/>
    </row>
    <row r="1772">
      <c r="A1772" s="4"/>
      <c r="B1772" s="4"/>
      <c r="C1772" s="4"/>
      <c r="D1772" s="4"/>
      <c r="E1772" s="13"/>
      <c r="F1772" s="4"/>
      <c r="G1772" s="4"/>
    </row>
    <row r="1773">
      <c r="A1773" s="4"/>
      <c r="B1773" s="4"/>
      <c r="C1773" s="4"/>
      <c r="D1773" s="4"/>
      <c r="E1773" s="4"/>
      <c r="F1773" s="4"/>
      <c r="G1773" s="4"/>
    </row>
    <row r="1774">
      <c r="A1774" s="4"/>
      <c r="B1774" s="4"/>
      <c r="C1774" s="4"/>
      <c r="D1774" s="4"/>
      <c r="E1774" s="4"/>
      <c r="F1774" s="4"/>
      <c r="G1774" s="4"/>
    </row>
    <row r="1775">
      <c r="A1775" s="4"/>
      <c r="B1775" s="4"/>
      <c r="C1775" s="4"/>
      <c r="D1775" s="4"/>
      <c r="E1775" s="4"/>
      <c r="F1775" s="4"/>
      <c r="G1775" s="4"/>
    </row>
    <row r="1776">
      <c r="A1776" s="4"/>
      <c r="B1776" s="4"/>
      <c r="C1776" s="4"/>
      <c r="D1776" s="4"/>
      <c r="E1776" s="4"/>
      <c r="F1776" s="4"/>
      <c r="G1776" s="4"/>
    </row>
    <row r="1777">
      <c r="A1777" s="4"/>
      <c r="B1777" s="4"/>
      <c r="C1777" s="4"/>
      <c r="D1777" s="4"/>
      <c r="E1777" s="4"/>
      <c r="F1777" s="4"/>
      <c r="G1777" s="4"/>
    </row>
    <row r="1778">
      <c r="A1778" s="4"/>
      <c r="B1778" s="4"/>
      <c r="C1778" s="4"/>
      <c r="D1778" s="13"/>
      <c r="E1778" s="13"/>
      <c r="F1778" s="4"/>
      <c r="G1778" s="4"/>
    </row>
    <row r="1779">
      <c r="A1779" s="4"/>
      <c r="B1779" s="4"/>
      <c r="C1779" s="4"/>
      <c r="D1779" s="13"/>
      <c r="E1779" s="13"/>
      <c r="F1779" s="4"/>
      <c r="G1779" s="4"/>
    </row>
    <row r="1780">
      <c r="A1780" s="4"/>
      <c r="B1780" s="4"/>
      <c r="C1780" s="4"/>
      <c r="D1780" s="4"/>
      <c r="E1780" s="13"/>
      <c r="F1780" s="4"/>
      <c r="G1780" s="4"/>
    </row>
    <row r="1781">
      <c r="A1781" s="4"/>
      <c r="B1781" s="4"/>
      <c r="C1781" s="4"/>
      <c r="D1781" s="4"/>
      <c r="E1781" s="4"/>
      <c r="F1781" s="4"/>
      <c r="G1781" s="4"/>
    </row>
    <row r="1782">
      <c r="A1782" s="4"/>
      <c r="B1782" s="4"/>
      <c r="C1782" s="4"/>
      <c r="D1782" s="4"/>
      <c r="E1782" s="4"/>
      <c r="F1782" s="4"/>
      <c r="G1782" s="4"/>
    </row>
    <row r="1783">
      <c r="A1783" s="4"/>
      <c r="B1783" s="4"/>
      <c r="C1783" s="4"/>
      <c r="D1783" s="4"/>
      <c r="E1783" s="4"/>
      <c r="F1783" s="4"/>
      <c r="G1783" s="4"/>
    </row>
    <row r="1784">
      <c r="A1784" s="4"/>
      <c r="B1784" s="4"/>
      <c r="C1784" s="4"/>
      <c r="D1784" s="4"/>
      <c r="E1784" s="4"/>
      <c r="F1784" s="4"/>
      <c r="G1784" s="4"/>
    </row>
    <row r="1785">
      <c r="A1785" s="4"/>
      <c r="B1785" s="4"/>
      <c r="C1785" s="4"/>
      <c r="D1785" s="4"/>
      <c r="E1785" s="13"/>
      <c r="F1785" s="4"/>
      <c r="G1785" s="4"/>
    </row>
    <row r="1786">
      <c r="A1786" s="4"/>
      <c r="B1786" s="4"/>
      <c r="C1786" s="4"/>
      <c r="D1786" s="4"/>
      <c r="E1786" s="4"/>
      <c r="F1786" s="4"/>
      <c r="G1786" s="4"/>
    </row>
    <row r="1787">
      <c r="A1787" s="4"/>
      <c r="B1787" s="4"/>
      <c r="C1787" s="4"/>
      <c r="D1787" s="4"/>
      <c r="E1787" s="4"/>
      <c r="F1787" s="4"/>
      <c r="G1787" s="4"/>
    </row>
    <row r="1788">
      <c r="A1788" s="4"/>
      <c r="B1788" s="4"/>
      <c r="C1788" s="4"/>
      <c r="D1788" s="4"/>
      <c r="E1788" s="13"/>
      <c r="F1788" s="4"/>
      <c r="G1788" s="4"/>
    </row>
    <row r="1789">
      <c r="A1789" s="4"/>
      <c r="B1789" s="4"/>
      <c r="C1789" s="4"/>
      <c r="D1789" s="4"/>
      <c r="E1789" s="4"/>
      <c r="F1789" s="4"/>
      <c r="G1789" s="4"/>
    </row>
    <row r="1790">
      <c r="A1790" s="4"/>
      <c r="B1790" s="4"/>
      <c r="C1790" s="4"/>
      <c r="D1790" s="4"/>
      <c r="E1790" s="4"/>
      <c r="F1790" s="4"/>
      <c r="G1790" s="4"/>
    </row>
    <row r="1791">
      <c r="A1791" s="4"/>
      <c r="B1791" s="4"/>
      <c r="C1791" s="4"/>
      <c r="D1791" s="4"/>
      <c r="E1791" s="13"/>
      <c r="F1791" s="4"/>
      <c r="G1791" s="4"/>
    </row>
    <row r="1792">
      <c r="A1792" s="4"/>
      <c r="B1792" s="4"/>
      <c r="C1792" s="4"/>
      <c r="D1792" s="4"/>
      <c r="E1792" s="4"/>
      <c r="F1792" s="4"/>
      <c r="G1792" s="4"/>
    </row>
    <row r="1793">
      <c r="A1793" s="4"/>
      <c r="B1793" s="4"/>
      <c r="C1793" s="4"/>
      <c r="D1793" s="4"/>
      <c r="E1793" s="4"/>
      <c r="F1793" s="4"/>
      <c r="G1793" s="4"/>
    </row>
    <row r="1794">
      <c r="A1794" s="4"/>
      <c r="B1794" s="4"/>
      <c r="C1794" s="4"/>
      <c r="D1794" s="4"/>
      <c r="E1794" s="4"/>
      <c r="F1794" s="4"/>
      <c r="G1794" s="4"/>
    </row>
    <row r="1795">
      <c r="A1795" s="4"/>
      <c r="B1795" s="4"/>
      <c r="C1795" s="4"/>
      <c r="D1795" s="4"/>
      <c r="E1795" s="13"/>
      <c r="F1795" s="4"/>
      <c r="G1795" s="4"/>
    </row>
    <row r="1796">
      <c r="A1796" s="4"/>
      <c r="B1796" s="4"/>
      <c r="C1796" s="4"/>
      <c r="D1796" s="4"/>
      <c r="E1796" s="4"/>
      <c r="F1796" s="4"/>
      <c r="G1796" s="4"/>
    </row>
    <row r="1797">
      <c r="A1797" s="4"/>
      <c r="B1797" s="4"/>
      <c r="C1797" s="4"/>
      <c r="D1797" s="4"/>
      <c r="E1797" s="4"/>
      <c r="F1797" s="4"/>
      <c r="G1797" s="4"/>
    </row>
    <row r="1798">
      <c r="A1798" s="4"/>
      <c r="B1798" s="4"/>
      <c r="C1798" s="4"/>
      <c r="D1798" s="4"/>
      <c r="E1798" s="4"/>
      <c r="F1798" s="4"/>
      <c r="G1798" s="4"/>
    </row>
    <row r="1799">
      <c r="A1799" s="4"/>
      <c r="B1799" s="4"/>
      <c r="C1799" s="4"/>
      <c r="D1799" s="13"/>
      <c r="E1799" s="13"/>
      <c r="F1799" s="4"/>
      <c r="G1799" s="4"/>
    </row>
    <row r="1800">
      <c r="A1800" s="4"/>
      <c r="B1800" s="4"/>
      <c r="C1800" s="4"/>
      <c r="D1800" s="4"/>
      <c r="E1800" s="13"/>
      <c r="F1800" s="4"/>
      <c r="G1800" s="4"/>
    </row>
    <row r="1801">
      <c r="A1801" s="4"/>
      <c r="B1801" s="4"/>
      <c r="C1801" s="4"/>
      <c r="D1801" s="4"/>
      <c r="E1801" s="4"/>
      <c r="F1801" s="4"/>
      <c r="G1801" s="4"/>
    </row>
    <row r="1802">
      <c r="A1802" s="4"/>
      <c r="B1802" s="4"/>
      <c r="C1802" s="4"/>
      <c r="D1802" s="4"/>
      <c r="E1802" s="4"/>
      <c r="F1802" s="4"/>
      <c r="G1802" s="4"/>
    </row>
    <row r="1803">
      <c r="A1803" s="4"/>
      <c r="B1803" s="4"/>
      <c r="C1803" s="4"/>
      <c r="D1803" s="4"/>
      <c r="E1803" s="4"/>
      <c r="F1803" s="4"/>
      <c r="G1803" s="4"/>
    </row>
    <row r="1804">
      <c r="A1804" s="4"/>
      <c r="B1804" s="4"/>
      <c r="C1804" s="4"/>
      <c r="D1804" s="4"/>
      <c r="E1804" s="4"/>
      <c r="F1804" s="4"/>
      <c r="G1804" s="4"/>
    </row>
    <row r="1805">
      <c r="A1805" s="4"/>
      <c r="B1805" s="4"/>
      <c r="C1805" s="4"/>
      <c r="D1805" s="4"/>
      <c r="E1805" s="13"/>
      <c r="F1805" s="4"/>
      <c r="G1805" s="4"/>
    </row>
    <row r="1806">
      <c r="A1806" s="4"/>
      <c r="B1806" s="4"/>
      <c r="C1806" s="4"/>
      <c r="D1806" s="4"/>
      <c r="E1806" s="4"/>
      <c r="F1806" s="4"/>
      <c r="G1806" s="4"/>
    </row>
    <row r="1807">
      <c r="A1807" s="4"/>
      <c r="B1807" s="4"/>
      <c r="C1807" s="4"/>
      <c r="D1807" s="4"/>
      <c r="E1807" s="4"/>
      <c r="F1807" s="4"/>
      <c r="G1807" s="4"/>
    </row>
    <row r="1808">
      <c r="A1808" s="4"/>
      <c r="B1808" s="4"/>
      <c r="C1808" s="4"/>
      <c r="D1808" s="13"/>
      <c r="E1808" s="13"/>
      <c r="F1808" s="4"/>
      <c r="G1808" s="4"/>
    </row>
    <row r="1809">
      <c r="A1809" s="4"/>
      <c r="B1809" s="4"/>
      <c r="C1809" s="4"/>
      <c r="D1809" s="4"/>
      <c r="E1809" s="4"/>
      <c r="F1809" s="4"/>
      <c r="G1809" s="4"/>
    </row>
    <row r="1810">
      <c r="A1810" s="4"/>
      <c r="B1810" s="4"/>
      <c r="C1810" s="4"/>
      <c r="D1810" s="4"/>
      <c r="E1810" s="4"/>
      <c r="F1810" s="4"/>
      <c r="G1810" s="4"/>
    </row>
    <row r="1811">
      <c r="A1811" s="4"/>
      <c r="B1811" s="4"/>
      <c r="C1811" s="4"/>
      <c r="D1811" s="4"/>
      <c r="E1811" s="4"/>
      <c r="F1811" s="4"/>
      <c r="G1811" s="4"/>
    </row>
    <row r="1812">
      <c r="A1812" s="4"/>
      <c r="B1812" s="4"/>
      <c r="C1812" s="4"/>
      <c r="D1812" s="4"/>
      <c r="E1812" s="13"/>
      <c r="F1812" s="4"/>
      <c r="G1812" s="4"/>
    </row>
    <row r="1813">
      <c r="A1813" s="4"/>
      <c r="B1813" s="4"/>
      <c r="C1813" s="4"/>
      <c r="D1813" s="4"/>
      <c r="E1813" s="4"/>
      <c r="F1813" s="4"/>
      <c r="G1813" s="4"/>
    </row>
    <row r="1814">
      <c r="A1814" s="4"/>
      <c r="B1814" s="4"/>
      <c r="C1814" s="4"/>
      <c r="D1814" s="4"/>
      <c r="E1814" s="4"/>
      <c r="F1814" s="4"/>
      <c r="G1814" s="4"/>
    </row>
    <row r="1815">
      <c r="A1815" s="4"/>
      <c r="B1815" s="4"/>
      <c r="C1815" s="4"/>
      <c r="D1815" s="4"/>
      <c r="E1815" s="13"/>
      <c r="F1815" s="4"/>
      <c r="G1815" s="4"/>
    </row>
    <row r="1816">
      <c r="A1816" s="4"/>
      <c r="B1816" s="4"/>
      <c r="C1816" s="4"/>
      <c r="D1816" s="4"/>
      <c r="E1816" s="13"/>
      <c r="F1816" s="4"/>
      <c r="G1816" s="4"/>
    </row>
    <row r="1817">
      <c r="A1817" s="4"/>
      <c r="B1817" s="4"/>
      <c r="C1817" s="4"/>
      <c r="D1817" s="4"/>
      <c r="E1817" s="4"/>
      <c r="F1817" s="4"/>
      <c r="G1817" s="4"/>
    </row>
    <row r="1818">
      <c r="A1818" s="4"/>
      <c r="B1818" s="4"/>
      <c r="C1818" s="4"/>
      <c r="D1818" s="4"/>
      <c r="E1818" s="4"/>
      <c r="F1818" s="4"/>
      <c r="G1818" s="4"/>
    </row>
    <row r="1819">
      <c r="A1819" s="4"/>
      <c r="B1819" s="4"/>
      <c r="C1819" s="4"/>
      <c r="D1819" s="4"/>
      <c r="E1819" s="4"/>
      <c r="F1819" s="4"/>
      <c r="G1819" s="4"/>
    </row>
    <row r="1820">
      <c r="A1820" s="4"/>
      <c r="B1820" s="4"/>
      <c r="C1820" s="4"/>
      <c r="D1820" s="4"/>
      <c r="E1820" s="13"/>
      <c r="F1820" s="4"/>
      <c r="G1820" s="4"/>
    </row>
    <row r="1821">
      <c r="A1821" s="4"/>
      <c r="B1821" s="4"/>
      <c r="C1821" s="4"/>
      <c r="D1821" s="4"/>
      <c r="E1821" s="4"/>
      <c r="F1821" s="4"/>
      <c r="G1821" s="4"/>
    </row>
    <row r="1822">
      <c r="A1822" s="4"/>
      <c r="B1822" s="4"/>
      <c r="C1822" s="4"/>
      <c r="D1822" s="4"/>
      <c r="E1822" s="4"/>
      <c r="F1822" s="4"/>
      <c r="G1822" s="4"/>
    </row>
    <row r="1823">
      <c r="A1823" s="4"/>
      <c r="B1823" s="4"/>
      <c r="C1823" s="4"/>
      <c r="D1823" s="4"/>
      <c r="E1823" s="4"/>
      <c r="F1823" s="4"/>
      <c r="G1823" s="4"/>
    </row>
    <row r="1824">
      <c r="A1824" s="4"/>
      <c r="B1824" s="4"/>
      <c r="C1824" s="4"/>
      <c r="D1824" s="4"/>
      <c r="E1824" s="13"/>
      <c r="F1824" s="4"/>
      <c r="G1824" s="4"/>
    </row>
    <row r="1825">
      <c r="A1825" s="4"/>
      <c r="B1825" s="4"/>
      <c r="C1825" s="4"/>
      <c r="D1825" s="4"/>
      <c r="E1825" s="4"/>
      <c r="F1825" s="4"/>
      <c r="G1825" s="4"/>
    </row>
    <row r="1826">
      <c r="A1826" s="4"/>
      <c r="B1826" s="4"/>
      <c r="C1826" s="4"/>
      <c r="D1826" s="4"/>
      <c r="E1826" s="4"/>
      <c r="F1826" s="4"/>
      <c r="G1826" s="4"/>
    </row>
    <row r="1827">
      <c r="A1827" s="4"/>
      <c r="B1827" s="4"/>
      <c r="C1827" s="4"/>
      <c r="D1827" s="4"/>
      <c r="E1827" s="4"/>
      <c r="F1827" s="4"/>
      <c r="G1827" s="4"/>
    </row>
    <row r="1828">
      <c r="A1828" s="4"/>
      <c r="B1828" s="4"/>
      <c r="C1828" s="4"/>
      <c r="D1828" s="4"/>
      <c r="E1828" s="13"/>
      <c r="F1828" s="4"/>
      <c r="G1828" s="4"/>
    </row>
    <row r="1829">
      <c r="A1829" s="4"/>
      <c r="B1829" s="4"/>
      <c r="C1829" s="4"/>
      <c r="D1829" s="4"/>
      <c r="E1829" s="4"/>
      <c r="F1829" s="4"/>
      <c r="G1829" s="4"/>
    </row>
    <row r="1830">
      <c r="A1830" s="4"/>
      <c r="B1830" s="4"/>
      <c r="C1830" s="4"/>
      <c r="D1830" s="4"/>
      <c r="E1830" s="4"/>
      <c r="F1830" s="4"/>
      <c r="G1830" s="4"/>
    </row>
    <row r="1831">
      <c r="A1831" s="4"/>
      <c r="B1831" s="4"/>
      <c r="C1831" s="4"/>
      <c r="D1831" s="4"/>
      <c r="E1831" s="13"/>
      <c r="F1831" s="4"/>
      <c r="G1831" s="4"/>
    </row>
    <row r="1832">
      <c r="A1832" s="4"/>
      <c r="B1832" s="4"/>
      <c r="C1832" s="4"/>
      <c r="D1832" s="4"/>
      <c r="E1832" s="4"/>
      <c r="F1832" s="4"/>
      <c r="G1832" s="4"/>
    </row>
    <row r="1833">
      <c r="A1833" s="4"/>
      <c r="B1833" s="4"/>
      <c r="C1833" s="4"/>
      <c r="D1833" s="4"/>
      <c r="E1833" s="13"/>
      <c r="F1833" s="4"/>
      <c r="G1833" s="4"/>
    </row>
    <row r="1834">
      <c r="A1834" s="4"/>
      <c r="B1834" s="4"/>
      <c r="C1834" s="4"/>
      <c r="D1834" s="4"/>
      <c r="E1834" s="4"/>
      <c r="F1834" s="4"/>
      <c r="G1834" s="4"/>
    </row>
    <row r="1835">
      <c r="A1835" s="4"/>
      <c r="B1835" s="4"/>
      <c r="C1835" s="4"/>
      <c r="D1835" s="4"/>
      <c r="E1835" s="13"/>
      <c r="F1835" s="4"/>
      <c r="G1835" s="4"/>
    </row>
    <row r="1836">
      <c r="A1836" s="4"/>
      <c r="B1836" s="4"/>
      <c r="C1836" s="4"/>
      <c r="D1836" s="4"/>
      <c r="E1836" s="4"/>
      <c r="F1836" s="4"/>
      <c r="G1836" s="4"/>
    </row>
    <row r="1837">
      <c r="A1837" s="4"/>
      <c r="B1837" s="4"/>
      <c r="C1837" s="4"/>
      <c r="D1837" s="4"/>
      <c r="E1837" s="13"/>
      <c r="F1837" s="4"/>
      <c r="G1837" s="4"/>
    </row>
    <row r="1838">
      <c r="A1838" s="4"/>
      <c r="B1838" s="4"/>
      <c r="C1838" s="4"/>
      <c r="D1838" s="4"/>
      <c r="E1838" s="4"/>
      <c r="F1838" s="4"/>
      <c r="G1838" s="4"/>
    </row>
    <row r="1839">
      <c r="A1839" s="4"/>
      <c r="B1839" s="4"/>
      <c r="C1839" s="4"/>
      <c r="D1839" s="4"/>
      <c r="E1839" s="4"/>
      <c r="F1839" s="4"/>
      <c r="G1839" s="4"/>
    </row>
    <row r="1840">
      <c r="A1840" s="4"/>
      <c r="B1840" s="4"/>
      <c r="C1840" s="4"/>
      <c r="D1840" s="4"/>
      <c r="E1840" s="13"/>
      <c r="F1840" s="4"/>
      <c r="G1840" s="4"/>
    </row>
    <row r="1841">
      <c r="A1841" s="4"/>
      <c r="B1841" s="4"/>
      <c r="C1841" s="4"/>
      <c r="D1841" s="4"/>
      <c r="E1841" s="4"/>
      <c r="F1841" s="4"/>
      <c r="G1841" s="4"/>
    </row>
    <row r="1842">
      <c r="A1842" s="4"/>
      <c r="B1842" s="4"/>
      <c r="C1842" s="4"/>
      <c r="D1842" s="4"/>
      <c r="E1842" s="4"/>
      <c r="F1842" s="4"/>
      <c r="G1842" s="4"/>
    </row>
    <row r="1843">
      <c r="A1843" s="4"/>
      <c r="B1843" s="4"/>
      <c r="C1843" s="4"/>
      <c r="D1843" s="4"/>
      <c r="E1843" s="13"/>
      <c r="F1843" s="4"/>
      <c r="G1843" s="4"/>
    </row>
    <row r="1844">
      <c r="A1844" s="4"/>
      <c r="B1844" s="4"/>
      <c r="C1844" s="4"/>
      <c r="D1844" s="4"/>
      <c r="E1844" s="4"/>
      <c r="F1844" s="4"/>
      <c r="G1844" s="4"/>
    </row>
    <row r="1845">
      <c r="A1845" s="4"/>
      <c r="B1845" s="4"/>
      <c r="C1845" s="4"/>
      <c r="D1845" s="4"/>
      <c r="E1845" s="4"/>
      <c r="F1845" s="4"/>
      <c r="G1845" s="4"/>
    </row>
    <row r="1846">
      <c r="A1846" s="4"/>
      <c r="B1846" s="4"/>
      <c r="C1846" s="4"/>
      <c r="D1846" s="4"/>
      <c r="E1846" s="4"/>
      <c r="F1846" s="4"/>
      <c r="G1846" s="4"/>
    </row>
    <row r="1847">
      <c r="A1847" s="4"/>
      <c r="B1847" s="4"/>
      <c r="C1847" s="4"/>
      <c r="D1847" s="4"/>
      <c r="E1847" s="4"/>
      <c r="F1847" s="4"/>
      <c r="G1847" s="4"/>
    </row>
    <row r="1848">
      <c r="A1848" s="4"/>
      <c r="B1848" s="4"/>
      <c r="C1848" s="4"/>
      <c r="D1848" s="4"/>
      <c r="E1848" s="4"/>
      <c r="F1848" s="4"/>
      <c r="G1848" s="4"/>
    </row>
    <row r="1849">
      <c r="A1849" s="4"/>
      <c r="B1849" s="4"/>
      <c r="C1849" s="4"/>
      <c r="D1849" s="4"/>
      <c r="E1849" s="13"/>
      <c r="F1849" s="4"/>
      <c r="G1849" s="4"/>
    </row>
    <row r="1850">
      <c r="A1850" s="4"/>
      <c r="B1850" s="4"/>
      <c r="C1850" s="4"/>
      <c r="D1850" s="4"/>
      <c r="E1850" s="4"/>
      <c r="F1850" s="4"/>
      <c r="G1850" s="4"/>
    </row>
    <row r="1851">
      <c r="A1851" s="4"/>
      <c r="B1851" s="4"/>
      <c r="C1851" s="4"/>
      <c r="D1851" s="13"/>
      <c r="E1851" s="13"/>
      <c r="F1851" s="4"/>
      <c r="G1851" s="4"/>
    </row>
    <row r="1852">
      <c r="A1852" s="4"/>
      <c r="B1852" s="4"/>
      <c r="C1852" s="4"/>
      <c r="D1852" s="4"/>
      <c r="E1852" s="13"/>
      <c r="F1852" s="4"/>
      <c r="G1852" s="4"/>
    </row>
    <row r="1853">
      <c r="A1853" s="4"/>
      <c r="B1853" s="4"/>
      <c r="C1853" s="4"/>
      <c r="D1853" s="4"/>
      <c r="E1853" s="4"/>
      <c r="F1853" s="4"/>
      <c r="G1853" s="4"/>
    </row>
    <row r="1854">
      <c r="A1854" s="4"/>
      <c r="B1854" s="4"/>
      <c r="C1854" s="4"/>
      <c r="D1854" s="4"/>
      <c r="E1854" s="13"/>
      <c r="F1854" s="4"/>
      <c r="G1854" s="4"/>
    </row>
    <row r="1855">
      <c r="A1855" s="4"/>
      <c r="B1855" s="4"/>
      <c r="C1855" s="4"/>
      <c r="D1855" s="4"/>
      <c r="E1855" s="4"/>
      <c r="F1855" s="4"/>
      <c r="G1855" s="4"/>
    </row>
    <row r="1856">
      <c r="A1856" s="4"/>
      <c r="B1856" s="4"/>
      <c r="C1856" s="4"/>
      <c r="D1856" s="4"/>
      <c r="E1856" s="4"/>
      <c r="F1856" s="4"/>
      <c r="G1856" s="4"/>
    </row>
    <row r="1857">
      <c r="A1857" s="4"/>
      <c r="B1857" s="4"/>
      <c r="C1857" s="4"/>
      <c r="D1857" s="4"/>
      <c r="E1857" s="4"/>
      <c r="F1857" s="4"/>
      <c r="G1857" s="4"/>
    </row>
    <row r="1858">
      <c r="A1858" s="4"/>
      <c r="B1858" s="4"/>
      <c r="C1858" s="4"/>
      <c r="D1858" s="4"/>
      <c r="E1858" s="4"/>
      <c r="F1858" s="4"/>
      <c r="G1858" s="4"/>
    </row>
    <row r="1859">
      <c r="A1859" s="4"/>
      <c r="B1859" s="4"/>
      <c r="C1859" s="4"/>
      <c r="D1859" s="13"/>
      <c r="E1859" s="13"/>
      <c r="F1859" s="4"/>
      <c r="G1859" s="4"/>
    </row>
    <row r="1860">
      <c r="A1860" s="4"/>
      <c r="B1860" s="4"/>
      <c r="C1860" s="4"/>
      <c r="D1860" s="4"/>
      <c r="E1860" s="4"/>
      <c r="F1860" s="4"/>
      <c r="G1860" s="4"/>
    </row>
    <row r="1861">
      <c r="A1861" s="4"/>
      <c r="B1861" s="4"/>
      <c r="C1861" s="4"/>
      <c r="D1861" s="13"/>
      <c r="E1861" s="13"/>
      <c r="F1861" s="4"/>
      <c r="G1861" s="4"/>
    </row>
    <row r="1862">
      <c r="A1862" s="4"/>
      <c r="B1862" s="4"/>
      <c r="C1862" s="4"/>
      <c r="D1862" s="4"/>
      <c r="E1862" s="4"/>
      <c r="F1862" s="4"/>
      <c r="G1862" s="4"/>
    </row>
    <row r="1863">
      <c r="A1863" s="4"/>
      <c r="B1863" s="4"/>
      <c r="C1863" s="4"/>
      <c r="D1863" s="4"/>
      <c r="E1863" s="13"/>
      <c r="F1863" s="4"/>
      <c r="G1863" s="4"/>
    </row>
    <row r="1864">
      <c r="A1864" s="4"/>
      <c r="B1864" s="4"/>
      <c r="C1864" s="4"/>
      <c r="D1864" s="4"/>
      <c r="E1864" s="4"/>
      <c r="F1864" s="4"/>
      <c r="G1864" s="4"/>
    </row>
    <row r="1865">
      <c r="A1865" s="4"/>
      <c r="B1865" s="4"/>
      <c r="C1865" s="4"/>
      <c r="D1865" s="4"/>
      <c r="E1865" s="4"/>
      <c r="F1865" s="4"/>
      <c r="G1865" s="4"/>
    </row>
    <row r="1866">
      <c r="A1866" s="4"/>
      <c r="B1866" s="4"/>
      <c r="C1866" s="4"/>
      <c r="D1866" s="4"/>
      <c r="E1866" s="13"/>
      <c r="F1866" s="4"/>
      <c r="G1866" s="4"/>
    </row>
    <row r="1867">
      <c r="A1867" s="4"/>
      <c r="B1867" s="4"/>
      <c r="C1867" s="4"/>
      <c r="D1867" s="4"/>
      <c r="E1867" s="13"/>
      <c r="F1867" s="4"/>
      <c r="G1867" s="4"/>
    </row>
    <row r="1868">
      <c r="A1868" s="4"/>
      <c r="B1868" s="4"/>
      <c r="C1868" s="4"/>
      <c r="D1868" s="4"/>
      <c r="E1868" s="4"/>
      <c r="F1868" s="4"/>
      <c r="G1868" s="4"/>
    </row>
    <row r="1869">
      <c r="A1869" s="4"/>
      <c r="B1869" s="4"/>
      <c r="C1869" s="4"/>
      <c r="D1869" s="4"/>
      <c r="E1869" s="13"/>
      <c r="F1869" s="4"/>
      <c r="G1869" s="4"/>
    </row>
    <row r="1870">
      <c r="A1870" s="4"/>
      <c r="B1870" s="4"/>
      <c r="C1870" s="4"/>
      <c r="D1870" s="4"/>
      <c r="E1870" s="4"/>
      <c r="F1870" s="4"/>
      <c r="G1870" s="4"/>
    </row>
    <row r="1871">
      <c r="A1871" s="4"/>
      <c r="B1871" s="4"/>
      <c r="C1871" s="4"/>
      <c r="D1871" s="13"/>
      <c r="E1871" s="13"/>
      <c r="F1871" s="4"/>
      <c r="G1871" s="4"/>
    </row>
    <row r="1872">
      <c r="A1872" s="4"/>
      <c r="B1872" s="4"/>
      <c r="C1872" s="4"/>
      <c r="D1872" s="4"/>
      <c r="E1872" s="13"/>
      <c r="F1872" s="4"/>
      <c r="G1872" s="4"/>
    </row>
    <row r="1873">
      <c r="A1873" s="4"/>
      <c r="B1873" s="4"/>
      <c r="C1873" s="4"/>
      <c r="D1873" s="4"/>
      <c r="E1873" s="4"/>
      <c r="F1873" s="4"/>
      <c r="G1873" s="4"/>
    </row>
    <row r="1874">
      <c r="A1874" s="4"/>
      <c r="B1874" s="4"/>
      <c r="C1874" s="4"/>
      <c r="D1874" s="4"/>
      <c r="E1874" s="4"/>
      <c r="F1874" s="4"/>
      <c r="G1874" s="4"/>
    </row>
    <row r="1875">
      <c r="A1875" s="4"/>
      <c r="B1875" s="4"/>
      <c r="C1875" s="4"/>
      <c r="D1875" s="4"/>
      <c r="E1875" s="13"/>
      <c r="F1875" s="4"/>
      <c r="G1875" s="4"/>
    </row>
    <row r="1876">
      <c r="A1876" s="4"/>
      <c r="B1876" s="4"/>
      <c r="C1876" s="4"/>
      <c r="D1876" s="4"/>
      <c r="E1876" s="4"/>
      <c r="F1876" s="4"/>
      <c r="G1876" s="4"/>
    </row>
    <row r="1877">
      <c r="A1877" s="4"/>
      <c r="B1877" s="4"/>
      <c r="C1877" s="4"/>
      <c r="D1877" s="4"/>
      <c r="E1877" s="4"/>
      <c r="F1877" s="4"/>
      <c r="G1877" s="4"/>
    </row>
    <row r="1878">
      <c r="A1878" s="4"/>
      <c r="B1878" s="4"/>
      <c r="C1878" s="4"/>
      <c r="D1878" s="4"/>
      <c r="E1878" s="13"/>
      <c r="F1878" s="4"/>
      <c r="G1878" s="4"/>
    </row>
    <row r="1879">
      <c r="A1879" s="4"/>
      <c r="B1879" s="4"/>
      <c r="C1879" s="4"/>
      <c r="D1879" s="4"/>
      <c r="E1879" s="4"/>
      <c r="F1879" s="4"/>
      <c r="G1879" s="4"/>
    </row>
    <row r="1880">
      <c r="A1880" s="4"/>
      <c r="B1880" s="4"/>
      <c r="C1880" s="4"/>
      <c r="D1880" s="4"/>
      <c r="E1880" s="4"/>
      <c r="F1880" s="4"/>
      <c r="G1880" s="4"/>
    </row>
    <row r="1881">
      <c r="A1881" s="4"/>
      <c r="B1881" s="4"/>
      <c r="C1881" s="4"/>
      <c r="D1881" s="4"/>
      <c r="E1881" s="4"/>
      <c r="F1881" s="4"/>
      <c r="G1881" s="4"/>
    </row>
    <row r="1882">
      <c r="A1882" s="4"/>
      <c r="B1882" s="4"/>
      <c r="C1882" s="4"/>
      <c r="D1882" s="13"/>
      <c r="E1882" s="13"/>
      <c r="F1882" s="4"/>
      <c r="G1882" s="4"/>
    </row>
    <row r="1883">
      <c r="A1883" s="4"/>
      <c r="B1883" s="4"/>
      <c r="C1883" s="4"/>
      <c r="D1883" s="4"/>
      <c r="E1883" s="13"/>
      <c r="F1883" s="4"/>
      <c r="G1883" s="4"/>
    </row>
    <row r="1884">
      <c r="A1884" s="4"/>
      <c r="B1884" s="4"/>
      <c r="C1884" s="4"/>
      <c r="D1884" s="4"/>
      <c r="E1884" s="4"/>
      <c r="F1884" s="4"/>
      <c r="G1884" s="4"/>
    </row>
    <row r="1885">
      <c r="A1885" s="4"/>
      <c r="B1885" s="4"/>
      <c r="C1885" s="4"/>
      <c r="D1885" s="4"/>
      <c r="E1885" s="13"/>
      <c r="F1885" s="4"/>
      <c r="G1885" s="4"/>
    </row>
    <row r="1886">
      <c r="A1886" s="4"/>
      <c r="B1886" s="4"/>
      <c r="C1886" s="4"/>
      <c r="D1886" s="4"/>
      <c r="E1886" s="4"/>
      <c r="F1886" s="4"/>
      <c r="G1886" s="4"/>
    </row>
    <row r="1887">
      <c r="A1887" s="4"/>
      <c r="B1887" s="4"/>
      <c r="C1887" s="4"/>
      <c r="D1887" s="4"/>
      <c r="E1887" s="4"/>
      <c r="F1887" s="4"/>
      <c r="G1887" s="4"/>
    </row>
    <row r="1888">
      <c r="A1888" s="4"/>
      <c r="B1888" s="4"/>
      <c r="C1888" s="4"/>
      <c r="D1888" s="4"/>
      <c r="E1888" s="4"/>
      <c r="F1888" s="4"/>
      <c r="G1888" s="4"/>
    </row>
    <row r="1889">
      <c r="A1889" s="4"/>
      <c r="B1889" s="4"/>
      <c r="C1889" s="4"/>
      <c r="D1889" s="4"/>
      <c r="E1889" s="4"/>
      <c r="F1889" s="4"/>
      <c r="G1889" s="4"/>
    </row>
    <row r="1890">
      <c r="A1890" s="4"/>
      <c r="B1890" s="4"/>
      <c r="C1890" s="4"/>
      <c r="D1890" s="13"/>
      <c r="E1890" s="13"/>
      <c r="F1890" s="4"/>
      <c r="G1890" s="4"/>
    </row>
    <row r="1891">
      <c r="A1891" s="4"/>
      <c r="B1891" s="4"/>
      <c r="C1891" s="4"/>
      <c r="D1891" s="13"/>
      <c r="E1891" s="13"/>
      <c r="F1891" s="4"/>
      <c r="G1891" s="4"/>
    </row>
    <row r="1892">
      <c r="A1892" s="4"/>
      <c r="B1892" s="4"/>
      <c r="C1892" s="4"/>
      <c r="D1892" s="13"/>
      <c r="E1892" s="13"/>
      <c r="F1892" s="4"/>
      <c r="G1892" s="4"/>
    </row>
    <row r="1893">
      <c r="A1893" s="4"/>
      <c r="B1893" s="4"/>
      <c r="C1893" s="4"/>
      <c r="D1893" s="4"/>
      <c r="E1893" s="4"/>
      <c r="F1893" s="4"/>
      <c r="G1893" s="4"/>
    </row>
    <row r="1894">
      <c r="A1894" s="4"/>
      <c r="B1894" s="4"/>
      <c r="C1894" s="4"/>
      <c r="D1894" s="4"/>
      <c r="E1894" s="4"/>
      <c r="F1894" s="4"/>
      <c r="G1894" s="4"/>
    </row>
    <row r="1895">
      <c r="A1895" s="4"/>
      <c r="B1895" s="4"/>
      <c r="C1895" s="4"/>
      <c r="D1895" s="13"/>
      <c r="E1895" s="13"/>
      <c r="F1895" s="4"/>
      <c r="G1895" s="4"/>
    </row>
    <row r="1896">
      <c r="A1896" s="4"/>
      <c r="B1896" s="4"/>
      <c r="C1896" s="4"/>
      <c r="D1896" s="4"/>
      <c r="E1896" s="4"/>
      <c r="F1896" s="4"/>
      <c r="G1896" s="4"/>
    </row>
    <row r="1897">
      <c r="A1897" s="4"/>
      <c r="B1897" s="4"/>
      <c r="C1897" s="4"/>
      <c r="D1897" s="4"/>
      <c r="E1897" s="4"/>
      <c r="F1897" s="4"/>
      <c r="G1897" s="4"/>
    </row>
    <row r="1898">
      <c r="A1898" s="4"/>
      <c r="B1898" s="4"/>
      <c r="C1898" s="4"/>
      <c r="D1898" s="4"/>
      <c r="E1898" s="13"/>
      <c r="F1898" s="4"/>
      <c r="G1898" s="4"/>
    </row>
    <row r="1899">
      <c r="A1899" s="4"/>
      <c r="B1899" s="4"/>
      <c r="C1899" s="4"/>
      <c r="D1899" s="4"/>
      <c r="E1899" s="4"/>
      <c r="F1899" s="4"/>
      <c r="G1899" s="4"/>
    </row>
    <row r="1900">
      <c r="A1900" s="4"/>
      <c r="B1900" s="4"/>
      <c r="C1900" s="4"/>
      <c r="D1900" s="4"/>
      <c r="E1900" s="13"/>
      <c r="F1900" s="4"/>
      <c r="G1900" s="4"/>
    </row>
    <row r="1901">
      <c r="A1901" s="4"/>
      <c r="B1901" s="4"/>
      <c r="C1901" s="4"/>
      <c r="D1901" s="4"/>
      <c r="E1901" s="4"/>
      <c r="F1901" s="4"/>
      <c r="G1901" s="4"/>
    </row>
    <row r="1902">
      <c r="A1902" s="4"/>
      <c r="B1902" s="4"/>
      <c r="C1902" s="4"/>
      <c r="D1902" s="4"/>
      <c r="E1902" s="4"/>
      <c r="F1902" s="4"/>
      <c r="G1902" s="4"/>
    </row>
    <row r="1903">
      <c r="A1903" s="4"/>
      <c r="B1903" s="4"/>
      <c r="C1903" s="4"/>
      <c r="D1903" s="4"/>
      <c r="E1903" s="4"/>
      <c r="F1903" s="4"/>
      <c r="G1903" s="4"/>
    </row>
    <row r="1904">
      <c r="A1904" s="4"/>
      <c r="B1904" s="4"/>
      <c r="C1904" s="4"/>
      <c r="D1904" s="4"/>
      <c r="E1904" s="13"/>
      <c r="F1904" s="4"/>
      <c r="G1904" s="4"/>
    </row>
    <row r="1905">
      <c r="A1905" s="4"/>
      <c r="B1905" s="4"/>
      <c r="C1905" s="4"/>
      <c r="D1905" s="4"/>
      <c r="E1905" s="4"/>
      <c r="F1905" s="4"/>
      <c r="G1905" s="4"/>
    </row>
    <row r="1906">
      <c r="A1906" s="4"/>
      <c r="B1906" s="4"/>
      <c r="C1906" s="4"/>
      <c r="D1906" s="4"/>
      <c r="E1906" s="4"/>
      <c r="F1906" s="4"/>
      <c r="G1906" s="4"/>
    </row>
    <row r="1907">
      <c r="A1907" s="4"/>
      <c r="B1907" s="4"/>
      <c r="C1907" s="4"/>
      <c r="D1907" s="4"/>
      <c r="E1907" s="4"/>
      <c r="F1907" s="4"/>
      <c r="G1907" s="4"/>
    </row>
    <row r="1908">
      <c r="A1908" s="4"/>
      <c r="B1908" s="4"/>
      <c r="C1908" s="4"/>
      <c r="D1908" s="4"/>
      <c r="E1908" s="13"/>
      <c r="F1908" s="4"/>
      <c r="G1908" s="4"/>
    </row>
    <row r="1909">
      <c r="A1909" s="4"/>
      <c r="B1909" s="4"/>
      <c r="C1909" s="4"/>
      <c r="D1909" s="4"/>
      <c r="E1909" s="4"/>
      <c r="F1909" s="4"/>
      <c r="G1909" s="4"/>
    </row>
    <row r="1910">
      <c r="A1910" s="4"/>
      <c r="B1910" s="4"/>
      <c r="C1910" s="4"/>
      <c r="D1910" s="4"/>
      <c r="E1910" s="4"/>
      <c r="F1910" s="4"/>
      <c r="G1910" s="4"/>
    </row>
    <row r="1911">
      <c r="A1911" s="4"/>
      <c r="B1911" s="4"/>
      <c r="C1911" s="4"/>
      <c r="D1911" s="4"/>
      <c r="E1911" s="13"/>
      <c r="F1911" s="4"/>
      <c r="G1911" s="4"/>
    </row>
    <row r="1912">
      <c r="A1912" s="4"/>
      <c r="B1912" s="4"/>
      <c r="C1912" s="4"/>
      <c r="D1912" s="4"/>
      <c r="E1912" s="13"/>
      <c r="F1912" s="4"/>
      <c r="G1912" s="4"/>
    </row>
    <row r="1913">
      <c r="A1913" s="4"/>
      <c r="B1913" s="4"/>
      <c r="C1913" s="4"/>
      <c r="D1913" s="4"/>
      <c r="E1913" s="4"/>
      <c r="F1913" s="4"/>
      <c r="G1913" s="4"/>
    </row>
    <row r="1914">
      <c r="A1914" s="4"/>
      <c r="B1914" s="4"/>
      <c r="C1914" s="4"/>
      <c r="D1914" s="4"/>
      <c r="E1914" s="4"/>
      <c r="F1914" s="4"/>
      <c r="G1914" s="4"/>
    </row>
    <row r="1915">
      <c r="A1915" s="4"/>
      <c r="B1915" s="4"/>
      <c r="C1915" s="4"/>
      <c r="D1915" s="4"/>
      <c r="E1915" s="4"/>
      <c r="F1915" s="4"/>
      <c r="G1915" s="4"/>
    </row>
    <row r="1916">
      <c r="A1916" s="4"/>
      <c r="B1916" s="4"/>
      <c r="C1916" s="4"/>
      <c r="D1916" s="4"/>
      <c r="E1916" s="13"/>
      <c r="F1916" s="4"/>
      <c r="G1916" s="4"/>
    </row>
    <row r="1917">
      <c r="A1917" s="4"/>
      <c r="B1917" s="4"/>
      <c r="C1917" s="4"/>
      <c r="D1917" s="4"/>
      <c r="E1917" s="4"/>
      <c r="F1917" s="4"/>
      <c r="G1917" s="4"/>
    </row>
    <row r="1918">
      <c r="A1918" s="4"/>
      <c r="B1918" s="4"/>
      <c r="C1918" s="4"/>
      <c r="D1918" s="4"/>
      <c r="E1918" s="4"/>
      <c r="F1918" s="4"/>
      <c r="G1918" s="4"/>
    </row>
    <row r="1919">
      <c r="A1919" s="4"/>
      <c r="B1919" s="4"/>
      <c r="C1919" s="4"/>
      <c r="D1919" s="4"/>
      <c r="E1919" s="4"/>
      <c r="F1919" s="4"/>
      <c r="G1919" s="4"/>
    </row>
    <row r="1920">
      <c r="A1920" s="4"/>
      <c r="B1920" s="4"/>
      <c r="C1920" s="4"/>
      <c r="D1920" s="4"/>
      <c r="E1920" s="4"/>
      <c r="F1920" s="4"/>
      <c r="G1920" s="4"/>
    </row>
    <row r="1921">
      <c r="A1921" s="4"/>
      <c r="B1921" s="4"/>
      <c r="C1921" s="4"/>
      <c r="D1921" s="4"/>
      <c r="E1921" s="4"/>
      <c r="F1921" s="4"/>
      <c r="G1921" s="4"/>
    </row>
    <row r="1922">
      <c r="A1922" s="4"/>
      <c r="B1922" s="4"/>
      <c r="C1922" s="4"/>
      <c r="D1922" s="4"/>
      <c r="E1922" s="13"/>
      <c r="F1922" s="4"/>
      <c r="G1922" s="4"/>
    </row>
    <row r="1923">
      <c r="A1923" s="4"/>
      <c r="B1923" s="4"/>
      <c r="C1923" s="4"/>
      <c r="D1923" s="4"/>
      <c r="E1923" s="4"/>
      <c r="F1923" s="4"/>
      <c r="G1923" s="4"/>
    </row>
    <row r="1924">
      <c r="A1924" s="4"/>
      <c r="B1924" s="4"/>
      <c r="C1924" s="4"/>
      <c r="D1924" s="4"/>
      <c r="E1924" s="13"/>
      <c r="F1924" s="4"/>
      <c r="G1924" s="4"/>
    </row>
    <row r="1925">
      <c r="A1925" s="4"/>
      <c r="B1925" s="4"/>
      <c r="C1925" s="4"/>
      <c r="D1925" s="4"/>
      <c r="E1925" s="4"/>
      <c r="F1925" s="4"/>
      <c r="G1925" s="4"/>
    </row>
    <row r="1926">
      <c r="A1926" s="4"/>
      <c r="B1926" s="4"/>
      <c r="C1926" s="4"/>
      <c r="D1926" s="4"/>
      <c r="E1926" s="4"/>
      <c r="F1926" s="4"/>
      <c r="G1926" s="4"/>
    </row>
    <row r="1927">
      <c r="A1927" s="4"/>
      <c r="B1927" s="4"/>
      <c r="C1927" s="4"/>
      <c r="D1927" s="4"/>
      <c r="E1927" s="4"/>
      <c r="F1927" s="4"/>
      <c r="G1927" s="4"/>
    </row>
    <row r="1928">
      <c r="A1928" s="4"/>
      <c r="B1928" s="4"/>
      <c r="C1928" s="4"/>
      <c r="D1928" s="4"/>
      <c r="E1928" s="4"/>
      <c r="F1928" s="4"/>
      <c r="G1928" s="4"/>
    </row>
    <row r="1929">
      <c r="A1929" s="4"/>
      <c r="B1929" s="4"/>
      <c r="C1929" s="4"/>
      <c r="D1929" s="4"/>
      <c r="E1929" s="4"/>
      <c r="F1929" s="4"/>
      <c r="G1929" s="4"/>
    </row>
    <row r="1930">
      <c r="A1930" s="4"/>
      <c r="B1930" s="4"/>
      <c r="C1930" s="4"/>
      <c r="D1930" s="4"/>
      <c r="E1930" s="13"/>
      <c r="F1930" s="4"/>
      <c r="G1930" s="4"/>
    </row>
    <row r="1931">
      <c r="A1931" s="4"/>
      <c r="B1931" s="4"/>
      <c r="C1931" s="4"/>
      <c r="D1931" s="4"/>
      <c r="E1931" s="4"/>
      <c r="F1931" s="4"/>
      <c r="G1931" s="4"/>
    </row>
    <row r="1932">
      <c r="A1932" s="4"/>
      <c r="B1932" s="4"/>
      <c r="C1932" s="4"/>
      <c r="D1932" s="4"/>
      <c r="E1932" s="13"/>
      <c r="F1932" s="4"/>
      <c r="G1932" s="4"/>
    </row>
    <row r="1933">
      <c r="A1933" s="4"/>
      <c r="B1933" s="4"/>
      <c r="C1933" s="4"/>
      <c r="D1933" s="4"/>
      <c r="E1933" s="4"/>
      <c r="F1933" s="4"/>
      <c r="G1933" s="4"/>
    </row>
    <row r="1934">
      <c r="A1934" s="4"/>
      <c r="B1934" s="4"/>
      <c r="C1934" s="4"/>
      <c r="D1934" s="4"/>
      <c r="E1934" s="4"/>
      <c r="F1934" s="4"/>
      <c r="G1934" s="4"/>
    </row>
    <row r="1935">
      <c r="A1935" s="4"/>
      <c r="B1935" s="4"/>
      <c r="C1935" s="4"/>
      <c r="D1935" s="4"/>
      <c r="E1935" s="13"/>
      <c r="F1935" s="4"/>
      <c r="G1935" s="4"/>
    </row>
    <row r="1936">
      <c r="A1936" s="4"/>
      <c r="B1936" s="4"/>
      <c r="C1936" s="4"/>
      <c r="D1936" s="4"/>
      <c r="E1936" s="4"/>
      <c r="F1936" s="4"/>
      <c r="G1936" s="4"/>
    </row>
    <row r="1937">
      <c r="A1937" s="4"/>
      <c r="B1937" s="4"/>
      <c r="C1937" s="4"/>
      <c r="D1937" s="4"/>
      <c r="E1937" s="13"/>
      <c r="F1937" s="4"/>
      <c r="G1937" s="4"/>
    </row>
    <row r="1938">
      <c r="A1938" s="4"/>
      <c r="B1938" s="4"/>
      <c r="C1938" s="4"/>
      <c r="D1938" s="4"/>
      <c r="E1938" s="4"/>
      <c r="F1938" s="4"/>
      <c r="G1938" s="4"/>
    </row>
    <row r="1939">
      <c r="A1939" s="4"/>
      <c r="B1939" s="4"/>
      <c r="C1939" s="4"/>
      <c r="D1939" s="4"/>
      <c r="E1939" s="13"/>
      <c r="F1939" s="4"/>
      <c r="G1939" s="4"/>
    </row>
    <row r="1940">
      <c r="A1940" s="4"/>
      <c r="B1940" s="4"/>
      <c r="C1940" s="4"/>
      <c r="D1940" s="4"/>
      <c r="E1940" s="4"/>
      <c r="F1940" s="4"/>
      <c r="G1940" s="4"/>
    </row>
    <row r="1941">
      <c r="A1941" s="4"/>
      <c r="B1941" s="4"/>
      <c r="C1941" s="4"/>
      <c r="D1941" s="4"/>
      <c r="E1941" s="4"/>
      <c r="F1941" s="4"/>
      <c r="G1941" s="4"/>
    </row>
    <row r="1942">
      <c r="A1942" s="4"/>
      <c r="B1942" s="4"/>
      <c r="C1942" s="4"/>
      <c r="D1942" s="4"/>
      <c r="E1942" s="4"/>
      <c r="F1942" s="4"/>
      <c r="G1942" s="4"/>
    </row>
    <row r="1943">
      <c r="A1943" s="4"/>
      <c r="B1943" s="4"/>
      <c r="C1943" s="4"/>
      <c r="D1943" s="4"/>
      <c r="E1943" s="4"/>
      <c r="F1943" s="4"/>
      <c r="G1943" s="4"/>
    </row>
    <row r="1944">
      <c r="A1944" s="4"/>
      <c r="B1944" s="4"/>
      <c r="C1944" s="4"/>
      <c r="D1944" s="4"/>
      <c r="E1944" s="4"/>
      <c r="F1944" s="4"/>
      <c r="G1944" s="4"/>
    </row>
    <row r="1945">
      <c r="A1945" s="4"/>
      <c r="B1945" s="4"/>
      <c r="C1945" s="4"/>
      <c r="D1945" s="4"/>
      <c r="E1945" s="13"/>
      <c r="F1945" s="4"/>
      <c r="G1945" s="4"/>
    </row>
    <row r="1946">
      <c r="A1946" s="4"/>
      <c r="B1946" s="4"/>
      <c r="C1946" s="4"/>
      <c r="D1946" s="4"/>
      <c r="E1946" s="4"/>
      <c r="F1946" s="4"/>
      <c r="G1946" s="4"/>
    </row>
    <row r="1947">
      <c r="A1947" s="4"/>
      <c r="B1947" s="4"/>
      <c r="C1947" s="4"/>
      <c r="D1947" s="4"/>
      <c r="E1947" s="4"/>
      <c r="F1947" s="4"/>
      <c r="G1947" s="4"/>
    </row>
    <row r="1948">
      <c r="A1948" s="4"/>
      <c r="B1948" s="4"/>
      <c r="C1948" s="4"/>
      <c r="D1948" s="13"/>
      <c r="E1948" s="13"/>
      <c r="F1948" s="4"/>
      <c r="G1948" s="4"/>
    </row>
    <row r="1949">
      <c r="A1949" s="4"/>
      <c r="B1949" s="4"/>
      <c r="C1949" s="4"/>
      <c r="D1949" s="4"/>
      <c r="E1949" s="4"/>
      <c r="F1949" s="4"/>
      <c r="G1949" s="4"/>
    </row>
    <row r="1950">
      <c r="A1950" s="4"/>
      <c r="B1950" s="4"/>
      <c r="C1950" s="4"/>
      <c r="D1950" s="4"/>
      <c r="E1950" s="13"/>
      <c r="F1950" s="4"/>
      <c r="G1950" s="4"/>
    </row>
    <row r="1951">
      <c r="A1951" s="4"/>
      <c r="B1951" s="4"/>
      <c r="C1951" s="4"/>
      <c r="D1951" s="4"/>
      <c r="E1951" s="4"/>
      <c r="F1951" s="4"/>
      <c r="G1951" s="4"/>
    </row>
    <row r="1952">
      <c r="A1952" s="4"/>
      <c r="B1952" s="4"/>
      <c r="C1952" s="4"/>
      <c r="D1952" s="4"/>
      <c r="E1952" s="4"/>
      <c r="F1952" s="4"/>
      <c r="G1952" s="4"/>
    </row>
    <row r="1953">
      <c r="A1953" s="4"/>
      <c r="B1953" s="4"/>
      <c r="C1953" s="4"/>
      <c r="D1953" s="4"/>
      <c r="E1953" s="4"/>
      <c r="F1953" s="4"/>
      <c r="G1953" s="4"/>
    </row>
    <row r="1954">
      <c r="A1954" s="4"/>
      <c r="B1954" s="4"/>
      <c r="C1954" s="4"/>
      <c r="D1954" s="4"/>
      <c r="E1954" s="13"/>
      <c r="F1954" s="4"/>
      <c r="G1954" s="4"/>
    </row>
    <row r="1955">
      <c r="A1955" s="4"/>
      <c r="B1955" s="4"/>
      <c r="C1955" s="4"/>
      <c r="D1955" s="4"/>
      <c r="E1955" s="4"/>
      <c r="F1955" s="4"/>
      <c r="G1955" s="4"/>
    </row>
    <row r="1956">
      <c r="A1956" s="4"/>
      <c r="B1956" s="4"/>
      <c r="C1956" s="4"/>
      <c r="D1956" s="13"/>
      <c r="E1956" s="4"/>
      <c r="F1956" s="4"/>
      <c r="G1956" s="4"/>
    </row>
    <row r="1957">
      <c r="A1957" s="4"/>
      <c r="B1957" s="4"/>
      <c r="C1957" s="4"/>
      <c r="D1957" s="4"/>
      <c r="E1957" s="4"/>
      <c r="F1957" s="4"/>
      <c r="G1957" s="4"/>
    </row>
    <row r="1958">
      <c r="A1958" s="4"/>
      <c r="B1958" s="4"/>
      <c r="C1958" s="4"/>
      <c r="D1958" s="4"/>
      <c r="E1958" s="4"/>
      <c r="F1958" s="4"/>
      <c r="G1958" s="4"/>
    </row>
    <row r="1959">
      <c r="A1959" s="4"/>
      <c r="B1959" s="4"/>
      <c r="C1959" s="4"/>
      <c r="D1959" s="4"/>
      <c r="E1959" s="4"/>
      <c r="F1959" s="4"/>
      <c r="G1959" s="4"/>
    </row>
    <row r="1960">
      <c r="A1960" s="4"/>
      <c r="B1960" s="4"/>
      <c r="C1960" s="4"/>
      <c r="D1960" s="4"/>
      <c r="E1960" s="13"/>
      <c r="F1960" s="4"/>
      <c r="G1960" s="4"/>
    </row>
    <row r="1961">
      <c r="A1961" s="4"/>
      <c r="B1961" s="4"/>
      <c r="C1961" s="4"/>
      <c r="D1961" s="13"/>
      <c r="E1961" s="4"/>
      <c r="F1961" s="4"/>
      <c r="G1961" s="4"/>
    </row>
    <row r="1962">
      <c r="A1962" s="4"/>
      <c r="B1962" s="4"/>
      <c r="C1962" s="4"/>
      <c r="D1962" s="4"/>
      <c r="E1962" s="4"/>
      <c r="F1962" s="4"/>
      <c r="G1962" s="4"/>
    </row>
    <row r="1963">
      <c r="A1963" s="4"/>
      <c r="B1963" s="4"/>
      <c r="C1963" s="4"/>
      <c r="D1963" s="4"/>
      <c r="E1963" s="4"/>
      <c r="F1963" s="4"/>
      <c r="G1963" s="4"/>
    </row>
    <row r="1964">
      <c r="A1964" s="4"/>
      <c r="B1964" s="4"/>
      <c r="C1964" s="4"/>
      <c r="D1964" s="4"/>
      <c r="E1964" s="4"/>
      <c r="F1964" s="4"/>
      <c r="G1964" s="4"/>
    </row>
    <row r="1965">
      <c r="A1965" s="4"/>
      <c r="B1965" s="4"/>
      <c r="C1965" s="4"/>
      <c r="D1965" s="4"/>
      <c r="E1965" s="13"/>
      <c r="F1965" s="4"/>
      <c r="G1965" s="4"/>
    </row>
    <row r="1966">
      <c r="A1966" s="4"/>
      <c r="B1966" s="4"/>
      <c r="C1966" s="4"/>
      <c r="D1966" s="4"/>
      <c r="E1966" s="13"/>
      <c r="F1966" s="4"/>
      <c r="G1966" s="4"/>
    </row>
    <row r="1967">
      <c r="A1967" s="4"/>
      <c r="B1967" s="4"/>
      <c r="C1967" s="4"/>
      <c r="D1967" s="4"/>
      <c r="E1967" s="4"/>
      <c r="F1967" s="4"/>
      <c r="G1967" s="4"/>
    </row>
    <row r="1968">
      <c r="A1968" s="4"/>
      <c r="B1968" s="4"/>
      <c r="C1968" s="4"/>
      <c r="D1968" s="4"/>
      <c r="E1968" s="4"/>
      <c r="F1968" s="4"/>
      <c r="G1968" s="4"/>
    </row>
    <row r="1969">
      <c r="A1969" s="4"/>
      <c r="B1969" s="4"/>
      <c r="C1969" s="4"/>
      <c r="D1969" s="13"/>
      <c r="E1969" s="13"/>
      <c r="F1969" s="4"/>
      <c r="G1969" s="4"/>
    </row>
    <row r="1970">
      <c r="A1970" s="4"/>
      <c r="B1970" s="4"/>
      <c r="C1970" s="4"/>
      <c r="D1970" s="13"/>
      <c r="E1970" s="13"/>
      <c r="F1970" s="4"/>
      <c r="G1970" s="4"/>
    </row>
    <row r="1971">
      <c r="A1971" s="4"/>
      <c r="B1971" s="4"/>
      <c r="C1971" s="4"/>
      <c r="D1971" s="4"/>
      <c r="E1971" s="4"/>
      <c r="F1971" s="4"/>
      <c r="G1971" s="4"/>
    </row>
    <row r="1972">
      <c r="A1972" s="4"/>
      <c r="B1972" s="4"/>
      <c r="C1972" s="4"/>
      <c r="D1972" s="4"/>
      <c r="E1972" s="4"/>
      <c r="F1972" s="4"/>
      <c r="G1972" s="4"/>
    </row>
    <row r="1973">
      <c r="A1973" s="4"/>
      <c r="B1973" s="4"/>
      <c r="C1973" s="4"/>
      <c r="D1973" s="13"/>
      <c r="E1973" s="13"/>
      <c r="F1973" s="4"/>
      <c r="G1973" s="4"/>
    </row>
    <row r="1974">
      <c r="A1974" s="4"/>
      <c r="B1974" s="4"/>
      <c r="C1974" s="4"/>
      <c r="D1974" s="13"/>
      <c r="E1974" s="13"/>
      <c r="F1974" s="4"/>
      <c r="G1974" s="4"/>
    </row>
    <row r="1975">
      <c r="A1975" s="4"/>
      <c r="B1975" s="4"/>
      <c r="C1975" s="4"/>
      <c r="D1975" s="13"/>
      <c r="E1975" s="13"/>
      <c r="F1975" s="4"/>
      <c r="G1975" s="4"/>
    </row>
    <row r="1976">
      <c r="A1976" s="4"/>
      <c r="B1976" s="4"/>
      <c r="C1976" s="4"/>
      <c r="D1976" s="13"/>
      <c r="E1976" s="13"/>
      <c r="F1976" s="4"/>
      <c r="G1976" s="4"/>
    </row>
    <row r="1977">
      <c r="A1977" s="4"/>
      <c r="B1977" s="4"/>
      <c r="C1977" s="4"/>
      <c r="D1977" s="4"/>
      <c r="E1977" s="4"/>
      <c r="F1977" s="4"/>
      <c r="G1977" s="4"/>
    </row>
    <row r="1978">
      <c r="A1978" s="4"/>
      <c r="B1978" s="4"/>
      <c r="C1978" s="4"/>
      <c r="D1978" s="4"/>
      <c r="E1978" s="4"/>
      <c r="F1978" s="4"/>
      <c r="G1978" s="4"/>
    </row>
    <row r="1979">
      <c r="A1979" s="4"/>
      <c r="B1979" s="4"/>
      <c r="C1979" s="4"/>
      <c r="D1979" s="4"/>
      <c r="E1979" s="4"/>
      <c r="F1979" s="4"/>
      <c r="G1979" s="4"/>
    </row>
    <row r="1980">
      <c r="A1980" s="4"/>
      <c r="B1980" s="4"/>
      <c r="C1980" s="4"/>
      <c r="D1980" s="4"/>
      <c r="E1980" s="4"/>
      <c r="F1980" s="4"/>
      <c r="G1980" s="4"/>
    </row>
    <row r="1981">
      <c r="A1981" s="4"/>
      <c r="B1981" s="4"/>
      <c r="C1981" s="4"/>
      <c r="D1981" s="4"/>
      <c r="E1981" s="13"/>
      <c r="F1981" s="4"/>
      <c r="G1981" s="4"/>
    </row>
    <row r="1982">
      <c r="A1982" s="4"/>
      <c r="B1982" s="4"/>
      <c r="C1982" s="4"/>
      <c r="D1982" s="4"/>
      <c r="E1982" s="4"/>
      <c r="F1982" s="4"/>
      <c r="G1982" s="4"/>
    </row>
    <row r="1983">
      <c r="A1983" s="4"/>
      <c r="B1983" s="4"/>
      <c r="C1983" s="4"/>
      <c r="D1983" s="4"/>
      <c r="E1983" s="4"/>
      <c r="F1983" s="4"/>
      <c r="G1983" s="4"/>
    </row>
    <row r="1984">
      <c r="A1984" s="4"/>
      <c r="B1984" s="4"/>
      <c r="C1984" s="4"/>
      <c r="D1984" s="4"/>
      <c r="E1984" s="13"/>
      <c r="F1984" s="4"/>
      <c r="G1984" s="4"/>
    </row>
    <row r="1985">
      <c r="A1985" s="4"/>
      <c r="B1985" s="4"/>
      <c r="C1985" s="4"/>
      <c r="D1985" s="4"/>
      <c r="E1985" s="4"/>
      <c r="F1985" s="4"/>
      <c r="G1985" s="4"/>
    </row>
    <row r="1986">
      <c r="A1986" s="4"/>
      <c r="B1986" s="4"/>
      <c r="C1986" s="4"/>
      <c r="D1986" s="4"/>
      <c r="E1986" s="4"/>
      <c r="F1986" s="4"/>
      <c r="G1986" s="4"/>
    </row>
    <row r="1987">
      <c r="A1987" s="4"/>
      <c r="B1987" s="4"/>
      <c r="C1987" s="4"/>
      <c r="D1987" s="4"/>
      <c r="E1987" s="4"/>
      <c r="F1987" s="4"/>
      <c r="G1987" s="4"/>
    </row>
    <row r="1988">
      <c r="A1988" s="4"/>
      <c r="B1988" s="4"/>
      <c r="C1988" s="4"/>
      <c r="D1988" s="4"/>
      <c r="E1988" s="4"/>
      <c r="F1988" s="4"/>
      <c r="G1988" s="4"/>
    </row>
    <row r="1989">
      <c r="A1989" s="4"/>
      <c r="B1989" s="4"/>
      <c r="C1989" s="4"/>
      <c r="D1989" s="4"/>
      <c r="E1989" s="4"/>
      <c r="F1989" s="4"/>
      <c r="G1989" s="4"/>
    </row>
    <row r="1990">
      <c r="A1990" s="4"/>
      <c r="B1990" s="4"/>
      <c r="C1990" s="4"/>
      <c r="D1990" s="4"/>
      <c r="E1990" s="13"/>
      <c r="F1990" s="4"/>
      <c r="G1990" s="4"/>
    </row>
    <row r="1991">
      <c r="A1991" s="4"/>
      <c r="B1991" s="4"/>
      <c r="C1991" s="4"/>
      <c r="D1991" s="4"/>
      <c r="E1991" s="4"/>
      <c r="F1991" s="4"/>
      <c r="G1991" s="4"/>
    </row>
    <row r="1992">
      <c r="A1992" s="4"/>
      <c r="B1992" s="4"/>
      <c r="C1992" s="4"/>
      <c r="D1992" s="4"/>
      <c r="E1992" s="13"/>
      <c r="F1992" s="4"/>
      <c r="G1992" s="4"/>
    </row>
    <row r="1993">
      <c r="A1993" s="4"/>
      <c r="B1993" s="4"/>
      <c r="C1993" s="4"/>
      <c r="D1993" s="4"/>
      <c r="E1993" s="4"/>
      <c r="F1993" s="4"/>
      <c r="G1993" s="4"/>
    </row>
    <row r="1994">
      <c r="A1994" s="4"/>
      <c r="B1994" s="4"/>
      <c r="C1994" s="4"/>
      <c r="D1994" s="4"/>
      <c r="E1994" s="4"/>
      <c r="F1994" s="4"/>
      <c r="G1994" s="4"/>
    </row>
    <row r="1995">
      <c r="A1995" s="4"/>
      <c r="B1995" s="4"/>
      <c r="C1995" s="4"/>
      <c r="D1995" s="4"/>
      <c r="E1995" s="4"/>
      <c r="F1995" s="4"/>
      <c r="G1995" s="4"/>
    </row>
    <row r="1996">
      <c r="A1996" s="4"/>
      <c r="B1996" s="4"/>
      <c r="C1996" s="4"/>
      <c r="D1996" s="4"/>
      <c r="E1996" s="13"/>
      <c r="F1996" s="4"/>
      <c r="G1996" s="4"/>
    </row>
    <row r="1997">
      <c r="A1997" s="4"/>
      <c r="B1997" s="4"/>
      <c r="C1997" s="4"/>
      <c r="D1997" s="4"/>
      <c r="E1997" s="4"/>
      <c r="F1997" s="4"/>
      <c r="G1997" s="4"/>
    </row>
    <row r="1998">
      <c r="A1998" s="4"/>
      <c r="B1998" s="4"/>
      <c r="C1998" s="4"/>
      <c r="D1998" s="4"/>
      <c r="E1998" s="4"/>
      <c r="F1998" s="4"/>
      <c r="G1998" s="4"/>
    </row>
    <row r="1999">
      <c r="A1999" s="4"/>
      <c r="B1999" s="4"/>
      <c r="C1999" s="4"/>
      <c r="D1999" s="4"/>
      <c r="E1999" s="4"/>
      <c r="F1999" s="4"/>
      <c r="G1999" s="4"/>
    </row>
    <row r="2000">
      <c r="A2000" s="4"/>
      <c r="B2000" s="4"/>
      <c r="C2000" s="4"/>
      <c r="D2000" s="4"/>
      <c r="E2000" s="4"/>
      <c r="F2000" s="4"/>
      <c r="G2000" s="4"/>
    </row>
    <row r="2001">
      <c r="A2001" s="4"/>
      <c r="B2001" s="4"/>
      <c r="C2001" s="4"/>
      <c r="D2001" s="4"/>
      <c r="E2001" s="13"/>
      <c r="F2001" s="4"/>
      <c r="G2001" s="4"/>
    </row>
    <row r="2002">
      <c r="A2002" s="4"/>
      <c r="B2002" s="4"/>
      <c r="C2002" s="4"/>
      <c r="D2002" s="13"/>
      <c r="E2002" s="13"/>
      <c r="F2002" s="4"/>
      <c r="G2002" s="4"/>
    </row>
    <row r="2003">
      <c r="A2003" s="4"/>
      <c r="B2003" s="4"/>
      <c r="C2003" s="4"/>
      <c r="D2003" s="4"/>
      <c r="E2003" s="13"/>
      <c r="F2003" s="4"/>
      <c r="G2003" s="4"/>
    </row>
    <row r="2004">
      <c r="A2004" s="4"/>
      <c r="B2004" s="4"/>
      <c r="C2004" s="4"/>
      <c r="D2004" s="4"/>
      <c r="E2004" s="4"/>
      <c r="F2004" s="4"/>
      <c r="G2004" s="4"/>
    </row>
    <row r="2005">
      <c r="A2005" s="4"/>
      <c r="B2005" s="4"/>
      <c r="C2005" s="4"/>
      <c r="D2005" s="4"/>
      <c r="E2005" s="13"/>
      <c r="F2005" s="4"/>
      <c r="G2005" s="4"/>
    </row>
    <row r="2006">
      <c r="A2006" s="4"/>
      <c r="B2006" s="4"/>
      <c r="C2006" s="4"/>
      <c r="D2006" s="4"/>
      <c r="E2006" s="4"/>
      <c r="F2006" s="4"/>
      <c r="G2006" s="4"/>
    </row>
    <row r="2007">
      <c r="A2007" s="4"/>
      <c r="B2007" s="4"/>
      <c r="C2007" s="4"/>
      <c r="D2007" s="13"/>
      <c r="E2007" s="13"/>
      <c r="F2007" s="4"/>
      <c r="G2007" s="4"/>
    </row>
    <row r="2008">
      <c r="A2008" s="4"/>
      <c r="B2008" s="4"/>
      <c r="C2008" s="4"/>
      <c r="D2008" s="13"/>
      <c r="E2008" s="13"/>
      <c r="F2008" s="4"/>
      <c r="G2008" s="4"/>
    </row>
    <row r="2009">
      <c r="A2009" s="4"/>
      <c r="B2009" s="4"/>
      <c r="C2009" s="4"/>
      <c r="D2009" s="13"/>
      <c r="E2009" s="13"/>
      <c r="F2009" s="4"/>
      <c r="G2009" s="4"/>
    </row>
    <row r="2010">
      <c r="A2010" s="4"/>
      <c r="B2010" s="4"/>
      <c r="C2010" s="4"/>
      <c r="D2010" s="13"/>
      <c r="E2010" s="13"/>
      <c r="F2010" s="4"/>
      <c r="G2010" s="4"/>
    </row>
    <row r="2011">
      <c r="A2011" s="4"/>
      <c r="B2011" s="4"/>
      <c r="C2011" s="4"/>
      <c r="D2011" s="13"/>
      <c r="E2011" s="13"/>
      <c r="F2011" s="4"/>
      <c r="G2011" s="4"/>
    </row>
    <row r="2012">
      <c r="A2012" s="4"/>
      <c r="B2012" s="4"/>
      <c r="C2012" s="4"/>
      <c r="D2012" s="13"/>
      <c r="E2012" s="13"/>
      <c r="F2012" s="4"/>
      <c r="G2012" s="4"/>
    </row>
    <row r="2013">
      <c r="A2013" s="4"/>
      <c r="B2013" s="4"/>
      <c r="C2013" s="4"/>
      <c r="D2013" s="4"/>
      <c r="E2013" s="4"/>
      <c r="F2013" s="4"/>
      <c r="G2013" s="4"/>
    </row>
    <row r="2014">
      <c r="A2014" s="4"/>
      <c r="B2014" s="4"/>
      <c r="C2014" s="4"/>
      <c r="D2014" s="4"/>
      <c r="E2014" s="4"/>
      <c r="F2014" s="4"/>
      <c r="G2014" s="4"/>
    </row>
    <row r="2015">
      <c r="A2015" s="4"/>
      <c r="B2015" s="4"/>
      <c r="C2015" s="4"/>
      <c r="D2015" s="4"/>
      <c r="E2015" s="4"/>
      <c r="F2015" s="4"/>
      <c r="G2015" s="4"/>
    </row>
    <row r="2016">
      <c r="A2016" s="4"/>
      <c r="B2016" s="4"/>
      <c r="C2016" s="4"/>
      <c r="D2016" s="4"/>
      <c r="E2016" s="13"/>
      <c r="F2016" s="4"/>
      <c r="G2016" s="4"/>
    </row>
    <row r="2017">
      <c r="A2017" s="4"/>
      <c r="B2017" s="4"/>
      <c r="C2017" s="4"/>
      <c r="D2017" s="4"/>
      <c r="E2017" s="13"/>
      <c r="F2017" s="4"/>
      <c r="G2017" s="4"/>
    </row>
    <row r="2018">
      <c r="A2018" s="4"/>
      <c r="B2018" s="4"/>
      <c r="C2018" s="4"/>
      <c r="D2018" s="4"/>
      <c r="E2018" s="4"/>
      <c r="F2018" s="4"/>
      <c r="G2018" s="4"/>
    </row>
    <row r="2019">
      <c r="A2019" s="4"/>
      <c r="B2019" s="4"/>
      <c r="C2019" s="4"/>
      <c r="D2019" s="4"/>
      <c r="E2019" s="4"/>
      <c r="F2019" s="4"/>
      <c r="G2019" s="4"/>
    </row>
    <row r="2020">
      <c r="A2020" s="4"/>
      <c r="B2020" s="4"/>
      <c r="C2020" s="4"/>
      <c r="D2020" s="4"/>
      <c r="E2020" s="4"/>
      <c r="F2020" s="4"/>
      <c r="G2020" s="4"/>
    </row>
    <row r="2021">
      <c r="A2021" s="4"/>
      <c r="B2021" s="4"/>
      <c r="C2021" s="4"/>
      <c r="D2021" s="4"/>
      <c r="E2021" s="13"/>
      <c r="F2021" s="4"/>
      <c r="G2021" s="4"/>
    </row>
    <row r="2022">
      <c r="A2022" s="4"/>
      <c r="B2022" s="4"/>
      <c r="C2022" s="4"/>
      <c r="D2022" s="4"/>
      <c r="E2022" s="4"/>
      <c r="F2022" s="4"/>
      <c r="G2022" s="4"/>
    </row>
    <row r="2023">
      <c r="A2023" s="4"/>
      <c r="B2023" s="4"/>
      <c r="C2023" s="4"/>
      <c r="D2023" s="4"/>
      <c r="E2023" s="13"/>
      <c r="F2023" s="4"/>
      <c r="G2023" s="4"/>
    </row>
    <row r="2024">
      <c r="A2024" s="4"/>
      <c r="B2024" s="4"/>
      <c r="C2024" s="4"/>
      <c r="D2024" s="4"/>
      <c r="E2024" s="4"/>
      <c r="F2024" s="4"/>
      <c r="G2024" s="4"/>
    </row>
    <row r="2025">
      <c r="A2025" s="4"/>
      <c r="B2025" s="4"/>
      <c r="C2025" s="4"/>
      <c r="D2025" s="13"/>
      <c r="E2025" s="13"/>
      <c r="F2025" s="4"/>
      <c r="G2025" s="4"/>
    </row>
    <row r="2026">
      <c r="A2026" s="4"/>
      <c r="B2026" s="4"/>
      <c r="C2026" s="4"/>
      <c r="D2026" s="4"/>
      <c r="E2026" s="4"/>
      <c r="F2026" s="4"/>
      <c r="G2026" s="4"/>
    </row>
    <row r="2027">
      <c r="A2027" s="4"/>
      <c r="B2027" s="4"/>
      <c r="C2027" s="4"/>
      <c r="D2027" s="4"/>
      <c r="E2027" s="4"/>
      <c r="F2027" s="4"/>
      <c r="G2027" s="4"/>
    </row>
    <row r="2028">
      <c r="A2028" s="4"/>
      <c r="B2028" s="4"/>
      <c r="C2028" s="4"/>
      <c r="D2028" s="4"/>
      <c r="E2028" s="13"/>
      <c r="F2028" s="4"/>
      <c r="G2028" s="4"/>
    </row>
    <row r="2029">
      <c r="A2029" s="4"/>
      <c r="B2029" s="4"/>
      <c r="C2029" s="4"/>
      <c r="D2029" s="4"/>
      <c r="E2029" s="13"/>
      <c r="F2029" s="4"/>
      <c r="G2029" s="4"/>
    </row>
    <row r="2030">
      <c r="A2030" s="4"/>
      <c r="B2030" s="4"/>
      <c r="C2030" s="4"/>
      <c r="D2030" s="4"/>
      <c r="E2030" s="4"/>
      <c r="F2030" s="4"/>
      <c r="G2030" s="4"/>
    </row>
    <row r="2031">
      <c r="A2031" s="4"/>
      <c r="B2031" s="4"/>
      <c r="C2031" s="4"/>
      <c r="D2031" s="4"/>
      <c r="E2031" s="13"/>
      <c r="F2031" s="4"/>
      <c r="G2031" s="4"/>
    </row>
    <row r="2032">
      <c r="A2032" s="4"/>
      <c r="B2032" s="4"/>
      <c r="C2032" s="4"/>
      <c r="D2032" s="4"/>
      <c r="E2032" s="4"/>
      <c r="F2032" s="4"/>
      <c r="G2032" s="4"/>
    </row>
    <row r="2033">
      <c r="A2033" s="4"/>
      <c r="B2033" s="4"/>
      <c r="C2033" s="4"/>
      <c r="D2033" s="4"/>
      <c r="E2033" s="4"/>
      <c r="F2033" s="4"/>
      <c r="G2033" s="4"/>
    </row>
    <row r="2034">
      <c r="A2034" s="4"/>
      <c r="B2034" s="4"/>
      <c r="C2034" s="4"/>
      <c r="D2034" s="4"/>
      <c r="E2034" s="4"/>
      <c r="F2034" s="4"/>
      <c r="G2034" s="4"/>
    </row>
    <row r="2035">
      <c r="A2035" s="4"/>
      <c r="B2035" s="4"/>
      <c r="C2035" s="4"/>
      <c r="D2035" s="4"/>
      <c r="E2035" s="4"/>
      <c r="F2035" s="4"/>
      <c r="G2035" s="4"/>
    </row>
    <row r="2036">
      <c r="A2036" s="4"/>
      <c r="B2036" s="4"/>
      <c r="C2036" s="4"/>
      <c r="D2036" s="4"/>
      <c r="E2036" s="4"/>
      <c r="F2036" s="4"/>
      <c r="G2036" s="4"/>
    </row>
    <row r="2037">
      <c r="A2037" s="4"/>
      <c r="B2037" s="4"/>
      <c r="C2037" s="4"/>
      <c r="D2037" s="4"/>
      <c r="E2037" s="4"/>
      <c r="F2037" s="4"/>
      <c r="G2037" s="4"/>
    </row>
    <row r="2038">
      <c r="A2038" s="4"/>
      <c r="B2038" s="4"/>
      <c r="C2038" s="4"/>
      <c r="D2038" s="4"/>
      <c r="E2038" s="13"/>
      <c r="F2038" s="4"/>
      <c r="G2038" s="4"/>
    </row>
    <row r="2039">
      <c r="A2039" s="4"/>
      <c r="B2039" s="4"/>
      <c r="C2039" s="4"/>
      <c r="D2039" s="4"/>
      <c r="E2039" s="4"/>
      <c r="F2039" s="4"/>
      <c r="G2039" s="4"/>
    </row>
    <row r="2040">
      <c r="A2040" s="4"/>
      <c r="B2040" s="4"/>
      <c r="C2040" s="4"/>
      <c r="D2040" s="4"/>
      <c r="E2040" s="13"/>
      <c r="F2040" s="4"/>
      <c r="G2040" s="4"/>
    </row>
    <row r="2041">
      <c r="A2041" s="4"/>
      <c r="B2041" s="4"/>
      <c r="C2041" s="4"/>
      <c r="D2041" s="4"/>
      <c r="E2041" s="4"/>
      <c r="F2041" s="4"/>
      <c r="G2041" s="4"/>
    </row>
    <row r="2042">
      <c r="A2042" s="4"/>
      <c r="B2042" s="4"/>
      <c r="C2042" s="4"/>
      <c r="D2042" s="4"/>
      <c r="E2042" s="13"/>
      <c r="F2042" s="4"/>
      <c r="G2042" s="4"/>
    </row>
    <row r="2043">
      <c r="A2043" s="4"/>
      <c r="B2043" s="4"/>
      <c r="C2043" s="4"/>
      <c r="D2043" s="4"/>
      <c r="E2043" s="13"/>
      <c r="F2043" s="4"/>
      <c r="G2043" s="4"/>
    </row>
    <row r="2044">
      <c r="A2044" s="4"/>
      <c r="B2044" s="4"/>
      <c r="C2044" s="4"/>
      <c r="D2044" s="4"/>
      <c r="E2044" s="13"/>
      <c r="F2044" s="4"/>
      <c r="G2044" s="4"/>
    </row>
    <row r="2045">
      <c r="A2045" s="4"/>
      <c r="B2045" s="4"/>
      <c r="C2045" s="4"/>
      <c r="D2045" s="4"/>
      <c r="E2045" s="4"/>
      <c r="F2045" s="4"/>
      <c r="G2045" s="4"/>
    </row>
    <row r="2046">
      <c r="A2046" s="4"/>
      <c r="B2046" s="4"/>
      <c r="C2046" s="4"/>
      <c r="D2046" s="4"/>
      <c r="E2046" s="4"/>
      <c r="F2046" s="4"/>
      <c r="G2046" s="4"/>
    </row>
    <row r="2047">
      <c r="A2047" s="4"/>
      <c r="B2047" s="4"/>
      <c r="C2047" s="4"/>
      <c r="D2047" s="13"/>
      <c r="E2047" s="13"/>
      <c r="F2047" s="4"/>
      <c r="G2047" s="4"/>
    </row>
    <row r="2048">
      <c r="A2048" s="4"/>
      <c r="B2048" s="4"/>
      <c r="C2048" s="4"/>
      <c r="D2048" s="4"/>
      <c r="E2048" s="4"/>
      <c r="F2048" s="4"/>
      <c r="G2048" s="4"/>
    </row>
    <row r="2049">
      <c r="A2049" s="4"/>
      <c r="B2049" s="4"/>
      <c r="C2049" s="4"/>
      <c r="D2049" s="4"/>
      <c r="E2049" s="4"/>
      <c r="F2049" s="4"/>
      <c r="G2049" s="4"/>
    </row>
    <row r="2050">
      <c r="A2050" s="4"/>
      <c r="B2050" s="4"/>
      <c r="C2050" s="4"/>
      <c r="D2050" s="4"/>
      <c r="E2050" s="13"/>
      <c r="F2050" s="4"/>
      <c r="G2050" s="4"/>
    </row>
    <row r="2051">
      <c r="A2051" s="4"/>
      <c r="B2051" s="4"/>
      <c r="C2051" s="4"/>
      <c r="D2051" s="13"/>
      <c r="E2051" s="13"/>
      <c r="F2051" s="4"/>
      <c r="G2051" s="4"/>
    </row>
    <row r="2052">
      <c r="A2052" s="4"/>
      <c r="B2052" s="4"/>
      <c r="C2052" s="4"/>
      <c r="D2052" s="4"/>
      <c r="E2052" s="4"/>
      <c r="F2052" s="4"/>
      <c r="G2052" s="4"/>
    </row>
    <row r="2053">
      <c r="A2053" s="4"/>
      <c r="B2053" s="4"/>
      <c r="C2053" s="4"/>
      <c r="D2053" s="4"/>
      <c r="E2053" s="4"/>
      <c r="F2053" s="4"/>
      <c r="G2053" s="4"/>
    </row>
    <row r="2054">
      <c r="A2054" s="4"/>
      <c r="B2054" s="4"/>
      <c r="C2054" s="4"/>
      <c r="D2054" s="4"/>
      <c r="E2054" s="13"/>
      <c r="F2054" s="4"/>
      <c r="G2054" s="4"/>
    </row>
    <row r="2055">
      <c r="A2055" s="4"/>
      <c r="B2055" s="4"/>
      <c r="C2055" s="4"/>
      <c r="D2055" s="4"/>
      <c r="E2055" s="13"/>
      <c r="F2055" s="4"/>
      <c r="G2055" s="4"/>
    </row>
    <row r="2056">
      <c r="A2056" s="4"/>
      <c r="B2056" s="4"/>
      <c r="C2056" s="4"/>
      <c r="D2056" s="4"/>
      <c r="E2056" s="13"/>
      <c r="F2056" s="4"/>
      <c r="G2056" s="4"/>
    </row>
    <row r="2057">
      <c r="A2057" s="4"/>
      <c r="B2057" s="4"/>
      <c r="C2057" s="4"/>
      <c r="D2057" s="4"/>
      <c r="E2057" s="4"/>
      <c r="F2057" s="4"/>
      <c r="G2057" s="4"/>
    </row>
    <row r="2058">
      <c r="A2058" s="4"/>
      <c r="B2058" s="4"/>
      <c r="C2058" s="4"/>
      <c r="D2058" s="13"/>
      <c r="E2058" s="13"/>
      <c r="F2058" s="4"/>
      <c r="G2058" s="4"/>
    </row>
    <row r="2059">
      <c r="A2059" s="4"/>
      <c r="B2059" s="4"/>
      <c r="C2059" s="4"/>
      <c r="D2059" s="4"/>
      <c r="E2059" s="4"/>
      <c r="F2059" s="4"/>
      <c r="G2059" s="4"/>
    </row>
    <row r="2060">
      <c r="A2060" s="4"/>
      <c r="B2060" s="4"/>
      <c r="C2060" s="4"/>
      <c r="D2060" s="4"/>
      <c r="E2060" s="4"/>
      <c r="F2060" s="4"/>
      <c r="G2060" s="4"/>
    </row>
    <row r="2061">
      <c r="A2061" s="4"/>
      <c r="B2061" s="4"/>
      <c r="C2061" s="4"/>
      <c r="D2061" s="4"/>
      <c r="E2061" s="4"/>
      <c r="F2061" s="4"/>
      <c r="G2061" s="4"/>
    </row>
    <row r="2062">
      <c r="A2062" s="4"/>
      <c r="B2062" s="4"/>
      <c r="C2062" s="4"/>
      <c r="D2062" s="13"/>
      <c r="E2062" s="13"/>
      <c r="F2062" s="4"/>
      <c r="G2062" s="4"/>
    </row>
    <row r="2063">
      <c r="A2063" s="4"/>
      <c r="B2063" s="4"/>
      <c r="C2063" s="4"/>
      <c r="D2063" s="13"/>
      <c r="E2063" s="13"/>
      <c r="F2063" s="4"/>
      <c r="G2063" s="4"/>
    </row>
    <row r="2064">
      <c r="A2064" s="4"/>
      <c r="B2064" s="4"/>
      <c r="C2064" s="4"/>
      <c r="D2064" s="13"/>
      <c r="E2064" s="13"/>
      <c r="F2064" s="4"/>
      <c r="G2064" s="4"/>
    </row>
    <row r="2065">
      <c r="A2065" s="4"/>
      <c r="B2065" s="4"/>
      <c r="C2065" s="4"/>
      <c r="D2065" s="13"/>
      <c r="E2065" s="13"/>
      <c r="F2065" s="4"/>
      <c r="G2065" s="4"/>
    </row>
    <row r="2066">
      <c r="A2066" s="4"/>
      <c r="B2066" s="4"/>
      <c r="C2066" s="4"/>
      <c r="D2066" s="4"/>
      <c r="E2066" s="4"/>
      <c r="F2066" s="4"/>
      <c r="G2066" s="4"/>
    </row>
    <row r="2067">
      <c r="A2067" s="4"/>
      <c r="B2067" s="4"/>
      <c r="C2067" s="4"/>
      <c r="D2067" s="4"/>
      <c r="E2067" s="4"/>
      <c r="F2067" s="4"/>
      <c r="G2067" s="4"/>
    </row>
    <row r="2068">
      <c r="A2068" s="4"/>
      <c r="B2068" s="4"/>
      <c r="C2068" s="4"/>
      <c r="D2068" s="4"/>
      <c r="E2068" s="4"/>
      <c r="F2068" s="4"/>
      <c r="G2068" s="4"/>
    </row>
    <row r="2069">
      <c r="A2069" s="4"/>
      <c r="B2069" s="4"/>
      <c r="C2069" s="4"/>
      <c r="D2069" s="4"/>
      <c r="E2069" s="13"/>
      <c r="F2069" s="4"/>
      <c r="G2069" s="4"/>
    </row>
    <row r="2070">
      <c r="A2070" s="4"/>
      <c r="B2070" s="4"/>
      <c r="C2070" s="4"/>
      <c r="D2070" s="4"/>
      <c r="E2070" s="4"/>
      <c r="F2070" s="4"/>
      <c r="G2070" s="4"/>
    </row>
    <row r="2071">
      <c r="A2071" s="4"/>
      <c r="B2071" s="4"/>
      <c r="C2071" s="4"/>
      <c r="D2071" s="4"/>
      <c r="E2071" s="13"/>
      <c r="F2071" s="4"/>
      <c r="G2071" s="4"/>
    </row>
    <row r="2072">
      <c r="A2072" s="4"/>
      <c r="B2072" s="4"/>
      <c r="C2072" s="4"/>
      <c r="D2072" s="4"/>
      <c r="E2072" s="4"/>
      <c r="F2072" s="4"/>
      <c r="G2072" s="4"/>
    </row>
    <row r="2073">
      <c r="A2073" s="4"/>
      <c r="B2073" s="4"/>
      <c r="C2073" s="4"/>
      <c r="D2073" s="13"/>
      <c r="E2073" s="13"/>
      <c r="F2073" s="4"/>
      <c r="G2073" s="4"/>
    </row>
    <row r="2074">
      <c r="A2074" s="4"/>
      <c r="B2074" s="4"/>
      <c r="C2074" s="4"/>
      <c r="D2074" s="4"/>
      <c r="E2074" s="13"/>
      <c r="F2074" s="4"/>
      <c r="G2074" s="4"/>
    </row>
    <row r="2075">
      <c r="A2075" s="4"/>
      <c r="B2075" s="4"/>
      <c r="C2075" s="4"/>
      <c r="D2075" s="4"/>
      <c r="E2075" s="13"/>
      <c r="F2075" s="4"/>
      <c r="G2075" s="4"/>
    </row>
    <row r="2076">
      <c r="A2076" s="4"/>
      <c r="B2076" s="4"/>
      <c r="C2076" s="4"/>
      <c r="D2076" s="4"/>
      <c r="E2076" s="4"/>
      <c r="F2076" s="4"/>
      <c r="G2076" s="4"/>
    </row>
    <row r="2077">
      <c r="A2077" s="4"/>
      <c r="B2077" s="4"/>
      <c r="C2077" s="4"/>
      <c r="D2077" s="4"/>
      <c r="E2077" s="4"/>
      <c r="F2077" s="4"/>
      <c r="G2077" s="4"/>
    </row>
    <row r="2078">
      <c r="A2078" s="4"/>
      <c r="B2078" s="4"/>
      <c r="C2078" s="4"/>
      <c r="D2078" s="13"/>
      <c r="E2078" s="13"/>
      <c r="F2078" s="4"/>
      <c r="G2078" s="4"/>
    </row>
    <row r="2079">
      <c r="A2079" s="4"/>
      <c r="B2079" s="4"/>
      <c r="C2079" s="4"/>
      <c r="D2079" s="13"/>
      <c r="E2079" s="13"/>
      <c r="F2079" s="4"/>
      <c r="G2079" s="4"/>
    </row>
    <row r="2080">
      <c r="A2080" s="4"/>
      <c r="B2080" s="4"/>
      <c r="C2080" s="4"/>
      <c r="D2080" s="4"/>
      <c r="E2080" s="4"/>
      <c r="F2080" s="4"/>
      <c r="G2080" s="4"/>
    </row>
    <row r="2081">
      <c r="A2081" s="4"/>
      <c r="B2081" s="4"/>
      <c r="C2081" s="4"/>
      <c r="D2081" s="4"/>
      <c r="E2081" s="4"/>
      <c r="F2081" s="4"/>
      <c r="G2081" s="4"/>
    </row>
    <row r="2082">
      <c r="A2082" s="4"/>
      <c r="B2082" s="4"/>
      <c r="C2082" s="4"/>
      <c r="D2082" s="4"/>
      <c r="E2082" s="13"/>
      <c r="F2082" s="4"/>
      <c r="G2082" s="4"/>
    </row>
    <row r="2083">
      <c r="A2083" s="4"/>
      <c r="B2083" s="4"/>
      <c r="C2083" s="4"/>
      <c r="D2083" s="4"/>
      <c r="E2083" s="4"/>
      <c r="F2083" s="4"/>
      <c r="G2083" s="4"/>
    </row>
    <row r="2084">
      <c r="A2084" s="4"/>
      <c r="B2084" s="4"/>
      <c r="C2084" s="4"/>
      <c r="D2084" s="13"/>
      <c r="E2084" s="13"/>
      <c r="F2084" s="4"/>
      <c r="G2084" s="4"/>
    </row>
    <row r="2085">
      <c r="A2085" s="4"/>
      <c r="B2085" s="4"/>
      <c r="C2085" s="4"/>
      <c r="D2085" s="4"/>
      <c r="E2085" s="4"/>
      <c r="F2085" s="4"/>
      <c r="G2085" s="4"/>
    </row>
    <row r="2086">
      <c r="A2086" s="4"/>
      <c r="B2086" s="4"/>
      <c r="C2086" s="4"/>
      <c r="D2086" s="4"/>
      <c r="E2086" s="4"/>
      <c r="F2086" s="4"/>
      <c r="G2086" s="4"/>
    </row>
    <row r="2087">
      <c r="A2087" s="4"/>
      <c r="B2087" s="4"/>
      <c r="C2087" s="4"/>
      <c r="D2087" s="4"/>
      <c r="E2087" s="4"/>
      <c r="F2087" s="4"/>
      <c r="G2087" s="4"/>
    </row>
    <row r="2088">
      <c r="A2088" s="4"/>
      <c r="B2088" s="4"/>
      <c r="C2088" s="4"/>
      <c r="D2088" s="13"/>
      <c r="E2088" s="13"/>
      <c r="F2088" s="4"/>
      <c r="G2088" s="4"/>
    </row>
    <row r="2089">
      <c r="A2089" s="4"/>
      <c r="B2089" s="4"/>
      <c r="C2089" s="4"/>
      <c r="D2089" s="4"/>
      <c r="E2089" s="4"/>
      <c r="F2089" s="4"/>
      <c r="G2089" s="4"/>
    </row>
    <row r="2090">
      <c r="A2090" s="4"/>
      <c r="B2090" s="4"/>
      <c r="C2090" s="4"/>
      <c r="D2090" s="4"/>
      <c r="E2090" s="13"/>
      <c r="F2090" s="4"/>
      <c r="G2090" s="4"/>
    </row>
    <row r="2091">
      <c r="A2091" s="4"/>
      <c r="B2091" s="4"/>
      <c r="C2091" s="4"/>
      <c r="D2091" s="4"/>
      <c r="E2091" s="4"/>
      <c r="F2091" s="4"/>
      <c r="G2091" s="4"/>
    </row>
    <row r="2092">
      <c r="A2092" s="4"/>
      <c r="B2092" s="4"/>
      <c r="C2092" s="4"/>
      <c r="D2092" s="4"/>
      <c r="E2092" s="4"/>
      <c r="F2092" s="4"/>
      <c r="G2092" s="4"/>
    </row>
    <row r="2093">
      <c r="A2093" s="4"/>
      <c r="B2093" s="4"/>
      <c r="C2093" s="4"/>
      <c r="D2093" s="4"/>
      <c r="E2093" s="13"/>
      <c r="F2093" s="4"/>
      <c r="G2093" s="4"/>
    </row>
    <row r="2094">
      <c r="A2094" s="4"/>
      <c r="B2094" s="4"/>
      <c r="C2094" s="4"/>
      <c r="D2094" s="4"/>
      <c r="E2094" s="4"/>
      <c r="F2094" s="4"/>
      <c r="G2094" s="4"/>
    </row>
    <row r="2095">
      <c r="A2095" s="4"/>
      <c r="B2095" s="4"/>
      <c r="C2095" s="4"/>
      <c r="D2095" s="13"/>
      <c r="E2095" s="13"/>
      <c r="F2095" s="4"/>
      <c r="G2095" s="4"/>
    </row>
    <row r="2096">
      <c r="A2096" s="4"/>
      <c r="B2096" s="4"/>
      <c r="C2096" s="4"/>
      <c r="D2096" s="4"/>
      <c r="E2096" s="13"/>
      <c r="F2096" s="4"/>
      <c r="G2096" s="4"/>
    </row>
    <row r="2097">
      <c r="A2097" s="4"/>
      <c r="B2097" s="4"/>
      <c r="C2097" s="4"/>
      <c r="D2097" s="4"/>
      <c r="E2097" s="4"/>
      <c r="F2097" s="4"/>
      <c r="G2097" s="4"/>
    </row>
    <row r="2098">
      <c r="A2098" s="4"/>
      <c r="B2098" s="4"/>
      <c r="C2098" s="4"/>
      <c r="D2098" s="4"/>
      <c r="E2098" s="4"/>
      <c r="F2098" s="4"/>
      <c r="G2098" s="4"/>
    </row>
    <row r="2099">
      <c r="A2099" s="4"/>
      <c r="B2099" s="4"/>
      <c r="C2099" s="4"/>
      <c r="D2099" s="4"/>
      <c r="E2099" s="4"/>
      <c r="F2099" s="4"/>
      <c r="G2099" s="4"/>
    </row>
    <row r="2100">
      <c r="A2100" s="4"/>
      <c r="B2100" s="4"/>
      <c r="C2100" s="4"/>
      <c r="D2100" s="4"/>
      <c r="E2100" s="13"/>
      <c r="F2100" s="4"/>
      <c r="G2100" s="4"/>
    </row>
    <row r="2101">
      <c r="A2101" s="4"/>
      <c r="B2101" s="4"/>
      <c r="C2101" s="4"/>
      <c r="D2101" s="4"/>
      <c r="E2101" s="4"/>
      <c r="F2101" s="4"/>
      <c r="G2101" s="4"/>
    </row>
    <row r="2102">
      <c r="A2102" s="4"/>
      <c r="B2102" s="4"/>
      <c r="C2102" s="4"/>
      <c r="D2102" s="4"/>
      <c r="E2102" s="4"/>
      <c r="F2102" s="4"/>
      <c r="G2102" s="4"/>
    </row>
    <row r="2103">
      <c r="A2103" s="4"/>
      <c r="B2103" s="4"/>
      <c r="C2103" s="4"/>
      <c r="D2103" s="4"/>
      <c r="E2103" s="4"/>
      <c r="F2103" s="4"/>
      <c r="G2103" s="4"/>
    </row>
    <row r="2104">
      <c r="A2104" s="4"/>
      <c r="B2104" s="4"/>
      <c r="C2104" s="4"/>
      <c r="D2104" s="4"/>
      <c r="E2104" s="13"/>
      <c r="F2104" s="4"/>
      <c r="G2104" s="4"/>
    </row>
    <row r="2105">
      <c r="A2105" s="4"/>
      <c r="B2105" s="4"/>
      <c r="C2105" s="4"/>
      <c r="D2105" s="4"/>
      <c r="E2105" s="4"/>
      <c r="F2105" s="4"/>
      <c r="G2105" s="4"/>
    </row>
    <row r="2106">
      <c r="A2106" s="4"/>
      <c r="B2106" s="4"/>
      <c r="C2106" s="4"/>
      <c r="D2106" s="4"/>
      <c r="E2106" s="4"/>
      <c r="F2106" s="4"/>
      <c r="G2106" s="4"/>
    </row>
    <row r="2107">
      <c r="A2107" s="4"/>
      <c r="B2107" s="4"/>
      <c r="C2107" s="4"/>
      <c r="D2107" s="4"/>
      <c r="E2107" s="13"/>
      <c r="F2107" s="4"/>
      <c r="G2107" s="4"/>
    </row>
    <row r="2108">
      <c r="A2108" s="4"/>
      <c r="B2108" s="4"/>
      <c r="C2108" s="4"/>
      <c r="D2108" s="4"/>
      <c r="E2108" s="4"/>
      <c r="F2108" s="4"/>
      <c r="G2108" s="4"/>
    </row>
    <row r="2109">
      <c r="A2109" s="4"/>
      <c r="B2109" s="4"/>
      <c r="C2109" s="4"/>
      <c r="D2109" s="4"/>
      <c r="E2109" s="13"/>
      <c r="F2109" s="4"/>
      <c r="G2109" s="4"/>
    </row>
    <row r="2110">
      <c r="A2110" s="4"/>
      <c r="B2110" s="4"/>
      <c r="C2110" s="4"/>
      <c r="D2110" s="4"/>
      <c r="E2110" s="4"/>
      <c r="F2110" s="4"/>
      <c r="G2110" s="4"/>
    </row>
    <row r="2111">
      <c r="A2111" s="4"/>
      <c r="B2111" s="4"/>
      <c r="C2111" s="4"/>
      <c r="D2111" s="13"/>
      <c r="E2111" s="13"/>
      <c r="F2111" s="4"/>
      <c r="G2111" s="4"/>
    </row>
    <row r="2112">
      <c r="A2112" s="4"/>
      <c r="B2112" s="4"/>
      <c r="C2112" s="4"/>
      <c r="D2112" s="4"/>
      <c r="E2112" s="13"/>
      <c r="F2112" s="4"/>
      <c r="G2112" s="4"/>
    </row>
    <row r="2113">
      <c r="A2113" s="4"/>
      <c r="B2113" s="4"/>
      <c r="C2113" s="4"/>
      <c r="D2113" s="4"/>
      <c r="E2113" s="4"/>
      <c r="F2113" s="4"/>
      <c r="G2113" s="4"/>
    </row>
    <row r="2114">
      <c r="A2114" s="4"/>
      <c r="B2114" s="4"/>
      <c r="C2114" s="4"/>
      <c r="D2114" s="4"/>
      <c r="E2114" s="13"/>
      <c r="F2114" s="4"/>
      <c r="G2114" s="4"/>
    </row>
    <row r="2115">
      <c r="A2115" s="4"/>
      <c r="B2115" s="4"/>
      <c r="C2115" s="4"/>
      <c r="D2115" s="4"/>
      <c r="E2115" s="4"/>
      <c r="F2115" s="4"/>
      <c r="G2115" s="4"/>
    </row>
    <row r="2116">
      <c r="A2116" s="4"/>
      <c r="B2116" s="4"/>
      <c r="C2116" s="4"/>
      <c r="D2116" s="4"/>
      <c r="E2116" s="4"/>
      <c r="F2116" s="4"/>
      <c r="G2116" s="4"/>
    </row>
    <row r="2117">
      <c r="A2117" s="4"/>
      <c r="B2117" s="4"/>
      <c r="C2117" s="4"/>
      <c r="D2117" s="4"/>
      <c r="E2117" s="13"/>
      <c r="F2117" s="4"/>
      <c r="G2117" s="4"/>
    </row>
    <row r="2118">
      <c r="A2118" s="4"/>
      <c r="B2118" s="4"/>
      <c r="C2118" s="4"/>
      <c r="D2118" s="4"/>
      <c r="E2118" s="4"/>
      <c r="F2118" s="4"/>
      <c r="G2118" s="4"/>
    </row>
    <row r="2119">
      <c r="A2119" s="4"/>
      <c r="B2119" s="4"/>
      <c r="C2119" s="4"/>
      <c r="D2119" s="4"/>
      <c r="E2119" s="13"/>
      <c r="F2119" s="4"/>
      <c r="G2119" s="4"/>
    </row>
    <row r="2120">
      <c r="A2120" s="4"/>
      <c r="B2120" s="4"/>
      <c r="C2120" s="4"/>
      <c r="D2120" s="4"/>
      <c r="E2120" s="13"/>
      <c r="F2120" s="4"/>
      <c r="G2120" s="4"/>
    </row>
    <row r="2121">
      <c r="A2121" s="4"/>
      <c r="B2121" s="4"/>
      <c r="C2121" s="4"/>
      <c r="D2121" s="4"/>
      <c r="E2121" s="4"/>
      <c r="F2121" s="4"/>
      <c r="G2121" s="4"/>
    </row>
    <row r="2122">
      <c r="A2122" s="4"/>
      <c r="B2122" s="4"/>
      <c r="C2122" s="4"/>
      <c r="D2122" s="4"/>
      <c r="E2122" s="4"/>
      <c r="F2122" s="4"/>
      <c r="G2122" s="4"/>
    </row>
    <row r="2123">
      <c r="A2123" s="4"/>
      <c r="B2123" s="4"/>
      <c r="C2123" s="4"/>
      <c r="D2123" s="13"/>
      <c r="E2123" s="13"/>
      <c r="F2123" s="4"/>
      <c r="G2123" s="4"/>
    </row>
    <row r="2124">
      <c r="A2124" s="4"/>
      <c r="B2124" s="4"/>
      <c r="C2124" s="4"/>
      <c r="D2124" s="13"/>
      <c r="E2124" s="13"/>
      <c r="F2124" s="4"/>
      <c r="G2124" s="4"/>
    </row>
    <row r="2125">
      <c r="A2125" s="4"/>
      <c r="B2125" s="4"/>
      <c r="C2125" s="4"/>
      <c r="D2125" s="13"/>
      <c r="E2125" s="13"/>
      <c r="F2125" s="4"/>
      <c r="G2125" s="4"/>
    </row>
    <row r="2126">
      <c r="A2126" s="4"/>
      <c r="B2126" s="4"/>
      <c r="C2126" s="4"/>
      <c r="D2126" s="13"/>
      <c r="E2126" s="13"/>
      <c r="F2126" s="4"/>
      <c r="G2126" s="4"/>
    </row>
    <row r="2127">
      <c r="A2127" s="4"/>
      <c r="B2127" s="4"/>
      <c r="C2127" s="4"/>
      <c r="D2127" s="13"/>
      <c r="E2127" s="13"/>
      <c r="F2127" s="4"/>
      <c r="G2127" s="4"/>
    </row>
    <row r="2128">
      <c r="A2128" s="4"/>
      <c r="B2128" s="4"/>
      <c r="C2128" s="4"/>
      <c r="D2128" s="4"/>
      <c r="E2128" s="13"/>
      <c r="F2128" s="4"/>
      <c r="G2128" s="4"/>
    </row>
    <row r="2129">
      <c r="A2129" s="4"/>
      <c r="B2129" s="4"/>
      <c r="C2129" s="4"/>
      <c r="D2129" s="4"/>
      <c r="E2129" s="4"/>
      <c r="F2129" s="4"/>
      <c r="G2129" s="4"/>
    </row>
    <row r="2130">
      <c r="A2130" s="4"/>
      <c r="B2130" s="4"/>
      <c r="C2130" s="4"/>
      <c r="D2130" s="4"/>
      <c r="E2130" s="4"/>
      <c r="F2130" s="4"/>
      <c r="G2130" s="4"/>
    </row>
    <row r="2131">
      <c r="A2131" s="4"/>
      <c r="B2131" s="4"/>
      <c r="C2131" s="4"/>
      <c r="D2131" s="4"/>
      <c r="E2131" s="13"/>
      <c r="F2131" s="4"/>
      <c r="G2131" s="4"/>
    </row>
    <row r="2132">
      <c r="A2132" s="4"/>
      <c r="B2132" s="4"/>
      <c r="C2132" s="4"/>
      <c r="D2132" s="4"/>
      <c r="E2132" s="4"/>
      <c r="F2132" s="4"/>
      <c r="G2132" s="4"/>
    </row>
    <row r="2133">
      <c r="A2133" s="4"/>
      <c r="B2133" s="4"/>
      <c r="C2133" s="4"/>
      <c r="D2133" s="4"/>
      <c r="E2133" s="4"/>
      <c r="F2133" s="4"/>
      <c r="G2133" s="4"/>
    </row>
    <row r="2134">
      <c r="A2134" s="4"/>
      <c r="B2134" s="4"/>
      <c r="C2134" s="4"/>
      <c r="D2134" s="4"/>
      <c r="E2134" s="4"/>
      <c r="F2134" s="4"/>
      <c r="G2134" s="4"/>
    </row>
    <row r="2135">
      <c r="A2135" s="4"/>
      <c r="B2135" s="4"/>
      <c r="C2135" s="4"/>
      <c r="D2135" s="4"/>
      <c r="E2135" s="4"/>
      <c r="F2135" s="4"/>
      <c r="G2135" s="4"/>
    </row>
    <row r="2136">
      <c r="A2136" s="4"/>
      <c r="B2136" s="4"/>
      <c r="C2136" s="4"/>
      <c r="D2136" s="4"/>
      <c r="E2136" s="13"/>
      <c r="F2136" s="4"/>
      <c r="G2136" s="4"/>
    </row>
    <row r="2137">
      <c r="A2137" s="4"/>
      <c r="B2137" s="4"/>
      <c r="C2137" s="4"/>
      <c r="D2137" s="4"/>
      <c r="E2137" s="4"/>
      <c r="F2137" s="4"/>
      <c r="G2137" s="4"/>
    </row>
    <row r="2138">
      <c r="A2138" s="4"/>
      <c r="B2138" s="4"/>
      <c r="C2138" s="4"/>
      <c r="D2138" s="4"/>
      <c r="E2138" s="4"/>
      <c r="F2138" s="4"/>
      <c r="G2138" s="4"/>
    </row>
    <row r="2139">
      <c r="A2139" s="4"/>
      <c r="B2139" s="4"/>
      <c r="C2139" s="4"/>
      <c r="D2139" s="4"/>
      <c r="E2139" s="13"/>
      <c r="F2139" s="4"/>
      <c r="G2139" s="4"/>
    </row>
    <row r="2140">
      <c r="A2140" s="4"/>
      <c r="B2140" s="4"/>
      <c r="C2140" s="4"/>
      <c r="D2140" s="4"/>
      <c r="E2140" s="13"/>
      <c r="F2140" s="4"/>
      <c r="G2140" s="4"/>
    </row>
    <row r="2141">
      <c r="A2141" s="4"/>
      <c r="B2141" s="4"/>
      <c r="C2141" s="4"/>
      <c r="D2141" s="4"/>
      <c r="E2141" s="4"/>
      <c r="F2141" s="4"/>
      <c r="G2141" s="4"/>
    </row>
    <row r="2142">
      <c r="A2142" s="4"/>
      <c r="B2142" s="4"/>
      <c r="C2142" s="4"/>
      <c r="D2142" s="4"/>
      <c r="E2142" s="4"/>
      <c r="F2142" s="4"/>
      <c r="G2142" s="4"/>
    </row>
    <row r="2143">
      <c r="A2143" s="4"/>
      <c r="B2143" s="4"/>
      <c r="C2143" s="4"/>
      <c r="D2143" s="4"/>
      <c r="E2143" s="13"/>
      <c r="F2143" s="4"/>
      <c r="G2143" s="4"/>
    </row>
    <row r="2144">
      <c r="A2144" s="4"/>
      <c r="B2144" s="4"/>
      <c r="C2144" s="4"/>
      <c r="D2144" s="4"/>
      <c r="E2144" s="4"/>
      <c r="F2144" s="4"/>
      <c r="G2144" s="4"/>
    </row>
    <row r="2145">
      <c r="A2145" s="4"/>
      <c r="B2145" s="4"/>
      <c r="C2145" s="4"/>
      <c r="D2145" s="4"/>
      <c r="E2145" s="4"/>
      <c r="F2145" s="4"/>
      <c r="G2145" s="4"/>
    </row>
    <row r="2146">
      <c r="A2146" s="4"/>
      <c r="B2146" s="4"/>
      <c r="C2146" s="4"/>
      <c r="D2146" s="4"/>
      <c r="E2146" s="4"/>
      <c r="F2146" s="4"/>
      <c r="G2146" s="4"/>
    </row>
    <row r="2147">
      <c r="A2147" s="4"/>
      <c r="B2147" s="4"/>
      <c r="C2147" s="4"/>
      <c r="D2147" s="4"/>
      <c r="E2147" s="4"/>
      <c r="F2147" s="4"/>
      <c r="G2147" s="4"/>
    </row>
    <row r="2148">
      <c r="A2148" s="4"/>
      <c r="B2148" s="4"/>
      <c r="C2148" s="4"/>
      <c r="D2148" s="4"/>
      <c r="E2148" s="4"/>
      <c r="F2148" s="4"/>
      <c r="G2148" s="4"/>
    </row>
    <row r="2149">
      <c r="A2149" s="4"/>
      <c r="B2149" s="4"/>
      <c r="C2149" s="4"/>
      <c r="D2149" s="4"/>
      <c r="E2149" s="13"/>
      <c r="F2149" s="4"/>
      <c r="G2149" s="4"/>
    </row>
    <row r="2150">
      <c r="A2150" s="4"/>
      <c r="B2150" s="4"/>
      <c r="C2150" s="4"/>
      <c r="D2150" s="4"/>
      <c r="E2150" s="13"/>
      <c r="F2150" s="4"/>
      <c r="G2150" s="4"/>
    </row>
    <row r="2151">
      <c r="A2151" s="4"/>
      <c r="B2151" s="4"/>
      <c r="C2151" s="4"/>
      <c r="D2151" s="4"/>
      <c r="E2151" s="4"/>
      <c r="F2151" s="4"/>
      <c r="G2151" s="4"/>
    </row>
    <row r="2152">
      <c r="A2152" s="4"/>
      <c r="B2152" s="4"/>
      <c r="C2152" s="4"/>
      <c r="D2152" s="13"/>
      <c r="E2152" s="4"/>
      <c r="F2152" s="4"/>
      <c r="G2152" s="4"/>
    </row>
    <row r="2153">
      <c r="A2153" s="4"/>
      <c r="B2153" s="4"/>
      <c r="C2153" s="4"/>
      <c r="D2153" s="4"/>
      <c r="E2153" s="13"/>
      <c r="F2153" s="4"/>
      <c r="G2153" s="4"/>
    </row>
    <row r="2154">
      <c r="A2154" s="4"/>
      <c r="B2154" s="4"/>
      <c r="C2154" s="4"/>
      <c r="D2154" s="4"/>
      <c r="E2154" s="4"/>
      <c r="F2154" s="4"/>
      <c r="G2154" s="4"/>
    </row>
    <row r="2155">
      <c r="A2155" s="4"/>
      <c r="B2155" s="4"/>
      <c r="C2155" s="4"/>
      <c r="D2155" s="4"/>
      <c r="E2155" s="13"/>
      <c r="F2155" s="4"/>
      <c r="G2155" s="4"/>
    </row>
    <row r="2156">
      <c r="A2156" s="4"/>
      <c r="B2156" s="4"/>
      <c r="C2156" s="4"/>
      <c r="D2156" s="4"/>
      <c r="E2156" s="4"/>
      <c r="F2156" s="4"/>
      <c r="G2156" s="4"/>
    </row>
    <row r="2157">
      <c r="A2157" s="4"/>
      <c r="B2157" s="4"/>
      <c r="C2157" s="4"/>
      <c r="D2157" s="13"/>
      <c r="E2157" s="13"/>
      <c r="F2157" s="4"/>
      <c r="G2157" s="4"/>
    </row>
    <row r="2158">
      <c r="A2158" s="4"/>
      <c r="B2158" s="4"/>
      <c r="C2158" s="4"/>
      <c r="D2158" s="4"/>
      <c r="E2158" s="4"/>
      <c r="F2158" s="4"/>
      <c r="G2158" s="4"/>
    </row>
    <row r="2159">
      <c r="A2159" s="4"/>
      <c r="B2159" s="4"/>
      <c r="C2159" s="4"/>
      <c r="D2159" s="4"/>
      <c r="E2159" s="4"/>
      <c r="F2159" s="4"/>
      <c r="G2159" s="4"/>
    </row>
    <row r="2160">
      <c r="A2160" s="4"/>
      <c r="B2160" s="4"/>
      <c r="C2160" s="4"/>
      <c r="D2160" s="4"/>
      <c r="E2160" s="13"/>
      <c r="F2160" s="4"/>
      <c r="G2160" s="4"/>
    </row>
    <row r="2161">
      <c r="A2161" s="4"/>
      <c r="B2161" s="4"/>
      <c r="C2161" s="4"/>
      <c r="D2161" s="4"/>
      <c r="E2161" s="4"/>
      <c r="F2161" s="4"/>
      <c r="G2161" s="4"/>
    </row>
    <row r="2162">
      <c r="A2162" s="4"/>
      <c r="B2162" s="4"/>
      <c r="C2162" s="4"/>
      <c r="D2162" s="4"/>
      <c r="E2162" s="13"/>
      <c r="F2162" s="4"/>
      <c r="G2162" s="4"/>
    </row>
    <row r="2163">
      <c r="A2163" s="4"/>
      <c r="B2163" s="4"/>
      <c r="C2163" s="4"/>
      <c r="D2163" s="4"/>
      <c r="E2163" s="13"/>
      <c r="F2163" s="4"/>
      <c r="G2163" s="4"/>
    </row>
    <row r="2164">
      <c r="A2164" s="4"/>
      <c r="B2164" s="4"/>
      <c r="C2164" s="4"/>
      <c r="D2164" s="4"/>
      <c r="E2164" s="13"/>
      <c r="F2164" s="4"/>
      <c r="G2164" s="4"/>
    </row>
    <row r="2165">
      <c r="A2165" s="4"/>
      <c r="B2165" s="4"/>
      <c r="C2165" s="4"/>
      <c r="D2165" s="4"/>
      <c r="E2165" s="4"/>
      <c r="F2165" s="4"/>
      <c r="G2165" s="4"/>
    </row>
    <row r="2166">
      <c r="A2166" s="4"/>
      <c r="B2166" s="4"/>
      <c r="C2166" s="4"/>
      <c r="D2166" s="4"/>
      <c r="E2166" s="4"/>
      <c r="F2166" s="4"/>
      <c r="G2166" s="4"/>
    </row>
    <row r="2167">
      <c r="A2167" s="4"/>
      <c r="B2167" s="4"/>
      <c r="C2167" s="4"/>
      <c r="D2167" s="4"/>
      <c r="E2167" s="13"/>
      <c r="F2167" s="4"/>
      <c r="G2167" s="4"/>
    </row>
    <row r="2168">
      <c r="A2168" s="4"/>
      <c r="B2168" s="4"/>
      <c r="C2168" s="4"/>
      <c r="D2168" s="4"/>
      <c r="E2168" s="13"/>
      <c r="F2168" s="4"/>
      <c r="G2168" s="4"/>
    </row>
    <row r="2169">
      <c r="A2169" s="4"/>
      <c r="B2169" s="4"/>
      <c r="C2169" s="4"/>
      <c r="D2169" s="4"/>
      <c r="E2169" s="4"/>
      <c r="F2169" s="4"/>
      <c r="G2169" s="4"/>
    </row>
    <row r="2170">
      <c r="A2170" s="4"/>
      <c r="B2170" s="4"/>
      <c r="C2170" s="4"/>
      <c r="D2170" s="4"/>
      <c r="E2170" s="4"/>
      <c r="F2170" s="4"/>
      <c r="G2170" s="4"/>
    </row>
    <row r="2171">
      <c r="A2171" s="4"/>
      <c r="B2171" s="4"/>
      <c r="C2171" s="4"/>
      <c r="D2171" s="4"/>
      <c r="E2171" s="4"/>
      <c r="F2171" s="4"/>
      <c r="G2171" s="4"/>
    </row>
    <row r="2172">
      <c r="A2172" s="4"/>
      <c r="B2172" s="4"/>
      <c r="C2172" s="4"/>
      <c r="D2172" s="4"/>
      <c r="E2172" s="13"/>
      <c r="F2172" s="4"/>
      <c r="G2172" s="4"/>
    </row>
    <row r="2173">
      <c r="A2173" s="4"/>
      <c r="B2173" s="4"/>
      <c r="C2173" s="4"/>
      <c r="D2173" s="4"/>
      <c r="E2173" s="4"/>
      <c r="F2173" s="4"/>
      <c r="G2173" s="4"/>
    </row>
    <row r="2174">
      <c r="A2174" s="4"/>
      <c r="B2174" s="4"/>
      <c r="C2174" s="4"/>
      <c r="D2174" s="4"/>
      <c r="E2174" s="4"/>
      <c r="F2174" s="4"/>
      <c r="G2174" s="4"/>
    </row>
    <row r="2175">
      <c r="A2175" s="4"/>
      <c r="B2175" s="4"/>
      <c r="C2175" s="4"/>
      <c r="D2175" s="4"/>
      <c r="E2175" s="4"/>
      <c r="F2175" s="4"/>
      <c r="G2175" s="4"/>
    </row>
    <row r="2176">
      <c r="A2176" s="4"/>
      <c r="B2176" s="4"/>
      <c r="C2176" s="4"/>
      <c r="D2176" s="4"/>
      <c r="E2176" s="4"/>
      <c r="F2176" s="4"/>
      <c r="G2176" s="4"/>
    </row>
    <row r="2177">
      <c r="A2177" s="4"/>
      <c r="B2177" s="4"/>
      <c r="C2177" s="4"/>
      <c r="D2177" s="4"/>
      <c r="E2177" s="13"/>
      <c r="F2177" s="4"/>
      <c r="G2177" s="4"/>
    </row>
    <row r="2178">
      <c r="A2178" s="4"/>
      <c r="B2178" s="4"/>
      <c r="C2178" s="4"/>
      <c r="D2178" s="13"/>
      <c r="E2178" s="13"/>
      <c r="F2178" s="4"/>
      <c r="G2178" s="4"/>
    </row>
    <row r="2179">
      <c r="A2179" s="4"/>
      <c r="B2179" s="4"/>
      <c r="C2179" s="4"/>
      <c r="D2179" s="4"/>
      <c r="E2179" s="13"/>
      <c r="F2179" s="4"/>
      <c r="G2179" s="4"/>
    </row>
    <row r="2180">
      <c r="A2180" s="4"/>
      <c r="B2180" s="4"/>
      <c r="C2180" s="4"/>
      <c r="D2180" s="4"/>
      <c r="E2180" s="4"/>
      <c r="F2180" s="4"/>
      <c r="G2180" s="4"/>
    </row>
    <row r="2181">
      <c r="A2181" s="4"/>
      <c r="B2181" s="4"/>
      <c r="C2181" s="4"/>
      <c r="D2181" s="4"/>
      <c r="E2181" s="13"/>
      <c r="F2181" s="4"/>
      <c r="G2181" s="4"/>
    </row>
    <row r="2182">
      <c r="A2182" s="4"/>
      <c r="B2182" s="4"/>
      <c r="C2182" s="4"/>
      <c r="D2182" s="4"/>
      <c r="E2182" s="4"/>
      <c r="F2182" s="4"/>
      <c r="G2182" s="4"/>
    </row>
    <row r="2183">
      <c r="A2183" s="4"/>
      <c r="B2183" s="4"/>
      <c r="C2183" s="4"/>
      <c r="D2183" s="4"/>
      <c r="E2183" s="4"/>
      <c r="F2183" s="4"/>
      <c r="G2183" s="4"/>
    </row>
    <row r="2184">
      <c r="A2184" s="4"/>
      <c r="B2184" s="4"/>
      <c r="C2184" s="4"/>
      <c r="D2184" s="4"/>
      <c r="E2184" s="13"/>
      <c r="F2184" s="4"/>
      <c r="G2184" s="4"/>
    </row>
    <row r="2185">
      <c r="A2185" s="4"/>
      <c r="B2185" s="4"/>
      <c r="C2185" s="4"/>
      <c r="D2185" s="4"/>
      <c r="E2185" s="4"/>
      <c r="F2185" s="4"/>
      <c r="G2185" s="4"/>
    </row>
    <row r="2186">
      <c r="A2186" s="4"/>
      <c r="B2186" s="4"/>
      <c r="C2186" s="4"/>
      <c r="D2186" s="13"/>
      <c r="E2186" s="13"/>
      <c r="F2186" s="4"/>
      <c r="G2186" s="4"/>
    </row>
    <row r="2187">
      <c r="A2187" s="4"/>
      <c r="B2187" s="4"/>
      <c r="C2187" s="4"/>
      <c r="D2187" s="4"/>
      <c r="E2187" s="4"/>
      <c r="F2187" s="4"/>
      <c r="G2187" s="4"/>
    </row>
    <row r="2188">
      <c r="A2188" s="4"/>
      <c r="B2188" s="4"/>
      <c r="C2188" s="4"/>
      <c r="D2188" s="4"/>
      <c r="E2188" s="13"/>
      <c r="F2188" s="4"/>
      <c r="G2188" s="4"/>
    </row>
    <row r="2189">
      <c r="A2189" s="4"/>
      <c r="B2189" s="4"/>
      <c r="C2189" s="4"/>
      <c r="D2189" s="4"/>
      <c r="E2189" s="4"/>
      <c r="F2189" s="4"/>
      <c r="G2189" s="4"/>
    </row>
    <row r="2190">
      <c r="A2190" s="4"/>
      <c r="B2190" s="4"/>
      <c r="C2190" s="4"/>
      <c r="D2190" s="4"/>
      <c r="E2190" s="13"/>
      <c r="F2190" s="4"/>
      <c r="G2190" s="4"/>
    </row>
    <row r="2191">
      <c r="A2191" s="4"/>
      <c r="B2191" s="4"/>
      <c r="C2191" s="4"/>
      <c r="D2191" s="4"/>
      <c r="E2191" s="13"/>
      <c r="F2191" s="4"/>
      <c r="G2191" s="4"/>
    </row>
    <row r="2192">
      <c r="A2192" s="4"/>
      <c r="B2192" s="4"/>
      <c r="C2192" s="4"/>
      <c r="D2192" s="4"/>
      <c r="E2192" s="4"/>
      <c r="F2192" s="4"/>
      <c r="G2192" s="4"/>
    </row>
    <row r="2193">
      <c r="A2193" s="4"/>
      <c r="B2193" s="4"/>
      <c r="C2193" s="4"/>
      <c r="D2193" s="4"/>
      <c r="E2193" s="4"/>
      <c r="F2193" s="4"/>
      <c r="G2193" s="4"/>
    </row>
    <row r="2194">
      <c r="A2194" s="4"/>
      <c r="B2194" s="4"/>
      <c r="C2194" s="4"/>
      <c r="D2194" s="4"/>
      <c r="E2194" s="13"/>
      <c r="F2194" s="4"/>
      <c r="G2194" s="4"/>
    </row>
    <row r="2195">
      <c r="A2195" s="4"/>
      <c r="B2195" s="4"/>
      <c r="C2195" s="4"/>
      <c r="D2195" s="4"/>
      <c r="E2195" s="4"/>
      <c r="F2195" s="4"/>
      <c r="G2195" s="4"/>
    </row>
    <row r="2196">
      <c r="A2196" s="4"/>
      <c r="B2196" s="4"/>
      <c r="C2196" s="4"/>
      <c r="D2196" s="4"/>
      <c r="E2196" s="4"/>
      <c r="F2196" s="4"/>
      <c r="G2196" s="4"/>
    </row>
    <row r="2197">
      <c r="A2197" s="4"/>
      <c r="B2197" s="4"/>
      <c r="C2197" s="4"/>
      <c r="D2197" s="4"/>
      <c r="E2197" s="4"/>
      <c r="F2197" s="4"/>
      <c r="G2197" s="4"/>
    </row>
    <row r="2198">
      <c r="A2198" s="4"/>
      <c r="B2198" s="4"/>
      <c r="C2198" s="4"/>
      <c r="D2198" s="13"/>
      <c r="E2198" s="13"/>
      <c r="F2198" s="4"/>
      <c r="G2198" s="4"/>
    </row>
    <row r="2199">
      <c r="A2199" s="4"/>
      <c r="B2199" s="4"/>
      <c r="C2199" s="4"/>
      <c r="D2199" s="13"/>
      <c r="E2199" s="13"/>
      <c r="F2199" s="4"/>
      <c r="G2199" s="4"/>
    </row>
    <row r="2200">
      <c r="A2200" s="4"/>
      <c r="B2200" s="4"/>
      <c r="C2200" s="4"/>
      <c r="D2200" s="13"/>
      <c r="E2200" s="13"/>
      <c r="F2200" s="4"/>
      <c r="G2200" s="4"/>
    </row>
    <row r="2201">
      <c r="A2201" s="4"/>
      <c r="B2201" s="4"/>
      <c r="C2201" s="4"/>
      <c r="D2201" s="4"/>
      <c r="E2201" s="4"/>
      <c r="F2201" s="4"/>
      <c r="G2201" s="4"/>
    </row>
    <row r="2202">
      <c r="A2202" s="4"/>
      <c r="B2202" s="4"/>
      <c r="C2202" s="4"/>
      <c r="D2202" s="4"/>
      <c r="E2202" s="4"/>
      <c r="F2202" s="4"/>
      <c r="G2202" s="4"/>
    </row>
    <row r="2203">
      <c r="A2203" s="4"/>
      <c r="B2203" s="4"/>
      <c r="C2203" s="4"/>
      <c r="D2203" s="4"/>
      <c r="E2203" s="4"/>
      <c r="F2203" s="4"/>
      <c r="G2203" s="4"/>
    </row>
    <row r="2204">
      <c r="A2204" s="4"/>
      <c r="B2204" s="4"/>
      <c r="C2204" s="4"/>
      <c r="D2204" s="4"/>
      <c r="E2204" s="4"/>
      <c r="F2204" s="4"/>
      <c r="G2204" s="4"/>
    </row>
    <row r="2205">
      <c r="A2205" s="4"/>
      <c r="B2205" s="4"/>
      <c r="C2205" s="4"/>
      <c r="D2205" s="13"/>
      <c r="E2205" s="13"/>
      <c r="F2205" s="4"/>
      <c r="G2205" s="4"/>
    </row>
    <row r="2206">
      <c r="A2206" s="4"/>
      <c r="B2206" s="4"/>
      <c r="C2206" s="4"/>
      <c r="D2206" s="13"/>
      <c r="E2206" s="13"/>
      <c r="F2206" s="4"/>
      <c r="G2206" s="4"/>
    </row>
    <row r="2207">
      <c r="A2207" s="4"/>
      <c r="B2207" s="4"/>
      <c r="C2207" s="4"/>
      <c r="D2207" s="4"/>
      <c r="E2207" s="4"/>
      <c r="F2207" s="4"/>
      <c r="G2207" s="4"/>
    </row>
    <row r="2208">
      <c r="A2208" s="4"/>
      <c r="B2208" s="4"/>
      <c r="C2208" s="4"/>
      <c r="D2208" s="4"/>
      <c r="E2208" s="4"/>
      <c r="F2208" s="4"/>
      <c r="G2208" s="4"/>
    </row>
    <row r="2209">
      <c r="A2209" s="4"/>
      <c r="B2209" s="4"/>
      <c r="C2209" s="4"/>
      <c r="D2209" s="4"/>
      <c r="E2209" s="13"/>
      <c r="F2209" s="4"/>
      <c r="G2209" s="4"/>
    </row>
    <row r="2210">
      <c r="A2210" s="4"/>
      <c r="B2210" s="4"/>
      <c r="C2210" s="4"/>
      <c r="D2210" s="4"/>
      <c r="E2210" s="4"/>
      <c r="F2210" s="4"/>
      <c r="G2210" s="4"/>
    </row>
    <row r="2211">
      <c r="A2211" s="4"/>
      <c r="B2211" s="4"/>
      <c r="C2211" s="4"/>
      <c r="D2211" s="4"/>
      <c r="E2211" s="4"/>
      <c r="F2211" s="4"/>
      <c r="G2211" s="4"/>
    </row>
    <row r="2212">
      <c r="A2212" s="4"/>
      <c r="B2212" s="4"/>
      <c r="C2212" s="4"/>
      <c r="D2212" s="13"/>
      <c r="E2212" s="13"/>
      <c r="F2212" s="4"/>
      <c r="G2212" s="4"/>
    </row>
    <row r="2213">
      <c r="A2213" s="4"/>
      <c r="B2213" s="4"/>
      <c r="C2213" s="4"/>
      <c r="D2213" s="4"/>
      <c r="E2213" s="13"/>
      <c r="F2213" s="4"/>
      <c r="G2213" s="4"/>
    </row>
    <row r="2214">
      <c r="A2214" s="4"/>
      <c r="B2214" s="4"/>
      <c r="C2214" s="4"/>
      <c r="D2214" s="4"/>
      <c r="E2214" s="4"/>
      <c r="F2214" s="4"/>
      <c r="G2214" s="4"/>
    </row>
    <row r="2215">
      <c r="A2215" s="4"/>
      <c r="B2215" s="4"/>
      <c r="C2215" s="4"/>
      <c r="D2215" s="4"/>
      <c r="E2215" s="13"/>
      <c r="F2215" s="4"/>
      <c r="G2215" s="4"/>
    </row>
    <row r="2216">
      <c r="A2216" s="4"/>
      <c r="B2216" s="4"/>
      <c r="C2216" s="4"/>
      <c r="D2216" s="4"/>
      <c r="E2216" s="4"/>
      <c r="F2216" s="4"/>
      <c r="G2216" s="4"/>
    </row>
    <row r="2217">
      <c r="A2217" s="4"/>
      <c r="B2217" s="4"/>
      <c r="C2217" s="4"/>
      <c r="D2217" s="4"/>
      <c r="E2217" s="13"/>
      <c r="F2217" s="4"/>
      <c r="G2217" s="4"/>
    </row>
    <row r="2218">
      <c r="A2218" s="4"/>
      <c r="B2218" s="4"/>
      <c r="C2218" s="4"/>
      <c r="D2218" s="4"/>
      <c r="E2218" s="4"/>
      <c r="F2218" s="4"/>
      <c r="G2218" s="4"/>
    </row>
    <row r="2219">
      <c r="A2219" s="4"/>
      <c r="B2219" s="4"/>
      <c r="C2219" s="4"/>
      <c r="D2219" s="4"/>
      <c r="E2219" s="4"/>
      <c r="F2219" s="4"/>
      <c r="G2219" s="4"/>
    </row>
    <row r="2220">
      <c r="A2220" s="4"/>
      <c r="B2220" s="4"/>
      <c r="C2220" s="4"/>
      <c r="D2220" s="13"/>
      <c r="E2220" s="13"/>
      <c r="F2220" s="4"/>
      <c r="G2220" s="4"/>
    </row>
    <row r="2221">
      <c r="A2221" s="4"/>
      <c r="B2221" s="4"/>
      <c r="C2221" s="4"/>
      <c r="D2221" s="4"/>
      <c r="E2221" s="13"/>
      <c r="F2221" s="4"/>
      <c r="G2221" s="4"/>
    </row>
    <row r="2222">
      <c r="A2222" s="4"/>
      <c r="B2222" s="4"/>
      <c r="C2222" s="4"/>
      <c r="D2222" s="4"/>
      <c r="E2222" s="4"/>
      <c r="F2222" s="4"/>
      <c r="G2222" s="4"/>
    </row>
    <row r="2223">
      <c r="A2223" s="4"/>
      <c r="B2223" s="4"/>
      <c r="C2223" s="4"/>
      <c r="D2223" s="4"/>
      <c r="E2223" s="4"/>
      <c r="F2223" s="4"/>
      <c r="G2223" s="4"/>
    </row>
    <row r="2224">
      <c r="A2224" s="4"/>
      <c r="B2224" s="4"/>
      <c r="C2224" s="4"/>
      <c r="D2224" s="4"/>
      <c r="E2224" s="13"/>
      <c r="F2224" s="4"/>
      <c r="G2224" s="4"/>
    </row>
    <row r="2225">
      <c r="A2225" s="4"/>
      <c r="B2225" s="4"/>
      <c r="C2225" s="4"/>
      <c r="D2225" s="4"/>
      <c r="E2225" s="4"/>
      <c r="F2225" s="4"/>
      <c r="G2225" s="4"/>
    </row>
    <row r="2226">
      <c r="A2226" s="4"/>
      <c r="B2226" s="4"/>
      <c r="C2226" s="4"/>
      <c r="D2226" s="13"/>
      <c r="E2226" s="4"/>
      <c r="F2226" s="4"/>
      <c r="G2226" s="4"/>
    </row>
    <row r="2227">
      <c r="A2227" s="4"/>
      <c r="B2227" s="4"/>
      <c r="C2227" s="4"/>
      <c r="D2227" s="4"/>
      <c r="E2227" s="4"/>
      <c r="F2227" s="4"/>
      <c r="G2227" s="4"/>
    </row>
    <row r="2228">
      <c r="A2228" s="4"/>
      <c r="B2228" s="4"/>
      <c r="C2228" s="4"/>
      <c r="D2228" s="4"/>
      <c r="E2228" s="4"/>
      <c r="F2228" s="4"/>
      <c r="G2228" s="4"/>
    </row>
    <row r="2229">
      <c r="A2229" s="4"/>
      <c r="B2229" s="4"/>
      <c r="C2229" s="4"/>
      <c r="D2229" s="4"/>
      <c r="E2229" s="4"/>
      <c r="F2229" s="4"/>
      <c r="G2229" s="4"/>
    </row>
    <row r="2230">
      <c r="A2230" s="4"/>
      <c r="B2230" s="4"/>
      <c r="C2230" s="4"/>
      <c r="D2230" s="4"/>
      <c r="E2230" s="13"/>
      <c r="F2230" s="4"/>
      <c r="G2230" s="4"/>
    </row>
    <row r="2231">
      <c r="A2231" s="4"/>
      <c r="B2231" s="4"/>
      <c r="C2231" s="4"/>
      <c r="D2231" s="4"/>
      <c r="E2231" s="4"/>
      <c r="F2231" s="4"/>
      <c r="G2231" s="4"/>
    </row>
    <row r="2232">
      <c r="A2232" s="4"/>
      <c r="B2232" s="4"/>
      <c r="C2232" s="4"/>
      <c r="D2232" s="4"/>
      <c r="E2232" s="4"/>
      <c r="F2232" s="4"/>
      <c r="G2232" s="4"/>
    </row>
    <row r="2233">
      <c r="A2233" s="4"/>
      <c r="B2233" s="4"/>
      <c r="C2233" s="4"/>
      <c r="D2233" s="13"/>
      <c r="E2233" s="4"/>
      <c r="F2233" s="4"/>
      <c r="G2233" s="4"/>
    </row>
    <row r="2234">
      <c r="A2234" s="4"/>
      <c r="B2234" s="4"/>
      <c r="C2234" s="4"/>
      <c r="D2234" s="4"/>
      <c r="E2234" s="4"/>
      <c r="F2234" s="4"/>
      <c r="G2234" s="4"/>
    </row>
    <row r="2235">
      <c r="A2235" s="4"/>
      <c r="B2235" s="4"/>
      <c r="C2235" s="4"/>
      <c r="D2235" s="4"/>
      <c r="E2235" s="13"/>
      <c r="F2235" s="4"/>
      <c r="G2235" s="4"/>
    </row>
    <row r="2236">
      <c r="A2236" s="4"/>
      <c r="B2236" s="4"/>
      <c r="C2236" s="4"/>
      <c r="D2236" s="4"/>
      <c r="E2236" s="4"/>
      <c r="F2236" s="4"/>
      <c r="G2236" s="4"/>
    </row>
    <row r="2237">
      <c r="A2237" s="4"/>
      <c r="B2237" s="4"/>
      <c r="C2237" s="4"/>
      <c r="D2237" s="4"/>
      <c r="E2237" s="13"/>
      <c r="F2237" s="4"/>
      <c r="G2237" s="4"/>
    </row>
    <row r="2238">
      <c r="A2238" s="4"/>
      <c r="B2238" s="4"/>
      <c r="C2238" s="4"/>
      <c r="D2238" s="4"/>
      <c r="E2238" s="4"/>
      <c r="F2238" s="4"/>
      <c r="G2238" s="4"/>
    </row>
    <row r="2239">
      <c r="A2239" s="4"/>
      <c r="B2239" s="4"/>
      <c r="C2239" s="4"/>
      <c r="D2239" s="4"/>
      <c r="E2239" s="4"/>
      <c r="F2239" s="4"/>
      <c r="G2239" s="4"/>
    </row>
    <row r="2240">
      <c r="A2240" s="4"/>
      <c r="B2240" s="4"/>
      <c r="C2240" s="4"/>
      <c r="D2240" s="4"/>
      <c r="E2240" s="4"/>
      <c r="F2240" s="4"/>
      <c r="G2240" s="4"/>
    </row>
    <row r="2241">
      <c r="A2241" s="4"/>
      <c r="B2241" s="4"/>
      <c r="C2241" s="4"/>
      <c r="D2241" s="4"/>
      <c r="E2241" s="13"/>
      <c r="F2241" s="4"/>
      <c r="G2241" s="4"/>
    </row>
    <row r="2242">
      <c r="A2242" s="4"/>
      <c r="B2242" s="4"/>
      <c r="C2242" s="4"/>
      <c r="D2242" s="4"/>
      <c r="E2242" s="13"/>
      <c r="F2242" s="4"/>
      <c r="G2242" s="4"/>
    </row>
    <row r="2243">
      <c r="A2243" s="4"/>
      <c r="B2243" s="4"/>
      <c r="C2243" s="4"/>
      <c r="D2243" s="4"/>
      <c r="E2243" s="4"/>
      <c r="F2243" s="4"/>
      <c r="G2243" s="4"/>
    </row>
    <row r="2244">
      <c r="A2244" s="4"/>
      <c r="B2244" s="4"/>
      <c r="C2244" s="4"/>
      <c r="D2244" s="4"/>
      <c r="E2244" s="4"/>
      <c r="F2244" s="4"/>
      <c r="G2244" s="4"/>
    </row>
    <row r="2245">
      <c r="A2245" s="4"/>
      <c r="B2245" s="4"/>
      <c r="C2245" s="4"/>
      <c r="D2245" s="4"/>
      <c r="E2245" s="13"/>
      <c r="F2245" s="4"/>
      <c r="G2245" s="4"/>
    </row>
    <row r="2246">
      <c r="A2246" s="4"/>
      <c r="B2246" s="4"/>
      <c r="C2246" s="4"/>
      <c r="D2246" s="4"/>
      <c r="E2246" s="13"/>
      <c r="F2246" s="4"/>
      <c r="G2246" s="4"/>
    </row>
    <row r="2247">
      <c r="A2247" s="4"/>
      <c r="B2247" s="4"/>
      <c r="C2247" s="4"/>
      <c r="D2247" s="4"/>
      <c r="E2247" s="4"/>
      <c r="F2247" s="4"/>
      <c r="G2247" s="4"/>
    </row>
    <row r="2248">
      <c r="A2248" s="4"/>
      <c r="B2248" s="4"/>
      <c r="C2248" s="4"/>
      <c r="D2248" s="4"/>
      <c r="E2248" s="4"/>
      <c r="F2248" s="4"/>
      <c r="G2248" s="4"/>
    </row>
    <row r="2249">
      <c r="A2249" s="4"/>
      <c r="B2249" s="4"/>
      <c r="C2249" s="4"/>
      <c r="D2249" s="4"/>
      <c r="E2249" s="13"/>
      <c r="F2249" s="4"/>
      <c r="G2249" s="4"/>
    </row>
    <row r="2250">
      <c r="A2250" s="4"/>
      <c r="B2250" s="4"/>
      <c r="C2250" s="4"/>
      <c r="D2250" s="13"/>
      <c r="E2250" s="13"/>
      <c r="F2250" s="4"/>
      <c r="G2250" s="4"/>
    </row>
    <row r="2251">
      <c r="A2251" s="4"/>
      <c r="B2251" s="4"/>
      <c r="C2251" s="4"/>
      <c r="D2251" s="4"/>
      <c r="E2251" s="4"/>
      <c r="F2251" s="4"/>
      <c r="G2251" s="4"/>
    </row>
    <row r="2252">
      <c r="A2252" s="4"/>
      <c r="B2252" s="4"/>
      <c r="C2252" s="4"/>
      <c r="D2252" s="4"/>
      <c r="E2252" s="4"/>
      <c r="F2252" s="4"/>
      <c r="G2252" s="4"/>
    </row>
    <row r="2253">
      <c r="A2253" s="4"/>
      <c r="B2253" s="4"/>
      <c r="C2253" s="4"/>
      <c r="D2253" s="4"/>
      <c r="E2253" s="4"/>
      <c r="F2253" s="4"/>
      <c r="G2253" s="4"/>
    </row>
    <row r="2254">
      <c r="A2254" s="4"/>
      <c r="B2254" s="4"/>
      <c r="C2254" s="4"/>
      <c r="D2254" s="4"/>
      <c r="E2254" s="13"/>
      <c r="F2254" s="4"/>
      <c r="G2254" s="4"/>
    </row>
    <row r="2255">
      <c r="A2255" s="4"/>
      <c r="B2255" s="4"/>
      <c r="C2255" s="4"/>
      <c r="D2255" s="4"/>
      <c r="E2255" s="4"/>
      <c r="F2255" s="4"/>
      <c r="G2255" s="4"/>
    </row>
    <row r="2256">
      <c r="A2256" s="4"/>
      <c r="B2256" s="4"/>
      <c r="C2256" s="4"/>
      <c r="D2256" s="4"/>
      <c r="E2256" s="4"/>
      <c r="F2256" s="4"/>
      <c r="G2256" s="4"/>
    </row>
    <row r="2257">
      <c r="A2257" s="4"/>
      <c r="B2257" s="4"/>
      <c r="C2257" s="4"/>
      <c r="D2257" s="4"/>
      <c r="E2257" s="13"/>
      <c r="F2257" s="4"/>
      <c r="G2257" s="4"/>
    </row>
    <row r="2258">
      <c r="A2258" s="4"/>
      <c r="B2258" s="4"/>
      <c r="C2258" s="4"/>
      <c r="D2258" s="4"/>
      <c r="E2258" s="4"/>
      <c r="F2258" s="4"/>
      <c r="G2258" s="4"/>
    </row>
    <row r="2259">
      <c r="A2259" s="4"/>
      <c r="B2259" s="4"/>
      <c r="C2259" s="4"/>
      <c r="D2259" s="4"/>
      <c r="E2259" s="4"/>
      <c r="F2259" s="4"/>
      <c r="G2259" s="4"/>
    </row>
    <row r="2260">
      <c r="A2260" s="4"/>
      <c r="B2260" s="4"/>
      <c r="C2260" s="4"/>
      <c r="D2260" s="4"/>
      <c r="E2260" s="13"/>
      <c r="F2260" s="4"/>
      <c r="G2260" s="4"/>
    </row>
    <row r="2261">
      <c r="A2261" s="4"/>
      <c r="B2261" s="4"/>
      <c r="C2261" s="4"/>
      <c r="D2261" s="4"/>
      <c r="E2261" s="4"/>
      <c r="F2261" s="4"/>
      <c r="G2261" s="4"/>
    </row>
    <row r="2262">
      <c r="A2262" s="4"/>
      <c r="B2262" s="4"/>
      <c r="C2262" s="4"/>
      <c r="D2262" s="13"/>
      <c r="E2262" s="13"/>
      <c r="F2262" s="4"/>
      <c r="G2262" s="4"/>
    </row>
    <row r="2263">
      <c r="A2263" s="4"/>
      <c r="B2263" s="4"/>
      <c r="C2263" s="4"/>
      <c r="D2263" s="4"/>
      <c r="E2263" s="4"/>
      <c r="F2263" s="4"/>
      <c r="G2263" s="4"/>
    </row>
    <row r="2264">
      <c r="A2264" s="4"/>
      <c r="B2264" s="4"/>
      <c r="C2264" s="4"/>
      <c r="D2264" s="4"/>
      <c r="E2264" s="4"/>
      <c r="F2264" s="4"/>
      <c r="G2264" s="4"/>
    </row>
    <row r="2265">
      <c r="A2265" s="4"/>
      <c r="B2265" s="4"/>
      <c r="C2265" s="4"/>
      <c r="D2265" s="4"/>
      <c r="E2265" s="4"/>
      <c r="F2265" s="4"/>
      <c r="G2265" s="4"/>
    </row>
    <row r="2266">
      <c r="A2266" s="4"/>
      <c r="B2266" s="4"/>
      <c r="C2266" s="4"/>
      <c r="D2266" s="13"/>
      <c r="E2266" s="13"/>
      <c r="F2266" s="4"/>
      <c r="G2266" s="4"/>
    </row>
    <row r="2267">
      <c r="A2267" s="4"/>
      <c r="B2267" s="4"/>
      <c r="C2267" s="4"/>
      <c r="D2267" s="4"/>
      <c r="E2267" s="13"/>
      <c r="F2267" s="4"/>
      <c r="G2267" s="4"/>
    </row>
    <row r="2268">
      <c r="A2268" s="4"/>
      <c r="B2268" s="4"/>
      <c r="C2268" s="4"/>
      <c r="D2268" s="4"/>
      <c r="E2268" s="4"/>
      <c r="F2268" s="4"/>
      <c r="G2268" s="4"/>
    </row>
    <row r="2269">
      <c r="A2269" s="4"/>
      <c r="B2269" s="4"/>
      <c r="C2269" s="4"/>
      <c r="D2269" s="4"/>
      <c r="E2269" s="13"/>
      <c r="F2269" s="4"/>
      <c r="G2269" s="4"/>
    </row>
    <row r="2270">
      <c r="A2270" s="4"/>
      <c r="B2270" s="4"/>
      <c r="C2270" s="4"/>
      <c r="D2270" s="4"/>
      <c r="E2270" s="4"/>
      <c r="F2270" s="4"/>
      <c r="G2270" s="4"/>
    </row>
    <row r="2271">
      <c r="A2271" s="4"/>
      <c r="B2271" s="4"/>
      <c r="C2271" s="4"/>
      <c r="D2271" s="4"/>
      <c r="E2271" s="4"/>
      <c r="F2271" s="4"/>
      <c r="G2271" s="4"/>
    </row>
    <row r="2272">
      <c r="A2272" s="4"/>
      <c r="B2272" s="4"/>
      <c r="C2272" s="4"/>
      <c r="D2272" s="4"/>
      <c r="E2272" s="4"/>
      <c r="F2272" s="4"/>
      <c r="G2272" s="4"/>
    </row>
    <row r="2273">
      <c r="A2273" s="4"/>
      <c r="B2273" s="4"/>
      <c r="C2273" s="4"/>
      <c r="D2273" s="4"/>
      <c r="E2273" s="13"/>
      <c r="F2273" s="4"/>
      <c r="G2273" s="4"/>
    </row>
    <row r="2274">
      <c r="A2274" s="4"/>
      <c r="B2274" s="4"/>
      <c r="C2274" s="4"/>
      <c r="D2274" s="4"/>
      <c r="E2274" s="4"/>
      <c r="F2274" s="4"/>
      <c r="G2274" s="4"/>
    </row>
    <row r="2275">
      <c r="A2275" s="4"/>
      <c r="B2275" s="4"/>
      <c r="C2275" s="4"/>
      <c r="D2275" s="4"/>
      <c r="E2275" s="13"/>
      <c r="F2275" s="4"/>
      <c r="G2275" s="4"/>
    </row>
    <row r="2276">
      <c r="A2276" s="4"/>
      <c r="B2276" s="4"/>
      <c r="C2276" s="4"/>
      <c r="D2276" s="4"/>
      <c r="E2276" s="13"/>
      <c r="F2276" s="4"/>
      <c r="G2276" s="4"/>
    </row>
    <row r="2277">
      <c r="A2277" s="4"/>
      <c r="B2277" s="4"/>
      <c r="C2277" s="4"/>
      <c r="D2277" s="4"/>
      <c r="E2277" s="4"/>
      <c r="F2277" s="4"/>
      <c r="G2277" s="4"/>
    </row>
    <row r="2278">
      <c r="A2278" s="4"/>
      <c r="B2278" s="4"/>
      <c r="C2278" s="4"/>
      <c r="D2278" s="13"/>
      <c r="E2278" s="4"/>
      <c r="F2278" s="4"/>
      <c r="G2278" s="4"/>
    </row>
    <row r="2279">
      <c r="A2279" s="4"/>
      <c r="B2279" s="4"/>
      <c r="C2279" s="4"/>
      <c r="D2279" s="4"/>
      <c r="E2279" s="4"/>
      <c r="F2279" s="4"/>
      <c r="G2279" s="4"/>
    </row>
    <row r="2280">
      <c r="A2280" s="4"/>
      <c r="B2280" s="4"/>
      <c r="C2280" s="4"/>
      <c r="D2280" s="4"/>
      <c r="E2280" s="13"/>
      <c r="F2280" s="4"/>
      <c r="G2280" s="4"/>
    </row>
    <row r="2281">
      <c r="A2281" s="4"/>
      <c r="B2281" s="4"/>
      <c r="C2281" s="4"/>
      <c r="D2281" s="4"/>
      <c r="E2281" s="4"/>
      <c r="F2281" s="4"/>
      <c r="G2281" s="4"/>
    </row>
    <row r="2282">
      <c r="A2282" s="4"/>
      <c r="B2282" s="4"/>
      <c r="C2282" s="4"/>
      <c r="D2282" s="4"/>
      <c r="E2282" s="13"/>
      <c r="F2282" s="4"/>
      <c r="G2282" s="4"/>
    </row>
    <row r="2283">
      <c r="A2283" s="4"/>
      <c r="B2283" s="4"/>
      <c r="C2283" s="4"/>
      <c r="D2283" s="4"/>
      <c r="E2283" s="4"/>
      <c r="F2283" s="4"/>
      <c r="G2283" s="4"/>
    </row>
    <row r="2284">
      <c r="A2284" s="4"/>
      <c r="B2284" s="4"/>
      <c r="C2284" s="4"/>
      <c r="D2284" s="4"/>
      <c r="E2284" s="13"/>
      <c r="F2284" s="4"/>
      <c r="G2284" s="4"/>
    </row>
    <row r="2285">
      <c r="A2285" s="4"/>
      <c r="B2285" s="4"/>
      <c r="C2285" s="4"/>
      <c r="D2285" s="4"/>
      <c r="E2285" s="4"/>
      <c r="F2285" s="4"/>
      <c r="G2285" s="4"/>
    </row>
    <row r="2286">
      <c r="A2286" s="4"/>
      <c r="B2286" s="4"/>
      <c r="C2286" s="4"/>
      <c r="D2286" s="4"/>
      <c r="E2286" s="13"/>
      <c r="F2286" s="4"/>
      <c r="G2286" s="4"/>
    </row>
    <row r="2287">
      <c r="A2287" s="4"/>
      <c r="B2287" s="4"/>
      <c r="C2287" s="4"/>
      <c r="D2287" s="4"/>
      <c r="E2287" s="4"/>
      <c r="F2287" s="4"/>
      <c r="G2287" s="4"/>
    </row>
    <row r="2288">
      <c r="A2288" s="4"/>
      <c r="B2288" s="4"/>
      <c r="C2288" s="4"/>
      <c r="D2288" s="4"/>
      <c r="E2288" s="4"/>
      <c r="F2288" s="4"/>
      <c r="G2288" s="4"/>
    </row>
    <row r="2289">
      <c r="A2289" s="4"/>
      <c r="B2289" s="4"/>
      <c r="C2289" s="4"/>
      <c r="D2289" s="4"/>
      <c r="E2289" s="13"/>
      <c r="F2289" s="4"/>
      <c r="G2289" s="4"/>
    </row>
    <row r="2290">
      <c r="A2290" s="4"/>
      <c r="B2290" s="4"/>
      <c r="C2290" s="4"/>
      <c r="D2290" s="4"/>
      <c r="E2290" s="13"/>
      <c r="F2290" s="4"/>
      <c r="G2290" s="4"/>
    </row>
    <row r="2291">
      <c r="A2291" s="4"/>
      <c r="B2291" s="4"/>
      <c r="C2291" s="4"/>
      <c r="D2291" s="4"/>
      <c r="E2291" s="13"/>
      <c r="F2291" s="4"/>
      <c r="G2291" s="4"/>
    </row>
    <row r="2292">
      <c r="A2292" s="4"/>
      <c r="B2292" s="4"/>
      <c r="C2292" s="4"/>
      <c r="D2292" s="4"/>
      <c r="E2292" s="4"/>
      <c r="F2292" s="4"/>
      <c r="G2292" s="4"/>
    </row>
    <row r="2293">
      <c r="A2293" s="4"/>
      <c r="B2293" s="4"/>
      <c r="C2293" s="4"/>
      <c r="D2293" s="4"/>
      <c r="E2293" s="4"/>
      <c r="F2293" s="4"/>
      <c r="G2293" s="4"/>
    </row>
    <row r="2294">
      <c r="A2294" s="4"/>
      <c r="B2294" s="4"/>
      <c r="C2294" s="4"/>
      <c r="D2294" s="13"/>
      <c r="E2294" s="13"/>
      <c r="F2294" s="4"/>
      <c r="G2294" s="4"/>
    </row>
    <row r="2295">
      <c r="A2295" s="4"/>
      <c r="B2295" s="4"/>
      <c r="C2295" s="4"/>
      <c r="D2295" s="13"/>
      <c r="E2295" s="13"/>
      <c r="F2295" s="4"/>
      <c r="G2295" s="4"/>
    </row>
    <row r="2296">
      <c r="A2296" s="4"/>
      <c r="B2296" s="4"/>
      <c r="C2296" s="4"/>
      <c r="D2296" s="4"/>
      <c r="E2296" s="4"/>
      <c r="F2296" s="4"/>
      <c r="G2296" s="4"/>
    </row>
    <row r="2297">
      <c r="A2297" s="4"/>
      <c r="B2297" s="4"/>
      <c r="C2297" s="4"/>
      <c r="D2297" s="4"/>
      <c r="E2297" s="13"/>
      <c r="F2297" s="4"/>
      <c r="G2297" s="4"/>
    </row>
    <row r="2298">
      <c r="A2298" s="4"/>
      <c r="B2298" s="4"/>
      <c r="C2298" s="4"/>
      <c r="D2298" s="4"/>
      <c r="E2298" s="4"/>
      <c r="F2298" s="4"/>
      <c r="G2298" s="4"/>
    </row>
    <row r="2299">
      <c r="A2299" s="4"/>
      <c r="B2299" s="4"/>
      <c r="C2299" s="4"/>
      <c r="D2299" s="4"/>
      <c r="E2299" s="13"/>
      <c r="F2299" s="4"/>
      <c r="G2299" s="4"/>
    </row>
    <row r="2300">
      <c r="A2300" s="4"/>
      <c r="B2300" s="4"/>
      <c r="C2300" s="4"/>
      <c r="D2300" s="4"/>
      <c r="E2300" s="4"/>
      <c r="F2300" s="4"/>
      <c r="G2300" s="4"/>
    </row>
    <row r="2301">
      <c r="A2301" s="4"/>
      <c r="B2301" s="4"/>
      <c r="C2301" s="4"/>
      <c r="D2301" s="13"/>
      <c r="E2301" s="13"/>
      <c r="F2301" s="4"/>
      <c r="G2301" s="4"/>
    </row>
    <row r="2302">
      <c r="A2302" s="4"/>
      <c r="B2302" s="4"/>
      <c r="C2302" s="4"/>
      <c r="D2302" s="13"/>
      <c r="E2302" s="13"/>
      <c r="F2302" s="4"/>
      <c r="G2302" s="4"/>
    </row>
    <row r="2303">
      <c r="A2303" s="4"/>
      <c r="B2303" s="4"/>
      <c r="C2303" s="4"/>
      <c r="D2303" s="4"/>
      <c r="E2303" s="4"/>
      <c r="F2303" s="4"/>
      <c r="G2303" s="4"/>
    </row>
    <row r="2304">
      <c r="A2304" s="4"/>
      <c r="B2304" s="4"/>
      <c r="C2304" s="4"/>
      <c r="D2304" s="4"/>
      <c r="E2304" s="13"/>
      <c r="F2304" s="4"/>
      <c r="G2304" s="4"/>
    </row>
    <row r="2305">
      <c r="A2305" s="4"/>
      <c r="B2305" s="4"/>
      <c r="C2305" s="4"/>
      <c r="D2305" s="4"/>
      <c r="E2305" s="4"/>
      <c r="F2305" s="4"/>
      <c r="G2305" s="4"/>
    </row>
    <row r="2306">
      <c r="A2306" s="4"/>
      <c r="B2306" s="4"/>
      <c r="C2306" s="4"/>
      <c r="D2306" s="4"/>
      <c r="E2306" s="4"/>
      <c r="F2306" s="4"/>
      <c r="G2306" s="4"/>
    </row>
    <row r="2307">
      <c r="A2307" s="4"/>
      <c r="B2307" s="4"/>
      <c r="C2307" s="4"/>
      <c r="D2307" s="4"/>
      <c r="E2307" s="13"/>
      <c r="F2307" s="4"/>
      <c r="G2307" s="4"/>
    </row>
    <row r="2308">
      <c r="A2308" s="4"/>
      <c r="B2308" s="4"/>
      <c r="C2308" s="4"/>
      <c r="D2308" s="4"/>
      <c r="E2308" s="13"/>
      <c r="F2308" s="4"/>
      <c r="G2308" s="4"/>
    </row>
    <row r="2309">
      <c r="A2309" s="4"/>
      <c r="B2309" s="4"/>
      <c r="C2309" s="4"/>
      <c r="D2309" s="4"/>
      <c r="E2309" s="4"/>
      <c r="F2309" s="4"/>
      <c r="G2309" s="4"/>
    </row>
    <row r="2310">
      <c r="A2310" s="4"/>
      <c r="B2310" s="4"/>
      <c r="C2310" s="4"/>
      <c r="D2310" s="4"/>
      <c r="E2310" s="13"/>
      <c r="F2310" s="4"/>
      <c r="G2310" s="4"/>
    </row>
    <row r="2311">
      <c r="A2311" s="4"/>
      <c r="B2311" s="4"/>
      <c r="C2311" s="4"/>
      <c r="D2311" s="4"/>
      <c r="E2311" s="4"/>
      <c r="F2311" s="4"/>
      <c r="G2311" s="4"/>
    </row>
    <row r="2312">
      <c r="A2312" s="4"/>
      <c r="B2312" s="4"/>
      <c r="C2312" s="4"/>
      <c r="D2312" s="4"/>
      <c r="E2312" s="13"/>
      <c r="F2312" s="4"/>
      <c r="G2312" s="4"/>
    </row>
    <row r="2313">
      <c r="A2313" s="4"/>
      <c r="B2313" s="4"/>
      <c r="C2313" s="4"/>
      <c r="D2313" s="4"/>
      <c r="E2313" s="4"/>
      <c r="F2313" s="4"/>
      <c r="G2313" s="4"/>
    </row>
    <row r="2314">
      <c r="A2314" s="4"/>
      <c r="B2314" s="4"/>
      <c r="C2314" s="4"/>
      <c r="D2314" s="4"/>
      <c r="E2314" s="4"/>
      <c r="F2314" s="4"/>
      <c r="G2314" s="4"/>
    </row>
    <row r="2315">
      <c r="A2315" s="4"/>
      <c r="B2315" s="4"/>
      <c r="C2315" s="4"/>
      <c r="D2315" s="4"/>
      <c r="E2315" s="4"/>
      <c r="F2315" s="4"/>
      <c r="G2315" s="4"/>
    </row>
    <row r="2316">
      <c r="A2316" s="4"/>
      <c r="B2316" s="4"/>
      <c r="C2316" s="4"/>
      <c r="D2316" s="4"/>
      <c r="E2316" s="4"/>
      <c r="F2316" s="4"/>
      <c r="G2316" s="4"/>
    </row>
    <row r="2317">
      <c r="A2317" s="4"/>
      <c r="B2317" s="4"/>
      <c r="C2317" s="4"/>
      <c r="D2317" s="4"/>
      <c r="E2317" s="4"/>
      <c r="F2317" s="4"/>
      <c r="G2317" s="4"/>
    </row>
    <row r="2318">
      <c r="A2318" s="4"/>
      <c r="B2318" s="4"/>
      <c r="C2318" s="4"/>
      <c r="D2318" s="4"/>
      <c r="E2318" s="13"/>
      <c r="F2318" s="4"/>
      <c r="G2318" s="4"/>
    </row>
    <row r="2319">
      <c r="A2319" s="4"/>
      <c r="B2319" s="4"/>
      <c r="C2319" s="4"/>
      <c r="D2319" s="4"/>
      <c r="E2319" s="4"/>
      <c r="F2319" s="4"/>
      <c r="G2319" s="4"/>
    </row>
    <row r="2320">
      <c r="A2320" s="4"/>
      <c r="B2320" s="4"/>
      <c r="C2320" s="4"/>
      <c r="D2320" s="4"/>
      <c r="E2320" s="4"/>
      <c r="F2320" s="4"/>
      <c r="G2320" s="4"/>
    </row>
    <row r="2321">
      <c r="A2321" s="4"/>
      <c r="B2321" s="4"/>
      <c r="C2321" s="4"/>
      <c r="D2321" s="4"/>
      <c r="E2321" s="4"/>
      <c r="F2321" s="4"/>
      <c r="G2321" s="4"/>
    </row>
    <row r="2322">
      <c r="A2322" s="4"/>
      <c r="B2322" s="4"/>
      <c r="C2322" s="4"/>
      <c r="D2322" s="4"/>
      <c r="E2322" s="13"/>
      <c r="F2322" s="4"/>
      <c r="G2322" s="4"/>
    </row>
    <row r="2323">
      <c r="A2323" s="4"/>
      <c r="B2323" s="4"/>
      <c r="C2323" s="4"/>
      <c r="D2323" s="4"/>
      <c r="E2323" s="4"/>
      <c r="F2323" s="4"/>
      <c r="G2323" s="4"/>
    </row>
    <row r="2324">
      <c r="A2324" s="4"/>
      <c r="B2324" s="4"/>
      <c r="C2324" s="4"/>
      <c r="D2324" s="4"/>
      <c r="E2324" s="4"/>
      <c r="F2324" s="4"/>
      <c r="G2324" s="4"/>
    </row>
    <row r="2325">
      <c r="A2325" s="4"/>
      <c r="B2325" s="4"/>
      <c r="C2325" s="4"/>
      <c r="D2325" s="4"/>
      <c r="E2325" s="13"/>
      <c r="F2325" s="4"/>
      <c r="G2325" s="4"/>
    </row>
    <row r="2326">
      <c r="A2326" s="4"/>
      <c r="B2326" s="4"/>
      <c r="C2326" s="4"/>
      <c r="D2326" s="4"/>
      <c r="E2326" s="4"/>
      <c r="F2326" s="4"/>
      <c r="G2326" s="4"/>
    </row>
    <row r="2327">
      <c r="A2327" s="4"/>
      <c r="B2327" s="4"/>
      <c r="C2327" s="4"/>
      <c r="D2327" s="4"/>
      <c r="E2327" s="13"/>
      <c r="F2327" s="4"/>
      <c r="G2327" s="4"/>
    </row>
    <row r="2328">
      <c r="A2328" s="4"/>
      <c r="B2328" s="4"/>
      <c r="C2328" s="4"/>
      <c r="D2328" s="4"/>
      <c r="E2328" s="4"/>
      <c r="F2328" s="4"/>
      <c r="G2328" s="4"/>
    </row>
    <row r="2329">
      <c r="A2329" s="4"/>
      <c r="B2329" s="4"/>
      <c r="C2329" s="4"/>
      <c r="D2329" s="4"/>
      <c r="E2329" s="4"/>
      <c r="F2329" s="4"/>
      <c r="G2329" s="4"/>
    </row>
    <row r="2330">
      <c r="A2330" s="4"/>
      <c r="B2330" s="4"/>
      <c r="C2330" s="4"/>
      <c r="D2330" s="4"/>
      <c r="E2330" s="13"/>
      <c r="F2330" s="4"/>
      <c r="G2330" s="4"/>
    </row>
    <row r="2331">
      <c r="A2331" s="4"/>
      <c r="B2331" s="4"/>
      <c r="C2331" s="4"/>
      <c r="D2331" s="4"/>
      <c r="E2331" s="13"/>
      <c r="F2331" s="4"/>
      <c r="G2331" s="4"/>
    </row>
    <row r="2332">
      <c r="A2332" s="4"/>
      <c r="B2332" s="4"/>
      <c r="C2332" s="4"/>
      <c r="D2332" s="4"/>
      <c r="E2332" s="13"/>
      <c r="F2332" s="4"/>
      <c r="G2332" s="4"/>
    </row>
    <row r="2333">
      <c r="A2333" s="4"/>
      <c r="B2333" s="4"/>
      <c r="C2333" s="4"/>
      <c r="D2333" s="4"/>
      <c r="E2333" s="4"/>
      <c r="F2333" s="4"/>
      <c r="G2333" s="4"/>
    </row>
    <row r="2334">
      <c r="A2334" s="4"/>
      <c r="B2334" s="4"/>
      <c r="C2334" s="4"/>
      <c r="D2334" s="4"/>
      <c r="E2334" s="4"/>
      <c r="F2334" s="4"/>
      <c r="G2334" s="4"/>
    </row>
    <row r="2335">
      <c r="A2335" s="4"/>
      <c r="B2335" s="4"/>
      <c r="C2335" s="4"/>
      <c r="D2335" s="4"/>
      <c r="E2335" s="4"/>
      <c r="F2335" s="4"/>
      <c r="G2335" s="4"/>
    </row>
    <row r="2336">
      <c r="A2336" s="4"/>
      <c r="B2336" s="4"/>
      <c r="C2336" s="4"/>
      <c r="D2336" s="4"/>
      <c r="E2336" s="4"/>
      <c r="F2336" s="4"/>
      <c r="G2336" s="4"/>
    </row>
    <row r="2337">
      <c r="A2337" s="4"/>
      <c r="B2337" s="4"/>
      <c r="C2337" s="4"/>
      <c r="D2337" s="4"/>
      <c r="E2337" s="4"/>
      <c r="F2337" s="4"/>
      <c r="G2337" s="4"/>
    </row>
    <row r="2338">
      <c r="A2338" s="4"/>
      <c r="B2338" s="4"/>
      <c r="C2338" s="4"/>
      <c r="D2338" s="4"/>
      <c r="E2338" s="4"/>
      <c r="F2338" s="4"/>
      <c r="G2338" s="4"/>
    </row>
    <row r="2339">
      <c r="A2339" s="4"/>
      <c r="B2339" s="4"/>
      <c r="C2339" s="4"/>
      <c r="D2339" s="4"/>
      <c r="E2339" s="4"/>
      <c r="F2339" s="4"/>
      <c r="G2339" s="4"/>
    </row>
    <row r="2340">
      <c r="A2340" s="4"/>
      <c r="B2340" s="4"/>
      <c r="C2340" s="4"/>
      <c r="D2340" s="4"/>
      <c r="E2340" s="13"/>
      <c r="F2340" s="4"/>
      <c r="G2340" s="4"/>
    </row>
    <row r="2341">
      <c r="A2341" s="4"/>
      <c r="B2341" s="4"/>
      <c r="C2341" s="4"/>
      <c r="D2341" s="4"/>
      <c r="E2341" s="4"/>
      <c r="F2341" s="4"/>
      <c r="G2341" s="4"/>
    </row>
    <row r="2342">
      <c r="A2342" s="4"/>
      <c r="B2342" s="4"/>
      <c r="C2342" s="4"/>
      <c r="D2342" s="4"/>
      <c r="E2342" s="4"/>
      <c r="F2342" s="4"/>
      <c r="G2342" s="4"/>
    </row>
    <row r="2343">
      <c r="A2343" s="4"/>
      <c r="B2343" s="4"/>
      <c r="C2343" s="4"/>
      <c r="D2343" s="4"/>
      <c r="E2343" s="4"/>
      <c r="F2343" s="4"/>
      <c r="G2343" s="4"/>
    </row>
    <row r="2344">
      <c r="A2344" s="4"/>
      <c r="B2344" s="4"/>
      <c r="C2344" s="4"/>
      <c r="D2344" s="4"/>
      <c r="E2344" s="4"/>
      <c r="F2344" s="4"/>
      <c r="G2344" s="4"/>
    </row>
    <row r="2345">
      <c r="A2345" s="4"/>
      <c r="B2345" s="4"/>
      <c r="C2345" s="4"/>
      <c r="D2345" s="4"/>
      <c r="E2345" s="4"/>
      <c r="F2345" s="4"/>
      <c r="G2345" s="4"/>
    </row>
    <row r="2346">
      <c r="A2346" s="4"/>
      <c r="B2346" s="4"/>
      <c r="C2346" s="4"/>
      <c r="D2346" s="4"/>
      <c r="E2346" s="13"/>
      <c r="F2346" s="4"/>
      <c r="G2346" s="4"/>
    </row>
    <row r="2347">
      <c r="A2347" s="4"/>
      <c r="B2347" s="4"/>
      <c r="C2347" s="4"/>
      <c r="D2347" s="4"/>
      <c r="E2347" s="4"/>
      <c r="F2347" s="4"/>
      <c r="G2347" s="4"/>
    </row>
    <row r="2348">
      <c r="A2348" s="4"/>
      <c r="B2348" s="4"/>
      <c r="C2348" s="4"/>
      <c r="D2348" s="4"/>
      <c r="E2348" s="13"/>
      <c r="F2348" s="4"/>
      <c r="G2348" s="4"/>
    </row>
    <row r="2349">
      <c r="A2349" s="4"/>
      <c r="B2349" s="4"/>
      <c r="C2349" s="4"/>
      <c r="D2349" s="13"/>
      <c r="E2349" s="13"/>
      <c r="F2349" s="4"/>
      <c r="G2349" s="4"/>
    </row>
    <row r="2350">
      <c r="A2350" s="4"/>
      <c r="B2350" s="4"/>
      <c r="C2350" s="4"/>
      <c r="D2350" s="13"/>
      <c r="E2350" s="13"/>
      <c r="F2350" s="4"/>
      <c r="G2350" s="4"/>
    </row>
    <row r="2351">
      <c r="A2351" s="4"/>
      <c r="B2351" s="4"/>
      <c r="C2351" s="4"/>
      <c r="D2351" s="4"/>
      <c r="E2351" s="13"/>
      <c r="F2351" s="4"/>
      <c r="G2351" s="4"/>
    </row>
    <row r="2352">
      <c r="A2352" s="4"/>
      <c r="B2352" s="4"/>
      <c r="C2352" s="4"/>
      <c r="D2352" s="4"/>
      <c r="E2352" s="4"/>
      <c r="F2352" s="4"/>
      <c r="G2352" s="4"/>
    </row>
    <row r="2353">
      <c r="A2353" s="4"/>
      <c r="B2353" s="4"/>
      <c r="C2353" s="4"/>
      <c r="D2353" s="4"/>
      <c r="E2353" s="4"/>
      <c r="F2353" s="4"/>
      <c r="G2353" s="4"/>
    </row>
    <row r="2354">
      <c r="A2354" s="4"/>
      <c r="B2354" s="4"/>
      <c r="C2354" s="4"/>
      <c r="D2354" s="4"/>
      <c r="E2354" s="13"/>
      <c r="F2354" s="4"/>
      <c r="G2354" s="4"/>
    </row>
    <row r="2355">
      <c r="A2355" s="4"/>
      <c r="B2355" s="4"/>
      <c r="C2355" s="4"/>
      <c r="D2355" s="4"/>
      <c r="E2355" s="4"/>
      <c r="F2355" s="4"/>
      <c r="G2355" s="4"/>
    </row>
    <row r="2356">
      <c r="A2356" s="4"/>
      <c r="B2356" s="4"/>
      <c r="C2356" s="4"/>
      <c r="D2356" s="4"/>
      <c r="E2356" s="4"/>
      <c r="F2356" s="4"/>
      <c r="G2356" s="4"/>
    </row>
    <row r="2357">
      <c r="A2357" s="4"/>
      <c r="B2357" s="4"/>
      <c r="C2357" s="4"/>
      <c r="D2357" s="4"/>
      <c r="E2357" s="4"/>
      <c r="F2357" s="4"/>
      <c r="G2357" s="4"/>
    </row>
    <row r="2358">
      <c r="A2358" s="4"/>
      <c r="B2358" s="4"/>
      <c r="C2358" s="4"/>
      <c r="D2358" s="13"/>
      <c r="E2358" s="13"/>
      <c r="F2358" s="4"/>
      <c r="G2358" s="4"/>
    </row>
    <row r="2359">
      <c r="A2359" s="4"/>
      <c r="B2359" s="4"/>
      <c r="C2359" s="4"/>
      <c r="D2359" s="4"/>
      <c r="E2359" s="13"/>
      <c r="F2359" s="4"/>
      <c r="G2359" s="4"/>
    </row>
    <row r="2360">
      <c r="A2360" s="4"/>
      <c r="B2360" s="4"/>
      <c r="C2360" s="4"/>
      <c r="D2360" s="4"/>
      <c r="E2360" s="4"/>
      <c r="F2360" s="4"/>
      <c r="G2360" s="4"/>
    </row>
    <row r="2361">
      <c r="A2361" s="4"/>
      <c r="B2361" s="4"/>
      <c r="C2361" s="4"/>
      <c r="D2361" s="4"/>
      <c r="E2361" s="4"/>
      <c r="F2361" s="4"/>
      <c r="G2361" s="4"/>
    </row>
    <row r="2362">
      <c r="A2362" s="4"/>
      <c r="B2362" s="4"/>
      <c r="C2362" s="4"/>
      <c r="D2362" s="4"/>
      <c r="E2362" s="4"/>
      <c r="F2362" s="4"/>
      <c r="G2362" s="4"/>
    </row>
    <row r="2363">
      <c r="A2363" s="4"/>
      <c r="B2363" s="4"/>
      <c r="C2363" s="4"/>
      <c r="D2363" s="4"/>
      <c r="E2363" s="4"/>
      <c r="F2363" s="4"/>
      <c r="G2363" s="4"/>
    </row>
    <row r="2364">
      <c r="A2364" s="4"/>
      <c r="B2364" s="4"/>
      <c r="C2364" s="4"/>
      <c r="D2364" s="4"/>
      <c r="E2364" s="4"/>
      <c r="F2364" s="4"/>
      <c r="G2364" s="4"/>
    </row>
    <row r="2365">
      <c r="A2365" s="4"/>
      <c r="B2365" s="4"/>
      <c r="C2365" s="4"/>
      <c r="D2365" s="4"/>
      <c r="E2365" s="4"/>
      <c r="F2365" s="4"/>
      <c r="G2365" s="4"/>
    </row>
    <row r="2366">
      <c r="A2366" s="4"/>
      <c r="B2366" s="4"/>
      <c r="C2366" s="4"/>
      <c r="D2366" s="4"/>
      <c r="E2366" s="4"/>
      <c r="F2366" s="4"/>
      <c r="G2366" s="4"/>
    </row>
    <row r="2367">
      <c r="A2367" s="4"/>
      <c r="B2367" s="4"/>
      <c r="C2367" s="4"/>
      <c r="D2367" s="4"/>
      <c r="E2367" s="4"/>
      <c r="F2367" s="4"/>
      <c r="G2367" s="4"/>
    </row>
    <row r="2368">
      <c r="A2368" s="4"/>
      <c r="B2368" s="4"/>
      <c r="C2368" s="4"/>
      <c r="D2368" s="4"/>
      <c r="E2368" s="4"/>
      <c r="F2368" s="4"/>
      <c r="G2368" s="4"/>
    </row>
    <row r="2369">
      <c r="A2369" s="4"/>
      <c r="B2369" s="4"/>
      <c r="C2369" s="4"/>
      <c r="D2369" s="4"/>
      <c r="E2369" s="4"/>
      <c r="F2369" s="4"/>
      <c r="G2369" s="4"/>
    </row>
    <row r="2370">
      <c r="A2370" s="4"/>
      <c r="B2370" s="4"/>
      <c r="C2370" s="4"/>
      <c r="D2370" s="4"/>
      <c r="E2370" s="13"/>
      <c r="F2370" s="4"/>
      <c r="G2370" s="4"/>
    </row>
    <row r="2371">
      <c r="A2371" s="4"/>
      <c r="B2371" s="4"/>
      <c r="C2371" s="4"/>
      <c r="D2371" s="4"/>
      <c r="E2371" s="13"/>
      <c r="F2371" s="4"/>
      <c r="G2371" s="4"/>
    </row>
    <row r="2372">
      <c r="A2372" s="4"/>
      <c r="B2372" s="4"/>
      <c r="C2372" s="4"/>
      <c r="D2372" s="4"/>
      <c r="E2372" s="4"/>
      <c r="F2372" s="4"/>
      <c r="G2372" s="4"/>
    </row>
    <row r="2373">
      <c r="A2373" s="4"/>
      <c r="B2373" s="4"/>
      <c r="C2373" s="4"/>
      <c r="D2373" s="4"/>
      <c r="E2373" s="13"/>
      <c r="F2373" s="4"/>
      <c r="G2373" s="4"/>
    </row>
    <row r="2374">
      <c r="A2374" s="4"/>
      <c r="B2374" s="4"/>
      <c r="C2374" s="4"/>
      <c r="D2374" s="4"/>
      <c r="E2374" s="4"/>
      <c r="F2374" s="4"/>
      <c r="G2374" s="4"/>
    </row>
    <row r="2375">
      <c r="A2375" s="4"/>
      <c r="B2375" s="4"/>
      <c r="C2375" s="4"/>
      <c r="D2375" s="13"/>
      <c r="E2375" s="13"/>
      <c r="F2375" s="4"/>
      <c r="G2375" s="4"/>
    </row>
    <row r="2376">
      <c r="A2376" s="4"/>
      <c r="B2376" s="4"/>
      <c r="C2376" s="4"/>
      <c r="D2376" s="13"/>
      <c r="E2376" s="13"/>
      <c r="F2376" s="4"/>
      <c r="G2376" s="4"/>
    </row>
    <row r="2377">
      <c r="A2377" s="4"/>
      <c r="B2377" s="4"/>
      <c r="C2377" s="4"/>
      <c r="D2377" s="4"/>
      <c r="E2377" s="13"/>
      <c r="F2377" s="4"/>
      <c r="G2377" s="4"/>
    </row>
    <row r="2378">
      <c r="A2378" s="4"/>
      <c r="B2378" s="4"/>
      <c r="C2378" s="4"/>
      <c r="D2378" s="4"/>
      <c r="E2378" s="4"/>
      <c r="F2378" s="4"/>
      <c r="G2378" s="4"/>
    </row>
    <row r="2379">
      <c r="A2379" s="4"/>
      <c r="B2379" s="4"/>
      <c r="C2379" s="4"/>
      <c r="D2379" s="4"/>
      <c r="E2379" s="4"/>
      <c r="F2379" s="4"/>
      <c r="G2379" s="4"/>
    </row>
    <row r="2380">
      <c r="A2380" s="4"/>
      <c r="B2380" s="4"/>
      <c r="C2380" s="4"/>
      <c r="D2380" s="13"/>
      <c r="E2380" s="13"/>
      <c r="F2380" s="4"/>
      <c r="G2380" s="4"/>
    </row>
    <row r="2381">
      <c r="A2381" s="4"/>
      <c r="B2381" s="4"/>
      <c r="C2381" s="4"/>
      <c r="D2381" s="13"/>
      <c r="E2381" s="13"/>
      <c r="F2381" s="4"/>
      <c r="G2381" s="4"/>
    </row>
    <row r="2382">
      <c r="A2382" s="4"/>
      <c r="B2382" s="4"/>
      <c r="C2382" s="4"/>
      <c r="D2382" s="4"/>
      <c r="E2382" s="13"/>
      <c r="F2382" s="4"/>
      <c r="G2382" s="4"/>
    </row>
    <row r="2383">
      <c r="A2383" s="4"/>
      <c r="B2383" s="4"/>
      <c r="C2383" s="4"/>
      <c r="D2383" s="4"/>
      <c r="E2383" s="4"/>
      <c r="F2383" s="4"/>
      <c r="G2383" s="4"/>
    </row>
    <row r="2384">
      <c r="A2384" s="4"/>
      <c r="B2384" s="4"/>
      <c r="C2384" s="4"/>
      <c r="D2384" s="4"/>
      <c r="E2384" s="4"/>
      <c r="F2384" s="4"/>
      <c r="G2384" s="4"/>
    </row>
    <row r="2385">
      <c r="A2385" s="4"/>
      <c r="B2385" s="4"/>
      <c r="C2385" s="4"/>
      <c r="D2385" s="13"/>
      <c r="E2385" s="13"/>
      <c r="F2385" s="4"/>
      <c r="G2385" s="4"/>
    </row>
    <row r="2386">
      <c r="A2386" s="4"/>
      <c r="B2386" s="4"/>
      <c r="C2386" s="4"/>
      <c r="D2386" s="4"/>
      <c r="E2386" s="4"/>
      <c r="F2386" s="4"/>
      <c r="G2386" s="4"/>
    </row>
    <row r="2387">
      <c r="A2387" s="4"/>
      <c r="B2387" s="4"/>
      <c r="C2387" s="4"/>
      <c r="D2387" s="13"/>
      <c r="E2387" s="13"/>
      <c r="F2387" s="4"/>
      <c r="G2387" s="4"/>
    </row>
    <row r="2388">
      <c r="A2388" s="4"/>
      <c r="B2388" s="4"/>
      <c r="C2388" s="4"/>
      <c r="D2388" s="4"/>
      <c r="E2388" s="4"/>
      <c r="F2388" s="4"/>
      <c r="G2388" s="4"/>
    </row>
    <row r="2389">
      <c r="A2389" s="4"/>
      <c r="B2389" s="4"/>
      <c r="C2389" s="4"/>
      <c r="D2389" s="13"/>
      <c r="E2389" s="13"/>
      <c r="F2389" s="4"/>
      <c r="G2389" s="4"/>
    </row>
    <row r="2390">
      <c r="A2390" s="4"/>
      <c r="B2390" s="4"/>
      <c r="C2390" s="4"/>
      <c r="D2390" s="13"/>
      <c r="E2390" s="13"/>
      <c r="F2390" s="4"/>
      <c r="G2390" s="4"/>
    </row>
    <row r="2391">
      <c r="A2391" s="4"/>
      <c r="B2391" s="4"/>
      <c r="C2391" s="4"/>
      <c r="D2391" s="4"/>
      <c r="E2391" s="4"/>
      <c r="F2391" s="4"/>
      <c r="G2391" s="4"/>
    </row>
    <row r="2392">
      <c r="A2392" s="4"/>
      <c r="B2392" s="4"/>
      <c r="C2392" s="4"/>
      <c r="D2392" s="13"/>
      <c r="E2392" s="13"/>
      <c r="F2392" s="4"/>
      <c r="G2392" s="4"/>
    </row>
    <row r="2393">
      <c r="A2393" s="4"/>
      <c r="B2393" s="4"/>
      <c r="C2393" s="4"/>
      <c r="D2393" s="4"/>
      <c r="E2393" s="13"/>
      <c r="F2393" s="4"/>
      <c r="G2393" s="4"/>
    </row>
    <row r="2394">
      <c r="A2394" s="4"/>
      <c r="B2394" s="4"/>
      <c r="C2394" s="4"/>
      <c r="D2394" s="4"/>
      <c r="E2394" s="4"/>
      <c r="F2394" s="4"/>
      <c r="G2394" s="4"/>
    </row>
    <row r="2395">
      <c r="A2395" s="4"/>
      <c r="B2395" s="4"/>
      <c r="C2395" s="4"/>
      <c r="D2395" s="4"/>
      <c r="E2395" s="13"/>
      <c r="F2395" s="4"/>
      <c r="G2395" s="4"/>
    </row>
    <row r="2396">
      <c r="A2396" s="4"/>
      <c r="B2396" s="4"/>
      <c r="C2396" s="4"/>
      <c r="D2396" s="4"/>
      <c r="E2396" s="13"/>
      <c r="F2396" s="4"/>
      <c r="G2396" s="4"/>
    </row>
    <row r="2397">
      <c r="A2397" s="4"/>
      <c r="B2397" s="4"/>
      <c r="C2397" s="4"/>
      <c r="D2397" s="4"/>
      <c r="E2397" s="4"/>
      <c r="F2397" s="4"/>
      <c r="G2397" s="4"/>
    </row>
    <row r="2398">
      <c r="A2398" s="4"/>
      <c r="B2398" s="4"/>
      <c r="C2398" s="4"/>
      <c r="D2398" s="4"/>
      <c r="E2398" s="13"/>
      <c r="F2398" s="4"/>
      <c r="G2398" s="4"/>
    </row>
    <row r="2399">
      <c r="A2399" s="4"/>
      <c r="B2399" s="4"/>
      <c r="C2399" s="4"/>
      <c r="D2399" s="4"/>
      <c r="E2399" s="4"/>
      <c r="F2399" s="4"/>
      <c r="G2399" s="4"/>
    </row>
    <row r="2400">
      <c r="A2400" s="4"/>
      <c r="B2400" s="4"/>
      <c r="C2400" s="4"/>
      <c r="D2400" s="13"/>
      <c r="E2400" s="13"/>
      <c r="F2400" s="4"/>
      <c r="G2400" s="4"/>
    </row>
    <row r="2401">
      <c r="A2401" s="4"/>
      <c r="B2401" s="4"/>
      <c r="C2401" s="4"/>
      <c r="D2401" s="4"/>
      <c r="E2401" s="4"/>
      <c r="F2401" s="4"/>
      <c r="G2401" s="4"/>
    </row>
    <row r="2402">
      <c r="A2402" s="4"/>
      <c r="B2402" s="4"/>
      <c r="C2402" s="4"/>
      <c r="D2402" s="4"/>
      <c r="E2402" s="4"/>
      <c r="F2402" s="4"/>
      <c r="G2402" s="4"/>
    </row>
    <row r="2403">
      <c r="A2403" s="4"/>
      <c r="B2403" s="4"/>
      <c r="C2403" s="4"/>
      <c r="D2403" s="4"/>
      <c r="E2403" s="4"/>
      <c r="F2403" s="4"/>
      <c r="G2403" s="4"/>
    </row>
    <row r="2404">
      <c r="A2404" s="4"/>
      <c r="B2404" s="4"/>
      <c r="C2404" s="4"/>
      <c r="D2404" s="4"/>
      <c r="E2404" s="4"/>
      <c r="F2404" s="4"/>
      <c r="G2404" s="4"/>
    </row>
    <row r="2405">
      <c r="A2405" s="4"/>
      <c r="B2405" s="4"/>
      <c r="C2405" s="4"/>
      <c r="D2405" s="13"/>
      <c r="E2405" s="13"/>
      <c r="F2405" s="4"/>
      <c r="G2405" s="4"/>
    </row>
    <row r="2406">
      <c r="A2406" s="4"/>
      <c r="B2406" s="4"/>
      <c r="C2406" s="4"/>
      <c r="D2406" s="13"/>
      <c r="E2406" s="13"/>
      <c r="F2406" s="4"/>
      <c r="G2406" s="4"/>
    </row>
    <row r="2407">
      <c r="A2407" s="4"/>
      <c r="B2407" s="4"/>
      <c r="C2407" s="4"/>
      <c r="D2407" s="4"/>
      <c r="E2407" s="4"/>
      <c r="F2407" s="4"/>
      <c r="G2407" s="4"/>
    </row>
    <row r="2408">
      <c r="A2408" s="4"/>
      <c r="B2408" s="4"/>
      <c r="C2408" s="4"/>
      <c r="D2408" s="4"/>
      <c r="E2408" s="4"/>
      <c r="F2408" s="4"/>
      <c r="G2408" s="4"/>
    </row>
    <row r="2409">
      <c r="A2409" s="4"/>
      <c r="B2409" s="4"/>
      <c r="C2409" s="4"/>
      <c r="D2409" s="13"/>
      <c r="E2409" s="13"/>
      <c r="F2409" s="4"/>
      <c r="G2409" s="4"/>
    </row>
    <row r="2410">
      <c r="A2410" s="4"/>
      <c r="B2410" s="4"/>
      <c r="C2410" s="4"/>
      <c r="D2410" s="4"/>
      <c r="E2410" s="4"/>
      <c r="F2410" s="4"/>
      <c r="G2410" s="4"/>
    </row>
    <row r="2411">
      <c r="A2411" s="4"/>
      <c r="B2411" s="4"/>
      <c r="C2411" s="4"/>
      <c r="D2411" s="4"/>
      <c r="E2411" s="13"/>
      <c r="F2411" s="4"/>
      <c r="G2411" s="4"/>
    </row>
    <row r="2412">
      <c r="A2412" s="4"/>
      <c r="B2412" s="4"/>
      <c r="C2412" s="4"/>
      <c r="D2412" s="4"/>
      <c r="E2412" s="4"/>
      <c r="F2412" s="4"/>
      <c r="G2412" s="4"/>
    </row>
    <row r="2413">
      <c r="A2413" s="4"/>
      <c r="B2413" s="4"/>
      <c r="C2413" s="4"/>
      <c r="D2413" s="4"/>
      <c r="E2413" s="13"/>
      <c r="F2413" s="4"/>
      <c r="G2413" s="4"/>
    </row>
    <row r="2414">
      <c r="A2414" s="4"/>
      <c r="B2414" s="4"/>
      <c r="C2414" s="4"/>
      <c r="D2414" s="4"/>
      <c r="E2414" s="4"/>
      <c r="F2414" s="4"/>
      <c r="G2414" s="4"/>
    </row>
    <row r="2415">
      <c r="A2415" s="4"/>
      <c r="B2415" s="4"/>
      <c r="C2415" s="4"/>
      <c r="D2415" s="4"/>
      <c r="E2415" s="4"/>
      <c r="F2415" s="4"/>
      <c r="G2415" s="4"/>
    </row>
    <row r="2416">
      <c r="A2416" s="4"/>
      <c r="B2416" s="4"/>
      <c r="C2416" s="4"/>
      <c r="D2416" s="4"/>
      <c r="E2416" s="4"/>
      <c r="F2416" s="4"/>
      <c r="G2416" s="4"/>
    </row>
    <row r="2417">
      <c r="A2417" s="4"/>
      <c r="B2417" s="4"/>
      <c r="C2417" s="4"/>
      <c r="D2417" s="4"/>
      <c r="E2417" s="4"/>
      <c r="F2417" s="4"/>
      <c r="G2417" s="4"/>
    </row>
    <row r="2418">
      <c r="A2418" s="4"/>
      <c r="B2418" s="4"/>
      <c r="C2418" s="4"/>
      <c r="D2418" s="4"/>
      <c r="E2418" s="13"/>
      <c r="F2418" s="4"/>
      <c r="G2418" s="4"/>
    </row>
    <row r="2419">
      <c r="A2419" s="4"/>
      <c r="B2419" s="4"/>
      <c r="C2419" s="4"/>
      <c r="D2419" s="4"/>
      <c r="E2419" s="4"/>
      <c r="F2419" s="4"/>
      <c r="G2419" s="4"/>
    </row>
    <row r="2420">
      <c r="A2420" s="4"/>
      <c r="B2420" s="4"/>
      <c r="C2420" s="4"/>
      <c r="D2420" s="4"/>
      <c r="E2420" s="4"/>
      <c r="F2420" s="4"/>
      <c r="G2420" s="4"/>
    </row>
    <row r="2421">
      <c r="A2421" s="4"/>
      <c r="B2421" s="4"/>
      <c r="C2421" s="4"/>
      <c r="D2421" s="4"/>
      <c r="E2421" s="4"/>
      <c r="F2421" s="4"/>
      <c r="G2421" s="4"/>
    </row>
    <row r="2422">
      <c r="A2422" s="4"/>
      <c r="B2422" s="4"/>
      <c r="C2422" s="4"/>
      <c r="D2422" s="4"/>
      <c r="E2422" s="4"/>
      <c r="F2422" s="4"/>
      <c r="G2422" s="4"/>
    </row>
    <row r="2423">
      <c r="A2423" s="4"/>
      <c r="B2423" s="4"/>
      <c r="C2423" s="4"/>
      <c r="D2423" s="4"/>
      <c r="E2423" s="4"/>
      <c r="F2423" s="4"/>
      <c r="G2423" s="4"/>
    </row>
    <row r="2424">
      <c r="A2424" s="4"/>
      <c r="B2424" s="4"/>
      <c r="C2424" s="4"/>
      <c r="D2424" s="4"/>
      <c r="E2424" s="13"/>
      <c r="F2424" s="4"/>
      <c r="G2424" s="4"/>
    </row>
    <row r="2425">
      <c r="A2425" s="4"/>
      <c r="B2425" s="4"/>
      <c r="C2425" s="4"/>
      <c r="D2425" s="4"/>
      <c r="E2425" s="4"/>
      <c r="F2425" s="4"/>
      <c r="G2425" s="4"/>
    </row>
    <row r="2426">
      <c r="A2426" s="4"/>
      <c r="B2426" s="4"/>
      <c r="C2426" s="4"/>
      <c r="D2426" s="4"/>
      <c r="E2426" s="4"/>
      <c r="F2426" s="4"/>
      <c r="G2426" s="4"/>
    </row>
    <row r="2427">
      <c r="A2427" s="4"/>
      <c r="B2427" s="4"/>
      <c r="C2427" s="4"/>
      <c r="D2427" s="4"/>
      <c r="E2427" s="4"/>
      <c r="F2427" s="4"/>
      <c r="G2427" s="4"/>
    </row>
    <row r="2428">
      <c r="A2428" s="4"/>
      <c r="B2428" s="4"/>
      <c r="C2428" s="4"/>
      <c r="D2428" s="4"/>
      <c r="E2428" s="13"/>
      <c r="F2428" s="4"/>
      <c r="G2428" s="4"/>
    </row>
    <row r="2429">
      <c r="A2429" s="4"/>
      <c r="B2429" s="4"/>
      <c r="C2429" s="4"/>
      <c r="D2429" s="4"/>
      <c r="E2429" s="13"/>
      <c r="F2429" s="4"/>
      <c r="G2429" s="4"/>
    </row>
    <row r="2430">
      <c r="A2430" s="4"/>
      <c r="B2430" s="4"/>
      <c r="C2430" s="4"/>
      <c r="D2430" s="4"/>
      <c r="E2430" s="4"/>
      <c r="F2430" s="4"/>
      <c r="G2430" s="4"/>
    </row>
    <row r="2431">
      <c r="A2431" s="4"/>
      <c r="B2431" s="4"/>
      <c r="C2431" s="4"/>
      <c r="D2431" s="4"/>
      <c r="E2431" s="13"/>
      <c r="F2431" s="4"/>
      <c r="G2431" s="4"/>
    </row>
    <row r="2432">
      <c r="A2432" s="4"/>
      <c r="B2432" s="4"/>
      <c r="C2432" s="4"/>
      <c r="D2432" s="4"/>
      <c r="E2432" s="4"/>
      <c r="F2432" s="4"/>
      <c r="G2432" s="4"/>
    </row>
    <row r="2433">
      <c r="A2433" s="4"/>
      <c r="B2433" s="4"/>
      <c r="C2433" s="4"/>
      <c r="D2433" s="4"/>
      <c r="E2433" s="4"/>
      <c r="F2433" s="4"/>
      <c r="G2433" s="4"/>
    </row>
    <row r="2434">
      <c r="A2434" s="4"/>
      <c r="B2434" s="4"/>
      <c r="C2434" s="4"/>
      <c r="D2434" s="4"/>
      <c r="E2434" s="13"/>
      <c r="F2434" s="4"/>
      <c r="G2434" s="4"/>
    </row>
    <row r="2435">
      <c r="A2435" s="4"/>
      <c r="B2435" s="4"/>
      <c r="C2435" s="4"/>
      <c r="D2435" s="4"/>
      <c r="E2435" s="4"/>
      <c r="F2435" s="4"/>
      <c r="G2435" s="4"/>
    </row>
    <row r="2436">
      <c r="A2436" s="4"/>
      <c r="B2436" s="4"/>
      <c r="C2436" s="4"/>
      <c r="D2436" s="4"/>
      <c r="E2436" s="13"/>
      <c r="F2436" s="4"/>
      <c r="G2436" s="4"/>
    </row>
    <row r="2437">
      <c r="A2437" s="4"/>
      <c r="B2437" s="4"/>
      <c r="C2437" s="4"/>
      <c r="D2437" s="4"/>
      <c r="E2437" s="4"/>
      <c r="F2437" s="4"/>
      <c r="G2437" s="4"/>
    </row>
    <row r="2438">
      <c r="A2438" s="4"/>
      <c r="B2438" s="4"/>
      <c r="C2438" s="4"/>
      <c r="D2438" s="4"/>
      <c r="E2438" s="4"/>
      <c r="F2438" s="4"/>
      <c r="G2438" s="4"/>
    </row>
    <row r="2439">
      <c r="A2439" s="4"/>
      <c r="B2439" s="4"/>
      <c r="C2439" s="4"/>
      <c r="D2439" s="4"/>
      <c r="E2439" s="4"/>
      <c r="F2439" s="4"/>
      <c r="G2439" s="4"/>
    </row>
    <row r="2440">
      <c r="A2440" s="4"/>
      <c r="B2440" s="4"/>
      <c r="C2440" s="4"/>
      <c r="D2440" s="4"/>
      <c r="E2440" s="13"/>
      <c r="F2440" s="4"/>
      <c r="G2440" s="4"/>
    </row>
    <row r="2441">
      <c r="A2441" s="4"/>
      <c r="B2441" s="4"/>
      <c r="C2441" s="4"/>
      <c r="D2441" s="4"/>
      <c r="E2441" s="4"/>
      <c r="F2441" s="4"/>
      <c r="G2441" s="4"/>
    </row>
    <row r="2442">
      <c r="A2442" s="4"/>
      <c r="B2442" s="4"/>
      <c r="C2442" s="4"/>
      <c r="D2442" s="4"/>
      <c r="E2442" s="4"/>
      <c r="F2442" s="4"/>
      <c r="G2442" s="4"/>
    </row>
    <row r="2443">
      <c r="A2443" s="4"/>
      <c r="B2443" s="4"/>
      <c r="C2443" s="4"/>
      <c r="D2443" s="13"/>
      <c r="E2443" s="13"/>
      <c r="F2443" s="4"/>
      <c r="G2443" s="4"/>
    </row>
    <row r="2444">
      <c r="A2444" s="4"/>
      <c r="B2444" s="4"/>
      <c r="C2444" s="4"/>
      <c r="D2444" s="13"/>
      <c r="E2444" s="13"/>
      <c r="F2444" s="4"/>
      <c r="G2444" s="4"/>
    </row>
    <row r="2445">
      <c r="A2445" s="4"/>
      <c r="B2445" s="4"/>
      <c r="C2445" s="4"/>
      <c r="D2445" s="4"/>
      <c r="E2445" s="4"/>
      <c r="F2445" s="4"/>
      <c r="G2445" s="4"/>
    </row>
    <row r="2446">
      <c r="A2446" s="4"/>
      <c r="B2446" s="4"/>
      <c r="C2446" s="4"/>
      <c r="D2446" s="4"/>
      <c r="E2446" s="4"/>
      <c r="F2446" s="4"/>
      <c r="G2446" s="4"/>
    </row>
    <row r="2447">
      <c r="A2447" s="4"/>
      <c r="B2447" s="4"/>
      <c r="C2447" s="4"/>
      <c r="D2447" s="4"/>
      <c r="E2447" s="4"/>
      <c r="F2447" s="4"/>
      <c r="G2447" s="4"/>
    </row>
    <row r="2448">
      <c r="A2448" s="4"/>
      <c r="B2448" s="4"/>
      <c r="C2448" s="4"/>
      <c r="D2448" s="4"/>
      <c r="E2448" s="4"/>
      <c r="F2448" s="4"/>
      <c r="G2448" s="4"/>
    </row>
    <row r="2449">
      <c r="A2449" s="4"/>
      <c r="B2449" s="4"/>
      <c r="C2449" s="4"/>
      <c r="D2449" s="4"/>
      <c r="E2449" s="13"/>
      <c r="F2449" s="4"/>
      <c r="G2449" s="4"/>
    </row>
    <row r="2450">
      <c r="A2450" s="4"/>
      <c r="B2450" s="4"/>
      <c r="C2450" s="4"/>
      <c r="D2450" s="4"/>
      <c r="E2450" s="4"/>
      <c r="F2450" s="4"/>
      <c r="G2450" s="4"/>
    </row>
    <row r="2451">
      <c r="A2451" s="4"/>
      <c r="B2451" s="4"/>
      <c r="C2451" s="4"/>
      <c r="D2451" s="4"/>
      <c r="E2451" s="4"/>
      <c r="F2451" s="4"/>
      <c r="G2451" s="4"/>
    </row>
    <row r="2452">
      <c r="A2452" s="4"/>
      <c r="B2452" s="4"/>
      <c r="C2452" s="4"/>
      <c r="D2452" s="4"/>
      <c r="E2452" s="4"/>
      <c r="F2452" s="4"/>
      <c r="G2452" s="4"/>
    </row>
    <row r="2453">
      <c r="A2453" s="4"/>
      <c r="B2453" s="4"/>
      <c r="C2453" s="4"/>
      <c r="D2453" s="4"/>
      <c r="E2453" s="13"/>
      <c r="F2453" s="4"/>
      <c r="G2453" s="4"/>
    </row>
    <row r="2454">
      <c r="A2454" s="4"/>
      <c r="B2454" s="4"/>
      <c r="C2454" s="4"/>
      <c r="D2454" s="4"/>
      <c r="E2454" s="4"/>
      <c r="F2454" s="4"/>
      <c r="G2454" s="4"/>
    </row>
    <row r="2455">
      <c r="A2455" s="4"/>
      <c r="B2455" s="4"/>
      <c r="C2455" s="4"/>
      <c r="D2455" s="4"/>
      <c r="E2455" s="13"/>
      <c r="F2455" s="4"/>
      <c r="G2455" s="4"/>
    </row>
    <row r="2456">
      <c r="A2456" s="4"/>
      <c r="B2456" s="4"/>
      <c r="C2456" s="4"/>
      <c r="D2456" s="4"/>
      <c r="E2456" s="4"/>
      <c r="F2456" s="4"/>
      <c r="G2456" s="4"/>
    </row>
    <row r="2457">
      <c r="A2457" s="4"/>
      <c r="B2457" s="4"/>
      <c r="C2457" s="4"/>
      <c r="D2457" s="4"/>
      <c r="E2457" s="4"/>
      <c r="F2457" s="4"/>
      <c r="G2457" s="4"/>
    </row>
    <row r="2458">
      <c r="A2458" s="4"/>
      <c r="B2458" s="4"/>
      <c r="C2458" s="4"/>
      <c r="D2458" s="4"/>
      <c r="E2458" s="4"/>
      <c r="F2458" s="4"/>
      <c r="G2458" s="4"/>
    </row>
    <row r="2459">
      <c r="A2459" s="4"/>
      <c r="B2459" s="4"/>
      <c r="C2459" s="4"/>
      <c r="D2459" s="13"/>
      <c r="E2459" s="13"/>
      <c r="F2459" s="4"/>
      <c r="G2459" s="4"/>
    </row>
    <row r="2460">
      <c r="A2460" s="4"/>
      <c r="B2460" s="4"/>
      <c r="C2460" s="4"/>
      <c r="D2460" s="4"/>
      <c r="E2460" s="4"/>
      <c r="F2460" s="4"/>
      <c r="G2460" s="4"/>
    </row>
    <row r="2461">
      <c r="A2461" s="4"/>
      <c r="B2461" s="4"/>
      <c r="C2461" s="4"/>
      <c r="D2461" s="4"/>
      <c r="E2461" s="4"/>
      <c r="F2461" s="4"/>
      <c r="G2461" s="4"/>
    </row>
    <row r="2462">
      <c r="A2462" s="4"/>
      <c r="B2462" s="4"/>
      <c r="C2462" s="4"/>
      <c r="D2462" s="13"/>
      <c r="E2462" s="13"/>
      <c r="F2462" s="4"/>
      <c r="G2462" s="4"/>
    </row>
    <row r="2463">
      <c r="A2463" s="4"/>
      <c r="B2463" s="4"/>
      <c r="C2463" s="4"/>
      <c r="D2463" s="13"/>
      <c r="E2463" s="13"/>
      <c r="F2463" s="4"/>
      <c r="G2463" s="4"/>
    </row>
    <row r="2464">
      <c r="A2464" s="4"/>
      <c r="B2464" s="4"/>
      <c r="C2464" s="4"/>
      <c r="D2464" s="13"/>
      <c r="E2464" s="13"/>
      <c r="F2464" s="4"/>
      <c r="G2464" s="4"/>
    </row>
    <row r="2465">
      <c r="A2465" s="4"/>
      <c r="B2465" s="4"/>
      <c r="C2465" s="4"/>
      <c r="D2465" s="13"/>
      <c r="E2465" s="13"/>
      <c r="F2465" s="4"/>
      <c r="G2465" s="4"/>
    </row>
    <row r="2466">
      <c r="A2466" s="4"/>
      <c r="B2466" s="4"/>
      <c r="C2466" s="4"/>
      <c r="D2466" s="4"/>
      <c r="E2466" s="4"/>
      <c r="F2466" s="4"/>
      <c r="G2466" s="4"/>
    </row>
    <row r="2467">
      <c r="A2467" s="4"/>
      <c r="B2467" s="4"/>
      <c r="C2467" s="4"/>
      <c r="D2467" s="13"/>
      <c r="E2467" s="13"/>
      <c r="F2467" s="4"/>
      <c r="G2467" s="4"/>
    </row>
    <row r="2468">
      <c r="A2468" s="4"/>
      <c r="B2468" s="4"/>
      <c r="C2468" s="4"/>
      <c r="D2468" s="13"/>
      <c r="E2468" s="13"/>
      <c r="F2468" s="4"/>
      <c r="G2468" s="4"/>
    </row>
    <row r="2469">
      <c r="A2469" s="4"/>
      <c r="B2469" s="4"/>
      <c r="C2469" s="4"/>
      <c r="D2469" s="4"/>
      <c r="E2469" s="4"/>
      <c r="F2469" s="4"/>
      <c r="G2469" s="4"/>
    </row>
    <row r="2470">
      <c r="A2470" s="4"/>
      <c r="B2470" s="4"/>
      <c r="C2470" s="4"/>
      <c r="D2470" s="4"/>
      <c r="E2470" s="4"/>
      <c r="F2470" s="4"/>
      <c r="G2470" s="4"/>
    </row>
    <row r="2471">
      <c r="A2471" s="4"/>
      <c r="B2471" s="4"/>
      <c r="C2471" s="4"/>
      <c r="D2471" s="4"/>
      <c r="E2471" s="4"/>
      <c r="F2471" s="4"/>
      <c r="G2471" s="4"/>
    </row>
    <row r="2472">
      <c r="A2472" s="4"/>
      <c r="B2472" s="4"/>
      <c r="C2472" s="4"/>
      <c r="D2472" s="4"/>
      <c r="E2472" s="4"/>
      <c r="F2472" s="4"/>
      <c r="G2472" s="4"/>
    </row>
    <row r="2473">
      <c r="A2473" s="4"/>
      <c r="B2473" s="4"/>
      <c r="C2473" s="4"/>
      <c r="D2473" s="4"/>
      <c r="E2473" s="4"/>
      <c r="F2473" s="4"/>
      <c r="G2473" s="4"/>
    </row>
    <row r="2474">
      <c r="A2474" s="4"/>
      <c r="B2474" s="4"/>
      <c r="C2474" s="4"/>
      <c r="D2474" s="4"/>
      <c r="E2474" s="4"/>
      <c r="F2474" s="4"/>
      <c r="G2474" s="4"/>
    </row>
    <row r="2475">
      <c r="A2475" s="4"/>
      <c r="B2475" s="4"/>
      <c r="C2475" s="4"/>
      <c r="D2475" s="4"/>
      <c r="E2475" s="4"/>
      <c r="F2475" s="4"/>
      <c r="G2475" s="4"/>
    </row>
    <row r="2476">
      <c r="A2476" s="4"/>
      <c r="B2476" s="4"/>
      <c r="C2476" s="4"/>
      <c r="D2476" s="4"/>
      <c r="E2476" s="4"/>
      <c r="F2476" s="4"/>
      <c r="G2476" s="4"/>
    </row>
    <row r="2477">
      <c r="A2477" s="4"/>
      <c r="B2477" s="4"/>
      <c r="C2477" s="4"/>
      <c r="D2477" s="4"/>
      <c r="E2477" s="4"/>
      <c r="F2477" s="4"/>
      <c r="G2477" s="4"/>
    </row>
    <row r="2478">
      <c r="A2478" s="4"/>
      <c r="B2478" s="4"/>
      <c r="C2478" s="4"/>
      <c r="D2478" s="4"/>
      <c r="E2478" s="13"/>
      <c r="F2478" s="4"/>
      <c r="G2478" s="4"/>
    </row>
    <row r="2479">
      <c r="A2479" s="4"/>
      <c r="B2479" s="4"/>
      <c r="C2479" s="4"/>
      <c r="D2479" s="4"/>
      <c r="E2479" s="4"/>
      <c r="F2479" s="4"/>
      <c r="G2479" s="4"/>
    </row>
    <row r="2480">
      <c r="A2480" s="4"/>
      <c r="B2480" s="4"/>
      <c r="C2480" s="4"/>
      <c r="D2480" s="4"/>
      <c r="E2480" s="4"/>
      <c r="F2480" s="4"/>
      <c r="G2480" s="4"/>
    </row>
    <row r="2481">
      <c r="A2481" s="4"/>
      <c r="B2481" s="4"/>
      <c r="C2481" s="4"/>
      <c r="D2481" s="4"/>
      <c r="E2481" s="13"/>
      <c r="F2481" s="4"/>
      <c r="G2481" s="4"/>
    </row>
    <row r="2482">
      <c r="A2482" s="4"/>
      <c r="B2482" s="4"/>
      <c r="C2482" s="4"/>
      <c r="D2482" s="4"/>
      <c r="E2482" s="4"/>
      <c r="F2482" s="4"/>
      <c r="G2482" s="4"/>
    </row>
    <row r="2483">
      <c r="A2483" s="4"/>
      <c r="B2483" s="4"/>
      <c r="C2483" s="4"/>
      <c r="D2483" s="4"/>
      <c r="E2483" s="4"/>
      <c r="F2483" s="4"/>
      <c r="G2483" s="4"/>
    </row>
    <row r="2484">
      <c r="A2484" s="4"/>
      <c r="B2484" s="4"/>
      <c r="C2484" s="4"/>
      <c r="D2484" s="4"/>
      <c r="E2484" s="13"/>
      <c r="F2484" s="4"/>
      <c r="G2484" s="4"/>
    </row>
    <row r="2485">
      <c r="A2485" s="4"/>
      <c r="B2485" s="4"/>
      <c r="C2485" s="4"/>
      <c r="D2485" s="4"/>
      <c r="E2485" s="13"/>
      <c r="F2485" s="4"/>
      <c r="G2485" s="4"/>
    </row>
    <row r="2486">
      <c r="A2486" s="4"/>
      <c r="B2486" s="4"/>
      <c r="C2486" s="4"/>
      <c r="D2486" s="4"/>
      <c r="E2486" s="13"/>
      <c r="F2486" s="4"/>
      <c r="G2486" s="4"/>
    </row>
    <row r="2487">
      <c r="A2487" s="4"/>
      <c r="B2487" s="4"/>
      <c r="C2487" s="4"/>
      <c r="D2487" s="4"/>
      <c r="E2487" s="4"/>
      <c r="F2487" s="4"/>
      <c r="G2487" s="4"/>
    </row>
    <row r="2488">
      <c r="A2488" s="4"/>
      <c r="B2488" s="4"/>
      <c r="C2488" s="4"/>
      <c r="D2488" s="4"/>
      <c r="E2488" s="4"/>
      <c r="F2488" s="4"/>
      <c r="G2488" s="4"/>
    </row>
    <row r="2489">
      <c r="A2489" s="4"/>
      <c r="B2489" s="4"/>
      <c r="C2489" s="4"/>
      <c r="D2489" s="4"/>
      <c r="E2489" s="13"/>
      <c r="F2489" s="4"/>
      <c r="G2489" s="4"/>
    </row>
    <row r="2490">
      <c r="A2490" s="4"/>
      <c r="B2490" s="4"/>
      <c r="C2490" s="4"/>
      <c r="D2490" s="4"/>
      <c r="E2490" s="4"/>
      <c r="F2490" s="4"/>
      <c r="G2490" s="4"/>
    </row>
    <row r="2491">
      <c r="A2491" s="4"/>
      <c r="B2491" s="4"/>
      <c r="C2491" s="4"/>
      <c r="D2491" s="4"/>
      <c r="E2491" s="4"/>
      <c r="F2491" s="4"/>
      <c r="G2491" s="4"/>
    </row>
    <row r="2492">
      <c r="A2492" s="4"/>
      <c r="B2492" s="4"/>
      <c r="C2492" s="4"/>
      <c r="D2492" s="4"/>
      <c r="E2492" s="13"/>
      <c r="F2492" s="4"/>
      <c r="G2492" s="4"/>
    </row>
    <row r="2493">
      <c r="A2493" s="4"/>
      <c r="B2493" s="4"/>
      <c r="C2493" s="4"/>
      <c r="D2493" s="4"/>
      <c r="E2493" s="4"/>
      <c r="F2493" s="4"/>
      <c r="G2493" s="4"/>
    </row>
    <row r="2494">
      <c r="A2494" s="4"/>
      <c r="B2494" s="4"/>
      <c r="C2494" s="4"/>
      <c r="D2494" s="4"/>
      <c r="E2494" s="4"/>
      <c r="F2494" s="4"/>
      <c r="G2494" s="4"/>
    </row>
    <row r="2495">
      <c r="A2495" s="4"/>
      <c r="B2495" s="4"/>
      <c r="C2495" s="4"/>
      <c r="D2495" s="4"/>
      <c r="E2495" s="4"/>
      <c r="F2495" s="4"/>
      <c r="G2495" s="4"/>
    </row>
    <row r="2496">
      <c r="A2496" s="4"/>
      <c r="B2496" s="4"/>
      <c r="C2496" s="4"/>
      <c r="D2496" s="4"/>
      <c r="E2496" s="4"/>
      <c r="F2496" s="4"/>
      <c r="G2496" s="4"/>
    </row>
    <row r="2497">
      <c r="A2497" s="4"/>
      <c r="B2497" s="4"/>
      <c r="C2497" s="4"/>
      <c r="D2497" s="4"/>
      <c r="E2497" s="4"/>
      <c r="F2497" s="4"/>
      <c r="G2497" s="4"/>
    </row>
    <row r="2498">
      <c r="A2498" s="4"/>
      <c r="B2498" s="4"/>
      <c r="C2498" s="4"/>
      <c r="D2498" s="4"/>
      <c r="E2498" s="4"/>
      <c r="F2498" s="4"/>
      <c r="G2498" s="4"/>
    </row>
    <row r="2499">
      <c r="A2499" s="4"/>
      <c r="B2499" s="4"/>
      <c r="C2499" s="4"/>
      <c r="D2499" s="4"/>
      <c r="E2499" s="13"/>
      <c r="F2499" s="4"/>
      <c r="G2499" s="4"/>
    </row>
    <row r="2500">
      <c r="A2500" s="4"/>
      <c r="B2500" s="4"/>
      <c r="C2500" s="4"/>
      <c r="D2500" s="4"/>
      <c r="E2500" s="13"/>
      <c r="F2500" s="4"/>
      <c r="G2500" s="4"/>
    </row>
    <row r="2501">
      <c r="A2501" s="4"/>
      <c r="B2501" s="4"/>
      <c r="C2501" s="4"/>
      <c r="D2501" s="4"/>
      <c r="E2501" s="4"/>
      <c r="F2501" s="4"/>
      <c r="G2501" s="4"/>
    </row>
    <row r="2502">
      <c r="A2502" s="4"/>
      <c r="B2502" s="4"/>
      <c r="C2502" s="4"/>
      <c r="D2502" s="4"/>
      <c r="E2502" s="4"/>
      <c r="F2502" s="4"/>
      <c r="G2502" s="4"/>
    </row>
    <row r="2503">
      <c r="A2503" s="4"/>
      <c r="B2503" s="4"/>
      <c r="C2503" s="4"/>
      <c r="D2503" s="4"/>
      <c r="E2503" s="4"/>
      <c r="F2503" s="4"/>
      <c r="G2503" s="4"/>
    </row>
    <row r="2504">
      <c r="A2504" s="4"/>
      <c r="B2504" s="4"/>
      <c r="C2504" s="4"/>
      <c r="D2504" s="4"/>
      <c r="E2504" s="13"/>
      <c r="F2504" s="4"/>
      <c r="G2504" s="4"/>
    </row>
    <row r="2505">
      <c r="A2505" s="4"/>
      <c r="B2505" s="4"/>
      <c r="C2505" s="4"/>
      <c r="D2505" s="4"/>
      <c r="E2505" s="4"/>
      <c r="F2505" s="4"/>
      <c r="G2505" s="4"/>
    </row>
    <row r="2506">
      <c r="A2506" s="4"/>
      <c r="B2506" s="4"/>
      <c r="C2506" s="4"/>
      <c r="D2506" s="4"/>
      <c r="E2506" s="13"/>
      <c r="F2506" s="4"/>
      <c r="G2506" s="4"/>
    </row>
    <row r="2507">
      <c r="A2507" s="4"/>
      <c r="B2507" s="4"/>
      <c r="C2507" s="4"/>
      <c r="D2507" s="4"/>
      <c r="E2507" s="4"/>
      <c r="F2507" s="4"/>
      <c r="G2507" s="4"/>
    </row>
    <row r="2508">
      <c r="A2508" s="4"/>
      <c r="B2508" s="4"/>
      <c r="C2508" s="4"/>
      <c r="D2508" s="13"/>
      <c r="E2508" s="13"/>
      <c r="F2508" s="4"/>
      <c r="G2508" s="4"/>
    </row>
    <row r="2509">
      <c r="A2509" s="4"/>
      <c r="B2509" s="4"/>
      <c r="C2509" s="4"/>
      <c r="D2509" s="4"/>
      <c r="E2509" s="4"/>
      <c r="F2509" s="4"/>
      <c r="G2509" s="4"/>
    </row>
    <row r="2510">
      <c r="A2510" s="4"/>
      <c r="B2510" s="4"/>
      <c r="C2510" s="4"/>
      <c r="D2510" s="4"/>
      <c r="E2510" s="13"/>
      <c r="F2510" s="4"/>
      <c r="G2510" s="4"/>
    </row>
    <row r="2511">
      <c r="A2511" s="4"/>
      <c r="B2511" s="4"/>
      <c r="C2511" s="4"/>
      <c r="D2511" s="13"/>
      <c r="E2511" s="13"/>
      <c r="F2511" s="4"/>
      <c r="G2511" s="4"/>
    </row>
    <row r="2512">
      <c r="A2512" s="4"/>
      <c r="B2512" s="4"/>
      <c r="C2512" s="4"/>
      <c r="D2512" s="4"/>
      <c r="E2512" s="4"/>
      <c r="F2512" s="4"/>
      <c r="G2512" s="4"/>
    </row>
    <row r="2513">
      <c r="A2513" s="4"/>
      <c r="B2513" s="4"/>
      <c r="C2513" s="4"/>
      <c r="D2513" s="4"/>
      <c r="E2513" s="4"/>
      <c r="F2513" s="4"/>
      <c r="G2513" s="4"/>
    </row>
    <row r="2514">
      <c r="A2514" s="4"/>
      <c r="B2514" s="4"/>
      <c r="C2514" s="4"/>
      <c r="D2514" s="4"/>
      <c r="E2514" s="4"/>
      <c r="F2514" s="4"/>
      <c r="G2514" s="4"/>
    </row>
    <row r="2515">
      <c r="A2515" s="4"/>
      <c r="B2515" s="4"/>
      <c r="C2515" s="4"/>
      <c r="D2515" s="4"/>
      <c r="E2515" s="4"/>
      <c r="F2515" s="4"/>
      <c r="G2515" s="4"/>
    </row>
    <row r="2516">
      <c r="A2516" s="4"/>
      <c r="B2516" s="4"/>
      <c r="C2516" s="4"/>
      <c r="D2516" s="4"/>
      <c r="E2516" s="4"/>
      <c r="F2516" s="4"/>
      <c r="G2516" s="4"/>
    </row>
    <row r="2517">
      <c r="A2517" s="4"/>
      <c r="B2517" s="4"/>
      <c r="C2517" s="4"/>
      <c r="D2517" s="13"/>
      <c r="E2517" s="13"/>
      <c r="F2517" s="4"/>
      <c r="G2517" s="4"/>
    </row>
    <row r="2518">
      <c r="A2518" s="4"/>
      <c r="B2518" s="4"/>
      <c r="C2518" s="4"/>
      <c r="D2518" s="4"/>
      <c r="E2518" s="4"/>
      <c r="F2518" s="4"/>
      <c r="G2518" s="4"/>
    </row>
    <row r="2519">
      <c r="A2519" s="4"/>
      <c r="B2519" s="4"/>
      <c r="C2519" s="4"/>
      <c r="D2519" s="4"/>
      <c r="E2519" s="13"/>
      <c r="F2519" s="4"/>
      <c r="G2519" s="4"/>
    </row>
    <row r="2520">
      <c r="A2520" s="4"/>
      <c r="B2520" s="4"/>
      <c r="C2520" s="4"/>
      <c r="D2520" s="4"/>
      <c r="E2520" s="4"/>
      <c r="F2520" s="4"/>
      <c r="G2520" s="4"/>
    </row>
    <row r="2521">
      <c r="A2521" s="4"/>
      <c r="B2521" s="4"/>
      <c r="C2521" s="4"/>
      <c r="D2521" s="4"/>
      <c r="E2521" s="4"/>
      <c r="F2521" s="4"/>
      <c r="G2521" s="4"/>
    </row>
    <row r="2522">
      <c r="A2522" s="4"/>
      <c r="B2522" s="4"/>
      <c r="C2522" s="4"/>
      <c r="D2522" s="13"/>
      <c r="E2522" s="4"/>
      <c r="F2522" s="4"/>
      <c r="G2522" s="4"/>
    </row>
    <row r="2523">
      <c r="A2523" s="4"/>
      <c r="B2523" s="4"/>
      <c r="C2523" s="4"/>
      <c r="D2523" s="13"/>
      <c r="E2523" s="4"/>
      <c r="F2523" s="4"/>
      <c r="G2523" s="4"/>
    </row>
    <row r="2524">
      <c r="A2524" s="4"/>
      <c r="B2524" s="4"/>
      <c r="C2524" s="4"/>
      <c r="D2524" s="4"/>
      <c r="E2524" s="4"/>
      <c r="F2524" s="4"/>
      <c r="G2524" s="4"/>
    </row>
    <row r="2525">
      <c r="A2525" s="4"/>
      <c r="B2525" s="4"/>
      <c r="C2525" s="4"/>
      <c r="D2525" s="4"/>
      <c r="E2525" s="13"/>
      <c r="F2525" s="4"/>
      <c r="G2525" s="4"/>
    </row>
    <row r="2526">
      <c r="A2526" s="4"/>
      <c r="B2526" s="4"/>
      <c r="C2526" s="4"/>
      <c r="D2526" s="13"/>
      <c r="E2526" s="13"/>
      <c r="F2526" s="4"/>
      <c r="G2526" s="4"/>
    </row>
    <row r="2527">
      <c r="A2527" s="4"/>
      <c r="B2527" s="4"/>
      <c r="C2527" s="4"/>
      <c r="D2527" s="13"/>
      <c r="E2527" s="13"/>
      <c r="F2527" s="4"/>
      <c r="G2527" s="4"/>
    </row>
    <row r="2528">
      <c r="A2528" s="4"/>
      <c r="B2528" s="4"/>
      <c r="C2528" s="4"/>
      <c r="D2528" s="4"/>
      <c r="E2528" s="4"/>
      <c r="F2528" s="4"/>
      <c r="G2528" s="4"/>
    </row>
    <row r="2529">
      <c r="A2529" s="4"/>
      <c r="B2529" s="4"/>
      <c r="C2529" s="4"/>
      <c r="D2529" s="4"/>
      <c r="E2529" s="13"/>
      <c r="F2529" s="4"/>
      <c r="G2529" s="4"/>
    </row>
    <row r="2530">
      <c r="A2530" s="4"/>
      <c r="B2530" s="4"/>
      <c r="C2530" s="4"/>
      <c r="D2530" s="13"/>
      <c r="E2530" s="13"/>
      <c r="F2530" s="4"/>
      <c r="G2530" s="4"/>
    </row>
    <row r="2531">
      <c r="A2531" s="4"/>
      <c r="B2531" s="4"/>
      <c r="C2531" s="4"/>
      <c r="D2531" s="4"/>
      <c r="E2531" s="4"/>
      <c r="F2531" s="4"/>
      <c r="G2531" s="4"/>
    </row>
    <row r="2532">
      <c r="A2532" s="4"/>
      <c r="B2532" s="4"/>
      <c r="C2532" s="4"/>
      <c r="D2532" s="4"/>
      <c r="E2532" s="4"/>
      <c r="F2532" s="4"/>
      <c r="G2532" s="4"/>
    </row>
    <row r="2533">
      <c r="A2533" s="4"/>
      <c r="B2533" s="4"/>
      <c r="C2533" s="4"/>
      <c r="D2533" s="4"/>
      <c r="E2533" s="4"/>
      <c r="F2533" s="4"/>
      <c r="G2533" s="4"/>
    </row>
    <row r="2534">
      <c r="A2534" s="4"/>
      <c r="B2534" s="4"/>
      <c r="C2534" s="4"/>
      <c r="D2534" s="4"/>
      <c r="E2534" s="4"/>
      <c r="F2534" s="4"/>
      <c r="G2534" s="4"/>
    </row>
    <row r="2535">
      <c r="A2535" s="4"/>
      <c r="B2535" s="4"/>
      <c r="C2535" s="4"/>
      <c r="D2535" s="4"/>
      <c r="E2535" s="4"/>
      <c r="F2535" s="4"/>
      <c r="G2535" s="4"/>
    </row>
    <row r="2536">
      <c r="A2536" s="4"/>
      <c r="B2536" s="4"/>
      <c r="C2536" s="4"/>
      <c r="D2536" s="4"/>
      <c r="E2536" s="4"/>
      <c r="F2536" s="4"/>
      <c r="G2536" s="4"/>
    </row>
    <row r="2537">
      <c r="A2537" s="4"/>
      <c r="B2537" s="4"/>
      <c r="C2537" s="4"/>
      <c r="D2537" s="4"/>
      <c r="E2537" s="4"/>
      <c r="F2537" s="4"/>
      <c r="G2537" s="4"/>
    </row>
    <row r="2538">
      <c r="A2538" s="4"/>
      <c r="B2538" s="4"/>
      <c r="C2538" s="4"/>
      <c r="D2538" s="4"/>
      <c r="E2538" s="4"/>
      <c r="F2538" s="4"/>
      <c r="G2538" s="4"/>
    </row>
    <row r="2539">
      <c r="A2539" s="4"/>
      <c r="B2539" s="4"/>
      <c r="C2539" s="4"/>
      <c r="D2539" s="4"/>
      <c r="E2539" s="4"/>
      <c r="F2539" s="4"/>
      <c r="G2539" s="4"/>
    </row>
    <row r="2540">
      <c r="A2540" s="4"/>
      <c r="B2540" s="4"/>
      <c r="C2540" s="4"/>
      <c r="D2540" s="4"/>
      <c r="E2540" s="4"/>
      <c r="F2540" s="4"/>
      <c r="G2540" s="4"/>
    </row>
    <row r="2541">
      <c r="A2541" s="4"/>
      <c r="B2541" s="4"/>
      <c r="C2541" s="4"/>
      <c r="D2541" s="4"/>
      <c r="E2541" s="4"/>
      <c r="F2541" s="4"/>
      <c r="G2541" s="4"/>
    </row>
    <row r="2542">
      <c r="A2542" s="4"/>
      <c r="B2542" s="4"/>
      <c r="C2542" s="4"/>
      <c r="D2542" s="4"/>
      <c r="E2542" s="4"/>
      <c r="F2542" s="4"/>
      <c r="G2542" s="4"/>
    </row>
    <row r="2543">
      <c r="A2543" s="4"/>
      <c r="B2543" s="4"/>
      <c r="C2543" s="4"/>
      <c r="D2543" s="4"/>
      <c r="E2543" s="4"/>
      <c r="F2543" s="4"/>
      <c r="G2543" s="4"/>
    </row>
    <row r="2544">
      <c r="A2544" s="4"/>
      <c r="B2544" s="4"/>
      <c r="C2544" s="4"/>
      <c r="D2544" s="4"/>
      <c r="E2544" s="4"/>
      <c r="F2544" s="4"/>
      <c r="G2544" s="4"/>
    </row>
    <row r="2545">
      <c r="A2545" s="4"/>
      <c r="B2545" s="4"/>
      <c r="C2545" s="4"/>
      <c r="D2545" s="4"/>
      <c r="E2545" s="4"/>
      <c r="F2545" s="4"/>
      <c r="G2545" s="4"/>
    </row>
    <row r="2546">
      <c r="A2546" s="4"/>
      <c r="B2546" s="4"/>
      <c r="C2546" s="4"/>
      <c r="D2546" s="4"/>
      <c r="E2546" s="13"/>
      <c r="F2546" s="4"/>
      <c r="G2546" s="4"/>
    </row>
    <row r="2547">
      <c r="A2547" s="4"/>
      <c r="B2547" s="4"/>
      <c r="C2547" s="4"/>
      <c r="D2547" s="4"/>
      <c r="E2547" s="4"/>
      <c r="F2547" s="4"/>
      <c r="G2547" s="4"/>
    </row>
    <row r="2548">
      <c r="A2548" s="4"/>
      <c r="B2548" s="4"/>
      <c r="C2548" s="4"/>
      <c r="D2548" s="4"/>
      <c r="E2548" s="4"/>
      <c r="F2548" s="4"/>
      <c r="G2548" s="4"/>
    </row>
    <row r="2549">
      <c r="A2549" s="4"/>
      <c r="B2549" s="4"/>
      <c r="C2549" s="4"/>
      <c r="D2549" s="4"/>
      <c r="E2549" s="4"/>
      <c r="F2549" s="4"/>
      <c r="G2549" s="4"/>
    </row>
    <row r="2550">
      <c r="A2550" s="4"/>
      <c r="B2550" s="4"/>
      <c r="C2550" s="4"/>
      <c r="D2550" s="4"/>
      <c r="E2550" s="4"/>
      <c r="F2550" s="4"/>
      <c r="G2550" s="4"/>
    </row>
    <row r="2551">
      <c r="A2551" s="4"/>
      <c r="B2551" s="4"/>
      <c r="C2551" s="4"/>
      <c r="D2551" s="4"/>
      <c r="E2551" s="13"/>
      <c r="F2551" s="4"/>
      <c r="G2551" s="4"/>
    </row>
    <row r="2552">
      <c r="A2552" s="4"/>
      <c r="B2552" s="4"/>
      <c r="C2552" s="4"/>
      <c r="D2552" s="4"/>
      <c r="E2552" s="4"/>
      <c r="F2552" s="4"/>
      <c r="G2552" s="4"/>
    </row>
    <row r="2553">
      <c r="A2553" s="4"/>
      <c r="B2553" s="4"/>
      <c r="C2553" s="4"/>
      <c r="D2553" s="4"/>
      <c r="E2553" s="4"/>
      <c r="F2553" s="4"/>
      <c r="G2553" s="4"/>
    </row>
    <row r="2554">
      <c r="A2554" s="4"/>
      <c r="B2554" s="4"/>
      <c r="C2554" s="4"/>
      <c r="D2554" s="13"/>
      <c r="E2554" s="13"/>
      <c r="F2554" s="4"/>
      <c r="G2554" s="4"/>
    </row>
    <row r="2555">
      <c r="A2555" s="4"/>
      <c r="B2555" s="4"/>
      <c r="C2555" s="4"/>
      <c r="D2555" s="4"/>
      <c r="E2555" s="4"/>
      <c r="F2555" s="4"/>
      <c r="G2555" s="4"/>
    </row>
    <row r="2556">
      <c r="A2556" s="4"/>
      <c r="B2556" s="4"/>
      <c r="C2556" s="4"/>
      <c r="D2556" s="4"/>
      <c r="E2556" s="4"/>
      <c r="F2556" s="4"/>
      <c r="G2556" s="4"/>
    </row>
    <row r="2557">
      <c r="A2557" s="4"/>
      <c r="B2557" s="4"/>
      <c r="C2557" s="4"/>
      <c r="D2557" s="4"/>
      <c r="E2557" s="4"/>
      <c r="F2557" s="4"/>
      <c r="G2557" s="4"/>
    </row>
    <row r="2558">
      <c r="A2558" s="4"/>
      <c r="B2558" s="4"/>
      <c r="C2558" s="4"/>
      <c r="D2558" s="13"/>
      <c r="E2558" s="13"/>
      <c r="F2558" s="4"/>
      <c r="G2558" s="4"/>
    </row>
    <row r="2559">
      <c r="A2559" s="4"/>
      <c r="B2559" s="4"/>
      <c r="C2559" s="4"/>
      <c r="D2559" s="4"/>
      <c r="E2559" s="4"/>
      <c r="F2559" s="4"/>
      <c r="G2559" s="4"/>
    </row>
    <row r="2560">
      <c r="A2560" s="4"/>
      <c r="B2560" s="4"/>
      <c r="C2560" s="4"/>
      <c r="D2560" s="13"/>
      <c r="E2560" s="13"/>
      <c r="F2560" s="4"/>
      <c r="G2560" s="4"/>
    </row>
    <row r="2561">
      <c r="A2561" s="4"/>
      <c r="B2561" s="4"/>
      <c r="C2561" s="4"/>
      <c r="D2561" s="4"/>
      <c r="E2561" s="4"/>
      <c r="F2561" s="4"/>
      <c r="G2561" s="4"/>
    </row>
    <row r="2562">
      <c r="A2562" s="4"/>
      <c r="B2562" s="4"/>
      <c r="C2562" s="4"/>
      <c r="D2562" s="4"/>
      <c r="E2562" s="4"/>
      <c r="F2562" s="4"/>
      <c r="G2562" s="4"/>
    </row>
    <row r="2563">
      <c r="A2563" s="4"/>
      <c r="B2563" s="4"/>
      <c r="C2563" s="4"/>
      <c r="D2563" s="13"/>
      <c r="E2563" s="13"/>
      <c r="F2563" s="4"/>
      <c r="G2563" s="4"/>
    </row>
    <row r="2564">
      <c r="A2564" s="4"/>
      <c r="B2564" s="4"/>
      <c r="C2564" s="4"/>
      <c r="D2564" s="13"/>
      <c r="E2564" s="13"/>
      <c r="F2564" s="4"/>
      <c r="G2564" s="4"/>
    </row>
    <row r="2565">
      <c r="A2565" s="4"/>
      <c r="B2565" s="4"/>
      <c r="C2565" s="4"/>
      <c r="D2565" s="4"/>
      <c r="E2565" s="4"/>
      <c r="F2565" s="4"/>
      <c r="G2565" s="4"/>
    </row>
    <row r="2566">
      <c r="A2566" s="4"/>
      <c r="B2566" s="4"/>
      <c r="C2566" s="4"/>
      <c r="D2566" s="4"/>
      <c r="E2566" s="4"/>
      <c r="F2566" s="4"/>
      <c r="G2566" s="4"/>
    </row>
    <row r="2567">
      <c r="A2567" s="4"/>
      <c r="B2567" s="4"/>
      <c r="C2567" s="4"/>
      <c r="D2567" s="4"/>
      <c r="E2567" s="4"/>
      <c r="F2567" s="4"/>
      <c r="G2567" s="4"/>
    </row>
    <row r="2568">
      <c r="A2568" s="4"/>
      <c r="B2568" s="4"/>
      <c r="C2568" s="4"/>
      <c r="D2568" s="4"/>
      <c r="E2568" s="4"/>
      <c r="F2568" s="4"/>
      <c r="G2568" s="4"/>
    </row>
    <row r="2569">
      <c r="A2569" s="4"/>
      <c r="B2569" s="4"/>
      <c r="C2569" s="4"/>
      <c r="D2569" s="4"/>
      <c r="E2569" s="4"/>
      <c r="F2569" s="4"/>
      <c r="G2569" s="4"/>
    </row>
    <row r="2570">
      <c r="A2570" s="4"/>
      <c r="B2570" s="4"/>
      <c r="C2570" s="4"/>
      <c r="D2570" s="4"/>
      <c r="E2570" s="13"/>
      <c r="F2570" s="4"/>
      <c r="G2570" s="4"/>
    </row>
    <row r="2571">
      <c r="A2571" s="4"/>
      <c r="B2571" s="4"/>
      <c r="C2571" s="4"/>
      <c r="D2571" s="4"/>
      <c r="E2571" s="4"/>
      <c r="F2571" s="4"/>
      <c r="G2571" s="4"/>
    </row>
    <row r="2572">
      <c r="A2572" s="4"/>
      <c r="B2572" s="4"/>
      <c r="C2572" s="4"/>
      <c r="D2572" s="4"/>
      <c r="E2572" s="13"/>
      <c r="F2572" s="4"/>
      <c r="G2572" s="4"/>
    </row>
    <row r="2573">
      <c r="A2573" s="4"/>
      <c r="B2573" s="4"/>
      <c r="C2573" s="4"/>
      <c r="D2573" s="4"/>
      <c r="E2573" s="4"/>
      <c r="F2573" s="4"/>
      <c r="G2573" s="4"/>
    </row>
    <row r="2574">
      <c r="A2574" s="4"/>
      <c r="B2574" s="4"/>
      <c r="C2574" s="4"/>
      <c r="D2574" s="4"/>
      <c r="E2574" s="4"/>
      <c r="F2574" s="4"/>
      <c r="G2574" s="4"/>
    </row>
    <row r="2575">
      <c r="A2575" s="4"/>
      <c r="B2575" s="4"/>
      <c r="C2575" s="4"/>
      <c r="D2575" s="4"/>
      <c r="E2575" s="13"/>
      <c r="F2575" s="4"/>
      <c r="G2575" s="4"/>
    </row>
    <row r="2576">
      <c r="A2576" s="4"/>
      <c r="B2576" s="4"/>
      <c r="C2576" s="4"/>
      <c r="D2576" s="4"/>
      <c r="E2576" s="4"/>
      <c r="F2576" s="4"/>
      <c r="G2576" s="4"/>
    </row>
    <row r="2577">
      <c r="A2577" s="4"/>
      <c r="B2577" s="4"/>
      <c r="C2577" s="4"/>
      <c r="D2577" s="4"/>
      <c r="E2577" s="13"/>
      <c r="F2577" s="4"/>
      <c r="G2577" s="4"/>
    </row>
    <row r="2578">
      <c r="A2578" s="4"/>
      <c r="B2578" s="4"/>
      <c r="C2578" s="4"/>
      <c r="D2578" s="4"/>
      <c r="E2578" s="4"/>
      <c r="F2578" s="4"/>
      <c r="G2578" s="4"/>
    </row>
    <row r="2579">
      <c r="A2579" s="4"/>
      <c r="B2579" s="4"/>
      <c r="C2579" s="4"/>
      <c r="D2579" s="4"/>
      <c r="E2579" s="13"/>
      <c r="F2579" s="4"/>
      <c r="G2579" s="4"/>
    </row>
    <row r="2580">
      <c r="A2580" s="4"/>
      <c r="B2580" s="4"/>
      <c r="C2580" s="4"/>
      <c r="D2580" s="4"/>
      <c r="E2580" s="4"/>
      <c r="F2580" s="4"/>
      <c r="G2580" s="4"/>
    </row>
    <row r="2581">
      <c r="A2581" s="4"/>
      <c r="B2581" s="4"/>
      <c r="C2581" s="4"/>
      <c r="D2581" s="13"/>
      <c r="E2581" s="13"/>
      <c r="F2581" s="4"/>
      <c r="G2581" s="4"/>
    </row>
    <row r="2582">
      <c r="A2582" s="4"/>
      <c r="B2582" s="4"/>
      <c r="C2582" s="4"/>
      <c r="D2582" s="4"/>
      <c r="E2582" s="4"/>
      <c r="F2582" s="4"/>
      <c r="G2582" s="4"/>
    </row>
    <row r="2583">
      <c r="A2583" s="4"/>
      <c r="B2583" s="4"/>
      <c r="C2583" s="4"/>
      <c r="D2583" s="13"/>
      <c r="E2583" s="13"/>
      <c r="F2583" s="4"/>
      <c r="G2583" s="4"/>
    </row>
    <row r="2584">
      <c r="A2584" s="4"/>
      <c r="B2584" s="4"/>
      <c r="C2584" s="4"/>
      <c r="D2584" s="13"/>
      <c r="E2584" s="13"/>
      <c r="F2584" s="4"/>
      <c r="G2584" s="4"/>
    </row>
    <row r="2585">
      <c r="A2585" s="4"/>
      <c r="B2585" s="4"/>
      <c r="C2585" s="4"/>
      <c r="D2585" s="4"/>
      <c r="E2585" s="4"/>
      <c r="F2585" s="4"/>
      <c r="G2585" s="4"/>
    </row>
    <row r="2586">
      <c r="A2586" s="4"/>
      <c r="B2586" s="4"/>
      <c r="C2586" s="4"/>
      <c r="D2586" s="4"/>
      <c r="E2586" s="13"/>
      <c r="F2586" s="4"/>
      <c r="G2586" s="4"/>
    </row>
    <row r="2587">
      <c r="A2587" s="4"/>
      <c r="B2587" s="4"/>
      <c r="C2587" s="4"/>
      <c r="D2587" s="4"/>
      <c r="E2587" s="4"/>
      <c r="F2587" s="4"/>
      <c r="G2587" s="4"/>
    </row>
    <row r="2588">
      <c r="A2588" s="4"/>
      <c r="B2588" s="4"/>
      <c r="C2588" s="4"/>
      <c r="D2588" s="13"/>
      <c r="E2588" s="13"/>
      <c r="F2588" s="4"/>
      <c r="G2588" s="4"/>
    </row>
    <row r="2589">
      <c r="A2589" s="4"/>
      <c r="B2589" s="4"/>
      <c r="C2589" s="4"/>
      <c r="D2589" s="13"/>
      <c r="E2589" s="13"/>
      <c r="F2589" s="4"/>
      <c r="G2589" s="4"/>
    </row>
    <row r="2590">
      <c r="A2590" s="4"/>
      <c r="B2590" s="4"/>
      <c r="C2590" s="4"/>
      <c r="D2590" s="4"/>
      <c r="E2590" s="4"/>
      <c r="F2590" s="4"/>
      <c r="G2590" s="4"/>
    </row>
    <row r="2591">
      <c r="A2591" s="4"/>
      <c r="B2591" s="4"/>
      <c r="C2591" s="4"/>
      <c r="D2591" s="4"/>
      <c r="E2591" s="4"/>
      <c r="F2591" s="4"/>
      <c r="G2591" s="4"/>
    </row>
    <row r="2592">
      <c r="A2592" s="4"/>
      <c r="B2592" s="4"/>
      <c r="C2592" s="4"/>
      <c r="D2592" s="4"/>
      <c r="E2592" s="4"/>
      <c r="F2592" s="4"/>
      <c r="G2592" s="4"/>
    </row>
    <row r="2593">
      <c r="A2593" s="4"/>
      <c r="B2593" s="4"/>
      <c r="C2593" s="4"/>
      <c r="D2593" s="4"/>
      <c r="E2593" s="4"/>
      <c r="F2593" s="4"/>
      <c r="G2593" s="4"/>
    </row>
    <row r="2594">
      <c r="A2594" s="4"/>
      <c r="B2594" s="4"/>
      <c r="C2594" s="4"/>
      <c r="D2594" s="4"/>
      <c r="E2594" s="4"/>
      <c r="F2594" s="4"/>
      <c r="G2594" s="4"/>
    </row>
    <row r="2595">
      <c r="A2595" s="4"/>
      <c r="B2595" s="4"/>
      <c r="C2595" s="4"/>
      <c r="D2595" s="4"/>
      <c r="E2595" s="13"/>
      <c r="F2595" s="4"/>
      <c r="G2595" s="4"/>
    </row>
    <row r="2596">
      <c r="A2596" s="4"/>
      <c r="B2596" s="4"/>
      <c r="C2596" s="4"/>
      <c r="D2596" s="4"/>
      <c r="E2596" s="4"/>
      <c r="F2596" s="4"/>
      <c r="G2596" s="4"/>
    </row>
    <row r="2597">
      <c r="A2597" s="4"/>
      <c r="B2597" s="4"/>
      <c r="C2597" s="4"/>
      <c r="D2597" s="4"/>
      <c r="E2597" s="4"/>
      <c r="F2597" s="4"/>
      <c r="G2597" s="4"/>
    </row>
    <row r="2598">
      <c r="A2598" s="4"/>
      <c r="B2598" s="4"/>
      <c r="C2598" s="4"/>
      <c r="D2598" s="4"/>
      <c r="E2598" s="4"/>
      <c r="F2598" s="4"/>
      <c r="G2598" s="4"/>
    </row>
    <row r="2599">
      <c r="A2599" s="4"/>
      <c r="B2599" s="4"/>
      <c r="C2599" s="4"/>
      <c r="D2599" s="13"/>
      <c r="E2599" s="13"/>
      <c r="F2599" s="4"/>
      <c r="G2599" s="4"/>
    </row>
    <row r="2600">
      <c r="A2600" s="4"/>
      <c r="B2600" s="4"/>
      <c r="C2600" s="4"/>
      <c r="D2600" s="4"/>
      <c r="E2600" s="4"/>
      <c r="F2600" s="4"/>
      <c r="G2600" s="4"/>
    </row>
    <row r="2601">
      <c r="A2601" s="4"/>
      <c r="B2601" s="4"/>
      <c r="C2601" s="4"/>
      <c r="D2601" s="4"/>
      <c r="E2601" s="4"/>
      <c r="F2601" s="4"/>
      <c r="G2601" s="4"/>
    </row>
    <row r="2602">
      <c r="A2602" s="4"/>
      <c r="B2602" s="4"/>
      <c r="C2602" s="4"/>
      <c r="D2602" s="4"/>
      <c r="E2602" s="13"/>
      <c r="F2602" s="4"/>
      <c r="G2602" s="4"/>
    </row>
    <row r="2603">
      <c r="A2603" s="4"/>
      <c r="B2603" s="4"/>
      <c r="C2603" s="4"/>
      <c r="D2603" s="13"/>
      <c r="E2603" s="13"/>
      <c r="F2603" s="4"/>
      <c r="G2603" s="4"/>
    </row>
    <row r="2604">
      <c r="A2604" s="4"/>
      <c r="B2604" s="4"/>
      <c r="C2604" s="4"/>
      <c r="D2604" s="4"/>
      <c r="E2604" s="4"/>
      <c r="F2604" s="4"/>
      <c r="G2604" s="4"/>
    </row>
    <row r="2605">
      <c r="A2605" s="4"/>
      <c r="B2605" s="4"/>
      <c r="C2605" s="4"/>
      <c r="D2605" s="4"/>
      <c r="E2605" s="4"/>
      <c r="F2605" s="4"/>
      <c r="G2605" s="4"/>
    </row>
    <row r="2606">
      <c r="A2606" s="4"/>
      <c r="B2606" s="4"/>
      <c r="C2606" s="4"/>
      <c r="D2606" s="4"/>
      <c r="E2606" s="4"/>
      <c r="F2606" s="4"/>
      <c r="G2606" s="4"/>
    </row>
    <row r="2607">
      <c r="A2607" s="4"/>
      <c r="B2607" s="4"/>
      <c r="C2607" s="4"/>
      <c r="D2607" s="4"/>
      <c r="E2607" s="4"/>
      <c r="F2607" s="4"/>
      <c r="G2607" s="4"/>
    </row>
    <row r="2608">
      <c r="A2608" s="4"/>
      <c r="B2608" s="4"/>
      <c r="C2608" s="4"/>
      <c r="D2608" s="4"/>
      <c r="E2608" s="13"/>
      <c r="F2608" s="4"/>
      <c r="G2608" s="4"/>
    </row>
    <row r="2609">
      <c r="A2609" s="4"/>
      <c r="B2609" s="4"/>
      <c r="C2609" s="4"/>
      <c r="D2609" s="4"/>
      <c r="E2609" s="4"/>
      <c r="F2609" s="4"/>
      <c r="G2609" s="4"/>
    </row>
    <row r="2610">
      <c r="A2610" s="4"/>
      <c r="B2610" s="4"/>
      <c r="C2610" s="4"/>
      <c r="D2610" s="4"/>
      <c r="E2610" s="13"/>
      <c r="F2610" s="4"/>
      <c r="G2610" s="4"/>
    </row>
    <row r="2611">
      <c r="A2611" s="4"/>
      <c r="B2611" s="4"/>
      <c r="C2611" s="4"/>
      <c r="D2611" s="13"/>
      <c r="E2611" s="13"/>
      <c r="F2611" s="4"/>
      <c r="G2611" s="4"/>
    </row>
    <row r="2612">
      <c r="A2612" s="4"/>
      <c r="B2612" s="4"/>
      <c r="C2612" s="4"/>
      <c r="D2612" s="4"/>
      <c r="E2612" s="4"/>
      <c r="F2612" s="4"/>
      <c r="G2612" s="4"/>
    </row>
    <row r="2613">
      <c r="A2613" s="4"/>
      <c r="B2613" s="4"/>
      <c r="C2613" s="4"/>
      <c r="D2613" s="4"/>
      <c r="E2613" s="4"/>
      <c r="F2613" s="4"/>
      <c r="G2613" s="4"/>
    </row>
    <row r="2614">
      <c r="A2614" s="4"/>
      <c r="B2614" s="4"/>
      <c r="C2614" s="4"/>
      <c r="D2614" s="4"/>
      <c r="E2614" s="13"/>
      <c r="F2614" s="4"/>
      <c r="G2614" s="4"/>
    </row>
    <row r="2615">
      <c r="A2615" s="4"/>
      <c r="B2615" s="4"/>
      <c r="C2615" s="4"/>
      <c r="D2615" s="13"/>
      <c r="E2615" s="13"/>
      <c r="F2615" s="4"/>
      <c r="G2615" s="4"/>
    </row>
    <row r="2616">
      <c r="A2616" s="4"/>
      <c r="B2616" s="4"/>
      <c r="C2616" s="4"/>
      <c r="D2616" s="4"/>
      <c r="E2616" s="4"/>
      <c r="F2616" s="4"/>
      <c r="G2616" s="4"/>
    </row>
    <row r="2617">
      <c r="A2617" s="4"/>
      <c r="B2617" s="4"/>
      <c r="C2617" s="4"/>
      <c r="D2617" s="4"/>
      <c r="E2617" s="13"/>
      <c r="F2617" s="4"/>
      <c r="G2617" s="4"/>
    </row>
    <row r="2618">
      <c r="A2618" s="4"/>
      <c r="B2618" s="4"/>
      <c r="C2618" s="4"/>
      <c r="D2618" s="13"/>
      <c r="E2618" s="13"/>
      <c r="F2618" s="4"/>
      <c r="G2618" s="4"/>
    </row>
    <row r="2619">
      <c r="A2619" s="4"/>
      <c r="B2619" s="4"/>
      <c r="C2619" s="4"/>
      <c r="D2619" s="4"/>
      <c r="E2619" s="4"/>
      <c r="F2619" s="4"/>
      <c r="G2619" s="4"/>
    </row>
    <row r="2620">
      <c r="A2620" s="4"/>
      <c r="B2620" s="4"/>
      <c r="C2620" s="4"/>
      <c r="D2620" s="13"/>
      <c r="E2620" s="13"/>
      <c r="F2620" s="4"/>
      <c r="G2620" s="4"/>
    </row>
    <row r="2621">
      <c r="A2621" s="4"/>
      <c r="B2621" s="4"/>
      <c r="C2621" s="4"/>
      <c r="D2621" s="4"/>
      <c r="E2621" s="4"/>
      <c r="F2621" s="4"/>
      <c r="G2621" s="4"/>
    </row>
    <row r="2622">
      <c r="A2622" s="4"/>
      <c r="B2622" s="4"/>
      <c r="C2622" s="4"/>
      <c r="D2622" s="13"/>
      <c r="E2622" s="13"/>
      <c r="F2622" s="4"/>
      <c r="G2622" s="4"/>
    </row>
    <row r="2623">
      <c r="A2623" s="4"/>
      <c r="B2623" s="4"/>
      <c r="C2623" s="4"/>
      <c r="D2623" s="13"/>
      <c r="E2623" s="13"/>
      <c r="F2623" s="4"/>
      <c r="G2623" s="4"/>
    </row>
    <row r="2624">
      <c r="A2624" s="4"/>
      <c r="B2624" s="4"/>
      <c r="C2624" s="4"/>
      <c r="D2624" s="4"/>
      <c r="E2624" s="4"/>
      <c r="F2624" s="4"/>
      <c r="G2624" s="4"/>
    </row>
    <row r="2625">
      <c r="A2625" s="4"/>
      <c r="B2625" s="4"/>
      <c r="C2625" s="4"/>
      <c r="D2625" s="13"/>
      <c r="E2625" s="13"/>
      <c r="F2625" s="4"/>
      <c r="G2625" s="4"/>
    </row>
    <row r="2626">
      <c r="A2626" s="4"/>
      <c r="B2626" s="4"/>
      <c r="C2626" s="4"/>
      <c r="D2626" s="13"/>
      <c r="E2626" s="13"/>
      <c r="F2626" s="4"/>
      <c r="G2626" s="4"/>
    </row>
    <row r="2627">
      <c r="A2627" s="4"/>
      <c r="B2627" s="4"/>
      <c r="C2627" s="4"/>
      <c r="D2627" s="4"/>
      <c r="E2627" s="13"/>
      <c r="F2627" s="4"/>
      <c r="G2627" s="4"/>
    </row>
    <row r="2628">
      <c r="A2628" s="4"/>
      <c r="B2628" s="4"/>
      <c r="C2628" s="4"/>
      <c r="D2628" s="13"/>
      <c r="E2628" s="13"/>
      <c r="F2628" s="4"/>
      <c r="G2628" s="4"/>
    </row>
    <row r="2629">
      <c r="A2629" s="4"/>
      <c r="B2629" s="4"/>
      <c r="C2629" s="4"/>
      <c r="D2629" s="4"/>
      <c r="E2629" s="4"/>
      <c r="F2629" s="4"/>
      <c r="G2629" s="4"/>
    </row>
    <row r="2630">
      <c r="A2630" s="4"/>
      <c r="B2630" s="4"/>
      <c r="C2630" s="4"/>
      <c r="D2630" s="4"/>
      <c r="E2630" s="4"/>
      <c r="F2630" s="4"/>
      <c r="G2630" s="4"/>
    </row>
    <row r="2631">
      <c r="A2631" s="4"/>
      <c r="B2631" s="4"/>
      <c r="C2631" s="4"/>
      <c r="D2631" s="4"/>
      <c r="E2631" s="13"/>
      <c r="F2631" s="4"/>
      <c r="G2631" s="4"/>
    </row>
    <row r="2632">
      <c r="A2632" s="4"/>
      <c r="B2632" s="4"/>
      <c r="C2632" s="4"/>
      <c r="D2632" s="4"/>
      <c r="E2632" s="13"/>
      <c r="F2632" s="4"/>
      <c r="G2632" s="4"/>
    </row>
    <row r="2633">
      <c r="A2633" s="4"/>
      <c r="B2633" s="4"/>
      <c r="C2633" s="4"/>
      <c r="D2633" s="4"/>
      <c r="E2633" s="4"/>
      <c r="F2633" s="4"/>
      <c r="G2633" s="4"/>
    </row>
    <row r="2634">
      <c r="A2634" s="4"/>
      <c r="B2634" s="4"/>
      <c r="C2634" s="4"/>
      <c r="D2634" s="4"/>
      <c r="E2634" s="4"/>
      <c r="F2634" s="4"/>
      <c r="G2634" s="4"/>
    </row>
    <row r="2635">
      <c r="A2635" s="4"/>
      <c r="B2635" s="4"/>
      <c r="C2635" s="4"/>
      <c r="D2635" s="13"/>
      <c r="E2635" s="4"/>
      <c r="F2635" s="4"/>
      <c r="G2635" s="4"/>
    </row>
    <row r="2636">
      <c r="A2636" s="4"/>
      <c r="B2636" s="4"/>
      <c r="C2636" s="4"/>
      <c r="D2636" s="13"/>
      <c r="E2636" s="4"/>
      <c r="F2636" s="4"/>
      <c r="G2636" s="4"/>
    </row>
    <row r="2637">
      <c r="A2637" s="4"/>
      <c r="B2637" s="4"/>
      <c r="C2637" s="4"/>
      <c r="D2637" s="4"/>
      <c r="E2637" s="4"/>
      <c r="F2637" s="4"/>
      <c r="G2637" s="4"/>
    </row>
    <row r="2638">
      <c r="A2638" s="4"/>
      <c r="B2638" s="4"/>
      <c r="C2638" s="4"/>
      <c r="D2638" s="4"/>
      <c r="E2638" s="4"/>
      <c r="F2638" s="4"/>
      <c r="G2638" s="4"/>
    </row>
    <row r="2639">
      <c r="A2639" s="4"/>
      <c r="B2639" s="4"/>
      <c r="C2639" s="4"/>
      <c r="D2639" s="4"/>
      <c r="E2639" s="13"/>
      <c r="F2639" s="4"/>
      <c r="G2639" s="4"/>
    </row>
    <row r="2640">
      <c r="A2640" s="4"/>
      <c r="B2640" s="4"/>
      <c r="C2640" s="4"/>
      <c r="D2640" s="4"/>
      <c r="E2640" s="13"/>
      <c r="F2640" s="4"/>
      <c r="G2640" s="4"/>
    </row>
    <row r="2641">
      <c r="A2641" s="4"/>
      <c r="B2641" s="4"/>
      <c r="C2641" s="4"/>
      <c r="D2641" s="13"/>
      <c r="E2641" s="13"/>
      <c r="F2641" s="4"/>
      <c r="G2641" s="4"/>
    </row>
    <row r="2642">
      <c r="A2642" s="4"/>
      <c r="B2642" s="4"/>
      <c r="C2642" s="4"/>
      <c r="D2642" s="13"/>
      <c r="E2642" s="13"/>
      <c r="F2642" s="4"/>
      <c r="G2642" s="4"/>
    </row>
    <row r="2643">
      <c r="A2643" s="4"/>
      <c r="B2643" s="4"/>
      <c r="C2643" s="4"/>
      <c r="D2643" s="4"/>
      <c r="E2643" s="4"/>
      <c r="F2643" s="4"/>
      <c r="G2643" s="4"/>
    </row>
    <row r="2644">
      <c r="A2644" s="4"/>
      <c r="B2644" s="4"/>
      <c r="C2644" s="4"/>
      <c r="D2644" s="4"/>
      <c r="E2644" s="4"/>
      <c r="F2644" s="4"/>
      <c r="G2644" s="4"/>
    </row>
    <row r="2645">
      <c r="A2645" s="4"/>
      <c r="B2645" s="4"/>
      <c r="C2645" s="4"/>
      <c r="D2645" s="4"/>
      <c r="E2645" s="4"/>
      <c r="F2645" s="4"/>
      <c r="G2645" s="4"/>
    </row>
    <row r="2646">
      <c r="A2646" s="4"/>
      <c r="B2646" s="4"/>
      <c r="C2646" s="4"/>
      <c r="D2646" s="4"/>
      <c r="E2646" s="4"/>
      <c r="F2646" s="4"/>
      <c r="G2646" s="4"/>
    </row>
    <row r="2647">
      <c r="A2647" s="4"/>
      <c r="B2647" s="4"/>
      <c r="C2647" s="4"/>
      <c r="D2647" s="4"/>
      <c r="E2647" s="4"/>
      <c r="F2647" s="4"/>
      <c r="G2647" s="4"/>
    </row>
    <row r="2648">
      <c r="A2648" s="4"/>
      <c r="B2648" s="4"/>
      <c r="C2648" s="4"/>
      <c r="D2648" s="4"/>
      <c r="E2648" s="4"/>
      <c r="F2648" s="4"/>
      <c r="G2648" s="4"/>
    </row>
    <row r="2649">
      <c r="A2649" s="4"/>
      <c r="B2649" s="4"/>
      <c r="C2649" s="4"/>
      <c r="D2649" s="4"/>
      <c r="E2649" s="4"/>
      <c r="F2649" s="4"/>
      <c r="G2649" s="4"/>
    </row>
    <row r="2650">
      <c r="A2650" s="4"/>
      <c r="B2650" s="4"/>
      <c r="C2650" s="4"/>
      <c r="D2650" s="4"/>
      <c r="E2650" s="4"/>
      <c r="F2650" s="4"/>
      <c r="G2650" s="4"/>
    </row>
    <row r="2651">
      <c r="A2651" s="4"/>
      <c r="B2651" s="4"/>
      <c r="C2651" s="4"/>
      <c r="D2651" s="4"/>
      <c r="E2651" s="4"/>
      <c r="F2651" s="4"/>
      <c r="G2651" s="4"/>
    </row>
    <row r="2652">
      <c r="A2652" s="4"/>
      <c r="B2652" s="4"/>
      <c r="C2652" s="4"/>
      <c r="D2652" s="4"/>
      <c r="E2652" s="4"/>
      <c r="F2652" s="4"/>
      <c r="G2652" s="4"/>
    </row>
    <row r="2653">
      <c r="A2653" s="4"/>
      <c r="B2653" s="4"/>
      <c r="C2653" s="4"/>
      <c r="D2653" s="4"/>
      <c r="E2653" s="4"/>
      <c r="F2653" s="4"/>
      <c r="G2653" s="4"/>
    </row>
    <row r="2654">
      <c r="A2654" s="4"/>
      <c r="B2654" s="4"/>
      <c r="C2654" s="4"/>
      <c r="D2654" s="4"/>
      <c r="E2654" s="4"/>
      <c r="F2654" s="4"/>
      <c r="G2654" s="4"/>
    </row>
    <row r="2655">
      <c r="A2655" s="4"/>
      <c r="B2655" s="4"/>
      <c r="C2655" s="4"/>
      <c r="D2655" s="4"/>
      <c r="E2655" s="4"/>
      <c r="F2655" s="4"/>
      <c r="G2655" s="4"/>
    </row>
    <row r="2656">
      <c r="A2656" s="4"/>
      <c r="B2656" s="4"/>
      <c r="C2656" s="4"/>
      <c r="D2656" s="4"/>
      <c r="E2656" s="13"/>
      <c r="F2656" s="4"/>
      <c r="G2656" s="4"/>
    </row>
    <row r="2657">
      <c r="A2657" s="4"/>
      <c r="B2657" s="4"/>
      <c r="C2657" s="4"/>
      <c r="D2657" s="4"/>
      <c r="E2657" s="13"/>
      <c r="F2657" s="4"/>
      <c r="G2657" s="4"/>
    </row>
    <row r="2658">
      <c r="A2658" s="4"/>
      <c r="B2658" s="4"/>
      <c r="C2658" s="4"/>
      <c r="D2658" s="4"/>
      <c r="E2658" s="4"/>
      <c r="F2658" s="4"/>
      <c r="G2658" s="4"/>
    </row>
    <row r="2659">
      <c r="A2659" s="4"/>
      <c r="B2659" s="4"/>
      <c r="C2659" s="4"/>
      <c r="D2659" s="4"/>
      <c r="E2659" s="13"/>
      <c r="F2659" s="4"/>
      <c r="G2659" s="4"/>
    </row>
    <row r="2660">
      <c r="A2660" s="4"/>
      <c r="B2660" s="4"/>
      <c r="C2660" s="4"/>
      <c r="D2660" s="4"/>
      <c r="E2660" s="4"/>
      <c r="F2660" s="4"/>
      <c r="G2660" s="4"/>
    </row>
    <row r="2661">
      <c r="A2661" s="4"/>
      <c r="B2661" s="4"/>
      <c r="C2661" s="4"/>
      <c r="D2661" s="4"/>
      <c r="E2661" s="4"/>
      <c r="F2661" s="4"/>
      <c r="G2661" s="4"/>
    </row>
    <row r="2662">
      <c r="A2662" s="4"/>
      <c r="B2662" s="4"/>
      <c r="C2662" s="4"/>
      <c r="D2662" s="4"/>
      <c r="E2662" s="4"/>
      <c r="F2662" s="4"/>
      <c r="G2662" s="4"/>
    </row>
    <row r="2663">
      <c r="A2663" s="4"/>
      <c r="B2663" s="4"/>
      <c r="C2663" s="4"/>
      <c r="D2663" s="4"/>
      <c r="E2663" s="4"/>
      <c r="F2663" s="4"/>
      <c r="G2663" s="4"/>
    </row>
    <row r="2664">
      <c r="A2664" s="4"/>
      <c r="B2664" s="4"/>
      <c r="C2664" s="4"/>
      <c r="D2664" s="4"/>
      <c r="E2664" s="13"/>
      <c r="F2664" s="4"/>
      <c r="G2664" s="4"/>
    </row>
    <row r="2665">
      <c r="A2665" s="4"/>
      <c r="B2665" s="4"/>
      <c r="C2665" s="4"/>
      <c r="D2665" s="4"/>
      <c r="E2665" s="13"/>
      <c r="F2665" s="4"/>
      <c r="G2665" s="4"/>
    </row>
    <row r="2666">
      <c r="A2666" s="4"/>
      <c r="B2666" s="4"/>
      <c r="C2666" s="4"/>
      <c r="D2666" s="4"/>
      <c r="E2666" s="4"/>
      <c r="F2666" s="4"/>
      <c r="G2666" s="4"/>
    </row>
    <row r="2667">
      <c r="A2667" s="4"/>
      <c r="B2667" s="4"/>
      <c r="C2667" s="4"/>
      <c r="D2667" s="4"/>
      <c r="E2667" s="13"/>
      <c r="F2667" s="4"/>
      <c r="G2667" s="4"/>
    </row>
    <row r="2668">
      <c r="A2668" s="4"/>
      <c r="B2668" s="4"/>
      <c r="C2668" s="4"/>
      <c r="D2668" s="4"/>
      <c r="E2668" s="4"/>
      <c r="F2668" s="4"/>
      <c r="G2668" s="4"/>
    </row>
    <row r="2669">
      <c r="A2669" s="4"/>
      <c r="B2669" s="4"/>
      <c r="C2669" s="4"/>
      <c r="D2669" s="4"/>
      <c r="E2669" s="4"/>
      <c r="F2669" s="4"/>
      <c r="G2669" s="4"/>
    </row>
    <row r="2670">
      <c r="A2670" s="4"/>
      <c r="B2670" s="4"/>
      <c r="C2670" s="4"/>
      <c r="D2670" s="4"/>
      <c r="E2670" s="13"/>
      <c r="F2670" s="4"/>
      <c r="G2670" s="4"/>
    </row>
    <row r="2671">
      <c r="A2671" s="4"/>
      <c r="B2671" s="4"/>
      <c r="C2671" s="4"/>
      <c r="D2671" s="4"/>
      <c r="E2671" s="4"/>
      <c r="F2671" s="4"/>
      <c r="G2671" s="4"/>
    </row>
    <row r="2672">
      <c r="A2672" s="4"/>
      <c r="B2672" s="4"/>
      <c r="C2672" s="4"/>
      <c r="D2672" s="4"/>
      <c r="E2672" s="4"/>
      <c r="F2672" s="4"/>
      <c r="G2672" s="4"/>
    </row>
    <row r="2673">
      <c r="A2673" s="4"/>
      <c r="B2673" s="4"/>
      <c r="C2673" s="4"/>
      <c r="D2673" s="4"/>
      <c r="E2673" s="13"/>
      <c r="F2673" s="4"/>
      <c r="G2673" s="4"/>
    </row>
    <row r="2674">
      <c r="A2674" s="4"/>
      <c r="B2674" s="4"/>
      <c r="C2674" s="4"/>
      <c r="D2674" s="4"/>
      <c r="E2674" s="13"/>
      <c r="F2674" s="4"/>
      <c r="G2674" s="4"/>
    </row>
    <row r="2675">
      <c r="A2675" s="4"/>
      <c r="B2675" s="4"/>
      <c r="C2675" s="4"/>
      <c r="D2675" s="4"/>
      <c r="E2675" s="4"/>
      <c r="F2675" s="4"/>
      <c r="G2675" s="4"/>
    </row>
    <row r="2676">
      <c r="A2676" s="4"/>
      <c r="B2676" s="4"/>
      <c r="C2676" s="4"/>
      <c r="D2676" s="4"/>
      <c r="E2676" s="4"/>
      <c r="F2676" s="4"/>
      <c r="G2676" s="4"/>
    </row>
    <row r="2677">
      <c r="A2677" s="4"/>
      <c r="B2677" s="4"/>
      <c r="C2677" s="4"/>
      <c r="D2677" s="4"/>
      <c r="E2677" s="4"/>
      <c r="F2677" s="4"/>
      <c r="G2677" s="4"/>
    </row>
    <row r="2678">
      <c r="A2678" s="4"/>
      <c r="B2678" s="4"/>
      <c r="C2678" s="4"/>
      <c r="D2678" s="4"/>
      <c r="E2678" s="4"/>
      <c r="F2678" s="4"/>
      <c r="G2678" s="4"/>
    </row>
    <row r="2679">
      <c r="A2679" s="4"/>
      <c r="B2679" s="4"/>
      <c r="C2679" s="4"/>
      <c r="D2679" s="4"/>
      <c r="E2679" s="4"/>
      <c r="F2679" s="4"/>
      <c r="G2679" s="4"/>
    </row>
    <row r="2680">
      <c r="A2680" s="4"/>
      <c r="B2680" s="4"/>
      <c r="C2680" s="4"/>
      <c r="D2680" s="4"/>
      <c r="E2680" s="4"/>
      <c r="F2680" s="4"/>
      <c r="G2680" s="4"/>
    </row>
    <row r="2681">
      <c r="A2681" s="4"/>
      <c r="B2681" s="4"/>
      <c r="C2681" s="4"/>
      <c r="D2681" s="4"/>
      <c r="E2681" s="13"/>
      <c r="F2681" s="4"/>
      <c r="G2681" s="4"/>
    </row>
    <row r="2682">
      <c r="A2682" s="4"/>
      <c r="B2682" s="4"/>
      <c r="C2682" s="4"/>
      <c r="D2682" s="4"/>
      <c r="E2682" s="4"/>
      <c r="F2682" s="4"/>
      <c r="G2682" s="4"/>
    </row>
    <row r="2683">
      <c r="A2683" s="4"/>
      <c r="B2683" s="4"/>
      <c r="C2683" s="4"/>
      <c r="D2683" s="4"/>
      <c r="E2683" s="13"/>
      <c r="F2683" s="4"/>
      <c r="G2683" s="4"/>
    </row>
    <row r="2684">
      <c r="A2684" s="4"/>
      <c r="B2684" s="4"/>
      <c r="C2684" s="4"/>
      <c r="D2684" s="4"/>
      <c r="E2684" s="4"/>
      <c r="F2684" s="4"/>
      <c r="G2684" s="4"/>
    </row>
    <row r="2685">
      <c r="A2685" s="4"/>
      <c r="B2685" s="4"/>
      <c r="C2685" s="4"/>
      <c r="D2685" s="4"/>
      <c r="E2685" s="13"/>
      <c r="F2685" s="4"/>
      <c r="G2685" s="4"/>
    </row>
    <row r="2686">
      <c r="A2686" s="4"/>
      <c r="B2686" s="4"/>
      <c r="C2686" s="4"/>
      <c r="D2686" s="13"/>
      <c r="E2686" s="13"/>
      <c r="F2686" s="4"/>
      <c r="G2686" s="4"/>
    </row>
    <row r="2687">
      <c r="A2687" s="4"/>
      <c r="B2687" s="4"/>
      <c r="C2687" s="4"/>
      <c r="D2687" s="4"/>
      <c r="E2687" s="4"/>
      <c r="F2687" s="4"/>
      <c r="G2687" s="4"/>
    </row>
    <row r="2688">
      <c r="A2688" s="4"/>
      <c r="B2688" s="4"/>
      <c r="C2688" s="4"/>
      <c r="D2688" s="4"/>
      <c r="E2688" s="13"/>
      <c r="F2688" s="4"/>
      <c r="G2688" s="4"/>
    </row>
    <row r="2689">
      <c r="A2689" s="4"/>
      <c r="B2689" s="4"/>
      <c r="C2689" s="4"/>
      <c r="D2689" s="4"/>
      <c r="E2689" s="4"/>
      <c r="F2689" s="4"/>
      <c r="G2689" s="4"/>
    </row>
    <row r="2690">
      <c r="A2690" s="4"/>
      <c r="B2690" s="4"/>
      <c r="C2690" s="4"/>
      <c r="D2690" s="4"/>
      <c r="E2690" s="4"/>
      <c r="F2690" s="4"/>
      <c r="G2690" s="4"/>
    </row>
    <row r="2691">
      <c r="A2691" s="4"/>
      <c r="B2691" s="4"/>
      <c r="C2691" s="4"/>
      <c r="D2691" s="4"/>
      <c r="E2691" s="13"/>
      <c r="F2691" s="4"/>
      <c r="G2691" s="4"/>
    </row>
    <row r="2692">
      <c r="A2692" s="4"/>
      <c r="B2692" s="4"/>
      <c r="C2692" s="4"/>
      <c r="D2692" s="4"/>
      <c r="E2692" s="13"/>
      <c r="F2692" s="4"/>
      <c r="G2692" s="4"/>
    </row>
    <row r="2693">
      <c r="A2693" s="4"/>
      <c r="B2693" s="4"/>
      <c r="C2693" s="4"/>
      <c r="D2693" s="4"/>
      <c r="E2693" s="13"/>
      <c r="F2693" s="4"/>
      <c r="G2693" s="4"/>
    </row>
    <row r="2694">
      <c r="A2694" s="4"/>
      <c r="B2694" s="4"/>
      <c r="C2694" s="4"/>
      <c r="D2694" s="4"/>
      <c r="E2694" s="4"/>
      <c r="F2694" s="4"/>
      <c r="G2694" s="4"/>
    </row>
    <row r="2695">
      <c r="A2695" s="4"/>
      <c r="B2695" s="4"/>
      <c r="C2695" s="4"/>
      <c r="D2695" s="4"/>
      <c r="E2695" s="13"/>
      <c r="F2695" s="4"/>
      <c r="G2695" s="4"/>
    </row>
    <row r="2696">
      <c r="A2696" s="4"/>
      <c r="B2696" s="4"/>
      <c r="C2696" s="4"/>
      <c r="D2696" s="4"/>
      <c r="E2696" s="4"/>
      <c r="F2696" s="4"/>
      <c r="G2696" s="4"/>
    </row>
    <row r="2697">
      <c r="A2697" s="4"/>
      <c r="B2697" s="4"/>
      <c r="C2697" s="4"/>
      <c r="D2697" s="4"/>
      <c r="E2697" s="4"/>
      <c r="F2697" s="4"/>
      <c r="G2697" s="4"/>
    </row>
    <row r="2698">
      <c r="A2698" s="4"/>
      <c r="B2698" s="4"/>
      <c r="C2698" s="4"/>
      <c r="D2698" s="4"/>
      <c r="E2698" s="4"/>
      <c r="F2698" s="4"/>
      <c r="G2698" s="4"/>
    </row>
    <row r="2699">
      <c r="A2699" s="4"/>
      <c r="B2699" s="4"/>
      <c r="C2699" s="4"/>
      <c r="D2699" s="13"/>
      <c r="E2699" s="4"/>
      <c r="F2699" s="4"/>
      <c r="G2699" s="4"/>
    </row>
    <row r="2700">
      <c r="A2700" s="4"/>
      <c r="B2700" s="4"/>
      <c r="C2700" s="4"/>
      <c r="D2700" s="4"/>
      <c r="E2700" s="4"/>
      <c r="F2700" s="4"/>
      <c r="G2700" s="4"/>
    </row>
    <row r="2701">
      <c r="A2701" s="4"/>
      <c r="B2701" s="4"/>
      <c r="C2701" s="4"/>
      <c r="D2701" s="4"/>
      <c r="E2701" s="4"/>
      <c r="F2701" s="4"/>
      <c r="G2701" s="4"/>
    </row>
    <row r="2702">
      <c r="A2702" s="4"/>
      <c r="B2702" s="4"/>
      <c r="C2702" s="4"/>
      <c r="D2702" s="4"/>
      <c r="E2702" s="13"/>
      <c r="F2702" s="4"/>
      <c r="G2702" s="4"/>
    </row>
    <row r="2703">
      <c r="A2703" s="4"/>
      <c r="B2703" s="4"/>
      <c r="C2703" s="4"/>
      <c r="D2703" s="13"/>
      <c r="E2703" s="13"/>
      <c r="F2703" s="4"/>
      <c r="G2703" s="4"/>
    </row>
    <row r="2704">
      <c r="A2704" s="4"/>
      <c r="B2704" s="4"/>
      <c r="C2704" s="4"/>
      <c r="D2704" s="4"/>
      <c r="E2704" s="4"/>
      <c r="F2704" s="4"/>
      <c r="G2704" s="4"/>
    </row>
    <row r="2705">
      <c r="A2705" s="4"/>
      <c r="B2705" s="4"/>
      <c r="C2705" s="4"/>
      <c r="D2705" s="4"/>
      <c r="E2705" s="13"/>
      <c r="F2705" s="4"/>
      <c r="G2705" s="4"/>
    </row>
    <row r="2706">
      <c r="A2706" s="4"/>
      <c r="B2706" s="4"/>
      <c r="C2706" s="4"/>
      <c r="D2706" s="13"/>
      <c r="E2706" s="13"/>
      <c r="F2706" s="4"/>
      <c r="G2706" s="4"/>
    </row>
    <row r="2707">
      <c r="A2707" s="4"/>
      <c r="B2707" s="4"/>
      <c r="C2707" s="4"/>
      <c r="D2707" s="13"/>
      <c r="E2707" s="13"/>
      <c r="F2707" s="4"/>
      <c r="G2707" s="4"/>
    </row>
    <row r="2708">
      <c r="A2708" s="4"/>
      <c r="B2708" s="4"/>
      <c r="C2708" s="4"/>
      <c r="D2708" s="4"/>
      <c r="E2708" s="4"/>
      <c r="F2708" s="4"/>
      <c r="G2708" s="4"/>
    </row>
    <row r="2709">
      <c r="A2709" s="4"/>
      <c r="B2709" s="4"/>
      <c r="C2709" s="4"/>
      <c r="D2709" s="13"/>
      <c r="E2709" s="13"/>
      <c r="F2709" s="4"/>
      <c r="G2709" s="4"/>
    </row>
    <row r="2710">
      <c r="A2710" s="4"/>
      <c r="B2710" s="4"/>
      <c r="C2710" s="4"/>
      <c r="D2710" s="13"/>
      <c r="E2710" s="13"/>
      <c r="F2710" s="4"/>
      <c r="G2710" s="4"/>
    </row>
    <row r="2711">
      <c r="A2711" s="4"/>
      <c r="B2711" s="4"/>
      <c r="C2711" s="4"/>
      <c r="D2711" s="4"/>
      <c r="E2711" s="4"/>
      <c r="F2711" s="4"/>
      <c r="G2711" s="4"/>
    </row>
    <row r="2712">
      <c r="A2712" s="4"/>
      <c r="B2712" s="4"/>
      <c r="C2712" s="4"/>
      <c r="D2712" s="13"/>
      <c r="E2712" s="13"/>
      <c r="F2712" s="4"/>
      <c r="G2712" s="4"/>
    </row>
    <row r="2713">
      <c r="A2713" s="4"/>
      <c r="B2713" s="4"/>
      <c r="C2713" s="4"/>
      <c r="D2713" s="13"/>
      <c r="E2713" s="13"/>
      <c r="F2713" s="4"/>
      <c r="G2713" s="4"/>
    </row>
    <row r="2714">
      <c r="A2714" s="4"/>
      <c r="B2714" s="4"/>
      <c r="C2714" s="4"/>
      <c r="D2714" s="4"/>
      <c r="E2714" s="4"/>
      <c r="F2714" s="4"/>
      <c r="G2714" s="4"/>
    </row>
    <row r="2715">
      <c r="A2715" s="4"/>
      <c r="B2715" s="4"/>
      <c r="C2715" s="4"/>
      <c r="D2715" s="4"/>
      <c r="E2715" s="4"/>
      <c r="F2715" s="4"/>
      <c r="G2715" s="4"/>
    </row>
    <row r="2716">
      <c r="A2716" s="4"/>
      <c r="B2716" s="4"/>
      <c r="C2716" s="4"/>
      <c r="D2716" s="4"/>
      <c r="E2716" s="4"/>
      <c r="F2716" s="4"/>
      <c r="G2716" s="4"/>
    </row>
    <row r="2717">
      <c r="A2717" s="4"/>
      <c r="B2717" s="4"/>
      <c r="C2717" s="4"/>
      <c r="D2717" s="4"/>
      <c r="E2717" s="4"/>
      <c r="F2717" s="4"/>
      <c r="G2717" s="4"/>
    </row>
    <row r="2718">
      <c r="A2718" s="4"/>
      <c r="B2718" s="4"/>
      <c r="C2718" s="4"/>
      <c r="D2718" s="4"/>
      <c r="E2718" s="4"/>
      <c r="F2718" s="4"/>
      <c r="G2718" s="4"/>
    </row>
    <row r="2719">
      <c r="A2719" s="4"/>
      <c r="B2719" s="4"/>
      <c r="C2719" s="4"/>
      <c r="D2719" s="4"/>
      <c r="E2719" s="13"/>
      <c r="F2719" s="4"/>
      <c r="G2719" s="4"/>
    </row>
    <row r="2720">
      <c r="A2720" s="4"/>
      <c r="B2720" s="4"/>
      <c r="C2720" s="4"/>
      <c r="D2720" s="13"/>
      <c r="E2720" s="4"/>
      <c r="F2720" s="4"/>
      <c r="G2720" s="4"/>
    </row>
    <row r="2721">
      <c r="A2721" s="4"/>
      <c r="B2721" s="4"/>
      <c r="C2721" s="4"/>
      <c r="D2721" s="4"/>
      <c r="E2721" s="4"/>
      <c r="F2721" s="4"/>
      <c r="G2721" s="4"/>
    </row>
    <row r="2722">
      <c r="A2722" s="4"/>
      <c r="B2722" s="4"/>
      <c r="C2722" s="4"/>
      <c r="D2722" s="4"/>
      <c r="E2722" s="4"/>
      <c r="F2722" s="4"/>
      <c r="G2722" s="4"/>
    </row>
    <row r="2723">
      <c r="A2723" s="4"/>
      <c r="B2723" s="4"/>
      <c r="C2723" s="4"/>
      <c r="D2723" s="4"/>
      <c r="E2723" s="13"/>
      <c r="F2723" s="4"/>
      <c r="G2723" s="4"/>
    </row>
    <row r="2724">
      <c r="A2724" s="4"/>
      <c r="B2724" s="4"/>
      <c r="C2724" s="4"/>
      <c r="D2724" s="4"/>
      <c r="E2724" s="13"/>
      <c r="F2724" s="4"/>
      <c r="G2724" s="4"/>
    </row>
    <row r="2725">
      <c r="A2725" s="4"/>
      <c r="B2725" s="4"/>
      <c r="C2725" s="4"/>
      <c r="D2725" s="4"/>
      <c r="E2725" s="4"/>
      <c r="F2725" s="4"/>
      <c r="G2725" s="4"/>
    </row>
    <row r="2726">
      <c r="A2726" s="4"/>
      <c r="B2726" s="4"/>
      <c r="C2726" s="4"/>
      <c r="D2726" s="4"/>
      <c r="E2726" s="13"/>
      <c r="F2726" s="4"/>
      <c r="G2726" s="4"/>
    </row>
    <row r="2727">
      <c r="A2727" s="4"/>
      <c r="B2727" s="4"/>
      <c r="C2727" s="4"/>
      <c r="D2727" s="4"/>
      <c r="E2727" s="4"/>
      <c r="F2727" s="4"/>
      <c r="G2727" s="4"/>
    </row>
    <row r="2728">
      <c r="A2728" s="4"/>
      <c r="B2728" s="4"/>
      <c r="C2728" s="4"/>
      <c r="D2728" s="4"/>
      <c r="E2728" s="4"/>
      <c r="F2728" s="4"/>
      <c r="G2728" s="4"/>
    </row>
    <row r="2729">
      <c r="A2729" s="4"/>
      <c r="B2729" s="4"/>
      <c r="C2729" s="4"/>
      <c r="D2729" s="4"/>
      <c r="E2729" s="4"/>
      <c r="F2729" s="4"/>
      <c r="G2729" s="4"/>
    </row>
    <row r="2730">
      <c r="A2730" s="4"/>
      <c r="B2730" s="4"/>
      <c r="C2730" s="4"/>
      <c r="D2730" s="4"/>
      <c r="E2730" s="4"/>
      <c r="F2730" s="4"/>
      <c r="G2730" s="4"/>
    </row>
    <row r="2731">
      <c r="A2731" s="4"/>
      <c r="B2731" s="4"/>
      <c r="C2731" s="4"/>
      <c r="D2731" s="4"/>
      <c r="E2731" s="4"/>
      <c r="F2731" s="4"/>
      <c r="G2731" s="4"/>
    </row>
    <row r="2732">
      <c r="A2732" s="4"/>
      <c r="B2732" s="4"/>
      <c r="C2732" s="4"/>
      <c r="D2732" s="4"/>
      <c r="E2732" s="4"/>
      <c r="F2732" s="4"/>
      <c r="G2732" s="4"/>
    </row>
    <row r="2733">
      <c r="A2733" s="4"/>
      <c r="B2733" s="4"/>
      <c r="C2733" s="4"/>
      <c r="D2733" s="4"/>
      <c r="E2733" s="13"/>
      <c r="F2733" s="4"/>
      <c r="G2733" s="4"/>
    </row>
    <row r="2734">
      <c r="A2734" s="4"/>
      <c r="B2734" s="4"/>
      <c r="C2734" s="4"/>
      <c r="D2734" s="4"/>
      <c r="E2734" s="13"/>
      <c r="F2734" s="4"/>
      <c r="G2734" s="4"/>
    </row>
    <row r="2735">
      <c r="A2735" s="4"/>
      <c r="B2735" s="4"/>
      <c r="C2735" s="4"/>
      <c r="D2735" s="4"/>
      <c r="E2735" s="4"/>
      <c r="F2735" s="4"/>
      <c r="G2735" s="4"/>
    </row>
    <row r="2736">
      <c r="A2736" s="4"/>
      <c r="B2736" s="4"/>
      <c r="C2736" s="4"/>
      <c r="D2736" s="4"/>
      <c r="E2736" s="4"/>
      <c r="F2736" s="4"/>
      <c r="G2736" s="4"/>
    </row>
    <row r="2737">
      <c r="A2737" s="4"/>
      <c r="B2737" s="4"/>
      <c r="C2737" s="4"/>
      <c r="D2737" s="4"/>
      <c r="E2737" s="4"/>
      <c r="F2737" s="4"/>
      <c r="G2737" s="4"/>
    </row>
    <row r="2738">
      <c r="A2738" s="4"/>
      <c r="B2738" s="4"/>
      <c r="C2738" s="4"/>
      <c r="D2738" s="4"/>
      <c r="E2738" s="13"/>
      <c r="F2738" s="4"/>
      <c r="G2738" s="4"/>
    </row>
    <row r="2739">
      <c r="A2739" s="4"/>
      <c r="B2739" s="4"/>
      <c r="C2739" s="4"/>
      <c r="D2739" s="4"/>
      <c r="E2739" s="4"/>
      <c r="F2739" s="4"/>
      <c r="G2739" s="4"/>
    </row>
    <row r="2740">
      <c r="A2740" s="4"/>
      <c r="B2740" s="4"/>
      <c r="C2740" s="4"/>
      <c r="D2740" s="4"/>
      <c r="E2740" s="4"/>
      <c r="F2740" s="4"/>
      <c r="G2740" s="4"/>
    </row>
    <row r="2741">
      <c r="A2741" s="4"/>
      <c r="B2741" s="4"/>
      <c r="C2741" s="4"/>
      <c r="D2741" s="4"/>
      <c r="E2741" s="4"/>
      <c r="F2741" s="4"/>
      <c r="G2741" s="4"/>
    </row>
    <row r="2742">
      <c r="A2742" s="4"/>
      <c r="B2742" s="4"/>
      <c r="C2742" s="4"/>
      <c r="D2742" s="4"/>
      <c r="E2742" s="4"/>
      <c r="F2742" s="4"/>
      <c r="G2742" s="4"/>
    </row>
    <row r="2743">
      <c r="A2743" s="4"/>
      <c r="B2743" s="4"/>
      <c r="C2743" s="4"/>
      <c r="D2743" s="4"/>
      <c r="E2743" s="4"/>
      <c r="F2743" s="4"/>
      <c r="G2743" s="4"/>
    </row>
    <row r="2744">
      <c r="A2744" s="4"/>
      <c r="B2744" s="4"/>
      <c r="C2744" s="4"/>
      <c r="D2744" s="4"/>
      <c r="E2744" s="4"/>
      <c r="F2744" s="4"/>
      <c r="G2744" s="4"/>
    </row>
    <row r="2745">
      <c r="A2745" s="4"/>
      <c r="B2745" s="4"/>
      <c r="C2745" s="4"/>
      <c r="D2745" s="4"/>
      <c r="E2745" s="13"/>
      <c r="F2745" s="4"/>
      <c r="G2745" s="4"/>
    </row>
    <row r="2746">
      <c r="A2746" s="4"/>
      <c r="B2746" s="4"/>
      <c r="C2746" s="4"/>
      <c r="D2746" s="4"/>
      <c r="E2746" s="4"/>
      <c r="F2746" s="4"/>
      <c r="G2746" s="4"/>
    </row>
    <row r="2747">
      <c r="A2747" s="4"/>
      <c r="B2747" s="4"/>
      <c r="C2747" s="4"/>
      <c r="D2747" s="4"/>
      <c r="E2747" s="4"/>
      <c r="F2747" s="4"/>
      <c r="G2747" s="4"/>
    </row>
    <row r="2748">
      <c r="A2748" s="4"/>
      <c r="B2748" s="4"/>
      <c r="C2748" s="4"/>
      <c r="D2748" s="13"/>
      <c r="E2748" s="13"/>
      <c r="F2748" s="4"/>
      <c r="G2748" s="4"/>
    </row>
    <row r="2749">
      <c r="A2749" s="4"/>
      <c r="B2749" s="4"/>
      <c r="C2749" s="4"/>
      <c r="D2749" s="4"/>
      <c r="E2749" s="13"/>
      <c r="F2749" s="4"/>
      <c r="G2749" s="4"/>
    </row>
    <row r="2750">
      <c r="A2750" s="4"/>
      <c r="B2750" s="4"/>
      <c r="C2750" s="4"/>
      <c r="D2750" s="4"/>
      <c r="E2750" s="4"/>
      <c r="F2750" s="4"/>
      <c r="G2750" s="4"/>
    </row>
    <row r="2751">
      <c r="A2751" s="4"/>
      <c r="B2751" s="4"/>
      <c r="C2751" s="4"/>
      <c r="D2751" s="4"/>
      <c r="E2751" s="4"/>
      <c r="F2751" s="4"/>
      <c r="G2751" s="4"/>
    </row>
    <row r="2752">
      <c r="A2752" s="4"/>
      <c r="B2752" s="4"/>
      <c r="C2752" s="4"/>
      <c r="D2752" s="4"/>
      <c r="E2752" s="13"/>
      <c r="F2752" s="4"/>
      <c r="G2752" s="4"/>
    </row>
    <row r="2753">
      <c r="A2753" s="4"/>
      <c r="B2753" s="4"/>
      <c r="C2753" s="4"/>
      <c r="D2753" s="4"/>
      <c r="E2753" s="4"/>
      <c r="F2753" s="4"/>
      <c r="G2753" s="4"/>
    </row>
    <row r="2754">
      <c r="A2754" s="4"/>
      <c r="B2754" s="4"/>
      <c r="C2754" s="4"/>
      <c r="D2754" s="4"/>
      <c r="E2754" s="4"/>
      <c r="F2754" s="4"/>
      <c r="G2754" s="4"/>
    </row>
    <row r="2755">
      <c r="A2755" s="4"/>
      <c r="B2755" s="4"/>
      <c r="C2755" s="4"/>
      <c r="D2755" s="13"/>
      <c r="E2755" s="4"/>
      <c r="F2755" s="4"/>
      <c r="G2755" s="4"/>
    </row>
    <row r="2756">
      <c r="A2756" s="4"/>
      <c r="B2756" s="4"/>
      <c r="C2756" s="4"/>
      <c r="D2756" s="4"/>
      <c r="E2756" s="13"/>
      <c r="F2756" s="4"/>
      <c r="G2756" s="4"/>
    </row>
    <row r="2757">
      <c r="A2757" s="4"/>
      <c r="B2757" s="4"/>
      <c r="C2757" s="4"/>
      <c r="D2757" s="4"/>
      <c r="E2757" s="4"/>
      <c r="F2757" s="4"/>
      <c r="G2757" s="4"/>
    </row>
    <row r="2758">
      <c r="A2758" s="4"/>
      <c r="B2758" s="4"/>
      <c r="C2758" s="4"/>
      <c r="D2758" s="4"/>
      <c r="E2758" s="4"/>
      <c r="F2758" s="4"/>
      <c r="G2758" s="4"/>
    </row>
    <row r="2759">
      <c r="A2759" s="4"/>
      <c r="B2759" s="4"/>
      <c r="C2759" s="4"/>
      <c r="D2759" s="13"/>
      <c r="E2759" s="13"/>
      <c r="F2759" s="4"/>
      <c r="G2759" s="4"/>
    </row>
    <row r="2760">
      <c r="A2760" s="4"/>
      <c r="B2760" s="4"/>
      <c r="C2760" s="4"/>
      <c r="D2760" s="13"/>
      <c r="E2760" s="13"/>
      <c r="F2760" s="4"/>
      <c r="G2760" s="4"/>
    </row>
    <row r="2761">
      <c r="A2761" s="4"/>
      <c r="B2761" s="4"/>
      <c r="C2761" s="4"/>
      <c r="D2761" s="4"/>
      <c r="E2761" s="4"/>
      <c r="F2761" s="4"/>
      <c r="G2761" s="4"/>
    </row>
    <row r="2762">
      <c r="A2762" s="4"/>
      <c r="B2762" s="4"/>
      <c r="C2762" s="4"/>
      <c r="D2762" s="13"/>
      <c r="E2762" s="13"/>
      <c r="F2762" s="4"/>
      <c r="G2762" s="4"/>
    </row>
    <row r="2763">
      <c r="A2763" s="4"/>
      <c r="B2763" s="4"/>
      <c r="C2763" s="4"/>
      <c r="D2763" s="4"/>
      <c r="E2763" s="4"/>
      <c r="F2763" s="4"/>
      <c r="G2763" s="4"/>
    </row>
    <row r="2764">
      <c r="A2764" s="4"/>
      <c r="B2764" s="4"/>
      <c r="C2764" s="4"/>
      <c r="D2764" s="4"/>
      <c r="E2764" s="4"/>
      <c r="F2764" s="4"/>
      <c r="G2764" s="4"/>
    </row>
    <row r="2765">
      <c r="A2765" s="4"/>
      <c r="B2765" s="4"/>
      <c r="C2765" s="4"/>
      <c r="D2765" s="4"/>
      <c r="E2765" s="4"/>
      <c r="F2765" s="4"/>
      <c r="G2765" s="4"/>
    </row>
    <row r="2766">
      <c r="A2766" s="4"/>
      <c r="B2766" s="4"/>
      <c r="C2766" s="4"/>
      <c r="D2766" s="4"/>
      <c r="E2766" s="13"/>
      <c r="F2766" s="4"/>
      <c r="G2766" s="4"/>
    </row>
    <row r="2767">
      <c r="A2767" s="4"/>
      <c r="B2767" s="4"/>
      <c r="C2767" s="4"/>
      <c r="D2767" s="4"/>
      <c r="E2767" s="13"/>
      <c r="F2767" s="4"/>
      <c r="G2767" s="4"/>
    </row>
    <row r="2768">
      <c r="A2768" s="4"/>
      <c r="B2768" s="4"/>
      <c r="C2768" s="4"/>
      <c r="D2768" s="4"/>
      <c r="E2768" s="13"/>
      <c r="F2768" s="4"/>
      <c r="G2768" s="4"/>
    </row>
    <row r="2769">
      <c r="A2769" s="4"/>
      <c r="B2769" s="4"/>
      <c r="C2769" s="4"/>
      <c r="D2769" s="4"/>
      <c r="E2769" s="4"/>
      <c r="F2769" s="4"/>
      <c r="G2769" s="4"/>
    </row>
    <row r="2770">
      <c r="A2770" s="4"/>
      <c r="B2770" s="4"/>
      <c r="C2770" s="4"/>
      <c r="D2770" s="4"/>
      <c r="E2770" s="4"/>
      <c r="F2770" s="4"/>
      <c r="G2770" s="4"/>
    </row>
    <row r="2771">
      <c r="A2771" s="4"/>
      <c r="B2771" s="4"/>
      <c r="C2771" s="4"/>
      <c r="D2771" s="4"/>
      <c r="E2771" s="13"/>
      <c r="F2771" s="4"/>
      <c r="G2771" s="4"/>
    </row>
    <row r="2772">
      <c r="A2772" s="4"/>
      <c r="B2772" s="4"/>
      <c r="C2772" s="4"/>
      <c r="D2772" s="4"/>
      <c r="E2772" s="4"/>
      <c r="F2772" s="4"/>
      <c r="G2772" s="4"/>
    </row>
    <row r="2773">
      <c r="A2773" s="4"/>
      <c r="B2773" s="4"/>
      <c r="C2773" s="4"/>
      <c r="D2773" s="13"/>
      <c r="E2773" s="13"/>
      <c r="F2773" s="4"/>
      <c r="G2773" s="4"/>
    </row>
    <row r="2774">
      <c r="A2774" s="4"/>
      <c r="B2774" s="4"/>
      <c r="C2774" s="4"/>
      <c r="D2774" s="4"/>
      <c r="E2774" s="4"/>
      <c r="F2774" s="4"/>
      <c r="G2774" s="4"/>
    </row>
    <row r="2775">
      <c r="A2775" s="4"/>
      <c r="B2775" s="4"/>
      <c r="C2775" s="4"/>
      <c r="D2775" s="4"/>
      <c r="E2775" s="13"/>
      <c r="F2775" s="4"/>
      <c r="G2775" s="4"/>
    </row>
    <row r="2776">
      <c r="A2776" s="4"/>
      <c r="B2776" s="4"/>
      <c r="C2776" s="4"/>
      <c r="D2776" s="4"/>
      <c r="E2776" s="4"/>
      <c r="F2776" s="4"/>
      <c r="G2776" s="4"/>
    </row>
    <row r="2777">
      <c r="A2777" s="4"/>
      <c r="B2777" s="4"/>
      <c r="C2777" s="4"/>
      <c r="D2777" s="4"/>
      <c r="E2777" s="4"/>
      <c r="F2777" s="4"/>
      <c r="G2777" s="4"/>
    </row>
    <row r="2778">
      <c r="A2778" s="4"/>
      <c r="B2778" s="4"/>
      <c r="C2778" s="4"/>
      <c r="D2778" s="13"/>
      <c r="E2778" s="13"/>
      <c r="F2778" s="4"/>
      <c r="G2778" s="4"/>
    </row>
    <row r="2779">
      <c r="A2779" s="4"/>
      <c r="B2779" s="4"/>
      <c r="C2779" s="4"/>
      <c r="D2779" s="4"/>
      <c r="E2779" s="4"/>
      <c r="F2779" s="4"/>
      <c r="G2779" s="4"/>
    </row>
    <row r="2780">
      <c r="A2780" s="4"/>
      <c r="B2780" s="4"/>
      <c r="C2780" s="4"/>
      <c r="D2780" s="4"/>
      <c r="E2780" s="4"/>
      <c r="F2780" s="4"/>
      <c r="G2780" s="4"/>
    </row>
    <row r="2781">
      <c r="A2781" s="4"/>
      <c r="B2781" s="4"/>
      <c r="C2781" s="4"/>
      <c r="D2781" s="4"/>
      <c r="E2781" s="13"/>
      <c r="F2781" s="4"/>
      <c r="G2781" s="4"/>
    </row>
    <row r="2782">
      <c r="A2782" s="4"/>
      <c r="B2782" s="4"/>
      <c r="C2782" s="4"/>
      <c r="D2782" s="4"/>
      <c r="E2782" s="4"/>
      <c r="F2782" s="4"/>
      <c r="G2782" s="4"/>
    </row>
    <row r="2783">
      <c r="A2783" s="4"/>
      <c r="B2783" s="4"/>
      <c r="C2783" s="4"/>
      <c r="D2783" s="4"/>
      <c r="E2783" s="4"/>
      <c r="F2783" s="4"/>
      <c r="G2783" s="4"/>
    </row>
    <row r="2784">
      <c r="A2784" s="4"/>
      <c r="B2784" s="4"/>
      <c r="C2784" s="4"/>
      <c r="D2784" s="4"/>
      <c r="E2784" s="13"/>
      <c r="F2784" s="4"/>
      <c r="G2784" s="4"/>
    </row>
    <row r="2785">
      <c r="A2785" s="4"/>
      <c r="B2785" s="4"/>
      <c r="C2785" s="4"/>
      <c r="D2785" s="4"/>
      <c r="E2785" s="4"/>
      <c r="F2785" s="4"/>
      <c r="G2785" s="4"/>
    </row>
    <row r="2786">
      <c r="A2786" s="4"/>
      <c r="B2786" s="4"/>
      <c r="C2786" s="4"/>
      <c r="D2786" s="13"/>
      <c r="E2786" s="13"/>
      <c r="F2786" s="4"/>
      <c r="G2786" s="4"/>
    </row>
    <row r="2787">
      <c r="A2787" s="4"/>
      <c r="B2787" s="4"/>
      <c r="C2787" s="4"/>
      <c r="D2787" s="4"/>
      <c r="E2787" s="13"/>
      <c r="F2787" s="4"/>
      <c r="G2787" s="4"/>
    </row>
    <row r="2788">
      <c r="A2788" s="4"/>
      <c r="B2788" s="4"/>
      <c r="C2788" s="4"/>
      <c r="D2788" s="4"/>
      <c r="E2788" s="13"/>
      <c r="F2788" s="4"/>
      <c r="G2788" s="4"/>
    </row>
    <row r="2789">
      <c r="A2789" s="4"/>
      <c r="B2789" s="4"/>
      <c r="C2789" s="4"/>
      <c r="D2789" s="4"/>
      <c r="E2789" s="4"/>
      <c r="F2789" s="4"/>
      <c r="G2789" s="4"/>
    </row>
    <row r="2790">
      <c r="A2790" s="4"/>
      <c r="B2790" s="4"/>
      <c r="C2790" s="4"/>
      <c r="D2790" s="4"/>
      <c r="E2790" s="13"/>
      <c r="F2790" s="4"/>
      <c r="G2790" s="4"/>
    </row>
    <row r="2791">
      <c r="A2791" s="4"/>
      <c r="B2791" s="4"/>
      <c r="C2791" s="4"/>
      <c r="D2791" s="4"/>
      <c r="E2791" s="4"/>
      <c r="F2791" s="4"/>
      <c r="G2791" s="4"/>
    </row>
    <row r="2792">
      <c r="A2792" s="4"/>
      <c r="B2792" s="4"/>
      <c r="C2792" s="4"/>
      <c r="D2792" s="4"/>
      <c r="E2792" s="4"/>
      <c r="F2792" s="4"/>
      <c r="G2792" s="4"/>
    </row>
    <row r="2793">
      <c r="A2793" s="4"/>
      <c r="B2793" s="4"/>
      <c r="C2793" s="4"/>
      <c r="D2793" s="4"/>
      <c r="E2793" s="4"/>
      <c r="F2793" s="4"/>
      <c r="G2793" s="4"/>
    </row>
    <row r="2794">
      <c r="A2794" s="4"/>
      <c r="B2794" s="4"/>
      <c r="C2794" s="4"/>
      <c r="D2794" s="4"/>
      <c r="E2794" s="13"/>
      <c r="F2794" s="4"/>
      <c r="G2794" s="4"/>
    </row>
    <row r="2795">
      <c r="A2795" s="4"/>
      <c r="B2795" s="4"/>
      <c r="C2795" s="4"/>
      <c r="D2795" s="4"/>
      <c r="E2795" s="4"/>
      <c r="F2795" s="4"/>
      <c r="G2795" s="4"/>
    </row>
    <row r="2796">
      <c r="A2796" s="4"/>
      <c r="B2796" s="4"/>
      <c r="C2796" s="4"/>
      <c r="D2796" s="4"/>
      <c r="E2796" s="13"/>
      <c r="F2796" s="4"/>
      <c r="G2796" s="4"/>
    </row>
    <row r="2797">
      <c r="A2797" s="4"/>
      <c r="B2797" s="4"/>
      <c r="C2797" s="4"/>
      <c r="D2797" s="4"/>
      <c r="E2797" s="4"/>
      <c r="F2797" s="4"/>
      <c r="G2797" s="4"/>
    </row>
    <row r="2798">
      <c r="A2798" s="4"/>
      <c r="B2798" s="4"/>
      <c r="C2798" s="4"/>
      <c r="D2798" s="4"/>
      <c r="E2798" s="13"/>
      <c r="F2798" s="4"/>
      <c r="G2798" s="4"/>
    </row>
    <row r="2799">
      <c r="A2799" s="4"/>
      <c r="B2799" s="4"/>
      <c r="C2799" s="4"/>
      <c r="D2799" s="4"/>
      <c r="E2799" s="4"/>
      <c r="F2799" s="4"/>
      <c r="G2799" s="4"/>
    </row>
    <row r="2800">
      <c r="A2800" s="4"/>
      <c r="B2800" s="4"/>
      <c r="C2800" s="4"/>
      <c r="D2800" s="4"/>
      <c r="E2800" s="4"/>
      <c r="F2800" s="4"/>
      <c r="G2800" s="4"/>
    </row>
    <row r="2801">
      <c r="A2801" s="4"/>
      <c r="B2801" s="4"/>
      <c r="C2801" s="4"/>
      <c r="D2801" s="4"/>
      <c r="E2801" s="4"/>
      <c r="F2801" s="4"/>
      <c r="G2801" s="4"/>
    </row>
    <row r="2802">
      <c r="A2802" s="4"/>
      <c r="B2802" s="4"/>
      <c r="C2802" s="4"/>
      <c r="D2802" s="4"/>
      <c r="E2802" s="4"/>
      <c r="F2802" s="4"/>
      <c r="G2802" s="4"/>
    </row>
    <row r="2803">
      <c r="A2803" s="4"/>
      <c r="B2803" s="4"/>
      <c r="C2803" s="4"/>
      <c r="D2803" s="4"/>
      <c r="E2803" s="4"/>
      <c r="F2803" s="4"/>
      <c r="G2803" s="4"/>
    </row>
    <row r="2804">
      <c r="A2804" s="4"/>
      <c r="B2804" s="4"/>
      <c r="C2804" s="4"/>
      <c r="D2804" s="4"/>
      <c r="E2804" s="4"/>
      <c r="F2804" s="4"/>
      <c r="G2804" s="4"/>
    </row>
    <row r="2805">
      <c r="A2805" s="4"/>
      <c r="B2805" s="4"/>
      <c r="C2805" s="4"/>
      <c r="D2805" s="4"/>
      <c r="E2805" s="4"/>
      <c r="F2805" s="4"/>
      <c r="G2805" s="4"/>
    </row>
    <row r="2806">
      <c r="A2806" s="4"/>
      <c r="B2806" s="4"/>
      <c r="C2806" s="4"/>
      <c r="D2806" s="4"/>
      <c r="E2806" s="4"/>
      <c r="F2806" s="4"/>
      <c r="G2806" s="4"/>
    </row>
    <row r="2807">
      <c r="A2807" s="4"/>
      <c r="B2807" s="4"/>
      <c r="C2807" s="4"/>
      <c r="D2807" s="4"/>
      <c r="E2807" s="4"/>
      <c r="F2807" s="4"/>
      <c r="G2807" s="4"/>
    </row>
    <row r="2808">
      <c r="A2808" s="4"/>
      <c r="B2808" s="4"/>
      <c r="C2808" s="4"/>
      <c r="D2808" s="4"/>
      <c r="E2808" s="13"/>
      <c r="F2808" s="4"/>
      <c r="G2808" s="4"/>
    </row>
    <row r="2809">
      <c r="A2809" s="4"/>
      <c r="B2809" s="4"/>
      <c r="C2809" s="4"/>
      <c r="D2809" s="4"/>
      <c r="E2809" s="13"/>
      <c r="F2809" s="4"/>
      <c r="G2809" s="4"/>
    </row>
    <row r="2810">
      <c r="A2810" s="4"/>
      <c r="B2810" s="4"/>
      <c r="C2810" s="4"/>
      <c r="D2810" s="4"/>
      <c r="E2810" s="4"/>
      <c r="F2810" s="4"/>
      <c r="G2810" s="4"/>
    </row>
    <row r="2811">
      <c r="A2811" s="4"/>
      <c r="B2811" s="4"/>
      <c r="C2811" s="4"/>
      <c r="D2811" s="4"/>
      <c r="E2811" s="13"/>
      <c r="F2811" s="4"/>
      <c r="G2811" s="4"/>
    </row>
    <row r="2812">
      <c r="A2812" s="4"/>
      <c r="B2812" s="4"/>
      <c r="C2812" s="4"/>
      <c r="D2812" s="4"/>
      <c r="E2812" s="4"/>
      <c r="F2812" s="4"/>
      <c r="G2812" s="4"/>
    </row>
    <row r="2813">
      <c r="A2813" s="4"/>
      <c r="B2813" s="4"/>
      <c r="C2813" s="4"/>
      <c r="D2813" s="4"/>
      <c r="E2813" s="4"/>
      <c r="F2813" s="4"/>
      <c r="G2813" s="4"/>
    </row>
    <row r="2814">
      <c r="A2814" s="4"/>
      <c r="B2814" s="4"/>
      <c r="C2814" s="4"/>
      <c r="D2814" s="4"/>
      <c r="E2814" s="4"/>
      <c r="F2814" s="4"/>
      <c r="G2814" s="4"/>
    </row>
    <row r="2815">
      <c r="A2815" s="4"/>
      <c r="B2815" s="4"/>
      <c r="C2815" s="4"/>
      <c r="D2815" s="4"/>
      <c r="E2815" s="4"/>
      <c r="F2815" s="4"/>
      <c r="G2815" s="4"/>
    </row>
    <row r="2816">
      <c r="A2816" s="4"/>
      <c r="B2816" s="4"/>
      <c r="C2816" s="4"/>
      <c r="D2816" s="4"/>
      <c r="E2816" s="4"/>
      <c r="F2816" s="4"/>
      <c r="G2816" s="4"/>
    </row>
    <row r="2817">
      <c r="A2817" s="4"/>
      <c r="B2817" s="4"/>
      <c r="C2817" s="4"/>
      <c r="D2817" s="4"/>
      <c r="E2817" s="13"/>
      <c r="F2817" s="4"/>
      <c r="G2817" s="4"/>
    </row>
    <row r="2818">
      <c r="A2818" s="4"/>
      <c r="B2818" s="4"/>
      <c r="C2818" s="4"/>
      <c r="D2818" s="4"/>
      <c r="E2818" s="4"/>
      <c r="F2818" s="4"/>
      <c r="G2818" s="4"/>
    </row>
    <row r="2819">
      <c r="A2819" s="4"/>
      <c r="B2819" s="4"/>
      <c r="C2819" s="4"/>
      <c r="D2819" s="4"/>
      <c r="E2819" s="13"/>
      <c r="F2819" s="4"/>
      <c r="G2819" s="4"/>
    </row>
    <row r="2820">
      <c r="A2820" s="4"/>
      <c r="B2820" s="4"/>
      <c r="C2820" s="4"/>
      <c r="D2820" s="4"/>
      <c r="E2820" s="4"/>
      <c r="F2820" s="4"/>
      <c r="G2820" s="4"/>
    </row>
    <row r="2821">
      <c r="A2821" s="4"/>
      <c r="B2821" s="4"/>
      <c r="C2821" s="4"/>
      <c r="D2821" s="4"/>
      <c r="E2821" s="13"/>
      <c r="F2821" s="4"/>
      <c r="G2821" s="4"/>
    </row>
    <row r="2822">
      <c r="A2822" s="4"/>
      <c r="B2822" s="4"/>
      <c r="C2822" s="4"/>
      <c r="D2822" s="4"/>
      <c r="E2822" s="4"/>
      <c r="F2822" s="4"/>
      <c r="G2822" s="4"/>
    </row>
    <row r="2823">
      <c r="A2823" s="4"/>
      <c r="B2823" s="4"/>
      <c r="C2823" s="4"/>
      <c r="D2823" s="4"/>
      <c r="E2823" s="4"/>
      <c r="F2823" s="4"/>
      <c r="G2823" s="4"/>
    </row>
    <row r="2824">
      <c r="A2824" s="4"/>
      <c r="B2824" s="4"/>
      <c r="C2824" s="4"/>
      <c r="D2824" s="4"/>
      <c r="E2824" s="4"/>
      <c r="F2824" s="4"/>
      <c r="G2824" s="4"/>
    </row>
    <row r="2825">
      <c r="A2825" s="4"/>
      <c r="B2825" s="4"/>
      <c r="C2825" s="4"/>
      <c r="D2825" s="4"/>
      <c r="E2825" s="4"/>
      <c r="F2825" s="4"/>
      <c r="G2825" s="4"/>
    </row>
    <row r="2826">
      <c r="A2826" s="4"/>
      <c r="B2826" s="4"/>
      <c r="C2826" s="4"/>
      <c r="D2826" s="4"/>
      <c r="E2826" s="4"/>
      <c r="F2826" s="4"/>
      <c r="G2826" s="4"/>
    </row>
    <row r="2827">
      <c r="A2827" s="4"/>
      <c r="B2827" s="4"/>
      <c r="C2827" s="4"/>
      <c r="D2827" s="4"/>
      <c r="E2827" s="4"/>
      <c r="F2827" s="4"/>
      <c r="G2827" s="4"/>
    </row>
    <row r="2828">
      <c r="A2828" s="4"/>
      <c r="B2828" s="4"/>
      <c r="C2828" s="4"/>
      <c r="D2828" s="4"/>
      <c r="E2828" s="13"/>
      <c r="F2828" s="4"/>
      <c r="G2828" s="4"/>
    </row>
    <row r="2829">
      <c r="A2829" s="4"/>
      <c r="B2829" s="4"/>
      <c r="C2829" s="4"/>
      <c r="D2829" s="13"/>
      <c r="E2829" s="13"/>
      <c r="F2829" s="4"/>
      <c r="G2829" s="4"/>
    </row>
    <row r="2830">
      <c r="A2830" s="4"/>
      <c r="B2830" s="4"/>
      <c r="C2830" s="4"/>
      <c r="D2830" s="4"/>
      <c r="E2830" s="4"/>
      <c r="F2830" s="4"/>
      <c r="G2830" s="4"/>
    </row>
    <row r="2831">
      <c r="A2831" s="4"/>
      <c r="B2831" s="4"/>
      <c r="C2831" s="4"/>
      <c r="D2831" s="4"/>
      <c r="E2831" s="4"/>
      <c r="F2831" s="4"/>
      <c r="G2831" s="4"/>
    </row>
    <row r="2832">
      <c r="A2832" s="4"/>
      <c r="B2832" s="4"/>
      <c r="C2832" s="4"/>
      <c r="D2832" s="4"/>
      <c r="E2832" s="13"/>
      <c r="F2832" s="4"/>
      <c r="G2832" s="4"/>
    </row>
    <row r="2833">
      <c r="A2833" s="4"/>
      <c r="B2833" s="4"/>
      <c r="C2833" s="4"/>
      <c r="D2833" s="4"/>
      <c r="E2833" s="4"/>
      <c r="F2833" s="4"/>
      <c r="G2833" s="4"/>
    </row>
    <row r="2834">
      <c r="A2834" s="4"/>
      <c r="B2834" s="4"/>
      <c r="C2834" s="4"/>
      <c r="D2834" s="4"/>
      <c r="E2834" s="4"/>
      <c r="F2834" s="4"/>
      <c r="G2834" s="4"/>
    </row>
    <row r="2835">
      <c r="A2835" s="4"/>
      <c r="B2835" s="4"/>
      <c r="C2835" s="4"/>
      <c r="D2835" s="4"/>
      <c r="E2835" s="4"/>
      <c r="F2835" s="4"/>
      <c r="G2835" s="4"/>
    </row>
    <row r="2836">
      <c r="A2836" s="4"/>
      <c r="B2836" s="4"/>
      <c r="C2836" s="4"/>
      <c r="D2836" s="4"/>
      <c r="E2836" s="4"/>
      <c r="F2836" s="4"/>
      <c r="G2836" s="4"/>
    </row>
    <row r="2837">
      <c r="A2837" s="4"/>
      <c r="B2837" s="4"/>
      <c r="C2837" s="4"/>
      <c r="D2837" s="4"/>
      <c r="E2837" s="13"/>
      <c r="F2837" s="4"/>
      <c r="G2837" s="4"/>
    </row>
    <row r="2838">
      <c r="A2838" s="4"/>
      <c r="B2838" s="4"/>
      <c r="C2838" s="4"/>
      <c r="D2838" s="4"/>
      <c r="E2838" s="4"/>
      <c r="F2838" s="4"/>
      <c r="G2838" s="4"/>
    </row>
    <row r="2839">
      <c r="A2839" s="4"/>
      <c r="B2839" s="4"/>
      <c r="C2839" s="4"/>
      <c r="D2839" s="4"/>
      <c r="E2839" s="4"/>
      <c r="F2839" s="4"/>
      <c r="G2839" s="4"/>
    </row>
    <row r="2840">
      <c r="A2840" s="4"/>
      <c r="B2840" s="4"/>
      <c r="C2840" s="4"/>
      <c r="D2840" s="4"/>
      <c r="E2840" s="4"/>
      <c r="F2840" s="4"/>
      <c r="G2840" s="4"/>
    </row>
    <row r="2841">
      <c r="A2841" s="4"/>
      <c r="B2841" s="4"/>
      <c r="C2841" s="4"/>
      <c r="D2841" s="13"/>
      <c r="E2841" s="13"/>
      <c r="F2841" s="4"/>
      <c r="G2841" s="4"/>
    </row>
    <row r="2842">
      <c r="A2842" s="4"/>
      <c r="B2842" s="4"/>
      <c r="C2842" s="4"/>
      <c r="D2842" s="4"/>
      <c r="E2842" s="13"/>
      <c r="F2842" s="4"/>
      <c r="G2842" s="4"/>
    </row>
    <row r="2843">
      <c r="A2843" s="4"/>
      <c r="B2843" s="4"/>
      <c r="C2843" s="4"/>
      <c r="D2843" s="4"/>
      <c r="E2843" s="4"/>
      <c r="F2843" s="4"/>
      <c r="G2843" s="4"/>
    </row>
    <row r="2844">
      <c r="A2844" s="4"/>
      <c r="B2844" s="4"/>
      <c r="C2844" s="4"/>
      <c r="D2844" s="4"/>
      <c r="E2844" s="13"/>
      <c r="F2844" s="4"/>
      <c r="G2844" s="4"/>
    </row>
    <row r="2845">
      <c r="A2845" s="4"/>
      <c r="B2845" s="4"/>
      <c r="C2845" s="4"/>
      <c r="D2845" s="4"/>
      <c r="E2845" s="13"/>
      <c r="F2845" s="4"/>
      <c r="G2845" s="4"/>
    </row>
    <row r="2846">
      <c r="A2846" s="4"/>
      <c r="B2846" s="4"/>
      <c r="C2846" s="4"/>
      <c r="D2846" s="4"/>
      <c r="E2846" s="4"/>
      <c r="F2846" s="4"/>
      <c r="G2846" s="4"/>
    </row>
    <row r="2847">
      <c r="A2847" s="4"/>
      <c r="B2847" s="4"/>
      <c r="C2847" s="4"/>
      <c r="D2847" s="4"/>
      <c r="E2847" s="13"/>
      <c r="F2847" s="4"/>
      <c r="G2847" s="4"/>
    </row>
    <row r="2848">
      <c r="A2848" s="4"/>
      <c r="B2848" s="4"/>
      <c r="C2848" s="4"/>
      <c r="D2848" s="4"/>
      <c r="E2848" s="4"/>
      <c r="F2848" s="4"/>
      <c r="G2848" s="4"/>
    </row>
    <row r="2849">
      <c r="A2849" s="4"/>
      <c r="B2849" s="4"/>
      <c r="C2849" s="4"/>
      <c r="D2849" s="4"/>
      <c r="E2849" s="13"/>
      <c r="F2849" s="4"/>
      <c r="G2849" s="4"/>
    </row>
    <row r="2850">
      <c r="A2850" s="4"/>
      <c r="B2850" s="4"/>
      <c r="C2850" s="4"/>
      <c r="D2850" s="4"/>
      <c r="E2850" s="4"/>
      <c r="F2850" s="4"/>
      <c r="G2850" s="4"/>
    </row>
    <row r="2851">
      <c r="A2851" s="4"/>
      <c r="B2851" s="4"/>
      <c r="C2851" s="4"/>
      <c r="D2851" s="4"/>
      <c r="E2851" s="13"/>
      <c r="F2851" s="4"/>
      <c r="G2851" s="4"/>
    </row>
    <row r="2852">
      <c r="A2852" s="4"/>
      <c r="B2852" s="4"/>
      <c r="C2852" s="4"/>
      <c r="D2852" s="13"/>
      <c r="E2852" s="13"/>
      <c r="F2852" s="4"/>
      <c r="G2852" s="4"/>
    </row>
    <row r="2853">
      <c r="A2853" s="4"/>
      <c r="B2853" s="4"/>
      <c r="C2853" s="4"/>
      <c r="D2853" s="13"/>
      <c r="E2853" s="13"/>
      <c r="F2853" s="4"/>
      <c r="G2853" s="4"/>
    </row>
    <row r="2854">
      <c r="A2854" s="4"/>
      <c r="B2854" s="4"/>
      <c r="C2854" s="4"/>
      <c r="D2854" s="13"/>
      <c r="E2854" s="13"/>
      <c r="F2854" s="4"/>
      <c r="G2854" s="4"/>
    </row>
    <row r="2855">
      <c r="A2855" s="4"/>
      <c r="B2855" s="4"/>
      <c r="C2855" s="4"/>
      <c r="D2855" s="4"/>
      <c r="E2855" s="13"/>
      <c r="F2855" s="4"/>
      <c r="G2855" s="4"/>
    </row>
    <row r="2856">
      <c r="A2856" s="4"/>
      <c r="B2856" s="4"/>
      <c r="C2856" s="4"/>
      <c r="D2856" s="4"/>
      <c r="E2856" s="4"/>
      <c r="F2856" s="4"/>
      <c r="G2856" s="4"/>
    </row>
    <row r="2857">
      <c r="A2857" s="4"/>
      <c r="B2857" s="4"/>
      <c r="C2857" s="4"/>
      <c r="D2857" s="4"/>
      <c r="E2857" s="4"/>
      <c r="F2857" s="4"/>
      <c r="G2857" s="4"/>
    </row>
    <row r="2858">
      <c r="A2858" s="4"/>
      <c r="B2858" s="4"/>
      <c r="C2858" s="4"/>
      <c r="D2858" s="13"/>
      <c r="E2858" s="13"/>
      <c r="F2858" s="4"/>
      <c r="G2858" s="4"/>
    </row>
    <row r="2859">
      <c r="A2859" s="4"/>
      <c r="B2859" s="4"/>
      <c r="C2859" s="4"/>
      <c r="D2859" s="13"/>
      <c r="E2859" s="13"/>
      <c r="F2859" s="4"/>
      <c r="G2859" s="4"/>
    </row>
    <row r="2860">
      <c r="A2860" s="4"/>
      <c r="B2860" s="4"/>
      <c r="C2860" s="4"/>
      <c r="D2860" s="4"/>
      <c r="E2860" s="13"/>
      <c r="F2860" s="4"/>
      <c r="G2860" s="4"/>
    </row>
    <row r="2861">
      <c r="A2861" s="4"/>
      <c r="B2861" s="4"/>
      <c r="C2861" s="4"/>
      <c r="D2861" s="4"/>
      <c r="E2861" s="4"/>
      <c r="F2861" s="4"/>
      <c r="G2861" s="4"/>
    </row>
    <row r="2862">
      <c r="A2862" s="4"/>
      <c r="B2862" s="4"/>
      <c r="C2862" s="4"/>
      <c r="D2862" s="4"/>
      <c r="E2862" s="13"/>
      <c r="F2862" s="4"/>
      <c r="G2862" s="4"/>
    </row>
    <row r="2863">
      <c r="A2863" s="4"/>
      <c r="B2863" s="4"/>
      <c r="C2863" s="4"/>
      <c r="D2863" s="4"/>
      <c r="E2863" s="4"/>
      <c r="F2863" s="4"/>
      <c r="G2863" s="4"/>
    </row>
    <row r="2864">
      <c r="A2864" s="4"/>
      <c r="B2864" s="4"/>
      <c r="C2864" s="4"/>
      <c r="D2864" s="4"/>
      <c r="E2864" s="4"/>
      <c r="F2864" s="4"/>
      <c r="G2864" s="4"/>
    </row>
    <row r="2865">
      <c r="A2865" s="4"/>
      <c r="B2865" s="4"/>
      <c r="C2865" s="4"/>
      <c r="D2865" s="4"/>
      <c r="E2865" s="4"/>
      <c r="F2865" s="4"/>
      <c r="G2865" s="4"/>
    </row>
    <row r="2866">
      <c r="A2866" s="4"/>
      <c r="B2866" s="4"/>
      <c r="C2866" s="4"/>
      <c r="D2866" s="13"/>
      <c r="E2866" s="13"/>
      <c r="F2866" s="4"/>
      <c r="G2866" s="4"/>
    </row>
    <row r="2867">
      <c r="A2867" s="4"/>
      <c r="B2867" s="4"/>
      <c r="C2867" s="4"/>
      <c r="D2867" s="13"/>
      <c r="E2867" s="13"/>
      <c r="F2867" s="4"/>
      <c r="G2867" s="4"/>
    </row>
    <row r="2868">
      <c r="A2868" s="4"/>
      <c r="B2868" s="4"/>
      <c r="C2868" s="4"/>
      <c r="D2868" s="4"/>
      <c r="E2868" s="13"/>
      <c r="F2868" s="4"/>
      <c r="G2868" s="4"/>
    </row>
    <row r="2869">
      <c r="A2869" s="4"/>
      <c r="B2869" s="4"/>
      <c r="C2869" s="4"/>
      <c r="D2869" s="4"/>
      <c r="E2869" s="4"/>
      <c r="F2869" s="4"/>
      <c r="G2869" s="4"/>
    </row>
    <row r="2870">
      <c r="A2870" s="4"/>
      <c r="B2870" s="4"/>
      <c r="C2870" s="4"/>
      <c r="D2870" s="4"/>
      <c r="E2870" s="13"/>
      <c r="F2870" s="4"/>
      <c r="G2870" s="4"/>
    </row>
    <row r="2871">
      <c r="A2871" s="4"/>
      <c r="B2871" s="4"/>
      <c r="C2871" s="4"/>
      <c r="D2871" s="4"/>
      <c r="E2871" s="4"/>
      <c r="F2871" s="4"/>
      <c r="G2871" s="4"/>
    </row>
    <row r="2872">
      <c r="A2872" s="4"/>
      <c r="B2872" s="4"/>
      <c r="C2872" s="4"/>
      <c r="D2872" s="4"/>
      <c r="E2872" s="4"/>
      <c r="F2872" s="4"/>
      <c r="G2872" s="4"/>
    </row>
    <row r="2873">
      <c r="A2873" s="4"/>
      <c r="B2873" s="4"/>
      <c r="C2873" s="4"/>
      <c r="D2873" s="4"/>
      <c r="E2873" s="4"/>
      <c r="F2873" s="4"/>
      <c r="G2873" s="4"/>
    </row>
    <row r="2874">
      <c r="A2874" s="4"/>
      <c r="B2874" s="4"/>
      <c r="C2874" s="4"/>
      <c r="D2874" s="4"/>
      <c r="E2874" s="4"/>
      <c r="F2874" s="4"/>
      <c r="G2874" s="4"/>
    </row>
    <row r="2875">
      <c r="A2875" s="4"/>
      <c r="B2875" s="4"/>
      <c r="C2875" s="4"/>
      <c r="D2875" s="4"/>
      <c r="E2875" s="4"/>
      <c r="F2875" s="4"/>
      <c r="G2875" s="4"/>
    </row>
    <row r="2876">
      <c r="A2876" s="4"/>
      <c r="B2876" s="4"/>
      <c r="C2876" s="4"/>
      <c r="D2876" s="4"/>
      <c r="E2876" s="13"/>
      <c r="F2876" s="4"/>
      <c r="G2876" s="4"/>
    </row>
    <row r="2877">
      <c r="A2877" s="4"/>
      <c r="B2877" s="4"/>
      <c r="C2877" s="4"/>
      <c r="D2877" s="4"/>
      <c r="E2877" s="4"/>
      <c r="F2877" s="4"/>
      <c r="G2877" s="4"/>
    </row>
    <row r="2878">
      <c r="A2878" s="4"/>
      <c r="B2878" s="4"/>
      <c r="C2878" s="4"/>
      <c r="D2878" s="4"/>
      <c r="E2878" s="4"/>
      <c r="F2878" s="4"/>
      <c r="G2878" s="4"/>
    </row>
    <row r="2879">
      <c r="A2879" s="4"/>
      <c r="B2879" s="4"/>
      <c r="C2879" s="4"/>
      <c r="D2879" s="4"/>
      <c r="E2879" s="4"/>
      <c r="F2879" s="4"/>
      <c r="G2879" s="4"/>
    </row>
    <row r="2880">
      <c r="A2880" s="4"/>
      <c r="B2880" s="4"/>
      <c r="C2880" s="4"/>
      <c r="D2880" s="4"/>
      <c r="E2880" s="4"/>
      <c r="F2880" s="4"/>
      <c r="G2880" s="4"/>
    </row>
    <row r="2881">
      <c r="A2881" s="4"/>
      <c r="B2881" s="4"/>
      <c r="C2881" s="4"/>
      <c r="D2881" s="13"/>
      <c r="E2881" s="13"/>
      <c r="F2881" s="4"/>
      <c r="G2881" s="4"/>
    </row>
    <row r="2882">
      <c r="A2882" s="4"/>
      <c r="B2882" s="4"/>
      <c r="C2882" s="4"/>
      <c r="D2882" s="4"/>
      <c r="E2882" s="4"/>
      <c r="F2882" s="4"/>
      <c r="G2882" s="4"/>
    </row>
    <row r="2883">
      <c r="A2883" s="4"/>
      <c r="B2883" s="4"/>
      <c r="C2883" s="4"/>
      <c r="D2883" s="4"/>
      <c r="E2883" s="13"/>
      <c r="F2883" s="4"/>
      <c r="G2883" s="4"/>
    </row>
    <row r="2884">
      <c r="A2884" s="4"/>
      <c r="B2884" s="4"/>
      <c r="C2884" s="4"/>
      <c r="D2884" s="4"/>
      <c r="E2884" s="13"/>
      <c r="F2884" s="4"/>
      <c r="G2884" s="4"/>
    </row>
    <row r="2885">
      <c r="A2885" s="4"/>
      <c r="B2885" s="4"/>
      <c r="C2885" s="4"/>
      <c r="D2885" s="4"/>
      <c r="E2885" s="4"/>
      <c r="F2885" s="4"/>
      <c r="G2885" s="4"/>
    </row>
    <row r="2886">
      <c r="A2886" s="4"/>
      <c r="B2886" s="4"/>
      <c r="C2886" s="4"/>
      <c r="D2886" s="4"/>
      <c r="E2886" s="4"/>
      <c r="F2886" s="4"/>
      <c r="G2886" s="4"/>
    </row>
    <row r="2887">
      <c r="A2887" s="4"/>
      <c r="B2887" s="4"/>
      <c r="C2887" s="4"/>
      <c r="D2887" s="13"/>
      <c r="E2887" s="13"/>
      <c r="F2887" s="4"/>
      <c r="G2887" s="4"/>
    </row>
    <row r="2888">
      <c r="A2888" s="4"/>
      <c r="B2888" s="4"/>
      <c r="C2888" s="4"/>
      <c r="D2888" s="13"/>
      <c r="E2888" s="13"/>
      <c r="F2888" s="4"/>
      <c r="G2888" s="4"/>
    </row>
    <row r="2889">
      <c r="A2889" s="4"/>
      <c r="B2889" s="4"/>
      <c r="C2889" s="4"/>
      <c r="D2889" s="4"/>
      <c r="E2889" s="4"/>
      <c r="F2889" s="4"/>
      <c r="G2889" s="4"/>
    </row>
    <row r="2890">
      <c r="A2890" s="4"/>
      <c r="B2890" s="4"/>
      <c r="C2890" s="4"/>
      <c r="D2890" s="4"/>
      <c r="E2890" s="13"/>
      <c r="F2890" s="4"/>
      <c r="G2890" s="4"/>
    </row>
    <row r="2891">
      <c r="A2891" s="4"/>
      <c r="B2891" s="4"/>
      <c r="C2891" s="4"/>
      <c r="D2891" s="4"/>
      <c r="E2891" s="4"/>
      <c r="F2891" s="4"/>
      <c r="G2891" s="4"/>
    </row>
    <row r="2892">
      <c r="A2892" s="4"/>
      <c r="B2892" s="4"/>
      <c r="C2892" s="4"/>
      <c r="D2892" s="13"/>
      <c r="E2892" s="13"/>
      <c r="F2892" s="4"/>
      <c r="G2892" s="4"/>
    </row>
    <row r="2893">
      <c r="A2893" s="4"/>
      <c r="B2893" s="4"/>
      <c r="C2893" s="4"/>
      <c r="D2893" s="13"/>
      <c r="E2893" s="13"/>
      <c r="F2893" s="4"/>
      <c r="G2893" s="4"/>
    </row>
    <row r="2894">
      <c r="A2894" s="4"/>
      <c r="B2894" s="4"/>
      <c r="C2894" s="4"/>
      <c r="D2894" s="4"/>
      <c r="E2894" s="4"/>
      <c r="F2894" s="4"/>
      <c r="G2894" s="4"/>
    </row>
    <row r="2895">
      <c r="A2895" s="4"/>
      <c r="B2895" s="4"/>
      <c r="C2895" s="4"/>
      <c r="D2895" s="4"/>
      <c r="E2895" s="4"/>
      <c r="F2895" s="4"/>
      <c r="G2895" s="4"/>
    </row>
    <row r="2896">
      <c r="A2896" s="4"/>
      <c r="B2896" s="4"/>
      <c r="C2896" s="4"/>
      <c r="D2896" s="13"/>
      <c r="E2896" s="13"/>
      <c r="F2896" s="4"/>
      <c r="G2896" s="4"/>
    </row>
    <row r="2897">
      <c r="A2897" s="4"/>
      <c r="B2897" s="4"/>
      <c r="C2897" s="4"/>
      <c r="D2897" s="13"/>
      <c r="E2897" s="13"/>
      <c r="F2897" s="4"/>
      <c r="G2897" s="4"/>
    </row>
    <row r="2898">
      <c r="A2898" s="4"/>
      <c r="B2898" s="4"/>
      <c r="C2898" s="4"/>
      <c r="D2898" s="4"/>
      <c r="E2898" s="4"/>
      <c r="F2898" s="4"/>
      <c r="G2898" s="4"/>
    </row>
    <row r="2899">
      <c r="A2899" s="4"/>
      <c r="B2899" s="4"/>
      <c r="C2899" s="4"/>
      <c r="D2899" s="4"/>
      <c r="E2899" s="13"/>
      <c r="F2899" s="4"/>
      <c r="G2899" s="4"/>
    </row>
    <row r="2900">
      <c r="A2900" s="4"/>
      <c r="B2900" s="4"/>
      <c r="C2900" s="4"/>
      <c r="D2900" s="4"/>
      <c r="E2900" s="4"/>
      <c r="F2900" s="4"/>
      <c r="G2900" s="4"/>
    </row>
    <row r="2901">
      <c r="A2901" s="4"/>
      <c r="B2901" s="4"/>
      <c r="C2901" s="4"/>
      <c r="D2901" s="4"/>
      <c r="E2901" s="4"/>
      <c r="F2901" s="4"/>
      <c r="G2901" s="4"/>
    </row>
    <row r="2902">
      <c r="A2902" s="4"/>
      <c r="B2902" s="4"/>
      <c r="C2902" s="4"/>
      <c r="D2902" s="4"/>
      <c r="E2902" s="4"/>
      <c r="F2902" s="4"/>
      <c r="G2902" s="4"/>
    </row>
    <row r="2903">
      <c r="A2903" s="4"/>
      <c r="B2903" s="4"/>
      <c r="C2903" s="4"/>
      <c r="D2903" s="4"/>
      <c r="E2903" s="4"/>
      <c r="F2903" s="4"/>
      <c r="G2903" s="4"/>
    </row>
    <row r="2904">
      <c r="A2904" s="4"/>
      <c r="B2904" s="4"/>
      <c r="C2904" s="4"/>
      <c r="D2904" s="4"/>
      <c r="E2904" s="13"/>
      <c r="F2904" s="4"/>
      <c r="G2904" s="4"/>
    </row>
    <row r="2905">
      <c r="A2905" s="4"/>
      <c r="B2905" s="4"/>
      <c r="C2905" s="4"/>
      <c r="D2905" s="4"/>
      <c r="E2905" s="4"/>
      <c r="F2905" s="4"/>
      <c r="G2905" s="4"/>
    </row>
    <row r="2906">
      <c r="A2906" s="4"/>
      <c r="B2906" s="4"/>
      <c r="C2906" s="4"/>
      <c r="D2906" s="4"/>
      <c r="E2906" s="13"/>
      <c r="F2906" s="4"/>
      <c r="G2906" s="4"/>
    </row>
    <row r="2907">
      <c r="A2907" s="4"/>
      <c r="B2907" s="4"/>
      <c r="C2907" s="4"/>
      <c r="D2907" s="4"/>
      <c r="E2907" s="4"/>
      <c r="F2907" s="4"/>
      <c r="G2907" s="4"/>
    </row>
    <row r="2908">
      <c r="A2908" s="4"/>
      <c r="B2908" s="4"/>
      <c r="C2908" s="4"/>
      <c r="D2908" s="4"/>
      <c r="E2908" s="4"/>
      <c r="F2908" s="4"/>
      <c r="G2908" s="4"/>
    </row>
    <row r="2909">
      <c r="A2909" s="4"/>
      <c r="B2909" s="4"/>
      <c r="C2909" s="4"/>
      <c r="D2909" s="4"/>
      <c r="E2909" s="4"/>
      <c r="F2909" s="4"/>
      <c r="G2909" s="4"/>
    </row>
    <row r="2910">
      <c r="A2910" s="4"/>
      <c r="B2910" s="4"/>
      <c r="C2910" s="4"/>
      <c r="D2910" s="4"/>
      <c r="E2910" s="4"/>
      <c r="F2910" s="4"/>
      <c r="G2910" s="4"/>
    </row>
    <row r="2911">
      <c r="A2911" s="4"/>
      <c r="B2911" s="4"/>
      <c r="C2911" s="4"/>
      <c r="D2911" s="4"/>
      <c r="E2911" s="4"/>
      <c r="F2911" s="4"/>
      <c r="G2911" s="4"/>
    </row>
    <row r="2912">
      <c r="A2912" s="4"/>
      <c r="B2912" s="4"/>
      <c r="C2912" s="4"/>
      <c r="D2912" s="4"/>
      <c r="E2912" s="13"/>
      <c r="F2912" s="4"/>
      <c r="G2912" s="4"/>
    </row>
    <row r="2913">
      <c r="A2913" s="4"/>
      <c r="B2913" s="4"/>
      <c r="C2913" s="4"/>
      <c r="D2913" s="13"/>
      <c r="E2913" s="13"/>
      <c r="F2913" s="4"/>
      <c r="G2913" s="4"/>
    </row>
    <row r="2914">
      <c r="A2914" s="4"/>
      <c r="B2914" s="4"/>
      <c r="C2914" s="4"/>
      <c r="D2914" s="13"/>
      <c r="E2914" s="13"/>
      <c r="F2914" s="4"/>
      <c r="G2914" s="4"/>
    </row>
    <row r="2915">
      <c r="A2915" s="4"/>
      <c r="B2915" s="4"/>
      <c r="C2915" s="4"/>
      <c r="D2915" s="4"/>
      <c r="E2915" s="4"/>
      <c r="F2915" s="4"/>
      <c r="G2915" s="4"/>
    </row>
    <row r="2916">
      <c r="A2916" s="4"/>
      <c r="B2916" s="4"/>
      <c r="C2916" s="4"/>
      <c r="D2916" s="4"/>
      <c r="E2916" s="4"/>
      <c r="F2916" s="4"/>
      <c r="G2916" s="4"/>
    </row>
    <row r="2917">
      <c r="A2917" s="4"/>
      <c r="B2917" s="4"/>
      <c r="C2917" s="4"/>
      <c r="D2917" s="4"/>
      <c r="E2917" s="13"/>
      <c r="F2917" s="4"/>
      <c r="G2917" s="4"/>
    </row>
    <row r="2918">
      <c r="A2918" s="4"/>
      <c r="B2918" s="4"/>
      <c r="C2918" s="4"/>
      <c r="D2918" s="4"/>
      <c r="E2918" s="4"/>
      <c r="F2918" s="4"/>
      <c r="G2918" s="4"/>
    </row>
    <row r="2919">
      <c r="A2919" s="4"/>
      <c r="B2919" s="4"/>
      <c r="C2919" s="4"/>
      <c r="D2919" s="4"/>
      <c r="E2919" s="4"/>
      <c r="F2919" s="4"/>
      <c r="G2919" s="4"/>
    </row>
    <row r="2920">
      <c r="A2920" s="4"/>
      <c r="B2920" s="4"/>
      <c r="C2920" s="4"/>
      <c r="D2920" s="4"/>
      <c r="E2920" s="4"/>
      <c r="F2920" s="4"/>
      <c r="G2920" s="4"/>
    </row>
    <row r="2921">
      <c r="A2921" s="4"/>
      <c r="B2921" s="4"/>
      <c r="C2921" s="4"/>
      <c r="D2921" s="4"/>
      <c r="E2921" s="4"/>
      <c r="F2921" s="4"/>
      <c r="G2921" s="4"/>
    </row>
    <row r="2922">
      <c r="A2922" s="4"/>
      <c r="B2922" s="4"/>
      <c r="C2922" s="4"/>
      <c r="D2922" s="4"/>
      <c r="E2922" s="4"/>
      <c r="F2922" s="4"/>
      <c r="G2922" s="4"/>
    </row>
    <row r="2923">
      <c r="A2923" s="4"/>
      <c r="B2923" s="4"/>
      <c r="C2923" s="4"/>
      <c r="D2923" s="4"/>
      <c r="E2923" s="4"/>
      <c r="F2923" s="4"/>
      <c r="G2923" s="4"/>
    </row>
    <row r="2924">
      <c r="A2924" s="4"/>
      <c r="B2924" s="4"/>
      <c r="C2924" s="4"/>
      <c r="D2924" s="4"/>
      <c r="E2924" s="13"/>
      <c r="F2924" s="4"/>
      <c r="G2924" s="4"/>
    </row>
    <row r="2925">
      <c r="A2925" s="4"/>
      <c r="B2925" s="4"/>
      <c r="C2925" s="4"/>
      <c r="D2925" s="4"/>
      <c r="E2925" s="4"/>
      <c r="F2925" s="4"/>
      <c r="G2925" s="4"/>
    </row>
    <row r="2926">
      <c r="A2926" s="4"/>
      <c r="B2926" s="4"/>
      <c r="C2926" s="4"/>
      <c r="D2926" s="4"/>
      <c r="E2926" s="13"/>
      <c r="F2926" s="4"/>
      <c r="G2926" s="4"/>
    </row>
    <row r="2927">
      <c r="A2927" s="4"/>
      <c r="B2927" s="4"/>
      <c r="C2927" s="4"/>
      <c r="D2927" s="4"/>
      <c r="E2927" s="4"/>
      <c r="F2927" s="4"/>
      <c r="G2927" s="4"/>
    </row>
    <row r="2928">
      <c r="A2928" s="4"/>
      <c r="B2928" s="4"/>
      <c r="C2928" s="4"/>
      <c r="D2928" s="4"/>
      <c r="E2928" s="4"/>
      <c r="F2928" s="4"/>
      <c r="G2928" s="4"/>
    </row>
    <row r="2929">
      <c r="A2929" s="4"/>
      <c r="B2929" s="4"/>
      <c r="C2929" s="4"/>
      <c r="D2929" s="4"/>
      <c r="E2929" s="4"/>
      <c r="F2929" s="4"/>
      <c r="G2929" s="4"/>
    </row>
    <row r="2930">
      <c r="A2930" s="4"/>
      <c r="B2930" s="4"/>
      <c r="C2930" s="4"/>
      <c r="D2930" s="4"/>
      <c r="E2930" s="4"/>
      <c r="F2930" s="4"/>
      <c r="G2930" s="4"/>
    </row>
    <row r="2931">
      <c r="A2931" s="4"/>
      <c r="B2931" s="4"/>
      <c r="C2931" s="4"/>
      <c r="D2931" s="4"/>
      <c r="E2931" s="4"/>
      <c r="F2931" s="4"/>
      <c r="G2931" s="4"/>
    </row>
    <row r="2932">
      <c r="A2932" s="4"/>
      <c r="B2932" s="4"/>
      <c r="C2932" s="4"/>
      <c r="D2932" s="4"/>
      <c r="E2932" s="4"/>
      <c r="F2932" s="4"/>
      <c r="G2932" s="4"/>
    </row>
    <row r="2933">
      <c r="A2933" s="4"/>
      <c r="B2933" s="4"/>
      <c r="C2933" s="4"/>
      <c r="D2933" s="4"/>
      <c r="E2933" s="4"/>
      <c r="F2933" s="4"/>
      <c r="G2933" s="4"/>
    </row>
    <row r="2934">
      <c r="A2934" s="4"/>
      <c r="B2934" s="4"/>
      <c r="C2934" s="4"/>
      <c r="D2934" s="4"/>
      <c r="E2934" s="13"/>
      <c r="F2934" s="4"/>
      <c r="G2934" s="4"/>
    </row>
    <row r="2935">
      <c r="A2935" s="4"/>
      <c r="B2935" s="4"/>
      <c r="C2935" s="4"/>
      <c r="D2935" s="4"/>
      <c r="E2935" s="13"/>
      <c r="F2935" s="4"/>
      <c r="G2935" s="4"/>
    </row>
    <row r="2936">
      <c r="A2936" s="4"/>
      <c r="B2936" s="4"/>
      <c r="C2936" s="4"/>
      <c r="D2936" s="13"/>
      <c r="E2936" s="13"/>
      <c r="F2936" s="4"/>
      <c r="G2936" s="4"/>
    </row>
    <row r="2937">
      <c r="A2937" s="4"/>
      <c r="B2937" s="4"/>
      <c r="C2937" s="4"/>
      <c r="D2937" s="13"/>
      <c r="E2937" s="13"/>
      <c r="F2937" s="4"/>
      <c r="G2937" s="4"/>
    </row>
    <row r="2938">
      <c r="A2938" s="4"/>
      <c r="B2938" s="4"/>
      <c r="C2938" s="4"/>
      <c r="D2938" s="4"/>
      <c r="E2938" s="13"/>
      <c r="F2938" s="4"/>
      <c r="G2938" s="4"/>
    </row>
    <row r="2939">
      <c r="A2939" s="4"/>
      <c r="B2939" s="4"/>
      <c r="C2939" s="4"/>
      <c r="D2939" s="4"/>
      <c r="E2939" s="4"/>
      <c r="F2939" s="4"/>
      <c r="G2939" s="4"/>
    </row>
    <row r="2940">
      <c r="A2940" s="4"/>
      <c r="B2940" s="4"/>
      <c r="C2940" s="4"/>
      <c r="D2940" s="4"/>
      <c r="E2940" s="4"/>
      <c r="F2940" s="4"/>
      <c r="G2940" s="4"/>
    </row>
    <row r="2941">
      <c r="A2941" s="4"/>
      <c r="B2941" s="4"/>
      <c r="C2941" s="4"/>
      <c r="D2941" s="13"/>
      <c r="E2941" s="13"/>
      <c r="F2941" s="4"/>
      <c r="G2941" s="4"/>
    </row>
    <row r="2942">
      <c r="A2942" s="4"/>
      <c r="B2942" s="4"/>
      <c r="C2942" s="4"/>
      <c r="D2942" s="4"/>
      <c r="E2942" s="4"/>
      <c r="F2942" s="4"/>
      <c r="G2942" s="4"/>
    </row>
    <row r="2943">
      <c r="A2943" s="4"/>
      <c r="B2943" s="4"/>
      <c r="C2943" s="4"/>
      <c r="D2943" s="4"/>
      <c r="E2943" s="13"/>
      <c r="F2943" s="4"/>
      <c r="G2943" s="4"/>
    </row>
    <row r="2944">
      <c r="A2944" s="4"/>
      <c r="B2944" s="4"/>
      <c r="C2944" s="4"/>
      <c r="D2944" s="4"/>
      <c r="E2944" s="4"/>
      <c r="F2944" s="4"/>
      <c r="G2944" s="4"/>
    </row>
    <row r="2945">
      <c r="A2945" s="4"/>
      <c r="B2945" s="4"/>
      <c r="C2945" s="4"/>
      <c r="D2945" s="4"/>
      <c r="E2945" s="4"/>
      <c r="F2945" s="4"/>
      <c r="G2945" s="4"/>
    </row>
    <row r="2946">
      <c r="A2946" s="4"/>
      <c r="B2946" s="4"/>
      <c r="C2946" s="4"/>
      <c r="D2946" s="4"/>
      <c r="E2946" s="13"/>
      <c r="F2946" s="4"/>
      <c r="G2946" s="4"/>
    </row>
    <row r="2947">
      <c r="A2947" s="4"/>
      <c r="B2947" s="4"/>
      <c r="C2947" s="4"/>
      <c r="D2947" s="4"/>
      <c r="E2947" s="4"/>
      <c r="F2947" s="4"/>
      <c r="G2947" s="4"/>
    </row>
    <row r="2948">
      <c r="A2948" s="4"/>
      <c r="B2948" s="4"/>
      <c r="C2948" s="4"/>
      <c r="D2948" s="4"/>
      <c r="E2948" s="4"/>
      <c r="F2948" s="4"/>
      <c r="G2948" s="4"/>
    </row>
    <row r="2949">
      <c r="A2949" s="4"/>
      <c r="B2949" s="4"/>
      <c r="C2949" s="4"/>
      <c r="D2949" s="4"/>
      <c r="E2949" s="4"/>
      <c r="F2949" s="4"/>
      <c r="G2949" s="4"/>
    </row>
    <row r="2950">
      <c r="A2950" s="4"/>
      <c r="B2950" s="4"/>
      <c r="C2950" s="4"/>
      <c r="D2950" s="4"/>
      <c r="E2950" s="4"/>
      <c r="F2950" s="4"/>
      <c r="G2950" s="4"/>
    </row>
    <row r="2951">
      <c r="A2951" s="4"/>
      <c r="B2951" s="4"/>
      <c r="C2951" s="4"/>
      <c r="D2951" s="4"/>
      <c r="E2951" s="4"/>
      <c r="F2951" s="4"/>
      <c r="G2951" s="4"/>
    </row>
    <row r="2952">
      <c r="A2952" s="4"/>
      <c r="B2952" s="4"/>
      <c r="C2952" s="4"/>
      <c r="D2952" s="4"/>
      <c r="E2952" s="13"/>
      <c r="F2952" s="4"/>
      <c r="G2952" s="4"/>
    </row>
    <row r="2953">
      <c r="A2953" s="4"/>
      <c r="B2953" s="4"/>
      <c r="C2953" s="4"/>
      <c r="D2953" s="4"/>
      <c r="E2953" s="4"/>
      <c r="F2953" s="4"/>
      <c r="G2953" s="4"/>
    </row>
    <row r="2954">
      <c r="A2954" s="4"/>
      <c r="B2954" s="4"/>
      <c r="C2954" s="4"/>
      <c r="D2954" s="4"/>
      <c r="E2954" s="13"/>
      <c r="F2954" s="4"/>
      <c r="G2954" s="4"/>
    </row>
    <row r="2955">
      <c r="A2955" s="4"/>
      <c r="B2955" s="4"/>
      <c r="C2955" s="4"/>
      <c r="D2955" s="4"/>
      <c r="E2955" s="4"/>
      <c r="F2955" s="4"/>
      <c r="G2955" s="4"/>
    </row>
    <row r="2956">
      <c r="A2956" s="4"/>
      <c r="B2956" s="4"/>
      <c r="C2956" s="4"/>
      <c r="D2956" s="4"/>
      <c r="E2956" s="4"/>
      <c r="F2956" s="4"/>
      <c r="G2956" s="4"/>
    </row>
    <row r="2957">
      <c r="A2957" s="4"/>
      <c r="B2957" s="4"/>
      <c r="C2957" s="4"/>
      <c r="D2957" s="4"/>
      <c r="E2957" s="13"/>
      <c r="F2957" s="4"/>
      <c r="G2957" s="4"/>
    </row>
    <row r="2958">
      <c r="A2958" s="4"/>
      <c r="B2958" s="4"/>
      <c r="C2958" s="4"/>
      <c r="D2958" s="4"/>
      <c r="E2958" s="13"/>
      <c r="F2958" s="4"/>
      <c r="G2958" s="4"/>
    </row>
    <row r="2959">
      <c r="A2959" s="4"/>
      <c r="B2959" s="4"/>
      <c r="C2959" s="4"/>
      <c r="D2959" s="4"/>
      <c r="E2959" s="4"/>
      <c r="F2959" s="4"/>
      <c r="G2959" s="4"/>
    </row>
    <row r="2960">
      <c r="A2960" s="4"/>
      <c r="B2960" s="4"/>
      <c r="C2960" s="4"/>
      <c r="D2960" s="4"/>
      <c r="E2960" s="13"/>
      <c r="F2960" s="4"/>
      <c r="G2960" s="4"/>
    </row>
    <row r="2961">
      <c r="A2961" s="4"/>
      <c r="B2961" s="4"/>
      <c r="C2961" s="4"/>
      <c r="D2961" s="4"/>
      <c r="E2961" s="4"/>
      <c r="F2961" s="4"/>
      <c r="G2961" s="4"/>
    </row>
    <row r="2962">
      <c r="A2962" s="4"/>
      <c r="B2962" s="4"/>
      <c r="C2962" s="4"/>
      <c r="D2962" s="4"/>
      <c r="E2962" s="13"/>
      <c r="F2962" s="4"/>
      <c r="G2962" s="4"/>
    </row>
    <row r="2963">
      <c r="A2963" s="4"/>
      <c r="B2963" s="4"/>
      <c r="C2963" s="4"/>
      <c r="D2963" s="4"/>
      <c r="E2963" s="13"/>
      <c r="F2963" s="4"/>
      <c r="G2963" s="4"/>
    </row>
    <row r="2964">
      <c r="A2964" s="4"/>
      <c r="B2964" s="4"/>
      <c r="C2964" s="4"/>
      <c r="D2964" s="4"/>
      <c r="E2964" s="4"/>
      <c r="F2964" s="4"/>
      <c r="G2964" s="4"/>
    </row>
    <row r="2965">
      <c r="A2965" s="4"/>
      <c r="B2965" s="4"/>
      <c r="C2965" s="4"/>
      <c r="D2965" s="4"/>
      <c r="E2965" s="4"/>
      <c r="F2965" s="4"/>
      <c r="G2965" s="4"/>
    </row>
    <row r="2966">
      <c r="A2966" s="4"/>
      <c r="B2966" s="4"/>
      <c r="C2966" s="4"/>
      <c r="D2966" s="4"/>
      <c r="E2966" s="4"/>
      <c r="F2966" s="4"/>
      <c r="G2966" s="4"/>
    </row>
    <row r="2967">
      <c r="A2967" s="4"/>
      <c r="B2967" s="4"/>
      <c r="C2967" s="4"/>
      <c r="D2967" s="13"/>
      <c r="E2967" s="13"/>
      <c r="F2967" s="4"/>
      <c r="G2967" s="4"/>
    </row>
    <row r="2968">
      <c r="A2968" s="4"/>
      <c r="B2968" s="4"/>
      <c r="C2968" s="4"/>
      <c r="D2968" s="13"/>
      <c r="E2968" s="13"/>
      <c r="F2968" s="4"/>
      <c r="G2968" s="4"/>
    </row>
    <row r="2969">
      <c r="A2969" s="4"/>
      <c r="B2969" s="4"/>
      <c r="C2969" s="4"/>
      <c r="D2969" s="13"/>
      <c r="E2969" s="13"/>
      <c r="F2969" s="4"/>
      <c r="G2969" s="4"/>
    </row>
    <row r="2970">
      <c r="A2970" s="4"/>
      <c r="B2970" s="4"/>
      <c r="C2970" s="4"/>
      <c r="D2970" s="4"/>
      <c r="E2970" s="4"/>
      <c r="F2970" s="4"/>
      <c r="G2970" s="4"/>
    </row>
    <row r="2971">
      <c r="A2971" s="4"/>
      <c r="B2971" s="4"/>
      <c r="C2971" s="4"/>
      <c r="D2971" s="4"/>
      <c r="E2971" s="4"/>
      <c r="F2971" s="4"/>
      <c r="G2971" s="4"/>
    </row>
    <row r="2972">
      <c r="A2972" s="4"/>
      <c r="B2972" s="4"/>
      <c r="C2972" s="4"/>
      <c r="D2972" s="4"/>
      <c r="E2972" s="13"/>
      <c r="F2972" s="4"/>
      <c r="G2972" s="4"/>
    </row>
    <row r="2973">
      <c r="A2973" s="4"/>
      <c r="B2973" s="4"/>
      <c r="C2973" s="4"/>
      <c r="D2973" s="13"/>
      <c r="E2973" s="4"/>
      <c r="F2973" s="4"/>
      <c r="G2973" s="4"/>
    </row>
    <row r="2974">
      <c r="A2974" s="4"/>
      <c r="B2974" s="4"/>
      <c r="C2974" s="4"/>
      <c r="D2974" s="4"/>
      <c r="E2974" s="4"/>
      <c r="F2974" s="4"/>
      <c r="G2974" s="4"/>
    </row>
    <row r="2975">
      <c r="A2975" s="4"/>
      <c r="B2975" s="4"/>
      <c r="C2975" s="4"/>
      <c r="D2975" s="4"/>
      <c r="E2975" s="4"/>
      <c r="F2975" s="4"/>
      <c r="G2975" s="4"/>
    </row>
    <row r="2976">
      <c r="A2976" s="4"/>
      <c r="B2976" s="4"/>
      <c r="C2976" s="4"/>
      <c r="D2976" s="13"/>
      <c r="E2976" s="13"/>
      <c r="F2976" s="4"/>
      <c r="G2976" s="4"/>
    </row>
    <row r="2977">
      <c r="A2977" s="4"/>
      <c r="B2977" s="4"/>
      <c r="C2977" s="4"/>
      <c r="D2977" s="4"/>
      <c r="E2977" s="13"/>
      <c r="F2977" s="4"/>
      <c r="G2977" s="4"/>
    </row>
    <row r="2978">
      <c r="A2978" s="4"/>
      <c r="B2978" s="4"/>
      <c r="C2978" s="4"/>
      <c r="D2978" s="4"/>
      <c r="E2978" s="4"/>
      <c r="F2978" s="4"/>
      <c r="G2978" s="4"/>
    </row>
    <row r="2979">
      <c r="A2979" s="4"/>
      <c r="B2979" s="4"/>
      <c r="C2979" s="4"/>
      <c r="D2979" s="4"/>
      <c r="E2979" s="4"/>
      <c r="F2979" s="4"/>
      <c r="G2979" s="4"/>
    </row>
    <row r="2980">
      <c r="A2980" s="4"/>
      <c r="B2980" s="4"/>
      <c r="C2980" s="4"/>
      <c r="D2980" s="13"/>
      <c r="E2980" s="13"/>
      <c r="F2980" s="4"/>
      <c r="G2980" s="4"/>
    </row>
    <row r="2981">
      <c r="A2981" s="4"/>
      <c r="B2981" s="4"/>
      <c r="C2981" s="4"/>
      <c r="D2981" s="13"/>
      <c r="E2981" s="13"/>
      <c r="F2981" s="4"/>
      <c r="G2981" s="4"/>
    </row>
    <row r="2982">
      <c r="A2982" s="4"/>
      <c r="B2982" s="4"/>
      <c r="C2982" s="4"/>
      <c r="D2982" s="13"/>
      <c r="E2982" s="13"/>
      <c r="F2982" s="4"/>
      <c r="G2982" s="4"/>
    </row>
    <row r="2983">
      <c r="A2983" s="4"/>
      <c r="B2983" s="4"/>
      <c r="C2983" s="4"/>
      <c r="D2983" s="4"/>
      <c r="E2983" s="4"/>
      <c r="F2983" s="4"/>
      <c r="G2983" s="4"/>
    </row>
    <row r="2984">
      <c r="A2984" s="4"/>
      <c r="B2984" s="4"/>
      <c r="C2984" s="4"/>
      <c r="D2984" s="4"/>
      <c r="E2984" s="13"/>
      <c r="F2984" s="4"/>
      <c r="G2984" s="4"/>
    </row>
    <row r="2985">
      <c r="A2985" s="4"/>
      <c r="B2985" s="4"/>
      <c r="C2985" s="4"/>
      <c r="D2985" s="4"/>
      <c r="E2985" s="4"/>
      <c r="F2985" s="4"/>
      <c r="G2985" s="4"/>
    </row>
    <row r="2986">
      <c r="A2986" s="4"/>
      <c r="B2986" s="4"/>
      <c r="C2986" s="4"/>
      <c r="D2986" s="4"/>
      <c r="E2986" s="4"/>
      <c r="F2986" s="4"/>
      <c r="G2986" s="4"/>
    </row>
    <row r="2987">
      <c r="A2987" s="4"/>
      <c r="B2987" s="4"/>
      <c r="C2987" s="4"/>
      <c r="D2987" s="4"/>
      <c r="E2987" s="4"/>
      <c r="F2987" s="4"/>
      <c r="G2987" s="4"/>
    </row>
    <row r="2988">
      <c r="A2988" s="4"/>
      <c r="B2988" s="4"/>
      <c r="C2988" s="4"/>
      <c r="D2988" s="4"/>
      <c r="E2988" s="4"/>
      <c r="F2988" s="4"/>
      <c r="G2988" s="4"/>
    </row>
    <row r="2989">
      <c r="A2989" s="4"/>
      <c r="B2989" s="4"/>
      <c r="C2989" s="4"/>
      <c r="D2989" s="4"/>
      <c r="E2989" s="4"/>
      <c r="F2989" s="4"/>
      <c r="G2989" s="4"/>
    </row>
    <row r="2990">
      <c r="A2990" s="4"/>
      <c r="B2990" s="4"/>
      <c r="C2990" s="4"/>
      <c r="D2990" s="4"/>
      <c r="E2990" s="13"/>
      <c r="F2990" s="4"/>
      <c r="G2990" s="4"/>
    </row>
    <row r="2991">
      <c r="A2991" s="4"/>
      <c r="B2991" s="4"/>
      <c r="C2991" s="4"/>
      <c r="D2991" s="13"/>
      <c r="E2991" s="13"/>
      <c r="F2991" s="4"/>
      <c r="G2991" s="4"/>
    </row>
    <row r="2992">
      <c r="A2992" s="4"/>
      <c r="B2992" s="4"/>
      <c r="C2992" s="4"/>
      <c r="D2992" s="4"/>
      <c r="E2992" s="4"/>
      <c r="F2992" s="4"/>
      <c r="G2992" s="4"/>
    </row>
    <row r="2993">
      <c r="A2993" s="4"/>
      <c r="B2993" s="4"/>
      <c r="C2993" s="4"/>
      <c r="D2993" s="4"/>
      <c r="E2993" s="4"/>
      <c r="F2993" s="4"/>
      <c r="G2993" s="4"/>
    </row>
    <row r="2994">
      <c r="A2994" s="4"/>
      <c r="B2994" s="4"/>
      <c r="C2994" s="4"/>
      <c r="D2994" s="4"/>
      <c r="E2994" s="4"/>
      <c r="F2994" s="4"/>
      <c r="G2994" s="4"/>
    </row>
    <row r="2995">
      <c r="A2995" s="4"/>
      <c r="B2995" s="4"/>
      <c r="C2995" s="4"/>
      <c r="D2995" s="4"/>
      <c r="E2995" s="13"/>
      <c r="F2995" s="4"/>
      <c r="G2995" s="4"/>
    </row>
    <row r="2996">
      <c r="A2996" s="4"/>
      <c r="B2996" s="4"/>
      <c r="C2996" s="4"/>
      <c r="D2996" s="4"/>
      <c r="E2996" s="4"/>
      <c r="F2996" s="4"/>
      <c r="G2996" s="4"/>
    </row>
    <row r="2997">
      <c r="A2997" s="4"/>
      <c r="B2997" s="4"/>
      <c r="C2997" s="4"/>
      <c r="D2997" s="13"/>
      <c r="E2997" s="13"/>
      <c r="F2997" s="4"/>
      <c r="G2997" s="4"/>
    </row>
    <row r="2998">
      <c r="A2998" s="4"/>
      <c r="B2998" s="4"/>
      <c r="C2998" s="4"/>
      <c r="D2998" s="4"/>
      <c r="E2998" s="13"/>
      <c r="F2998" s="4"/>
      <c r="G2998" s="4"/>
    </row>
    <row r="2999">
      <c r="A2999" s="4"/>
      <c r="B2999" s="4"/>
      <c r="C2999" s="4"/>
      <c r="D2999" s="4"/>
      <c r="E2999" s="4"/>
      <c r="F2999" s="4"/>
      <c r="G2999" s="4"/>
    </row>
    <row r="3000">
      <c r="A3000" s="4"/>
      <c r="B3000" s="4"/>
      <c r="C3000" s="4"/>
      <c r="D3000" s="4"/>
      <c r="E3000" s="4"/>
      <c r="F3000" s="4"/>
      <c r="G3000" s="4"/>
    </row>
    <row r="3001">
      <c r="A3001" s="4"/>
      <c r="B3001" s="4"/>
      <c r="C3001" s="4"/>
      <c r="D3001" s="4"/>
      <c r="E3001" s="4"/>
      <c r="F3001" s="4"/>
      <c r="G3001" s="4"/>
    </row>
    <row r="3002">
      <c r="A3002" s="4"/>
      <c r="B3002" s="4"/>
      <c r="C3002" s="4"/>
      <c r="D3002" s="4"/>
      <c r="E3002" s="4"/>
      <c r="F3002" s="4"/>
      <c r="G3002" s="4"/>
    </row>
    <row r="3003">
      <c r="A3003" s="4"/>
      <c r="B3003" s="4"/>
      <c r="C3003" s="4"/>
      <c r="D3003" s="4"/>
      <c r="E3003" s="13"/>
      <c r="F3003" s="4"/>
      <c r="G3003" s="4"/>
    </row>
    <row r="3004">
      <c r="A3004" s="4"/>
      <c r="B3004" s="4"/>
      <c r="C3004" s="4"/>
      <c r="D3004" s="4"/>
      <c r="E3004" s="4"/>
      <c r="F3004" s="4"/>
      <c r="G3004" s="4"/>
    </row>
    <row r="3005">
      <c r="A3005" s="4"/>
      <c r="B3005" s="4"/>
      <c r="C3005" s="4"/>
      <c r="D3005" s="4"/>
      <c r="E3005" s="4"/>
      <c r="F3005" s="4"/>
      <c r="G3005" s="4"/>
    </row>
    <row r="3006">
      <c r="A3006" s="4"/>
      <c r="B3006" s="4"/>
      <c r="C3006" s="4"/>
      <c r="D3006" s="4"/>
      <c r="E3006" s="4"/>
      <c r="F3006" s="4"/>
      <c r="G3006" s="4"/>
    </row>
    <row r="3007">
      <c r="A3007" s="4"/>
      <c r="B3007" s="4"/>
      <c r="C3007" s="4"/>
      <c r="D3007" s="4"/>
      <c r="E3007" s="4"/>
      <c r="F3007" s="4"/>
      <c r="G3007" s="4"/>
    </row>
    <row r="3008">
      <c r="A3008" s="4"/>
      <c r="B3008" s="4"/>
      <c r="C3008" s="4"/>
      <c r="D3008" s="4"/>
      <c r="E3008" s="4"/>
      <c r="F3008" s="4"/>
      <c r="G3008" s="4"/>
    </row>
    <row r="3009">
      <c r="A3009" s="4"/>
      <c r="B3009" s="4"/>
      <c r="C3009" s="4"/>
      <c r="D3009" s="4"/>
      <c r="E3009" s="4"/>
      <c r="F3009" s="4"/>
      <c r="G3009" s="4"/>
    </row>
    <row r="3010">
      <c r="A3010" s="4"/>
      <c r="B3010" s="4"/>
      <c r="C3010" s="4"/>
      <c r="D3010" s="13"/>
      <c r="E3010" s="13"/>
      <c r="F3010" s="4"/>
      <c r="G3010" s="4"/>
    </row>
    <row r="3011">
      <c r="A3011" s="4"/>
      <c r="B3011" s="4"/>
      <c r="C3011" s="4"/>
      <c r="D3011" s="4"/>
      <c r="E3011" s="4"/>
      <c r="F3011" s="4"/>
      <c r="G3011" s="4"/>
    </row>
    <row r="3012">
      <c r="A3012" s="4"/>
      <c r="B3012" s="4"/>
      <c r="C3012" s="4"/>
      <c r="D3012" s="4"/>
      <c r="E3012" s="4"/>
      <c r="F3012" s="4"/>
      <c r="G3012" s="4"/>
    </row>
    <row r="3013">
      <c r="A3013" s="4"/>
      <c r="B3013" s="4"/>
      <c r="C3013" s="4"/>
      <c r="D3013" s="4"/>
      <c r="E3013" s="4"/>
      <c r="F3013" s="4"/>
      <c r="G3013" s="4"/>
    </row>
    <row r="3014">
      <c r="A3014" s="4"/>
      <c r="B3014" s="4"/>
      <c r="C3014" s="4"/>
      <c r="D3014" s="13"/>
      <c r="E3014" s="13"/>
      <c r="F3014" s="4"/>
      <c r="G3014" s="4"/>
    </row>
    <row r="3015">
      <c r="A3015" s="4"/>
      <c r="B3015" s="4"/>
      <c r="C3015" s="4"/>
      <c r="D3015" s="4"/>
      <c r="E3015" s="13"/>
      <c r="F3015" s="4"/>
      <c r="G3015" s="4"/>
    </row>
    <row r="3016">
      <c r="A3016" s="4"/>
      <c r="B3016" s="4"/>
      <c r="C3016" s="4"/>
      <c r="D3016" s="4"/>
      <c r="E3016" s="4"/>
      <c r="F3016" s="4"/>
      <c r="G3016" s="4"/>
    </row>
    <row r="3017">
      <c r="A3017" s="4"/>
      <c r="B3017" s="4"/>
      <c r="C3017" s="4"/>
      <c r="D3017" s="4"/>
      <c r="E3017" s="13"/>
      <c r="F3017" s="4"/>
      <c r="G3017" s="4"/>
    </row>
    <row r="3018">
      <c r="A3018" s="4"/>
      <c r="B3018" s="4"/>
      <c r="C3018" s="4"/>
      <c r="D3018" s="4"/>
      <c r="E3018" s="4"/>
      <c r="F3018" s="4"/>
      <c r="G3018" s="4"/>
    </row>
    <row r="3019">
      <c r="A3019" s="4"/>
      <c r="B3019" s="4"/>
      <c r="C3019" s="4"/>
      <c r="D3019" s="4"/>
      <c r="E3019" s="4"/>
      <c r="F3019" s="4"/>
      <c r="G3019" s="4"/>
    </row>
    <row r="3020">
      <c r="A3020" s="4"/>
      <c r="B3020" s="4"/>
      <c r="C3020" s="4"/>
      <c r="D3020" s="13"/>
      <c r="E3020" s="13"/>
      <c r="F3020" s="4"/>
      <c r="G3020" s="4"/>
    </row>
    <row r="3021">
      <c r="A3021" s="4"/>
      <c r="B3021" s="4"/>
      <c r="C3021" s="4"/>
      <c r="D3021" s="4"/>
      <c r="E3021" s="13"/>
      <c r="F3021" s="4"/>
      <c r="G3021" s="4"/>
    </row>
    <row r="3022">
      <c r="A3022" s="4"/>
      <c r="B3022" s="4"/>
      <c r="C3022" s="4"/>
      <c r="D3022" s="4"/>
      <c r="E3022" s="4"/>
      <c r="F3022" s="4"/>
      <c r="G3022" s="4"/>
    </row>
    <row r="3023">
      <c r="A3023" s="4"/>
      <c r="B3023" s="4"/>
      <c r="C3023" s="4"/>
      <c r="D3023" s="4"/>
      <c r="E3023" s="4"/>
      <c r="F3023" s="4"/>
      <c r="G3023" s="4"/>
    </row>
    <row r="3024">
      <c r="A3024" s="4"/>
      <c r="B3024" s="4"/>
      <c r="C3024" s="4"/>
      <c r="D3024" s="4"/>
      <c r="E3024" s="4"/>
      <c r="F3024" s="4"/>
      <c r="G3024" s="4"/>
    </row>
    <row r="3025">
      <c r="A3025" s="4"/>
      <c r="B3025" s="4"/>
      <c r="C3025" s="4"/>
      <c r="D3025" s="4"/>
      <c r="E3025" s="13"/>
      <c r="F3025" s="4"/>
      <c r="G3025" s="4"/>
    </row>
    <row r="3026">
      <c r="A3026" s="4"/>
      <c r="B3026" s="4"/>
      <c r="C3026" s="4"/>
      <c r="D3026" s="4"/>
      <c r="E3026" s="4"/>
      <c r="F3026" s="4"/>
      <c r="G3026" s="4"/>
    </row>
    <row r="3027">
      <c r="A3027" s="4"/>
      <c r="B3027" s="4"/>
      <c r="C3027" s="4"/>
      <c r="D3027" s="4"/>
      <c r="E3027" s="4"/>
      <c r="F3027" s="4"/>
      <c r="G3027" s="4"/>
    </row>
    <row r="3028">
      <c r="A3028" s="4"/>
      <c r="B3028" s="4"/>
      <c r="C3028" s="4"/>
      <c r="D3028" s="13"/>
      <c r="E3028" s="13"/>
      <c r="F3028" s="4"/>
      <c r="G3028" s="4"/>
    </row>
    <row r="3029">
      <c r="A3029" s="4"/>
      <c r="B3029" s="4"/>
      <c r="C3029" s="4"/>
      <c r="D3029" s="4"/>
      <c r="E3029" s="4"/>
      <c r="F3029" s="4"/>
      <c r="G3029" s="4"/>
    </row>
    <row r="3030">
      <c r="A3030" s="4"/>
      <c r="B3030" s="4"/>
      <c r="C3030" s="4"/>
      <c r="D3030" s="13"/>
      <c r="E3030" s="13"/>
      <c r="F3030" s="4"/>
      <c r="G3030" s="4"/>
    </row>
    <row r="3031">
      <c r="A3031" s="4"/>
      <c r="B3031" s="4"/>
      <c r="C3031" s="4"/>
      <c r="D3031" s="13"/>
      <c r="E3031" s="13"/>
      <c r="F3031" s="4"/>
      <c r="G3031" s="4"/>
    </row>
    <row r="3032">
      <c r="A3032" s="4"/>
      <c r="B3032" s="4"/>
      <c r="C3032" s="4"/>
      <c r="D3032" s="4"/>
      <c r="E3032" s="4"/>
      <c r="F3032" s="4"/>
      <c r="G3032" s="4"/>
    </row>
    <row r="3033">
      <c r="A3033" s="4"/>
      <c r="B3033" s="4"/>
      <c r="C3033" s="4"/>
      <c r="D3033" s="4"/>
      <c r="E3033" s="13"/>
      <c r="F3033" s="4"/>
      <c r="G3033" s="4"/>
    </row>
    <row r="3034">
      <c r="A3034" s="4"/>
      <c r="B3034" s="4"/>
      <c r="C3034" s="4"/>
      <c r="D3034" s="4"/>
      <c r="E3034" s="4"/>
      <c r="F3034" s="4"/>
      <c r="G3034" s="4"/>
    </row>
    <row r="3035">
      <c r="A3035" s="4"/>
      <c r="B3035" s="4"/>
      <c r="C3035" s="4"/>
      <c r="D3035" s="4"/>
      <c r="E3035" s="4"/>
      <c r="F3035" s="4"/>
      <c r="G3035" s="4"/>
    </row>
    <row r="3036">
      <c r="A3036" s="4"/>
      <c r="B3036" s="4"/>
      <c r="C3036" s="4"/>
      <c r="D3036" s="13"/>
      <c r="E3036" s="13"/>
      <c r="F3036" s="4"/>
      <c r="G3036" s="4"/>
    </row>
    <row r="3037">
      <c r="A3037" s="4"/>
      <c r="B3037" s="4"/>
      <c r="C3037" s="4"/>
      <c r="D3037" s="13"/>
      <c r="E3037" s="13"/>
      <c r="F3037" s="4"/>
      <c r="G3037" s="4"/>
    </row>
    <row r="3038">
      <c r="A3038" s="4"/>
      <c r="B3038" s="4"/>
      <c r="C3038" s="4"/>
      <c r="D3038" s="4"/>
      <c r="E3038" s="4"/>
      <c r="F3038" s="4"/>
      <c r="G3038" s="4"/>
    </row>
    <row r="3039">
      <c r="A3039" s="4"/>
      <c r="B3039" s="4"/>
      <c r="C3039" s="4"/>
      <c r="D3039" s="13"/>
      <c r="E3039" s="13"/>
      <c r="F3039" s="4"/>
      <c r="G3039" s="4"/>
    </row>
    <row r="3040">
      <c r="A3040" s="4"/>
      <c r="B3040" s="4"/>
      <c r="C3040" s="4"/>
      <c r="D3040" s="4"/>
      <c r="E3040" s="4"/>
      <c r="F3040" s="4"/>
      <c r="G3040" s="4"/>
    </row>
    <row r="3041">
      <c r="A3041" s="4"/>
      <c r="B3041" s="4"/>
      <c r="C3041" s="4"/>
      <c r="D3041" s="4"/>
      <c r="E3041" s="4"/>
      <c r="F3041" s="4"/>
      <c r="G3041" s="4"/>
    </row>
    <row r="3042">
      <c r="A3042" s="4"/>
      <c r="B3042" s="4"/>
      <c r="C3042" s="4"/>
      <c r="D3042" s="4"/>
      <c r="E3042" s="13"/>
      <c r="F3042" s="4"/>
      <c r="G3042" s="4"/>
    </row>
    <row r="3043">
      <c r="A3043" s="4"/>
      <c r="B3043" s="4"/>
      <c r="C3043" s="4"/>
      <c r="D3043" s="4"/>
      <c r="E3043" s="4"/>
      <c r="F3043" s="4"/>
      <c r="G3043" s="4"/>
    </row>
    <row r="3044">
      <c r="A3044" s="4"/>
      <c r="B3044" s="4"/>
      <c r="C3044" s="4"/>
      <c r="D3044" s="13"/>
      <c r="E3044" s="13"/>
      <c r="F3044" s="4"/>
      <c r="G3044" s="4"/>
    </row>
    <row r="3045">
      <c r="A3045" s="4"/>
      <c r="B3045" s="4"/>
      <c r="C3045" s="4"/>
      <c r="D3045" s="13"/>
      <c r="E3045" s="13"/>
      <c r="F3045" s="4"/>
      <c r="G3045" s="4"/>
    </row>
    <row r="3046">
      <c r="A3046" s="4"/>
      <c r="B3046" s="4"/>
      <c r="C3046" s="4"/>
      <c r="D3046" s="4"/>
      <c r="E3046" s="4"/>
      <c r="F3046" s="4"/>
      <c r="G3046" s="4"/>
    </row>
    <row r="3047">
      <c r="A3047" s="4"/>
      <c r="B3047" s="4"/>
      <c r="C3047" s="4"/>
      <c r="D3047" s="4"/>
      <c r="E3047" s="13"/>
      <c r="F3047" s="4"/>
      <c r="G3047" s="4"/>
    </row>
    <row r="3048">
      <c r="A3048" s="4"/>
      <c r="B3048" s="4"/>
      <c r="C3048" s="4"/>
      <c r="D3048" s="4"/>
      <c r="E3048" s="4"/>
      <c r="F3048" s="4"/>
      <c r="G3048" s="4"/>
    </row>
    <row r="3049">
      <c r="A3049" s="4"/>
      <c r="B3049" s="4"/>
      <c r="C3049" s="4"/>
      <c r="D3049" s="4"/>
      <c r="E3049" s="13"/>
      <c r="F3049" s="4"/>
      <c r="G3049" s="4"/>
    </row>
    <row r="3050">
      <c r="A3050" s="4"/>
      <c r="B3050" s="4"/>
      <c r="C3050" s="4"/>
      <c r="D3050" s="4"/>
      <c r="E3050" s="13"/>
      <c r="F3050" s="4"/>
      <c r="G3050" s="4"/>
    </row>
    <row r="3051">
      <c r="A3051" s="4"/>
      <c r="B3051" s="4"/>
      <c r="C3051" s="4"/>
      <c r="D3051" s="4"/>
      <c r="E3051" s="4"/>
      <c r="F3051" s="4"/>
      <c r="G3051" s="4"/>
    </row>
    <row r="3052">
      <c r="A3052" s="4"/>
      <c r="B3052" s="4"/>
      <c r="C3052" s="4"/>
      <c r="D3052" s="13"/>
      <c r="E3052" s="13"/>
      <c r="F3052" s="4"/>
      <c r="G3052" s="4"/>
    </row>
    <row r="3053">
      <c r="A3053" s="4"/>
      <c r="B3053" s="4"/>
      <c r="C3053" s="4"/>
      <c r="D3053" s="4"/>
      <c r="E3053" s="4"/>
      <c r="F3053" s="4"/>
      <c r="G3053" s="4"/>
    </row>
    <row r="3054">
      <c r="A3054" s="4"/>
      <c r="B3054" s="4"/>
      <c r="C3054" s="4"/>
      <c r="D3054" s="4"/>
      <c r="E3054" s="13"/>
      <c r="F3054" s="4"/>
      <c r="G3054" s="4"/>
    </row>
    <row r="3055">
      <c r="A3055" s="4"/>
      <c r="B3055" s="4"/>
      <c r="C3055" s="4"/>
      <c r="D3055" s="4"/>
      <c r="E3055" s="4"/>
      <c r="F3055" s="4"/>
      <c r="G3055" s="4"/>
    </row>
    <row r="3056">
      <c r="A3056" s="4"/>
      <c r="B3056" s="4"/>
      <c r="C3056" s="4"/>
      <c r="D3056" s="4"/>
      <c r="E3056" s="4"/>
      <c r="F3056" s="4"/>
      <c r="G3056" s="4"/>
    </row>
    <row r="3057">
      <c r="A3057" s="4"/>
      <c r="B3057" s="4"/>
      <c r="C3057" s="4"/>
      <c r="D3057" s="4"/>
      <c r="E3057" s="13"/>
      <c r="F3057" s="4"/>
      <c r="G3057" s="4"/>
    </row>
    <row r="3058">
      <c r="A3058" s="4"/>
      <c r="B3058" s="4"/>
      <c r="C3058" s="4"/>
      <c r="D3058" s="13"/>
      <c r="E3058" s="13"/>
      <c r="F3058" s="4"/>
      <c r="G3058" s="4"/>
    </row>
    <row r="3059">
      <c r="A3059" s="4"/>
      <c r="B3059" s="4"/>
      <c r="C3059" s="4"/>
      <c r="D3059" s="4"/>
      <c r="E3059" s="13"/>
      <c r="F3059" s="4"/>
      <c r="G3059" s="4"/>
    </row>
    <row r="3060">
      <c r="A3060" s="4"/>
      <c r="B3060" s="4"/>
      <c r="C3060" s="4"/>
      <c r="D3060" s="4"/>
      <c r="E3060" s="4"/>
      <c r="F3060" s="4"/>
      <c r="G3060" s="4"/>
    </row>
    <row r="3061">
      <c r="A3061" s="4"/>
      <c r="B3061" s="4"/>
      <c r="C3061" s="4"/>
      <c r="D3061" s="4"/>
      <c r="E3061" s="4"/>
      <c r="F3061" s="4"/>
      <c r="G3061" s="4"/>
    </row>
    <row r="3062">
      <c r="A3062" s="4"/>
      <c r="B3062" s="4"/>
      <c r="C3062" s="4"/>
      <c r="D3062" s="4"/>
      <c r="E3062" s="13"/>
      <c r="F3062" s="4"/>
      <c r="G3062" s="4"/>
    </row>
    <row r="3063">
      <c r="A3063" s="4"/>
      <c r="B3063" s="4"/>
      <c r="C3063" s="4"/>
      <c r="D3063" s="4"/>
      <c r="E3063" s="4"/>
      <c r="F3063" s="4"/>
      <c r="G3063" s="4"/>
    </row>
    <row r="3064">
      <c r="A3064" s="4"/>
      <c r="B3064" s="4"/>
      <c r="C3064" s="4"/>
      <c r="D3064" s="4"/>
      <c r="E3064" s="13"/>
      <c r="F3064" s="4"/>
      <c r="G3064" s="4"/>
    </row>
    <row r="3065">
      <c r="A3065" s="4"/>
      <c r="B3065" s="4"/>
      <c r="C3065" s="4"/>
      <c r="D3065" s="4"/>
      <c r="E3065" s="4"/>
      <c r="F3065" s="4"/>
      <c r="G3065" s="4"/>
    </row>
    <row r="3066">
      <c r="A3066" s="4"/>
      <c r="B3066" s="4"/>
      <c r="C3066" s="4"/>
      <c r="D3066" s="4"/>
      <c r="E3066" s="4"/>
      <c r="F3066" s="4"/>
      <c r="G3066" s="4"/>
    </row>
    <row r="3067">
      <c r="A3067" s="4"/>
      <c r="B3067" s="4"/>
      <c r="C3067" s="4"/>
      <c r="D3067" s="4"/>
      <c r="E3067" s="4"/>
      <c r="F3067" s="4"/>
      <c r="G3067" s="4"/>
    </row>
    <row r="3068">
      <c r="A3068" s="4"/>
      <c r="B3068" s="4"/>
      <c r="C3068" s="4"/>
      <c r="D3068" s="4"/>
      <c r="E3068" s="13"/>
      <c r="F3068" s="4"/>
      <c r="G3068" s="4"/>
    </row>
    <row r="3069">
      <c r="A3069" s="4"/>
      <c r="B3069" s="4"/>
      <c r="C3069" s="4"/>
      <c r="D3069" s="4"/>
      <c r="E3069" s="4"/>
      <c r="F3069" s="4"/>
      <c r="G3069" s="4"/>
    </row>
    <row r="3070">
      <c r="A3070" s="4"/>
      <c r="B3070" s="4"/>
      <c r="C3070" s="4"/>
      <c r="D3070" s="4"/>
      <c r="E3070" s="13"/>
      <c r="F3070" s="4"/>
      <c r="G3070" s="4"/>
    </row>
    <row r="3071">
      <c r="A3071" s="4"/>
      <c r="B3071" s="4"/>
      <c r="C3071" s="4"/>
      <c r="D3071" s="13"/>
      <c r="E3071" s="13"/>
      <c r="F3071" s="4"/>
      <c r="G3071" s="4"/>
    </row>
    <row r="3072">
      <c r="A3072" s="4"/>
      <c r="B3072" s="4"/>
      <c r="C3072" s="4"/>
      <c r="D3072" s="4"/>
      <c r="E3072" s="4"/>
      <c r="F3072" s="4"/>
      <c r="G3072" s="4"/>
    </row>
    <row r="3073">
      <c r="A3073" s="4"/>
      <c r="B3073" s="4"/>
      <c r="C3073" s="4"/>
      <c r="D3073" s="4"/>
      <c r="E3073" s="4"/>
      <c r="F3073" s="4"/>
      <c r="G3073" s="4"/>
    </row>
    <row r="3074">
      <c r="A3074" s="4"/>
      <c r="B3074" s="4"/>
      <c r="C3074" s="4"/>
      <c r="D3074" s="4"/>
      <c r="E3074" s="13"/>
      <c r="F3074" s="4"/>
      <c r="G3074" s="4"/>
    </row>
    <row r="3075">
      <c r="A3075" s="4"/>
      <c r="B3075" s="4"/>
      <c r="C3075" s="4"/>
      <c r="D3075" s="4"/>
      <c r="E3075" s="4"/>
      <c r="F3075" s="4"/>
      <c r="G3075" s="4"/>
    </row>
    <row r="3076">
      <c r="A3076" s="4"/>
      <c r="B3076" s="4"/>
      <c r="C3076" s="4"/>
      <c r="D3076" s="13"/>
      <c r="E3076" s="13"/>
      <c r="F3076" s="4"/>
      <c r="G3076" s="4"/>
    </row>
    <row r="3077">
      <c r="A3077" s="4"/>
      <c r="B3077" s="4"/>
      <c r="C3077" s="4"/>
      <c r="D3077" s="4"/>
      <c r="E3077" s="4"/>
      <c r="F3077" s="4"/>
      <c r="G3077" s="4"/>
    </row>
    <row r="3078">
      <c r="A3078" s="4"/>
      <c r="B3078" s="4"/>
      <c r="C3078" s="4"/>
      <c r="D3078" s="4"/>
      <c r="E3078" s="4"/>
      <c r="F3078" s="4"/>
      <c r="G3078" s="4"/>
    </row>
    <row r="3079">
      <c r="A3079" s="4"/>
      <c r="B3079" s="4"/>
      <c r="C3079" s="4"/>
      <c r="D3079" s="4"/>
      <c r="E3079" s="4"/>
      <c r="F3079" s="4"/>
      <c r="G3079" s="4"/>
    </row>
    <row r="3080">
      <c r="A3080" s="4"/>
      <c r="B3080" s="4"/>
      <c r="C3080" s="4"/>
      <c r="D3080" s="13"/>
      <c r="E3080" s="13"/>
      <c r="F3080" s="4"/>
      <c r="G3080" s="4"/>
    </row>
    <row r="3081">
      <c r="A3081" s="4"/>
      <c r="B3081" s="4"/>
      <c r="C3081" s="4"/>
      <c r="D3081" s="4"/>
      <c r="E3081" s="4"/>
      <c r="F3081" s="4"/>
      <c r="G3081" s="4"/>
    </row>
    <row r="3082">
      <c r="A3082" s="4"/>
      <c r="B3082" s="4"/>
      <c r="C3082" s="4"/>
      <c r="D3082" s="4"/>
      <c r="E3082" s="4"/>
      <c r="F3082" s="4"/>
      <c r="G3082" s="4"/>
    </row>
    <row r="3083">
      <c r="A3083" s="4"/>
      <c r="B3083" s="4"/>
      <c r="C3083" s="4"/>
      <c r="D3083" s="4"/>
      <c r="E3083" s="4"/>
      <c r="F3083" s="4"/>
      <c r="G3083" s="4"/>
    </row>
    <row r="3084">
      <c r="A3084" s="4"/>
      <c r="B3084" s="4"/>
      <c r="C3084" s="4"/>
      <c r="D3084" s="4"/>
      <c r="E3084" s="4"/>
      <c r="F3084" s="4"/>
      <c r="G3084" s="4"/>
    </row>
    <row r="3085">
      <c r="A3085" s="4"/>
      <c r="B3085" s="4"/>
      <c r="C3085" s="4"/>
      <c r="D3085" s="4"/>
      <c r="E3085" s="4"/>
      <c r="F3085" s="4"/>
      <c r="G3085" s="4"/>
    </row>
    <row r="3086">
      <c r="A3086" s="4"/>
      <c r="B3086" s="4"/>
      <c r="C3086" s="4"/>
      <c r="D3086" s="4"/>
      <c r="E3086" s="13"/>
      <c r="F3086" s="4"/>
      <c r="G3086" s="4"/>
    </row>
    <row r="3087">
      <c r="A3087" s="4"/>
      <c r="B3087" s="4"/>
      <c r="C3087" s="4"/>
      <c r="D3087" s="4"/>
      <c r="E3087" s="4"/>
      <c r="F3087" s="4"/>
      <c r="G3087" s="4"/>
    </row>
    <row r="3088">
      <c r="A3088" s="4"/>
      <c r="B3088" s="4"/>
      <c r="C3088" s="4"/>
      <c r="D3088" s="4"/>
      <c r="E3088" s="4"/>
      <c r="F3088" s="4"/>
      <c r="G3088" s="4"/>
    </row>
    <row r="3089">
      <c r="A3089" s="4"/>
      <c r="B3089" s="4"/>
      <c r="C3089" s="4"/>
      <c r="D3089" s="4"/>
      <c r="E3089" s="13"/>
      <c r="F3089" s="4"/>
      <c r="G3089" s="4"/>
    </row>
    <row r="3090">
      <c r="A3090" s="4"/>
      <c r="B3090" s="4"/>
      <c r="C3090" s="4"/>
      <c r="D3090" s="4"/>
      <c r="E3090" s="4"/>
      <c r="F3090" s="4"/>
      <c r="G3090" s="4"/>
    </row>
    <row r="3091">
      <c r="A3091" s="4"/>
      <c r="B3091" s="4"/>
      <c r="C3091" s="4"/>
      <c r="D3091" s="4"/>
      <c r="E3091" s="4"/>
      <c r="F3091" s="4"/>
      <c r="G3091" s="4"/>
    </row>
    <row r="3092">
      <c r="A3092" s="4"/>
      <c r="B3092" s="4"/>
      <c r="C3092" s="4"/>
      <c r="D3092" s="4"/>
      <c r="E3092" s="4"/>
      <c r="F3092" s="4"/>
      <c r="G3092" s="4"/>
    </row>
    <row r="3093">
      <c r="A3093" s="4"/>
      <c r="B3093" s="4"/>
      <c r="C3093" s="4"/>
      <c r="D3093" s="4"/>
      <c r="E3093" s="4"/>
      <c r="F3093" s="4"/>
      <c r="G3093" s="4"/>
    </row>
    <row r="3094">
      <c r="A3094" s="4"/>
      <c r="B3094" s="4"/>
      <c r="C3094" s="4"/>
      <c r="D3094" s="4"/>
      <c r="E3094" s="4"/>
      <c r="F3094" s="4"/>
      <c r="G3094" s="4"/>
    </row>
    <row r="3095">
      <c r="A3095" s="4"/>
      <c r="B3095" s="4"/>
      <c r="C3095" s="4"/>
      <c r="D3095" s="4"/>
      <c r="E3095" s="4"/>
      <c r="F3095" s="4"/>
      <c r="G3095" s="4"/>
    </row>
    <row r="3096">
      <c r="A3096" s="4"/>
      <c r="B3096" s="4"/>
      <c r="C3096" s="4"/>
      <c r="D3096" s="4"/>
      <c r="E3096" s="4"/>
      <c r="F3096" s="4"/>
      <c r="G3096" s="4"/>
    </row>
    <row r="3097">
      <c r="A3097" s="4"/>
      <c r="B3097" s="4"/>
      <c r="C3097" s="4"/>
      <c r="D3097" s="4"/>
      <c r="E3097" s="4"/>
      <c r="F3097" s="4"/>
      <c r="G3097" s="4"/>
    </row>
    <row r="3098">
      <c r="A3098" s="4"/>
      <c r="B3098" s="4"/>
      <c r="C3098" s="4"/>
      <c r="D3098" s="4"/>
      <c r="E3098" s="13"/>
      <c r="F3098" s="4"/>
      <c r="G3098" s="4"/>
    </row>
    <row r="3099">
      <c r="A3099" s="4"/>
      <c r="B3099" s="4"/>
      <c r="C3099" s="4"/>
      <c r="D3099" s="4"/>
      <c r="E3099" s="4"/>
      <c r="F3099" s="4"/>
      <c r="G3099" s="4"/>
    </row>
    <row r="3100">
      <c r="A3100" s="4"/>
      <c r="B3100" s="4"/>
      <c r="C3100" s="4"/>
      <c r="D3100" s="4"/>
      <c r="E3100" s="4"/>
      <c r="F3100" s="4"/>
      <c r="G3100" s="4"/>
    </row>
    <row r="3101">
      <c r="A3101" s="4"/>
      <c r="B3101" s="4"/>
      <c r="C3101" s="4"/>
      <c r="D3101" s="4"/>
      <c r="E3101" s="13"/>
      <c r="F3101" s="4"/>
      <c r="G3101" s="4"/>
    </row>
    <row r="3102">
      <c r="A3102" s="4"/>
      <c r="B3102" s="4"/>
      <c r="C3102" s="4"/>
      <c r="D3102" s="4"/>
      <c r="E3102" s="4"/>
      <c r="F3102" s="4"/>
      <c r="G3102" s="4"/>
    </row>
    <row r="3103">
      <c r="A3103" s="4"/>
      <c r="B3103" s="4"/>
      <c r="C3103" s="4"/>
      <c r="D3103" s="4"/>
      <c r="E3103" s="4"/>
      <c r="F3103" s="4"/>
      <c r="G3103" s="4"/>
    </row>
    <row r="3104">
      <c r="A3104" s="4"/>
      <c r="B3104" s="4"/>
      <c r="C3104" s="4"/>
      <c r="D3104" s="4"/>
      <c r="E3104" s="4"/>
      <c r="F3104" s="4"/>
      <c r="G3104" s="4"/>
    </row>
    <row r="3105">
      <c r="A3105" s="4"/>
      <c r="B3105" s="4"/>
      <c r="C3105" s="4"/>
      <c r="D3105" s="4"/>
      <c r="E3105" s="4"/>
      <c r="F3105" s="4"/>
      <c r="G3105" s="4"/>
    </row>
    <row r="3106">
      <c r="A3106" s="4"/>
      <c r="B3106" s="4"/>
      <c r="C3106" s="4"/>
      <c r="D3106" s="4"/>
      <c r="E3106" s="4"/>
      <c r="F3106" s="4"/>
      <c r="G3106" s="4"/>
    </row>
    <row r="3107">
      <c r="A3107" s="4"/>
      <c r="B3107" s="4"/>
      <c r="C3107" s="4"/>
      <c r="D3107" s="13"/>
      <c r="E3107" s="13"/>
      <c r="F3107" s="4"/>
      <c r="G3107" s="4"/>
    </row>
    <row r="3108">
      <c r="A3108" s="4"/>
      <c r="B3108" s="4"/>
      <c r="C3108" s="4"/>
      <c r="D3108" s="4"/>
      <c r="E3108" s="4"/>
      <c r="F3108" s="4"/>
      <c r="G3108" s="4"/>
    </row>
    <row r="3109">
      <c r="A3109" s="4"/>
      <c r="B3109" s="4"/>
      <c r="C3109" s="4"/>
      <c r="D3109" s="4"/>
      <c r="E3109" s="4"/>
      <c r="F3109" s="4"/>
      <c r="G3109" s="4"/>
    </row>
    <row r="3110">
      <c r="A3110" s="4"/>
      <c r="B3110" s="4"/>
      <c r="C3110" s="4"/>
      <c r="D3110" s="4"/>
      <c r="E3110" s="4"/>
      <c r="F3110" s="4"/>
      <c r="G3110" s="4"/>
    </row>
    <row r="3111">
      <c r="A3111" s="4"/>
      <c r="B3111" s="4"/>
      <c r="C3111" s="4"/>
      <c r="D3111" s="4"/>
      <c r="E3111" s="13"/>
      <c r="F3111" s="4"/>
      <c r="G3111" s="4"/>
    </row>
    <row r="3112">
      <c r="A3112" s="4"/>
      <c r="B3112" s="4"/>
      <c r="C3112" s="4"/>
      <c r="D3112" s="4"/>
      <c r="E3112" s="4"/>
      <c r="F3112" s="4"/>
      <c r="G3112" s="4"/>
    </row>
    <row r="3113">
      <c r="A3113" s="4"/>
      <c r="B3113" s="4"/>
      <c r="C3113" s="4"/>
      <c r="D3113" s="13"/>
      <c r="E3113" s="13"/>
      <c r="F3113" s="4"/>
      <c r="G3113" s="4"/>
    </row>
    <row r="3114">
      <c r="A3114" s="4"/>
      <c r="B3114" s="4"/>
      <c r="C3114" s="4"/>
      <c r="D3114" s="4"/>
      <c r="E3114" s="4"/>
      <c r="F3114" s="4"/>
      <c r="G3114" s="4"/>
    </row>
    <row r="3115">
      <c r="A3115" s="4"/>
      <c r="B3115" s="4"/>
      <c r="C3115" s="4"/>
      <c r="D3115" s="4"/>
      <c r="E3115" s="13"/>
      <c r="F3115" s="4"/>
      <c r="G3115" s="4"/>
    </row>
    <row r="3116">
      <c r="A3116" s="4"/>
      <c r="B3116" s="4"/>
      <c r="C3116" s="4"/>
      <c r="D3116" s="4"/>
      <c r="E3116" s="4"/>
      <c r="F3116" s="4"/>
      <c r="G3116" s="4"/>
    </row>
    <row r="3117">
      <c r="A3117" s="4"/>
      <c r="B3117" s="4"/>
      <c r="C3117" s="4"/>
      <c r="D3117" s="4"/>
      <c r="E3117" s="13"/>
      <c r="F3117" s="4"/>
      <c r="G3117" s="4"/>
    </row>
    <row r="3118">
      <c r="A3118" s="4"/>
      <c r="B3118" s="4"/>
      <c r="C3118" s="4"/>
      <c r="D3118" s="4"/>
      <c r="E3118" s="13"/>
      <c r="F3118" s="4"/>
      <c r="G3118" s="4"/>
    </row>
    <row r="3119">
      <c r="A3119" s="4"/>
      <c r="B3119" s="4"/>
      <c r="C3119" s="4"/>
      <c r="D3119" s="4"/>
      <c r="E3119" s="4"/>
      <c r="F3119" s="4"/>
      <c r="G3119" s="4"/>
    </row>
    <row r="3120">
      <c r="A3120" s="4"/>
      <c r="B3120" s="4"/>
      <c r="C3120" s="4"/>
      <c r="D3120" s="13"/>
      <c r="E3120" s="4"/>
      <c r="F3120" s="4"/>
      <c r="G3120" s="4"/>
    </row>
    <row r="3121">
      <c r="A3121" s="4"/>
      <c r="B3121" s="4"/>
      <c r="C3121" s="4"/>
      <c r="D3121" s="4"/>
      <c r="E3121" s="4"/>
      <c r="F3121" s="4"/>
      <c r="G3121" s="4"/>
    </row>
    <row r="3122">
      <c r="A3122" s="4"/>
      <c r="B3122" s="4"/>
      <c r="C3122" s="4"/>
      <c r="D3122" s="4"/>
      <c r="E3122" s="13"/>
      <c r="F3122" s="4"/>
      <c r="G3122" s="4"/>
    </row>
    <row r="3123">
      <c r="A3123" s="4"/>
      <c r="B3123" s="4"/>
      <c r="C3123" s="4"/>
      <c r="D3123" s="4"/>
      <c r="E3123" s="4"/>
      <c r="F3123" s="4"/>
      <c r="G3123" s="4"/>
    </row>
    <row r="3124">
      <c r="A3124" s="4"/>
      <c r="B3124" s="4"/>
      <c r="C3124" s="4"/>
      <c r="D3124" s="4"/>
      <c r="E3124" s="4"/>
      <c r="F3124" s="4"/>
      <c r="G3124" s="4"/>
    </row>
    <row r="3125">
      <c r="A3125" s="4"/>
      <c r="B3125" s="4"/>
      <c r="C3125" s="4"/>
      <c r="D3125" s="13"/>
      <c r="E3125" s="4"/>
      <c r="F3125" s="4"/>
      <c r="G3125" s="4"/>
    </row>
    <row r="3126">
      <c r="A3126" s="4"/>
      <c r="B3126" s="4"/>
      <c r="C3126" s="4"/>
      <c r="D3126" s="4"/>
      <c r="E3126" s="4"/>
      <c r="F3126" s="4"/>
      <c r="G3126" s="4"/>
    </row>
    <row r="3127">
      <c r="A3127" s="4"/>
      <c r="B3127" s="4"/>
      <c r="C3127" s="4"/>
      <c r="D3127" s="4"/>
      <c r="E3127" s="4"/>
      <c r="F3127" s="4"/>
      <c r="G3127" s="4"/>
    </row>
    <row r="3128">
      <c r="A3128" s="4"/>
      <c r="B3128" s="4"/>
      <c r="C3128" s="4"/>
      <c r="D3128" s="4"/>
      <c r="E3128" s="4"/>
      <c r="F3128" s="4"/>
      <c r="G3128" s="4"/>
    </row>
    <row r="3129">
      <c r="A3129" s="4"/>
      <c r="B3129" s="4"/>
      <c r="C3129" s="4"/>
      <c r="D3129" s="4"/>
      <c r="E3129" s="4"/>
      <c r="F3129" s="4"/>
      <c r="G3129" s="4"/>
    </row>
    <row r="3130">
      <c r="A3130" s="4"/>
      <c r="B3130" s="4"/>
      <c r="C3130" s="4"/>
      <c r="D3130" s="4"/>
      <c r="E3130" s="4"/>
      <c r="F3130" s="4"/>
      <c r="G3130" s="4"/>
    </row>
    <row r="3131">
      <c r="A3131" s="4"/>
      <c r="B3131" s="4"/>
      <c r="C3131" s="4"/>
      <c r="D3131" s="13"/>
      <c r="E3131" s="13"/>
      <c r="F3131" s="4"/>
      <c r="G3131" s="4"/>
    </row>
    <row r="3132">
      <c r="A3132" s="4"/>
      <c r="B3132" s="4"/>
      <c r="C3132" s="4"/>
      <c r="D3132" s="4"/>
      <c r="E3132" s="4"/>
      <c r="F3132" s="4"/>
      <c r="G3132" s="4"/>
    </row>
    <row r="3133">
      <c r="A3133" s="4"/>
      <c r="B3133" s="4"/>
      <c r="C3133" s="4"/>
      <c r="D3133" s="4"/>
      <c r="E3133" s="4"/>
      <c r="F3133" s="4"/>
      <c r="G3133" s="4"/>
    </row>
    <row r="3134">
      <c r="A3134" s="4"/>
      <c r="B3134" s="4"/>
      <c r="C3134" s="4"/>
      <c r="D3134" s="4"/>
      <c r="E3134" s="13"/>
      <c r="F3134" s="4"/>
      <c r="G3134" s="4"/>
    </row>
    <row r="3135">
      <c r="A3135" s="4"/>
      <c r="B3135" s="4"/>
      <c r="C3135" s="4"/>
      <c r="D3135" s="13"/>
      <c r="E3135" s="4"/>
      <c r="F3135" s="4"/>
      <c r="G3135" s="4"/>
    </row>
    <row r="3136">
      <c r="A3136" s="4"/>
      <c r="B3136" s="4"/>
      <c r="C3136" s="4"/>
      <c r="D3136" s="4"/>
      <c r="E3136" s="4"/>
      <c r="F3136" s="4"/>
      <c r="G3136" s="4"/>
    </row>
    <row r="3137">
      <c r="A3137" s="4"/>
      <c r="B3137" s="4"/>
      <c r="C3137" s="4"/>
      <c r="D3137" s="4"/>
      <c r="E3137" s="4"/>
      <c r="F3137" s="4"/>
      <c r="G3137" s="4"/>
    </row>
    <row r="3138">
      <c r="A3138" s="4"/>
      <c r="B3138" s="4"/>
      <c r="C3138" s="4"/>
      <c r="D3138" s="13"/>
      <c r="E3138" s="13"/>
      <c r="F3138" s="4"/>
      <c r="G3138" s="4"/>
    </row>
    <row r="3139">
      <c r="A3139" s="4"/>
      <c r="B3139" s="4"/>
      <c r="C3139" s="4"/>
      <c r="D3139" s="4"/>
      <c r="E3139" s="13"/>
      <c r="F3139" s="4"/>
      <c r="G3139" s="4"/>
    </row>
    <row r="3140">
      <c r="A3140" s="4"/>
      <c r="B3140" s="4"/>
      <c r="C3140" s="4"/>
      <c r="D3140" s="4"/>
      <c r="E3140" s="13"/>
      <c r="F3140" s="4"/>
      <c r="G3140" s="4"/>
    </row>
    <row r="3141">
      <c r="A3141" s="4"/>
      <c r="B3141" s="4"/>
      <c r="C3141" s="4"/>
      <c r="D3141" s="4"/>
      <c r="E3141" s="4"/>
      <c r="F3141" s="4"/>
      <c r="G3141" s="4"/>
    </row>
    <row r="3142">
      <c r="A3142" s="4"/>
      <c r="B3142" s="4"/>
      <c r="C3142" s="4"/>
      <c r="D3142" s="4"/>
      <c r="E3142" s="4"/>
      <c r="F3142" s="4"/>
      <c r="G3142" s="4"/>
    </row>
    <row r="3143">
      <c r="A3143" s="4"/>
      <c r="B3143" s="4"/>
      <c r="C3143" s="4"/>
      <c r="D3143" s="13"/>
      <c r="E3143" s="4"/>
      <c r="F3143" s="4"/>
      <c r="G3143" s="4"/>
    </row>
    <row r="3144">
      <c r="A3144" s="4"/>
      <c r="B3144" s="4"/>
      <c r="C3144" s="4"/>
      <c r="D3144" s="4"/>
      <c r="E3144" s="4"/>
      <c r="F3144" s="4"/>
      <c r="G3144" s="4"/>
    </row>
    <row r="3145">
      <c r="A3145" s="4"/>
      <c r="B3145" s="4"/>
      <c r="C3145" s="4"/>
      <c r="D3145" s="4"/>
      <c r="E3145" s="4"/>
      <c r="F3145" s="4"/>
      <c r="G3145" s="4"/>
    </row>
    <row r="3146">
      <c r="A3146" s="4"/>
      <c r="B3146" s="4"/>
      <c r="C3146" s="4"/>
      <c r="D3146" s="13"/>
      <c r="E3146" s="13"/>
      <c r="F3146" s="4"/>
      <c r="G3146" s="4"/>
    </row>
    <row r="3147">
      <c r="A3147" s="4"/>
      <c r="B3147" s="4"/>
      <c r="C3147" s="4"/>
      <c r="D3147" s="13"/>
      <c r="E3147" s="13"/>
      <c r="F3147" s="4"/>
      <c r="G3147" s="4"/>
    </row>
    <row r="3148">
      <c r="A3148" s="4"/>
      <c r="B3148" s="4"/>
      <c r="C3148" s="4"/>
      <c r="D3148" s="4"/>
      <c r="E3148" s="13"/>
      <c r="F3148" s="4"/>
      <c r="G3148" s="4"/>
    </row>
    <row r="3149">
      <c r="A3149" s="4"/>
      <c r="B3149" s="4"/>
      <c r="C3149" s="4"/>
      <c r="D3149" s="4"/>
      <c r="E3149" s="4"/>
      <c r="F3149" s="4"/>
      <c r="G3149" s="4"/>
    </row>
    <row r="3150">
      <c r="A3150" s="4"/>
      <c r="B3150" s="4"/>
      <c r="C3150" s="4"/>
      <c r="D3150" s="4"/>
      <c r="E3150" s="13"/>
      <c r="F3150" s="4"/>
      <c r="G3150" s="4"/>
    </row>
    <row r="3151">
      <c r="A3151" s="4"/>
      <c r="B3151" s="4"/>
      <c r="C3151" s="4"/>
      <c r="D3151" s="4"/>
      <c r="E3151" s="4"/>
      <c r="F3151" s="4"/>
      <c r="G3151" s="4"/>
    </row>
    <row r="3152">
      <c r="A3152" s="4"/>
      <c r="B3152" s="4"/>
      <c r="C3152" s="4"/>
      <c r="D3152" s="4"/>
      <c r="E3152" s="4"/>
      <c r="F3152" s="4"/>
      <c r="G3152" s="4"/>
    </row>
    <row r="3153">
      <c r="A3153" s="4"/>
      <c r="B3153" s="4"/>
      <c r="C3153" s="4"/>
      <c r="D3153" s="4"/>
      <c r="E3153" s="4"/>
      <c r="F3153" s="4"/>
      <c r="G3153" s="4"/>
    </row>
    <row r="3154">
      <c r="A3154" s="4"/>
      <c r="B3154" s="4"/>
      <c r="C3154" s="4"/>
      <c r="D3154" s="4"/>
      <c r="E3154" s="4"/>
      <c r="F3154" s="4"/>
      <c r="G3154" s="4"/>
    </row>
    <row r="3155">
      <c r="A3155" s="4"/>
      <c r="B3155" s="4"/>
      <c r="C3155" s="4"/>
      <c r="D3155" s="4"/>
      <c r="E3155" s="4"/>
      <c r="F3155" s="4"/>
      <c r="G3155" s="4"/>
    </row>
    <row r="3156">
      <c r="A3156" s="4"/>
      <c r="B3156" s="4"/>
      <c r="C3156" s="4"/>
      <c r="D3156" s="13"/>
      <c r="E3156" s="13"/>
      <c r="F3156" s="4"/>
      <c r="G3156" s="4"/>
    </row>
    <row r="3157">
      <c r="A3157" s="4"/>
      <c r="B3157" s="4"/>
      <c r="C3157" s="4"/>
      <c r="D3157" s="4"/>
      <c r="E3157" s="4"/>
      <c r="F3157" s="4"/>
      <c r="G3157" s="4"/>
    </row>
    <row r="3158">
      <c r="A3158" s="4"/>
      <c r="B3158" s="4"/>
      <c r="C3158" s="4"/>
      <c r="D3158" s="4"/>
      <c r="E3158" s="13"/>
      <c r="F3158" s="4"/>
      <c r="G3158" s="4"/>
    </row>
    <row r="3159">
      <c r="A3159" s="4"/>
      <c r="B3159" s="4"/>
      <c r="C3159" s="4"/>
      <c r="D3159" s="13"/>
      <c r="E3159" s="13"/>
      <c r="F3159" s="4"/>
      <c r="G3159" s="4"/>
    </row>
    <row r="3160">
      <c r="A3160" s="4"/>
      <c r="B3160" s="4"/>
      <c r="C3160" s="4"/>
      <c r="D3160" s="13"/>
      <c r="E3160" s="13"/>
      <c r="F3160" s="4"/>
      <c r="G3160" s="4"/>
    </row>
    <row r="3161">
      <c r="A3161" s="4"/>
      <c r="B3161" s="4"/>
      <c r="C3161" s="4"/>
      <c r="D3161" s="4"/>
      <c r="E3161" s="4"/>
      <c r="F3161" s="4"/>
      <c r="G3161" s="4"/>
    </row>
    <row r="3162">
      <c r="A3162" s="4"/>
      <c r="B3162" s="4"/>
      <c r="C3162" s="4"/>
      <c r="D3162" s="4"/>
      <c r="E3162" s="4"/>
      <c r="F3162" s="4"/>
      <c r="G3162" s="4"/>
    </row>
    <row r="3163">
      <c r="A3163" s="4"/>
      <c r="B3163" s="4"/>
      <c r="C3163" s="4"/>
      <c r="D3163" s="13"/>
      <c r="E3163" s="13"/>
      <c r="F3163" s="4"/>
      <c r="G3163" s="4"/>
    </row>
    <row r="3164">
      <c r="A3164" s="4"/>
      <c r="B3164" s="4"/>
      <c r="C3164" s="4"/>
      <c r="D3164" s="4"/>
      <c r="E3164" s="4"/>
      <c r="F3164" s="4"/>
      <c r="G3164" s="4"/>
    </row>
    <row r="3165">
      <c r="A3165" s="4"/>
      <c r="B3165" s="4"/>
      <c r="C3165" s="4"/>
      <c r="D3165" s="4"/>
      <c r="E3165" s="4"/>
      <c r="F3165" s="4"/>
      <c r="G3165" s="4"/>
    </row>
    <row r="3166">
      <c r="A3166" s="4"/>
      <c r="B3166" s="4"/>
      <c r="C3166" s="4"/>
      <c r="D3166" s="4"/>
      <c r="E3166" s="4"/>
      <c r="F3166" s="4"/>
      <c r="G3166" s="4"/>
    </row>
    <row r="3167">
      <c r="A3167" s="4"/>
      <c r="B3167" s="4"/>
      <c r="C3167" s="4"/>
      <c r="D3167" s="4"/>
      <c r="E3167" s="4"/>
      <c r="F3167" s="4"/>
      <c r="G3167" s="4"/>
    </row>
    <row r="3168">
      <c r="A3168" s="4"/>
      <c r="B3168" s="4"/>
      <c r="C3168" s="4"/>
      <c r="D3168" s="13"/>
      <c r="E3168" s="13"/>
      <c r="F3168" s="4"/>
      <c r="G3168" s="4"/>
    </row>
    <row r="3169">
      <c r="A3169" s="4"/>
      <c r="B3169" s="4"/>
      <c r="C3169" s="4"/>
      <c r="D3169" s="4"/>
      <c r="E3169" s="4"/>
      <c r="F3169" s="4"/>
      <c r="G3169" s="4"/>
    </row>
    <row r="3170">
      <c r="A3170" s="4"/>
      <c r="B3170" s="4"/>
      <c r="C3170" s="4"/>
      <c r="D3170" s="4"/>
      <c r="E3170" s="4"/>
      <c r="F3170" s="4"/>
      <c r="G3170" s="4"/>
    </row>
    <row r="3171">
      <c r="A3171" s="4"/>
      <c r="B3171" s="4"/>
      <c r="C3171" s="4"/>
      <c r="D3171" s="4"/>
      <c r="E3171" s="4"/>
      <c r="F3171" s="4"/>
      <c r="G3171" s="4"/>
    </row>
    <row r="3172">
      <c r="A3172" s="4"/>
      <c r="B3172" s="4"/>
      <c r="C3172" s="4"/>
      <c r="D3172" s="4"/>
      <c r="E3172" s="4"/>
      <c r="F3172" s="4"/>
      <c r="G3172" s="4"/>
    </row>
    <row r="3173">
      <c r="A3173" s="4"/>
      <c r="B3173" s="4"/>
      <c r="C3173" s="4"/>
      <c r="D3173" s="4"/>
      <c r="E3173" s="4"/>
      <c r="F3173" s="4"/>
      <c r="G3173" s="4"/>
    </row>
    <row r="3174">
      <c r="A3174" s="4"/>
      <c r="B3174" s="4"/>
      <c r="C3174" s="4"/>
      <c r="D3174" s="4"/>
      <c r="E3174" s="4"/>
      <c r="F3174" s="4"/>
      <c r="G3174" s="4"/>
    </row>
    <row r="3175">
      <c r="A3175" s="4"/>
      <c r="B3175" s="4"/>
      <c r="C3175" s="4"/>
      <c r="D3175" s="4"/>
      <c r="E3175" s="13"/>
      <c r="F3175" s="4"/>
      <c r="G3175" s="4"/>
    </row>
    <row r="3176">
      <c r="A3176" s="4"/>
      <c r="B3176" s="4"/>
      <c r="C3176" s="4"/>
      <c r="D3176" s="4"/>
      <c r="E3176" s="4"/>
      <c r="F3176" s="4"/>
      <c r="G3176" s="4"/>
    </row>
    <row r="3177">
      <c r="A3177" s="4"/>
      <c r="B3177" s="4"/>
      <c r="C3177" s="4"/>
      <c r="D3177" s="4"/>
      <c r="E3177" s="13"/>
      <c r="F3177" s="4"/>
      <c r="G3177" s="4"/>
    </row>
    <row r="3178">
      <c r="A3178" s="4"/>
      <c r="B3178" s="4"/>
      <c r="C3178" s="4"/>
      <c r="D3178" s="4"/>
      <c r="E3178" s="4"/>
      <c r="F3178" s="4"/>
      <c r="G3178" s="4"/>
    </row>
    <row r="3179">
      <c r="A3179" s="4"/>
      <c r="B3179" s="4"/>
      <c r="C3179" s="4"/>
      <c r="D3179" s="4"/>
      <c r="E3179" s="4"/>
      <c r="F3179" s="4"/>
      <c r="G3179" s="4"/>
    </row>
    <row r="3180">
      <c r="A3180" s="4"/>
      <c r="B3180" s="4"/>
      <c r="C3180" s="4"/>
      <c r="D3180" s="4"/>
      <c r="E3180" s="4"/>
      <c r="F3180" s="4"/>
      <c r="G3180" s="4"/>
    </row>
    <row r="3181">
      <c r="A3181" s="4"/>
      <c r="B3181" s="4"/>
      <c r="C3181" s="4"/>
      <c r="D3181" s="4"/>
      <c r="E3181" s="13"/>
      <c r="F3181" s="4"/>
      <c r="G3181" s="4"/>
    </row>
    <row r="3182">
      <c r="A3182" s="4"/>
      <c r="B3182" s="4"/>
      <c r="C3182" s="4"/>
      <c r="D3182" s="4"/>
      <c r="E3182" s="4"/>
      <c r="F3182" s="4"/>
      <c r="G3182" s="4"/>
    </row>
    <row r="3183">
      <c r="A3183" s="4"/>
      <c r="B3183" s="4"/>
      <c r="C3183" s="4"/>
      <c r="D3183" s="4"/>
      <c r="E3183" s="4"/>
      <c r="F3183" s="4"/>
      <c r="G3183" s="4"/>
    </row>
    <row r="3184">
      <c r="A3184" s="4"/>
      <c r="B3184" s="4"/>
      <c r="C3184" s="4"/>
      <c r="D3184" s="4"/>
      <c r="E3184" s="4"/>
      <c r="F3184" s="4"/>
      <c r="G3184" s="4"/>
    </row>
    <row r="3185">
      <c r="A3185" s="4"/>
      <c r="B3185" s="4"/>
      <c r="C3185" s="4"/>
      <c r="D3185" s="13"/>
      <c r="E3185" s="13"/>
      <c r="F3185" s="4"/>
      <c r="G3185" s="4"/>
    </row>
    <row r="3186">
      <c r="A3186" s="4"/>
      <c r="B3186" s="4"/>
      <c r="C3186" s="4"/>
      <c r="D3186" s="4"/>
      <c r="E3186" s="4"/>
      <c r="F3186" s="4"/>
      <c r="G3186" s="4"/>
    </row>
    <row r="3187">
      <c r="A3187" s="4"/>
      <c r="B3187" s="4"/>
      <c r="C3187" s="4"/>
      <c r="D3187" s="4"/>
      <c r="E3187" s="13"/>
      <c r="F3187" s="4"/>
      <c r="G3187" s="4"/>
    </row>
    <row r="3188">
      <c r="A3188" s="4"/>
      <c r="B3188" s="4"/>
      <c r="C3188" s="4"/>
      <c r="D3188" s="4"/>
      <c r="E3188" s="4"/>
      <c r="F3188" s="4"/>
      <c r="G3188" s="4"/>
    </row>
    <row r="3189">
      <c r="A3189" s="4"/>
      <c r="B3189" s="4"/>
      <c r="C3189" s="4"/>
      <c r="D3189" s="4"/>
      <c r="E3189" s="13"/>
      <c r="F3189" s="4"/>
      <c r="G3189" s="4"/>
    </row>
    <row r="3190">
      <c r="A3190" s="4"/>
      <c r="B3190" s="4"/>
      <c r="C3190" s="4"/>
      <c r="D3190" s="4"/>
      <c r="E3190" s="4"/>
      <c r="F3190" s="4"/>
      <c r="G3190" s="4"/>
    </row>
    <row r="3191">
      <c r="A3191" s="4"/>
      <c r="B3191" s="4"/>
      <c r="C3191" s="4"/>
      <c r="D3191" s="4"/>
      <c r="E3191" s="4"/>
      <c r="F3191" s="4"/>
      <c r="G3191" s="4"/>
    </row>
    <row r="3192">
      <c r="A3192" s="4"/>
      <c r="B3192" s="4"/>
      <c r="C3192" s="4"/>
      <c r="D3192" s="4"/>
      <c r="E3192" s="4"/>
      <c r="F3192" s="4"/>
      <c r="G3192" s="4"/>
    </row>
    <row r="3193">
      <c r="A3193" s="4"/>
      <c r="B3193" s="4"/>
      <c r="C3193" s="4"/>
      <c r="D3193" s="4"/>
      <c r="E3193" s="4"/>
      <c r="F3193" s="4"/>
      <c r="G3193" s="4"/>
    </row>
    <row r="3194">
      <c r="A3194" s="4"/>
      <c r="B3194" s="4"/>
      <c r="C3194" s="4"/>
      <c r="D3194" s="4"/>
      <c r="E3194" s="13"/>
      <c r="F3194" s="4"/>
      <c r="G3194" s="4"/>
    </row>
    <row r="3195">
      <c r="A3195" s="4"/>
      <c r="B3195" s="4"/>
      <c r="C3195" s="4"/>
      <c r="D3195" s="4"/>
      <c r="E3195" s="4"/>
      <c r="F3195" s="4"/>
      <c r="G3195" s="4"/>
    </row>
    <row r="3196">
      <c r="A3196" s="4"/>
      <c r="B3196" s="4"/>
      <c r="C3196" s="4"/>
      <c r="D3196" s="4"/>
      <c r="E3196" s="13"/>
      <c r="F3196" s="4"/>
      <c r="G3196" s="4"/>
    </row>
    <row r="3197">
      <c r="A3197" s="4"/>
      <c r="B3197" s="4"/>
      <c r="C3197" s="4"/>
      <c r="D3197" s="4"/>
      <c r="E3197" s="4"/>
      <c r="F3197" s="4"/>
      <c r="G3197" s="4"/>
    </row>
    <row r="3198">
      <c r="A3198" s="4"/>
      <c r="B3198" s="4"/>
      <c r="C3198" s="4"/>
      <c r="D3198" s="4"/>
      <c r="E3198" s="4"/>
      <c r="F3198" s="4"/>
      <c r="G3198" s="4"/>
    </row>
    <row r="3199">
      <c r="A3199" s="4"/>
      <c r="B3199" s="4"/>
      <c r="C3199" s="4"/>
      <c r="D3199" s="4"/>
      <c r="E3199" s="4"/>
      <c r="F3199" s="4"/>
      <c r="G3199" s="4"/>
    </row>
    <row r="3200">
      <c r="A3200" s="4"/>
      <c r="B3200" s="4"/>
      <c r="C3200" s="4"/>
      <c r="D3200" s="4"/>
      <c r="E3200" s="4"/>
      <c r="F3200" s="4"/>
      <c r="G3200" s="4"/>
    </row>
    <row r="3201">
      <c r="A3201" s="4"/>
      <c r="B3201" s="4"/>
      <c r="C3201" s="4"/>
      <c r="D3201" s="4"/>
      <c r="E3201" s="13"/>
      <c r="F3201" s="4"/>
      <c r="G3201" s="4"/>
    </row>
    <row r="3202">
      <c r="A3202" s="4"/>
      <c r="B3202" s="4"/>
      <c r="C3202" s="4"/>
      <c r="D3202" s="4"/>
      <c r="E3202" s="4"/>
      <c r="F3202" s="4"/>
      <c r="G3202" s="4"/>
    </row>
    <row r="3203">
      <c r="A3203" s="4"/>
      <c r="B3203" s="4"/>
      <c r="C3203" s="4"/>
      <c r="D3203" s="4"/>
      <c r="E3203" s="13"/>
      <c r="F3203" s="4"/>
      <c r="G3203" s="4"/>
    </row>
    <row r="3204">
      <c r="A3204" s="4"/>
      <c r="B3204" s="4"/>
      <c r="C3204" s="4"/>
      <c r="D3204" s="4"/>
      <c r="E3204" s="4"/>
      <c r="F3204" s="4"/>
      <c r="G3204" s="4"/>
    </row>
    <row r="3205">
      <c r="A3205" s="4"/>
      <c r="B3205" s="4"/>
      <c r="C3205" s="4"/>
      <c r="D3205" s="4"/>
      <c r="E3205" s="4"/>
      <c r="F3205" s="4"/>
      <c r="G3205" s="4"/>
    </row>
    <row r="3206">
      <c r="A3206" s="4"/>
      <c r="B3206" s="4"/>
      <c r="C3206" s="4"/>
      <c r="D3206" s="4"/>
      <c r="E3206" s="4"/>
      <c r="F3206" s="4"/>
      <c r="G3206" s="4"/>
    </row>
    <row r="3207">
      <c r="A3207" s="4"/>
      <c r="B3207" s="4"/>
      <c r="C3207" s="4"/>
      <c r="D3207" s="4"/>
      <c r="E3207" s="13"/>
      <c r="F3207" s="4"/>
      <c r="G3207" s="4"/>
    </row>
    <row r="3208">
      <c r="A3208" s="4"/>
      <c r="B3208" s="4"/>
      <c r="C3208" s="4"/>
      <c r="D3208" s="4"/>
      <c r="E3208" s="4"/>
      <c r="F3208" s="4"/>
      <c r="G3208" s="4"/>
    </row>
    <row r="3209">
      <c r="A3209" s="4"/>
      <c r="B3209" s="4"/>
      <c r="C3209" s="4"/>
      <c r="D3209" s="4"/>
      <c r="E3209" s="4"/>
      <c r="F3209" s="4"/>
      <c r="G3209" s="4"/>
    </row>
    <row r="3210">
      <c r="A3210" s="4"/>
      <c r="B3210" s="4"/>
      <c r="C3210" s="4"/>
      <c r="D3210" s="4"/>
      <c r="E3210" s="4"/>
      <c r="F3210" s="4"/>
      <c r="G3210" s="4"/>
    </row>
    <row r="3211">
      <c r="A3211" s="4"/>
      <c r="B3211" s="4"/>
      <c r="C3211" s="4"/>
      <c r="D3211" s="4"/>
      <c r="E3211" s="4"/>
      <c r="F3211" s="4"/>
      <c r="G3211" s="4"/>
    </row>
    <row r="3212">
      <c r="A3212" s="4"/>
      <c r="B3212" s="4"/>
      <c r="C3212" s="4"/>
      <c r="D3212" s="4"/>
      <c r="E3212" s="4"/>
      <c r="F3212" s="4"/>
      <c r="G3212" s="4"/>
    </row>
    <row r="3213">
      <c r="A3213" s="4"/>
      <c r="B3213" s="4"/>
      <c r="C3213" s="4"/>
      <c r="D3213" s="4"/>
      <c r="E3213" s="13"/>
      <c r="F3213" s="4"/>
      <c r="G3213" s="4"/>
    </row>
    <row r="3214">
      <c r="A3214" s="4"/>
      <c r="B3214" s="4"/>
      <c r="C3214" s="4"/>
      <c r="D3214" s="4"/>
      <c r="E3214" s="13"/>
      <c r="F3214" s="4"/>
      <c r="G3214" s="4"/>
    </row>
    <row r="3215">
      <c r="A3215" s="4"/>
      <c r="B3215" s="4"/>
      <c r="C3215" s="4"/>
      <c r="D3215" s="4"/>
      <c r="E3215" s="4"/>
      <c r="F3215" s="4"/>
      <c r="G3215" s="4"/>
    </row>
    <row r="3216">
      <c r="A3216" s="4"/>
      <c r="B3216" s="4"/>
      <c r="C3216" s="4"/>
      <c r="D3216" s="4"/>
      <c r="E3216" s="4"/>
      <c r="F3216" s="4"/>
      <c r="G3216" s="4"/>
    </row>
    <row r="3217">
      <c r="A3217" s="4"/>
      <c r="B3217" s="4"/>
      <c r="C3217" s="4"/>
      <c r="D3217" s="4"/>
      <c r="E3217" s="4"/>
      <c r="F3217" s="4"/>
      <c r="G3217" s="4"/>
    </row>
    <row r="3218">
      <c r="A3218" s="4"/>
      <c r="B3218" s="4"/>
      <c r="C3218" s="4"/>
      <c r="D3218" s="4"/>
      <c r="E3218" s="4"/>
      <c r="F3218" s="4"/>
      <c r="G3218" s="4"/>
    </row>
    <row r="3219">
      <c r="A3219" s="4"/>
      <c r="B3219" s="4"/>
      <c r="C3219" s="4"/>
      <c r="D3219" s="4"/>
      <c r="E3219" s="13"/>
      <c r="F3219" s="4"/>
      <c r="G3219" s="4"/>
    </row>
    <row r="3220">
      <c r="A3220" s="4"/>
      <c r="B3220" s="4"/>
      <c r="C3220" s="4"/>
      <c r="D3220" s="4"/>
      <c r="E3220" s="4"/>
      <c r="F3220" s="4"/>
      <c r="G3220" s="4"/>
    </row>
    <row r="3221">
      <c r="A3221" s="4"/>
      <c r="B3221" s="4"/>
      <c r="C3221" s="4"/>
      <c r="D3221" s="4"/>
      <c r="E3221" s="13"/>
      <c r="F3221" s="4"/>
      <c r="G3221" s="4"/>
    </row>
    <row r="3222">
      <c r="A3222" s="4"/>
      <c r="B3222" s="4"/>
      <c r="C3222" s="4"/>
      <c r="D3222" s="4"/>
      <c r="E3222" s="4"/>
      <c r="F3222" s="4"/>
      <c r="G3222" s="4"/>
    </row>
    <row r="3223">
      <c r="A3223" s="4"/>
      <c r="B3223" s="4"/>
      <c r="C3223" s="4"/>
      <c r="D3223" s="4"/>
      <c r="E3223" s="4"/>
      <c r="F3223" s="4"/>
      <c r="G3223" s="4"/>
    </row>
    <row r="3224">
      <c r="A3224" s="4"/>
      <c r="B3224" s="4"/>
      <c r="C3224" s="4"/>
      <c r="D3224" s="4"/>
      <c r="E3224" s="4"/>
      <c r="F3224" s="4"/>
      <c r="G3224" s="4"/>
    </row>
    <row r="3225">
      <c r="A3225" s="4"/>
      <c r="B3225" s="4"/>
      <c r="C3225" s="4"/>
      <c r="D3225" s="4"/>
      <c r="E3225" s="13"/>
      <c r="F3225" s="4"/>
      <c r="G3225" s="4"/>
    </row>
    <row r="3226">
      <c r="A3226" s="4"/>
      <c r="B3226" s="4"/>
      <c r="C3226" s="4"/>
      <c r="D3226" s="4"/>
      <c r="E3226" s="13"/>
      <c r="F3226" s="4"/>
      <c r="G3226" s="4"/>
    </row>
    <row r="3227">
      <c r="A3227" s="4"/>
      <c r="B3227" s="4"/>
      <c r="C3227" s="4"/>
      <c r="D3227" s="4"/>
      <c r="E3227" s="4"/>
      <c r="F3227" s="4"/>
      <c r="G3227" s="4"/>
    </row>
    <row r="3228">
      <c r="A3228" s="4"/>
      <c r="B3228" s="4"/>
      <c r="C3228" s="4"/>
      <c r="D3228" s="4"/>
      <c r="E3228" s="4"/>
      <c r="F3228" s="4"/>
      <c r="G3228" s="4"/>
    </row>
    <row r="3229">
      <c r="A3229" s="4"/>
      <c r="B3229" s="4"/>
      <c r="C3229" s="4"/>
      <c r="D3229" s="4"/>
      <c r="E3229" s="4"/>
      <c r="F3229" s="4"/>
      <c r="G3229" s="4"/>
    </row>
    <row r="3230">
      <c r="A3230" s="4"/>
      <c r="B3230" s="4"/>
      <c r="C3230" s="4"/>
      <c r="D3230" s="4"/>
      <c r="E3230" s="4"/>
      <c r="F3230" s="4"/>
      <c r="G3230" s="4"/>
    </row>
    <row r="3231">
      <c r="A3231" s="4"/>
      <c r="B3231" s="4"/>
      <c r="C3231" s="4"/>
      <c r="D3231" s="4"/>
      <c r="E3231" s="4"/>
      <c r="F3231" s="4"/>
      <c r="G3231" s="4"/>
    </row>
    <row r="3232">
      <c r="A3232" s="4"/>
      <c r="B3232" s="4"/>
      <c r="C3232" s="4"/>
      <c r="D3232" s="4"/>
      <c r="E3232" s="13"/>
      <c r="F3232" s="4"/>
      <c r="G3232" s="4"/>
    </row>
    <row r="3233">
      <c r="A3233" s="4"/>
      <c r="B3233" s="4"/>
      <c r="C3233" s="4"/>
      <c r="D3233" s="4"/>
      <c r="E3233" s="4"/>
      <c r="F3233" s="4"/>
      <c r="G3233" s="4"/>
    </row>
    <row r="3234">
      <c r="A3234" s="4"/>
      <c r="B3234" s="4"/>
      <c r="C3234" s="4"/>
      <c r="D3234" s="4"/>
      <c r="E3234" s="4"/>
      <c r="F3234" s="4"/>
      <c r="G3234" s="4"/>
    </row>
    <row r="3235">
      <c r="A3235" s="4"/>
      <c r="B3235" s="4"/>
      <c r="C3235" s="4"/>
      <c r="D3235" s="4"/>
      <c r="E3235" s="4"/>
      <c r="F3235" s="4"/>
      <c r="G3235" s="4"/>
    </row>
    <row r="3236">
      <c r="A3236" s="4"/>
      <c r="B3236" s="4"/>
      <c r="C3236" s="4"/>
      <c r="D3236" s="4"/>
      <c r="E3236" s="13"/>
      <c r="F3236" s="4"/>
      <c r="G3236" s="4"/>
    </row>
    <row r="3237">
      <c r="A3237" s="4"/>
      <c r="B3237" s="4"/>
      <c r="C3237" s="4"/>
      <c r="D3237" s="4"/>
      <c r="E3237" s="13"/>
      <c r="F3237" s="4"/>
      <c r="G3237" s="4"/>
    </row>
    <row r="3238">
      <c r="A3238" s="4"/>
      <c r="B3238" s="4"/>
      <c r="C3238" s="4"/>
      <c r="D3238" s="4"/>
      <c r="E3238" s="4"/>
      <c r="F3238" s="4"/>
      <c r="G3238" s="4"/>
    </row>
    <row r="3239">
      <c r="A3239" s="4"/>
      <c r="B3239" s="4"/>
      <c r="C3239" s="4"/>
      <c r="D3239" s="4"/>
      <c r="E3239" s="4"/>
      <c r="F3239" s="4"/>
      <c r="G3239" s="4"/>
    </row>
    <row r="3240">
      <c r="A3240" s="4"/>
      <c r="B3240" s="4"/>
      <c r="C3240" s="4"/>
      <c r="D3240" s="4"/>
      <c r="E3240" s="13"/>
      <c r="F3240" s="4"/>
      <c r="G3240" s="4"/>
    </row>
    <row r="3241">
      <c r="A3241" s="4"/>
      <c r="B3241" s="4"/>
      <c r="C3241" s="4"/>
      <c r="D3241" s="4"/>
      <c r="E3241" s="4"/>
      <c r="F3241" s="4"/>
      <c r="G3241" s="4"/>
    </row>
    <row r="3242">
      <c r="A3242" s="4"/>
      <c r="B3242" s="4"/>
      <c r="C3242" s="4"/>
      <c r="D3242" s="13"/>
      <c r="E3242" s="4"/>
      <c r="F3242" s="4"/>
      <c r="G3242" s="4"/>
    </row>
    <row r="3243">
      <c r="A3243" s="4"/>
      <c r="B3243" s="4"/>
      <c r="C3243" s="4"/>
      <c r="D3243" s="4"/>
      <c r="E3243" s="4"/>
      <c r="F3243" s="4"/>
      <c r="G3243" s="4"/>
    </row>
    <row r="3244">
      <c r="A3244" s="4"/>
      <c r="B3244" s="4"/>
      <c r="C3244" s="4"/>
      <c r="D3244" s="4"/>
      <c r="E3244" s="13"/>
      <c r="F3244" s="4"/>
      <c r="G3244" s="4"/>
    </row>
    <row r="3245">
      <c r="A3245" s="4"/>
      <c r="B3245" s="4"/>
      <c r="C3245" s="4"/>
      <c r="D3245" s="4"/>
      <c r="E3245" s="4"/>
      <c r="F3245" s="4"/>
      <c r="G3245" s="4"/>
    </row>
    <row r="3246">
      <c r="A3246" s="4"/>
      <c r="B3246" s="4"/>
      <c r="C3246" s="4"/>
      <c r="D3246" s="4"/>
      <c r="E3246" s="13"/>
      <c r="F3246" s="4"/>
      <c r="G3246" s="4"/>
    </row>
    <row r="3247">
      <c r="A3247" s="4"/>
      <c r="B3247" s="4"/>
      <c r="C3247" s="4"/>
      <c r="D3247" s="4"/>
      <c r="E3247" s="4"/>
      <c r="F3247" s="4"/>
      <c r="G3247" s="4"/>
    </row>
    <row r="3248">
      <c r="A3248" s="4"/>
      <c r="B3248" s="4"/>
      <c r="C3248" s="4"/>
      <c r="D3248" s="4"/>
      <c r="E3248" s="4"/>
      <c r="F3248" s="4"/>
      <c r="G3248" s="4"/>
    </row>
    <row r="3249">
      <c r="A3249" s="4"/>
      <c r="B3249" s="4"/>
      <c r="C3249" s="4"/>
      <c r="D3249" s="4"/>
      <c r="E3249" s="4"/>
      <c r="F3249" s="4"/>
      <c r="G3249" s="4"/>
    </row>
    <row r="3250">
      <c r="A3250" s="4"/>
      <c r="B3250" s="4"/>
      <c r="C3250" s="4"/>
      <c r="D3250" s="4"/>
      <c r="E3250" s="4"/>
      <c r="F3250" s="4"/>
      <c r="G3250" s="4"/>
    </row>
    <row r="3251">
      <c r="A3251" s="4"/>
      <c r="B3251" s="4"/>
      <c r="C3251" s="4"/>
      <c r="D3251" s="4"/>
      <c r="E3251" s="4"/>
      <c r="F3251" s="4"/>
      <c r="G3251" s="4"/>
    </row>
    <row r="3252">
      <c r="A3252" s="4"/>
      <c r="B3252" s="4"/>
      <c r="C3252" s="4"/>
      <c r="D3252" s="13"/>
      <c r="E3252" s="13"/>
      <c r="F3252" s="4"/>
      <c r="G3252" s="4"/>
    </row>
    <row r="3253">
      <c r="A3253" s="4"/>
      <c r="B3253" s="4"/>
      <c r="C3253" s="4"/>
      <c r="D3253" s="13"/>
      <c r="E3253" s="13"/>
      <c r="F3253" s="4"/>
      <c r="G3253" s="4"/>
    </row>
    <row r="3254">
      <c r="A3254" s="4"/>
      <c r="B3254" s="4"/>
      <c r="C3254" s="4"/>
      <c r="D3254" s="4"/>
      <c r="E3254" s="4"/>
      <c r="F3254" s="4"/>
      <c r="G3254" s="4"/>
    </row>
    <row r="3255">
      <c r="A3255" s="4"/>
      <c r="B3255" s="4"/>
      <c r="C3255" s="4"/>
      <c r="D3255" s="4"/>
      <c r="E3255" s="4"/>
      <c r="F3255" s="4"/>
      <c r="G3255" s="4"/>
    </row>
    <row r="3256">
      <c r="A3256" s="4"/>
      <c r="B3256" s="4"/>
      <c r="C3256" s="4"/>
      <c r="D3256" s="4"/>
      <c r="E3256" s="4"/>
      <c r="F3256" s="4"/>
      <c r="G3256" s="4"/>
    </row>
    <row r="3257">
      <c r="A3257" s="4"/>
      <c r="B3257" s="4"/>
      <c r="C3257" s="4"/>
      <c r="D3257" s="4"/>
      <c r="E3257" s="4"/>
      <c r="F3257" s="4"/>
      <c r="G3257" s="4"/>
    </row>
    <row r="3258">
      <c r="A3258" s="4"/>
      <c r="B3258" s="4"/>
      <c r="C3258" s="4"/>
      <c r="D3258" s="4"/>
      <c r="E3258" s="4"/>
      <c r="F3258" s="4"/>
      <c r="G3258" s="4"/>
    </row>
    <row r="3259">
      <c r="A3259" s="4"/>
      <c r="B3259" s="4"/>
      <c r="C3259" s="4"/>
      <c r="D3259" s="4"/>
      <c r="E3259" s="13"/>
      <c r="F3259" s="4"/>
      <c r="G3259" s="4"/>
    </row>
    <row r="3260">
      <c r="A3260" s="4"/>
      <c r="B3260" s="4"/>
      <c r="C3260" s="4"/>
      <c r="D3260" s="4"/>
      <c r="E3260" s="4"/>
      <c r="F3260" s="4"/>
      <c r="G3260" s="4"/>
    </row>
    <row r="3261">
      <c r="A3261" s="4"/>
      <c r="B3261" s="4"/>
      <c r="C3261" s="4"/>
      <c r="D3261" s="4"/>
      <c r="E3261" s="13"/>
      <c r="F3261" s="4"/>
      <c r="G3261" s="4"/>
    </row>
    <row r="3262">
      <c r="A3262" s="4"/>
      <c r="B3262" s="4"/>
      <c r="C3262" s="4"/>
      <c r="D3262" s="4"/>
      <c r="E3262" s="4"/>
      <c r="F3262" s="4"/>
      <c r="G3262" s="4"/>
    </row>
    <row r="3263">
      <c r="A3263" s="4"/>
      <c r="B3263" s="4"/>
      <c r="C3263" s="4"/>
      <c r="D3263" s="4"/>
      <c r="E3263" s="4"/>
      <c r="F3263" s="4"/>
      <c r="G3263" s="4"/>
    </row>
    <row r="3264">
      <c r="A3264" s="4"/>
      <c r="B3264" s="4"/>
      <c r="C3264" s="4"/>
      <c r="D3264" s="4"/>
      <c r="E3264" s="4"/>
      <c r="F3264" s="4"/>
      <c r="G3264" s="4"/>
    </row>
    <row r="3265">
      <c r="A3265" s="4"/>
      <c r="B3265" s="4"/>
      <c r="C3265" s="4"/>
      <c r="D3265" s="4"/>
      <c r="E3265" s="4"/>
      <c r="F3265" s="4"/>
      <c r="G3265" s="4"/>
    </row>
    <row r="3266">
      <c r="A3266" s="4"/>
      <c r="B3266" s="4"/>
      <c r="C3266" s="4"/>
      <c r="D3266" s="4"/>
      <c r="E3266" s="13"/>
      <c r="F3266" s="4"/>
      <c r="G3266" s="4"/>
    </row>
    <row r="3267">
      <c r="A3267" s="4"/>
      <c r="B3267" s="4"/>
      <c r="C3267" s="4"/>
      <c r="D3267" s="4"/>
      <c r="E3267" s="4"/>
      <c r="F3267" s="4"/>
      <c r="G3267" s="4"/>
    </row>
    <row r="3268">
      <c r="A3268" s="4"/>
      <c r="B3268" s="4"/>
      <c r="C3268" s="4"/>
      <c r="D3268" s="4"/>
      <c r="E3268" s="4"/>
      <c r="F3268" s="4"/>
      <c r="G3268" s="4"/>
    </row>
    <row r="3269">
      <c r="A3269" s="4"/>
      <c r="B3269" s="4"/>
      <c r="C3269" s="4"/>
      <c r="D3269" s="4"/>
      <c r="E3269" s="4"/>
      <c r="F3269" s="4"/>
      <c r="G3269" s="4"/>
    </row>
    <row r="3270">
      <c r="A3270" s="4"/>
      <c r="B3270" s="4"/>
      <c r="C3270" s="4"/>
      <c r="D3270" s="4"/>
      <c r="E3270" s="4"/>
      <c r="F3270" s="4"/>
      <c r="G3270" s="4"/>
    </row>
    <row r="3271">
      <c r="A3271" s="4"/>
      <c r="B3271" s="4"/>
      <c r="C3271" s="4"/>
      <c r="D3271" s="4"/>
      <c r="E3271" s="13"/>
      <c r="F3271" s="4"/>
      <c r="G3271" s="4"/>
    </row>
    <row r="3272">
      <c r="A3272" s="4"/>
      <c r="B3272" s="4"/>
      <c r="C3272" s="4"/>
      <c r="D3272" s="4"/>
      <c r="E3272" s="4"/>
      <c r="F3272" s="4"/>
      <c r="G3272" s="4"/>
    </row>
    <row r="3273">
      <c r="A3273" s="4"/>
      <c r="B3273" s="4"/>
      <c r="C3273" s="4"/>
      <c r="D3273" s="13"/>
      <c r="E3273" s="13"/>
      <c r="F3273" s="4"/>
      <c r="G3273" s="4"/>
    </row>
    <row r="3274">
      <c r="A3274" s="4"/>
      <c r="B3274" s="4"/>
      <c r="C3274" s="4"/>
      <c r="D3274" s="13"/>
      <c r="E3274" s="13"/>
      <c r="F3274" s="4"/>
      <c r="G3274" s="4"/>
    </row>
    <row r="3275">
      <c r="A3275" s="4"/>
      <c r="B3275" s="4"/>
      <c r="C3275" s="4"/>
      <c r="D3275" s="4"/>
      <c r="E3275" s="4"/>
      <c r="F3275" s="4"/>
      <c r="G3275" s="4"/>
    </row>
    <row r="3276">
      <c r="A3276" s="4"/>
      <c r="B3276" s="4"/>
      <c r="C3276" s="4"/>
      <c r="D3276" s="4"/>
      <c r="E3276" s="4"/>
      <c r="F3276" s="4"/>
      <c r="G3276" s="4"/>
    </row>
    <row r="3277">
      <c r="A3277" s="4"/>
      <c r="B3277" s="4"/>
      <c r="C3277" s="4"/>
      <c r="D3277" s="4"/>
      <c r="E3277" s="4"/>
      <c r="F3277" s="4"/>
      <c r="G3277" s="4"/>
    </row>
    <row r="3278">
      <c r="A3278" s="4"/>
      <c r="B3278" s="4"/>
      <c r="C3278" s="4"/>
      <c r="D3278" s="4"/>
      <c r="E3278" s="13"/>
      <c r="F3278" s="4"/>
      <c r="G3278" s="4"/>
    </row>
    <row r="3279">
      <c r="A3279" s="4"/>
      <c r="B3279" s="4"/>
      <c r="C3279" s="4"/>
      <c r="D3279" s="4"/>
      <c r="E3279" s="4"/>
      <c r="F3279" s="4"/>
      <c r="G3279" s="4"/>
    </row>
    <row r="3280">
      <c r="A3280" s="4"/>
      <c r="B3280" s="4"/>
      <c r="C3280" s="4"/>
      <c r="D3280" s="4"/>
      <c r="E3280" s="4"/>
      <c r="F3280" s="4"/>
      <c r="G3280" s="4"/>
    </row>
    <row r="3281">
      <c r="A3281" s="4"/>
      <c r="B3281" s="4"/>
      <c r="C3281" s="4"/>
      <c r="D3281" s="13"/>
      <c r="E3281" s="13"/>
      <c r="F3281" s="4"/>
      <c r="G3281" s="4"/>
    </row>
    <row r="3282">
      <c r="A3282" s="4"/>
      <c r="B3282" s="4"/>
      <c r="C3282" s="4"/>
      <c r="D3282" s="4"/>
      <c r="E3282" s="4"/>
      <c r="F3282" s="4"/>
      <c r="G3282" s="4"/>
    </row>
    <row r="3283">
      <c r="A3283" s="4"/>
      <c r="B3283" s="4"/>
      <c r="C3283" s="4"/>
      <c r="D3283" s="4"/>
      <c r="E3283" s="4"/>
      <c r="F3283" s="4"/>
      <c r="G3283" s="4"/>
    </row>
    <row r="3284">
      <c r="A3284" s="4"/>
      <c r="B3284" s="4"/>
      <c r="C3284" s="4"/>
      <c r="D3284" s="4"/>
      <c r="E3284" s="13"/>
      <c r="F3284" s="4"/>
      <c r="G3284" s="4"/>
    </row>
    <row r="3285">
      <c r="A3285" s="4"/>
      <c r="B3285" s="4"/>
      <c r="C3285" s="4"/>
      <c r="D3285" s="4"/>
      <c r="E3285" s="4"/>
      <c r="F3285" s="4"/>
      <c r="G3285" s="4"/>
    </row>
    <row r="3286">
      <c r="A3286" s="4"/>
      <c r="B3286" s="4"/>
      <c r="C3286" s="4"/>
      <c r="D3286" s="4"/>
      <c r="E3286" s="13"/>
      <c r="F3286" s="4"/>
      <c r="G3286" s="4"/>
    </row>
    <row r="3287">
      <c r="A3287" s="4"/>
      <c r="B3287" s="4"/>
      <c r="C3287" s="4"/>
      <c r="D3287" s="4"/>
      <c r="E3287" s="4"/>
      <c r="F3287" s="4"/>
      <c r="G3287" s="4"/>
    </row>
    <row r="3288">
      <c r="A3288" s="4"/>
      <c r="B3288" s="4"/>
      <c r="C3288" s="4"/>
      <c r="D3288" s="13"/>
      <c r="E3288" s="13"/>
      <c r="F3288" s="4"/>
      <c r="G3288" s="4"/>
    </row>
    <row r="3289">
      <c r="A3289" s="4"/>
      <c r="B3289" s="4"/>
      <c r="C3289" s="4"/>
      <c r="D3289" s="13"/>
      <c r="E3289" s="13"/>
      <c r="F3289" s="4"/>
      <c r="G3289" s="4"/>
    </row>
    <row r="3290">
      <c r="A3290" s="4"/>
      <c r="B3290" s="4"/>
      <c r="C3290" s="4"/>
      <c r="D3290" s="4"/>
      <c r="E3290" s="4"/>
      <c r="F3290" s="4"/>
      <c r="G3290" s="4"/>
    </row>
    <row r="3291">
      <c r="A3291" s="4"/>
      <c r="B3291" s="4"/>
      <c r="C3291" s="4"/>
      <c r="D3291" s="4"/>
      <c r="E3291" s="13"/>
      <c r="F3291" s="4"/>
      <c r="G3291" s="4"/>
    </row>
    <row r="3292">
      <c r="A3292" s="4"/>
      <c r="B3292" s="4"/>
      <c r="C3292" s="4"/>
      <c r="D3292" s="4"/>
      <c r="E3292" s="4"/>
      <c r="F3292" s="4"/>
      <c r="G3292" s="4"/>
    </row>
    <row r="3293">
      <c r="A3293" s="4"/>
      <c r="B3293" s="4"/>
      <c r="C3293" s="4"/>
      <c r="D3293" s="4"/>
      <c r="E3293" s="13"/>
      <c r="F3293" s="4"/>
      <c r="G3293" s="4"/>
    </row>
    <row r="3294">
      <c r="A3294" s="4"/>
      <c r="B3294" s="4"/>
      <c r="C3294" s="4"/>
      <c r="D3294" s="4"/>
      <c r="E3294" s="13"/>
      <c r="F3294" s="4"/>
      <c r="G3294" s="4"/>
    </row>
    <row r="3295">
      <c r="A3295" s="4"/>
      <c r="B3295" s="4"/>
      <c r="C3295" s="4"/>
      <c r="D3295" s="4"/>
      <c r="E3295" s="4"/>
      <c r="F3295" s="4"/>
      <c r="G3295" s="4"/>
    </row>
    <row r="3296">
      <c r="A3296" s="4"/>
      <c r="B3296" s="4"/>
      <c r="C3296" s="4"/>
      <c r="D3296" s="4"/>
      <c r="E3296" s="4"/>
      <c r="F3296" s="4"/>
      <c r="G3296" s="4"/>
    </row>
    <row r="3297">
      <c r="A3297" s="4"/>
      <c r="B3297" s="4"/>
      <c r="C3297" s="4"/>
      <c r="D3297" s="4"/>
      <c r="E3297" s="4"/>
      <c r="F3297" s="4"/>
      <c r="G3297" s="4"/>
    </row>
    <row r="3298">
      <c r="A3298" s="4"/>
      <c r="B3298" s="4"/>
      <c r="C3298" s="4"/>
      <c r="D3298" s="4"/>
      <c r="E3298" s="13"/>
      <c r="F3298" s="4"/>
      <c r="G3298" s="4"/>
    </row>
    <row r="3299">
      <c r="A3299" s="4"/>
      <c r="B3299" s="4"/>
      <c r="C3299" s="4"/>
      <c r="D3299" s="4"/>
      <c r="E3299" s="4"/>
      <c r="F3299" s="4"/>
      <c r="G3299" s="4"/>
    </row>
    <row r="3300">
      <c r="A3300" s="4"/>
      <c r="B3300" s="4"/>
      <c r="C3300" s="4"/>
      <c r="D3300" s="4"/>
      <c r="E3300" s="13"/>
      <c r="F3300" s="4"/>
      <c r="G3300" s="4"/>
    </row>
    <row r="3301">
      <c r="A3301" s="4"/>
      <c r="B3301" s="4"/>
      <c r="C3301" s="4"/>
      <c r="D3301" s="4"/>
      <c r="E3301" s="13"/>
      <c r="F3301" s="4"/>
      <c r="G3301" s="4"/>
    </row>
    <row r="3302">
      <c r="A3302" s="4"/>
      <c r="B3302" s="4"/>
      <c r="C3302" s="4"/>
      <c r="D3302" s="4"/>
      <c r="E3302" s="13"/>
      <c r="F3302" s="4"/>
      <c r="G3302" s="4"/>
    </row>
    <row r="3303">
      <c r="A3303" s="4"/>
      <c r="B3303" s="4"/>
      <c r="C3303" s="4"/>
      <c r="D3303" s="4"/>
      <c r="E3303" s="4"/>
      <c r="F3303" s="4"/>
      <c r="G3303" s="4"/>
    </row>
    <row r="3304">
      <c r="A3304" s="4"/>
      <c r="B3304" s="4"/>
      <c r="C3304" s="4"/>
      <c r="D3304" s="4"/>
      <c r="E3304" s="4"/>
      <c r="F3304" s="4"/>
      <c r="G3304" s="4"/>
    </row>
    <row r="3305">
      <c r="A3305" s="4"/>
      <c r="B3305" s="4"/>
      <c r="C3305" s="4"/>
      <c r="D3305" s="4"/>
      <c r="E3305" s="13"/>
      <c r="F3305" s="4"/>
      <c r="G3305" s="4"/>
    </row>
    <row r="3306">
      <c r="A3306" s="4"/>
      <c r="B3306" s="4"/>
      <c r="C3306" s="4"/>
      <c r="D3306" s="4"/>
      <c r="E3306" s="4"/>
      <c r="F3306" s="4"/>
      <c r="G3306" s="4"/>
    </row>
    <row r="3307">
      <c r="A3307" s="4"/>
      <c r="B3307" s="4"/>
      <c r="C3307" s="4"/>
      <c r="D3307" s="4"/>
      <c r="E3307" s="4"/>
      <c r="F3307" s="4"/>
      <c r="G3307" s="4"/>
    </row>
    <row r="3308">
      <c r="A3308" s="4"/>
      <c r="B3308" s="4"/>
      <c r="C3308" s="4"/>
      <c r="D3308" s="4"/>
      <c r="E3308" s="4"/>
      <c r="F3308" s="4"/>
      <c r="G3308" s="4"/>
    </row>
    <row r="3309">
      <c r="A3309" s="4"/>
      <c r="B3309" s="4"/>
      <c r="C3309" s="4"/>
      <c r="D3309" s="4"/>
      <c r="E3309" s="13"/>
      <c r="F3309" s="4"/>
      <c r="G3309" s="4"/>
    </row>
    <row r="3310">
      <c r="A3310" s="4"/>
      <c r="B3310" s="4"/>
      <c r="C3310" s="4"/>
      <c r="D3310" s="4"/>
      <c r="E3310" s="4"/>
      <c r="F3310" s="4"/>
      <c r="G3310" s="4"/>
    </row>
    <row r="3311">
      <c r="A3311" s="4"/>
      <c r="B3311" s="4"/>
      <c r="C3311" s="4"/>
      <c r="D3311" s="4"/>
      <c r="E3311" s="13"/>
      <c r="F3311" s="4"/>
      <c r="G3311" s="4"/>
    </row>
    <row r="3312">
      <c r="A3312" s="4"/>
      <c r="B3312" s="4"/>
      <c r="C3312" s="4"/>
      <c r="D3312" s="4"/>
      <c r="E3312" s="4"/>
      <c r="F3312" s="4"/>
      <c r="G3312" s="4"/>
    </row>
    <row r="3313">
      <c r="A3313" s="4"/>
      <c r="B3313" s="4"/>
      <c r="C3313" s="4"/>
      <c r="D3313" s="4"/>
      <c r="E3313" s="13"/>
      <c r="F3313" s="4"/>
      <c r="G3313" s="4"/>
    </row>
    <row r="3314">
      <c r="A3314" s="4"/>
      <c r="B3314" s="4"/>
      <c r="C3314" s="4"/>
      <c r="D3314" s="4"/>
      <c r="E3314" s="13"/>
      <c r="F3314" s="4"/>
      <c r="G3314" s="4"/>
    </row>
    <row r="3315">
      <c r="A3315" s="4"/>
      <c r="B3315" s="4"/>
      <c r="C3315" s="4"/>
      <c r="D3315" s="4"/>
      <c r="E3315" s="4"/>
      <c r="F3315" s="4"/>
      <c r="G3315" s="4"/>
    </row>
    <row r="3316">
      <c r="A3316" s="4"/>
      <c r="B3316" s="4"/>
      <c r="C3316" s="4"/>
      <c r="D3316" s="4"/>
      <c r="E3316" s="13"/>
      <c r="F3316" s="4"/>
      <c r="G3316" s="4"/>
    </row>
    <row r="3317">
      <c r="A3317" s="4"/>
      <c r="B3317" s="4"/>
      <c r="C3317" s="4"/>
      <c r="D3317" s="4"/>
      <c r="E3317" s="4"/>
      <c r="F3317" s="4"/>
      <c r="G3317" s="4"/>
    </row>
    <row r="3318">
      <c r="A3318" s="4"/>
      <c r="B3318" s="4"/>
      <c r="C3318" s="4"/>
      <c r="D3318" s="13"/>
      <c r="E3318" s="13"/>
      <c r="F3318" s="4"/>
      <c r="G3318" s="4"/>
    </row>
    <row r="3319">
      <c r="A3319" s="4"/>
      <c r="B3319" s="4"/>
      <c r="C3319" s="4"/>
      <c r="D3319" s="4"/>
      <c r="E3319" s="13"/>
      <c r="F3319" s="4"/>
      <c r="G3319" s="4"/>
    </row>
    <row r="3320">
      <c r="A3320" s="4"/>
      <c r="B3320" s="4"/>
      <c r="C3320" s="4"/>
      <c r="D3320" s="4"/>
      <c r="E3320" s="4"/>
      <c r="F3320" s="4"/>
      <c r="G3320" s="4"/>
    </row>
    <row r="3321">
      <c r="A3321" s="4"/>
      <c r="B3321" s="4"/>
      <c r="C3321" s="4"/>
      <c r="D3321" s="4"/>
      <c r="E3321" s="4"/>
      <c r="F3321" s="4"/>
      <c r="G3321" s="4"/>
    </row>
    <row r="3322">
      <c r="A3322" s="4"/>
      <c r="B3322" s="4"/>
      <c r="C3322" s="4"/>
      <c r="D3322" s="4"/>
      <c r="E3322" s="13"/>
      <c r="F3322" s="4"/>
      <c r="G3322" s="4"/>
    </row>
    <row r="3323">
      <c r="A3323" s="4"/>
      <c r="B3323" s="4"/>
      <c r="C3323" s="4"/>
      <c r="D3323" s="4"/>
      <c r="E3323" s="13"/>
      <c r="F3323" s="4"/>
      <c r="G3323" s="4"/>
    </row>
    <row r="3324">
      <c r="A3324" s="4"/>
      <c r="B3324" s="4"/>
      <c r="C3324" s="4"/>
      <c r="D3324" s="4"/>
      <c r="E3324" s="4"/>
      <c r="F3324" s="4"/>
      <c r="G3324" s="4"/>
    </row>
    <row r="3325">
      <c r="A3325" s="4"/>
      <c r="B3325" s="4"/>
      <c r="C3325" s="4"/>
      <c r="D3325" s="4"/>
      <c r="E3325" s="4"/>
      <c r="F3325" s="4"/>
      <c r="G3325" s="4"/>
    </row>
    <row r="3326">
      <c r="A3326" s="4"/>
      <c r="B3326" s="4"/>
      <c r="C3326" s="4"/>
      <c r="D3326" s="4"/>
      <c r="E3326" s="4"/>
      <c r="F3326" s="4"/>
      <c r="G3326" s="4"/>
    </row>
    <row r="3327">
      <c r="A3327" s="4"/>
      <c r="B3327" s="4"/>
      <c r="C3327" s="4"/>
      <c r="D3327" s="4"/>
      <c r="E3327" s="13"/>
      <c r="F3327" s="4"/>
      <c r="G3327" s="4"/>
    </row>
    <row r="3328">
      <c r="A3328" s="4"/>
      <c r="B3328" s="4"/>
      <c r="C3328" s="4"/>
      <c r="D3328" s="4"/>
      <c r="E3328" s="4"/>
      <c r="F3328" s="4"/>
      <c r="G3328" s="4"/>
    </row>
    <row r="3329">
      <c r="A3329" s="4"/>
      <c r="B3329" s="4"/>
      <c r="C3329" s="4"/>
      <c r="D3329" s="4"/>
      <c r="E3329" s="4"/>
      <c r="F3329" s="4"/>
      <c r="G3329" s="4"/>
    </row>
    <row r="3330">
      <c r="A3330" s="4"/>
      <c r="B3330" s="4"/>
      <c r="C3330" s="4"/>
      <c r="D3330" s="4"/>
      <c r="E3330" s="4"/>
      <c r="F3330" s="4"/>
      <c r="G3330" s="4"/>
    </row>
    <row r="3331">
      <c r="A3331" s="4"/>
      <c r="B3331" s="4"/>
      <c r="C3331" s="4"/>
      <c r="D3331" s="4"/>
      <c r="E3331" s="4"/>
      <c r="F3331" s="4"/>
      <c r="G3331" s="4"/>
    </row>
    <row r="3332">
      <c r="A3332" s="4"/>
      <c r="B3332" s="4"/>
      <c r="C3332" s="4"/>
      <c r="D3332" s="13"/>
      <c r="E3332" s="13"/>
      <c r="F3332" s="4"/>
      <c r="G3332" s="4"/>
    </row>
    <row r="3333">
      <c r="A3333" s="4"/>
      <c r="B3333" s="4"/>
      <c r="C3333" s="4"/>
      <c r="D3333" s="13"/>
      <c r="E3333" s="13"/>
      <c r="F3333" s="4"/>
      <c r="G3333" s="4"/>
    </row>
    <row r="3334">
      <c r="A3334" s="4"/>
      <c r="B3334" s="4"/>
      <c r="C3334" s="4"/>
      <c r="D3334" s="4"/>
      <c r="E3334" s="4"/>
      <c r="F3334" s="4"/>
      <c r="G3334" s="4"/>
    </row>
    <row r="3335">
      <c r="A3335" s="4"/>
      <c r="B3335" s="4"/>
      <c r="C3335" s="4"/>
      <c r="D3335" s="13"/>
      <c r="E3335" s="13"/>
      <c r="F3335" s="4"/>
      <c r="G3335" s="4"/>
    </row>
    <row r="3336">
      <c r="A3336" s="4"/>
      <c r="B3336" s="4"/>
      <c r="C3336" s="4"/>
      <c r="D3336" s="4"/>
      <c r="E3336" s="4"/>
      <c r="F3336" s="4"/>
      <c r="G3336" s="4"/>
    </row>
    <row r="3337">
      <c r="A3337" s="4"/>
      <c r="B3337" s="4"/>
      <c r="C3337" s="4"/>
      <c r="D3337" s="13"/>
      <c r="E3337" s="13"/>
      <c r="F3337" s="4"/>
      <c r="G3337" s="4"/>
    </row>
    <row r="3338">
      <c r="A3338" s="4"/>
      <c r="B3338" s="4"/>
      <c r="C3338" s="4"/>
      <c r="D3338" s="4"/>
      <c r="E3338" s="4"/>
      <c r="F3338" s="4"/>
      <c r="G3338" s="4"/>
    </row>
    <row r="3339">
      <c r="A3339" s="4"/>
      <c r="B3339" s="4"/>
      <c r="C3339" s="4"/>
      <c r="D3339" s="4"/>
      <c r="E3339" s="4"/>
      <c r="F3339" s="4"/>
      <c r="G3339" s="4"/>
    </row>
    <row r="3340">
      <c r="A3340" s="4"/>
      <c r="B3340" s="4"/>
      <c r="C3340" s="4"/>
      <c r="D3340" s="4"/>
      <c r="E3340" s="13"/>
      <c r="F3340" s="4"/>
      <c r="G3340" s="4"/>
    </row>
    <row r="3341">
      <c r="A3341" s="4"/>
      <c r="B3341" s="4"/>
      <c r="C3341" s="4"/>
      <c r="D3341" s="4"/>
      <c r="E3341" s="13"/>
      <c r="F3341" s="4"/>
      <c r="G3341" s="4"/>
    </row>
    <row r="3342">
      <c r="A3342" s="4"/>
      <c r="B3342" s="4"/>
      <c r="C3342" s="4"/>
      <c r="D3342" s="4"/>
      <c r="E3342" s="4"/>
      <c r="F3342" s="4"/>
      <c r="G3342" s="4"/>
    </row>
    <row r="3343">
      <c r="A3343" s="4"/>
      <c r="B3343" s="4"/>
      <c r="C3343" s="4"/>
      <c r="D3343" s="4"/>
      <c r="E3343" s="13"/>
      <c r="F3343" s="4"/>
      <c r="G3343" s="4"/>
    </row>
    <row r="3344">
      <c r="A3344" s="4"/>
      <c r="B3344" s="4"/>
      <c r="C3344" s="4"/>
      <c r="D3344" s="4"/>
      <c r="E3344" s="4"/>
      <c r="F3344" s="4"/>
      <c r="G3344" s="4"/>
    </row>
    <row r="3345">
      <c r="A3345" s="4"/>
      <c r="B3345" s="4"/>
      <c r="C3345" s="4"/>
      <c r="D3345" s="4"/>
      <c r="E3345" s="13"/>
      <c r="F3345" s="4"/>
      <c r="G3345" s="4"/>
    </row>
    <row r="3346">
      <c r="A3346" s="4"/>
      <c r="B3346" s="4"/>
      <c r="C3346" s="4"/>
      <c r="D3346" s="13"/>
      <c r="E3346" s="13"/>
      <c r="F3346" s="4"/>
      <c r="G3346" s="4"/>
    </row>
    <row r="3347">
      <c r="A3347" s="4"/>
      <c r="B3347" s="4"/>
      <c r="C3347" s="4"/>
      <c r="D3347" s="13"/>
      <c r="E3347" s="13"/>
      <c r="F3347" s="4"/>
      <c r="G3347" s="4"/>
    </row>
    <row r="3348">
      <c r="A3348" s="4"/>
      <c r="B3348" s="4"/>
      <c r="C3348" s="4"/>
      <c r="D3348" s="4"/>
      <c r="E3348" s="13"/>
      <c r="F3348" s="4"/>
      <c r="G3348" s="4"/>
    </row>
    <row r="3349">
      <c r="A3349" s="4"/>
      <c r="B3349" s="4"/>
      <c r="C3349" s="4"/>
      <c r="D3349" s="4"/>
      <c r="E3349" s="4"/>
      <c r="F3349" s="4"/>
      <c r="G3349" s="4"/>
    </row>
    <row r="3350">
      <c r="A3350" s="4"/>
      <c r="B3350" s="4"/>
      <c r="C3350" s="4"/>
      <c r="D3350" s="4"/>
      <c r="E3350" s="4"/>
      <c r="F3350" s="4"/>
      <c r="G3350" s="4"/>
    </row>
    <row r="3351">
      <c r="A3351" s="4"/>
      <c r="B3351" s="4"/>
      <c r="C3351" s="4"/>
      <c r="D3351" s="4"/>
      <c r="E3351" s="13"/>
      <c r="F3351" s="4"/>
      <c r="G3351" s="4"/>
    </row>
    <row r="3352">
      <c r="A3352" s="4"/>
      <c r="B3352" s="4"/>
      <c r="C3352" s="4"/>
      <c r="D3352" s="4"/>
      <c r="E3352" s="13"/>
      <c r="F3352" s="4"/>
      <c r="G3352" s="4"/>
    </row>
    <row r="3353">
      <c r="A3353" s="4"/>
      <c r="B3353" s="4"/>
      <c r="C3353" s="4"/>
      <c r="D3353" s="4"/>
      <c r="E3353" s="4"/>
      <c r="F3353" s="4"/>
      <c r="G3353" s="4"/>
    </row>
    <row r="3354">
      <c r="A3354" s="4"/>
      <c r="B3354" s="4"/>
      <c r="C3354" s="4"/>
      <c r="D3354" s="4"/>
      <c r="E3354" s="4"/>
      <c r="F3354" s="4"/>
      <c r="G3354" s="4"/>
    </row>
    <row r="3355">
      <c r="A3355" s="4"/>
      <c r="B3355" s="4"/>
      <c r="C3355" s="4"/>
      <c r="D3355" s="4"/>
      <c r="E3355" s="4"/>
      <c r="F3355" s="4"/>
      <c r="G3355" s="4"/>
    </row>
    <row r="3356">
      <c r="A3356" s="4"/>
      <c r="B3356" s="4"/>
      <c r="C3356" s="4"/>
      <c r="D3356" s="4"/>
      <c r="E3356" s="13"/>
      <c r="F3356" s="4"/>
      <c r="G3356" s="4"/>
    </row>
    <row r="3357">
      <c r="A3357" s="4"/>
      <c r="B3357" s="4"/>
      <c r="C3357" s="4"/>
      <c r="D3357" s="4"/>
      <c r="E3357" s="13"/>
      <c r="F3357" s="4"/>
      <c r="G3357" s="4"/>
    </row>
    <row r="3358">
      <c r="A3358" s="4"/>
      <c r="B3358" s="4"/>
      <c r="C3358" s="4"/>
      <c r="D3358" s="4"/>
      <c r="E3358" s="4"/>
      <c r="F3358" s="4"/>
      <c r="G3358" s="4"/>
    </row>
    <row r="3359">
      <c r="A3359" s="4"/>
      <c r="B3359" s="4"/>
      <c r="C3359" s="4"/>
      <c r="D3359" s="13"/>
      <c r="E3359" s="4"/>
      <c r="F3359" s="4"/>
      <c r="G3359" s="4"/>
    </row>
    <row r="3360">
      <c r="A3360" s="4"/>
      <c r="B3360" s="4"/>
      <c r="C3360" s="4"/>
      <c r="D3360" s="13"/>
      <c r="E3360" s="4"/>
      <c r="F3360" s="4"/>
      <c r="G3360" s="4"/>
    </row>
    <row r="3361">
      <c r="A3361" s="4"/>
      <c r="B3361" s="4"/>
      <c r="C3361" s="4"/>
      <c r="D3361" s="4"/>
      <c r="E3361" s="13"/>
      <c r="F3361" s="4"/>
      <c r="G3361" s="4"/>
    </row>
    <row r="3362">
      <c r="A3362" s="4"/>
      <c r="B3362" s="4"/>
      <c r="C3362" s="4"/>
      <c r="D3362" s="4"/>
      <c r="E3362" s="4"/>
      <c r="F3362" s="4"/>
      <c r="G3362" s="4"/>
    </row>
    <row r="3363">
      <c r="A3363" s="4"/>
      <c r="B3363" s="4"/>
      <c r="C3363" s="4"/>
      <c r="D3363" s="4"/>
      <c r="E3363" s="4"/>
      <c r="F3363" s="4"/>
      <c r="G3363" s="4"/>
    </row>
    <row r="3364">
      <c r="A3364" s="4"/>
      <c r="B3364" s="4"/>
      <c r="C3364" s="4"/>
      <c r="D3364" s="4"/>
      <c r="E3364" s="4"/>
      <c r="F3364" s="4"/>
      <c r="G3364" s="4"/>
    </row>
    <row r="3365">
      <c r="A3365" s="4"/>
      <c r="B3365" s="4"/>
      <c r="C3365" s="4"/>
      <c r="D3365" s="4"/>
      <c r="E3365" s="4"/>
      <c r="F3365" s="4"/>
      <c r="G3365" s="4"/>
    </row>
    <row r="3366">
      <c r="A3366" s="4"/>
      <c r="B3366" s="4"/>
      <c r="C3366" s="4"/>
      <c r="D3366" s="4"/>
      <c r="E3366" s="4"/>
      <c r="F3366" s="4"/>
      <c r="G3366" s="4"/>
    </row>
    <row r="3367">
      <c r="A3367" s="4"/>
      <c r="B3367" s="4"/>
      <c r="C3367" s="4"/>
      <c r="D3367" s="4"/>
      <c r="E3367" s="4"/>
      <c r="F3367" s="4"/>
      <c r="G3367" s="4"/>
    </row>
    <row r="3368">
      <c r="A3368" s="4"/>
      <c r="B3368" s="4"/>
      <c r="C3368" s="4"/>
      <c r="D3368" s="4"/>
      <c r="E3368" s="13"/>
      <c r="F3368" s="4"/>
      <c r="G3368" s="4"/>
    </row>
    <row r="3369">
      <c r="A3369" s="4"/>
      <c r="B3369" s="4"/>
      <c r="C3369" s="4"/>
      <c r="D3369" s="13"/>
      <c r="E3369" s="13"/>
      <c r="F3369" s="4"/>
      <c r="G3369" s="4"/>
    </row>
    <row r="3370">
      <c r="A3370" s="4"/>
      <c r="B3370" s="4"/>
      <c r="C3370" s="4"/>
      <c r="D3370" s="4"/>
      <c r="E3370" s="13"/>
      <c r="F3370" s="4"/>
      <c r="G3370" s="4"/>
    </row>
    <row r="3371">
      <c r="A3371" s="4"/>
      <c r="B3371" s="4"/>
      <c r="C3371" s="4"/>
      <c r="D3371" s="4"/>
      <c r="E3371" s="4"/>
      <c r="F3371" s="4"/>
      <c r="G3371" s="4"/>
    </row>
    <row r="3372">
      <c r="A3372" s="4"/>
      <c r="B3372" s="4"/>
      <c r="C3372" s="4"/>
      <c r="D3372" s="4"/>
      <c r="E3372" s="13"/>
      <c r="F3372" s="4"/>
      <c r="G3372" s="4"/>
    </row>
    <row r="3373">
      <c r="A3373" s="4"/>
      <c r="B3373" s="4"/>
      <c r="C3373" s="4"/>
      <c r="D3373" s="4"/>
      <c r="E3373" s="4"/>
      <c r="F3373" s="4"/>
      <c r="G3373" s="4"/>
    </row>
    <row r="3374">
      <c r="A3374" s="4"/>
      <c r="B3374" s="4"/>
      <c r="C3374" s="4"/>
      <c r="D3374" s="4"/>
      <c r="E3374" s="4"/>
      <c r="F3374" s="4"/>
      <c r="G3374" s="4"/>
    </row>
    <row r="3375">
      <c r="A3375" s="4"/>
      <c r="B3375" s="4"/>
      <c r="C3375" s="4"/>
      <c r="D3375" s="4"/>
      <c r="E3375" s="4"/>
      <c r="F3375" s="4"/>
      <c r="G3375" s="4"/>
    </row>
    <row r="3376">
      <c r="A3376" s="4"/>
      <c r="B3376" s="4"/>
      <c r="C3376" s="4"/>
      <c r="D3376" s="13"/>
      <c r="E3376" s="13"/>
      <c r="F3376" s="4"/>
      <c r="G3376" s="4"/>
    </row>
    <row r="3377">
      <c r="A3377" s="4"/>
      <c r="B3377" s="4"/>
      <c r="C3377" s="4"/>
      <c r="D3377" s="4"/>
      <c r="E3377" s="4"/>
      <c r="F3377" s="4"/>
      <c r="G3377" s="4"/>
    </row>
    <row r="3378">
      <c r="A3378" s="4"/>
      <c r="B3378" s="4"/>
      <c r="C3378" s="4"/>
      <c r="D3378" s="13"/>
      <c r="E3378" s="13"/>
      <c r="F3378" s="4"/>
      <c r="G3378" s="4"/>
    </row>
    <row r="3379">
      <c r="A3379" s="4"/>
      <c r="B3379" s="4"/>
      <c r="C3379" s="4"/>
      <c r="D3379" s="4"/>
      <c r="E3379" s="13"/>
      <c r="F3379" s="4"/>
      <c r="G3379" s="4"/>
    </row>
    <row r="3380">
      <c r="A3380" s="4"/>
      <c r="B3380" s="4"/>
      <c r="C3380" s="4"/>
      <c r="D3380" s="4"/>
      <c r="E3380" s="4"/>
      <c r="F3380" s="4"/>
      <c r="G3380" s="4"/>
    </row>
    <row r="3381">
      <c r="A3381" s="4"/>
      <c r="B3381" s="4"/>
      <c r="C3381" s="4"/>
      <c r="D3381" s="4"/>
      <c r="E3381" s="4"/>
      <c r="F3381" s="4"/>
      <c r="G3381" s="4"/>
    </row>
    <row r="3382">
      <c r="A3382" s="4"/>
      <c r="B3382" s="4"/>
      <c r="C3382" s="4"/>
      <c r="D3382" s="4"/>
      <c r="E3382" s="4"/>
      <c r="F3382" s="4"/>
      <c r="G3382" s="4"/>
    </row>
    <row r="3383">
      <c r="A3383" s="4"/>
      <c r="B3383" s="4"/>
      <c r="C3383" s="4"/>
      <c r="D3383" s="4"/>
      <c r="E3383" s="4"/>
      <c r="F3383" s="4"/>
      <c r="G3383" s="4"/>
    </row>
    <row r="3384">
      <c r="A3384" s="4"/>
      <c r="B3384" s="4"/>
      <c r="C3384" s="4"/>
      <c r="D3384" s="4"/>
      <c r="E3384" s="4"/>
      <c r="F3384" s="4"/>
      <c r="G3384" s="4"/>
    </row>
    <row r="3385">
      <c r="A3385" s="4"/>
      <c r="B3385" s="4"/>
      <c r="C3385" s="4"/>
      <c r="D3385" s="13"/>
      <c r="E3385" s="13"/>
      <c r="F3385" s="4"/>
      <c r="G3385" s="4"/>
    </row>
    <row r="3386">
      <c r="A3386" s="4"/>
      <c r="B3386" s="4"/>
      <c r="C3386" s="4"/>
      <c r="D3386" s="13"/>
      <c r="E3386" s="13"/>
      <c r="F3386" s="4"/>
      <c r="G3386" s="4"/>
    </row>
    <row r="3387">
      <c r="A3387" s="4"/>
      <c r="B3387" s="4"/>
      <c r="C3387" s="4"/>
      <c r="D3387" s="4"/>
      <c r="E3387" s="13"/>
      <c r="F3387" s="4"/>
      <c r="G3387" s="4"/>
    </row>
    <row r="3388">
      <c r="A3388" s="4"/>
      <c r="B3388" s="4"/>
      <c r="C3388" s="4"/>
      <c r="D3388" s="4"/>
      <c r="E3388" s="4"/>
      <c r="F3388" s="4"/>
      <c r="G3388" s="4"/>
    </row>
    <row r="3389">
      <c r="A3389" s="4"/>
      <c r="B3389" s="4"/>
      <c r="C3389" s="4"/>
      <c r="D3389" s="13"/>
      <c r="E3389" s="13"/>
      <c r="F3389" s="4"/>
      <c r="G3389" s="4"/>
    </row>
    <row r="3390">
      <c r="A3390" s="4"/>
      <c r="B3390" s="4"/>
      <c r="C3390" s="4"/>
      <c r="D3390" s="4"/>
      <c r="E3390" s="13"/>
      <c r="F3390" s="4"/>
      <c r="G3390" s="4"/>
    </row>
    <row r="3391">
      <c r="A3391" s="4"/>
      <c r="B3391" s="4"/>
      <c r="C3391" s="4"/>
      <c r="D3391" s="4"/>
      <c r="E3391" s="4"/>
      <c r="F3391" s="4"/>
      <c r="G3391" s="4"/>
    </row>
    <row r="3392">
      <c r="A3392" s="4"/>
      <c r="B3392" s="4"/>
      <c r="C3392" s="4"/>
      <c r="D3392" s="4"/>
      <c r="E3392" s="4"/>
      <c r="F3392" s="4"/>
      <c r="G3392" s="4"/>
    </row>
    <row r="3393">
      <c r="A3393" s="4"/>
      <c r="B3393" s="4"/>
      <c r="C3393" s="4"/>
      <c r="D3393" s="4"/>
      <c r="E3393" s="4"/>
      <c r="F3393" s="4"/>
      <c r="G3393" s="4"/>
    </row>
    <row r="3394">
      <c r="A3394" s="4"/>
      <c r="B3394" s="4"/>
      <c r="C3394" s="4"/>
      <c r="D3394" s="4"/>
      <c r="E3394" s="4"/>
      <c r="F3394" s="4"/>
      <c r="G3394" s="4"/>
    </row>
    <row r="3395">
      <c r="A3395" s="4"/>
      <c r="B3395" s="4"/>
      <c r="C3395" s="4"/>
      <c r="D3395" s="4"/>
      <c r="E3395" s="13"/>
      <c r="F3395" s="4"/>
      <c r="G3395" s="4"/>
    </row>
    <row r="3396">
      <c r="A3396" s="4"/>
      <c r="B3396" s="4"/>
      <c r="C3396" s="4"/>
      <c r="D3396" s="4"/>
      <c r="E3396" s="13"/>
      <c r="F3396" s="4"/>
      <c r="G3396" s="4"/>
    </row>
    <row r="3397">
      <c r="A3397" s="4"/>
      <c r="B3397" s="4"/>
      <c r="C3397" s="4"/>
      <c r="D3397" s="4"/>
      <c r="E3397" s="13"/>
      <c r="F3397" s="4"/>
      <c r="G3397" s="4"/>
    </row>
    <row r="3398">
      <c r="A3398" s="4"/>
      <c r="B3398" s="4"/>
      <c r="C3398" s="4"/>
      <c r="D3398" s="4"/>
      <c r="E3398" s="13"/>
      <c r="F3398" s="4"/>
      <c r="G3398" s="4"/>
    </row>
    <row r="3399">
      <c r="A3399" s="4"/>
      <c r="B3399" s="4"/>
      <c r="C3399" s="4"/>
      <c r="D3399" s="4"/>
      <c r="E3399" s="4"/>
      <c r="F3399" s="4"/>
      <c r="G3399" s="4"/>
    </row>
    <row r="3400">
      <c r="A3400" s="4"/>
      <c r="B3400" s="4"/>
      <c r="C3400" s="4"/>
      <c r="D3400" s="4"/>
      <c r="E3400" s="13"/>
      <c r="F3400" s="4"/>
      <c r="G3400" s="4"/>
    </row>
    <row r="3401">
      <c r="A3401" s="4"/>
      <c r="B3401" s="4"/>
      <c r="C3401" s="4"/>
      <c r="D3401" s="4"/>
      <c r="E3401" s="4"/>
      <c r="F3401" s="4"/>
      <c r="G3401" s="4"/>
    </row>
    <row r="3402">
      <c r="A3402" s="4"/>
      <c r="B3402" s="4"/>
      <c r="C3402" s="4"/>
      <c r="D3402" s="4"/>
      <c r="E3402" s="4"/>
      <c r="F3402" s="4"/>
      <c r="G3402" s="4"/>
    </row>
    <row r="3403">
      <c r="A3403" s="4"/>
      <c r="B3403" s="4"/>
      <c r="C3403" s="4"/>
      <c r="D3403" s="4"/>
      <c r="E3403" s="4"/>
      <c r="F3403" s="4"/>
      <c r="G3403" s="4"/>
    </row>
    <row r="3404">
      <c r="A3404" s="4"/>
      <c r="B3404" s="4"/>
      <c r="C3404" s="4"/>
      <c r="D3404" s="4"/>
      <c r="E3404" s="4"/>
      <c r="F3404" s="4"/>
      <c r="G3404" s="4"/>
    </row>
    <row r="3405">
      <c r="A3405" s="4"/>
      <c r="B3405" s="4"/>
      <c r="C3405" s="4"/>
      <c r="D3405" s="4"/>
      <c r="E3405" s="4"/>
      <c r="F3405" s="4"/>
      <c r="G3405" s="4"/>
    </row>
    <row r="3406">
      <c r="A3406" s="4"/>
      <c r="B3406" s="4"/>
      <c r="C3406" s="4"/>
      <c r="D3406" s="4"/>
      <c r="E3406" s="13"/>
      <c r="F3406" s="4"/>
      <c r="G3406" s="4"/>
    </row>
    <row r="3407">
      <c r="A3407" s="4"/>
      <c r="B3407" s="4"/>
      <c r="C3407" s="4"/>
      <c r="D3407" s="4"/>
      <c r="E3407" s="4"/>
      <c r="F3407" s="4"/>
      <c r="G3407" s="4"/>
    </row>
    <row r="3408">
      <c r="A3408" s="4"/>
      <c r="B3408" s="4"/>
      <c r="C3408" s="4"/>
      <c r="D3408" s="13"/>
      <c r="E3408" s="4"/>
      <c r="F3408" s="4"/>
      <c r="G3408" s="4"/>
    </row>
    <row r="3409">
      <c r="A3409" s="4"/>
      <c r="B3409" s="4"/>
      <c r="C3409" s="4"/>
      <c r="D3409" s="4"/>
      <c r="E3409" s="13"/>
      <c r="F3409" s="4"/>
      <c r="G3409" s="4"/>
    </row>
    <row r="3410">
      <c r="A3410" s="4"/>
      <c r="B3410" s="4"/>
      <c r="C3410" s="4"/>
      <c r="D3410" s="4"/>
      <c r="E3410" s="4"/>
      <c r="F3410" s="4"/>
      <c r="G3410" s="4"/>
    </row>
    <row r="3411">
      <c r="A3411" s="4"/>
      <c r="B3411" s="4"/>
      <c r="C3411" s="4"/>
      <c r="D3411" s="4"/>
      <c r="E3411" s="4"/>
      <c r="F3411" s="4"/>
      <c r="G3411" s="4"/>
    </row>
    <row r="3412">
      <c r="A3412" s="4"/>
      <c r="B3412" s="4"/>
      <c r="C3412" s="4"/>
      <c r="D3412" s="4"/>
      <c r="E3412" s="4"/>
      <c r="F3412" s="4"/>
      <c r="G3412" s="4"/>
    </row>
    <row r="3413">
      <c r="A3413" s="4"/>
      <c r="B3413" s="4"/>
      <c r="C3413" s="4"/>
      <c r="D3413" s="4"/>
      <c r="E3413" s="13"/>
      <c r="F3413" s="4"/>
      <c r="G3413" s="4"/>
    </row>
    <row r="3414">
      <c r="A3414" s="4"/>
      <c r="B3414" s="4"/>
      <c r="C3414" s="4"/>
      <c r="D3414" s="4"/>
      <c r="E3414" s="4"/>
      <c r="F3414" s="4"/>
      <c r="G3414" s="4"/>
    </row>
    <row r="3415">
      <c r="A3415" s="4"/>
      <c r="B3415" s="4"/>
      <c r="C3415" s="4"/>
      <c r="D3415" s="13"/>
      <c r="E3415" s="13"/>
      <c r="F3415" s="4"/>
      <c r="G3415" s="4"/>
    </row>
    <row r="3416">
      <c r="A3416" s="4"/>
      <c r="B3416" s="4"/>
      <c r="C3416" s="4"/>
      <c r="D3416" s="13"/>
      <c r="E3416" s="13"/>
      <c r="F3416" s="4"/>
      <c r="G3416" s="4"/>
    </row>
    <row r="3417">
      <c r="A3417" s="4"/>
      <c r="B3417" s="4"/>
      <c r="C3417" s="4"/>
      <c r="D3417" s="4"/>
      <c r="E3417" s="4"/>
      <c r="F3417" s="4"/>
      <c r="G3417" s="4"/>
    </row>
    <row r="3418">
      <c r="A3418" s="4"/>
      <c r="B3418" s="4"/>
      <c r="C3418" s="4"/>
      <c r="D3418" s="13"/>
      <c r="E3418" s="13"/>
      <c r="F3418" s="4"/>
      <c r="G3418" s="4"/>
    </row>
    <row r="3419">
      <c r="A3419" s="4"/>
      <c r="B3419" s="4"/>
      <c r="C3419" s="4"/>
      <c r="D3419" s="13"/>
      <c r="E3419" s="13"/>
      <c r="F3419" s="4"/>
      <c r="G3419" s="4"/>
    </row>
    <row r="3420">
      <c r="A3420" s="4"/>
      <c r="B3420" s="4"/>
      <c r="C3420" s="4"/>
      <c r="D3420" s="4"/>
      <c r="E3420" s="4"/>
      <c r="F3420" s="4"/>
      <c r="G3420" s="4"/>
    </row>
    <row r="3421">
      <c r="A3421" s="4"/>
      <c r="B3421" s="4"/>
      <c r="C3421" s="4"/>
      <c r="D3421" s="13"/>
      <c r="E3421" s="13"/>
      <c r="F3421" s="4"/>
      <c r="G3421" s="4"/>
    </row>
    <row r="3422">
      <c r="A3422" s="4"/>
      <c r="B3422" s="4"/>
      <c r="C3422" s="4"/>
      <c r="D3422" s="13"/>
      <c r="E3422" s="13"/>
      <c r="F3422" s="4"/>
      <c r="G3422" s="4"/>
    </row>
    <row r="3423">
      <c r="A3423" s="4"/>
      <c r="B3423" s="4"/>
      <c r="C3423" s="4"/>
      <c r="D3423" s="13"/>
      <c r="E3423" s="13"/>
      <c r="F3423" s="4"/>
      <c r="G3423" s="4"/>
    </row>
    <row r="3424">
      <c r="A3424" s="4"/>
      <c r="B3424" s="4"/>
      <c r="C3424" s="4"/>
      <c r="D3424" s="13"/>
      <c r="E3424" s="13"/>
      <c r="F3424" s="4"/>
      <c r="G3424" s="4"/>
    </row>
    <row r="3425">
      <c r="A3425" s="4"/>
      <c r="B3425" s="4"/>
      <c r="C3425" s="4"/>
      <c r="D3425" s="4"/>
      <c r="E3425" s="4"/>
      <c r="F3425" s="4"/>
      <c r="G3425" s="4"/>
    </row>
    <row r="3426">
      <c r="A3426" s="4"/>
      <c r="B3426" s="4"/>
      <c r="C3426" s="4"/>
      <c r="D3426" s="4"/>
      <c r="E3426" s="13"/>
      <c r="F3426" s="4"/>
      <c r="G3426" s="4"/>
    </row>
    <row r="3427">
      <c r="A3427" s="4"/>
      <c r="B3427" s="4"/>
      <c r="C3427" s="4"/>
      <c r="D3427" s="4"/>
      <c r="E3427" s="4"/>
      <c r="F3427" s="4"/>
      <c r="G3427" s="4"/>
    </row>
    <row r="3428">
      <c r="A3428" s="4"/>
      <c r="B3428" s="4"/>
      <c r="C3428" s="4"/>
      <c r="D3428" s="4"/>
      <c r="E3428" s="13"/>
      <c r="F3428" s="4"/>
      <c r="G3428" s="4"/>
    </row>
    <row r="3429">
      <c r="A3429" s="4"/>
      <c r="B3429" s="4"/>
      <c r="C3429" s="4"/>
      <c r="D3429" s="4"/>
      <c r="E3429" s="4"/>
      <c r="F3429" s="4"/>
      <c r="G3429" s="4"/>
    </row>
    <row r="3430">
      <c r="A3430" s="4"/>
      <c r="B3430" s="4"/>
      <c r="C3430" s="4"/>
      <c r="D3430" s="4"/>
      <c r="E3430" s="4"/>
      <c r="F3430" s="4"/>
      <c r="G3430" s="4"/>
    </row>
    <row r="3431">
      <c r="A3431" s="4"/>
      <c r="B3431" s="4"/>
      <c r="C3431" s="4"/>
      <c r="D3431" s="4"/>
      <c r="E3431" s="4"/>
      <c r="F3431" s="4"/>
      <c r="G3431" s="4"/>
    </row>
    <row r="3432">
      <c r="A3432" s="4"/>
      <c r="B3432" s="4"/>
      <c r="C3432" s="4"/>
      <c r="D3432" s="4"/>
      <c r="E3432" s="4"/>
      <c r="F3432" s="4"/>
      <c r="G3432" s="4"/>
    </row>
    <row r="3433">
      <c r="A3433" s="4"/>
      <c r="B3433" s="4"/>
      <c r="C3433" s="4"/>
      <c r="D3433" s="4"/>
      <c r="E3433" s="4"/>
      <c r="F3433" s="4"/>
      <c r="G3433" s="4"/>
    </row>
    <row r="3434">
      <c r="A3434" s="4"/>
      <c r="B3434" s="4"/>
      <c r="C3434" s="4"/>
      <c r="D3434" s="4"/>
      <c r="E3434" s="13"/>
      <c r="F3434" s="4"/>
      <c r="G3434" s="4"/>
    </row>
    <row r="3435">
      <c r="A3435" s="4"/>
      <c r="B3435" s="4"/>
      <c r="C3435" s="4"/>
      <c r="D3435" s="4"/>
      <c r="E3435" s="4"/>
      <c r="F3435" s="4"/>
      <c r="G3435" s="4"/>
    </row>
    <row r="3436">
      <c r="A3436" s="4"/>
      <c r="B3436" s="4"/>
      <c r="C3436" s="4"/>
      <c r="D3436" s="4"/>
      <c r="E3436" s="13"/>
      <c r="F3436" s="4"/>
      <c r="G3436" s="4"/>
    </row>
    <row r="3437">
      <c r="A3437" s="4"/>
      <c r="B3437" s="4"/>
      <c r="C3437" s="4"/>
      <c r="D3437" s="4"/>
      <c r="E3437" s="4"/>
      <c r="F3437" s="4"/>
      <c r="G3437" s="4"/>
    </row>
    <row r="3438">
      <c r="A3438" s="4"/>
      <c r="B3438" s="4"/>
      <c r="C3438" s="4"/>
      <c r="D3438" s="4"/>
      <c r="E3438" s="4"/>
      <c r="F3438" s="4"/>
      <c r="G3438" s="4"/>
    </row>
    <row r="3439">
      <c r="A3439" s="4"/>
      <c r="B3439" s="4"/>
      <c r="C3439" s="4"/>
      <c r="D3439" s="4"/>
      <c r="E3439" s="4"/>
      <c r="F3439" s="4"/>
      <c r="G3439" s="4"/>
    </row>
    <row r="3440">
      <c r="A3440" s="4"/>
      <c r="B3440" s="4"/>
      <c r="C3440" s="4"/>
      <c r="D3440" s="4"/>
      <c r="E3440" s="4"/>
      <c r="F3440" s="4"/>
      <c r="G3440" s="4"/>
    </row>
    <row r="3441">
      <c r="A3441" s="4"/>
      <c r="B3441" s="4"/>
      <c r="C3441" s="4"/>
      <c r="D3441" s="4"/>
      <c r="E3441" s="4"/>
      <c r="F3441" s="4"/>
      <c r="G3441" s="4"/>
    </row>
    <row r="3442">
      <c r="A3442" s="4"/>
      <c r="B3442" s="4"/>
      <c r="C3442" s="4"/>
      <c r="D3442" s="4"/>
      <c r="E3442" s="4"/>
      <c r="F3442" s="4"/>
      <c r="G3442" s="4"/>
    </row>
    <row r="3443">
      <c r="A3443" s="4"/>
      <c r="B3443" s="4"/>
      <c r="C3443" s="4"/>
      <c r="D3443" s="4"/>
      <c r="E3443" s="13"/>
      <c r="F3443" s="4"/>
      <c r="G3443" s="4"/>
    </row>
    <row r="3444">
      <c r="A3444" s="4"/>
      <c r="B3444" s="4"/>
      <c r="C3444" s="4"/>
      <c r="D3444" s="4"/>
      <c r="E3444" s="4"/>
      <c r="F3444" s="4"/>
      <c r="G3444" s="4"/>
    </row>
    <row r="3445">
      <c r="A3445" s="4"/>
      <c r="B3445" s="4"/>
      <c r="C3445" s="4"/>
      <c r="D3445" s="4"/>
      <c r="E3445" s="4"/>
      <c r="F3445" s="4"/>
      <c r="G3445" s="4"/>
    </row>
    <row r="3446">
      <c r="A3446" s="4"/>
      <c r="B3446" s="4"/>
      <c r="C3446" s="4"/>
      <c r="D3446" s="4"/>
      <c r="E3446" s="4"/>
      <c r="F3446" s="4"/>
      <c r="G3446" s="4"/>
    </row>
    <row r="3447">
      <c r="A3447" s="4"/>
      <c r="B3447" s="4"/>
      <c r="C3447" s="4"/>
      <c r="D3447" s="4"/>
      <c r="E3447" s="13"/>
      <c r="F3447" s="4"/>
      <c r="G3447" s="4"/>
    </row>
    <row r="3448">
      <c r="A3448" s="4"/>
      <c r="B3448" s="4"/>
      <c r="C3448" s="4"/>
      <c r="D3448" s="4"/>
      <c r="E3448" s="4"/>
      <c r="F3448" s="4"/>
      <c r="G3448" s="4"/>
    </row>
    <row r="3449">
      <c r="A3449" s="4"/>
      <c r="B3449" s="4"/>
      <c r="C3449" s="4"/>
      <c r="D3449" s="4"/>
      <c r="E3449" s="4"/>
      <c r="F3449" s="4"/>
      <c r="G3449" s="4"/>
    </row>
    <row r="3450">
      <c r="A3450" s="4"/>
      <c r="B3450" s="4"/>
      <c r="C3450" s="4"/>
      <c r="D3450" s="4"/>
      <c r="E3450" s="4"/>
      <c r="F3450" s="4"/>
      <c r="G3450" s="4"/>
    </row>
    <row r="3451">
      <c r="A3451" s="4"/>
      <c r="B3451" s="4"/>
      <c r="C3451" s="4"/>
      <c r="D3451" s="4"/>
      <c r="E3451" s="13"/>
      <c r="F3451" s="4"/>
      <c r="G3451" s="4"/>
    </row>
    <row r="3452">
      <c r="A3452" s="4"/>
      <c r="B3452" s="4"/>
      <c r="C3452" s="4"/>
      <c r="D3452" s="4"/>
      <c r="E3452" s="4"/>
      <c r="F3452" s="4"/>
      <c r="G3452" s="4"/>
    </row>
    <row r="3453">
      <c r="A3453" s="4"/>
      <c r="B3453" s="4"/>
      <c r="C3453" s="4"/>
      <c r="D3453" s="4"/>
      <c r="E3453" s="13"/>
      <c r="F3453" s="4"/>
      <c r="G3453" s="4"/>
    </row>
    <row r="3454">
      <c r="A3454" s="4"/>
      <c r="B3454" s="4"/>
      <c r="C3454" s="4"/>
      <c r="D3454" s="4"/>
      <c r="E3454" s="4"/>
      <c r="F3454" s="4"/>
      <c r="G3454" s="4"/>
    </row>
    <row r="3455">
      <c r="A3455" s="4"/>
      <c r="B3455" s="4"/>
      <c r="C3455" s="4"/>
      <c r="D3455" s="4"/>
      <c r="E3455" s="4"/>
      <c r="F3455" s="4"/>
      <c r="G3455" s="4"/>
    </row>
    <row r="3456">
      <c r="A3456" s="4"/>
      <c r="B3456" s="4"/>
      <c r="C3456" s="4"/>
      <c r="D3456" s="13"/>
      <c r="E3456" s="4"/>
      <c r="F3456" s="4"/>
      <c r="G3456" s="4"/>
    </row>
    <row r="3457">
      <c r="A3457" s="4"/>
      <c r="B3457" s="4"/>
      <c r="C3457" s="4"/>
      <c r="D3457" s="13"/>
      <c r="E3457" s="13"/>
      <c r="F3457" s="4"/>
      <c r="G3457" s="4"/>
    </row>
    <row r="3458">
      <c r="A3458" s="4"/>
      <c r="B3458" s="4"/>
      <c r="C3458" s="4"/>
      <c r="D3458" s="4"/>
      <c r="E3458" s="13"/>
      <c r="F3458" s="4"/>
      <c r="G3458" s="4"/>
    </row>
    <row r="3459">
      <c r="A3459" s="4"/>
      <c r="B3459" s="4"/>
      <c r="C3459" s="4"/>
      <c r="D3459" s="4"/>
      <c r="E3459" s="4"/>
      <c r="F3459" s="4"/>
      <c r="G3459" s="4"/>
    </row>
    <row r="3460">
      <c r="A3460" s="4"/>
      <c r="B3460" s="4"/>
      <c r="C3460" s="4"/>
      <c r="D3460" s="4"/>
      <c r="E3460" s="4"/>
      <c r="F3460" s="4"/>
      <c r="G3460" s="4"/>
    </row>
    <row r="3461">
      <c r="A3461" s="4"/>
      <c r="B3461" s="4"/>
      <c r="C3461" s="4"/>
      <c r="D3461" s="4"/>
      <c r="E3461" s="13"/>
      <c r="F3461" s="4"/>
      <c r="G3461" s="4"/>
    </row>
    <row r="3462">
      <c r="A3462" s="4"/>
      <c r="B3462" s="4"/>
      <c r="C3462" s="4"/>
      <c r="D3462" s="4"/>
      <c r="E3462" s="4"/>
      <c r="F3462" s="4"/>
      <c r="G3462" s="4"/>
    </row>
    <row r="3463">
      <c r="A3463" s="4"/>
      <c r="B3463" s="4"/>
      <c r="C3463" s="4"/>
      <c r="D3463" s="4"/>
      <c r="E3463" s="4"/>
      <c r="F3463" s="4"/>
      <c r="G3463" s="4"/>
    </row>
    <row r="3464">
      <c r="A3464" s="4"/>
      <c r="B3464" s="4"/>
      <c r="C3464" s="4"/>
      <c r="D3464" s="13"/>
      <c r="E3464" s="13"/>
      <c r="F3464" s="4"/>
      <c r="G3464" s="4"/>
    </row>
    <row r="3465">
      <c r="A3465" s="4"/>
      <c r="B3465" s="4"/>
      <c r="C3465" s="4"/>
      <c r="D3465" s="4"/>
      <c r="E3465" s="4"/>
      <c r="F3465" s="4"/>
      <c r="G3465" s="4"/>
    </row>
    <row r="3466">
      <c r="A3466" s="4"/>
      <c r="B3466" s="4"/>
      <c r="C3466" s="4"/>
      <c r="D3466" s="13"/>
      <c r="E3466" s="13"/>
      <c r="F3466" s="4"/>
      <c r="G3466" s="4"/>
    </row>
    <row r="3467">
      <c r="A3467" s="4"/>
      <c r="B3467" s="4"/>
      <c r="C3467" s="4"/>
      <c r="D3467" s="13"/>
      <c r="E3467" s="13"/>
      <c r="F3467" s="4"/>
      <c r="G3467" s="4"/>
    </row>
    <row r="3468">
      <c r="A3468" s="4"/>
      <c r="B3468" s="4"/>
      <c r="C3468" s="4"/>
      <c r="D3468" s="4"/>
      <c r="E3468" s="4"/>
      <c r="F3468" s="4"/>
      <c r="G3468" s="4"/>
    </row>
    <row r="3469">
      <c r="A3469" s="4"/>
      <c r="B3469" s="4"/>
      <c r="C3469" s="4"/>
      <c r="D3469" s="4"/>
      <c r="E3469" s="4"/>
      <c r="F3469" s="4"/>
      <c r="G3469" s="4"/>
    </row>
    <row r="3470">
      <c r="A3470" s="4"/>
      <c r="B3470" s="4"/>
      <c r="C3470" s="4"/>
      <c r="D3470" s="13"/>
      <c r="E3470" s="13"/>
      <c r="F3470" s="4"/>
      <c r="G3470" s="4"/>
    </row>
    <row r="3471">
      <c r="A3471" s="4"/>
      <c r="B3471" s="4"/>
      <c r="C3471" s="4"/>
      <c r="D3471" s="4"/>
      <c r="E3471" s="13"/>
      <c r="F3471" s="4"/>
      <c r="G3471" s="4"/>
    </row>
    <row r="3472">
      <c r="A3472" s="4"/>
      <c r="B3472" s="4"/>
      <c r="C3472" s="4"/>
      <c r="D3472" s="4"/>
      <c r="E3472" s="4"/>
      <c r="F3472" s="4"/>
      <c r="G3472" s="4"/>
    </row>
    <row r="3473">
      <c r="A3473" s="4"/>
      <c r="B3473" s="4"/>
      <c r="C3473" s="4"/>
      <c r="D3473" s="4"/>
      <c r="E3473" s="4"/>
      <c r="F3473" s="4"/>
      <c r="G3473" s="4"/>
    </row>
    <row r="3474">
      <c r="A3474" s="4"/>
      <c r="B3474" s="4"/>
      <c r="C3474" s="4"/>
      <c r="D3474" s="4"/>
      <c r="E3474" s="13"/>
      <c r="F3474" s="4"/>
      <c r="G3474" s="4"/>
    </row>
    <row r="3475">
      <c r="A3475" s="4"/>
      <c r="B3475" s="4"/>
      <c r="C3475" s="4"/>
      <c r="D3475" s="13"/>
      <c r="E3475" s="4"/>
      <c r="F3475" s="4"/>
      <c r="G3475" s="4"/>
    </row>
    <row r="3476">
      <c r="A3476" s="4"/>
      <c r="B3476" s="4"/>
      <c r="C3476" s="4"/>
      <c r="D3476" s="4"/>
      <c r="E3476" s="4"/>
      <c r="F3476" s="4"/>
      <c r="G3476" s="4"/>
    </row>
    <row r="3477">
      <c r="A3477" s="4"/>
      <c r="B3477" s="4"/>
      <c r="C3477" s="4"/>
      <c r="D3477" s="4"/>
      <c r="E3477" s="13"/>
      <c r="F3477" s="4"/>
      <c r="G3477" s="4"/>
    </row>
    <row r="3478">
      <c r="A3478" s="4"/>
      <c r="B3478" s="4"/>
      <c r="C3478" s="4"/>
      <c r="D3478" s="4"/>
      <c r="E3478" s="4"/>
      <c r="F3478" s="4"/>
      <c r="G3478" s="4"/>
    </row>
    <row r="3479">
      <c r="A3479" s="4"/>
      <c r="B3479" s="4"/>
      <c r="C3479" s="4"/>
      <c r="D3479" s="4"/>
      <c r="E3479" s="4"/>
      <c r="F3479" s="4"/>
      <c r="G3479" s="4"/>
    </row>
    <row r="3480">
      <c r="A3480" s="4"/>
      <c r="B3480" s="4"/>
      <c r="C3480" s="4"/>
      <c r="D3480" s="4"/>
      <c r="E3480" s="4"/>
      <c r="F3480" s="4"/>
      <c r="G3480" s="4"/>
    </row>
    <row r="3481">
      <c r="A3481" s="4"/>
      <c r="B3481" s="4"/>
      <c r="C3481" s="4"/>
      <c r="D3481" s="4"/>
      <c r="E3481" s="4"/>
      <c r="F3481" s="4"/>
      <c r="G3481" s="4"/>
    </row>
    <row r="3482">
      <c r="A3482" s="4"/>
      <c r="B3482" s="4"/>
      <c r="C3482" s="4"/>
      <c r="D3482" s="4"/>
      <c r="E3482" s="4"/>
      <c r="F3482" s="4"/>
      <c r="G3482" s="4"/>
    </row>
    <row r="3483">
      <c r="A3483" s="4"/>
      <c r="B3483" s="4"/>
      <c r="C3483" s="4"/>
      <c r="D3483" s="4"/>
      <c r="E3483" s="13"/>
      <c r="F3483" s="4"/>
      <c r="G3483" s="4"/>
    </row>
    <row r="3484">
      <c r="A3484" s="4"/>
      <c r="B3484" s="4"/>
      <c r="C3484" s="4"/>
      <c r="D3484" s="4"/>
      <c r="E3484" s="4"/>
      <c r="F3484" s="4"/>
      <c r="G3484" s="4"/>
    </row>
    <row r="3485">
      <c r="A3485" s="4"/>
      <c r="B3485" s="4"/>
      <c r="C3485" s="4"/>
      <c r="D3485" s="4"/>
      <c r="E3485" s="13"/>
      <c r="F3485" s="4"/>
      <c r="G3485" s="4"/>
    </row>
    <row r="3486">
      <c r="A3486" s="4"/>
      <c r="B3486" s="4"/>
      <c r="C3486" s="4"/>
      <c r="D3486" s="4"/>
      <c r="E3486" s="4"/>
      <c r="F3486" s="4"/>
      <c r="G3486" s="4"/>
    </row>
    <row r="3487">
      <c r="A3487" s="4"/>
      <c r="B3487" s="4"/>
      <c r="C3487" s="4"/>
      <c r="D3487" s="4"/>
      <c r="E3487" s="4"/>
      <c r="F3487" s="4"/>
      <c r="G3487" s="4"/>
    </row>
    <row r="3488">
      <c r="A3488" s="4"/>
      <c r="B3488" s="4"/>
      <c r="C3488" s="4"/>
      <c r="D3488" s="4"/>
      <c r="E3488" s="4"/>
      <c r="F3488" s="4"/>
      <c r="G3488" s="4"/>
    </row>
    <row r="3489">
      <c r="A3489" s="4"/>
      <c r="B3489" s="4"/>
      <c r="C3489" s="4"/>
      <c r="D3489" s="4"/>
      <c r="E3489" s="4"/>
      <c r="F3489" s="4"/>
      <c r="G3489" s="4"/>
    </row>
    <row r="3490">
      <c r="A3490" s="4"/>
      <c r="B3490" s="4"/>
      <c r="C3490" s="4"/>
      <c r="D3490" s="4"/>
      <c r="E3490" s="13"/>
      <c r="F3490" s="4"/>
      <c r="G3490" s="4"/>
    </row>
    <row r="3491">
      <c r="A3491" s="4"/>
      <c r="B3491" s="4"/>
      <c r="C3491" s="4"/>
      <c r="D3491" s="4"/>
      <c r="E3491" s="4"/>
      <c r="F3491" s="4"/>
      <c r="G3491" s="4"/>
    </row>
    <row r="3492">
      <c r="A3492" s="4"/>
      <c r="B3492" s="4"/>
      <c r="C3492" s="4"/>
      <c r="D3492" s="4"/>
      <c r="E3492" s="4"/>
      <c r="F3492" s="4"/>
      <c r="G3492" s="4"/>
    </row>
    <row r="3493">
      <c r="A3493" s="4"/>
      <c r="B3493" s="4"/>
      <c r="C3493" s="4"/>
      <c r="D3493" s="4"/>
      <c r="E3493" s="13"/>
      <c r="F3493" s="4"/>
      <c r="G3493" s="4"/>
    </row>
    <row r="3494">
      <c r="A3494" s="4"/>
      <c r="B3494" s="4"/>
      <c r="C3494" s="4"/>
      <c r="D3494" s="4"/>
      <c r="E3494" s="4"/>
      <c r="F3494" s="4"/>
      <c r="G3494" s="4"/>
    </row>
    <row r="3495">
      <c r="A3495" s="4"/>
      <c r="B3495" s="4"/>
      <c r="C3495" s="4"/>
      <c r="D3495" s="4"/>
      <c r="E3495" s="4"/>
      <c r="F3495" s="4"/>
      <c r="G3495" s="4"/>
    </row>
    <row r="3496">
      <c r="A3496" s="4"/>
      <c r="B3496" s="4"/>
      <c r="C3496" s="4"/>
      <c r="D3496" s="4"/>
      <c r="E3496" s="4"/>
      <c r="F3496" s="4"/>
      <c r="G3496" s="4"/>
    </row>
    <row r="3497">
      <c r="A3497" s="4"/>
      <c r="B3497" s="4"/>
      <c r="C3497" s="4"/>
      <c r="D3497" s="4"/>
      <c r="E3497" s="13"/>
      <c r="F3497" s="4"/>
      <c r="G3497" s="4"/>
    </row>
    <row r="3498">
      <c r="A3498" s="4"/>
      <c r="B3498" s="4"/>
      <c r="C3498" s="4"/>
      <c r="D3498" s="4"/>
      <c r="E3498" s="4"/>
      <c r="F3498" s="4"/>
      <c r="G3498" s="4"/>
    </row>
    <row r="3499">
      <c r="A3499" s="4"/>
      <c r="B3499" s="4"/>
      <c r="C3499" s="4"/>
      <c r="D3499" s="4"/>
      <c r="E3499" s="4"/>
      <c r="F3499" s="4"/>
      <c r="G3499" s="4"/>
    </row>
    <row r="3500">
      <c r="A3500" s="4"/>
      <c r="B3500" s="4"/>
      <c r="C3500" s="4"/>
      <c r="D3500" s="4"/>
      <c r="E3500" s="4"/>
      <c r="F3500" s="4"/>
      <c r="G3500" s="4"/>
    </row>
    <row r="3501">
      <c r="A3501" s="4"/>
      <c r="B3501" s="4"/>
      <c r="C3501" s="4"/>
      <c r="D3501" s="4"/>
      <c r="E3501" s="4"/>
      <c r="F3501" s="4"/>
      <c r="G3501" s="4"/>
    </row>
    <row r="3502">
      <c r="A3502" s="4"/>
      <c r="B3502" s="4"/>
      <c r="C3502" s="4"/>
      <c r="D3502" s="4"/>
      <c r="E3502" s="4"/>
      <c r="F3502" s="4"/>
      <c r="G3502" s="4"/>
    </row>
    <row r="3503">
      <c r="A3503" s="4"/>
      <c r="B3503" s="4"/>
      <c r="C3503" s="4"/>
      <c r="D3503" s="4"/>
      <c r="E3503" s="13"/>
      <c r="F3503" s="4"/>
      <c r="G3503" s="4"/>
    </row>
    <row r="3504">
      <c r="A3504" s="4"/>
      <c r="B3504" s="4"/>
      <c r="C3504" s="4"/>
      <c r="D3504" s="4"/>
      <c r="E3504" s="4"/>
      <c r="F3504" s="4"/>
      <c r="G3504" s="4"/>
    </row>
    <row r="3505">
      <c r="A3505" s="4"/>
      <c r="B3505" s="4"/>
      <c r="C3505" s="4"/>
      <c r="D3505" s="4"/>
      <c r="E3505" s="4"/>
      <c r="F3505" s="4"/>
      <c r="G3505" s="4"/>
    </row>
    <row r="3506">
      <c r="A3506" s="4"/>
      <c r="B3506" s="4"/>
      <c r="C3506" s="4"/>
      <c r="D3506" s="4"/>
      <c r="E3506" s="13"/>
      <c r="F3506" s="4"/>
      <c r="G3506" s="4"/>
    </row>
    <row r="3507">
      <c r="A3507" s="4"/>
      <c r="B3507" s="4"/>
      <c r="C3507" s="4"/>
      <c r="D3507" s="4"/>
      <c r="E3507" s="4"/>
      <c r="F3507" s="4"/>
      <c r="G3507" s="4"/>
    </row>
    <row r="3508">
      <c r="A3508" s="4"/>
      <c r="B3508" s="4"/>
      <c r="C3508" s="4"/>
      <c r="D3508" s="4"/>
      <c r="E3508" s="4"/>
      <c r="F3508" s="4"/>
      <c r="G3508" s="4"/>
    </row>
    <row r="3509">
      <c r="A3509" s="4"/>
      <c r="B3509" s="4"/>
      <c r="C3509" s="4"/>
      <c r="D3509" s="4"/>
      <c r="E3509" s="4"/>
      <c r="F3509" s="4"/>
      <c r="G3509" s="4"/>
    </row>
    <row r="3510">
      <c r="A3510" s="4"/>
      <c r="B3510" s="4"/>
      <c r="C3510" s="4"/>
      <c r="D3510" s="4"/>
      <c r="E3510" s="4"/>
      <c r="F3510" s="4"/>
      <c r="G3510" s="4"/>
    </row>
    <row r="3511">
      <c r="A3511" s="4"/>
      <c r="B3511" s="4"/>
      <c r="C3511" s="4"/>
      <c r="D3511" s="4"/>
      <c r="E3511" s="13"/>
      <c r="F3511" s="4"/>
      <c r="G3511" s="4"/>
    </row>
    <row r="3512">
      <c r="A3512" s="4"/>
      <c r="B3512" s="4"/>
      <c r="C3512" s="4"/>
      <c r="D3512" s="4"/>
      <c r="E3512" s="4"/>
      <c r="F3512" s="4"/>
      <c r="G3512" s="4"/>
    </row>
    <row r="3513">
      <c r="A3513" s="4"/>
      <c r="B3513" s="4"/>
      <c r="C3513" s="4"/>
      <c r="D3513" s="4"/>
      <c r="E3513" s="13"/>
      <c r="F3513" s="4"/>
      <c r="G3513" s="4"/>
    </row>
    <row r="3514">
      <c r="A3514" s="4"/>
      <c r="B3514" s="4"/>
      <c r="C3514" s="4"/>
      <c r="D3514" s="4"/>
      <c r="E3514" s="4"/>
      <c r="F3514" s="4"/>
      <c r="G3514" s="4"/>
    </row>
    <row r="3515">
      <c r="A3515" s="4"/>
      <c r="B3515" s="4"/>
      <c r="C3515" s="4"/>
      <c r="D3515" s="4"/>
      <c r="E3515" s="13"/>
      <c r="F3515" s="4"/>
      <c r="G3515" s="4"/>
    </row>
    <row r="3516">
      <c r="A3516" s="4"/>
      <c r="B3516" s="4"/>
      <c r="C3516" s="4"/>
      <c r="D3516" s="4"/>
      <c r="E3516" s="4"/>
      <c r="F3516" s="4"/>
      <c r="G3516" s="4"/>
    </row>
    <row r="3517">
      <c r="A3517" s="4"/>
      <c r="B3517" s="4"/>
      <c r="C3517" s="4"/>
      <c r="D3517" s="4"/>
      <c r="E3517" s="4"/>
      <c r="F3517" s="4"/>
      <c r="G3517" s="4"/>
    </row>
    <row r="3518">
      <c r="A3518" s="4"/>
      <c r="B3518" s="4"/>
      <c r="C3518" s="4"/>
      <c r="D3518" s="4"/>
      <c r="E3518" s="4"/>
      <c r="F3518" s="4"/>
      <c r="G3518" s="4"/>
    </row>
    <row r="3519">
      <c r="A3519" s="4"/>
      <c r="B3519" s="4"/>
      <c r="C3519" s="4"/>
      <c r="D3519" s="13"/>
      <c r="E3519" s="13"/>
      <c r="F3519" s="4"/>
      <c r="G3519" s="4"/>
    </row>
    <row r="3520">
      <c r="A3520" s="4"/>
      <c r="B3520" s="4"/>
      <c r="C3520" s="4"/>
      <c r="D3520" s="13"/>
      <c r="E3520" s="13"/>
      <c r="F3520" s="4"/>
      <c r="G3520" s="4"/>
    </row>
    <row r="3521">
      <c r="A3521" s="4"/>
      <c r="B3521" s="4"/>
      <c r="C3521" s="4"/>
      <c r="D3521" s="13"/>
      <c r="E3521" s="13"/>
      <c r="F3521" s="4"/>
      <c r="G3521" s="4"/>
    </row>
    <row r="3522">
      <c r="A3522" s="4"/>
      <c r="B3522" s="4"/>
      <c r="C3522" s="4"/>
      <c r="D3522" s="4"/>
      <c r="E3522" s="4"/>
      <c r="F3522" s="4"/>
      <c r="G3522" s="4"/>
    </row>
    <row r="3523">
      <c r="A3523" s="4"/>
      <c r="B3523" s="4"/>
      <c r="C3523" s="4"/>
      <c r="D3523" s="4"/>
      <c r="E3523" s="4"/>
      <c r="F3523" s="4"/>
      <c r="G3523" s="4"/>
    </row>
    <row r="3524">
      <c r="A3524" s="4"/>
      <c r="B3524" s="4"/>
      <c r="C3524" s="4"/>
      <c r="D3524" s="4"/>
      <c r="E3524" s="4"/>
      <c r="F3524" s="4"/>
      <c r="G3524" s="4"/>
    </row>
    <row r="3525">
      <c r="A3525" s="4"/>
      <c r="B3525" s="4"/>
      <c r="C3525" s="4"/>
      <c r="D3525" s="4"/>
      <c r="E3525" s="4"/>
      <c r="F3525" s="4"/>
      <c r="G3525" s="4"/>
    </row>
    <row r="3526">
      <c r="A3526" s="4"/>
      <c r="B3526" s="4"/>
      <c r="C3526" s="4"/>
      <c r="D3526" s="4"/>
      <c r="E3526" s="4"/>
      <c r="F3526" s="4"/>
      <c r="G3526" s="4"/>
    </row>
    <row r="3527">
      <c r="A3527" s="4"/>
      <c r="B3527" s="4"/>
      <c r="C3527" s="4"/>
      <c r="D3527" s="4"/>
      <c r="E3527" s="4"/>
      <c r="F3527" s="4"/>
      <c r="G3527" s="4"/>
    </row>
    <row r="3528">
      <c r="A3528" s="4"/>
      <c r="B3528" s="4"/>
      <c r="C3528" s="4"/>
      <c r="D3528" s="4"/>
      <c r="E3528" s="13"/>
      <c r="F3528" s="4"/>
      <c r="G3528" s="4"/>
    </row>
    <row r="3529">
      <c r="A3529" s="4"/>
      <c r="B3529" s="4"/>
      <c r="C3529" s="4"/>
      <c r="D3529" s="4"/>
      <c r="E3529" s="4"/>
      <c r="F3529" s="4"/>
      <c r="G3529" s="4"/>
    </row>
    <row r="3530">
      <c r="A3530" s="4"/>
      <c r="B3530" s="4"/>
      <c r="C3530" s="4"/>
      <c r="D3530" s="4"/>
      <c r="E3530" s="4"/>
      <c r="F3530" s="4"/>
      <c r="G3530" s="4"/>
    </row>
    <row r="3531">
      <c r="A3531" s="4"/>
      <c r="B3531" s="4"/>
      <c r="C3531" s="4"/>
      <c r="D3531" s="4"/>
      <c r="E3531" s="4"/>
      <c r="F3531" s="4"/>
      <c r="G3531" s="4"/>
    </row>
    <row r="3532">
      <c r="A3532" s="4"/>
      <c r="B3532" s="4"/>
      <c r="C3532" s="4"/>
      <c r="D3532" s="13"/>
      <c r="E3532" s="13"/>
      <c r="F3532" s="4"/>
      <c r="G3532" s="4"/>
    </row>
    <row r="3533">
      <c r="A3533" s="4"/>
      <c r="B3533" s="4"/>
      <c r="C3533" s="4"/>
      <c r="D3533" s="13"/>
      <c r="E3533" s="13"/>
      <c r="F3533" s="4"/>
      <c r="G3533" s="4"/>
    </row>
    <row r="3534">
      <c r="A3534" s="4"/>
      <c r="B3534" s="4"/>
      <c r="C3534" s="4"/>
      <c r="D3534" s="4"/>
      <c r="E3534" s="4"/>
      <c r="F3534" s="4"/>
      <c r="G3534" s="4"/>
    </row>
    <row r="3535">
      <c r="A3535" s="4"/>
      <c r="B3535" s="4"/>
      <c r="C3535" s="4"/>
      <c r="D3535" s="4"/>
      <c r="E3535" s="4"/>
      <c r="F3535" s="4"/>
      <c r="G3535" s="4"/>
    </row>
    <row r="3536">
      <c r="A3536" s="4"/>
      <c r="B3536" s="4"/>
      <c r="C3536" s="4"/>
      <c r="D3536" s="4"/>
      <c r="E3536" s="4"/>
      <c r="F3536" s="4"/>
      <c r="G3536" s="4"/>
    </row>
    <row r="3537">
      <c r="A3537" s="4"/>
      <c r="B3537" s="4"/>
      <c r="C3537" s="4"/>
      <c r="D3537" s="13"/>
      <c r="E3537" s="13"/>
      <c r="F3537" s="4"/>
      <c r="G3537" s="4"/>
    </row>
    <row r="3538">
      <c r="A3538" s="4"/>
      <c r="B3538" s="4"/>
      <c r="C3538" s="4"/>
      <c r="D3538" s="4"/>
      <c r="E3538" s="4"/>
      <c r="F3538" s="4"/>
      <c r="G3538" s="4"/>
    </row>
    <row r="3539">
      <c r="A3539" s="4"/>
      <c r="B3539" s="4"/>
      <c r="C3539" s="4"/>
      <c r="D3539" s="4"/>
      <c r="E3539" s="4"/>
      <c r="F3539" s="4"/>
      <c r="G3539" s="4"/>
    </row>
    <row r="3540">
      <c r="A3540" s="4"/>
      <c r="B3540" s="4"/>
      <c r="C3540" s="4"/>
      <c r="D3540" s="4"/>
      <c r="E3540" s="13"/>
      <c r="F3540" s="4"/>
      <c r="G3540" s="4"/>
    </row>
    <row r="3541">
      <c r="A3541" s="4"/>
      <c r="B3541" s="4"/>
      <c r="C3541" s="4"/>
      <c r="D3541" s="4"/>
      <c r="E3541" s="4"/>
      <c r="F3541" s="4"/>
      <c r="G3541" s="4"/>
    </row>
    <row r="3542">
      <c r="A3542" s="4"/>
      <c r="B3542" s="4"/>
      <c r="C3542" s="4"/>
      <c r="D3542" s="4"/>
      <c r="E3542" s="4"/>
      <c r="F3542" s="4"/>
      <c r="G3542" s="4"/>
    </row>
    <row r="3543">
      <c r="A3543" s="4"/>
      <c r="B3543" s="4"/>
      <c r="C3543" s="4"/>
      <c r="D3543" s="4"/>
      <c r="E3543" s="13"/>
      <c r="F3543" s="4"/>
      <c r="G3543" s="4"/>
    </row>
    <row r="3544">
      <c r="A3544" s="4"/>
      <c r="B3544" s="4"/>
      <c r="C3544" s="4"/>
      <c r="D3544" s="13"/>
      <c r="E3544" s="13"/>
      <c r="F3544" s="4"/>
      <c r="G3544" s="4"/>
    </row>
    <row r="3545">
      <c r="A3545" s="4"/>
      <c r="B3545" s="4"/>
      <c r="C3545" s="4"/>
      <c r="D3545" s="4"/>
      <c r="E3545" s="13"/>
      <c r="F3545" s="4"/>
      <c r="G3545" s="4"/>
    </row>
    <row r="3546">
      <c r="A3546" s="4"/>
      <c r="B3546" s="4"/>
      <c r="C3546" s="4"/>
      <c r="D3546" s="4"/>
      <c r="E3546" s="4"/>
      <c r="F3546" s="4"/>
      <c r="G3546" s="4"/>
    </row>
    <row r="3547">
      <c r="A3547" s="4"/>
      <c r="B3547" s="4"/>
      <c r="C3547" s="4"/>
      <c r="D3547" s="4"/>
      <c r="E3547" s="13"/>
      <c r="F3547" s="4"/>
      <c r="G3547" s="4"/>
    </row>
    <row r="3548">
      <c r="A3548" s="4"/>
      <c r="B3548" s="4"/>
      <c r="C3548" s="4"/>
      <c r="D3548" s="4"/>
      <c r="E3548" s="13"/>
      <c r="F3548" s="4"/>
      <c r="G3548" s="4"/>
    </row>
    <row r="3549">
      <c r="A3549" s="4"/>
      <c r="B3549" s="4"/>
      <c r="C3549" s="4"/>
      <c r="D3549" s="4"/>
      <c r="E3549" s="13"/>
      <c r="F3549" s="4"/>
      <c r="G3549" s="4"/>
    </row>
    <row r="3550">
      <c r="A3550" s="4"/>
      <c r="B3550" s="4"/>
      <c r="C3550" s="4"/>
      <c r="D3550" s="4"/>
      <c r="E3550" s="13"/>
      <c r="F3550" s="4"/>
      <c r="G3550" s="4"/>
    </row>
    <row r="3551">
      <c r="A3551" s="4"/>
      <c r="B3551" s="4"/>
      <c r="C3551" s="4"/>
      <c r="D3551" s="4"/>
      <c r="E3551" s="13"/>
      <c r="F3551" s="4"/>
      <c r="G3551" s="4"/>
    </row>
    <row r="3552">
      <c r="A3552" s="4"/>
      <c r="B3552" s="4"/>
      <c r="C3552" s="4"/>
      <c r="D3552" s="4"/>
      <c r="E3552" s="13"/>
      <c r="F3552" s="4"/>
      <c r="G3552" s="4"/>
    </row>
    <row r="3553">
      <c r="A3553" s="4"/>
      <c r="B3553" s="4"/>
      <c r="C3553" s="4"/>
      <c r="D3553" s="4"/>
      <c r="E3553" s="13"/>
      <c r="F3553" s="4"/>
      <c r="G3553" s="4"/>
    </row>
    <row r="3554">
      <c r="A3554" s="4"/>
      <c r="B3554" s="4"/>
      <c r="C3554" s="4"/>
      <c r="D3554" s="4"/>
      <c r="E3554" s="13"/>
      <c r="F3554" s="4"/>
      <c r="G3554" s="4"/>
    </row>
    <row r="3555">
      <c r="A3555" s="4"/>
      <c r="B3555" s="4"/>
      <c r="C3555" s="4"/>
      <c r="D3555" s="4"/>
      <c r="E3555" s="13"/>
      <c r="F3555" s="4"/>
      <c r="G3555" s="4"/>
    </row>
    <row r="3556">
      <c r="A3556" s="4"/>
      <c r="B3556" s="4"/>
      <c r="C3556" s="4"/>
      <c r="D3556" s="4"/>
      <c r="E3556" s="13"/>
      <c r="F3556" s="4"/>
      <c r="G3556" s="4"/>
    </row>
    <row r="3557">
      <c r="A3557" s="4"/>
      <c r="B3557" s="4"/>
      <c r="C3557" s="4"/>
      <c r="D3557" s="4"/>
      <c r="E3557" s="13"/>
      <c r="F3557" s="4"/>
      <c r="G3557" s="4"/>
    </row>
    <row r="3558">
      <c r="A3558" s="4"/>
      <c r="B3558" s="4"/>
      <c r="C3558" s="4"/>
      <c r="D3558" s="4"/>
      <c r="E3558" s="13"/>
      <c r="F3558" s="4"/>
      <c r="G3558" s="4"/>
    </row>
    <row r="3559">
      <c r="A3559" s="4"/>
      <c r="B3559" s="4"/>
      <c r="C3559" s="4"/>
      <c r="D3559" s="4"/>
      <c r="E3559" s="13"/>
      <c r="F3559" s="4"/>
      <c r="G3559" s="4"/>
    </row>
    <row r="3560">
      <c r="A3560" s="4"/>
      <c r="B3560" s="4"/>
      <c r="C3560" s="4"/>
      <c r="D3560" s="4"/>
      <c r="E3560" s="13"/>
      <c r="F3560" s="4"/>
      <c r="G3560" s="4"/>
    </row>
    <row r="3561">
      <c r="A3561" s="4"/>
      <c r="B3561" s="4"/>
      <c r="C3561" s="4"/>
      <c r="D3561" s="13"/>
      <c r="E3561" s="13"/>
      <c r="F3561" s="4"/>
      <c r="G3561" s="4"/>
    </row>
    <row r="3562">
      <c r="A3562" s="4"/>
      <c r="B3562" s="4"/>
      <c r="C3562" s="4"/>
      <c r="D3562" s="4"/>
      <c r="E3562" s="13"/>
      <c r="F3562" s="4"/>
      <c r="G3562" s="4"/>
    </row>
    <row r="3563">
      <c r="A3563" s="4"/>
      <c r="B3563" s="4"/>
      <c r="C3563" s="4"/>
      <c r="D3563" s="4"/>
      <c r="E3563" s="13"/>
      <c r="F3563" s="4"/>
      <c r="G3563" s="4"/>
    </row>
    <row r="3564">
      <c r="A3564" s="4"/>
      <c r="B3564" s="4"/>
      <c r="C3564" s="4"/>
      <c r="D3564" s="4"/>
      <c r="E3564" s="13"/>
      <c r="F3564" s="4"/>
      <c r="G3564" s="4"/>
    </row>
    <row r="3565">
      <c r="A3565" s="4"/>
      <c r="B3565" s="4"/>
      <c r="C3565" s="4"/>
      <c r="D3565" s="4"/>
      <c r="E3565" s="13"/>
      <c r="F3565" s="4"/>
      <c r="G3565" s="4"/>
    </row>
    <row r="3566">
      <c r="A3566" s="4"/>
      <c r="B3566" s="4"/>
      <c r="C3566" s="4"/>
      <c r="D3566" s="4"/>
      <c r="E3566" s="13"/>
      <c r="F3566" s="4"/>
      <c r="G3566" s="4"/>
    </row>
    <row r="3567">
      <c r="A3567" s="4"/>
      <c r="B3567" s="4"/>
      <c r="C3567" s="4"/>
      <c r="D3567" s="4"/>
      <c r="E3567" s="13"/>
      <c r="F3567" s="4"/>
      <c r="G3567" s="4"/>
    </row>
    <row r="3568">
      <c r="A3568" s="4"/>
      <c r="B3568" s="4"/>
      <c r="C3568" s="4"/>
      <c r="D3568" s="4"/>
      <c r="E3568" s="13"/>
      <c r="F3568" s="4"/>
      <c r="G3568" s="4"/>
    </row>
    <row r="3569">
      <c r="A3569" s="4"/>
      <c r="B3569" s="4"/>
      <c r="C3569" s="4"/>
      <c r="D3569" s="4"/>
      <c r="E3569" s="13"/>
      <c r="F3569" s="4"/>
      <c r="G3569" s="4"/>
    </row>
    <row r="3570">
      <c r="A3570" s="4"/>
      <c r="B3570" s="4"/>
      <c r="C3570" s="4"/>
      <c r="D3570" s="4"/>
      <c r="E3570" s="13"/>
      <c r="F3570" s="4"/>
      <c r="G3570" s="4"/>
    </row>
    <row r="3571">
      <c r="A3571" s="4"/>
      <c r="B3571" s="4"/>
      <c r="C3571" s="4"/>
      <c r="D3571" s="4"/>
      <c r="E3571" s="13"/>
      <c r="F3571" s="4"/>
      <c r="G3571" s="4"/>
    </row>
    <row r="3572">
      <c r="A3572" s="4"/>
      <c r="B3572" s="4"/>
      <c r="C3572" s="4"/>
      <c r="D3572" s="4"/>
      <c r="E3572" s="13"/>
      <c r="F3572" s="4"/>
      <c r="G3572" s="4"/>
    </row>
    <row r="3573">
      <c r="A3573" s="4"/>
      <c r="B3573" s="4"/>
      <c r="C3573" s="4"/>
      <c r="D3573" s="4"/>
      <c r="E3573" s="13"/>
      <c r="F3573" s="4"/>
      <c r="G3573" s="4"/>
    </row>
    <row r="3574">
      <c r="A3574" s="4"/>
      <c r="B3574" s="4"/>
      <c r="C3574" s="4"/>
      <c r="D3574" s="4"/>
      <c r="E3574" s="13"/>
      <c r="F3574" s="4"/>
      <c r="G3574" s="4"/>
    </row>
    <row r="3575">
      <c r="A3575" s="4"/>
      <c r="B3575" s="4"/>
      <c r="C3575" s="4"/>
      <c r="D3575" s="13"/>
      <c r="E3575" s="13"/>
      <c r="F3575" s="4"/>
      <c r="G3575" s="4"/>
    </row>
    <row r="3576">
      <c r="A3576" s="4"/>
      <c r="B3576" s="4"/>
      <c r="C3576" s="4"/>
      <c r="D3576" s="4"/>
      <c r="E3576" s="13"/>
      <c r="F3576" s="4"/>
      <c r="G3576" s="4"/>
    </row>
    <row r="3577">
      <c r="A3577" s="4"/>
      <c r="B3577" s="4"/>
      <c r="C3577" s="4"/>
      <c r="D3577" s="4"/>
      <c r="E3577" s="13"/>
      <c r="F3577" s="4"/>
      <c r="G3577" s="4"/>
    </row>
    <row r="3578">
      <c r="A3578" s="4"/>
      <c r="B3578" s="4"/>
      <c r="C3578" s="4"/>
      <c r="D3578" s="4"/>
      <c r="E3578" s="13"/>
      <c r="F3578" s="4"/>
      <c r="G3578" s="4"/>
    </row>
    <row r="3579">
      <c r="A3579" s="4"/>
      <c r="B3579" s="4"/>
      <c r="C3579" s="4"/>
      <c r="D3579" s="4"/>
      <c r="E3579" s="4"/>
      <c r="F3579" s="4"/>
      <c r="G3579" s="4"/>
    </row>
    <row r="3580">
      <c r="A3580" s="4"/>
      <c r="B3580" s="4"/>
      <c r="C3580" s="4"/>
      <c r="D3580" s="4"/>
      <c r="E3580" s="13"/>
      <c r="F3580" s="4"/>
      <c r="G3580" s="4"/>
    </row>
    <row r="3581">
      <c r="A3581" s="4"/>
      <c r="B3581" s="4"/>
      <c r="C3581" s="4"/>
      <c r="D3581" s="13"/>
      <c r="E3581" s="13"/>
      <c r="F3581" s="4"/>
      <c r="G3581" s="4"/>
    </row>
    <row r="3582">
      <c r="A3582" s="4"/>
      <c r="B3582" s="4"/>
      <c r="C3582" s="4"/>
      <c r="D3582" s="13"/>
      <c r="E3582" s="13"/>
      <c r="F3582" s="4"/>
      <c r="G3582" s="4"/>
    </row>
    <row r="3583">
      <c r="A3583" s="4"/>
      <c r="B3583" s="4"/>
      <c r="C3583" s="4"/>
      <c r="D3583" s="4"/>
      <c r="E3583" s="4"/>
      <c r="F3583" s="4"/>
      <c r="G3583" s="4"/>
    </row>
    <row r="3584">
      <c r="A3584" s="4"/>
      <c r="B3584" s="4"/>
      <c r="C3584" s="4"/>
      <c r="D3584" s="4"/>
      <c r="E3584" s="4"/>
      <c r="F3584" s="4"/>
      <c r="G3584" s="4"/>
    </row>
    <row r="3585">
      <c r="A3585" s="4"/>
      <c r="B3585" s="4"/>
      <c r="C3585" s="4"/>
      <c r="D3585" s="4"/>
      <c r="E3585" s="4"/>
      <c r="F3585" s="4"/>
      <c r="G3585" s="4"/>
    </row>
    <row r="3586">
      <c r="A3586" s="4"/>
      <c r="B3586" s="4"/>
      <c r="C3586" s="4"/>
      <c r="D3586" s="4"/>
      <c r="E3586" s="13"/>
      <c r="F3586" s="4"/>
      <c r="G3586" s="4"/>
    </row>
    <row r="3587">
      <c r="A3587" s="4"/>
      <c r="B3587" s="4"/>
      <c r="C3587" s="4"/>
      <c r="D3587" s="4"/>
      <c r="E3587" s="4"/>
      <c r="F3587" s="4"/>
      <c r="G3587" s="4"/>
    </row>
    <row r="3588">
      <c r="A3588" s="4"/>
      <c r="B3588" s="4"/>
      <c r="C3588" s="4"/>
      <c r="D3588" s="4"/>
      <c r="E3588" s="4"/>
      <c r="F3588" s="4"/>
      <c r="G3588" s="4"/>
    </row>
    <row r="3589">
      <c r="A3589" s="4"/>
      <c r="B3589" s="4"/>
      <c r="C3589" s="4"/>
      <c r="D3589" s="13"/>
      <c r="E3589" s="13"/>
      <c r="F3589" s="4"/>
      <c r="G3589" s="4"/>
    </row>
    <row r="3590">
      <c r="A3590" s="4"/>
      <c r="B3590" s="4"/>
      <c r="C3590" s="4"/>
      <c r="D3590" s="13"/>
      <c r="E3590" s="13"/>
      <c r="F3590" s="4"/>
      <c r="G3590" s="4"/>
    </row>
    <row r="3591">
      <c r="A3591" s="4"/>
      <c r="B3591" s="4"/>
      <c r="C3591" s="4"/>
      <c r="D3591" s="4"/>
      <c r="E3591" s="4"/>
      <c r="F3591" s="4"/>
      <c r="G3591" s="4"/>
    </row>
    <row r="3592">
      <c r="A3592" s="4"/>
      <c r="B3592" s="4"/>
      <c r="C3592" s="4"/>
      <c r="D3592" s="4"/>
      <c r="E3592" s="4"/>
      <c r="F3592" s="4"/>
      <c r="G3592" s="4"/>
    </row>
    <row r="3593">
      <c r="A3593" s="4"/>
      <c r="B3593" s="4"/>
      <c r="C3593" s="4"/>
      <c r="D3593" s="4"/>
      <c r="E3593" s="4"/>
      <c r="F3593" s="4"/>
      <c r="G3593" s="4"/>
    </row>
    <row r="3594">
      <c r="A3594" s="4"/>
      <c r="B3594" s="4"/>
      <c r="C3594" s="4"/>
      <c r="D3594" s="4"/>
      <c r="E3594" s="4"/>
      <c r="F3594" s="4"/>
      <c r="G3594" s="4"/>
    </row>
    <row r="3595">
      <c r="A3595" s="4"/>
      <c r="B3595" s="4"/>
      <c r="C3595" s="4"/>
      <c r="D3595" s="4"/>
      <c r="E3595" s="13"/>
      <c r="F3595" s="4"/>
      <c r="G3595" s="4"/>
    </row>
    <row r="3596">
      <c r="A3596" s="4"/>
      <c r="B3596" s="4"/>
      <c r="C3596" s="4"/>
      <c r="D3596" s="4"/>
      <c r="E3596" s="4"/>
      <c r="F3596" s="4"/>
      <c r="G3596" s="4"/>
    </row>
    <row r="3597">
      <c r="A3597" s="4"/>
      <c r="B3597" s="4"/>
      <c r="C3597" s="4"/>
      <c r="D3597" s="13"/>
      <c r="E3597" s="13"/>
      <c r="F3597" s="4"/>
      <c r="G3597" s="4"/>
    </row>
    <row r="3598">
      <c r="A3598" s="4"/>
      <c r="B3598" s="4"/>
      <c r="C3598" s="4"/>
      <c r="D3598" s="4"/>
      <c r="E3598" s="4"/>
      <c r="F3598" s="4"/>
      <c r="G3598" s="4"/>
    </row>
    <row r="3599">
      <c r="A3599" s="4"/>
      <c r="B3599" s="4"/>
      <c r="C3599" s="4"/>
      <c r="D3599" s="4"/>
      <c r="E3599" s="13"/>
      <c r="F3599" s="4"/>
      <c r="G3599" s="4"/>
    </row>
    <row r="3600">
      <c r="A3600" s="4"/>
      <c r="B3600" s="4"/>
      <c r="C3600" s="4"/>
      <c r="D3600" s="4"/>
      <c r="E3600" s="4"/>
      <c r="F3600" s="4"/>
      <c r="G3600" s="4"/>
    </row>
    <row r="3601">
      <c r="A3601" s="4"/>
      <c r="B3601" s="4"/>
      <c r="C3601" s="4"/>
      <c r="D3601" s="4"/>
      <c r="E3601" s="4"/>
      <c r="F3601" s="4"/>
      <c r="G3601" s="4"/>
    </row>
    <row r="3602">
      <c r="A3602" s="4"/>
      <c r="B3602" s="4"/>
      <c r="C3602" s="4"/>
      <c r="D3602" s="4"/>
      <c r="E3602" s="13"/>
      <c r="F3602" s="4"/>
      <c r="G3602" s="4"/>
    </row>
    <row r="3603">
      <c r="A3603" s="4"/>
      <c r="B3603" s="4"/>
      <c r="C3603" s="4"/>
      <c r="D3603" s="4"/>
      <c r="E3603" s="13"/>
      <c r="F3603" s="4"/>
      <c r="G3603" s="4"/>
    </row>
    <row r="3604">
      <c r="A3604" s="4"/>
      <c r="B3604" s="4"/>
      <c r="C3604" s="4"/>
      <c r="D3604" s="4"/>
      <c r="E3604" s="4"/>
      <c r="F3604" s="4"/>
      <c r="G3604" s="4"/>
    </row>
    <row r="3605">
      <c r="A3605" s="4"/>
      <c r="B3605" s="4"/>
      <c r="C3605" s="4"/>
      <c r="D3605" s="4"/>
      <c r="E3605" s="4"/>
      <c r="F3605" s="4"/>
      <c r="G3605" s="4"/>
    </row>
    <row r="3606">
      <c r="A3606" s="4"/>
      <c r="B3606" s="4"/>
      <c r="C3606" s="4"/>
      <c r="D3606" s="4"/>
      <c r="E3606" s="13"/>
      <c r="F3606" s="4"/>
      <c r="G3606" s="4"/>
    </row>
    <row r="3607">
      <c r="A3607" s="4"/>
      <c r="B3607" s="4"/>
      <c r="C3607" s="4"/>
      <c r="D3607" s="4"/>
      <c r="E3607" s="4"/>
      <c r="F3607" s="4"/>
      <c r="G3607" s="4"/>
    </row>
    <row r="3608">
      <c r="A3608" s="4"/>
      <c r="B3608" s="4"/>
      <c r="C3608" s="4"/>
      <c r="D3608" s="4"/>
      <c r="E3608" s="4"/>
      <c r="F3608" s="4"/>
      <c r="G3608" s="4"/>
    </row>
    <row r="3609">
      <c r="A3609" s="4"/>
      <c r="B3609" s="4"/>
      <c r="C3609" s="4"/>
      <c r="D3609" s="4"/>
      <c r="E3609" s="13"/>
      <c r="F3609" s="4"/>
      <c r="G3609" s="4"/>
    </row>
    <row r="3610">
      <c r="A3610" s="4"/>
      <c r="B3610" s="4"/>
      <c r="C3610" s="4"/>
      <c r="D3610" s="4"/>
      <c r="E3610" s="4"/>
      <c r="F3610" s="4"/>
      <c r="G3610" s="4"/>
    </row>
    <row r="3611">
      <c r="A3611" s="4"/>
      <c r="B3611" s="4"/>
      <c r="C3611" s="4"/>
      <c r="D3611" s="4"/>
      <c r="E3611" s="4"/>
      <c r="F3611" s="4"/>
      <c r="G3611" s="4"/>
    </row>
    <row r="3612">
      <c r="A3612" s="4"/>
      <c r="B3612" s="4"/>
      <c r="C3612" s="4"/>
      <c r="D3612" s="4"/>
      <c r="E3612" s="4"/>
      <c r="F3612" s="4"/>
      <c r="G3612" s="4"/>
    </row>
    <row r="3613">
      <c r="A3613" s="4"/>
      <c r="B3613" s="4"/>
      <c r="C3613" s="4"/>
      <c r="D3613" s="13"/>
      <c r="E3613" s="4"/>
      <c r="F3613" s="4"/>
      <c r="G3613" s="4"/>
    </row>
    <row r="3614">
      <c r="A3614" s="4"/>
      <c r="B3614" s="4"/>
      <c r="C3614" s="4"/>
      <c r="D3614" s="4"/>
      <c r="E3614" s="4"/>
      <c r="F3614" s="4"/>
      <c r="G3614" s="4"/>
    </row>
    <row r="3615">
      <c r="A3615" s="4"/>
      <c r="B3615" s="4"/>
      <c r="C3615" s="4"/>
      <c r="D3615" s="4"/>
      <c r="E3615" s="13"/>
      <c r="F3615" s="4"/>
      <c r="G3615" s="4"/>
    </row>
    <row r="3616">
      <c r="A3616" s="4"/>
      <c r="B3616" s="4"/>
      <c r="C3616" s="4"/>
      <c r="D3616" s="4"/>
      <c r="E3616" s="4"/>
      <c r="F3616" s="4"/>
      <c r="G3616" s="4"/>
    </row>
    <row r="3617">
      <c r="A3617" s="4"/>
      <c r="B3617" s="4"/>
      <c r="C3617" s="4"/>
      <c r="D3617" s="4"/>
      <c r="E3617" s="13"/>
      <c r="F3617" s="4"/>
      <c r="G3617" s="4"/>
    </row>
    <row r="3618">
      <c r="A3618" s="4"/>
      <c r="B3618" s="4"/>
      <c r="C3618" s="4"/>
      <c r="D3618" s="4"/>
      <c r="E3618" s="4"/>
      <c r="F3618" s="4"/>
      <c r="G3618" s="4"/>
    </row>
    <row r="3619">
      <c r="A3619" s="4"/>
      <c r="B3619" s="4"/>
      <c r="C3619" s="4"/>
      <c r="D3619" s="4"/>
      <c r="E3619" s="13"/>
      <c r="F3619" s="4"/>
      <c r="G3619" s="4"/>
    </row>
    <row r="3620">
      <c r="A3620" s="4"/>
      <c r="B3620" s="4"/>
      <c r="C3620" s="4"/>
      <c r="D3620" s="13"/>
      <c r="E3620" s="4"/>
      <c r="F3620" s="4"/>
      <c r="G3620" s="4"/>
    </row>
    <row r="3621">
      <c r="A3621" s="4"/>
      <c r="B3621" s="4"/>
      <c r="C3621" s="4"/>
      <c r="D3621" s="4"/>
      <c r="E3621" s="4"/>
      <c r="F3621" s="4"/>
      <c r="G3621" s="4"/>
    </row>
    <row r="3622">
      <c r="A3622" s="4"/>
      <c r="B3622" s="4"/>
      <c r="C3622" s="4"/>
      <c r="D3622" s="4"/>
      <c r="E3622" s="4"/>
      <c r="F3622" s="4"/>
      <c r="G3622" s="4"/>
    </row>
    <row r="3623">
      <c r="A3623" s="4"/>
      <c r="B3623" s="4"/>
      <c r="C3623" s="4"/>
      <c r="D3623" s="4"/>
      <c r="E3623" s="13"/>
      <c r="F3623" s="4"/>
      <c r="G3623" s="4"/>
    </row>
    <row r="3624">
      <c r="A3624" s="4"/>
      <c r="B3624" s="4"/>
      <c r="C3624" s="4"/>
      <c r="D3624" s="4"/>
      <c r="E3624" s="4"/>
      <c r="F3624" s="4"/>
      <c r="G3624" s="4"/>
    </row>
    <row r="3625">
      <c r="A3625" s="4"/>
      <c r="B3625" s="4"/>
      <c r="C3625" s="4"/>
      <c r="D3625" s="13"/>
      <c r="E3625" s="4"/>
      <c r="F3625" s="4"/>
      <c r="G3625" s="4"/>
    </row>
    <row r="3626">
      <c r="A3626" s="4"/>
      <c r="B3626" s="4"/>
      <c r="C3626" s="4"/>
      <c r="D3626" s="4"/>
      <c r="E3626" s="4"/>
      <c r="F3626" s="4"/>
      <c r="G3626" s="4"/>
    </row>
    <row r="3627">
      <c r="A3627" s="4"/>
      <c r="B3627" s="4"/>
      <c r="C3627" s="4"/>
      <c r="D3627" s="13"/>
      <c r="E3627" s="4"/>
      <c r="F3627" s="4"/>
      <c r="G3627" s="4"/>
    </row>
    <row r="3628">
      <c r="A3628" s="4"/>
      <c r="B3628" s="4"/>
      <c r="C3628" s="4"/>
      <c r="D3628" s="13"/>
      <c r="E3628" s="13"/>
      <c r="F3628" s="4"/>
      <c r="G3628" s="4"/>
    </row>
    <row r="3629">
      <c r="A3629" s="4"/>
      <c r="B3629" s="4"/>
      <c r="C3629" s="4"/>
      <c r="D3629" s="4"/>
      <c r="E3629" s="13"/>
      <c r="F3629" s="4"/>
      <c r="G3629" s="4"/>
    </row>
    <row r="3630">
      <c r="A3630" s="4"/>
      <c r="B3630" s="4"/>
      <c r="C3630" s="4"/>
      <c r="D3630" s="4"/>
      <c r="E3630" s="4"/>
      <c r="F3630" s="4"/>
      <c r="G3630" s="4"/>
    </row>
    <row r="3631">
      <c r="A3631" s="4"/>
      <c r="B3631" s="4"/>
      <c r="C3631" s="4"/>
      <c r="D3631" s="4"/>
      <c r="E3631" s="4"/>
      <c r="F3631" s="4"/>
      <c r="G3631" s="4"/>
    </row>
    <row r="3632">
      <c r="A3632" s="4"/>
      <c r="B3632" s="4"/>
      <c r="C3632" s="4"/>
      <c r="D3632" s="13"/>
      <c r="E3632" s="13"/>
      <c r="F3632" s="4"/>
      <c r="G3632" s="4"/>
    </row>
    <row r="3633">
      <c r="A3633" s="4"/>
      <c r="B3633" s="4"/>
      <c r="C3633" s="4"/>
      <c r="D3633" s="13"/>
      <c r="E3633" s="13"/>
      <c r="F3633" s="4"/>
      <c r="G3633" s="4"/>
    </row>
    <row r="3634">
      <c r="A3634" s="4"/>
      <c r="B3634" s="4"/>
      <c r="C3634" s="4"/>
      <c r="D3634" s="4"/>
      <c r="E3634" s="13"/>
      <c r="F3634" s="4"/>
      <c r="G3634" s="4"/>
    </row>
    <row r="3635">
      <c r="A3635" s="4"/>
      <c r="B3635" s="4"/>
      <c r="C3635" s="4"/>
      <c r="D3635" s="4"/>
      <c r="E3635" s="4"/>
      <c r="F3635" s="4"/>
      <c r="G3635" s="4"/>
    </row>
    <row r="3636">
      <c r="A3636" s="4"/>
      <c r="B3636" s="4"/>
      <c r="C3636" s="4"/>
      <c r="D3636" s="4"/>
      <c r="E3636" s="4"/>
      <c r="F3636" s="4"/>
      <c r="G3636" s="4"/>
    </row>
    <row r="3637">
      <c r="A3637" s="4"/>
      <c r="B3637" s="4"/>
      <c r="C3637" s="4"/>
      <c r="D3637" s="4"/>
      <c r="E3637" s="4"/>
      <c r="F3637" s="4"/>
      <c r="G3637" s="4"/>
    </row>
    <row r="3638">
      <c r="A3638" s="4"/>
      <c r="B3638" s="4"/>
      <c r="C3638" s="4"/>
      <c r="D3638" s="4"/>
      <c r="E3638" s="13"/>
      <c r="F3638" s="4"/>
      <c r="G3638" s="4"/>
    </row>
    <row r="3639">
      <c r="A3639" s="4"/>
      <c r="B3639" s="4"/>
      <c r="C3639" s="4"/>
      <c r="D3639" s="4"/>
      <c r="E3639" s="4"/>
      <c r="F3639" s="4"/>
      <c r="G3639" s="4"/>
    </row>
    <row r="3640">
      <c r="A3640" s="4"/>
      <c r="B3640" s="4"/>
      <c r="C3640" s="4"/>
      <c r="D3640" s="4"/>
      <c r="E3640" s="4"/>
      <c r="F3640" s="4"/>
      <c r="G3640" s="4"/>
    </row>
    <row r="3641">
      <c r="A3641" s="4"/>
      <c r="B3641" s="4"/>
      <c r="C3641" s="4"/>
      <c r="D3641" s="13"/>
      <c r="E3641" s="4"/>
      <c r="F3641" s="4"/>
      <c r="G3641" s="4"/>
    </row>
    <row r="3642">
      <c r="A3642" s="4"/>
      <c r="B3642" s="4"/>
      <c r="C3642" s="4"/>
      <c r="D3642" s="4"/>
      <c r="E3642" s="4"/>
      <c r="F3642" s="4"/>
      <c r="G3642" s="4"/>
    </row>
    <row r="3643">
      <c r="A3643" s="4"/>
      <c r="B3643" s="4"/>
      <c r="C3643" s="4"/>
      <c r="D3643" s="4"/>
      <c r="E3643" s="4"/>
      <c r="F3643" s="4"/>
      <c r="G3643" s="4"/>
    </row>
    <row r="3644">
      <c r="A3644" s="4"/>
      <c r="B3644" s="4"/>
      <c r="C3644" s="4"/>
      <c r="D3644" s="4"/>
      <c r="E3644" s="4"/>
      <c r="F3644" s="4"/>
      <c r="G3644" s="4"/>
    </row>
    <row r="3645">
      <c r="A3645" s="4"/>
      <c r="B3645" s="4"/>
      <c r="C3645" s="4"/>
      <c r="D3645" s="4"/>
      <c r="E3645" s="4"/>
      <c r="F3645" s="4"/>
      <c r="G3645" s="4"/>
    </row>
    <row r="3646">
      <c r="A3646" s="4"/>
      <c r="B3646" s="4"/>
      <c r="C3646" s="4"/>
      <c r="D3646" s="4"/>
      <c r="E3646" s="4"/>
      <c r="F3646" s="4"/>
      <c r="G3646" s="4"/>
    </row>
    <row r="3647">
      <c r="A3647" s="4"/>
      <c r="B3647" s="4"/>
      <c r="C3647" s="4"/>
      <c r="D3647" s="4"/>
      <c r="E3647" s="4"/>
      <c r="F3647" s="4"/>
      <c r="G3647" s="4"/>
    </row>
    <row r="3648">
      <c r="A3648" s="4"/>
      <c r="B3648" s="4"/>
      <c r="C3648" s="4"/>
      <c r="D3648" s="4"/>
      <c r="E3648" s="13"/>
      <c r="F3648" s="4"/>
      <c r="G3648" s="4"/>
    </row>
    <row r="3649">
      <c r="A3649" s="4"/>
      <c r="B3649" s="4"/>
      <c r="C3649" s="4"/>
      <c r="D3649" s="4"/>
      <c r="E3649" s="4"/>
      <c r="F3649" s="4"/>
      <c r="G3649" s="4"/>
    </row>
    <row r="3650">
      <c r="A3650" s="4"/>
      <c r="B3650" s="4"/>
      <c r="C3650" s="4"/>
      <c r="D3650" s="4"/>
      <c r="E3650" s="4"/>
      <c r="F3650" s="4"/>
      <c r="G3650" s="4"/>
    </row>
    <row r="3651">
      <c r="A3651" s="4"/>
      <c r="B3651" s="4"/>
      <c r="C3651" s="4"/>
      <c r="D3651" s="4"/>
      <c r="E3651" s="4"/>
      <c r="F3651" s="4"/>
      <c r="G3651" s="4"/>
    </row>
    <row r="3652">
      <c r="A3652" s="4"/>
      <c r="B3652" s="4"/>
      <c r="C3652" s="4"/>
      <c r="D3652" s="4"/>
      <c r="E3652" s="4"/>
      <c r="F3652" s="4"/>
      <c r="G3652" s="4"/>
    </row>
    <row r="3653">
      <c r="A3653" s="4"/>
      <c r="B3653" s="4"/>
      <c r="C3653" s="4"/>
      <c r="D3653" s="13"/>
      <c r="E3653" s="13"/>
      <c r="F3653" s="4"/>
      <c r="G3653" s="4"/>
    </row>
    <row r="3654">
      <c r="A3654" s="4"/>
      <c r="B3654" s="4"/>
      <c r="C3654" s="4"/>
      <c r="D3654" s="4"/>
      <c r="E3654" s="13"/>
      <c r="F3654" s="4"/>
      <c r="G3654" s="4"/>
    </row>
    <row r="3655">
      <c r="A3655" s="4"/>
      <c r="B3655" s="4"/>
      <c r="C3655" s="4"/>
      <c r="D3655" s="4"/>
      <c r="E3655" s="4"/>
      <c r="F3655" s="4"/>
      <c r="G3655" s="4"/>
    </row>
    <row r="3656">
      <c r="A3656" s="4"/>
      <c r="B3656" s="4"/>
      <c r="C3656" s="4"/>
      <c r="D3656" s="13"/>
      <c r="E3656" s="13"/>
      <c r="F3656" s="4"/>
      <c r="G3656" s="4"/>
    </row>
    <row r="3657">
      <c r="A3657" s="4"/>
      <c r="B3657" s="4"/>
      <c r="C3657" s="4"/>
      <c r="D3657" s="4"/>
      <c r="E3657" s="4"/>
      <c r="F3657" s="4"/>
      <c r="G3657" s="4"/>
    </row>
    <row r="3658">
      <c r="A3658" s="4"/>
      <c r="B3658" s="4"/>
      <c r="C3658" s="4"/>
      <c r="D3658" s="4"/>
      <c r="E3658" s="4"/>
      <c r="F3658" s="4"/>
      <c r="G3658" s="4"/>
    </row>
    <row r="3659">
      <c r="A3659" s="4"/>
      <c r="B3659" s="4"/>
      <c r="C3659" s="4"/>
      <c r="D3659" s="13"/>
      <c r="E3659" s="13"/>
      <c r="F3659" s="4"/>
      <c r="G3659" s="4"/>
    </row>
    <row r="3660">
      <c r="A3660" s="4"/>
      <c r="B3660" s="4"/>
      <c r="C3660" s="4"/>
      <c r="D3660" s="13"/>
      <c r="E3660" s="13"/>
      <c r="F3660" s="4"/>
      <c r="G3660" s="4"/>
    </row>
    <row r="3661">
      <c r="A3661" s="4"/>
      <c r="B3661" s="4"/>
      <c r="C3661" s="4"/>
      <c r="D3661" s="4"/>
      <c r="E3661" s="13"/>
      <c r="F3661" s="4"/>
      <c r="G3661" s="4"/>
    </row>
    <row r="3662">
      <c r="A3662" s="4"/>
      <c r="B3662" s="4"/>
      <c r="C3662" s="4"/>
      <c r="D3662" s="4"/>
      <c r="E3662" s="4"/>
      <c r="F3662" s="4"/>
      <c r="G3662" s="4"/>
    </row>
    <row r="3663">
      <c r="A3663" s="4"/>
      <c r="B3663" s="4"/>
      <c r="C3663" s="4"/>
      <c r="D3663" s="4"/>
      <c r="E3663" s="4"/>
      <c r="F3663" s="4"/>
      <c r="G3663" s="4"/>
    </row>
    <row r="3664">
      <c r="A3664" s="4"/>
      <c r="B3664" s="4"/>
      <c r="C3664" s="4"/>
      <c r="D3664" s="4"/>
      <c r="E3664" s="13"/>
      <c r="F3664" s="4"/>
      <c r="G3664" s="4"/>
    </row>
    <row r="3665">
      <c r="A3665" s="4"/>
      <c r="B3665" s="4"/>
      <c r="C3665" s="4"/>
      <c r="D3665" s="4"/>
      <c r="E3665" s="4"/>
      <c r="F3665" s="4"/>
      <c r="G3665" s="4"/>
    </row>
    <row r="3666">
      <c r="A3666" s="4"/>
      <c r="B3666" s="4"/>
      <c r="C3666" s="4"/>
      <c r="D3666" s="13"/>
      <c r="E3666" s="13"/>
      <c r="F3666" s="4"/>
      <c r="G3666" s="4"/>
    </row>
    <row r="3667">
      <c r="A3667" s="4"/>
      <c r="B3667" s="4"/>
      <c r="C3667" s="4"/>
      <c r="D3667" s="4"/>
      <c r="E3667" s="13"/>
      <c r="F3667" s="4"/>
      <c r="G3667" s="4"/>
    </row>
    <row r="3668">
      <c r="A3668" s="4"/>
      <c r="B3668" s="4"/>
      <c r="C3668" s="4"/>
      <c r="D3668" s="4"/>
      <c r="E3668" s="4"/>
      <c r="F3668" s="4"/>
      <c r="G3668" s="4"/>
    </row>
    <row r="3669">
      <c r="A3669" s="4"/>
      <c r="B3669" s="4"/>
      <c r="C3669" s="4"/>
      <c r="D3669" s="4"/>
      <c r="E3669" s="4"/>
      <c r="F3669" s="4"/>
      <c r="G3669" s="4"/>
    </row>
    <row r="3670">
      <c r="A3670" s="4"/>
      <c r="B3670" s="4"/>
      <c r="C3670" s="4"/>
      <c r="D3670" s="4"/>
      <c r="E3670" s="4"/>
      <c r="F3670" s="4"/>
      <c r="G3670" s="4"/>
    </row>
    <row r="3671">
      <c r="A3671" s="4"/>
      <c r="B3671" s="4"/>
      <c r="C3671" s="4"/>
      <c r="D3671" s="4"/>
      <c r="E3671" s="4"/>
      <c r="F3671" s="4"/>
      <c r="G3671" s="4"/>
    </row>
    <row r="3672">
      <c r="A3672" s="4"/>
      <c r="B3672" s="4"/>
      <c r="C3672" s="4"/>
      <c r="D3672" s="13"/>
      <c r="E3672" s="13"/>
      <c r="F3672" s="4"/>
      <c r="G3672" s="4"/>
    </row>
    <row r="3673">
      <c r="A3673" s="4"/>
      <c r="B3673" s="4"/>
      <c r="C3673" s="4"/>
      <c r="D3673" s="13"/>
      <c r="E3673" s="13"/>
      <c r="F3673" s="4"/>
      <c r="G3673" s="4"/>
    </row>
    <row r="3674">
      <c r="A3674" s="4"/>
      <c r="B3674" s="4"/>
      <c r="C3674" s="4"/>
      <c r="D3674" s="13"/>
      <c r="E3674" s="13"/>
      <c r="F3674" s="4"/>
      <c r="G3674" s="4"/>
    </row>
    <row r="3675">
      <c r="A3675" s="4"/>
      <c r="B3675" s="4"/>
      <c r="C3675" s="4"/>
      <c r="D3675" s="4"/>
      <c r="E3675" s="4"/>
      <c r="F3675" s="4"/>
      <c r="G3675" s="4"/>
    </row>
    <row r="3676">
      <c r="A3676" s="4"/>
      <c r="B3676" s="4"/>
      <c r="C3676" s="4"/>
      <c r="D3676" s="4"/>
      <c r="E3676" s="13"/>
      <c r="F3676" s="4"/>
      <c r="G3676" s="4"/>
    </row>
    <row r="3677">
      <c r="A3677" s="4"/>
      <c r="B3677" s="4"/>
      <c r="C3677" s="4"/>
      <c r="D3677" s="4"/>
      <c r="E3677" s="13"/>
      <c r="F3677" s="4"/>
      <c r="G3677" s="4"/>
    </row>
    <row r="3678">
      <c r="A3678" s="4"/>
      <c r="B3678" s="4"/>
      <c r="C3678" s="4"/>
      <c r="D3678" s="4"/>
      <c r="E3678" s="4"/>
      <c r="F3678" s="4"/>
      <c r="G3678" s="4"/>
    </row>
    <row r="3679">
      <c r="A3679" s="4"/>
      <c r="B3679" s="4"/>
      <c r="C3679" s="4"/>
      <c r="D3679" s="13"/>
      <c r="E3679" s="13"/>
      <c r="F3679" s="4"/>
      <c r="G3679" s="4"/>
    </row>
    <row r="3680">
      <c r="A3680" s="4"/>
      <c r="B3680" s="4"/>
      <c r="C3680" s="4"/>
      <c r="D3680" s="13"/>
      <c r="E3680" s="13"/>
      <c r="F3680" s="4"/>
      <c r="G3680" s="4"/>
    </row>
    <row r="3681">
      <c r="A3681" s="4"/>
      <c r="B3681" s="4"/>
      <c r="C3681" s="4"/>
      <c r="D3681" s="4"/>
      <c r="E3681" s="4"/>
      <c r="F3681" s="4"/>
      <c r="G3681" s="4"/>
    </row>
    <row r="3682">
      <c r="A3682" s="4"/>
      <c r="B3682" s="4"/>
      <c r="C3682" s="4"/>
      <c r="D3682" s="4"/>
      <c r="E3682" s="4"/>
      <c r="F3682" s="4"/>
      <c r="G3682" s="4"/>
    </row>
    <row r="3683">
      <c r="A3683" s="4"/>
      <c r="B3683" s="4"/>
      <c r="C3683" s="4"/>
      <c r="D3683" s="4"/>
      <c r="E3683" s="4"/>
      <c r="F3683" s="4"/>
      <c r="G3683" s="4"/>
    </row>
    <row r="3684">
      <c r="A3684" s="4"/>
      <c r="B3684" s="4"/>
      <c r="C3684" s="4"/>
      <c r="D3684" s="4"/>
      <c r="E3684" s="4"/>
      <c r="F3684" s="4"/>
      <c r="G3684" s="4"/>
    </row>
    <row r="3685">
      <c r="A3685" s="4"/>
      <c r="B3685" s="4"/>
      <c r="C3685" s="4"/>
      <c r="D3685" s="4"/>
      <c r="E3685" s="13"/>
      <c r="F3685" s="4"/>
      <c r="G3685" s="4"/>
    </row>
    <row r="3686">
      <c r="A3686" s="4"/>
      <c r="B3686" s="4"/>
      <c r="C3686" s="4"/>
      <c r="D3686" s="4"/>
      <c r="E3686" s="4"/>
      <c r="F3686" s="4"/>
      <c r="G3686" s="4"/>
    </row>
    <row r="3687">
      <c r="A3687" s="4"/>
      <c r="B3687" s="4"/>
      <c r="C3687" s="4"/>
      <c r="D3687" s="4"/>
      <c r="E3687" s="4"/>
      <c r="F3687" s="4"/>
      <c r="G3687" s="4"/>
    </row>
    <row r="3688">
      <c r="A3688" s="4"/>
      <c r="B3688" s="4"/>
      <c r="C3688" s="4"/>
      <c r="D3688" s="4"/>
      <c r="E3688" s="4"/>
      <c r="F3688" s="4"/>
      <c r="G3688" s="4"/>
    </row>
    <row r="3689">
      <c r="A3689" s="4"/>
      <c r="B3689" s="4"/>
      <c r="C3689" s="4"/>
      <c r="D3689" s="13"/>
      <c r="E3689" s="13"/>
      <c r="F3689" s="4"/>
      <c r="G3689" s="4"/>
    </row>
    <row r="3690">
      <c r="A3690" s="4"/>
      <c r="B3690" s="4"/>
      <c r="C3690" s="4"/>
      <c r="D3690" s="4"/>
      <c r="E3690" s="4"/>
      <c r="F3690" s="4"/>
      <c r="G3690" s="4"/>
    </row>
    <row r="3691">
      <c r="A3691" s="4"/>
      <c r="B3691" s="4"/>
      <c r="C3691" s="4"/>
      <c r="D3691" s="4"/>
      <c r="E3691" s="4"/>
      <c r="F3691" s="4"/>
      <c r="G3691" s="4"/>
    </row>
    <row r="3692">
      <c r="A3692" s="4"/>
      <c r="B3692" s="4"/>
      <c r="C3692" s="4"/>
      <c r="D3692" s="4"/>
      <c r="E3692" s="4"/>
      <c r="F3692" s="4"/>
      <c r="G3692" s="4"/>
    </row>
    <row r="3693">
      <c r="A3693" s="4"/>
      <c r="B3693" s="4"/>
      <c r="C3693" s="4"/>
      <c r="D3693" s="4"/>
      <c r="E3693" s="13"/>
      <c r="F3693" s="4"/>
      <c r="G3693" s="4"/>
    </row>
    <row r="3694">
      <c r="A3694" s="4"/>
      <c r="B3694" s="4"/>
      <c r="C3694" s="4"/>
      <c r="D3694" s="4"/>
      <c r="E3694" s="4"/>
      <c r="F3694" s="4"/>
      <c r="G3694" s="4"/>
    </row>
    <row r="3695">
      <c r="A3695" s="4"/>
      <c r="B3695" s="4"/>
      <c r="C3695" s="4"/>
      <c r="D3695" s="4"/>
      <c r="E3695" s="13"/>
      <c r="F3695" s="4"/>
      <c r="G3695" s="4"/>
    </row>
    <row r="3696">
      <c r="A3696" s="4"/>
      <c r="B3696" s="4"/>
      <c r="C3696" s="4"/>
      <c r="D3696" s="4"/>
      <c r="E3696" s="4"/>
      <c r="F3696" s="4"/>
      <c r="G3696" s="4"/>
    </row>
    <row r="3697">
      <c r="A3697" s="4"/>
      <c r="B3697" s="4"/>
      <c r="C3697" s="4"/>
      <c r="D3697" s="4"/>
      <c r="E3697" s="4"/>
      <c r="F3697" s="4"/>
      <c r="G3697" s="4"/>
    </row>
    <row r="3698">
      <c r="A3698" s="4"/>
      <c r="B3698" s="4"/>
      <c r="C3698" s="4"/>
      <c r="D3698" s="4"/>
      <c r="E3698" s="4"/>
      <c r="F3698" s="4"/>
      <c r="G3698" s="4"/>
    </row>
    <row r="3699">
      <c r="A3699" s="4"/>
      <c r="B3699" s="4"/>
      <c r="C3699" s="4"/>
      <c r="D3699" s="4"/>
      <c r="E3699" s="4"/>
      <c r="F3699" s="4"/>
      <c r="G3699" s="4"/>
    </row>
    <row r="3700">
      <c r="A3700" s="4"/>
      <c r="B3700" s="4"/>
      <c r="C3700" s="4"/>
      <c r="D3700" s="4"/>
      <c r="E3700" s="13"/>
      <c r="F3700" s="4"/>
      <c r="G3700" s="4"/>
    </row>
    <row r="3701">
      <c r="A3701" s="4"/>
      <c r="B3701" s="4"/>
      <c r="C3701" s="4"/>
      <c r="D3701" s="4"/>
      <c r="E3701" s="4"/>
      <c r="F3701" s="4"/>
      <c r="G3701" s="4"/>
    </row>
    <row r="3702">
      <c r="A3702" s="4"/>
      <c r="B3702" s="4"/>
      <c r="C3702" s="4"/>
      <c r="D3702" s="4"/>
      <c r="E3702" s="13"/>
      <c r="F3702" s="4"/>
      <c r="G3702" s="4"/>
    </row>
    <row r="3703">
      <c r="A3703" s="4"/>
      <c r="B3703" s="4"/>
      <c r="C3703" s="4"/>
      <c r="D3703" s="4"/>
      <c r="E3703" s="4"/>
      <c r="F3703" s="4"/>
      <c r="G3703" s="4"/>
    </row>
    <row r="3704">
      <c r="A3704" s="4"/>
      <c r="B3704" s="4"/>
      <c r="C3704" s="4"/>
      <c r="D3704" s="4"/>
      <c r="E3704" s="4"/>
      <c r="F3704" s="4"/>
      <c r="G3704" s="4"/>
    </row>
    <row r="3705">
      <c r="A3705" s="4"/>
      <c r="B3705" s="4"/>
      <c r="C3705" s="4"/>
      <c r="D3705" s="4"/>
      <c r="E3705" s="4"/>
      <c r="F3705" s="4"/>
      <c r="G3705" s="4"/>
    </row>
    <row r="3706">
      <c r="A3706" s="4"/>
      <c r="B3706" s="4"/>
      <c r="C3706" s="4"/>
      <c r="D3706" s="4"/>
      <c r="E3706" s="4"/>
      <c r="F3706" s="4"/>
      <c r="G3706" s="4"/>
    </row>
    <row r="3707">
      <c r="A3707" s="4"/>
      <c r="B3707" s="4"/>
      <c r="C3707" s="4"/>
      <c r="D3707" s="4"/>
      <c r="E3707" s="13"/>
      <c r="F3707" s="4"/>
      <c r="G3707" s="4"/>
    </row>
    <row r="3708">
      <c r="A3708" s="4"/>
      <c r="B3708" s="4"/>
      <c r="C3708" s="4"/>
      <c r="D3708" s="4"/>
      <c r="E3708" s="4"/>
      <c r="F3708" s="4"/>
      <c r="G3708" s="4"/>
    </row>
    <row r="3709">
      <c r="A3709" s="4"/>
      <c r="B3709" s="4"/>
      <c r="C3709" s="4"/>
      <c r="D3709" s="13"/>
      <c r="E3709" s="13"/>
      <c r="F3709" s="4"/>
      <c r="G3709" s="4"/>
    </row>
    <row r="3710">
      <c r="A3710" s="4"/>
      <c r="B3710" s="4"/>
      <c r="C3710" s="4"/>
      <c r="D3710" s="4"/>
      <c r="E3710" s="4"/>
      <c r="F3710" s="4"/>
      <c r="G3710" s="4"/>
    </row>
    <row r="3711">
      <c r="A3711" s="4"/>
      <c r="B3711" s="4"/>
      <c r="C3711" s="4"/>
      <c r="D3711" s="4"/>
      <c r="E3711" s="13"/>
      <c r="F3711" s="4"/>
      <c r="G3711" s="4"/>
    </row>
    <row r="3712">
      <c r="A3712" s="4"/>
      <c r="B3712" s="4"/>
      <c r="C3712" s="4"/>
      <c r="D3712" s="4"/>
      <c r="E3712" s="4"/>
      <c r="F3712" s="4"/>
      <c r="G3712" s="4"/>
    </row>
    <row r="3713">
      <c r="A3713" s="4"/>
      <c r="B3713" s="4"/>
      <c r="C3713" s="4"/>
      <c r="D3713" s="4"/>
      <c r="E3713" s="4"/>
      <c r="F3713" s="4"/>
      <c r="G3713" s="4"/>
    </row>
    <row r="3714">
      <c r="A3714" s="4"/>
      <c r="B3714" s="4"/>
      <c r="C3714" s="4"/>
      <c r="D3714" s="13"/>
      <c r="E3714" s="13"/>
      <c r="F3714" s="4"/>
      <c r="G3714" s="4"/>
    </row>
    <row r="3715">
      <c r="A3715" s="4"/>
      <c r="B3715" s="4"/>
      <c r="C3715" s="4"/>
      <c r="D3715" s="13"/>
      <c r="E3715" s="13"/>
      <c r="F3715" s="4"/>
      <c r="G3715" s="4"/>
    </row>
    <row r="3716">
      <c r="A3716" s="4"/>
      <c r="B3716" s="4"/>
      <c r="C3716" s="4"/>
      <c r="D3716" s="13"/>
      <c r="E3716" s="13"/>
      <c r="F3716" s="4"/>
      <c r="G3716" s="4"/>
    </row>
    <row r="3717">
      <c r="A3717" s="4"/>
      <c r="B3717" s="4"/>
      <c r="C3717" s="4"/>
      <c r="D3717" s="4"/>
      <c r="E3717" s="4"/>
      <c r="F3717" s="4"/>
      <c r="G3717" s="4"/>
    </row>
    <row r="3718">
      <c r="A3718" s="4"/>
      <c r="B3718" s="4"/>
      <c r="C3718" s="4"/>
      <c r="D3718" s="4"/>
      <c r="E3718" s="4"/>
      <c r="F3718" s="4"/>
      <c r="G3718" s="4"/>
    </row>
    <row r="3719">
      <c r="A3719" s="4"/>
      <c r="B3719" s="4"/>
      <c r="C3719" s="4"/>
      <c r="D3719" s="13"/>
      <c r="E3719" s="13"/>
      <c r="F3719" s="4"/>
      <c r="G3719" s="4"/>
    </row>
    <row r="3720">
      <c r="A3720" s="4"/>
      <c r="B3720" s="4"/>
      <c r="C3720" s="4"/>
      <c r="D3720" s="4"/>
      <c r="E3720" s="4"/>
      <c r="F3720" s="4"/>
      <c r="G3720" s="4"/>
    </row>
    <row r="3721">
      <c r="A3721" s="4"/>
      <c r="B3721" s="4"/>
      <c r="C3721" s="4"/>
      <c r="D3721" s="4"/>
      <c r="E3721" s="13"/>
      <c r="F3721" s="4"/>
      <c r="G3721" s="4"/>
    </row>
    <row r="3722">
      <c r="A3722" s="4"/>
      <c r="B3722" s="4"/>
      <c r="C3722" s="4"/>
      <c r="D3722" s="4"/>
      <c r="E3722" s="4"/>
      <c r="F3722" s="4"/>
      <c r="G3722" s="4"/>
    </row>
    <row r="3723">
      <c r="A3723" s="4"/>
      <c r="B3723" s="4"/>
      <c r="C3723" s="4"/>
      <c r="D3723" s="4"/>
      <c r="E3723" s="4"/>
      <c r="F3723" s="4"/>
      <c r="G3723" s="4"/>
    </row>
    <row r="3724">
      <c r="A3724" s="4"/>
      <c r="B3724" s="4"/>
      <c r="C3724" s="4"/>
      <c r="D3724" s="4"/>
      <c r="E3724" s="13"/>
      <c r="F3724" s="4"/>
      <c r="G3724" s="4"/>
    </row>
    <row r="3725">
      <c r="A3725" s="4"/>
      <c r="B3725" s="4"/>
      <c r="C3725" s="4"/>
      <c r="D3725" s="4"/>
      <c r="E3725" s="4"/>
      <c r="F3725" s="4"/>
      <c r="G3725" s="4"/>
    </row>
    <row r="3726">
      <c r="A3726" s="4"/>
      <c r="B3726" s="4"/>
      <c r="C3726" s="4"/>
      <c r="D3726" s="13"/>
      <c r="E3726" s="4"/>
      <c r="F3726" s="4"/>
      <c r="G3726" s="4"/>
    </row>
    <row r="3727">
      <c r="A3727" s="4"/>
      <c r="B3727" s="4"/>
      <c r="C3727" s="4"/>
      <c r="D3727" s="4"/>
      <c r="E3727" s="4"/>
      <c r="F3727" s="4"/>
      <c r="G3727" s="4"/>
    </row>
    <row r="3728">
      <c r="A3728" s="4"/>
      <c r="B3728" s="4"/>
      <c r="C3728" s="4"/>
      <c r="D3728" s="4"/>
      <c r="E3728" s="4"/>
      <c r="F3728" s="4"/>
      <c r="G3728" s="4"/>
    </row>
    <row r="3729">
      <c r="A3729" s="4"/>
      <c r="B3729" s="4"/>
      <c r="C3729" s="4"/>
      <c r="D3729" s="4"/>
      <c r="E3729" s="13"/>
      <c r="F3729" s="4"/>
      <c r="G3729" s="4"/>
    </row>
    <row r="3730">
      <c r="A3730" s="4"/>
      <c r="B3730" s="4"/>
      <c r="C3730" s="4"/>
      <c r="D3730" s="4"/>
      <c r="E3730" s="4"/>
      <c r="F3730" s="4"/>
      <c r="G3730" s="4"/>
    </row>
    <row r="3731">
      <c r="A3731" s="4"/>
      <c r="B3731" s="4"/>
      <c r="C3731" s="4"/>
      <c r="D3731" s="13"/>
      <c r="E3731" s="13"/>
      <c r="F3731" s="4"/>
      <c r="G3731" s="4"/>
    </row>
    <row r="3732">
      <c r="A3732" s="4"/>
      <c r="B3732" s="4"/>
      <c r="C3732" s="4"/>
      <c r="D3732" s="4"/>
      <c r="E3732" s="4"/>
      <c r="F3732" s="4"/>
      <c r="G3732" s="4"/>
    </row>
    <row r="3733">
      <c r="A3733" s="4"/>
      <c r="B3733" s="4"/>
      <c r="C3733" s="4"/>
      <c r="D3733" s="4"/>
      <c r="E3733" s="13"/>
      <c r="F3733" s="4"/>
      <c r="G3733" s="4"/>
    </row>
    <row r="3734">
      <c r="A3734" s="4"/>
      <c r="B3734" s="4"/>
      <c r="C3734" s="4"/>
      <c r="D3734" s="4"/>
      <c r="E3734" s="4"/>
      <c r="F3734" s="4"/>
      <c r="G3734" s="4"/>
    </row>
    <row r="3735">
      <c r="A3735" s="4"/>
      <c r="B3735" s="4"/>
      <c r="C3735" s="4"/>
      <c r="D3735" s="4"/>
      <c r="E3735" s="4"/>
      <c r="F3735" s="4"/>
      <c r="G3735" s="4"/>
    </row>
    <row r="3736">
      <c r="A3736" s="4"/>
      <c r="B3736" s="4"/>
      <c r="C3736" s="4"/>
      <c r="D3736" s="4"/>
      <c r="E3736" s="13"/>
      <c r="F3736" s="4"/>
      <c r="G3736" s="4"/>
    </row>
    <row r="3737">
      <c r="A3737" s="4"/>
      <c r="B3737" s="4"/>
      <c r="C3737" s="4"/>
      <c r="D3737" s="4"/>
      <c r="E3737" s="4"/>
      <c r="F3737" s="4"/>
      <c r="G3737" s="4"/>
    </row>
    <row r="3738">
      <c r="A3738" s="4"/>
      <c r="B3738" s="4"/>
      <c r="C3738" s="4"/>
      <c r="D3738" s="4"/>
      <c r="E3738" s="4"/>
      <c r="F3738" s="4"/>
      <c r="G3738" s="4"/>
    </row>
    <row r="3739">
      <c r="A3739" s="4"/>
      <c r="B3739" s="4"/>
      <c r="C3739" s="4"/>
      <c r="D3739" s="4"/>
      <c r="E3739" s="4"/>
      <c r="F3739" s="4"/>
      <c r="G3739" s="4"/>
    </row>
    <row r="3740">
      <c r="A3740" s="4"/>
      <c r="B3740" s="4"/>
      <c r="C3740" s="4"/>
      <c r="D3740" s="4"/>
      <c r="E3740" s="4"/>
      <c r="F3740" s="4"/>
      <c r="G3740" s="4"/>
    </row>
    <row r="3741">
      <c r="A3741" s="4"/>
      <c r="B3741" s="4"/>
      <c r="C3741" s="4"/>
      <c r="D3741" s="4"/>
      <c r="E3741" s="4"/>
      <c r="F3741" s="4"/>
      <c r="G3741" s="4"/>
    </row>
    <row r="3742">
      <c r="A3742" s="4"/>
      <c r="B3742" s="4"/>
      <c r="C3742" s="4"/>
      <c r="D3742" s="4"/>
      <c r="E3742" s="13"/>
      <c r="F3742" s="4"/>
      <c r="G3742" s="4"/>
    </row>
    <row r="3743">
      <c r="A3743" s="4"/>
      <c r="B3743" s="4"/>
      <c r="C3743" s="4"/>
      <c r="D3743" s="4"/>
      <c r="E3743" s="4"/>
      <c r="F3743" s="4"/>
      <c r="G3743" s="4"/>
    </row>
    <row r="3744">
      <c r="A3744" s="4"/>
      <c r="B3744" s="4"/>
      <c r="C3744" s="4"/>
      <c r="D3744" s="4"/>
      <c r="E3744" s="13"/>
      <c r="F3744" s="4"/>
      <c r="G3744" s="4"/>
    </row>
    <row r="3745">
      <c r="A3745" s="4"/>
      <c r="B3745" s="4"/>
      <c r="C3745" s="4"/>
      <c r="D3745" s="4"/>
      <c r="E3745" s="4"/>
      <c r="F3745" s="4"/>
      <c r="G3745" s="4"/>
    </row>
    <row r="3746">
      <c r="A3746" s="4"/>
      <c r="B3746" s="4"/>
      <c r="C3746" s="4"/>
      <c r="D3746" s="4"/>
      <c r="E3746" s="4"/>
      <c r="F3746" s="4"/>
      <c r="G3746" s="4"/>
    </row>
    <row r="3747">
      <c r="A3747" s="4"/>
      <c r="B3747" s="4"/>
      <c r="C3747" s="4"/>
      <c r="D3747" s="4"/>
      <c r="E3747" s="4"/>
      <c r="F3747" s="4"/>
      <c r="G3747" s="4"/>
    </row>
    <row r="3748">
      <c r="A3748" s="4"/>
      <c r="B3748" s="4"/>
      <c r="C3748" s="4"/>
      <c r="D3748" s="13"/>
      <c r="E3748" s="13"/>
      <c r="F3748" s="4"/>
      <c r="G3748" s="4"/>
    </row>
    <row r="3749">
      <c r="A3749" s="4"/>
      <c r="B3749" s="4"/>
      <c r="C3749" s="4"/>
      <c r="D3749" s="13"/>
      <c r="E3749" s="13"/>
      <c r="F3749" s="4"/>
      <c r="G3749" s="4"/>
    </row>
    <row r="3750">
      <c r="A3750" s="4"/>
      <c r="B3750" s="4"/>
      <c r="C3750" s="4"/>
      <c r="D3750" s="4"/>
      <c r="E3750" s="4"/>
      <c r="F3750" s="4"/>
      <c r="G3750" s="4"/>
    </row>
    <row r="3751">
      <c r="A3751" s="4"/>
      <c r="B3751" s="4"/>
      <c r="C3751" s="4"/>
      <c r="D3751" s="13"/>
      <c r="E3751" s="13"/>
      <c r="F3751" s="4"/>
      <c r="G3751" s="4"/>
    </row>
    <row r="3752">
      <c r="A3752" s="4"/>
      <c r="B3752" s="4"/>
      <c r="C3752" s="4"/>
      <c r="D3752" s="13"/>
      <c r="E3752" s="13"/>
      <c r="F3752" s="4"/>
      <c r="G3752" s="4"/>
    </row>
    <row r="3753">
      <c r="A3753" s="4"/>
      <c r="B3753" s="4"/>
      <c r="C3753" s="4"/>
      <c r="D3753" s="13"/>
      <c r="E3753" s="13"/>
      <c r="F3753" s="4"/>
      <c r="G3753" s="4"/>
    </row>
    <row r="3754">
      <c r="A3754" s="4"/>
      <c r="B3754" s="4"/>
      <c r="C3754" s="4"/>
      <c r="D3754" s="4"/>
      <c r="E3754" s="4"/>
      <c r="F3754" s="4"/>
      <c r="G3754" s="4"/>
    </row>
    <row r="3755">
      <c r="A3755" s="4"/>
      <c r="B3755" s="4"/>
      <c r="C3755" s="4"/>
      <c r="D3755" s="13"/>
      <c r="E3755" s="13"/>
      <c r="F3755" s="4"/>
      <c r="G3755" s="4"/>
    </row>
    <row r="3756">
      <c r="A3756" s="4"/>
      <c r="B3756" s="4"/>
      <c r="C3756" s="4"/>
      <c r="D3756" s="4"/>
      <c r="E3756" s="4"/>
      <c r="F3756" s="4"/>
      <c r="G3756" s="4"/>
    </row>
    <row r="3757">
      <c r="A3757" s="4"/>
      <c r="B3757" s="4"/>
      <c r="C3757" s="4"/>
      <c r="D3757" s="4"/>
      <c r="E3757" s="13"/>
      <c r="F3757" s="4"/>
      <c r="G3757" s="4"/>
    </row>
    <row r="3758">
      <c r="A3758" s="4"/>
      <c r="B3758" s="4"/>
      <c r="C3758" s="4"/>
      <c r="D3758" s="4"/>
      <c r="E3758" s="4"/>
      <c r="F3758" s="4"/>
      <c r="G3758" s="4"/>
    </row>
    <row r="3759">
      <c r="A3759" s="4"/>
      <c r="B3759" s="4"/>
      <c r="C3759" s="4"/>
      <c r="D3759" s="4"/>
      <c r="E3759" s="4"/>
      <c r="F3759" s="4"/>
      <c r="G3759" s="4"/>
    </row>
    <row r="3760">
      <c r="A3760" s="4"/>
      <c r="B3760" s="4"/>
      <c r="C3760" s="4"/>
      <c r="D3760" s="4"/>
      <c r="E3760" s="13"/>
      <c r="F3760" s="4"/>
      <c r="G3760" s="4"/>
    </row>
    <row r="3761">
      <c r="A3761" s="4"/>
      <c r="B3761" s="4"/>
      <c r="C3761" s="4"/>
      <c r="D3761" s="4"/>
      <c r="E3761" s="13"/>
      <c r="F3761" s="4"/>
      <c r="G3761" s="4"/>
    </row>
    <row r="3762">
      <c r="A3762" s="4"/>
      <c r="B3762" s="4"/>
      <c r="C3762" s="4"/>
      <c r="D3762" s="4"/>
      <c r="E3762" s="4"/>
      <c r="F3762" s="4"/>
      <c r="G3762" s="4"/>
    </row>
    <row r="3763">
      <c r="A3763" s="4"/>
      <c r="B3763" s="4"/>
      <c r="C3763" s="4"/>
      <c r="D3763" s="4"/>
      <c r="E3763" s="4"/>
      <c r="F3763" s="4"/>
      <c r="G3763" s="4"/>
    </row>
    <row r="3764">
      <c r="A3764" s="4"/>
      <c r="B3764" s="4"/>
      <c r="C3764" s="4"/>
      <c r="D3764" s="4"/>
      <c r="E3764" s="4"/>
      <c r="F3764" s="4"/>
      <c r="G3764" s="4"/>
    </row>
    <row r="3765">
      <c r="A3765" s="4"/>
      <c r="B3765" s="4"/>
      <c r="C3765" s="4"/>
      <c r="D3765" s="4"/>
      <c r="E3765" s="4"/>
      <c r="F3765" s="4"/>
      <c r="G3765" s="4"/>
    </row>
    <row r="3766">
      <c r="A3766" s="4"/>
      <c r="B3766" s="4"/>
      <c r="C3766" s="4"/>
      <c r="D3766" s="4"/>
      <c r="E3766" s="4"/>
      <c r="F3766" s="4"/>
      <c r="G3766" s="4"/>
    </row>
    <row r="3767">
      <c r="A3767" s="4"/>
      <c r="B3767" s="4"/>
      <c r="C3767" s="4"/>
      <c r="D3767" s="4"/>
      <c r="E3767" s="4"/>
      <c r="F3767" s="4"/>
      <c r="G3767" s="4"/>
    </row>
    <row r="3768">
      <c r="A3768" s="4"/>
      <c r="B3768" s="4"/>
      <c r="C3768" s="4"/>
      <c r="D3768" s="4"/>
      <c r="E3768" s="13"/>
      <c r="F3768" s="4"/>
      <c r="G3768" s="4"/>
    </row>
    <row r="3769">
      <c r="A3769" s="4"/>
      <c r="B3769" s="4"/>
      <c r="C3769" s="4"/>
      <c r="D3769" s="4"/>
      <c r="E3769" s="4"/>
      <c r="F3769" s="4"/>
      <c r="G3769" s="4"/>
    </row>
    <row r="3770">
      <c r="A3770" s="4"/>
      <c r="B3770" s="4"/>
      <c r="C3770" s="4"/>
      <c r="D3770" s="4"/>
      <c r="E3770" s="4"/>
      <c r="F3770" s="4"/>
      <c r="G3770" s="4"/>
    </row>
    <row r="3771">
      <c r="A3771" s="4"/>
      <c r="B3771" s="4"/>
      <c r="C3771" s="4"/>
      <c r="D3771" s="4"/>
      <c r="E3771" s="4"/>
      <c r="F3771" s="4"/>
      <c r="G3771" s="4"/>
    </row>
    <row r="3772">
      <c r="A3772" s="4"/>
      <c r="B3772" s="4"/>
      <c r="C3772" s="4"/>
      <c r="D3772" s="4"/>
      <c r="E3772" s="4"/>
      <c r="F3772" s="4"/>
      <c r="G3772" s="4"/>
    </row>
    <row r="3773">
      <c r="A3773" s="4"/>
      <c r="B3773" s="4"/>
      <c r="C3773" s="4"/>
      <c r="D3773" s="4"/>
      <c r="E3773" s="4"/>
      <c r="F3773" s="4"/>
      <c r="G3773" s="4"/>
    </row>
    <row r="3774">
      <c r="A3774" s="4"/>
      <c r="B3774" s="4"/>
      <c r="C3774" s="4"/>
      <c r="D3774" s="4"/>
      <c r="E3774" s="4"/>
      <c r="F3774" s="4"/>
      <c r="G3774" s="4"/>
    </row>
    <row r="3775">
      <c r="A3775" s="4"/>
      <c r="B3775" s="4"/>
      <c r="C3775" s="4"/>
      <c r="D3775" s="4"/>
      <c r="E3775" s="13"/>
      <c r="F3775" s="4"/>
      <c r="G3775" s="4"/>
    </row>
    <row r="3776">
      <c r="A3776" s="4"/>
      <c r="B3776" s="4"/>
      <c r="C3776" s="4"/>
      <c r="D3776" s="4"/>
      <c r="E3776" s="4"/>
      <c r="F3776" s="4"/>
      <c r="G3776" s="4"/>
    </row>
    <row r="3777">
      <c r="A3777" s="4"/>
      <c r="B3777" s="4"/>
      <c r="C3777" s="4"/>
      <c r="D3777" s="13"/>
      <c r="E3777" s="13"/>
      <c r="F3777" s="4"/>
      <c r="G3777" s="4"/>
    </row>
    <row r="3778">
      <c r="A3778" s="4"/>
      <c r="B3778" s="4"/>
      <c r="C3778" s="4"/>
      <c r="D3778" s="4"/>
      <c r="E3778" s="4"/>
      <c r="F3778" s="4"/>
      <c r="G3778" s="4"/>
    </row>
    <row r="3779">
      <c r="A3779" s="4"/>
      <c r="B3779" s="4"/>
      <c r="C3779" s="4"/>
      <c r="D3779" s="13"/>
      <c r="E3779" s="13"/>
      <c r="F3779" s="4"/>
      <c r="G3779" s="4"/>
    </row>
    <row r="3780">
      <c r="A3780" s="4"/>
      <c r="B3780" s="4"/>
      <c r="C3780" s="4"/>
      <c r="D3780" s="13"/>
      <c r="E3780" s="13"/>
      <c r="F3780" s="4"/>
      <c r="G3780" s="4"/>
    </row>
    <row r="3781">
      <c r="A3781" s="4"/>
      <c r="B3781" s="4"/>
      <c r="C3781" s="4"/>
      <c r="D3781" s="13"/>
      <c r="E3781" s="13"/>
      <c r="F3781" s="4"/>
      <c r="G3781" s="4"/>
    </row>
    <row r="3782">
      <c r="A3782" s="4"/>
      <c r="B3782" s="4"/>
      <c r="C3782" s="4"/>
      <c r="D3782" s="4"/>
      <c r="E3782" s="4"/>
      <c r="F3782" s="4"/>
      <c r="G3782" s="4"/>
    </row>
    <row r="3783">
      <c r="A3783" s="4"/>
      <c r="B3783" s="4"/>
      <c r="C3783" s="4"/>
      <c r="D3783" s="13"/>
      <c r="E3783" s="13"/>
      <c r="F3783" s="4"/>
      <c r="G3783" s="4"/>
    </row>
    <row r="3784">
      <c r="A3784" s="4"/>
      <c r="B3784" s="4"/>
      <c r="C3784" s="4"/>
      <c r="D3784" s="13"/>
      <c r="E3784" s="13"/>
      <c r="F3784" s="4"/>
      <c r="G3784" s="4"/>
    </row>
    <row r="3785">
      <c r="A3785" s="4"/>
      <c r="B3785" s="4"/>
      <c r="C3785" s="4"/>
      <c r="D3785" s="13"/>
      <c r="E3785" s="13"/>
      <c r="F3785" s="4"/>
      <c r="G3785" s="4"/>
    </row>
    <row r="3786">
      <c r="A3786" s="4"/>
      <c r="B3786" s="4"/>
      <c r="C3786" s="4"/>
      <c r="D3786" s="4"/>
      <c r="E3786" s="4"/>
      <c r="F3786" s="4"/>
      <c r="G3786" s="4"/>
    </row>
    <row r="3787">
      <c r="A3787" s="4"/>
      <c r="B3787" s="4"/>
      <c r="C3787" s="4"/>
      <c r="D3787" s="13"/>
      <c r="E3787" s="13"/>
      <c r="F3787" s="4"/>
      <c r="G3787" s="4"/>
    </row>
    <row r="3788">
      <c r="A3788" s="4"/>
      <c r="B3788" s="4"/>
      <c r="C3788" s="4"/>
      <c r="D3788" s="13"/>
      <c r="E3788" s="13"/>
      <c r="F3788" s="4"/>
      <c r="G3788" s="4"/>
    </row>
    <row r="3789">
      <c r="A3789" s="4"/>
      <c r="B3789" s="4"/>
      <c r="C3789" s="4"/>
      <c r="D3789" s="13"/>
      <c r="E3789" s="13"/>
      <c r="F3789" s="4"/>
      <c r="G3789" s="4"/>
    </row>
    <row r="3790">
      <c r="A3790" s="4"/>
      <c r="B3790" s="4"/>
      <c r="C3790" s="4"/>
      <c r="D3790" s="13"/>
      <c r="E3790" s="13"/>
      <c r="F3790" s="4"/>
      <c r="G3790" s="4"/>
    </row>
    <row r="3791">
      <c r="A3791" s="4"/>
      <c r="B3791" s="4"/>
      <c r="C3791" s="4"/>
      <c r="D3791" s="4"/>
      <c r="E3791" s="4"/>
      <c r="F3791" s="4"/>
      <c r="G3791" s="4"/>
    </row>
    <row r="3792">
      <c r="A3792" s="4"/>
      <c r="B3792" s="4"/>
      <c r="C3792" s="4"/>
      <c r="D3792" s="4"/>
      <c r="E3792" s="4"/>
      <c r="F3792" s="4"/>
      <c r="G3792" s="4"/>
    </row>
    <row r="3793">
      <c r="A3793" s="4"/>
      <c r="B3793" s="4"/>
      <c r="C3793" s="4"/>
      <c r="D3793" s="13"/>
      <c r="E3793" s="13"/>
      <c r="F3793" s="4"/>
      <c r="G3793" s="4"/>
    </row>
    <row r="3794">
      <c r="A3794" s="4"/>
      <c r="B3794" s="4"/>
      <c r="C3794" s="4"/>
      <c r="D3794" s="4"/>
      <c r="E3794" s="4"/>
      <c r="F3794" s="4"/>
      <c r="G3794" s="4"/>
    </row>
    <row r="3795">
      <c r="A3795" s="4"/>
      <c r="B3795" s="4"/>
      <c r="C3795" s="4"/>
      <c r="D3795" s="4"/>
      <c r="E3795" s="4"/>
      <c r="F3795" s="4"/>
      <c r="G3795" s="4"/>
    </row>
    <row r="3796">
      <c r="A3796" s="4"/>
      <c r="B3796" s="4"/>
      <c r="C3796" s="4"/>
      <c r="D3796" s="4"/>
      <c r="E3796" s="4"/>
      <c r="F3796" s="4"/>
      <c r="G3796" s="4"/>
    </row>
    <row r="3797">
      <c r="A3797" s="4"/>
      <c r="B3797" s="4"/>
      <c r="C3797" s="4"/>
      <c r="D3797" s="4"/>
      <c r="E3797" s="4"/>
      <c r="F3797" s="4"/>
      <c r="G3797" s="4"/>
    </row>
    <row r="3798">
      <c r="A3798" s="4"/>
      <c r="B3798" s="4"/>
      <c r="C3798" s="4"/>
      <c r="D3798" s="4"/>
      <c r="E3798" s="13"/>
      <c r="F3798" s="4"/>
      <c r="G3798" s="4"/>
    </row>
    <row r="3799">
      <c r="A3799" s="4"/>
      <c r="B3799" s="4"/>
      <c r="C3799" s="4"/>
      <c r="D3799" s="4"/>
      <c r="E3799" s="13"/>
      <c r="F3799" s="4"/>
      <c r="G3799" s="4"/>
    </row>
    <row r="3800">
      <c r="A3800" s="4"/>
      <c r="B3800" s="4"/>
      <c r="C3800" s="4"/>
      <c r="D3800" s="4"/>
      <c r="E3800" s="4"/>
      <c r="F3800" s="4"/>
      <c r="G3800" s="4"/>
    </row>
    <row r="3801">
      <c r="A3801" s="4"/>
      <c r="B3801" s="4"/>
      <c r="C3801" s="4"/>
      <c r="D3801" s="4"/>
      <c r="E3801" s="4"/>
      <c r="F3801" s="4"/>
      <c r="G3801" s="4"/>
    </row>
    <row r="3802">
      <c r="A3802" s="4"/>
      <c r="B3802" s="4"/>
      <c r="C3802" s="4"/>
      <c r="D3802" s="4"/>
      <c r="E3802" s="4"/>
      <c r="F3802" s="4"/>
      <c r="G3802" s="4"/>
    </row>
    <row r="3803">
      <c r="A3803" s="4"/>
      <c r="B3803" s="4"/>
      <c r="C3803" s="4"/>
      <c r="D3803" s="4"/>
      <c r="E3803" s="4"/>
      <c r="F3803" s="4"/>
      <c r="G3803" s="4"/>
    </row>
    <row r="3804">
      <c r="A3804" s="4"/>
      <c r="B3804" s="4"/>
      <c r="C3804" s="4"/>
      <c r="D3804" s="4"/>
      <c r="E3804" s="4"/>
      <c r="F3804" s="4"/>
      <c r="G3804" s="4"/>
    </row>
    <row r="3805">
      <c r="A3805" s="4"/>
      <c r="B3805" s="4"/>
      <c r="C3805" s="4"/>
      <c r="D3805" s="4"/>
      <c r="E3805" s="13"/>
      <c r="F3805" s="4"/>
      <c r="G3805" s="4"/>
    </row>
    <row r="3806">
      <c r="A3806" s="4"/>
      <c r="B3806" s="4"/>
      <c r="C3806" s="4"/>
      <c r="D3806" s="4"/>
      <c r="E3806" s="4"/>
      <c r="F3806" s="4"/>
      <c r="G3806" s="4"/>
    </row>
    <row r="3807">
      <c r="A3807" s="4"/>
      <c r="B3807" s="4"/>
      <c r="C3807" s="4"/>
      <c r="D3807" s="4"/>
      <c r="E3807" s="4"/>
      <c r="F3807" s="4"/>
      <c r="G3807" s="4"/>
    </row>
    <row r="3808">
      <c r="A3808" s="4"/>
      <c r="B3808" s="4"/>
      <c r="C3808" s="4"/>
      <c r="D3808" s="4"/>
      <c r="E3808" s="4"/>
      <c r="F3808" s="4"/>
      <c r="G3808" s="4"/>
    </row>
    <row r="3809">
      <c r="A3809" s="4"/>
      <c r="B3809" s="4"/>
      <c r="C3809" s="4"/>
      <c r="D3809" s="4"/>
      <c r="E3809" s="13"/>
      <c r="F3809" s="4"/>
      <c r="G3809" s="4"/>
    </row>
    <row r="3810">
      <c r="A3810" s="4"/>
      <c r="B3810" s="4"/>
      <c r="C3810" s="4"/>
      <c r="D3810" s="4"/>
      <c r="E3810" s="4"/>
      <c r="F3810" s="4"/>
      <c r="G3810" s="4"/>
    </row>
    <row r="3811">
      <c r="A3811" s="4"/>
      <c r="B3811" s="4"/>
      <c r="C3811" s="4"/>
      <c r="D3811" s="4"/>
      <c r="E3811" s="4"/>
      <c r="F3811" s="4"/>
      <c r="G3811" s="4"/>
    </row>
    <row r="3812">
      <c r="A3812" s="4"/>
      <c r="B3812" s="4"/>
      <c r="C3812" s="4"/>
      <c r="D3812" s="4"/>
      <c r="E3812" s="4"/>
      <c r="F3812" s="4"/>
      <c r="G3812" s="4"/>
    </row>
    <row r="3813">
      <c r="A3813" s="4"/>
      <c r="B3813" s="4"/>
      <c r="C3813" s="4"/>
      <c r="D3813" s="4"/>
      <c r="E3813" s="4"/>
      <c r="F3813" s="4"/>
      <c r="G3813" s="4"/>
    </row>
    <row r="3814">
      <c r="A3814" s="4"/>
      <c r="B3814" s="4"/>
      <c r="C3814" s="4"/>
      <c r="D3814" s="4"/>
      <c r="E3814" s="4"/>
      <c r="F3814" s="4"/>
      <c r="G3814" s="4"/>
    </row>
    <row r="3815">
      <c r="A3815" s="4"/>
      <c r="B3815" s="4"/>
      <c r="C3815" s="4"/>
      <c r="D3815" s="4"/>
      <c r="E3815" s="13"/>
      <c r="F3815" s="4"/>
      <c r="G3815" s="4"/>
    </row>
    <row r="3816">
      <c r="A3816" s="4"/>
      <c r="B3816" s="4"/>
      <c r="C3816" s="4"/>
      <c r="D3816" s="4"/>
      <c r="E3816" s="4"/>
      <c r="F3816" s="4"/>
      <c r="G3816" s="4"/>
    </row>
    <row r="3817">
      <c r="A3817" s="4"/>
      <c r="B3817" s="4"/>
      <c r="C3817" s="4"/>
      <c r="D3817" s="4"/>
      <c r="E3817" s="4"/>
      <c r="F3817" s="4"/>
      <c r="G3817" s="4"/>
    </row>
    <row r="3818">
      <c r="A3818" s="4"/>
      <c r="B3818" s="4"/>
      <c r="C3818" s="4"/>
      <c r="D3818" s="4"/>
      <c r="E3818" s="4"/>
      <c r="F3818" s="4"/>
      <c r="G3818" s="4"/>
    </row>
    <row r="3819">
      <c r="A3819" s="4"/>
      <c r="B3819" s="4"/>
      <c r="C3819" s="4"/>
      <c r="D3819" s="13"/>
      <c r="E3819" s="13"/>
      <c r="F3819" s="4"/>
      <c r="G3819" s="4"/>
    </row>
    <row r="3820">
      <c r="A3820" s="4"/>
      <c r="B3820" s="4"/>
      <c r="C3820" s="4"/>
      <c r="D3820" s="4"/>
      <c r="E3820" s="4"/>
      <c r="F3820" s="4"/>
      <c r="G3820" s="4"/>
    </row>
    <row r="3821">
      <c r="A3821" s="4"/>
      <c r="B3821" s="4"/>
      <c r="C3821" s="4"/>
      <c r="D3821" s="4"/>
      <c r="E3821" s="4"/>
      <c r="F3821" s="4"/>
      <c r="G3821" s="4"/>
    </row>
    <row r="3822">
      <c r="A3822" s="4"/>
      <c r="B3822" s="4"/>
      <c r="C3822" s="4"/>
      <c r="D3822" s="4"/>
      <c r="E3822" s="13"/>
      <c r="F3822" s="4"/>
      <c r="G3822" s="4"/>
    </row>
    <row r="3823">
      <c r="A3823" s="4"/>
      <c r="B3823" s="4"/>
      <c r="C3823" s="4"/>
      <c r="D3823" s="4"/>
      <c r="E3823" s="4"/>
      <c r="F3823" s="4"/>
      <c r="G3823" s="4"/>
    </row>
    <row r="3824">
      <c r="A3824" s="4"/>
      <c r="B3824" s="4"/>
      <c r="C3824" s="4"/>
      <c r="D3824" s="4"/>
      <c r="E3824" s="13"/>
      <c r="F3824" s="4"/>
      <c r="G3824" s="4"/>
    </row>
    <row r="3825">
      <c r="A3825" s="4"/>
      <c r="B3825" s="4"/>
      <c r="C3825" s="4"/>
      <c r="D3825" s="4"/>
      <c r="E3825" s="4"/>
      <c r="F3825" s="4"/>
      <c r="G3825" s="4"/>
    </row>
    <row r="3826">
      <c r="A3826" s="4"/>
      <c r="B3826" s="4"/>
      <c r="C3826" s="4"/>
      <c r="D3826" s="4"/>
      <c r="E3826" s="13"/>
      <c r="F3826" s="4"/>
      <c r="G3826" s="4"/>
    </row>
    <row r="3827">
      <c r="A3827" s="4"/>
      <c r="B3827" s="4"/>
      <c r="C3827" s="4"/>
      <c r="D3827" s="4"/>
      <c r="E3827" s="4"/>
      <c r="F3827" s="4"/>
      <c r="G3827" s="4"/>
    </row>
    <row r="3828">
      <c r="A3828" s="4"/>
      <c r="B3828" s="4"/>
      <c r="C3828" s="4"/>
      <c r="D3828" s="4"/>
      <c r="E3828" s="13"/>
      <c r="F3828" s="4"/>
      <c r="G3828" s="4"/>
    </row>
    <row r="3829">
      <c r="A3829" s="4"/>
      <c r="B3829" s="4"/>
      <c r="C3829" s="4"/>
      <c r="D3829" s="4"/>
      <c r="E3829" s="4"/>
      <c r="F3829" s="4"/>
      <c r="G3829" s="4"/>
    </row>
    <row r="3830">
      <c r="A3830" s="4"/>
      <c r="B3830" s="4"/>
      <c r="C3830" s="4"/>
      <c r="D3830" s="4"/>
      <c r="E3830" s="13"/>
      <c r="F3830" s="4"/>
      <c r="G3830" s="4"/>
    </row>
    <row r="3831">
      <c r="A3831" s="4"/>
      <c r="B3831" s="4"/>
      <c r="C3831" s="4"/>
      <c r="D3831" s="4"/>
      <c r="E3831" s="4"/>
      <c r="F3831" s="4"/>
      <c r="G3831" s="4"/>
    </row>
    <row r="3832">
      <c r="A3832" s="4"/>
      <c r="B3832" s="4"/>
      <c r="C3832" s="4"/>
      <c r="D3832" s="4"/>
      <c r="E3832" s="13"/>
      <c r="F3832" s="4"/>
      <c r="G3832" s="4"/>
    </row>
    <row r="3833">
      <c r="A3833" s="4"/>
      <c r="B3833" s="4"/>
      <c r="C3833" s="4"/>
      <c r="D3833" s="4"/>
      <c r="E3833" s="4"/>
      <c r="F3833" s="4"/>
      <c r="G3833" s="4"/>
    </row>
    <row r="3834">
      <c r="A3834" s="4"/>
      <c r="B3834" s="4"/>
      <c r="C3834" s="4"/>
      <c r="D3834" s="4"/>
      <c r="E3834" s="13"/>
      <c r="F3834" s="4"/>
      <c r="G3834" s="4"/>
    </row>
    <row r="3835">
      <c r="A3835" s="4"/>
      <c r="B3835" s="4"/>
      <c r="C3835" s="4"/>
      <c r="D3835" s="4"/>
      <c r="E3835" s="4"/>
      <c r="F3835" s="4"/>
      <c r="G3835" s="4"/>
    </row>
    <row r="3836">
      <c r="A3836" s="4"/>
      <c r="B3836" s="4"/>
      <c r="C3836" s="4"/>
      <c r="D3836" s="4"/>
      <c r="E3836" s="13"/>
      <c r="F3836" s="4"/>
      <c r="G3836" s="4"/>
    </row>
    <row r="3837">
      <c r="A3837" s="4"/>
      <c r="B3837" s="4"/>
      <c r="C3837" s="4"/>
      <c r="D3837" s="4"/>
      <c r="E3837" s="4"/>
      <c r="F3837" s="4"/>
      <c r="G3837" s="4"/>
    </row>
    <row r="3838">
      <c r="A3838" s="4"/>
      <c r="B3838" s="4"/>
      <c r="C3838" s="4"/>
      <c r="D3838" s="13"/>
      <c r="E3838" s="13"/>
      <c r="F3838" s="4"/>
      <c r="G3838" s="4"/>
    </row>
    <row r="3839">
      <c r="A3839" s="4"/>
      <c r="B3839" s="4"/>
      <c r="C3839" s="4"/>
      <c r="D3839" s="4"/>
      <c r="E3839" s="4"/>
      <c r="F3839" s="4"/>
      <c r="G3839" s="4"/>
    </row>
    <row r="3840">
      <c r="A3840" s="4"/>
      <c r="B3840" s="4"/>
      <c r="C3840" s="4"/>
      <c r="D3840" s="13"/>
      <c r="E3840" s="13"/>
      <c r="F3840" s="4"/>
      <c r="G3840" s="4"/>
    </row>
    <row r="3841">
      <c r="A3841" s="4"/>
      <c r="B3841" s="4"/>
      <c r="C3841" s="4"/>
      <c r="D3841" s="4"/>
      <c r="E3841" s="13"/>
      <c r="F3841" s="4"/>
      <c r="G3841" s="4"/>
    </row>
    <row r="3842">
      <c r="A3842" s="4"/>
      <c r="B3842" s="4"/>
      <c r="C3842" s="4"/>
      <c r="D3842" s="4"/>
      <c r="E3842" s="4"/>
      <c r="F3842" s="4"/>
      <c r="G3842" s="4"/>
    </row>
    <row r="3843">
      <c r="A3843" s="4"/>
      <c r="B3843" s="4"/>
      <c r="C3843" s="4"/>
      <c r="D3843" s="4"/>
      <c r="E3843" s="13"/>
      <c r="F3843" s="4"/>
      <c r="G3843" s="4"/>
    </row>
    <row r="3844">
      <c r="A3844" s="4"/>
      <c r="B3844" s="4"/>
      <c r="C3844" s="4"/>
      <c r="D3844" s="4"/>
      <c r="E3844" s="4"/>
      <c r="F3844" s="4"/>
      <c r="G3844" s="4"/>
    </row>
    <row r="3845">
      <c r="A3845" s="4"/>
      <c r="B3845" s="4"/>
      <c r="C3845" s="4"/>
      <c r="D3845" s="13"/>
      <c r="E3845" s="4"/>
      <c r="F3845" s="4"/>
      <c r="G3845" s="4"/>
    </row>
    <row r="3846">
      <c r="A3846" s="4"/>
      <c r="B3846" s="4"/>
      <c r="C3846" s="4"/>
      <c r="D3846" s="4"/>
      <c r="E3846" s="13"/>
      <c r="F3846" s="4"/>
      <c r="G3846" s="4"/>
    </row>
    <row r="3847">
      <c r="A3847" s="4"/>
      <c r="B3847" s="4"/>
      <c r="C3847" s="4"/>
      <c r="D3847" s="4"/>
      <c r="E3847" s="4"/>
      <c r="F3847" s="4"/>
      <c r="G3847" s="4"/>
    </row>
    <row r="3848">
      <c r="A3848" s="4"/>
      <c r="B3848" s="4"/>
      <c r="C3848" s="4"/>
      <c r="D3848" s="4"/>
      <c r="E3848" s="4"/>
      <c r="F3848" s="4"/>
      <c r="G3848" s="4"/>
    </row>
    <row r="3849">
      <c r="A3849" s="4"/>
      <c r="B3849" s="4"/>
      <c r="C3849" s="4"/>
      <c r="D3849" s="13"/>
      <c r="E3849" s="4"/>
      <c r="F3849" s="4"/>
      <c r="G3849" s="4"/>
    </row>
    <row r="3850">
      <c r="A3850" s="4"/>
      <c r="B3850" s="4"/>
      <c r="C3850" s="4"/>
      <c r="D3850" s="4"/>
      <c r="E3850" s="4"/>
      <c r="F3850" s="4"/>
      <c r="G3850" s="4"/>
    </row>
    <row r="3851">
      <c r="A3851" s="4"/>
      <c r="B3851" s="4"/>
      <c r="C3851" s="4"/>
      <c r="D3851" s="4"/>
      <c r="E3851" s="4"/>
      <c r="F3851" s="4"/>
      <c r="G3851" s="4"/>
    </row>
    <row r="3852">
      <c r="A3852" s="4"/>
      <c r="B3852" s="4"/>
      <c r="C3852" s="4"/>
      <c r="D3852" s="13"/>
      <c r="E3852" s="13"/>
      <c r="F3852" s="4"/>
      <c r="G3852" s="4"/>
    </row>
    <row r="3853">
      <c r="A3853" s="4"/>
      <c r="B3853" s="4"/>
      <c r="C3853" s="4"/>
      <c r="D3853" s="4"/>
      <c r="E3853" s="13"/>
      <c r="F3853" s="4"/>
      <c r="G3853" s="4"/>
    </row>
    <row r="3854">
      <c r="A3854" s="4"/>
      <c r="B3854" s="4"/>
      <c r="C3854" s="4"/>
      <c r="D3854" s="4"/>
      <c r="E3854" s="4"/>
      <c r="F3854" s="4"/>
      <c r="G3854" s="4"/>
    </row>
    <row r="3855">
      <c r="A3855" s="4"/>
      <c r="B3855" s="4"/>
      <c r="C3855" s="4"/>
      <c r="D3855" s="4"/>
      <c r="E3855" s="13"/>
      <c r="F3855" s="4"/>
      <c r="G3855" s="4"/>
    </row>
    <row r="3856">
      <c r="A3856" s="4"/>
      <c r="B3856" s="4"/>
      <c r="C3856" s="4"/>
      <c r="D3856" s="13"/>
      <c r="E3856" s="4"/>
      <c r="F3856" s="4"/>
      <c r="G3856" s="4"/>
    </row>
    <row r="3857">
      <c r="A3857" s="4"/>
      <c r="B3857" s="4"/>
      <c r="C3857" s="4"/>
      <c r="D3857" s="4"/>
      <c r="E3857" s="4"/>
      <c r="F3857" s="4"/>
      <c r="G3857" s="4"/>
    </row>
    <row r="3858">
      <c r="A3858" s="4"/>
      <c r="B3858" s="4"/>
      <c r="C3858" s="4"/>
      <c r="D3858" s="4"/>
      <c r="E3858" s="13"/>
      <c r="F3858" s="4"/>
      <c r="G3858" s="4"/>
    </row>
    <row r="3859">
      <c r="A3859" s="4"/>
      <c r="B3859" s="4"/>
      <c r="C3859" s="4"/>
      <c r="D3859" s="4"/>
      <c r="E3859" s="4"/>
      <c r="F3859" s="4"/>
      <c r="G3859" s="4"/>
    </row>
    <row r="3860">
      <c r="A3860" s="4"/>
      <c r="B3860" s="4"/>
      <c r="C3860" s="4"/>
      <c r="D3860" s="13"/>
      <c r="E3860" s="4"/>
      <c r="F3860" s="4"/>
      <c r="G3860" s="4"/>
    </row>
    <row r="3861">
      <c r="A3861" s="4"/>
      <c r="B3861" s="4"/>
      <c r="C3861" s="4"/>
      <c r="D3861" s="4"/>
      <c r="E3861" s="4"/>
      <c r="F3861" s="4"/>
      <c r="G3861" s="4"/>
    </row>
    <row r="3862">
      <c r="A3862" s="4"/>
      <c r="B3862" s="4"/>
      <c r="C3862" s="4"/>
      <c r="D3862" s="4"/>
      <c r="E3862" s="4"/>
      <c r="F3862" s="4"/>
      <c r="G3862" s="4"/>
    </row>
    <row r="3863">
      <c r="A3863" s="4"/>
      <c r="B3863" s="4"/>
      <c r="C3863" s="4"/>
      <c r="D3863" s="13"/>
      <c r="E3863" s="4"/>
      <c r="F3863" s="4"/>
      <c r="G3863" s="4"/>
    </row>
    <row r="3864">
      <c r="A3864" s="4"/>
      <c r="B3864" s="4"/>
      <c r="C3864" s="4"/>
      <c r="D3864" s="4"/>
      <c r="E3864" s="4"/>
      <c r="F3864" s="4"/>
      <c r="G3864" s="4"/>
    </row>
    <row r="3865">
      <c r="A3865" s="4"/>
      <c r="B3865" s="4"/>
      <c r="C3865" s="4"/>
      <c r="D3865" s="4"/>
      <c r="E3865" s="4"/>
      <c r="F3865" s="4"/>
      <c r="G3865" s="4"/>
    </row>
    <row r="3866">
      <c r="A3866" s="4"/>
      <c r="B3866" s="4"/>
      <c r="C3866" s="4"/>
      <c r="D3866" s="4"/>
      <c r="E3866" s="13"/>
      <c r="F3866" s="4"/>
      <c r="G3866" s="4"/>
    </row>
    <row r="3867">
      <c r="A3867" s="4"/>
      <c r="B3867" s="4"/>
      <c r="C3867" s="4"/>
      <c r="D3867" s="4"/>
      <c r="E3867" s="4"/>
      <c r="F3867" s="4"/>
      <c r="G3867" s="4"/>
    </row>
    <row r="3868">
      <c r="A3868" s="4"/>
      <c r="B3868" s="4"/>
      <c r="C3868" s="4"/>
      <c r="D3868" s="4"/>
      <c r="E3868" s="4"/>
      <c r="F3868" s="4"/>
      <c r="G3868" s="4"/>
    </row>
    <row r="3869">
      <c r="A3869" s="4"/>
      <c r="B3869" s="4"/>
      <c r="C3869" s="4"/>
      <c r="D3869" s="4"/>
      <c r="E3869" s="4"/>
      <c r="F3869" s="4"/>
      <c r="G3869" s="4"/>
    </row>
    <row r="3870">
      <c r="A3870" s="4"/>
      <c r="B3870" s="4"/>
      <c r="C3870" s="4"/>
      <c r="D3870" s="13"/>
      <c r="E3870" s="13"/>
      <c r="F3870" s="4"/>
      <c r="G3870" s="4"/>
    </row>
    <row r="3871">
      <c r="A3871" s="4"/>
      <c r="B3871" s="4"/>
      <c r="C3871" s="4"/>
      <c r="D3871" s="13"/>
      <c r="E3871" s="13"/>
      <c r="F3871" s="4"/>
      <c r="G3871" s="4"/>
    </row>
    <row r="3872">
      <c r="A3872" s="4"/>
      <c r="B3872" s="4"/>
      <c r="C3872" s="4"/>
      <c r="D3872" s="4"/>
      <c r="E3872" s="13"/>
      <c r="F3872" s="4"/>
      <c r="G3872" s="4"/>
    </row>
    <row r="3873">
      <c r="A3873" s="4"/>
      <c r="B3873" s="4"/>
      <c r="C3873" s="4"/>
      <c r="D3873" s="4"/>
      <c r="E3873" s="4"/>
      <c r="F3873" s="4"/>
      <c r="G3873" s="4"/>
    </row>
    <row r="3874">
      <c r="A3874" s="4"/>
      <c r="B3874" s="4"/>
      <c r="C3874" s="4"/>
      <c r="D3874" s="4"/>
      <c r="E3874" s="4"/>
      <c r="F3874" s="4"/>
      <c r="G3874" s="4"/>
    </row>
    <row r="3875">
      <c r="A3875" s="4"/>
      <c r="B3875" s="4"/>
      <c r="C3875" s="4"/>
      <c r="D3875" s="4"/>
      <c r="E3875" s="4"/>
      <c r="F3875" s="4"/>
      <c r="G3875" s="4"/>
    </row>
    <row r="3876">
      <c r="A3876" s="4"/>
      <c r="B3876" s="4"/>
      <c r="C3876" s="4"/>
      <c r="D3876" s="13"/>
      <c r="E3876" s="13"/>
      <c r="F3876" s="4"/>
      <c r="G3876" s="4"/>
    </row>
    <row r="3877">
      <c r="A3877" s="4"/>
      <c r="B3877" s="4"/>
      <c r="C3877" s="4"/>
      <c r="D3877" s="4"/>
      <c r="E3877" s="4"/>
      <c r="F3877" s="4"/>
      <c r="G3877" s="4"/>
    </row>
    <row r="3878">
      <c r="A3878" s="4"/>
      <c r="B3878" s="4"/>
      <c r="C3878" s="4"/>
      <c r="D3878" s="4"/>
      <c r="E3878" s="4"/>
      <c r="F3878" s="4"/>
      <c r="G3878" s="4"/>
    </row>
    <row r="3879">
      <c r="A3879" s="4"/>
      <c r="B3879" s="4"/>
      <c r="C3879" s="4"/>
      <c r="D3879" s="4"/>
      <c r="E3879" s="13"/>
      <c r="F3879" s="4"/>
      <c r="G3879" s="4"/>
    </row>
    <row r="3880">
      <c r="A3880" s="4"/>
      <c r="B3880" s="4"/>
      <c r="C3880" s="4"/>
      <c r="D3880" s="4"/>
      <c r="E3880" s="13"/>
      <c r="F3880" s="4"/>
      <c r="G3880" s="4"/>
    </row>
    <row r="3881">
      <c r="A3881" s="4"/>
      <c r="B3881" s="4"/>
      <c r="C3881" s="4"/>
      <c r="D3881" s="4"/>
      <c r="E3881" s="4"/>
      <c r="F3881" s="4"/>
      <c r="G3881" s="4"/>
    </row>
    <row r="3882">
      <c r="A3882" s="4"/>
      <c r="B3882" s="4"/>
      <c r="C3882" s="4"/>
      <c r="D3882" s="4"/>
      <c r="E3882" s="13"/>
      <c r="F3882" s="4"/>
      <c r="G3882" s="4"/>
    </row>
    <row r="3883">
      <c r="A3883" s="4"/>
      <c r="B3883" s="4"/>
      <c r="C3883" s="4"/>
      <c r="D3883" s="4"/>
      <c r="E3883" s="4"/>
      <c r="F3883" s="4"/>
      <c r="G3883" s="4"/>
    </row>
    <row r="3884">
      <c r="A3884" s="4"/>
      <c r="B3884" s="4"/>
      <c r="C3884" s="4"/>
      <c r="D3884" s="4"/>
      <c r="E3884" s="4"/>
      <c r="F3884" s="4"/>
      <c r="G3884" s="4"/>
    </row>
    <row r="3885">
      <c r="A3885" s="4"/>
      <c r="B3885" s="4"/>
      <c r="C3885" s="4"/>
      <c r="D3885" s="4"/>
      <c r="E3885" s="13"/>
      <c r="F3885" s="4"/>
      <c r="G3885" s="4"/>
    </row>
    <row r="3886">
      <c r="A3886" s="4"/>
      <c r="B3886" s="4"/>
      <c r="C3886" s="4"/>
      <c r="D3886" s="4"/>
      <c r="E3886" s="13"/>
      <c r="F3886" s="4"/>
      <c r="G3886" s="4"/>
    </row>
    <row r="3887">
      <c r="A3887" s="4"/>
      <c r="B3887" s="4"/>
      <c r="C3887" s="4"/>
      <c r="D3887" s="4"/>
      <c r="E3887" s="13"/>
      <c r="F3887" s="4"/>
      <c r="G3887" s="4"/>
    </row>
    <row r="3888">
      <c r="A3888" s="4"/>
      <c r="B3888" s="4"/>
      <c r="C3888" s="4"/>
      <c r="D3888" s="4"/>
      <c r="E3888" s="4"/>
      <c r="F3888" s="4"/>
      <c r="G3888" s="4"/>
    </row>
    <row r="3889">
      <c r="A3889" s="4"/>
      <c r="B3889" s="4"/>
      <c r="C3889" s="4"/>
      <c r="D3889" s="4"/>
      <c r="E3889" s="4"/>
      <c r="F3889" s="4"/>
      <c r="G3889" s="4"/>
    </row>
    <row r="3890">
      <c r="A3890" s="4"/>
      <c r="B3890" s="4"/>
      <c r="C3890" s="4"/>
      <c r="D3890" s="4"/>
      <c r="E3890" s="4"/>
      <c r="F3890" s="4"/>
      <c r="G3890" s="4"/>
    </row>
    <row r="3891">
      <c r="A3891" s="4"/>
      <c r="B3891" s="4"/>
      <c r="C3891" s="4"/>
      <c r="D3891" s="4"/>
      <c r="E3891" s="4"/>
      <c r="F3891" s="4"/>
      <c r="G3891" s="4"/>
    </row>
    <row r="3892">
      <c r="A3892" s="4"/>
      <c r="B3892" s="4"/>
      <c r="C3892" s="4"/>
      <c r="D3892" s="4"/>
      <c r="E3892" s="13"/>
      <c r="F3892" s="4"/>
      <c r="G3892" s="4"/>
    </row>
    <row r="3893">
      <c r="A3893" s="4"/>
      <c r="B3893" s="4"/>
      <c r="C3893" s="4"/>
      <c r="D3893" s="4"/>
      <c r="E3893" s="13"/>
      <c r="F3893" s="4"/>
      <c r="G3893" s="4"/>
    </row>
    <row r="3894">
      <c r="A3894" s="4"/>
      <c r="B3894" s="4"/>
      <c r="C3894" s="4"/>
      <c r="D3894" s="4"/>
      <c r="E3894" s="4"/>
      <c r="F3894" s="4"/>
      <c r="G3894" s="4"/>
    </row>
    <row r="3895">
      <c r="A3895" s="4"/>
      <c r="B3895" s="4"/>
      <c r="C3895" s="4"/>
      <c r="D3895" s="4"/>
      <c r="E3895" s="13"/>
      <c r="F3895" s="4"/>
      <c r="G3895" s="4"/>
    </row>
    <row r="3896">
      <c r="A3896" s="4"/>
      <c r="B3896" s="4"/>
      <c r="C3896" s="4"/>
      <c r="D3896" s="4"/>
      <c r="E3896" s="13"/>
      <c r="F3896" s="4"/>
      <c r="G3896" s="4"/>
    </row>
    <row r="3897">
      <c r="A3897" s="4"/>
      <c r="B3897" s="4"/>
      <c r="C3897" s="4"/>
      <c r="D3897" s="4"/>
      <c r="E3897" s="4"/>
      <c r="F3897" s="4"/>
      <c r="G3897" s="4"/>
    </row>
    <row r="3898">
      <c r="A3898" s="4"/>
      <c r="B3898" s="4"/>
      <c r="C3898" s="4"/>
      <c r="D3898" s="13"/>
      <c r="E3898" s="4"/>
      <c r="F3898" s="4"/>
      <c r="G3898" s="4"/>
    </row>
    <row r="3899">
      <c r="A3899" s="4"/>
      <c r="B3899" s="4"/>
      <c r="C3899" s="4"/>
      <c r="D3899" s="4"/>
      <c r="E3899" s="4"/>
      <c r="F3899" s="4"/>
      <c r="G3899" s="4"/>
    </row>
    <row r="3900">
      <c r="A3900" s="4"/>
      <c r="B3900" s="4"/>
      <c r="C3900" s="4"/>
      <c r="D3900" s="4"/>
      <c r="E3900" s="13"/>
      <c r="F3900" s="4"/>
      <c r="G3900" s="4"/>
    </row>
    <row r="3901">
      <c r="A3901" s="4"/>
      <c r="B3901" s="4"/>
      <c r="C3901" s="4"/>
      <c r="D3901" s="4"/>
      <c r="E3901" s="4"/>
      <c r="F3901" s="4"/>
      <c r="G3901" s="4"/>
    </row>
    <row r="3902">
      <c r="A3902" s="4"/>
      <c r="B3902" s="4"/>
      <c r="C3902" s="4"/>
      <c r="D3902" s="4"/>
      <c r="E3902" s="13"/>
      <c r="F3902" s="4"/>
      <c r="G3902" s="4"/>
    </row>
    <row r="3903">
      <c r="A3903" s="4"/>
      <c r="B3903" s="4"/>
      <c r="C3903" s="4"/>
      <c r="D3903" s="4"/>
      <c r="E3903" s="13"/>
      <c r="F3903" s="4"/>
      <c r="G3903" s="4"/>
    </row>
    <row r="3904">
      <c r="A3904" s="4"/>
      <c r="B3904" s="4"/>
      <c r="C3904" s="4"/>
      <c r="D3904" s="4"/>
      <c r="E3904" s="4"/>
      <c r="F3904" s="4"/>
      <c r="G3904" s="4"/>
    </row>
    <row r="3905">
      <c r="A3905" s="4"/>
      <c r="B3905" s="4"/>
      <c r="C3905" s="4"/>
      <c r="D3905" s="4"/>
      <c r="E3905" s="4"/>
      <c r="F3905" s="4"/>
      <c r="G3905" s="4"/>
    </row>
    <row r="3906">
      <c r="A3906" s="4"/>
      <c r="B3906" s="4"/>
      <c r="C3906" s="4"/>
      <c r="D3906" s="13"/>
      <c r="E3906" s="13"/>
      <c r="F3906" s="4"/>
      <c r="G3906" s="4"/>
    </row>
    <row r="3907">
      <c r="A3907" s="4"/>
      <c r="B3907" s="4"/>
      <c r="C3907" s="4"/>
      <c r="D3907" s="4"/>
      <c r="E3907" s="13"/>
      <c r="F3907" s="4"/>
      <c r="G3907" s="4"/>
    </row>
    <row r="3908">
      <c r="A3908" s="4"/>
      <c r="B3908" s="4"/>
      <c r="C3908" s="4"/>
      <c r="D3908" s="4"/>
      <c r="E3908" s="13"/>
      <c r="F3908" s="4"/>
      <c r="G3908" s="4"/>
    </row>
    <row r="3909">
      <c r="A3909" s="4"/>
      <c r="B3909" s="4"/>
      <c r="C3909" s="4"/>
      <c r="D3909" s="4"/>
      <c r="E3909" s="4"/>
      <c r="F3909" s="4"/>
      <c r="G3909" s="4"/>
    </row>
    <row r="3910">
      <c r="A3910" s="4"/>
      <c r="B3910" s="4"/>
      <c r="C3910" s="4"/>
      <c r="D3910" s="4"/>
      <c r="E3910" s="4"/>
      <c r="F3910" s="4"/>
      <c r="G3910" s="4"/>
    </row>
    <row r="3911">
      <c r="A3911" s="4"/>
      <c r="B3911" s="4"/>
      <c r="C3911" s="4"/>
      <c r="D3911" s="4"/>
      <c r="E3911" s="4"/>
      <c r="F3911" s="4"/>
      <c r="G3911" s="4"/>
    </row>
    <row r="3912">
      <c r="A3912" s="4"/>
      <c r="B3912" s="4"/>
      <c r="C3912" s="4"/>
      <c r="D3912" s="13"/>
      <c r="E3912" s="13"/>
      <c r="F3912" s="4"/>
      <c r="G3912" s="4"/>
    </row>
    <row r="3913">
      <c r="A3913" s="4"/>
      <c r="B3913" s="4"/>
      <c r="C3913" s="4"/>
      <c r="D3913" s="13"/>
      <c r="E3913" s="13"/>
      <c r="F3913" s="4"/>
      <c r="G3913" s="4"/>
    </row>
    <row r="3914">
      <c r="A3914" s="4"/>
      <c r="B3914" s="4"/>
      <c r="C3914" s="4"/>
      <c r="D3914" s="4"/>
      <c r="E3914" s="4"/>
      <c r="F3914" s="4"/>
      <c r="G3914" s="4"/>
    </row>
    <row r="3915">
      <c r="A3915" s="4"/>
      <c r="B3915" s="4"/>
      <c r="C3915" s="4"/>
      <c r="D3915" s="4"/>
      <c r="E3915" s="4"/>
      <c r="F3915" s="4"/>
      <c r="G3915" s="4"/>
    </row>
    <row r="3916">
      <c r="A3916" s="4"/>
      <c r="B3916" s="4"/>
      <c r="C3916" s="4"/>
      <c r="D3916" s="4"/>
      <c r="E3916" s="4"/>
      <c r="F3916" s="4"/>
      <c r="G3916" s="4"/>
    </row>
    <row r="3917">
      <c r="A3917" s="4"/>
      <c r="B3917" s="4"/>
      <c r="C3917" s="4"/>
      <c r="D3917" s="4"/>
      <c r="E3917" s="13"/>
      <c r="F3917" s="4"/>
      <c r="G3917" s="4"/>
    </row>
    <row r="3918">
      <c r="A3918" s="4"/>
      <c r="B3918" s="4"/>
      <c r="C3918" s="4"/>
      <c r="D3918" s="4"/>
      <c r="E3918" s="4"/>
      <c r="F3918" s="4"/>
      <c r="G3918" s="4"/>
    </row>
    <row r="3919">
      <c r="A3919" s="4"/>
      <c r="B3919" s="4"/>
      <c r="C3919" s="4"/>
      <c r="D3919" s="4"/>
      <c r="E3919" s="4"/>
      <c r="F3919" s="4"/>
      <c r="G3919" s="4"/>
    </row>
    <row r="3920">
      <c r="A3920" s="4"/>
      <c r="B3920" s="4"/>
      <c r="C3920" s="4"/>
      <c r="D3920" s="4"/>
      <c r="E3920" s="4"/>
      <c r="F3920" s="4"/>
      <c r="G3920" s="4"/>
    </row>
    <row r="3921">
      <c r="A3921" s="4"/>
      <c r="B3921" s="4"/>
      <c r="C3921" s="4"/>
      <c r="D3921" s="4"/>
      <c r="E3921" s="4"/>
      <c r="F3921" s="4"/>
      <c r="G3921" s="4"/>
    </row>
    <row r="3922">
      <c r="A3922" s="4"/>
      <c r="B3922" s="4"/>
      <c r="C3922" s="4"/>
      <c r="D3922" s="4"/>
      <c r="E3922" s="13"/>
      <c r="F3922" s="4"/>
      <c r="G3922" s="4"/>
    </row>
    <row r="3923">
      <c r="A3923" s="4"/>
      <c r="B3923" s="4"/>
      <c r="C3923" s="4"/>
      <c r="D3923" s="4"/>
      <c r="E3923" s="4"/>
      <c r="F3923" s="4"/>
      <c r="G3923" s="4"/>
    </row>
    <row r="3924">
      <c r="A3924" s="4"/>
      <c r="B3924" s="4"/>
      <c r="C3924" s="4"/>
      <c r="D3924" s="4"/>
      <c r="E3924" s="4"/>
      <c r="F3924" s="4"/>
      <c r="G3924" s="4"/>
    </row>
    <row r="3925">
      <c r="A3925" s="4"/>
      <c r="B3925" s="4"/>
      <c r="C3925" s="4"/>
      <c r="D3925" s="4"/>
      <c r="E3925" s="4"/>
      <c r="F3925" s="4"/>
      <c r="G3925" s="4"/>
    </row>
    <row r="3926">
      <c r="A3926" s="4"/>
      <c r="B3926" s="4"/>
      <c r="C3926" s="4"/>
      <c r="D3926" s="4"/>
      <c r="E3926" s="4"/>
      <c r="F3926" s="4"/>
      <c r="G3926" s="4"/>
    </row>
    <row r="3927">
      <c r="A3927" s="4"/>
      <c r="B3927" s="4"/>
      <c r="C3927" s="4"/>
      <c r="D3927" s="4"/>
      <c r="E3927" s="13"/>
      <c r="F3927" s="4"/>
      <c r="G3927" s="4"/>
    </row>
    <row r="3928">
      <c r="A3928" s="4"/>
      <c r="B3928" s="4"/>
      <c r="C3928" s="4"/>
      <c r="D3928" s="4"/>
      <c r="E3928" s="4"/>
      <c r="F3928" s="4"/>
      <c r="G3928" s="4"/>
    </row>
    <row r="3929">
      <c r="A3929" s="4"/>
      <c r="B3929" s="4"/>
      <c r="C3929" s="4"/>
      <c r="D3929" s="4"/>
      <c r="E3929" s="4"/>
      <c r="F3929" s="4"/>
      <c r="G3929" s="4"/>
    </row>
    <row r="3930">
      <c r="A3930" s="4"/>
      <c r="B3930" s="4"/>
      <c r="C3930" s="4"/>
      <c r="D3930" s="13"/>
      <c r="E3930" s="4"/>
      <c r="F3930" s="4"/>
      <c r="G3930" s="4"/>
    </row>
    <row r="3931">
      <c r="A3931" s="4"/>
      <c r="B3931" s="4"/>
      <c r="C3931" s="4"/>
      <c r="D3931" s="4"/>
      <c r="E3931" s="4"/>
      <c r="F3931" s="4"/>
      <c r="G3931" s="4"/>
    </row>
    <row r="3932">
      <c r="A3932" s="4"/>
      <c r="B3932" s="4"/>
      <c r="C3932" s="4"/>
      <c r="D3932" s="4"/>
      <c r="E3932" s="13"/>
      <c r="F3932" s="4"/>
      <c r="G3932" s="4"/>
    </row>
    <row r="3933">
      <c r="A3933" s="4"/>
      <c r="B3933" s="4"/>
      <c r="C3933" s="4"/>
      <c r="D3933" s="4"/>
      <c r="E3933" s="4"/>
      <c r="F3933" s="4"/>
      <c r="G3933" s="4"/>
    </row>
    <row r="3934">
      <c r="A3934" s="4"/>
      <c r="B3934" s="4"/>
      <c r="C3934" s="4"/>
      <c r="D3934" s="4"/>
      <c r="E3934" s="4"/>
      <c r="F3934" s="4"/>
      <c r="G3934" s="4"/>
    </row>
    <row r="3935">
      <c r="A3935" s="4"/>
      <c r="B3935" s="4"/>
      <c r="C3935" s="4"/>
      <c r="D3935" s="4"/>
      <c r="E3935" s="4"/>
      <c r="F3935" s="4"/>
      <c r="G3935" s="4"/>
    </row>
    <row r="3936">
      <c r="A3936" s="4"/>
      <c r="B3936" s="4"/>
      <c r="C3936" s="4"/>
      <c r="D3936" s="4"/>
      <c r="E3936" s="4"/>
      <c r="F3936" s="4"/>
      <c r="G3936" s="4"/>
    </row>
    <row r="3937">
      <c r="A3937" s="4"/>
      <c r="B3937" s="4"/>
      <c r="C3937" s="4"/>
      <c r="D3937" s="4"/>
      <c r="E3937" s="4"/>
      <c r="F3937" s="4"/>
      <c r="G3937" s="4"/>
    </row>
    <row r="3938">
      <c r="A3938" s="4"/>
      <c r="B3938" s="4"/>
      <c r="C3938" s="4"/>
      <c r="D3938" s="4"/>
      <c r="E3938" s="13"/>
      <c r="F3938" s="4"/>
      <c r="G3938" s="4"/>
    </row>
    <row r="3939">
      <c r="A3939" s="4"/>
      <c r="B3939" s="4"/>
      <c r="C3939" s="4"/>
      <c r="D3939" s="4"/>
      <c r="E3939" s="13"/>
      <c r="F3939" s="4"/>
      <c r="G3939" s="4"/>
    </row>
    <row r="3940">
      <c r="A3940" s="4"/>
      <c r="B3940" s="4"/>
      <c r="C3940" s="4"/>
      <c r="D3940" s="4"/>
      <c r="E3940" s="4"/>
      <c r="F3940" s="4"/>
      <c r="G3940" s="4"/>
    </row>
    <row r="3941">
      <c r="A3941" s="4"/>
      <c r="B3941" s="4"/>
      <c r="C3941" s="4"/>
      <c r="D3941" s="4"/>
      <c r="E3941" s="4"/>
      <c r="F3941" s="4"/>
      <c r="G3941" s="4"/>
    </row>
    <row r="3942">
      <c r="A3942" s="4"/>
      <c r="B3942" s="4"/>
      <c r="C3942" s="4"/>
      <c r="D3942" s="13"/>
      <c r="E3942" s="4"/>
      <c r="F3942" s="4"/>
      <c r="G3942" s="4"/>
    </row>
    <row r="3943">
      <c r="A3943" s="4"/>
      <c r="B3943" s="4"/>
      <c r="C3943" s="4"/>
      <c r="D3943" s="4"/>
      <c r="E3943" s="13"/>
      <c r="F3943" s="4"/>
      <c r="G3943" s="4"/>
    </row>
    <row r="3944">
      <c r="A3944" s="4"/>
      <c r="B3944" s="4"/>
      <c r="C3944" s="4"/>
      <c r="D3944" s="4"/>
      <c r="E3944" s="4"/>
      <c r="F3944" s="4"/>
      <c r="G3944" s="4"/>
    </row>
    <row r="3945">
      <c r="A3945" s="4"/>
      <c r="B3945" s="4"/>
      <c r="C3945" s="4"/>
      <c r="D3945" s="4"/>
      <c r="E3945" s="4"/>
      <c r="F3945" s="4"/>
      <c r="G3945" s="4"/>
    </row>
    <row r="3946">
      <c r="A3946" s="4"/>
      <c r="B3946" s="4"/>
      <c r="C3946" s="4"/>
      <c r="D3946" s="4"/>
      <c r="E3946" s="4"/>
      <c r="F3946" s="4"/>
      <c r="G3946" s="4"/>
    </row>
    <row r="3947">
      <c r="A3947" s="4"/>
      <c r="B3947" s="4"/>
      <c r="C3947" s="4"/>
      <c r="D3947" s="13"/>
      <c r="E3947" s="4"/>
      <c r="F3947" s="4"/>
      <c r="G3947" s="4"/>
    </row>
    <row r="3948">
      <c r="A3948" s="4"/>
      <c r="B3948" s="4"/>
      <c r="C3948" s="4"/>
      <c r="D3948" s="4"/>
      <c r="E3948" s="4"/>
      <c r="F3948" s="4"/>
      <c r="G3948" s="4"/>
    </row>
    <row r="3949">
      <c r="A3949" s="4"/>
      <c r="B3949" s="4"/>
      <c r="C3949" s="4"/>
      <c r="D3949" s="4"/>
      <c r="E3949" s="4"/>
      <c r="F3949" s="4"/>
      <c r="G3949" s="4"/>
    </row>
    <row r="3950">
      <c r="A3950" s="4"/>
      <c r="B3950" s="4"/>
      <c r="C3950" s="4"/>
      <c r="D3950" s="4"/>
      <c r="E3950" s="13"/>
      <c r="F3950" s="4"/>
      <c r="G3950" s="4"/>
    </row>
    <row r="3951">
      <c r="A3951" s="4"/>
      <c r="B3951" s="4"/>
      <c r="C3951" s="4"/>
      <c r="D3951" s="4"/>
      <c r="E3951" s="4"/>
      <c r="F3951" s="4"/>
      <c r="G3951" s="4"/>
    </row>
    <row r="3952">
      <c r="A3952" s="4"/>
      <c r="B3952" s="4"/>
      <c r="C3952" s="4"/>
      <c r="D3952" s="4"/>
      <c r="E3952" s="4"/>
      <c r="F3952" s="4"/>
      <c r="G3952" s="4"/>
    </row>
    <row r="3953">
      <c r="A3953" s="4"/>
      <c r="B3953" s="4"/>
      <c r="C3953" s="4"/>
      <c r="D3953" s="4"/>
      <c r="E3953" s="4"/>
      <c r="F3953" s="4"/>
      <c r="G3953" s="4"/>
    </row>
    <row r="3954">
      <c r="A3954" s="4"/>
      <c r="B3954" s="4"/>
      <c r="C3954" s="4"/>
      <c r="D3954" s="4"/>
      <c r="E3954" s="4"/>
      <c r="F3954" s="4"/>
      <c r="G3954" s="4"/>
    </row>
    <row r="3955">
      <c r="A3955" s="4"/>
      <c r="B3955" s="4"/>
      <c r="C3955" s="4"/>
      <c r="D3955" s="4"/>
      <c r="E3955" s="13"/>
      <c r="F3955" s="4"/>
      <c r="G3955" s="4"/>
    </row>
    <row r="3956">
      <c r="A3956" s="4"/>
      <c r="B3956" s="4"/>
      <c r="C3956" s="4"/>
      <c r="D3956" s="4"/>
      <c r="E3956" s="4"/>
      <c r="F3956" s="4"/>
      <c r="G3956" s="4"/>
    </row>
    <row r="3957">
      <c r="A3957" s="4"/>
      <c r="B3957" s="4"/>
      <c r="C3957" s="4"/>
      <c r="D3957" s="4"/>
      <c r="E3957" s="13"/>
      <c r="F3957" s="4"/>
      <c r="G3957" s="4"/>
    </row>
    <row r="3958">
      <c r="A3958" s="4"/>
      <c r="B3958" s="4"/>
      <c r="C3958" s="4"/>
      <c r="D3958" s="4"/>
      <c r="E3958" s="4"/>
      <c r="F3958" s="4"/>
      <c r="G3958" s="4"/>
    </row>
    <row r="3959">
      <c r="A3959" s="4"/>
      <c r="B3959" s="4"/>
      <c r="C3959" s="4"/>
      <c r="D3959" s="4"/>
      <c r="E3959" s="4"/>
      <c r="F3959" s="4"/>
      <c r="G3959" s="4"/>
    </row>
    <row r="3960">
      <c r="A3960" s="4"/>
      <c r="B3960" s="4"/>
      <c r="C3960" s="4"/>
      <c r="D3960" s="4"/>
      <c r="E3960" s="4"/>
      <c r="F3960" s="4"/>
      <c r="G3960" s="4"/>
    </row>
    <row r="3961">
      <c r="A3961" s="4"/>
      <c r="B3961" s="4"/>
      <c r="C3961" s="4"/>
      <c r="D3961" s="4"/>
      <c r="E3961" s="4"/>
      <c r="F3961" s="4"/>
      <c r="G3961" s="4"/>
    </row>
    <row r="3962">
      <c r="A3962" s="4"/>
      <c r="B3962" s="4"/>
      <c r="C3962" s="4"/>
      <c r="D3962" s="4"/>
      <c r="E3962" s="13"/>
      <c r="F3962" s="4"/>
      <c r="G3962" s="4"/>
    </row>
    <row r="3963">
      <c r="A3963" s="4"/>
      <c r="B3963" s="4"/>
      <c r="C3963" s="4"/>
      <c r="D3963" s="4"/>
      <c r="E3963" s="4"/>
      <c r="F3963" s="4"/>
      <c r="G3963" s="4"/>
    </row>
    <row r="3964">
      <c r="A3964" s="4"/>
      <c r="B3964" s="4"/>
      <c r="C3964" s="4"/>
      <c r="D3964" s="4"/>
      <c r="E3964" s="13"/>
      <c r="F3964" s="4"/>
      <c r="G3964" s="4"/>
    </row>
    <row r="3965">
      <c r="A3965" s="4"/>
      <c r="B3965" s="4"/>
      <c r="C3965" s="4"/>
      <c r="D3965" s="4"/>
      <c r="E3965" s="4"/>
      <c r="F3965" s="4"/>
      <c r="G3965" s="4"/>
    </row>
    <row r="3966">
      <c r="A3966" s="4"/>
      <c r="B3966" s="4"/>
      <c r="C3966" s="4"/>
      <c r="D3966" s="4"/>
      <c r="E3966" s="13"/>
      <c r="F3966" s="4"/>
      <c r="G3966" s="4"/>
    </row>
    <row r="3967">
      <c r="A3967" s="4"/>
      <c r="B3967" s="4"/>
      <c r="C3967" s="4"/>
      <c r="D3967" s="4"/>
      <c r="E3967" s="4"/>
      <c r="F3967" s="4"/>
      <c r="G3967" s="4"/>
    </row>
    <row r="3968">
      <c r="A3968" s="4"/>
      <c r="B3968" s="4"/>
      <c r="C3968" s="4"/>
      <c r="D3968" s="4"/>
      <c r="E3968" s="4"/>
      <c r="F3968" s="4"/>
      <c r="G3968" s="4"/>
    </row>
    <row r="3969">
      <c r="A3969" s="4"/>
      <c r="B3969" s="4"/>
      <c r="C3969" s="4"/>
      <c r="D3969" s="4"/>
      <c r="E3969" s="4"/>
      <c r="F3969" s="4"/>
      <c r="G3969" s="4"/>
    </row>
    <row r="3970">
      <c r="A3970" s="4"/>
      <c r="B3970" s="4"/>
      <c r="C3970" s="4"/>
      <c r="D3970" s="4"/>
      <c r="E3970" s="4"/>
      <c r="F3970" s="4"/>
      <c r="G3970" s="4"/>
    </row>
    <row r="3971">
      <c r="A3971" s="4"/>
      <c r="B3971" s="4"/>
      <c r="C3971" s="4"/>
      <c r="D3971" s="4"/>
      <c r="E3971" s="4"/>
      <c r="F3971" s="4"/>
      <c r="G3971" s="4"/>
    </row>
    <row r="3972">
      <c r="A3972" s="4"/>
      <c r="B3972" s="4"/>
      <c r="C3972" s="4"/>
      <c r="D3972" s="4"/>
      <c r="E3972" s="13"/>
      <c r="F3972" s="4"/>
      <c r="G3972" s="4"/>
    </row>
    <row r="3973">
      <c r="A3973" s="4"/>
      <c r="B3973" s="4"/>
      <c r="C3973" s="4"/>
      <c r="D3973" s="4"/>
      <c r="E3973" s="4"/>
      <c r="F3973" s="4"/>
      <c r="G3973" s="4"/>
    </row>
    <row r="3974">
      <c r="A3974" s="4"/>
      <c r="B3974" s="4"/>
      <c r="C3974" s="4"/>
      <c r="D3974" s="4"/>
      <c r="E3974" s="4"/>
      <c r="F3974" s="4"/>
      <c r="G3974" s="4"/>
    </row>
    <row r="3975">
      <c r="A3975" s="4"/>
      <c r="B3975" s="4"/>
      <c r="C3975" s="4"/>
      <c r="D3975" s="4"/>
      <c r="E3975" s="13"/>
      <c r="F3975" s="4"/>
      <c r="G3975" s="4"/>
    </row>
    <row r="3976">
      <c r="A3976" s="4"/>
      <c r="B3976" s="4"/>
      <c r="C3976" s="4"/>
      <c r="D3976" s="4"/>
      <c r="E3976" s="4"/>
      <c r="F3976" s="4"/>
      <c r="G3976" s="4"/>
    </row>
    <row r="3977">
      <c r="A3977" s="4"/>
      <c r="B3977" s="4"/>
      <c r="C3977" s="4"/>
      <c r="D3977" s="4"/>
      <c r="E3977" s="13"/>
      <c r="F3977" s="4"/>
      <c r="G3977" s="4"/>
    </row>
    <row r="3978">
      <c r="A3978" s="4"/>
      <c r="B3978" s="4"/>
      <c r="C3978" s="4"/>
      <c r="D3978" s="4"/>
      <c r="E3978" s="4"/>
      <c r="F3978" s="4"/>
      <c r="G3978" s="4"/>
    </row>
    <row r="3979">
      <c r="A3979" s="4"/>
      <c r="B3979" s="4"/>
      <c r="C3979" s="4"/>
      <c r="D3979" s="4"/>
      <c r="E3979" s="4"/>
      <c r="F3979" s="4"/>
      <c r="G3979" s="4"/>
    </row>
    <row r="3980">
      <c r="A3980" s="4"/>
      <c r="B3980" s="4"/>
      <c r="C3980" s="4"/>
      <c r="D3980" s="4"/>
      <c r="E3980" s="4"/>
      <c r="F3980" s="4"/>
      <c r="G3980" s="4"/>
    </row>
    <row r="3981">
      <c r="A3981" s="4"/>
      <c r="B3981" s="4"/>
      <c r="C3981" s="4"/>
      <c r="D3981" s="4"/>
      <c r="E3981" s="4"/>
      <c r="F3981" s="4"/>
      <c r="G3981" s="4"/>
    </row>
    <row r="3982">
      <c r="A3982" s="4"/>
      <c r="B3982" s="4"/>
      <c r="C3982" s="4"/>
      <c r="D3982" s="13"/>
      <c r="E3982" s="13"/>
      <c r="F3982" s="4"/>
      <c r="G3982" s="4"/>
    </row>
    <row r="3983">
      <c r="A3983" s="4"/>
      <c r="B3983" s="4"/>
      <c r="C3983" s="4"/>
      <c r="D3983" s="4"/>
      <c r="E3983" s="13"/>
      <c r="F3983" s="4"/>
      <c r="G3983" s="4"/>
    </row>
    <row r="3984">
      <c r="A3984" s="4"/>
      <c r="B3984" s="4"/>
      <c r="C3984" s="4"/>
      <c r="D3984" s="4"/>
      <c r="E3984" s="4"/>
      <c r="F3984" s="4"/>
      <c r="G3984" s="4"/>
    </row>
    <row r="3985">
      <c r="A3985" s="4"/>
      <c r="B3985" s="4"/>
      <c r="C3985" s="4"/>
      <c r="D3985" s="4"/>
      <c r="E3985" s="4"/>
      <c r="F3985" s="4"/>
      <c r="G3985" s="4"/>
    </row>
    <row r="3986">
      <c r="A3986" s="4"/>
      <c r="B3986" s="4"/>
      <c r="C3986" s="4"/>
      <c r="D3986" s="13"/>
      <c r="E3986" s="13"/>
      <c r="F3986" s="4"/>
      <c r="G3986" s="4"/>
    </row>
    <row r="3987">
      <c r="A3987" s="4"/>
      <c r="B3987" s="4"/>
      <c r="C3987" s="4"/>
      <c r="D3987" s="4"/>
      <c r="E3987" s="4"/>
      <c r="F3987" s="4"/>
      <c r="G3987" s="4"/>
    </row>
    <row r="3988">
      <c r="A3988" s="4"/>
      <c r="B3988" s="4"/>
      <c r="C3988" s="4"/>
      <c r="D3988" s="4"/>
      <c r="E3988" s="4"/>
      <c r="F3988" s="4"/>
      <c r="G3988" s="4"/>
    </row>
    <row r="3989">
      <c r="A3989" s="4"/>
      <c r="B3989" s="4"/>
      <c r="C3989" s="4"/>
      <c r="D3989" s="4"/>
      <c r="E3989" s="4"/>
      <c r="F3989" s="4"/>
      <c r="G3989" s="4"/>
    </row>
    <row r="3990">
      <c r="A3990" s="4"/>
      <c r="B3990" s="4"/>
      <c r="C3990" s="4"/>
      <c r="D3990" s="4"/>
      <c r="E3990" s="4"/>
      <c r="F3990" s="4"/>
      <c r="G3990" s="4"/>
    </row>
    <row r="3991">
      <c r="A3991" s="4"/>
      <c r="B3991" s="4"/>
      <c r="C3991" s="4"/>
      <c r="D3991" s="4"/>
      <c r="E3991" s="13"/>
      <c r="F3991" s="4"/>
      <c r="G3991" s="4"/>
    </row>
    <row r="3992">
      <c r="A3992" s="4"/>
      <c r="B3992" s="4"/>
      <c r="C3992" s="4"/>
      <c r="D3992" s="4"/>
      <c r="E3992" s="4"/>
      <c r="F3992" s="4"/>
      <c r="G3992" s="4"/>
    </row>
    <row r="3993">
      <c r="A3993" s="4"/>
      <c r="B3993" s="4"/>
      <c r="C3993" s="4"/>
      <c r="D3993" s="4"/>
      <c r="E3993" s="4"/>
      <c r="F3993" s="4"/>
      <c r="G3993" s="4"/>
    </row>
    <row r="3994">
      <c r="A3994" s="4"/>
      <c r="B3994" s="4"/>
      <c r="C3994" s="4"/>
      <c r="D3994" s="13"/>
      <c r="E3994" s="13"/>
      <c r="F3994" s="4"/>
      <c r="G3994" s="4"/>
    </row>
    <row r="3995">
      <c r="A3995" s="4"/>
      <c r="B3995" s="4"/>
      <c r="C3995" s="4"/>
      <c r="D3995" s="4"/>
      <c r="E3995" s="13"/>
      <c r="F3995" s="4"/>
      <c r="G3995" s="4"/>
    </row>
    <row r="3996">
      <c r="A3996" s="4"/>
      <c r="B3996" s="4"/>
      <c r="C3996" s="4"/>
      <c r="D3996" s="4"/>
      <c r="E3996" s="4"/>
      <c r="F3996" s="4"/>
      <c r="G3996" s="4"/>
    </row>
    <row r="3997">
      <c r="A3997" s="4"/>
      <c r="B3997" s="4"/>
      <c r="C3997" s="4"/>
      <c r="D3997" s="13"/>
      <c r="E3997" s="13"/>
      <c r="F3997" s="4"/>
      <c r="G3997" s="4"/>
    </row>
    <row r="3998">
      <c r="A3998" s="4"/>
      <c r="B3998" s="4"/>
      <c r="C3998" s="4"/>
      <c r="D3998" s="13"/>
      <c r="E3998" s="13"/>
      <c r="F3998" s="4"/>
      <c r="G3998" s="4"/>
    </row>
    <row r="3999">
      <c r="A3999" s="4"/>
      <c r="B3999" s="4"/>
      <c r="C3999" s="4"/>
      <c r="D3999" s="13"/>
      <c r="E3999" s="13"/>
      <c r="F3999" s="4"/>
      <c r="G3999" s="4"/>
    </row>
    <row r="4000">
      <c r="A4000" s="4"/>
      <c r="B4000" s="4"/>
      <c r="C4000" s="4"/>
      <c r="D4000" s="13"/>
      <c r="E4000" s="13"/>
      <c r="F4000" s="4"/>
      <c r="G4000" s="4"/>
    </row>
    <row r="4001">
      <c r="A4001" s="4"/>
      <c r="B4001" s="4"/>
      <c r="C4001" s="4"/>
      <c r="D4001" s="4"/>
      <c r="E4001" s="4"/>
      <c r="F4001" s="4"/>
      <c r="G4001" s="4"/>
    </row>
    <row r="4002">
      <c r="A4002" s="4"/>
      <c r="B4002" s="4"/>
      <c r="C4002" s="4"/>
      <c r="D4002" s="4"/>
      <c r="E4002" s="4"/>
      <c r="F4002" s="4"/>
      <c r="G4002" s="4"/>
    </row>
    <row r="4003">
      <c r="A4003" s="4"/>
      <c r="B4003" s="4"/>
      <c r="C4003" s="4"/>
      <c r="D4003" s="4"/>
      <c r="E4003" s="13"/>
      <c r="F4003" s="4"/>
      <c r="G4003" s="4"/>
    </row>
    <row r="4004">
      <c r="A4004" s="4"/>
      <c r="B4004" s="4"/>
      <c r="C4004" s="4"/>
      <c r="D4004" s="13"/>
      <c r="E4004" s="13"/>
      <c r="F4004" s="4"/>
      <c r="G4004" s="4"/>
    </row>
    <row r="4005">
      <c r="A4005" s="4"/>
      <c r="B4005" s="4"/>
      <c r="C4005" s="4"/>
      <c r="D4005" s="13"/>
      <c r="E4005" s="13"/>
      <c r="F4005" s="4"/>
      <c r="G4005" s="4"/>
    </row>
    <row r="4006">
      <c r="A4006" s="4"/>
      <c r="B4006" s="4"/>
      <c r="C4006" s="4"/>
      <c r="D4006" s="13"/>
      <c r="E4006" s="13"/>
      <c r="F4006" s="4"/>
      <c r="G4006" s="4"/>
    </row>
    <row r="4007">
      <c r="A4007" s="4"/>
      <c r="B4007" s="4"/>
      <c r="C4007" s="4"/>
      <c r="D4007" s="13"/>
      <c r="E4007" s="13"/>
      <c r="F4007" s="4"/>
      <c r="G4007" s="4"/>
    </row>
    <row r="4008">
      <c r="A4008" s="4"/>
      <c r="B4008" s="4"/>
      <c r="C4008" s="4"/>
      <c r="D4008" s="13"/>
      <c r="E4008" s="13"/>
      <c r="F4008" s="4"/>
      <c r="G4008" s="4"/>
    </row>
    <row r="4009">
      <c r="A4009" s="4"/>
      <c r="B4009" s="4"/>
      <c r="C4009" s="4"/>
      <c r="D4009" s="13"/>
      <c r="E4009" s="13"/>
      <c r="F4009" s="4"/>
      <c r="G4009" s="4"/>
    </row>
    <row r="4010">
      <c r="A4010" s="4"/>
      <c r="B4010" s="4"/>
      <c r="C4010" s="4"/>
      <c r="D4010" s="4"/>
      <c r="E4010" s="4"/>
      <c r="F4010" s="4"/>
      <c r="G4010" s="4"/>
    </row>
    <row r="4011">
      <c r="A4011" s="4"/>
      <c r="B4011" s="4"/>
      <c r="C4011" s="4"/>
      <c r="D4011" s="13"/>
      <c r="E4011" s="13"/>
      <c r="F4011" s="4"/>
      <c r="G4011" s="4"/>
    </row>
    <row r="4012">
      <c r="A4012" s="4"/>
      <c r="B4012" s="4"/>
      <c r="C4012" s="4"/>
      <c r="D4012" s="13"/>
      <c r="E4012" s="13"/>
      <c r="F4012" s="4"/>
      <c r="G4012" s="4"/>
    </row>
    <row r="4013">
      <c r="A4013" s="4"/>
      <c r="B4013" s="4"/>
      <c r="C4013" s="4"/>
      <c r="D4013" s="13"/>
      <c r="E4013" s="13"/>
      <c r="F4013" s="4"/>
      <c r="G4013" s="4"/>
    </row>
    <row r="4014">
      <c r="A4014" s="4"/>
      <c r="B4014" s="4"/>
      <c r="C4014" s="4"/>
      <c r="D4014" s="13"/>
      <c r="E4014" s="13"/>
      <c r="F4014" s="4"/>
      <c r="G4014" s="4"/>
    </row>
    <row r="4015">
      <c r="A4015" s="4"/>
      <c r="B4015" s="4"/>
      <c r="C4015" s="4"/>
      <c r="D4015" s="4"/>
      <c r="E4015" s="13"/>
      <c r="F4015" s="4"/>
      <c r="G4015" s="4"/>
    </row>
    <row r="4016">
      <c r="A4016" s="4"/>
      <c r="B4016" s="4"/>
      <c r="C4016" s="4"/>
      <c r="D4016" s="4"/>
      <c r="E4016" s="4"/>
      <c r="F4016" s="4"/>
      <c r="G4016" s="4"/>
    </row>
    <row r="4017">
      <c r="A4017" s="4"/>
      <c r="B4017" s="4"/>
      <c r="C4017" s="4"/>
      <c r="D4017" s="13"/>
      <c r="E4017" s="13"/>
      <c r="F4017" s="4"/>
      <c r="G4017" s="4"/>
    </row>
    <row r="4018">
      <c r="A4018" s="4"/>
      <c r="B4018" s="4"/>
      <c r="C4018" s="4"/>
      <c r="D4018" s="13"/>
      <c r="E4018" s="13"/>
      <c r="F4018" s="4"/>
      <c r="G4018" s="4"/>
    </row>
    <row r="4019">
      <c r="A4019" s="4"/>
      <c r="B4019" s="4"/>
      <c r="C4019" s="4"/>
      <c r="D4019" s="13"/>
      <c r="E4019" s="13"/>
      <c r="F4019" s="4"/>
      <c r="G4019" s="4"/>
    </row>
    <row r="4020">
      <c r="A4020" s="4"/>
      <c r="B4020" s="4"/>
      <c r="C4020" s="4"/>
      <c r="D4020" s="13"/>
      <c r="E4020" s="13"/>
      <c r="F4020" s="4"/>
      <c r="G4020" s="4"/>
    </row>
    <row r="4021">
      <c r="A4021" s="4"/>
      <c r="B4021" s="4"/>
      <c r="C4021" s="4"/>
      <c r="D4021" s="13"/>
      <c r="E4021" s="13"/>
      <c r="F4021" s="4"/>
      <c r="G4021" s="4"/>
    </row>
    <row r="4022">
      <c r="A4022" s="4"/>
      <c r="B4022" s="4"/>
      <c r="C4022" s="4"/>
      <c r="D4022" s="13"/>
      <c r="E4022" s="13"/>
      <c r="F4022" s="4"/>
      <c r="G4022" s="4"/>
    </row>
    <row r="4023">
      <c r="A4023" s="4"/>
      <c r="B4023" s="4"/>
      <c r="C4023" s="4"/>
      <c r="D4023" s="4"/>
      <c r="E4023" s="4"/>
      <c r="F4023" s="4"/>
      <c r="G4023" s="4"/>
    </row>
    <row r="4024">
      <c r="A4024" s="4"/>
      <c r="B4024" s="4"/>
      <c r="C4024" s="4"/>
      <c r="D4024" s="4"/>
      <c r="E4024" s="4"/>
      <c r="F4024" s="4"/>
      <c r="G4024" s="4"/>
    </row>
    <row r="4025">
      <c r="A4025" s="4"/>
      <c r="B4025" s="4"/>
      <c r="C4025" s="4"/>
      <c r="D4025" s="4"/>
      <c r="E4025" s="4"/>
      <c r="F4025" s="4"/>
      <c r="G4025" s="4"/>
    </row>
    <row r="4026">
      <c r="A4026" s="4"/>
      <c r="B4026" s="4"/>
      <c r="C4026" s="4"/>
      <c r="D4026" s="4"/>
      <c r="E4026" s="4"/>
      <c r="F4026" s="4"/>
      <c r="G4026" s="4"/>
    </row>
    <row r="4027">
      <c r="A4027" s="4"/>
      <c r="B4027" s="4"/>
      <c r="C4027" s="4"/>
      <c r="D4027" s="4"/>
      <c r="E4027" s="4"/>
      <c r="F4027" s="4"/>
      <c r="G4027" s="4"/>
    </row>
    <row r="4028">
      <c r="A4028" s="4"/>
      <c r="B4028" s="4"/>
      <c r="C4028" s="4"/>
      <c r="D4028" s="4"/>
      <c r="E4028" s="4"/>
      <c r="F4028" s="4"/>
      <c r="G4028" s="4"/>
    </row>
    <row r="4029">
      <c r="A4029" s="4"/>
      <c r="B4029" s="4"/>
      <c r="C4029" s="4"/>
      <c r="D4029" s="4"/>
      <c r="E4029" s="13"/>
      <c r="F4029" s="4"/>
      <c r="G4029" s="4"/>
    </row>
    <row r="4030">
      <c r="A4030" s="4"/>
      <c r="B4030" s="4"/>
      <c r="C4030" s="4"/>
      <c r="D4030" s="4"/>
      <c r="E4030" s="4"/>
      <c r="F4030" s="4"/>
      <c r="G4030" s="4"/>
    </row>
    <row r="4031">
      <c r="A4031" s="4"/>
      <c r="B4031" s="4"/>
      <c r="C4031" s="4"/>
      <c r="D4031" s="4"/>
      <c r="E4031" s="4"/>
      <c r="F4031" s="4"/>
      <c r="G4031" s="4"/>
    </row>
    <row r="4032">
      <c r="A4032" s="4"/>
      <c r="B4032" s="4"/>
      <c r="C4032" s="4"/>
      <c r="D4032" s="13"/>
      <c r="E4032" s="13"/>
      <c r="F4032" s="4"/>
      <c r="G4032" s="4"/>
    </row>
    <row r="4033">
      <c r="A4033" s="4"/>
      <c r="B4033" s="4"/>
      <c r="C4033" s="4"/>
      <c r="D4033" s="13"/>
      <c r="E4033" s="13"/>
      <c r="F4033" s="4"/>
      <c r="G4033" s="4"/>
    </row>
    <row r="4034">
      <c r="A4034" s="4"/>
      <c r="B4034" s="4"/>
      <c r="C4034" s="4"/>
      <c r="D4034" s="4"/>
      <c r="E4034" s="13"/>
      <c r="F4034" s="4"/>
      <c r="G4034" s="4"/>
    </row>
    <row r="4035">
      <c r="A4035" s="4"/>
      <c r="B4035" s="4"/>
      <c r="C4035" s="4"/>
      <c r="D4035" s="4"/>
      <c r="E4035" s="4"/>
      <c r="F4035" s="4"/>
      <c r="G4035" s="4"/>
    </row>
    <row r="4036">
      <c r="A4036" s="4"/>
      <c r="B4036" s="4"/>
      <c r="C4036" s="4"/>
      <c r="D4036" s="4"/>
      <c r="E4036" s="4"/>
      <c r="F4036" s="4"/>
      <c r="G4036" s="4"/>
    </row>
    <row r="4037">
      <c r="A4037" s="4"/>
      <c r="B4037" s="4"/>
      <c r="C4037" s="4"/>
      <c r="D4037" s="13"/>
      <c r="E4037" s="13"/>
      <c r="F4037" s="4"/>
      <c r="G4037" s="4"/>
    </row>
    <row r="4038">
      <c r="A4038" s="4"/>
      <c r="B4038" s="4"/>
      <c r="C4038" s="4"/>
      <c r="D4038" s="4"/>
      <c r="E4038" s="4"/>
      <c r="F4038" s="4"/>
      <c r="G4038" s="4"/>
    </row>
    <row r="4039">
      <c r="A4039" s="4"/>
      <c r="B4039" s="4"/>
      <c r="C4039" s="4"/>
      <c r="D4039" s="4"/>
      <c r="E4039" s="4"/>
      <c r="F4039" s="4"/>
      <c r="G4039" s="4"/>
    </row>
    <row r="4040">
      <c r="A4040" s="4"/>
      <c r="B4040" s="4"/>
      <c r="C4040" s="4"/>
      <c r="D4040" s="13"/>
      <c r="E4040" s="13"/>
      <c r="F4040" s="4"/>
      <c r="G4040" s="4"/>
    </row>
    <row r="4041">
      <c r="A4041" s="4"/>
      <c r="B4041" s="4"/>
      <c r="C4041" s="4"/>
      <c r="D4041" s="4"/>
      <c r="E4041" s="4"/>
      <c r="F4041" s="4"/>
      <c r="G4041" s="4"/>
    </row>
    <row r="4042">
      <c r="A4042" s="4"/>
      <c r="B4042" s="4"/>
      <c r="C4042" s="4"/>
      <c r="D4042" s="4"/>
      <c r="E4042" s="4"/>
      <c r="F4042" s="4"/>
      <c r="G4042" s="4"/>
    </row>
    <row r="4043">
      <c r="A4043" s="4"/>
      <c r="B4043" s="4"/>
      <c r="C4043" s="4"/>
      <c r="D4043" s="13"/>
      <c r="E4043" s="13"/>
      <c r="F4043" s="4"/>
      <c r="G4043" s="4"/>
    </row>
    <row r="4044">
      <c r="A4044" s="4"/>
      <c r="B4044" s="4"/>
      <c r="C4044" s="4"/>
      <c r="D4044" s="4"/>
      <c r="E4044" s="4"/>
      <c r="F4044" s="4"/>
      <c r="G4044" s="4"/>
    </row>
    <row r="4045">
      <c r="A4045" s="4"/>
      <c r="B4045" s="4"/>
      <c r="C4045" s="4"/>
      <c r="D4045" s="4"/>
      <c r="E4045" s="4"/>
      <c r="F4045" s="4"/>
      <c r="G4045" s="4"/>
    </row>
    <row r="4046">
      <c r="A4046" s="4"/>
      <c r="B4046" s="4"/>
      <c r="C4046" s="4"/>
      <c r="D4046" s="4"/>
      <c r="E4046" s="4"/>
      <c r="F4046" s="4"/>
      <c r="G4046" s="4"/>
    </row>
    <row r="4047">
      <c r="A4047" s="4"/>
      <c r="B4047" s="4"/>
      <c r="C4047" s="4"/>
      <c r="D4047" s="4"/>
      <c r="E4047" s="13"/>
      <c r="F4047" s="4"/>
      <c r="G4047" s="4"/>
    </row>
    <row r="4048">
      <c r="A4048" s="4"/>
      <c r="B4048" s="4"/>
      <c r="C4048" s="4"/>
      <c r="D4048" s="4"/>
      <c r="E4048" s="4"/>
      <c r="F4048" s="4"/>
      <c r="G4048" s="4"/>
    </row>
    <row r="4049">
      <c r="A4049" s="4"/>
      <c r="B4049" s="4"/>
      <c r="C4049" s="4"/>
      <c r="D4049" s="4"/>
      <c r="E4049" s="13"/>
      <c r="F4049" s="4"/>
      <c r="G4049" s="4"/>
    </row>
    <row r="4050">
      <c r="A4050" s="4"/>
      <c r="B4050" s="4"/>
      <c r="C4050" s="4"/>
      <c r="D4050" s="4"/>
      <c r="E4050" s="4"/>
      <c r="F4050" s="4"/>
      <c r="G4050" s="4"/>
    </row>
    <row r="4051">
      <c r="A4051" s="4"/>
      <c r="B4051" s="4"/>
      <c r="C4051" s="4"/>
      <c r="D4051" s="4"/>
      <c r="E4051" s="4"/>
      <c r="F4051" s="4"/>
      <c r="G4051" s="4"/>
    </row>
    <row r="4052">
      <c r="A4052" s="4"/>
      <c r="B4052" s="4"/>
      <c r="C4052" s="4"/>
      <c r="D4052" s="4"/>
      <c r="E4052" s="13"/>
      <c r="F4052" s="4"/>
      <c r="G4052" s="4"/>
    </row>
    <row r="4053">
      <c r="A4053" s="4"/>
      <c r="B4053" s="4"/>
      <c r="C4053" s="4"/>
      <c r="D4053" s="4"/>
      <c r="E4053" s="13"/>
      <c r="F4053" s="4"/>
      <c r="G4053" s="4"/>
    </row>
    <row r="4054">
      <c r="A4054" s="4"/>
      <c r="B4054" s="4"/>
      <c r="C4054" s="4"/>
      <c r="D4054" s="4"/>
      <c r="E4054" s="4"/>
      <c r="F4054" s="4"/>
      <c r="G4054" s="4"/>
    </row>
    <row r="4055">
      <c r="A4055" s="4"/>
      <c r="B4055" s="4"/>
      <c r="C4055" s="4"/>
      <c r="D4055" s="13"/>
      <c r="E4055" s="13"/>
      <c r="F4055" s="4"/>
      <c r="G4055" s="4"/>
    </row>
    <row r="4056">
      <c r="A4056" s="4"/>
      <c r="B4056" s="4"/>
      <c r="C4056" s="4"/>
      <c r="D4056" s="13"/>
      <c r="E4056" s="13"/>
      <c r="F4056" s="4"/>
      <c r="G4056" s="4"/>
    </row>
    <row r="4057">
      <c r="A4057" s="4"/>
      <c r="B4057" s="4"/>
      <c r="C4057" s="4"/>
      <c r="D4057" s="13"/>
      <c r="E4057" s="13"/>
      <c r="F4057" s="4"/>
      <c r="G4057" s="4"/>
    </row>
    <row r="4058">
      <c r="A4058" s="4"/>
      <c r="B4058" s="4"/>
      <c r="C4058" s="4"/>
      <c r="D4058" s="4"/>
      <c r="E4058" s="13"/>
      <c r="F4058" s="4"/>
      <c r="G4058" s="4"/>
    </row>
    <row r="4059">
      <c r="A4059" s="4"/>
      <c r="B4059" s="4"/>
      <c r="C4059" s="4"/>
      <c r="D4059" s="4"/>
      <c r="E4059" s="13"/>
      <c r="F4059" s="4"/>
      <c r="G4059" s="4"/>
    </row>
    <row r="4060">
      <c r="A4060" s="4"/>
      <c r="B4060" s="4"/>
      <c r="C4060" s="4"/>
      <c r="D4060" s="4"/>
      <c r="E4060" s="4"/>
      <c r="F4060" s="4"/>
      <c r="G4060" s="4"/>
    </row>
    <row r="4061">
      <c r="A4061" s="4"/>
      <c r="B4061" s="4"/>
      <c r="C4061" s="4"/>
      <c r="D4061" s="4"/>
      <c r="E4061" s="4"/>
      <c r="F4061" s="4"/>
      <c r="G4061" s="4"/>
    </row>
    <row r="4062">
      <c r="A4062" s="4"/>
      <c r="B4062" s="4"/>
      <c r="C4062" s="4"/>
      <c r="D4062" s="4"/>
      <c r="E4062" s="13"/>
      <c r="F4062" s="4"/>
      <c r="G4062" s="4"/>
    </row>
    <row r="4063">
      <c r="A4063" s="4"/>
      <c r="B4063" s="4"/>
      <c r="C4063" s="4"/>
      <c r="D4063" s="4"/>
      <c r="E4063" s="4"/>
      <c r="F4063" s="4"/>
      <c r="G4063" s="4"/>
    </row>
    <row r="4064">
      <c r="A4064" s="4"/>
      <c r="B4064" s="4"/>
      <c r="C4064" s="4"/>
      <c r="D4064" s="4"/>
      <c r="E4064" s="13"/>
      <c r="F4064" s="4"/>
      <c r="G4064" s="4"/>
    </row>
    <row r="4065">
      <c r="A4065" s="4"/>
      <c r="B4065" s="4"/>
      <c r="C4065" s="4"/>
      <c r="D4065" s="4"/>
      <c r="E4065" s="4"/>
      <c r="F4065" s="4"/>
      <c r="G4065" s="4"/>
    </row>
    <row r="4066">
      <c r="A4066" s="4"/>
      <c r="B4066" s="4"/>
      <c r="C4066" s="4"/>
      <c r="D4066" s="4"/>
      <c r="E4066" s="4"/>
      <c r="F4066" s="4"/>
      <c r="G4066" s="4"/>
    </row>
    <row r="4067">
      <c r="A4067" s="4"/>
      <c r="B4067" s="4"/>
      <c r="C4067" s="4"/>
      <c r="D4067" s="4"/>
      <c r="E4067" s="13"/>
      <c r="F4067" s="4"/>
      <c r="G4067" s="4"/>
    </row>
    <row r="4068">
      <c r="A4068" s="4"/>
      <c r="B4068" s="4"/>
      <c r="C4068" s="4"/>
      <c r="D4068" s="4"/>
      <c r="E4068" s="4"/>
      <c r="F4068" s="4"/>
      <c r="G4068" s="4"/>
    </row>
    <row r="4069">
      <c r="A4069" s="4"/>
      <c r="B4069" s="4"/>
      <c r="C4069" s="4"/>
      <c r="D4069" s="4"/>
      <c r="E4069" s="4"/>
      <c r="F4069" s="4"/>
      <c r="G4069" s="4"/>
    </row>
    <row r="4070">
      <c r="A4070" s="4"/>
      <c r="B4070" s="4"/>
      <c r="C4070" s="4"/>
      <c r="D4070" s="4"/>
      <c r="E4070" s="4"/>
      <c r="F4070" s="4"/>
      <c r="G4070" s="4"/>
    </row>
    <row r="4071">
      <c r="A4071" s="4"/>
      <c r="B4071" s="4"/>
      <c r="C4071" s="4"/>
      <c r="D4071" s="4"/>
      <c r="E4071" s="13"/>
      <c r="F4071" s="4"/>
      <c r="G4071" s="4"/>
    </row>
    <row r="4072">
      <c r="A4072" s="4"/>
      <c r="B4072" s="4"/>
      <c r="C4072" s="4"/>
      <c r="D4072" s="4"/>
      <c r="E4072" s="13"/>
      <c r="F4072" s="4"/>
      <c r="G4072" s="4"/>
    </row>
    <row r="4073">
      <c r="A4073" s="4"/>
      <c r="B4073" s="4"/>
      <c r="C4073" s="4"/>
      <c r="D4073" s="4"/>
      <c r="E4073" s="4"/>
      <c r="F4073" s="4"/>
      <c r="G4073" s="4"/>
    </row>
    <row r="4074">
      <c r="A4074" s="4"/>
      <c r="B4074" s="4"/>
      <c r="C4074" s="4"/>
      <c r="D4074" s="13"/>
      <c r="E4074" s="13"/>
      <c r="F4074" s="4"/>
      <c r="G4074" s="4"/>
    </row>
    <row r="4075">
      <c r="A4075" s="4"/>
      <c r="B4075" s="4"/>
      <c r="C4075" s="4"/>
      <c r="D4075" s="4"/>
      <c r="E4075" s="4"/>
      <c r="F4075" s="4"/>
      <c r="G4075" s="4"/>
    </row>
    <row r="4076">
      <c r="A4076" s="4"/>
      <c r="B4076" s="4"/>
      <c r="C4076" s="4"/>
      <c r="D4076" s="4"/>
      <c r="E4076" s="13"/>
      <c r="F4076" s="4"/>
      <c r="G4076" s="4"/>
    </row>
    <row r="4077">
      <c r="A4077" s="4"/>
      <c r="B4077" s="4"/>
      <c r="C4077" s="4"/>
      <c r="D4077" s="4"/>
      <c r="E4077" s="4"/>
      <c r="F4077" s="4"/>
      <c r="G4077" s="4"/>
    </row>
    <row r="4078">
      <c r="A4078" s="4"/>
      <c r="B4078" s="4"/>
      <c r="C4078" s="4"/>
      <c r="D4078" s="4"/>
      <c r="E4078" s="4"/>
      <c r="F4078" s="4"/>
      <c r="G4078" s="4"/>
    </row>
    <row r="4079">
      <c r="A4079" s="4"/>
      <c r="B4079" s="4"/>
      <c r="C4079" s="4"/>
      <c r="D4079" s="4"/>
      <c r="E4079" s="4"/>
      <c r="F4079" s="4"/>
      <c r="G4079" s="4"/>
    </row>
    <row r="4080">
      <c r="A4080" s="4"/>
      <c r="B4080" s="4"/>
      <c r="C4080" s="4"/>
      <c r="D4080" s="13"/>
      <c r="E4080" s="4"/>
      <c r="F4080" s="4"/>
      <c r="G4080" s="4"/>
    </row>
    <row r="4081">
      <c r="A4081" s="4"/>
      <c r="B4081" s="4"/>
      <c r="C4081" s="4"/>
      <c r="D4081" s="4"/>
      <c r="E4081" s="13"/>
      <c r="F4081" s="4"/>
      <c r="G4081" s="4"/>
    </row>
    <row r="4082">
      <c r="A4082" s="4"/>
      <c r="B4082" s="4"/>
      <c r="C4082" s="4"/>
      <c r="D4082" s="4"/>
      <c r="E4082" s="4"/>
      <c r="F4082" s="4"/>
      <c r="G4082" s="4"/>
    </row>
    <row r="4083">
      <c r="A4083" s="4"/>
      <c r="B4083" s="4"/>
      <c r="C4083" s="4"/>
      <c r="D4083" s="4"/>
      <c r="E4083" s="13"/>
      <c r="F4083" s="4"/>
      <c r="G4083" s="4"/>
    </row>
    <row r="4084">
      <c r="A4084" s="4"/>
      <c r="B4084" s="4"/>
      <c r="C4084" s="4"/>
      <c r="D4084" s="4"/>
      <c r="E4084" s="4"/>
      <c r="F4084" s="4"/>
      <c r="G4084" s="4"/>
    </row>
    <row r="4085">
      <c r="A4085" s="4"/>
      <c r="B4085" s="4"/>
      <c r="C4085" s="4"/>
      <c r="D4085" s="4"/>
      <c r="E4085" s="4"/>
      <c r="F4085" s="4"/>
      <c r="G4085" s="4"/>
    </row>
    <row r="4086">
      <c r="A4086" s="4"/>
      <c r="B4086" s="4"/>
      <c r="C4086" s="4"/>
      <c r="D4086" s="4"/>
      <c r="E4086" s="4"/>
      <c r="F4086" s="4"/>
      <c r="G4086" s="4"/>
    </row>
    <row r="4087">
      <c r="A4087" s="4"/>
      <c r="B4087" s="4"/>
      <c r="C4087" s="4"/>
      <c r="D4087" s="4"/>
      <c r="E4087" s="4"/>
      <c r="F4087" s="4"/>
      <c r="G4087" s="4"/>
    </row>
    <row r="4088">
      <c r="A4088" s="4"/>
      <c r="B4088" s="4"/>
      <c r="C4088" s="4"/>
      <c r="D4088" s="4"/>
      <c r="E4088" s="4"/>
      <c r="F4088" s="4"/>
      <c r="G4088" s="4"/>
    </row>
    <row r="4089">
      <c r="A4089" s="4"/>
      <c r="B4089" s="4"/>
      <c r="C4089" s="4"/>
      <c r="D4089" s="4"/>
      <c r="E4089" s="4"/>
      <c r="F4089" s="4"/>
      <c r="G4089" s="4"/>
    </row>
    <row r="4090">
      <c r="A4090" s="4"/>
      <c r="B4090" s="4"/>
      <c r="C4090" s="4"/>
      <c r="D4090" s="13"/>
      <c r="E4090" s="13"/>
      <c r="F4090" s="4"/>
      <c r="G4090" s="4"/>
    </row>
    <row r="4091">
      <c r="A4091" s="4"/>
      <c r="B4091" s="4"/>
      <c r="C4091" s="4"/>
      <c r="D4091" s="4"/>
      <c r="E4091" s="13"/>
      <c r="F4091" s="4"/>
      <c r="G4091" s="4"/>
    </row>
    <row r="4092">
      <c r="A4092" s="4"/>
      <c r="B4092" s="4"/>
      <c r="C4092" s="4"/>
      <c r="D4092" s="4"/>
      <c r="E4092" s="4"/>
      <c r="F4092" s="4"/>
      <c r="G4092" s="4"/>
    </row>
    <row r="4093">
      <c r="A4093" s="4"/>
      <c r="B4093" s="4"/>
      <c r="C4093" s="4"/>
      <c r="D4093" s="4"/>
      <c r="E4093" s="4"/>
      <c r="F4093" s="4"/>
      <c r="G4093" s="4"/>
    </row>
    <row r="4094">
      <c r="A4094" s="4"/>
      <c r="B4094" s="4"/>
      <c r="C4094" s="4"/>
      <c r="D4094" s="4"/>
      <c r="E4094" s="4"/>
      <c r="F4094" s="4"/>
      <c r="G4094" s="4"/>
    </row>
    <row r="4095">
      <c r="A4095" s="4"/>
      <c r="B4095" s="4"/>
      <c r="C4095" s="4"/>
      <c r="D4095" s="4"/>
      <c r="E4095" s="13"/>
      <c r="F4095" s="4"/>
      <c r="G4095" s="4"/>
    </row>
    <row r="4096">
      <c r="A4096" s="4"/>
      <c r="B4096" s="4"/>
      <c r="C4096" s="4"/>
      <c r="D4096" s="13"/>
      <c r="E4096" s="13"/>
      <c r="F4096" s="4"/>
      <c r="G4096" s="4"/>
    </row>
    <row r="4097">
      <c r="A4097" s="4"/>
      <c r="B4097" s="4"/>
      <c r="C4097" s="4"/>
      <c r="D4097" s="4"/>
      <c r="E4097" s="4"/>
      <c r="F4097" s="4"/>
      <c r="G4097" s="4"/>
    </row>
    <row r="4098">
      <c r="A4098" s="4"/>
      <c r="B4098" s="4"/>
      <c r="C4098" s="4"/>
      <c r="D4098" s="4"/>
      <c r="E4098" s="4"/>
      <c r="F4098" s="4"/>
      <c r="G4098" s="4"/>
    </row>
    <row r="4099">
      <c r="A4099" s="4"/>
      <c r="B4099" s="4"/>
      <c r="C4099" s="4"/>
      <c r="D4099" s="4"/>
      <c r="E4099" s="4"/>
      <c r="F4099" s="4"/>
      <c r="G4099" s="4"/>
    </row>
    <row r="4100">
      <c r="A4100" s="4"/>
      <c r="B4100" s="4"/>
      <c r="C4100" s="4"/>
      <c r="D4100" s="4"/>
      <c r="E4100" s="4"/>
      <c r="F4100" s="4"/>
      <c r="G4100" s="4"/>
    </row>
    <row r="4101">
      <c r="A4101" s="4"/>
      <c r="B4101" s="4"/>
      <c r="C4101" s="4"/>
      <c r="D4101" s="4"/>
      <c r="E4101" s="4"/>
      <c r="F4101" s="4"/>
      <c r="G4101" s="4"/>
    </row>
    <row r="4102">
      <c r="A4102" s="4"/>
      <c r="B4102" s="4"/>
      <c r="C4102" s="4"/>
      <c r="D4102" s="4"/>
      <c r="E4102" s="13"/>
      <c r="F4102" s="4"/>
      <c r="G4102" s="4"/>
    </row>
    <row r="4103">
      <c r="A4103" s="4"/>
      <c r="B4103" s="4"/>
      <c r="C4103" s="4"/>
      <c r="D4103" s="4"/>
      <c r="E4103" s="13"/>
      <c r="F4103" s="4"/>
      <c r="G4103" s="4"/>
    </row>
    <row r="4104">
      <c r="A4104" s="4"/>
      <c r="B4104" s="4"/>
      <c r="C4104" s="4"/>
      <c r="D4104" s="4"/>
      <c r="E4104" s="4"/>
      <c r="F4104" s="4"/>
      <c r="G4104" s="4"/>
    </row>
    <row r="4105">
      <c r="A4105" s="4"/>
      <c r="B4105" s="4"/>
      <c r="C4105" s="4"/>
      <c r="D4105" s="4"/>
      <c r="E4105" s="4"/>
      <c r="F4105" s="4"/>
      <c r="G4105" s="4"/>
    </row>
    <row r="4106">
      <c r="A4106" s="4"/>
      <c r="B4106" s="4"/>
      <c r="C4106" s="4"/>
      <c r="D4106" s="4"/>
      <c r="E4106" s="13"/>
      <c r="F4106" s="4"/>
      <c r="G4106" s="4"/>
    </row>
    <row r="4107">
      <c r="A4107" s="4"/>
      <c r="B4107" s="4"/>
      <c r="C4107" s="4"/>
      <c r="D4107" s="4"/>
      <c r="E4107" s="4"/>
      <c r="F4107" s="4"/>
      <c r="G4107" s="4"/>
    </row>
    <row r="4108">
      <c r="A4108" s="4"/>
      <c r="B4108" s="4"/>
      <c r="C4108" s="4"/>
      <c r="D4108" s="4"/>
      <c r="E4108" s="4"/>
      <c r="F4108" s="4"/>
      <c r="G4108" s="4"/>
    </row>
    <row r="4109">
      <c r="A4109" s="4"/>
      <c r="B4109" s="4"/>
      <c r="C4109" s="4"/>
      <c r="D4109" s="4"/>
      <c r="E4109" s="4"/>
      <c r="F4109" s="4"/>
      <c r="G4109" s="4"/>
    </row>
    <row r="4110">
      <c r="A4110" s="4"/>
      <c r="B4110" s="4"/>
      <c r="C4110" s="4"/>
      <c r="D4110" s="4"/>
      <c r="E4110" s="4"/>
      <c r="F4110" s="4"/>
      <c r="G4110" s="4"/>
    </row>
    <row r="4111">
      <c r="A4111" s="4"/>
      <c r="B4111" s="4"/>
      <c r="C4111" s="4"/>
      <c r="D4111" s="4"/>
      <c r="E4111" s="4"/>
      <c r="F4111" s="4"/>
      <c r="G4111" s="4"/>
    </row>
    <row r="4112">
      <c r="A4112" s="4"/>
      <c r="B4112" s="4"/>
      <c r="C4112" s="4"/>
      <c r="D4112" s="4"/>
      <c r="E4112" s="13"/>
      <c r="F4112" s="4"/>
      <c r="G4112" s="4"/>
    </row>
    <row r="4113">
      <c r="A4113" s="4"/>
      <c r="B4113" s="4"/>
      <c r="C4113" s="4"/>
      <c r="D4113" s="4"/>
      <c r="E4113" s="13"/>
      <c r="F4113" s="4"/>
      <c r="G4113" s="4"/>
    </row>
    <row r="4114">
      <c r="A4114" s="4"/>
      <c r="B4114" s="4"/>
      <c r="C4114" s="4"/>
      <c r="D4114" s="4"/>
      <c r="E4114" s="4"/>
      <c r="F4114" s="4"/>
      <c r="G4114" s="4"/>
    </row>
    <row r="4115">
      <c r="A4115" s="4"/>
      <c r="B4115" s="4"/>
      <c r="C4115" s="4"/>
      <c r="D4115" s="13"/>
      <c r="E4115" s="13"/>
      <c r="F4115" s="4"/>
      <c r="G4115" s="4"/>
    </row>
    <row r="4116">
      <c r="A4116" s="4"/>
      <c r="B4116" s="4"/>
      <c r="C4116" s="4"/>
      <c r="D4116" s="4"/>
      <c r="E4116" s="4"/>
      <c r="F4116" s="4"/>
      <c r="G4116" s="4"/>
    </row>
    <row r="4117">
      <c r="A4117" s="4"/>
      <c r="B4117" s="4"/>
      <c r="C4117" s="4"/>
      <c r="D4117" s="4"/>
      <c r="E4117" s="4"/>
      <c r="F4117" s="4"/>
      <c r="G4117" s="4"/>
    </row>
    <row r="4118">
      <c r="A4118" s="4"/>
      <c r="B4118" s="4"/>
      <c r="C4118" s="4"/>
      <c r="D4118" s="4"/>
      <c r="E4118" s="4"/>
      <c r="F4118" s="4"/>
      <c r="G4118" s="4"/>
    </row>
    <row r="4119">
      <c r="A4119" s="4"/>
      <c r="B4119" s="4"/>
      <c r="C4119" s="4"/>
      <c r="D4119" s="4"/>
      <c r="E4119" s="13"/>
      <c r="F4119" s="4"/>
      <c r="G4119" s="4"/>
    </row>
    <row r="4120">
      <c r="A4120" s="4"/>
      <c r="B4120" s="4"/>
      <c r="C4120" s="4"/>
      <c r="D4120" s="4"/>
      <c r="E4120" s="4"/>
      <c r="F4120" s="4"/>
      <c r="G4120" s="4"/>
    </row>
    <row r="4121">
      <c r="A4121" s="4"/>
      <c r="B4121" s="4"/>
      <c r="C4121" s="4"/>
      <c r="D4121" s="4"/>
      <c r="E4121" s="4"/>
      <c r="F4121" s="4"/>
      <c r="G4121" s="4"/>
    </row>
    <row r="4122">
      <c r="A4122" s="4"/>
      <c r="B4122" s="4"/>
      <c r="C4122" s="4"/>
      <c r="D4122" s="13"/>
      <c r="E4122" s="13"/>
      <c r="F4122" s="4"/>
      <c r="G4122" s="4"/>
    </row>
    <row r="4123">
      <c r="A4123" s="4"/>
      <c r="B4123" s="4"/>
      <c r="C4123" s="4"/>
      <c r="D4123" s="4"/>
      <c r="E4123" s="4"/>
      <c r="F4123" s="4"/>
      <c r="G4123" s="4"/>
    </row>
    <row r="4124">
      <c r="A4124" s="4"/>
      <c r="B4124" s="4"/>
      <c r="C4124" s="4"/>
      <c r="D4124" s="4"/>
      <c r="E4124" s="13"/>
      <c r="F4124" s="4"/>
      <c r="G4124" s="4"/>
    </row>
    <row r="4125">
      <c r="A4125" s="4"/>
      <c r="B4125" s="4"/>
      <c r="C4125" s="4"/>
      <c r="D4125" s="4"/>
      <c r="E4125" s="4"/>
      <c r="F4125" s="4"/>
      <c r="G4125" s="4"/>
    </row>
    <row r="4126">
      <c r="A4126" s="4"/>
      <c r="B4126" s="4"/>
      <c r="C4126" s="4"/>
      <c r="D4126" s="4"/>
      <c r="E4126" s="4"/>
      <c r="F4126" s="4"/>
      <c r="G4126" s="4"/>
    </row>
    <row r="4127">
      <c r="A4127" s="4"/>
      <c r="B4127" s="4"/>
      <c r="C4127" s="4"/>
      <c r="D4127" s="4"/>
      <c r="E4127" s="4"/>
      <c r="F4127" s="4"/>
      <c r="G4127" s="4"/>
    </row>
    <row r="4128">
      <c r="A4128" s="4"/>
      <c r="B4128" s="4"/>
      <c r="C4128" s="4"/>
      <c r="D4128" s="4"/>
      <c r="E4128" s="4"/>
      <c r="F4128" s="4"/>
      <c r="G4128" s="4"/>
    </row>
    <row r="4129">
      <c r="A4129" s="4"/>
      <c r="B4129" s="4"/>
      <c r="C4129" s="4"/>
      <c r="D4129" s="4"/>
      <c r="E4129" s="4"/>
      <c r="F4129" s="4"/>
      <c r="G4129" s="4"/>
    </row>
    <row r="4130">
      <c r="A4130" s="4"/>
      <c r="B4130" s="4"/>
      <c r="C4130" s="4"/>
      <c r="D4130" s="4"/>
      <c r="E4130" s="4"/>
      <c r="F4130" s="4"/>
      <c r="G4130" s="4"/>
    </row>
    <row r="4131">
      <c r="A4131" s="4"/>
      <c r="B4131" s="4"/>
      <c r="C4131" s="4"/>
      <c r="D4131" s="4"/>
      <c r="E4131" s="4"/>
      <c r="F4131" s="4"/>
      <c r="G4131" s="4"/>
    </row>
    <row r="4132">
      <c r="A4132" s="4"/>
      <c r="B4132" s="4"/>
      <c r="C4132" s="4"/>
      <c r="D4132" s="4"/>
      <c r="E4132" s="4"/>
      <c r="F4132" s="4"/>
      <c r="G4132" s="4"/>
    </row>
    <row r="4133">
      <c r="A4133" s="4"/>
      <c r="B4133" s="4"/>
      <c r="C4133" s="4"/>
      <c r="D4133" s="4"/>
      <c r="E4133" s="4"/>
      <c r="F4133" s="4"/>
      <c r="G4133" s="4"/>
    </row>
    <row r="4134">
      <c r="A4134" s="4"/>
      <c r="B4134" s="4"/>
      <c r="C4134" s="4"/>
      <c r="D4134" s="4"/>
      <c r="E4134" s="4"/>
      <c r="F4134" s="4"/>
      <c r="G4134" s="4"/>
    </row>
    <row r="4135">
      <c r="A4135" s="4"/>
      <c r="B4135" s="4"/>
      <c r="C4135" s="4"/>
      <c r="D4135" s="4"/>
      <c r="E4135" s="13"/>
      <c r="F4135" s="4"/>
      <c r="G4135" s="4"/>
    </row>
    <row r="4136">
      <c r="A4136" s="4"/>
      <c r="B4136" s="4"/>
      <c r="C4136" s="4"/>
      <c r="D4136" s="4"/>
      <c r="E4136" s="4"/>
      <c r="F4136" s="4"/>
      <c r="G4136" s="4"/>
    </row>
    <row r="4137">
      <c r="A4137" s="4"/>
      <c r="B4137" s="4"/>
      <c r="C4137" s="4"/>
      <c r="D4137" s="4"/>
      <c r="E4137" s="4"/>
      <c r="F4137" s="4"/>
      <c r="G4137" s="4"/>
    </row>
    <row r="4138">
      <c r="A4138" s="4"/>
      <c r="B4138" s="4"/>
      <c r="C4138" s="4"/>
      <c r="D4138" s="13"/>
      <c r="E4138" s="13"/>
      <c r="F4138" s="4"/>
      <c r="G4138" s="4"/>
    </row>
    <row r="4139">
      <c r="A4139" s="4"/>
      <c r="B4139" s="4"/>
      <c r="C4139" s="4"/>
      <c r="D4139" s="13"/>
      <c r="E4139" s="13"/>
      <c r="F4139" s="4"/>
      <c r="G4139" s="4"/>
    </row>
    <row r="4140">
      <c r="A4140" s="4"/>
      <c r="B4140" s="4"/>
      <c r="C4140" s="4"/>
      <c r="D4140" s="4"/>
      <c r="E4140" s="4"/>
      <c r="F4140" s="4"/>
      <c r="G4140" s="4"/>
    </row>
    <row r="4141">
      <c r="A4141" s="4"/>
      <c r="B4141" s="4"/>
      <c r="C4141" s="4"/>
      <c r="D4141" s="4"/>
      <c r="E4141" s="4"/>
      <c r="F4141" s="4"/>
      <c r="G4141" s="4"/>
    </row>
    <row r="4142">
      <c r="A4142" s="4"/>
      <c r="B4142" s="4"/>
      <c r="C4142" s="4"/>
      <c r="D4142" s="4"/>
      <c r="E4142" s="13"/>
      <c r="F4142" s="4"/>
      <c r="G4142" s="4"/>
    </row>
    <row r="4143">
      <c r="A4143" s="4"/>
      <c r="B4143" s="4"/>
      <c r="C4143" s="4"/>
      <c r="D4143" s="13"/>
      <c r="E4143" s="13"/>
      <c r="F4143" s="4"/>
      <c r="G4143" s="4"/>
    </row>
    <row r="4144">
      <c r="A4144" s="4"/>
      <c r="B4144" s="4"/>
      <c r="C4144" s="4"/>
      <c r="D4144" s="13"/>
      <c r="E4144" s="13"/>
      <c r="F4144" s="4"/>
      <c r="G4144" s="4"/>
    </row>
    <row r="4145">
      <c r="A4145" s="4"/>
      <c r="B4145" s="4"/>
      <c r="C4145" s="4"/>
      <c r="D4145" s="13"/>
      <c r="E4145" s="13"/>
      <c r="F4145" s="4"/>
      <c r="G4145" s="4"/>
    </row>
    <row r="4146">
      <c r="A4146" s="4"/>
      <c r="B4146" s="4"/>
      <c r="C4146" s="4"/>
      <c r="D4146" s="13"/>
      <c r="E4146" s="13"/>
      <c r="F4146" s="4"/>
      <c r="G4146" s="4"/>
    </row>
    <row r="4147">
      <c r="A4147" s="4"/>
      <c r="B4147" s="4"/>
      <c r="C4147" s="4"/>
      <c r="D4147" s="4"/>
      <c r="E4147" s="4"/>
      <c r="F4147" s="4"/>
      <c r="G4147" s="4"/>
    </row>
    <row r="4148">
      <c r="A4148" s="4"/>
      <c r="B4148" s="4"/>
      <c r="C4148" s="4"/>
      <c r="D4148" s="4"/>
      <c r="E4148" s="13"/>
      <c r="F4148" s="4"/>
      <c r="G4148" s="4"/>
    </row>
    <row r="4149">
      <c r="A4149" s="4"/>
      <c r="B4149" s="4"/>
      <c r="C4149" s="4"/>
      <c r="D4149" s="4"/>
      <c r="E4149" s="4"/>
      <c r="F4149" s="4"/>
      <c r="G4149" s="4"/>
    </row>
    <row r="4150">
      <c r="A4150" s="4"/>
      <c r="B4150" s="4"/>
      <c r="C4150" s="4"/>
      <c r="D4150" s="4"/>
      <c r="E4150" s="4"/>
      <c r="F4150" s="4"/>
      <c r="G4150" s="4"/>
    </row>
    <row r="4151">
      <c r="A4151" s="4"/>
      <c r="B4151" s="4"/>
      <c r="C4151" s="4"/>
      <c r="D4151" s="4"/>
      <c r="E4151" s="13"/>
      <c r="F4151" s="4"/>
      <c r="G4151" s="4"/>
    </row>
    <row r="4152">
      <c r="A4152" s="4"/>
      <c r="B4152" s="4"/>
      <c r="C4152" s="4"/>
      <c r="D4152" s="4"/>
      <c r="E4152" s="4"/>
      <c r="F4152" s="4"/>
      <c r="G4152" s="4"/>
    </row>
    <row r="4153">
      <c r="A4153" s="4"/>
      <c r="B4153" s="4"/>
      <c r="C4153" s="4"/>
      <c r="D4153" s="4"/>
      <c r="E4153" s="4"/>
      <c r="F4153" s="4"/>
      <c r="G4153" s="4"/>
    </row>
    <row r="4154">
      <c r="A4154" s="4"/>
      <c r="B4154" s="4"/>
      <c r="C4154" s="4"/>
      <c r="D4154" s="4"/>
      <c r="E4154" s="13"/>
      <c r="F4154" s="4"/>
      <c r="G4154" s="4"/>
    </row>
    <row r="4155">
      <c r="A4155" s="4"/>
      <c r="B4155" s="4"/>
      <c r="C4155" s="4"/>
      <c r="D4155" s="13"/>
      <c r="E4155" s="13"/>
      <c r="F4155" s="4"/>
      <c r="G4155" s="4"/>
    </row>
    <row r="4156">
      <c r="A4156" s="4"/>
      <c r="B4156" s="4"/>
      <c r="C4156" s="4"/>
      <c r="D4156" s="13"/>
      <c r="E4156" s="13"/>
      <c r="F4156" s="4"/>
      <c r="G4156" s="4"/>
    </row>
    <row r="4157">
      <c r="A4157" s="4"/>
      <c r="B4157" s="4"/>
      <c r="C4157" s="4"/>
      <c r="D4157" s="13"/>
      <c r="E4157" s="13"/>
      <c r="F4157" s="4"/>
      <c r="G4157" s="4"/>
    </row>
    <row r="4158">
      <c r="A4158" s="4"/>
      <c r="B4158" s="4"/>
      <c r="C4158" s="4"/>
      <c r="D4158" s="13"/>
      <c r="E4158" s="13"/>
      <c r="F4158" s="4"/>
      <c r="G4158" s="4"/>
    </row>
    <row r="4159">
      <c r="A4159" s="4"/>
      <c r="B4159" s="4"/>
      <c r="C4159" s="4"/>
      <c r="D4159" s="4"/>
      <c r="E4159" s="13"/>
      <c r="F4159" s="4"/>
      <c r="G4159" s="4"/>
    </row>
    <row r="4160">
      <c r="A4160" s="4"/>
      <c r="B4160" s="4"/>
      <c r="C4160" s="4"/>
      <c r="D4160" s="4"/>
      <c r="E4160" s="13"/>
      <c r="F4160" s="4"/>
      <c r="G4160" s="4"/>
    </row>
    <row r="4161">
      <c r="A4161" s="4"/>
      <c r="B4161" s="4"/>
      <c r="C4161" s="4"/>
      <c r="D4161" s="4"/>
      <c r="E4161" s="4"/>
      <c r="F4161" s="4"/>
      <c r="G4161" s="4"/>
    </row>
    <row r="4162">
      <c r="A4162" s="4"/>
      <c r="B4162" s="4"/>
      <c r="C4162" s="4"/>
      <c r="D4162" s="4"/>
      <c r="E4162" s="4"/>
      <c r="F4162" s="4"/>
      <c r="G4162" s="4"/>
    </row>
    <row r="4163">
      <c r="A4163" s="4"/>
      <c r="B4163" s="4"/>
      <c r="C4163" s="4"/>
      <c r="D4163" s="4"/>
      <c r="E4163" s="4"/>
      <c r="F4163" s="4"/>
      <c r="G4163" s="4"/>
    </row>
    <row r="4164">
      <c r="A4164" s="4"/>
      <c r="B4164" s="4"/>
      <c r="C4164" s="4"/>
      <c r="D4164" s="4"/>
      <c r="E4164" s="4"/>
      <c r="F4164" s="4"/>
      <c r="G4164" s="4"/>
    </row>
    <row r="4165">
      <c r="A4165" s="4"/>
      <c r="B4165" s="4"/>
      <c r="C4165" s="4"/>
      <c r="D4165" s="4"/>
      <c r="E4165" s="4"/>
      <c r="F4165" s="4"/>
      <c r="G4165" s="4"/>
    </row>
    <row r="4166">
      <c r="A4166" s="4"/>
      <c r="B4166" s="4"/>
      <c r="C4166" s="4"/>
      <c r="D4166" s="4"/>
      <c r="E4166" s="4"/>
      <c r="F4166" s="4"/>
      <c r="G4166" s="4"/>
    </row>
    <row r="4167">
      <c r="A4167" s="4"/>
      <c r="B4167" s="4"/>
      <c r="C4167" s="4"/>
      <c r="D4167" s="13"/>
      <c r="E4167" s="13"/>
      <c r="F4167" s="4"/>
      <c r="G4167" s="4"/>
    </row>
    <row r="4168">
      <c r="A4168" s="4"/>
      <c r="B4168" s="4"/>
      <c r="C4168" s="4"/>
      <c r="D4168" s="13"/>
      <c r="E4168" s="13"/>
      <c r="F4168" s="4"/>
      <c r="G4168" s="4"/>
    </row>
    <row r="4169">
      <c r="A4169" s="4"/>
      <c r="B4169" s="4"/>
      <c r="C4169" s="4"/>
      <c r="D4169" s="13"/>
      <c r="E4169" s="13"/>
      <c r="F4169" s="4"/>
      <c r="G4169" s="4"/>
    </row>
    <row r="4170">
      <c r="A4170" s="4"/>
      <c r="B4170" s="4"/>
      <c r="C4170" s="4"/>
      <c r="D4170" s="4"/>
      <c r="E4170" s="4"/>
      <c r="F4170" s="4"/>
      <c r="G4170" s="4"/>
    </row>
    <row r="4171">
      <c r="A4171" s="4"/>
      <c r="B4171" s="4"/>
      <c r="C4171" s="4"/>
      <c r="D4171" s="13"/>
      <c r="E4171" s="13"/>
      <c r="F4171" s="4"/>
      <c r="G4171" s="4"/>
    </row>
    <row r="4172">
      <c r="A4172" s="4"/>
      <c r="B4172" s="4"/>
      <c r="C4172" s="4"/>
      <c r="D4172" s="13"/>
      <c r="E4172" s="13"/>
      <c r="F4172" s="4"/>
      <c r="G4172" s="4"/>
    </row>
    <row r="4173">
      <c r="A4173" s="4"/>
      <c r="B4173" s="4"/>
      <c r="C4173" s="4"/>
      <c r="D4173" s="13"/>
      <c r="E4173" s="4"/>
      <c r="F4173" s="4"/>
      <c r="G4173" s="4"/>
    </row>
    <row r="4174">
      <c r="A4174" s="4"/>
      <c r="B4174" s="4"/>
      <c r="C4174" s="4"/>
      <c r="D4174" s="4"/>
      <c r="E4174" s="4"/>
      <c r="F4174" s="4"/>
      <c r="G4174" s="4"/>
    </row>
    <row r="4175">
      <c r="A4175" s="4"/>
      <c r="B4175" s="4"/>
      <c r="C4175" s="4"/>
      <c r="D4175" s="4"/>
      <c r="E4175" s="4"/>
      <c r="F4175" s="4"/>
      <c r="G4175" s="4"/>
    </row>
    <row r="4176">
      <c r="A4176" s="4"/>
      <c r="B4176" s="4"/>
      <c r="C4176" s="4"/>
      <c r="D4176" s="4"/>
      <c r="E4176" s="13"/>
      <c r="F4176" s="4"/>
      <c r="G4176" s="4"/>
    </row>
    <row r="4177">
      <c r="A4177" s="4"/>
      <c r="B4177" s="4"/>
      <c r="C4177" s="4"/>
      <c r="D4177" s="4"/>
      <c r="E4177" s="4"/>
      <c r="F4177" s="4"/>
      <c r="G4177" s="4"/>
    </row>
    <row r="4178">
      <c r="A4178" s="4"/>
      <c r="B4178" s="4"/>
      <c r="C4178" s="4"/>
      <c r="D4178" s="4"/>
      <c r="E4178" s="13"/>
      <c r="F4178" s="4"/>
      <c r="G4178" s="4"/>
    </row>
    <row r="4179">
      <c r="A4179" s="4"/>
      <c r="B4179" s="4"/>
      <c r="C4179" s="4"/>
      <c r="D4179" s="4"/>
      <c r="E4179" s="4"/>
      <c r="F4179" s="4"/>
      <c r="G4179" s="4"/>
    </row>
    <row r="4180">
      <c r="A4180" s="4"/>
      <c r="B4180" s="4"/>
      <c r="C4180" s="4"/>
      <c r="D4180" s="4"/>
      <c r="E4180" s="13"/>
      <c r="F4180" s="4"/>
      <c r="G4180" s="4"/>
    </row>
    <row r="4181">
      <c r="A4181" s="4"/>
      <c r="B4181" s="4"/>
      <c r="C4181" s="4"/>
      <c r="D4181" s="4"/>
      <c r="E4181" s="4"/>
      <c r="F4181" s="4"/>
      <c r="G4181" s="4"/>
    </row>
    <row r="4182">
      <c r="A4182" s="4"/>
      <c r="B4182" s="4"/>
      <c r="C4182" s="4"/>
      <c r="D4182" s="4"/>
      <c r="E4182" s="4"/>
      <c r="F4182" s="4"/>
      <c r="G4182" s="4"/>
    </row>
    <row r="4183">
      <c r="A4183" s="4"/>
      <c r="B4183" s="4"/>
      <c r="C4183" s="4"/>
      <c r="D4183" s="4"/>
      <c r="E4183" s="4"/>
      <c r="F4183" s="4"/>
      <c r="G4183" s="4"/>
    </row>
    <row r="4184">
      <c r="A4184" s="4"/>
      <c r="B4184" s="4"/>
      <c r="C4184" s="4"/>
      <c r="D4184" s="4"/>
      <c r="E4184" s="4"/>
      <c r="F4184" s="4"/>
      <c r="G4184" s="4"/>
    </row>
    <row r="4185">
      <c r="A4185" s="4"/>
      <c r="B4185" s="4"/>
      <c r="C4185" s="4"/>
      <c r="D4185" s="4"/>
      <c r="E4185" s="4"/>
      <c r="F4185" s="4"/>
      <c r="G4185" s="4"/>
    </row>
    <row r="4186">
      <c r="A4186" s="4"/>
      <c r="B4186" s="4"/>
      <c r="C4186" s="4"/>
      <c r="D4186" s="4"/>
      <c r="E4186" s="4"/>
      <c r="F4186" s="4"/>
      <c r="G4186" s="4"/>
    </row>
    <row r="4187">
      <c r="A4187" s="4"/>
      <c r="B4187" s="4"/>
      <c r="C4187" s="4"/>
      <c r="D4187" s="4"/>
      <c r="E4187" s="13"/>
      <c r="F4187" s="4"/>
      <c r="G4187" s="4"/>
    </row>
    <row r="4188">
      <c r="A4188" s="4"/>
      <c r="B4188" s="4"/>
      <c r="C4188" s="4"/>
      <c r="D4188" s="13"/>
      <c r="E4188" s="13"/>
      <c r="F4188" s="4"/>
      <c r="G4188" s="4"/>
    </row>
    <row r="4189">
      <c r="A4189" s="4"/>
      <c r="B4189" s="4"/>
      <c r="C4189" s="4"/>
      <c r="D4189" s="4"/>
      <c r="E4189" s="4"/>
      <c r="F4189" s="4"/>
      <c r="G4189" s="4"/>
    </row>
    <row r="4190">
      <c r="A4190" s="4"/>
      <c r="B4190" s="4"/>
      <c r="C4190" s="4"/>
      <c r="D4190" s="13"/>
      <c r="E4190" s="13"/>
      <c r="F4190" s="4"/>
      <c r="G4190" s="4"/>
    </row>
    <row r="4191">
      <c r="A4191" s="4"/>
      <c r="B4191" s="4"/>
      <c r="C4191" s="4"/>
      <c r="D4191" s="4"/>
      <c r="E4191" s="4"/>
      <c r="F4191" s="4"/>
      <c r="G4191" s="4"/>
    </row>
    <row r="4192">
      <c r="A4192" s="4"/>
      <c r="B4192" s="4"/>
      <c r="C4192" s="4"/>
      <c r="D4192" s="4"/>
      <c r="E4192" s="4"/>
      <c r="F4192" s="4"/>
      <c r="G4192" s="4"/>
    </row>
    <row r="4193">
      <c r="A4193" s="4"/>
      <c r="B4193" s="4"/>
      <c r="C4193" s="4"/>
      <c r="D4193" s="4"/>
      <c r="E4193" s="13"/>
      <c r="F4193" s="4"/>
      <c r="G4193" s="4"/>
    </row>
    <row r="4194">
      <c r="A4194" s="4"/>
      <c r="B4194" s="4"/>
      <c r="C4194" s="4"/>
      <c r="D4194" s="4"/>
      <c r="E4194" s="4"/>
      <c r="F4194" s="4"/>
      <c r="G4194" s="4"/>
    </row>
    <row r="4195">
      <c r="A4195" s="4"/>
      <c r="B4195" s="4"/>
      <c r="C4195" s="4"/>
      <c r="D4195" s="13"/>
      <c r="E4195" s="13"/>
      <c r="F4195" s="4"/>
      <c r="G4195" s="4"/>
    </row>
    <row r="4196">
      <c r="A4196" s="4"/>
      <c r="B4196" s="4"/>
      <c r="C4196" s="4"/>
      <c r="D4196" s="13"/>
      <c r="E4196" s="13"/>
      <c r="F4196" s="4"/>
      <c r="G4196" s="4"/>
    </row>
    <row r="4197">
      <c r="A4197" s="4"/>
      <c r="B4197" s="4"/>
      <c r="C4197" s="4"/>
      <c r="D4197" s="4"/>
      <c r="E4197" s="4"/>
      <c r="F4197" s="4"/>
      <c r="G4197" s="4"/>
    </row>
    <row r="4198">
      <c r="A4198" s="4"/>
      <c r="B4198" s="4"/>
      <c r="C4198" s="4"/>
      <c r="D4198" s="4"/>
      <c r="E4198" s="4"/>
      <c r="F4198" s="4"/>
      <c r="G4198" s="4"/>
    </row>
    <row r="4199">
      <c r="A4199" s="4"/>
      <c r="B4199" s="4"/>
      <c r="C4199" s="4"/>
      <c r="D4199" s="4"/>
      <c r="E4199" s="13"/>
      <c r="F4199" s="4"/>
      <c r="G4199" s="4"/>
    </row>
    <row r="4200">
      <c r="A4200" s="4"/>
      <c r="B4200" s="4"/>
      <c r="C4200" s="4"/>
      <c r="D4200" s="4"/>
      <c r="E4200" s="4"/>
      <c r="F4200" s="4"/>
      <c r="G4200" s="4"/>
    </row>
    <row r="4201">
      <c r="A4201" s="4"/>
      <c r="B4201" s="4"/>
      <c r="C4201" s="4"/>
      <c r="D4201" s="4"/>
      <c r="E4201" s="13"/>
      <c r="F4201" s="4"/>
      <c r="G4201" s="4"/>
    </row>
    <row r="4202">
      <c r="A4202" s="4"/>
      <c r="B4202" s="4"/>
      <c r="C4202" s="4"/>
      <c r="D4202" s="4"/>
      <c r="E4202" s="13"/>
      <c r="F4202" s="4"/>
      <c r="G4202" s="4"/>
    </row>
    <row r="4203">
      <c r="A4203" s="4"/>
      <c r="B4203" s="4"/>
      <c r="C4203" s="4"/>
      <c r="D4203" s="4"/>
      <c r="E4203" s="4"/>
      <c r="F4203" s="4"/>
      <c r="G4203" s="4"/>
    </row>
    <row r="4204">
      <c r="A4204" s="4"/>
      <c r="B4204" s="4"/>
      <c r="C4204" s="4"/>
      <c r="D4204" s="4"/>
      <c r="E4204" s="13"/>
      <c r="F4204" s="4"/>
      <c r="G4204" s="4"/>
    </row>
    <row r="4205">
      <c r="A4205" s="4"/>
      <c r="B4205" s="4"/>
      <c r="C4205" s="4"/>
      <c r="D4205" s="4"/>
      <c r="E4205" s="13"/>
      <c r="F4205" s="4"/>
      <c r="G4205" s="4"/>
    </row>
    <row r="4206">
      <c r="A4206" s="4"/>
      <c r="B4206" s="4"/>
      <c r="C4206" s="4"/>
      <c r="D4206" s="4"/>
      <c r="E4206" s="4"/>
      <c r="F4206" s="4"/>
      <c r="G4206" s="4"/>
    </row>
    <row r="4207">
      <c r="A4207" s="4"/>
      <c r="B4207" s="4"/>
      <c r="C4207" s="4"/>
      <c r="D4207" s="4"/>
      <c r="E4207" s="4"/>
      <c r="F4207" s="4"/>
      <c r="G4207" s="4"/>
    </row>
    <row r="4208">
      <c r="A4208" s="4"/>
      <c r="B4208" s="4"/>
      <c r="C4208" s="4"/>
      <c r="D4208" s="4"/>
      <c r="E4208" s="13"/>
      <c r="F4208" s="4"/>
      <c r="G4208" s="4"/>
    </row>
    <row r="4209">
      <c r="A4209" s="4"/>
      <c r="B4209" s="4"/>
      <c r="C4209" s="4"/>
      <c r="D4209" s="13"/>
      <c r="E4209" s="13"/>
      <c r="F4209" s="4"/>
      <c r="G4209" s="4"/>
    </row>
    <row r="4210">
      <c r="A4210" s="4"/>
      <c r="B4210" s="4"/>
      <c r="C4210" s="4"/>
      <c r="D4210" s="4"/>
      <c r="E4210" s="4"/>
      <c r="F4210" s="4"/>
      <c r="G4210" s="4"/>
    </row>
    <row r="4211">
      <c r="A4211" s="4"/>
      <c r="B4211" s="4"/>
      <c r="C4211" s="4"/>
      <c r="D4211" s="4"/>
      <c r="E4211" s="13"/>
      <c r="F4211" s="4"/>
      <c r="G4211" s="4"/>
    </row>
    <row r="4212">
      <c r="A4212" s="4"/>
      <c r="B4212" s="4"/>
      <c r="C4212" s="4"/>
      <c r="D4212" s="4"/>
      <c r="E4212" s="4"/>
      <c r="F4212" s="4"/>
      <c r="G4212" s="4"/>
    </row>
    <row r="4213">
      <c r="A4213" s="4"/>
      <c r="B4213" s="4"/>
      <c r="C4213" s="4"/>
      <c r="D4213" s="4"/>
      <c r="E4213" s="4"/>
      <c r="F4213" s="4"/>
      <c r="G4213" s="4"/>
    </row>
    <row r="4214">
      <c r="A4214" s="4"/>
      <c r="B4214" s="4"/>
      <c r="C4214" s="4"/>
      <c r="D4214" s="4"/>
      <c r="E4214" s="4"/>
      <c r="F4214" s="4"/>
      <c r="G4214" s="4"/>
    </row>
    <row r="4215">
      <c r="A4215" s="4"/>
      <c r="B4215" s="4"/>
      <c r="C4215" s="4"/>
      <c r="D4215" s="4"/>
      <c r="E4215" s="4"/>
      <c r="F4215" s="4"/>
      <c r="G4215" s="4"/>
    </row>
    <row r="4216">
      <c r="A4216" s="4"/>
      <c r="B4216" s="4"/>
      <c r="C4216" s="4"/>
      <c r="D4216" s="4"/>
      <c r="E4216" s="13"/>
      <c r="F4216" s="4"/>
      <c r="G4216" s="4"/>
    </row>
    <row r="4217">
      <c r="A4217" s="4"/>
      <c r="B4217" s="4"/>
      <c r="C4217" s="4"/>
      <c r="D4217" s="4"/>
      <c r="E4217" s="4"/>
      <c r="F4217" s="4"/>
      <c r="G4217" s="4"/>
    </row>
    <row r="4218">
      <c r="A4218" s="4"/>
      <c r="B4218" s="4"/>
      <c r="C4218" s="4"/>
      <c r="D4218" s="4"/>
      <c r="E4218" s="13"/>
      <c r="F4218" s="4"/>
      <c r="G4218" s="4"/>
    </row>
    <row r="4219">
      <c r="A4219" s="4"/>
      <c r="B4219" s="4"/>
      <c r="C4219" s="4"/>
      <c r="D4219" s="4"/>
      <c r="E4219" s="4"/>
      <c r="F4219" s="4"/>
      <c r="G4219" s="4"/>
    </row>
    <row r="4220">
      <c r="A4220" s="4"/>
      <c r="B4220" s="4"/>
      <c r="C4220" s="4"/>
      <c r="D4220" s="4"/>
      <c r="E4220" s="4"/>
      <c r="F4220" s="4"/>
      <c r="G4220" s="4"/>
    </row>
    <row r="4221">
      <c r="A4221" s="4"/>
      <c r="B4221" s="4"/>
      <c r="C4221" s="4"/>
      <c r="D4221" s="4"/>
      <c r="E4221" s="4"/>
      <c r="F4221" s="4"/>
      <c r="G4221" s="4"/>
    </row>
    <row r="4222">
      <c r="A4222" s="4"/>
      <c r="B4222" s="4"/>
      <c r="C4222" s="4"/>
      <c r="D4222" s="4"/>
      <c r="E4222" s="13"/>
      <c r="F4222" s="4"/>
      <c r="G4222" s="4"/>
    </row>
    <row r="4223">
      <c r="A4223" s="4"/>
      <c r="B4223" s="4"/>
      <c r="C4223" s="4"/>
      <c r="D4223" s="4"/>
      <c r="E4223" s="4"/>
      <c r="F4223" s="4"/>
      <c r="G4223" s="4"/>
    </row>
    <row r="4224">
      <c r="A4224" s="4"/>
      <c r="B4224" s="4"/>
      <c r="C4224" s="4"/>
      <c r="D4224" s="4"/>
      <c r="E4224" s="4"/>
      <c r="F4224" s="4"/>
      <c r="G4224" s="4"/>
    </row>
    <row r="4225">
      <c r="A4225" s="4"/>
      <c r="B4225" s="4"/>
      <c r="C4225" s="4"/>
      <c r="D4225" s="13"/>
      <c r="E4225" s="13"/>
      <c r="F4225" s="4"/>
      <c r="G4225" s="4"/>
    </row>
    <row r="4226">
      <c r="A4226" s="4"/>
      <c r="B4226" s="4"/>
      <c r="C4226" s="4"/>
      <c r="D4226" s="4"/>
      <c r="E4226" s="4"/>
      <c r="F4226" s="4"/>
      <c r="G4226" s="4"/>
    </row>
    <row r="4227">
      <c r="A4227" s="4"/>
      <c r="B4227" s="4"/>
      <c r="C4227" s="4"/>
      <c r="D4227" s="4"/>
      <c r="E4227" s="13"/>
      <c r="F4227" s="4"/>
      <c r="G4227" s="4"/>
    </row>
    <row r="4228">
      <c r="A4228" s="4"/>
      <c r="B4228" s="4"/>
      <c r="C4228" s="4"/>
      <c r="D4228" s="4"/>
      <c r="E4228" s="13"/>
      <c r="F4228" s="4"/>
      <c r="G4228" s="4"/>
    </row>
    <row r="4229">
      <c r="A4229" s="4"/>
      <c r="B4229" s="4"/>
      <c r="C4229" s="4"/>
      <c r="D4229" s="4"/>
      <c r="E4229" s="4"/>
      <c r="F4229" s="4"/>
      <c r="G4229" s="4"/>
    </row>
    <row r="4230">
      <c r="A4230" s="4"/>
      <c r="B4230" s="4"/>
      <c r="C4230" s="4"/>
      <c r="D4230" s="4"/>
      <c r="E4230" s="4"/>
      <c r="F4230" s="4"/>
      <c r="G4230" s="4"/>
    </row>
    <row r="4231">
      <c r="A4231" s="4"/>
      <c r="B4231" s="4"/>
      <c r="C4231" s="4"/>
      <c r="D4231" s="4"/>
      <c r="E4231" s="13"/>
      <c r="F4231" s="4"/>
      <c r="G4231" s="4"/>
    </row>
    <row r="4232">
      <c r="A4232" s="4"/>
      <c r="B4232" s="4"/>
      <c r="C4232" s="4"/>
      <c r="D4232" s="13"/>
      <c r="E4232" s="4"/>
      <c r="F4232" s="4"/>
      <c r="G4232" s="4"/>
    </row>
    <row r="4233">
      <c r="A4233" s="4"/>
      <c r="B4233" s="4"/>
      <c r="C4233" s="4"/>
      <c r="D4233" s="4"/>
      <c r="E4233" s="4"/>
      <c r="F4233" s="4"/>
      <c r="G4233" s="4"/>
    </row>
    <row r="4234">
      <c r="A4234" s="4"/>
      <c r="B4234" s="4"/>
      <c r="C4234" s="4"/>
      <c r="D4234" s="4"/>
      <c r="E4234" s="4"/>
      <c r="F4234" s="4"/>
      <c r="G4234" s="4"/>
    </row>
    <row r="4235">
      <c r="A4235" s="4"/>
      <c r="B4235" s="4"/>
      <c r="C4235" s="4"/>
      <c r="D4235" s="4"/>
      <c r="E4235" s="4"/>
      <c r="F4235" s="4"/>
      <c r="G4235" s="4"/>
    </row>
    <row r="4236">
      <c r="A4236" s="4"/>
      <c r="B4236" s="4"/>
      <c r="C4236" s="4"/>
      <c r="D4236" s="4"/>
      <c r="E4236" s="13"/>
      <c r="F4236" s="4"/>
      <c r="G4236" s="4"/>
    </row>
    <row r="4237">
      <c r="A4237" s="4"/>
      <c r="B4237" s="4"/>
      <c r="C4237" s="4"/>
      <c r="D4237" s="4"/>
      <c r="E4237" s="13"/>
      <c r="F4237" s="4"/>
      <c r="G4237" s="4"/>
    </row>
    <row r="4238">
      <c r="A4238" s="4"/>
      <c r="B4238" s="4"/>
      <c r="C4238" s="4"/>
      <c r="D4238" s="4"/>
      <c r="E4238" s="4"/>
      <c r="F4238" s="4"/>
      <c r="G4238" s="4"/>
    </row>
    <row r="4239">
      <c r="A4239" s="4"/>
      <c r="B4239" s="4"/>
      <c r="C4239" s="4"/>
      <c r="D4239" s="13"/>
      <c r="E4239" s="13"/>
      <c r="F4239" s="4"/>
      <c r="G4239" s="4"/>
    </row>
    <row r="4240">
      <c r="A4240" s="4"/>
      <c r="B4240" s="4"/>
      <c r="C4240" s="4"/>
      <c r="D4240" s="4"/>
      <c r="E4240" s="4"/>
      <c r="F4240" s="4"/>
      <c r="G4240" s="4"/>
    </row>
    <row r="4241">
      <c r="A4241" s="4"/>
      <c r="B4241" s="4"/>
      <c r="C4241" s="4"/>
      <c r="D4241" s="4"/>
      <c r="E4241" s="4"/>
      <c r="F4241" s="4"/>
      <c r="G4241" s="4"/>
    </row>
    <row r="4242">
      <c r="A4242" s="4"/>
      <c r="B4242" s="4"/>
      <c r="C4242" s="4"/>
      <c r="D4242" s="4"/>
      <c r="E4242" s="13"/>
      <c r="F4242" s="4"/>
      <c r="G4242" s="4"/>
    </row>
    <row r="4243">
      <c r="A4243" s="4"/>
      <c r="B4243" s="4"/>
      <c r="C4243" s="4"/>
      <c r="D4243" s="4"/>
      <c r="E4243" s="4"/>
      <c r="F4243" s="4"/>
      <c r="G4243" s="4"/>
    </row>
    <row r="4244">
      <c r="A4244" s="4"/>
      <c r="B4244" s="4"/>
      <c r="C4244" s="4"/>
      <c r="D4244" s="4"/>
      <c r="E4244" s="4"/>
      <c r="F4244" s="4"/>
      <c r="G4244" s="4"/>
    </row>
    <row r="4245">
      <c r="A4245" s="4"/>
      <c r="B4245" s="4"/>
      <c r="C4245" s="4"/>
      <c r="D4245" s="4"/>
      <c r="E4245" s="4"/>
      <c r="F4245" s="4"/>
      <c r="G4245" s="4"/>
    </row>
    <row r="4246">
      <c r="A4246" s="4"/>
      <c r="B4246" s="4"/>
      <c r="C4246" s="4"/>
      <c r="D4246" s="4"/>
      <c r="E4246" s="4"/>
      <c r="F4246" s="4"/>
      <c r="G4246" s="4"/>
    </row>
    <row r="4247">
      <c r="A4247" s="4"/>
      <c r="B4247" s="4"/>
      <c r="C4247" s="4"/>
      <c r="D4247" s="4"/>
      <c r="E4247" s="13"/>
      <c r="F4247" s="4"/>
      <c r="G4247" s="4"/>
    </row>
    <row r="4248">
      <c r="A4248" s="4"/>
      <c r="B4248" s="4"/>
      <c r="C4248" s="4"/>
      <c r="D4248" s="4"/>
      <c r="E4248" s="4"/>
      <c r="F4248" s="4"/>
      <c r="G4248" s="4"/>
    </row>
    <row r="4249">
      <c r="A4249" s="4"/>
      <c r="B4249" s="4"/>
      <c r="C4249" s="4"/>
      <c r="D4249" s="4"/>
      <c r="E4249" s="4"/>
      <c r="F4249" s="4"/>
      <c r="G4249" s="4"/>
    </row>
    <row r="4250">
      <c r="A4250" s="4"/>
      <c r="B4250" s="4"/>
      <c r="C4250" s="4"/>
      <c r="D4250" s="4"/>
      <c r="E4250" s="4"/>
      <c r="F4250" s="4"/>
      <c r="G4250" s="4"/>
    </row>
    <row r="4251">
      <c r="A4251" s="4"/>
      <c r="B4251" s="4"/>
      <c r="C4251" s="4"/>
      <c r="D4251" s="4"/>
      <c r="E4251" s="4"/>
      <c r="F4251" s="4"/>
      <c r="G4251" s="4"/>
    </row>
    <row r="4252">
      <c r="A4252" s="4"/>
      <c r="B4252" s="4"/>
      <c r="C4252" s="4"/>
      <c r="D4252" s="4"/>
      <c r="E4252" s="4"/>
      <c r="F4252" s="4"/>
      <c r="G4252" s="4"/>
    </row>
    <row r="4253">
      <c r="A4253" s="4"/>
      <c r="B4253" s="4"/>
      <c r="C4253" s="4"/>
      <c r="D4253" s="4"/>
      <c r="E4253" s="13"/>
      <c r="F4253" s="4"/>
      <c r="G4253" s="4"/>
    </row>
    <row r="4254">
      <c r="A4254" s="4"/>
      <c r="B4254" s="4"/>
      <c r="C4254" s="4"/>
      <c r="D4254" s="4"/>
      <c r="E4254" s="13"/>
      <c r="F4254" s="4"/>
      <c r="G4254" s="4"/>
    </row>
    <row r="4255">
      <c r="A4255" s="4"/>
      <c r="B4255" s="4"/>
      <c r="C4255" s="4"/>
      <c r="D4255" s="4"/>
      <c r="E4255" s="4"/>
      <c r="F4255" s="4"/>
      <c r="G4255" s="4"/>
    </row>
    <row r="4256">
      <c r="A4256" s="4"/>
      <c r="B4256" s="4"/>
      <c r="C4256" s="4"/>
      <c r="D4256" s="4"/>
      <c r="E4256" s="4"/>
      <c r="F4256" s="4"/>
      <c r="G4256" s="4"/>
    </row>
    <row r="4257">
      <c r="A4257" s="4"/>
      <c r="B4257" s="4"/>
      <c r="C4257" s="4"/>
      <c r="D4257" s="4"/>
      <c r="E4257" s="4"/>
      <c r="F4257" s="4"/>
      <c r="G4257" s="4"/>
    </row>
    <row r="4258">
      <c r="A4258" s="4"/>
      <c r="B4258" s="4"/>
      <c r="C4258" s="4"/>
      <c r="D4258" s="4"/>
      <c r="E4258" s="4"/>
      <c r="F4258" s="4"/>
      <c r="G4258" s="4"/>
    </row>
    <row r="4259">
      <c r="A4259" s="4"/>
      <c r="B4259" s="4"/>
      <c r="C4259" s="4"/>
      <c r="D4259" s="4"/>
      <c r="E4259" s="13"/>
      <c r="F4259" s="4"/>
      <c r="G4259" s="4"/>
    </row>
    <row r="4260">
      <c r="A4260" s="4"/>
      <c r="B4260" s="4"/>
      <c r="C4260" s="4"/>
      <c r="D4260" s="4"/>
      <c r="E4260" s="4"/>
      <c r="F4260" s="4"/>
      <c r="G4260" s="4"/>
    </row>
    <row r="4261">
      <c r="A4261" s="4"/>
      <c r="B4261" s="4"/>
      <c r="C4261" s="4"/>
      <c r="D4261" s="4"/>
      <c r="E4261" s="4"/>
      <c r="F4261" s="4"/>
      <c r="G4261" s="4"/>
    </row>
    <row r="4262">
      <c r="A4262" s="4"/>
      <c r="B4262" s="4"/>
      <c r="C4262" s="4"/>
      <c r="D4262" s="4"/>
      <c r="E4262" s="13"/>
      <c r="F4262" s="4"/>
      <c r="G4262" s="4"/>
    </row>
    <row r="4263">
      <c r="A4263" s="4"/>
      <c r="B4263" s="4"/>
      <c r="C4263" s="4"/>
      <c r="D4263" s="4"/>
      <c r="E4263" s="4"/>
      <c r="F4263" s="4"/>
      <c r="G4263" s="4"/>
    </row>
    <row r="4264">
      <c r="A4264" s="4"/>
      <c r="B4264" s="4"/>
      <c r="C4264" s="4"/>
      <c r="D4264" s="4"/>
      <c r="E4264" s="13"/>
      <c r="F4264" s="4"/>
      <c r="G4264" s="4"/>
    </row>
    <row r="4265">
      <c r="A4265" s="4"/>
      <c r="B4265" s="4"/>
      <c r="C4265" s="4"/>
      <c r="D4265" s="4"/>
      <c r="E4265" s="4"/>
      <c r="F4265" s="4"/>
      <c r="G4265" s="4"/>
    </row>
    <row r="4266">
      <c r="A4266" s="4"/>
      <c r="B4266" s="4"/>
      <c r="C4266" s="4"/>
      <c r="D4266" s="13"/>
      <c r="E4266" s="13"/>
      <c r="F4266" s="4"/>
      <c r="G4266" s="4"/>
    </row>
    <row r="4267">
      <c r="A4267" s="4"/>
      <c r="B4267" s="4"/>
      <c r="C4267" s="4"/>
      <c r="D4267" s="13"/>
      <c r="E4267" s="13"/>
      <c r="F4267" s="4"/>
      <c r="G4267" s="4"/>
    </row>
    <row r="4268">
      <c r="A4268" s="4"/>
      <c r="B4268" s="4"/>
      <c r="C4268" s="4"/>
      <c r="D4268" s="4"/>
      <c r="E4268" s="4"/>
      <c r="F4268" s="4"/>
      <c r="G4268" s="4"/>
    </row>
    <row r="4269">
      <c r="A4269" s="4"/>
      <c r="B4269" s="4"/>
      <c r="C4269" s="4"/>
      <c r="D4269" s="4"/>
      <c r="E4269" s="4"/>
      <c r="F4269" s="4"/>
      <c r="G4269" s="4"/>
    </row>
    <row r="4270">
      <c r="A4270" s="4"/>
      <c r="B4270" s="4"/>
      <c r="C4270" s="4"/>
      <c r="D4270" s="4"/>
      <c r="E4270" s="4"/>
      <c r="F4270" s="4"/>
      <c r="G4270" s="4"/>
    </row>
    <row r="4271">
      <c r="A4271" s="4"/>
      <c r="B4271" s="4"/>
      <c r="C4271" s="4"/>
      <c r="D4271" s="4"/>
      <c r="E4271" s="13"/>
      <c r="F4271" s="4"/>
      <c r="G4271" s="4"/>
    </row>
    <row r="4272">
      <c r="A4272" s="4"/>
      <c r="B4272" s="4"/>
      <c r="C4272" s="4"/>
      <c r="D4272" s="4"/>
      <c r="E4272" s="4"/>
      <c r="F4272" s="4"/>
      <c r="G4272" s="4"/>
    </row>
    <row r="4273">
      <c r="A4273" s="4"/>
      <c r="B4273" s="4"/>
      <c r="C4273" s="4"/>
      <c r="D4273" s="13"/>
      <c r="E4273" s="13"/>
      <c r="F4273" s="4"/>
      <c r="G4273" s="4"/>
    </row>
    <row r="4274">
      <c r="A4274" s="4"/>
      <c r="B4274" s="4"/>
      <c r="C4274" s="4"/>
      <c r="D4274" s="13"/>
      <c r="E4274" s="13"/>
      <c r="F4274" s="4"/>
      <c r="G4274" s="4"/>
    </row>
    <row r="4275">
      <c r="A4275" s="4"/>
      <c r="B4275" s="4"/>
      <c r="C4275" s="4"/>
      <c r="D4275" s="4"/>
      <c r="E4275" s="4"/>
      <c r="F4275" s="4"/>
      <c r="G4275" s="4"/>
    </row>
    <row r="4276">
      <c r="A4276" s="4"/>
      <c r="B4276" s="4"/>
      <c r="C4276" s="4"/>
      <c r="D4276" s="13"/>
      <c r="E4276" s="13"/>
      <c r="F4276" s="4"/>
      <c r="G4276" s="4"/>
    </row>
    <row r="4277">
      <c r="A4277" s="4"/>
      <c r="B4277" s="4"/>
      <c r="C4277" s="4"/>
      <c r="D4277" s="4"/>
      <c r="E4277" s="4"/>
      <c r="F4277" s="4"/>
      <c r="G4277" s="4"/>
    </row>
    <row r="4278">
      <c r="A4278" s="4"/>
      <c r="B4278" s="4"/>
      <c r="C4278" s="4"/>
      <c r="D4278" s="13"/>
      <c r="E4278" s="13"/>
      <c r="F4278" s="4"/>
      <c r="G4278" s="4"/>
    </row>
    <row r="4279">
      <c r="A4279" s="4"/>
      <c r="B4279" s="4"/>
      <c r="C4279" s="4"/>
      <c r="D4279" s="13"/>
      <c r="E4279" s="13"/>
      <c r="F4279" s="4"/>
      <c r="G4279" s="4"/>
    </row>
    <row r="4280">
      <c r="A4280" s="4"/>
      <c r="B4280" s="4"/>
      <c r="C4280" s="4"/>
      <c r="D4280" s="13"/>
      <c r="E4280" s="13"/>
      <c r="F4280" s="4"/>
      <c r="G4280" s="4"/>
    </row>
    <row r="4281">
      <c r="A4281" s="4"/>
      <c r="B4281" s="4"/>
      <c r="C4281" s="4"/>
      <c r="D4281" s="4"/>
      <c r="E4281" s="4"/>
      <c r="F4281" s="4"/>
      <c r="G4281" s="4"/>
    </row>
    <row r="4282">
      <c r="A4282" s="4"/>
      <c r="B4282" s="4"/>
      <c r="C4282" s="4"/>
      <c r="D4282" s="4"/>
      <c r="E4282" s="13"/>
      <c r="F4282" s="4"/>
      <c r="G4282" s="4"/>
    </row>
    <row r="4283">
      <c r="A4283" s="4"/>
      <c r="B4283" s="4"/>
      <c r="C4283" s="4"/>
      <c r="D4283" s="4"/>
      <c r="E4283" s="4"/>
      <c r="F4283" s="4"/>
      <c r="G4283" s="4"/>
    </row>
    <row r="4284">
      <c r="A4284" s="4"/>
      <c r="B4284" s="4"/>
      <c r="C4284" s="4"/>
      <c r="D4284" s="4"/>
      <c r="E4284" s="4"/>
      <c r="F4284" s="4"/>
      <c r="G4284" s="4"/>
    </row>
    <row r="4285">
      <c r="A4285" s="4"/>
      <c r="B4285" s="4"/>
      <c r="C4285" s="4"/>
      <c r="D4285" s="4"/>
      <c r="E4285" s="4"/>
      <c r="F4285" s="4"/>
      <c r="G4285" s="4"/>
    </row>
    <row r="4286">
      <c r="A4286" s="4"/>
      <c r="B4286" s="4"/>
      <c r="C4286" s="4"/>
      <c r="D4286" s="4"/>
      <c r="E4286" s="13"/>
      <c r="F4286" s="4"/>
      <c r="G4286" s="4"/>
    </row>
    <row r="4287">
      <c r="A4287" s="4"/>
      <c r="B4287" s="4"/>
      <c r="C4287" s="4"/>
      <c r="D4287" s="4"/>
      <c r="E4287" s="4"/>
      <c r="F4287" s="4"/>
      <c r="G4287" s="4"/>
    </row>
    <row r="4288">
      <c r="A4288" s="4"/>
      <c r="B4288" s="4"/>
      <c r="C4288" s="4"/>
      <c r="D4288" s="4"/>
      <c r="E4288" s="4"/>
      <c r="F4288" s="4"/>
      <c r="G4288" s="4"/>
    </row>
    <row r="4289">
      <c r="A4289" s="4"/>
      <c r="B4289" s="4"/>
      <c r="C4289" s="4"/>
      <c r="D4289" s="13"/>
      <c r="E4289" s="13"/>
      <c r="F4289" s="4"/>
      <c r="G4289" s="4"/>
    </row>
    <row r="4290">
      <c r="A4290" s="4"/>
      <c r="B4290" s="4"/>
      <c r="C4290" s="4"/>
      <c r="D4290" s="13"/>
      <c r="E4290" s="4"/>
      <c r="F4290" s="4"/>
      <c r="G4290" s="4"/>
    </row>
    <row r="4291">
      <c r="A4291" s="4"/>
      <c r="B4291" s="4"/>
      <c r="C4291" s="4"/>
      <c r="D4291" s="4"/>
      <c r="E4291" s="4"/>
      <c r="F4291" s="4"/>
      <c r="G4291" s="4"/>
    </row>
    <row r="4292">
      <c r="A4292" s="4"/>
      <c r="B4292" s="4"/>
      <c r="C4292" s="4"/>
      <c r="D4292" s="4"/>
      <c r="E4292" s="13"/>
      <c r="F4292" s="4"/>
      <c r="G4292" s="4"/>
    </row>
    <row r="4293">
      <c r="A4293" s="4"/>
      <c r="B4293" s="4"/>
      <c r="C4293" s="4"/>
      <c r="D4293" s="4"/>
      <c r="E4293" s="4"/>
      <c r="F4293" s="4"/>
      <c r="G4293" s="4"/>
    </row>
    <row r="4294">
      <c r="A4294" s="4"/>
      <c r="B4294" s="4"/>
      <c r="C4294" s="4"/>
      <c r="D4294" s="4"/>
      <c r="E4294" s="4"/>
      <c r="F4294" s="4"/>
      <c r="G4294" s="4"/>
    </row>
    <row r="4295">
      <c r="A4295" s="4"/>
      <c r="B4295" s="4"/>
      <c r="C4295" s="4"/>
      <c r="D4295" s="4"/>
      <c r="E4295" s="13"/>
      <c r="F4295" s="4"/>
      <c r="G4295" s="4"/>
    </row>
    <row r="4296">
      <c r="A4296" s="4"/>
      <c r="B4296" s="4"/>
      <c r="C4296" s="4"/>
      <c r="D4296" s="4"/>
      <c r="E4296" s="4"/>
      <c r="F4296" s="4"/>
      <c r="G4296" s="4"/>
    </row>
    <row r="4297">
      <c r="A4297" s="4"/>
      <c r="B4297" s="4"/>
      <c r="C4297" s="4"/>
      <c r="D4297" s="4"/>
      <c r="E4297" s="13"/>
      <c r="F4297" s="4"/>
      <c r="G4297" s="4"/>
    </row>
    <row r="4298">
      <c r="A4298" s="4"/>
      <c r="B4298" s="4"/>
      <c r="C4298" s="4"/>
      <c r="D4298" s="4"/>
      <c r="E4298" s="4"/>
      <c r="F4298" s="4"/>
      <c r="G4298" s="4"/>
    </row>
    <row r="4299">
      <c r="A4299" s="4"/>
      <c r="B4299" s="4"/>
      <c r="C4299" s="4"/>
      <c r="D4299" s="4"/>
      <c r="E4299" s="4"/>
      <c r="F4299" s="4"/>
      <c r="G4299" s="4"/>
    </row>
    <row r="4300">
      <c r="A4300" s="4"/>
      <c r="B4300" s="4"/>
      <c r="C4300" s="4"/>
      <c r="D4300" s="4"/>
      <c r="E4300" s="4"/>
      <c r="F4300" s="4"/>
      <c r="G4300" s="4"/>
    </row>
    <row r="4301">
      <c r="A4301" s="4"/>
      <c r="B4301" s="4"/>
      <c r="C4301" s="4"/>
      <c r="D4301" s="4"/>
      <c r="E4301" s="4"/>
      <c r="F4301" s="4"/>
      <c r="G4301" s="4"/>
    </row>
    <row r="4302">
      <c r="A4302" s="4"/>
      <c r="B4302" s="4"/>
      <c r="C4302" s="4"/>
      <c r="D4302" s="4"/>
      <c r="E4302" s="4"/>
      <c r="F4302" s="4"/>
      <c r="G4302" s="4"/>
    </row>
    <row r="4303">
      <c r="A4303" s="4"/>
      <c r="B4303" s="4"/>
      <c r="C4303" s="4"/>
      <c r="D4303" s="4"/>
      <c r="E4303" s="13"/>
      <c r="F4303" s="4"/>
      <c r="G4303" s="4"/>
    </row>
    <row r="4304">
      <c r="A4304" s="4"/>
      <c r="B4304" s="4"/>
      <c r="C4304" s="4"/>
      <c r="D4304" s="4"/>
      <c r="E4304" s="4"/>
      <c r="F4304" s="4"/>
      <c r="G4304" s="4"/>
    </row>
    <row r="4305">
      <c r="A4305" s="4"/>
      <c r="B4305" s="4"/>
      <c r="C4305" s="4"/>
      <c r="D4305" s="4"/>
      <c r="E4305" s="4"/>
      <c r="F4305" s="4"/>
      <c r="G4305" s="4"/>
    </row>
    <row r="4306">
      <c r="A4306" s="4"/>
      <c r="B4306" s="4"/>
      <c r="C4306" s="4"/>
      <c r="D4306" s="4"/>
      <c r="E4306" s="4"/>
      <c r="F4306" s="4"/>
      <c r="G4306" s="4"/>
    </row>
    <row r="4307">
      <c r="A4307" s="4"/>
      <c r="B4307" s="4"/>
      <c r="C4307" s="4"/>
      <c r="D4307" s="4"/>
      <c r="E4307" s="4"/>
      <c r="F4307" s="4"/>
      <c r="G4307" s="4"/>
    </row>
    <row r="4308">
      <c r="A4308" s="4"/>
      <c r="B4308" s="4"/>
      <c r="C4308" s="4"/>
      <c r="D4308" s="4"/>
      <c r="E4308" s="13"/>
      <c r="F4308" s="4"/>
      <c r="G4308" s="4"/>
    </row>
    <row r="4309">
      <c r="A4309" s="4"/>
      <c r="B4309" s="4"/>
      <c r="C4309" s="4"/>
      <c r="D4309" s="4"/>
      <c r="E4309" s="4"/>
      <c r="F4309" s="4"/>
      <c r="G4309" s="4"/>
    </row>
    <row r="4310">
      <c r="A4310" s="4"/>
      <c r="B4310" s="4"/>
      <c r="C4310" s="4"/>
      <c r="D4310" s="13"/>
      <c r="E4310" s="13"/>
      <c r="F4310" s="4"/>
      <c r="G4310" s="4"/>
    </row>
    <row r="4311">
      <c r="A4311" s="4"/>
      <c r="B4311" s="4"/>
      <c r="C4311" s="4"/>
      <c r="D4311" s="4"/>
      <c r="E4311" s="13"/>
      <c r="F4311" s="4"/>
      <c r="G4311" s="4"/>
    </row>
    <row r="4312">
      <c r="A4312" s="4"/>
      <c r="B4312" s="4"/>
      <c r="C4312" s="4"/>
      <c r="D4312" s="4"/>
      <c r="E4312" s="4"/>
      <c r="F4312" s="4"/>
      <c r="G4312" s="4"/>
    </row>
    <row r="4313">
      <c r="A4313" s="4"/>
      <c r="B4313" s="4"/>
      <c r="C4313" s="4"/>
      <c r="D4313" s="4"/>
      <c r="E4313" s="4"/>
      <c r="F4313" s="4"/>
      <c r="G4313" s="4"/>
    </row>
    <row r="4314">
      <c r="A4314" s="4"/>
      <c r="B4314" s="4"/>
      <c r="C4314" s="4"/>
      <c r="D4314" s="4"/>
      <c r="E4314" s="13"/>
      <c r="F4314" s="4"/>
      <c r="G4314" s="4"/>
    </row>
    <row r="4315">
      <c r="A4315" s="4"/>
      <c r="B4315" s="4"/>
      <c r="C4315" s="4"/>
      <c r="D4315" s="4"/>
      <c r="E4315" s="4"/>
      <c r="F4315" s="4"/>
      <c r="G4315" s="4"/>
    </row>
    <row r="4316">
      <c r="A4316" s="4"/>
      <c r="B4316" s="4"/>
      <c r="C4316" s="4"/>
      <c r="D4316" s="4"/>
      <c r="E4316" s="4"/>
      <c r="F4316" s="4"/>
      <c r="G4316" s="4"/>
    </row>
    <row r="4317">
      <c r="A4317" s="4"/>
      <c r="B4317" s="4"/>
      <c r="C4317" s="4"/>
      <c r="D4317" s="4"/>
      <c r="E4317" s="4"/>
      <c r="F4317" s="4"/>
      <c r="G4317" s="4"/>
    </row>
    <row r="4318">
      <c r="A4318" s="4"/>
      <c r="B4318" s="4"/>
      <c r="C4318" s="4"/>
      <c r="D4318" s="4"/>
      <c r="E4318" s="13"/>
      <c r="F4318" s="4"/>
      <c r="G4318" s="4"/>
    </row>
    <row r="4319">
      <c r="A4319" s="4"/>
      <c r="B4319" s="4"/>
      <c r="C4319" s="4"/>
      <c r="D4319" s="4"/>
      <c r="E4319" s="4"/>
      <c r="F4319" s="4"/>
      <c r="G4319" s="4"/>
    </row>
    <row r="4320">
      <c r="A4320" s="4"/>
      <c r="B4320" s="4"/>
      <c r="C4320" s="4"/>
      <c r="D4320" s="13"/>
      <c r="E4320" s="13"/>
      <c r="F4320" s="4"/>
      <c r="G4320" s="4"/>
    </row>
    <row r="4321">
      <c r="A4321" s="4"/>
      <c r="B4321" s="4"/>
      <c r="C4321" s="4"/>
      <c r="D4321" s="4"/>
      <c r="E4321" s="4"/>
      <c r="F4321" s="4"/>
      <c r="G4321" s="4"/>
    </row>
    <row r="4322">
      <c r="A4322" s="4"/>
      <c r="B4322" s="4"/>
      <c r="C4322" s="4"/>
      <c r="D4322" s="4"/>
      <c r="E4322" s="4"/>
      <c r="F4322" s="4"/>
      <c r="G4322" s="4"/>
    </row>
    <row r="4323">
      <c r="A4323" s="4"/>
      <c r="B4323" s="4"/>
      <c r="C4323" s="4"/>
      <c r="D4323" s="4"/>
      <c r="E4323" s="13"/>
      <c r="F4323" s="4"/>
      <c r="G4323" s="4"/>
    </row>
    <row r="4324">
      <c r="A4324" s="4"/>
      <c r="B4324" s="4"/>
      <c r="C4324" s="4"/>
      <c r="D4324" s="4"/>
      <c r="E4324" s="13"/>
      <c r="F4324" s="4"/>
      <c r="G4324" s="4"/>
    </row>
    <row r="4325">
      <c r="A4325" s="4"/>
      <c r="B4325" s="4"/>
      <c r="C4325" s="4"/>
      <c r="D4325" s="4"/>
      <c r="E4325" s="4"/>
      <c r="F4325" s="4"/>
      <c r="G4325" s="4"/>
    </row>
    <row r="4326">
      <c r="A4326" s="4"/>
      <c r="B4326" s="4"/>
      <c r="C4326" s="4"/>
      <c r="D4326" s="13"/>
      <c r="E4326" s="4"/>
      <c r="F4326" s="4"/>
      <c r="G4326" s="4"/>
    </row>
    <row r="4327">
      <c r="A4327" s="4"/>
      <c r="B4327" s="4"/>
      <c r="C4327" s="4"/>
      <c r="D4327" s="4"/>
      <c r="E4327" s="4"/>
      <c r="F4327" s="4"/>
      <c r="G4327" s="4"/>
    </row>
    <row r="4328">
      <c r="A4328" s="4"/>
      <c r="B4328" s="4"/>
      <c r="C4328" s="4"/>
      <c r="D4328" s="4"/>
      <c r="E4328" s="4"/>
      <c r="F4328" s="4"/>
      <c r="G4328" s="4"/>
    </row>
    <row r="4329">
      <c r="A4329" s="4"/>
      <c r="B4329" s="4"/>
      <c r="C4329" s="4"/>
      <c r="D4329" s="4"/>
      <c r="E4329" s="4"/>
      <c r="F4329" s="4"/>
      <c r="G4329" s="4"/>
    </row>
    <row r="4330">
      <c r="A4330" s="4"/>
      <c r="B4330" s="4"/>
      <c r="C4330" s="4"/>
      <c r="D4330" s="4"/>
      <c r="E4330" s="4"/>
      <c r="F4330" s="4"/>
      <c r="G4330" s="4"/>
    </row>
    <row r="4331">
      <c r="A4331" s="4"/>
      <c r="B4331" s="4"/>
      <c r="C4331" s="4"/>
      <c r="D4331" s="4"/>
      <c r="E4331" s="4"/>
      <c r="F4331" s="4"/>
      <c r="G4331" s="4"/>
    </row>
    <row r="4332">
      <c r="A4332" s="4"/>
      <c r="B4332" s="4"/>
      <c r="C4332" s="4"/>
      <c r="D4332" s="4"/>
      <c r="E4332" s="4"/>
      <c r="F4332" s="4"/>
      <c r="G4332" s="4"/>
    </row>
    <row r="4333">
      <c r="A4333" s="4"/>
      <c r="B4333" s="4"/>
      <c r="C4333" s="4"/>
      <c r="D4333" s="4"/>
      <c r="E4333" s="4"/>
      <c r="F4333" s="4"/>
      <c r="G4333" s="4"/>
    </row>
    <row r="4334">
      <c r="A4334" s="4"/>
      <c r="B4334" s="4"/>
      <c r="C4334" s="4"/>
      <c r="D4334" s="4"/>
      <c r="E4334" s="4"/>
      <c r="F4334" s="4"/>
      <c r="G4334" s="4"/>
    </row>
    <row r="4335">
      <c r="A4335" s="4"/>
      <c r="B4335" s="4"/>
      <c r="C4335" s="4"/>
      <c r="D4335" s="4"/>
      <c r="E4335" s="13"/>
      <c r="F4335" s="4"/>
      <c r="G4335" s="4"/>
    </row>
    <row r="4336">
      <c r="A4336" s="4"/>
      <c r="B4336" s="4"/>
      <c r="C4336" s="4"/>
      <c r="D4336" s="4"/>
      <c r="E4336" s="13"/>
      <c r="F4336" s="4"/>
      <c r="G4336" s="4"/>
    </row>
    <row r="4337">
      <c r="A4337" s="4"/>
      <c r="B4337" s="4"/>
      <c r="C4337" s="4"/>
      <c r="D4337" s="4"/>
      <c r="E4337" s="4"/>
      <c r="F4337" s="4"/>
      <c r="G4337" s="4"/>
    </row>
    <row r="4338">
      <c r="A4338" s="4"/>
      <c r="B4338" s="4"/>
      <c r="C4338" s="4"/>
      <c r="D4338" s="4"/>
      <c r="E4338" s="4"/>
      <c r="F4338" s="4"/>
      <c r="G4338" s="4"/>
    </row>
    <row r="4339">
      <c r="A4339" s="4"/>
      <c r="B4339" s="4"/>
      <c r="C4339" s="4"/>
      <c r="D4339" s="4"/>
      <c r="E4339" s="4"/>
      <c r="F4339" s="4"/>
      <c r="G4339" s="4"/>
    </row>
    <row r="4340">
      <c r="A4340" s="4"/>
      <c r="B4340" s="4"/>
      <c r="C4340" s="4"/>
      <c r="D4340" s="4"/>
      <c r="E4340" s="4"/>
      <c r="F4340" s="4"/>
      <c r="G4340" s="4"/>
    </row>
    <row r="4341">
      <c r="A4341" s="4"/>
      <c r="B4341" s="4"/>
      <c r="C4341" s="4"/>
      <c r="D4341" s="4"/>
      <c r="E4341" s="13"/>
      <c r="F4341" s="4"/>
      <c r="G4341" s="4"/>
    </row>
    <row r="4342">
      <c r="A4342" s="4"/>
      <c r="B4342" s="4"/>
      <c r="C4342" s="4"/>
      <c r="D4342" s="4"/>
      <c r="E4342" s="4"/>
      <c r="F4342" s="4"/>
      <c r="G4342" s="4"/>
    </row>
    <row r="4343">
      <c r="A4343" s="4"/>
      <c r="B4343" s="4"/>
      <c r="C4343" s="4"/>
      <c r="D4343" s="4"/>
      <c r="E4343" s="13"/>
      <c r="F4343" s="4"/>
      <c r="G4343" s="4"/>
    </row>
    <row r="4344">
      <c r="A4344" s="4"/>
      <c r="B4344" s="4"/>
      <c r="C4344" s="4"/>
      <c r="D4344" s="4"/>
      <c r="E4344" s="13"/>
      <c r="F4344" s="4"/>
      <c r="G4344" s="4"/>
    </row>
    <row r="4345">
      <c r="A4345" s="4"/>
      <c r="B4345" s="4"/>
      <c r="C4345" s="4"/>
      <c r="D4345" s="4"/>
      <c r="E4345" s="4"/>
      <c r="F4345" s="4"/>
      <c r="G4345" s="4"/>
    </row>
    <row r="4346">
      <c r="A4346" s="4"/>
      <c r="B4346" s="4"/>
      <c r="C4346" s="4"/>
      <c r="D4346" s="4"/>
      <c r="E4346" s="4"/>
      <c r="F4346" s="4"/>
      <c r="G4346" s="4"/>
    </row>
    <row r="4347">
      <c r="A4347" s="4"/>
      <c r="B4347" s="4"/>
      <c r="C4347" s="4"/>
      <c r="D4347" s="4"/>
      <c r="E4347" s="13"/>
      <c r="F4347" s="4"/>
      <c r="G4347" s="4"/>
    </row>
    <row r="4348">
      <c r="A4348" s="4"/>
      <c r="B4348" s="4"/>
      <c r="C4348" s="4"/>
      <c r="D4348" s="4"/>
      <c r="E4348" s="4"/>
      <c r="F4348" s="4"/>
      <c r="G4348" s="4"/>
    </row>
    <row r="4349">
      <c r="A4349" s="4"/>
      <c r="B4349" s="4"/>
      <c r="C4349" s="4"/>
      <c r="D4349" s="4"/>
      <c r="E4349" s="4"/>
      <c r="F4349" s="4"/>
      <c r="G4349" s="4"/>
    </row>
    <row r="4350">
      <c r="A4350" s="4"/>
      <c r="B4350" s="4"/>
      <c r="C4350" s="4"/>
      <c r="D4350" s="4"/>
      <c r="E4350" s="4"/>
      <c r="F4350" s="4"/>
      <c r="G4350" s="4"/>
    </row>
    <row r="4351">
      <c r="A4351" s="4"/>
      <c r="B4351" s="4"/>
      <c r="C4351" s="4"/>
      <c r="D4351" s="4"/>
      <c r="E4351" s="4"/>
      <c r="F4351" s="4"/>
      <c r="G4351" s="4"/>
    </row>
    <row r="4352">
      <c r="A4352" s="4"/>
      <c r="B4352" s="4"/>
      <c r="C4352" s="4"/>
      <c r="D4352" s="4"/>
      <c r="E4352" s="4"/>
      <c r="F4352" s="4"/>
      <c r="G4352" s="4"/>
    </row>
    <row r="4353">
      <c r="A4353" s="4"/>
      <c r="B4353" s="4"/>
      <c r="C4353" s="4"/>
      <c r="D4353" s="4"/>
      <c r="E4353" s="13"/>
      <c r="F4353" s="4"/>
      <c r="G4353" s="4"/>
    </row>
    <row r="4354">
      <c r="A4354" s="4"/>
      <c r="B4354" s="4"/>
      <c r="C4354" s="4"/>
      <c r="D4354" s="4"/>
      <c r="E4354" s="4"/>
      <c r="F4354" s="4"/>
      <c r="G4354" s="4"/>
    </row>
    <row r="4355">
      <c r="A4355" s="4"/>
      <c r="B4355" s="4"/>
      <c r="C4355" s="4"/>
      <c r="D4355" s="4"/>
      <c r="E4355" s="4"/>
      <c r="F4355" s="4"/>
      <c r="G4355" s="4"/>
    </row>
    <row r="4356">
      <c r="A4356" s="4"/>
      <c r="B4356" s="4"/>
      <c r="C4356" s="4"/>
      <c r="D4356" s="4"/>
      <c r="E4356" s="13"/>
      <c r="F4356" s="4"/>
      <c r="G4356" s="4"/>
    </row>
    <row r="4357">
      <c r="A4357" s="4"/>
      <c r="B4357" s="4"/>
      <c r="C4357" s="4"/>
      <c r="D4357" s="4"/>
      <c r="E4357" s="4"/>
      <c r="F4357" s="4"/>
      <c r="G4357" s="4"/>
    </row>
    <row r="4358">
      <c r="A4358" s="4"/>
      <c r="B4358" s="4"/>
      <c r="C4358" s="4"/>
      <c r="D4358" s="4"/>
      <c r="E4358" s="4"/>
      <c r="F4358" s="4"/>
      <c r="G4358" s="4"/>
    </row>
    <row r="4359">
      <c r="A4359" s="4"/>
      <c r="B4359" s="4"/>
      <c r="C4359" s="4"/>
      <c r="D4359" s="13"/>
      <c r="E4359" s="13"/>
      <c r="F4359" s="4"/>
      <c r="G4359" s="4"/>
    </row>
    <row r="4360">
      <c r="A4360" s="4"/>
      <c r="B4360" s="4"/>
      <c r="C4360" s="4"/>
      <c r="D4360" s="13"/>
      <c r="E4360" s="13"/>
      <c r="F4360" s="4"/>
      <c r="G4360" s="4"/>
    </row>
    <row r="4361">
      <c r="A4361" s="4"/>
      <c r="B4361" s="4"/>
      <c r="C4361" s="4"/>
      <c r="D4361" s="4"/>
      <c r="E4361" s="4"/>
      <c r="F4361" s="4"/>
      <c r="G4361" s="4"/>
    </row>
    <row r="4362">
      <c r="A4362" s="4"/>
      <c r="B4362" s="4"/>
      <c r="C4362" s="4"/>
      <c r="D4362" s="13"/>
      <c r="E4362" s="13"/>
      <c r="F4362" s="4"/>
      <c r="G4362" s="4"/>
    </row>
    <row r="4363">
      <c r="A4363" s="4"/>
      <c r="B4363" s="4"/>
      <c r="C4363" s="4"/>
      <c r="D4363" s="4"/>
      <c r="E4363" s="4"/>
      <c r="F4363" s="4"/>
      <c r="G4363" s="4"/>
    </row>
    <row r="4364">
      <c r="A4364" s="4"/>
      <c r="B4364" s="4"/>
      <c r="C4364" s="4"/>
      <c r="D4364" s="4"/>
      <c r="E4364" s="4"/>
      <c r="F4364" s="4"/>
      <c r="G4364" s="4"/>
    </row>
    <row r="4365">
      <c r="A4365" s="4"/>
      <c r="B4365" s="4"/>
      <c r="C4365" s="4"/>
      <c r="D4365" s="4"/>
      <c r="E4365" s="4"/>
      <c r="F4365" s="4"/>
      <c r="G4365" s="4"/>
    </row>
    <row r="4366">
      <c r="A4366" s="4"/>
      <c r="B4366" s="4"/>
      <c r="C4366" s="4"/>
      <c r="D4366" s="4"/>
      <c r="E4366" s="13"/>
      <c r="F4366" s="4"/>
      <c r="G4366" s="4"/>
    </row>
    <row r="4367">
      <c r="A4367" s="4"/>
      <c r="B4367" s="4"/>
      <c r="C4367" s="4"/>
      <c r="D4367" s="4"/>
      <c r="E4367" s="4"/>
      <c r="F4367" s="4"/>
      <c r="G4367" s="4"/>
    </row>
    <row r="4368">
      <c r="A4368" s="4"/>
      <c r="B4368" s="4"/>
      <c r="C4368" s="4"/>
      <c r="D4368" s="4"/>
      <c r="E4368" s="4"/>
      <c r="F4368" s="4"/>
      <c r="G4368" s="4"/>
    </row>
    <row r="4369">
      <c r="A4369" s="4"/>
      <c r="B4369" s="4"/>
      <c r="C4369" s="4"/>
      <c r="D4369" s="4"/>
      <c r="E4369" s="4"/>
      <c r="F4369" s="4"/>
      <c r="G4369" s="4"/>
    </row>
    <row r="4370">
      <c r="A4370" s="4"/>
      <c r="B4370" s="4"/>
      <c r="C4370" s="4"/>
      <c r="D4370" s="4"/>
      <c r="E4370" s="13"/>
      <c r="F4370" s="4"/>
      <c r="G4370" s="4"/>
    </row>
    <row r="4371">
      <c r="A4371" s="4"/>
      <c r="B4371" s="4"/>
      <c r="C4371" s="4"/>
      <c r="D4371" s="4"/>
      <c r="E4371" s="4"/>
      <c r="F4371" s="4"/>
      <c r="G4371" s="4"/>
    </row>
    <row r="4372">
      <c r="A4372" s="4"/>
      <c r="B4372" s="4"/>
      <c r="C4372" s="4"/>
      <c r="D4372" s="4"/>
      <c r="E4372" s="4"/>
      <c r="F4372" s="4"/>
      <c r="G4372" s="4"/>
    </row>
    <row r="4373">
      <c r="A4373" s="4"/>
      <c r="B4373" s="4"/>
      <c r="C4373" s="4"/>
      <c r="D4373" s="13"/>
      <c r="E4373" s="13"/>
      <c r="F4373" s="4"/>
      <c r="G4373" s="4"/>
    </row>
    <row r="4374">
      <c r="A4374" s="4"/>
      <c r="B4374" s="4"/>
      <c r="C4374" s="4"/>
      <c r="D4374" s="4"/>
      <c r="E4374" s="13"/>
      <c r="F4374" s="4"/>
      <c r="G4374" s="4"/>
    </row>
    <row r="4375">
      <c r="A4375" s="4"/>
      <c r="B4375" s="4"/>
      <c r="C4375" s="4"/>
      <c r="D4375" s="4"/>
      <c r="E4375" s="4"/>
      <c r="F4375" s="4"/>
      <c r="G4375" s="4"/>
    </row>
    <row r="4376">
      <c r="A4376" s="4"/>
      <c r="B4376" s="4"/>
      <c r="C4376" s="4"/>
      <c r="D4376" s="4"/>
      <c r="E4376" s="13"/>
      <c r="F4376" s="4"/>
      <c r="G4376" s="4"/>
    </row>
    <row r="4377">
      <c r="A4377" s="4"/>
      <c r="B4377" s="4"/>
      <c r="C4377" s="4"/>
      <c r="D4377" s="4"/>
      <c r="E4377" s="4"/>
      <c r="F4377" s="4"/>
      <c r="G4377" s="4"/>
    </row>
    <row r="4378">
      <c r="A4378" s="4"/>
      <c r="B4378" s="4"/>
      <c r="C4378" s="4"/>
      <c r="D4378" s="13"/>
      <c r="E4378" s="4"/>
      <c r="F4378" s="4"/>
      <c r="G4378" s="4"/>
    </row>
    <row r="4379">
      <c r="A4379" s="4"/>
      <c r="B4379" s="4"/>
      <c r="C4379" s="4"/>
      <c r="D4379" s="4"/>
      <c r="E4379" s="4"/>
      <c r="F4379" s="4"/>
      <c r="G4379" s="4"/>
    </row>
    <row r="4380">
      <c r="A4380" s="4"/>
      <c r="B4380" s="4"/>
      <c r="C4380" s="4"/>
      <c r="D4380" s="4"/>
      <c r="E4380" s="13"/>
      <c r="F4380" s="4"/>
      <c r="G4380" s="4"/>
    </row>
    <row r="4381">
      <c r="A4381" s="4"/>
      <c r="B4381" s="4"/>
      <c r="C4381" s="4"/>
      <c r="D4381" s="13"/>
      <c r="E4381" s="4"/>
      <c r="F4381" s="4"/>
      <c r="G4381" s="4"/>
    </row>
    <row r="4382">
      <c r="A4382" s="4"/>
      <c r="B4382" s="4"/>
      <c r="C4382" s="4"/>
      <c r="D4382" s="4"/>
      <c r="E4382" s="4"/>
      <c r="F4382" s="4"/>
      <c r="G4382" s="4"/>
    </row>
    <row r="4383">
      <c r="A4383" s="4"/>
      <c r="B4383" s="4"/>
      <c r="C4383" s="4"/>
      <c r="D4383" s="4"/>
      <c r="E4383" s="4"/>
      <c r="F4383" s="4"/>
      <c r="G4383" s="4"/>
    </row>
    <row r="4384">
      <c r="A4384" s="4"/>
      <c r="B4384" s="4"/>
      <c r="C4384" s="4"/>
      <c r="D4384" s="4"/>
      <c r="E4384" s="4"/>
      <c r="F4384" s="4"/>
      <c r="G4384" s="4"/>
    </row>
    <row r="4385">
      <c r="A4385" s="4"/>
      <c r="B4385" s="4"/>
      <c r="C4385" s="4"/>
      <c r="D4385" s="4"/>
      <c r="E4385" s="4"/>
      <c r="F4385" s="4"/>
      <c r="G4385" s="4"/>
    </row>
    <row r="4386">
      <c r="A4386" s="4"/>
      <c r="B4386" s="4"/>
      <c r="C4386" s="4"/>
      <c r="D4386" s="4"/>
      <c r="E4386" s="4"/>
      <c r="F4386" s="4"/>
      <c r="G4386" s="4"/>
    </row>
    <row r="4387">
      <c r="A4387" s="4"/>
      <c r="B4387" s="4"/>
      <c r="C4387" s="4"/>
      <c r="D4387" s="4"/>
      <c r="E4387" s="13"/>
      <c r="F4387" s="4"/>
      <c r="G4387" s="4"/>
    </row>
    <row r="4388">
      <c r="A4388" s="4"/>
      <c r="B4388" s="4"/>
      <c r="C4388" s="4"/>
      <c r="D4388" s="4"/>
      <c r="E4388" s="4"/>
      <c r="F4388" s="4"/>
      <c r="G4388" s="4"/>
    </row>
    <row r="4389">
      <c r="A4389" s="4"/>
      <c r="B4389" s="4"/>
      <c r="C4389" s="4"/>
      <c r="D4389" s="4"/>
      <c r="E4389" s="4"/>
      <c r="F4389" s="4"/>
      <c r="G4389" s="4"/>
    </row>
    <row r="4390">
      <c r="A4390" s="4"/>
      <c r="B4390" s="4"/>
      <c r="C4390" s="4"/>
      <c r="D4390" s="4"/>
      <c r="E4390" s="13"/>
      <c r="F4390" s="4"/>
      <c r="G4390" s="4"/>
    </row>
    <row r="4391">
      <c r="A4391" s="4"/>
      <c r="B4391" s="4"/>
      <c r="C4391" s="4"/>
      <c r="D4391" s="4"/>
      <c r="E4391" s="4"/>
      <c r="F4391" s="4"/>
      <c r="G4391" s="4"/>
    </row>
    <row r="4392">
      <c r="A4392" s="4"/>
      <c r="B4392" s="4"/>
      <c r="C4392" s="4"/>
      <c r="D4392" s="4"/>
      <c r="E4392" s="4"/>
      <c r="F4392" s="4"/>
      <c r="G4392" s="4"/>
    </row>
    <row r="4393">
      <c r="A4393" s="4"/>
      <c r="B4393" s="4"/>
      <c r="C4393" s="4"/>
      <c r="D4393" s="4"/>
      <c r="E4393" s="4"/>
      <c r="F4393" s="4"/>
      <c r="G4393" s="4"/>
    </row>
    <row r="4394">
      <c r="A4394" s="4"/>
      <c r="B4394" s="4"/>
      <c r="C4394" s="4"/>
      <c r="D4394" s="4"/>
      <c r="E4394" s="4"/>
      <c r="F4394" s="4"/>
      <c r="G4394" s="4"/>
    </row>
    <row r="4395">
      <c r="A4395" s="4"/>
      <c r="B4395" s="4"/>
      <c r="C4395" s="4"/>
      <c r="D4395" s="4"/>
      <c r="E4395" s="13"/>
      <c r="F4395" s="4"/>
      <c r="G4395" s="4"/>
    </row>
    <row r="4396">
      <c r="A4396" s="4"/>
      <c r="B4396" s="4"/>
      <c r="C4396" s="4"/>
      <c r="D4396" s="4"/>
      <c r="E4396" s="4"/>
      <c r="F4396" s="4"/>
      <c r="G4396" s="4"/>
    </row>
    <row r="4397">
      <c r="A4397" s="4"/>
      <c r="B4397" s="4"/>
      <c r="C4397" s="4"/>
      <c r="D4397" s="4"/>
      <c r="E4397" s="4"/>
      <c r="F4397" s="4"/>
      <c r="G4397" s="4"/>
    </row>
    <row r="4398">
      <c r="A4398" s="4"/>
      <c r="B4398" s="4"/>
      <c r="C4398" s="4"/>
      <c r="D4398" s="4"/>
      <c r="E4398" s="4"/>
      <c r="F4398" s="4"/>
      <c r="G4398" s="4"/>
    </row>
    <row r="4399">
      <c r="A4399" s="4"/>
      <c r="B4399" s="4"/>
      <c r="C4399" s="4"/>
      <c r="D4399" s="4"/>
      <c r="E4399" s="4"/>
      <c r="F4399" s="4"/>
      <c r="G4399" s="4"/>
    </row>
    <row r="4400">
      <c r="A4400" s="4"/>
      <c r="B4400" s="4"/>
      <c r="C4400" s="4"/>
      <c r="D4400" s="4"/>
      <c r="E4400" s="4"/>
      <c r="F4400" s="4"/>
      <c r="G4400" s="4"/>
    </row>
    <row r="4401">
      <c r="A4401" s="4"/>
      <c r="B4401" s="4"/>
      <c r="C4401" s="4"/>
      <c r="D4401" s="13"/>
      <c r="E4401" s="13"/>
      <c r="F4401" s="4"/>
      <c r="G4401" s="4"/>
    </row>
    <row r="4402">
      <c r="A4402" s="4"/>
      <c r="B4402" s="4"/>
      <c r="C4402" s="4"/>
      <c r="D4402" s="13"/>
      <c r="E4402" s="13"/>
      <c r="F4402" s="4"/>
      <c r="G4402" s="4"/>
    </row>
    <row r="4403">
      <c r="A4403" s="4"/>
      <c r="B4403" s="4"/>
      <c r="C4403" s="4"/>
      <c r="D4403" s="4"/>
      <c r="E4403" s="4"/>
      <c r="F4403" s="4"/>
      <c r="G4403" s="4"/>
    </row>
    <row r="4404">
      <c r="A4404" s="4"/>
      <c r="B4404" s="4"/>
      <c r="C4404" s="4"/>
      <c r="D4404" s="4"/>
      <c r="E4404" s="4"/>
      <c r="F4404" s="4"/>
      <c r="G4404" s="4"/>
    </row>
    <row r="4405">
      <c r="A4405" s="4"/>
      <c r="B4405" s="4"/>
      <c r="C4405" s="4"/>
      <c r="D4405" s="13"/>
      <c r="E4405" s="13"/>
      <c r="F4405" s="4"/>
      <c r="G4405" s="4"/>
    </row>
    <row r="4406">
      <c r="A4406" s="4"/>
      <c r="B4406" s="4"/>
      <c r="C4406" s="4"/>
      <c r="D4406" s="4"/>
      <c r="E4406" s="4"/>
      <c r="F4406" s="4"/>
      <c r="G4406" s="4"/>
    </row>
    <row r="4407">
      <c r="A4407" s="4"/>
      <c r="B4407" s="4"/>
      <c r="C4407" s="4"/>
      <c r="D4407" s="4"/>
      <c r="E4407" s="13"/>
      <c r="F4407" s="4"/>
      <c r="G4407" s="4"/>
    </row>
    <row r="4408">
      <c r="A4408" s="4"/>
      <c r="B4408" s="4"/>
      <c r="C4408" s="4"/>
      <c r="D4408" s="4"/>
      <c r="E4408" s="4"/>
      <c r="F4408" s="4"/>
      <c r="G4408" s="4"/>
    </row>
    <row r="4409">
      <c r="A4409" s="4"/>
      <c r="B4409" s="4"/>
      <c r="C4409" s="4"/>
      <c r="D4409" s="4"/>
      <c r="E4409" s="13"/>
      <c r="F4409" s="4"/>
      <c r="G4409" s="4"/>
    </row>
    <row r="4410">
      <c r="A4410" s="4"/>
      <c r="B4410" s="4"/>
      <c r="C4410" s="4"/>
      <c r="D4410" s="4"/>
      <c r="E4410" s="4"/>
      <c r="F4410" s="4"/>
      <c r="G4410" s="4"/>
    </row>
    <row r="4411">
      <c r="A4411" s="4"/>
      <c r="B4411" s="4"/>
      <c r="C4411" s="4"/>
      <c r="D4411" s="13"/>
      <c r="E4411" s="13"/>
      <c r="F4411" s="4"/>
      <c r="G4411" s="4"/>
    </row>
    <row r="4412">
      <c r="A4412" s="4"/>
      <c r="B4412" s="4"/>
      <c r="C4412" s="4"/>
      <c r="D4412" s="13"/>
      <c r="E4412" s="13"/>
      <c r="F4412" s="4"/>
      <c r="G4412" s="4"/>
    </row>
    <row r="4413">
      <c r="A4413" s="4"/>
      <c r="B4413" s="4"/>
      <c r="C4413" s="4"/>
      <c r="D4413" s="4"/>
      <c r="E4413" s="13"/>
      <c r="F4413" s="4"/>
      <c r="G4413" s="4"/>
    </row>
    <row r="4414">
      <c r="A4414" s="4"/>
      <c r="B4414" s="4"/>
      <c r="C4414" s="4"/>
      <c r="D4414" s="4"/>
      <c r="E4414" s="4"/>
      <c r="F4414" s="4"/>
      <c r="G4414" s="4"/>
    </row>
    <row r="4415">
      <c r="A4415" s="4"/>
      <c r="B4415" s="4"/>
      <c r="C4415" s="4"/>
      <c r="D4415" s="4"/>
      <c r="E4415" s="4"/>
      <c r="F4415" s="4"/>
      <c r="G4415" s="4"/>
    </row>
    <row r="4416">
      <c r="A4416" s="4"/>
      <c r="B4416" s="4"/>
      <c r="C4416" s="4"/>
      <c r="D4416" s="4"/>
      <c r="E4416" s="13"/>
      <c r="F4416" s="4"/>
      <c r="G4416" s="4"/>
    </row>
    <row r="4417">
      <c r="A4417" s="4"/>
      <c r="B4417" s="4"/>
      <c r="C4417" s="4"/>
      <c r="D4417" s="13"/>
      <c r="E4417" s="13"/>
      <c r="F4417" s="4"/>
      <c r="G4417" s="4"/>
    </row>
    <row r="4418">
      <c r="A4418" s="4"/>
      <c r="B4418" s="4"/>
      <c r="C4418" s="4"/>
      <c r="D4418" s="13"/>
      <c r="E4418" s="13"/>
      <c r="F4418" s="4"/>
      <c r="G4418" s="4"/>
    </row>
    <row r="4419">
      <c r="A4419" s="4"/>
      <c r="B4419" s="4"/>
      <c r="C4419" s="4"/>
      <c r="D4419" s="13"/>
      <c r="E4419" s="13"/>
      <c r="F4419" s="4"/>
      <c r="G4419" s="4"/>
    </row>
    <row r="4420">
      <c r="A4420" s="4"/>
      <c r="B4420" s="4"/>
      <c r="C4420" s="4"/>
      <c r="D4420" s="13"/>
      <c r="E4420" s="13"/>
      <c r="F4420" s="4"/>
      <c r="G4420" s="4"/>
    </row>
    <row r="4421">
      <c r="A4421" s="4"/>
      <c r="B4421" s="4"/>
      <c r="C4421" s="4"/>
      <c r="D4421" s="4"/>
      <c r="E4421" s="4"/>
      <c r="F4421" s="4"/>
      <c r="G4421" s="4"/>
    </row>
    <row r="4422">
      <c r="A4422" s="4"/>
      <c r="B4422" s="4"/>
      <c r="C4422" s="4"/>
      <c r="D4422" s="4"/>
      <c r="E4422" s="4"/>
      <c r="F4422" s="4"/>
      <c r="G4422" s="4"/>
    </row>
    <row r="4423">
      <c r="A4423" s="4"/>
      <c r="B4423" s="4"/>
      <c r="C4423" s="4"/>
      <c r="D4423" s="4"/>
      <c r="E4423" s="4"/>
      <c r="F4423" s="4"/>
      <c r="G4423" s="4"/>
    </row>
    <row r="4424">
      <c r="A4424" s="4"/>
      <c r="B4424" s="4"/>
      <c r="C4424" s="4"/>
      <c r="D4424" s="13"/>
      <c r="E4424" s="13"/>
      <c r="F4424" s="4"/>
      <c r="G4424" s="4"/>
    </row>
    <row r="4425">
      <c r="A4425" s="4"/>
      <c r="B4425" s="4"/>
      <c r="C4425" s="4"/>
      <c r="D4425" s="13"/>
      <c r="E4425" s="13"/>
      <c r="F4425" s="4"/>
      <c r="G4425" s="4"/>
    </row>
    <row r="4426">
      <c r="A4426" s="4"/>
      <c r="B4426" s="4"/>
      <c r="C4426" s="4"/>
      <c r="D4426" s="4"/>
      <c r="E4426" s="4"/>
      <c r="F4426" s="4"/>
      <c r="G4426" s="4"/>
    </row>
    <row r="4427">
      <c r="A4427" s="4"/>
      <c r="B4427" s="4"/>
      <c r="C4427" s="4"/>
      <c r="D4427" s="13"/>
      <c r="E4427" s="13"/>
      <c r="F4427" s="4"/>
      <c r="G4427" s="4"/>
    </row>
    <row r="4428">
      <c r="A4428" s="4"/>
      <c r="B4428" s="4"/>
      <c r="C4428" s="4"/>
      <c r="D4428" s="4"/>
      <c r="E4428" s="4"/>
      <c r="F4428" s="4"/>
      <c r="G4428" s="4"/>
    </row>
    <row r="4429">
      <c r="A4429" s="4"/>
      <c r="B4429" s="4"/>
      <c r="C4429" s="4"/>
      <c r="D4429" s="4"/>
      <c r="E4429" s="4"/>
      <c r="F4429" s="4"/>
      <c r="G4429" s="4"/>
    </row>
    <row r="4430">
      <c r="A4430" s="4"/>
      <c r="B4430" s="4"/>
      <c r="C4430" s="4"/>
      <c r="D4430" s="4"/>
      <c r="E4430" s="13"/>
      <c r="F4430" s="4"/>
      <c r="G4430" s="4"/>
    </row>
    <row r="4431">
      <c r="A4431" s="4"/>
      <c r="B4431" s="4"/>
      <c r="C4431" s="4"/>
      <c r="D4431" s="4"/>
      <c r="E4431" s="4"/>
      <c r="F4431" s="4"/>
      <c r="G4431" s="4"/>
    </row>
    <row r="4432">
      <c r="A4432" s="4"/>
      <c r="B4432" s="4"/>
      <c r="C4432" s="4"/>
      <c r="D4432" s="4"/>
      <c r="E4432" s="13"/>
      <c r="F4432" s="4"/>
      <c r="G4432" s="4"/>
    </row>
    <row r="4433">
      <c r="A4433" s="4"/>
      <c r="B4433" s="4"/>
      <c r="C4433" s="4"/>
      <c r="D4433" s="4"/>
      <c r="E4433" s="4"/>
      <c r="F4433" s="4"/>
      <c r="G4433" s="4"/>
    </row>
    <row r="4434">
      <c r="A4434" s="4"/>
      <c r="B4434" s="4"/>
      <c r="C4434" s="4"/>
      <c r="D4434" s="4"/>
      <c r="E4434" s="13"/>
      <c r="F4434" s="4"/>
      <c r="G4434" s="4"/>
    </row>
    <row r="4435">
      <c r="A4435" s="4"/>
      <c r="B4435" s="4"/>
      <c r="C4435" s="4"/>
      <c r="D4435" s="4"/>
      <c r="E4435" s="4"/>
      <c r="F4435" s="4"/>
      <c r="G4435" s="4"/>
    </row>
    <row r="4436">
      <c r="A4436" s="4"/>
      <c r="B4436" s="4"/>
      <c r="C4436" s="4"/>
      <c r="D4436" s="4"/>
      <c r="E4436" s="4"/>
      <c r="F4436" s="4"/>
      <c r="G4436" s="4"/>
    </row>
    <row r="4437">
      <c r="A4437" s="4"/>
      <c r="B4437" s="4"/>
      <c r="C4437" s="4"/>
      <c r="D4437" s="4"/>
      <c r="E4437" s="4"/>
      <c r="F4437" s="4"/>
      <c r="G4437" s="4"/>
    </row>
    <row r="4438">
      <c r="A4438" s="4"/>
      <c r="B4438" s="4"/>
      <c r="C4438" s="4"/>
      <c r="D4438" s="4"/>
      <c r="E4438" s="4"/>
      <c r="F4438" s="4"/>
      <c r="G4438" s="4"/>
    </row>
    <row r="4439">
      <c r="A4439" s="4"/>
      <c r="B4439" s="4"/>
      <c r="C4439" s="4"/>
      <c r="D4439" s="4"/>
      <c r="E4439" s="4"/>
      <c r="F4439" s="4"/>
      <c r="G4439" s="4"/>
    </row>
    <row r="4440">
      <c r="A4440" s="4"/>
      <c r="B4440" s="4"/>
      <c r="C4440" s="4"/>
      <c r="D4440" s="13"/>
      <c r="E4440" s="13"/>
      <c r="F4440" s="4"/>
      <c r="G4440" s="4"/>
    </row>
    <row r="4441">
      <c r="A4441" s="4"/>
      <c r="B4441" s="4"/>
      <c r="C4441" s="4"/>
      <c r="D4441" s="4"/>
      <c r="E4441" s="13"/>
      <c r="F4441" s="4"/>
      <c r="G4441" s="4"/>
    </row>
    <row r="4442">
      <c r="A4442" s="4"/>
      <c r="B4442" s="4"/>
      <c r="C4442" s="4"/>
      <c r="D4442" s="4"/>
      <c r="E4442" s="4"/>
      <c r="F4442" s="4"/>
      <c r="G4442" s="4"/>
    </row>
    <row r="4443">
      <c r="A4443" s="4"/>
      <c r="B4443" s="4"/>
      <c r="C4443" s="4"/>
      <c r="D4443" s="4"/>
      <c r="E4443" s="4"/>
      <c r="F4443" s="4"/>
      <c r="G4443" s="4"/>
    </row>
    <row r="4444">
      <c r="A4444" s="4"/>
      <c r="B4444" s="4"/>
      <c r="C4444" s="4"/>
      <c r="D4444" s="4"/>
      <c r="E4444" s="4"/>
      <c r="F4444" s="4"/>
      <c r="G4444" s="4"/>
    </row>
    <row r="4445">
      <c r="A4445" s="4"/>
      <c r="B4445" s="4"/>
      <c r="C4445" s="4"/>
      <c r="D4445" s="4"/>
      <c r="E4445" s="4"/>
      <c r="F4445" s="4"/>
      <c r="G4445" s="4"/>
    </row>
    <row r="4446">
      <c r="A4446" s="4"/>
      <c r="B4446" s="4"/>
      <c r="C4446" s="4"/>
      <c r="D4446" s="4"/>
      <c r="E4446" s="4"/>
      <c r="F4446" s="4"/>
      <c r="G4446" s="4"/>
    </row>
    <row r="4447">
      <c r="A4447" s="4"/>
      <c r="B4447" s="4"/>
      <c r="C4447" s="4"/>
      <c r="D4447" s="4"/>
      <c r="E4447" s="13"/>
      <c r="F4447" s="4"/>
      <c r="G4447" s="4"/>
    </row>
    <row r="4448">
      <c r="A4448" s="4"/>
      <c r="B4448" s="4"/>
      <c r="C4448" s="4"/>
      <c r="D4448" s="4"/>
      <c r="E4448" s="4"/>
      <c r="F4448" s="4"/>
      <c r="G4448" s="4"/>
    </row>
    <row r="4449">
      <c r="A4449" s="4"/>
      <c r="B4449" s="4"/>
      <c r="C4449" s="4"/>
      <c r="D4449" s="4"/>
      <c r="E4449" s="4"/>
      <c r="F4449" s="4"/>
      <c r="G4449" s="4"/>
    </row>
    <row r="4450">
      <c r="A4450" s="4"/>
      <c r="B4450" s="4"/>
      <c r="C4450" s="4"/>
      <c r="D4450" s="4"/>
      <c r="E4450" s="4"/>
      <c r="F4450" s="4"/>
      <c r="G4450" s="4"/>
    </row>
    <row r="4451">
      <c r="A4451" s="4"/>
      <c r="B4451" s="4"/>
      <c r="C4451" s="4"/>
      <c r="D4451" s="4"/>
      <c r="E4451" s="13"/>
      <c r="F4451" s="4"/>
      <c r="G4451" s="4"/>
    </row>
    <row r="4452">
      <c r="A4452" s="4"/>
      <c r="B4452" s="4"/>
      <c r="C4452" s="4"/>
      <c r="D4452" s="4"/>
      <c r="E4452" s="4"/>
      <c r="F4452" s="4"/>
      <c r="G4452" s="4"/>
    </row>
    <row r="4453">
      <c r="A4453" s="4"/>
      <c r="B4453" s="4"/>
      <c r="C4453" s="4"/>
      <c r="D4453" s="4"/>
      <c r="E4453" s="4"/>
      <c r="F4453" s="4"/>
      <c r="G4453" s="4"/>
    </row>
    <row r="4454">
      <c r="A4454" s="4"/>
      <c r="B4454" s="4"/>
      <c r="C4454" s="4"/>
      <c r="D4454" s="4"/>
      <c r="E4454" s="4"/>
      <c r="F4454" s="4"/>
      <c r="G4454" s="4"/>
    </row>
    <row r="4455">
      <c r="A4455" s="4"/>
      <c r="B4455" s="4"/>
      <c r="C4455" s="4"/>
      <c r="D4455" s="4"/>
      <c r="E4455" s="4"/>
      <c r="F4455" s="4"/>
      <c r="G4455" s="4"/>
    </row>
    <row r="4456">
      <c r="A4456" s="4"/>
      <c r="B4456" s="4"/>
      <c r="C4456" s="4"/>
      <c r="D4456" s="4"/>
      <c r="E4456" s="4"/>
      <c r="F4456" s="4"/>
      <c r="G4456" s="4"/>
    </row>
    <row r="4457">
      <c r="A4457" s="4"/>
      <c r="B4457" s="4"/>
      <c r="C4457" s="4"/>
      <c r="D4457" s="4"/>
      <c r="E4457" s="4"/>
      <c r="F4457" s="4"/>
      <c r="G4457" s="4"/>
    </row>
    <row r="4458">
      <c r="A4458" s="4"/>
      <c r="B4458" s="4"/>
      <c r="C4458" s="4"/>
      <c r="D4458" s="4"/>
      <c r="E4458" s="4"/>
      <c r="F4458" s="4"/>
      <c r="G4458" s="4"/>
    </row>
    <row r="4459">
      <c r="A4459" s="4"/>
      <c r="B4459" s="4"/>
      <c r="C4459" s="4"/>
      <c r="D4459" s="4"/>
      <c r="E4459" s="13"/>
      <c r="F4459" s="4"/>
      <c r="G4459" s="4"/>
    </row>
    <row r="4460">
      <c r="A4460" s="4"/>
      <c r="B4460" s="4"/>
      <c r="C4460" s="4"/>
      <c r="D4460" s="4"/>
      <c r="E4460" s="4"/>
      <c r="F4460" s="4"/>
      <c r="G4460" s="4"/>
    </row>
    <row r="4461">
      <c r="A4461" s="4"/>
      <c r="B4461" s="4"/>
      <c r="C4461" s="4"/>
      <c r="D4461" s="13"/>
      <c r="E4461" s="13"/>
      <c r="F4461" s="4"/>
      <c r="G4461" s="4"/>
    </row>
    <row r="4462">
      <c r="A4462" s="4"/>
      <c r="B4462" s="4"/>
      <c r="C4462" s="4"/>
      <c r="D4462" s="4"/>
      <c r="E4462" s="13"/>
      <c r="F4462" s="4"/>
      <c r="G4462" s="4"/>
    </row>
    <row r="4463">
      <c r="A4463" s="4"/>
      <c r="B4463" s="4"/>
      <c r="C4463" s="4"/>
      <c r="D4463" s="4"/>
      <c r="E4463" s="4"/>
      <c r="F4463" s="4"/>
      <c r="G4463" s="4"/>
    </row>
    <row r="4464">
      <c r="A4464" s="4"/>
      <c r="B4464" s="4"/>
      <c r="C4464" s="4"/>
      <c r="D4464" s="4"/>
      <c r="E4464" s="13"/>
      <c r="F4464" s="4"/>
      <c r="G4464" s="4"/>
    </row>
    <row r="4465">
      <c r="A4465" s="4"/>
      <c r="B4465" s="4"/>
      <c r="C4465" s="4"/>
      <c r="D4465" s="4"/>
      <c r="E4465" s="4"/>
      <c r="F4465" s="4"/>
      <c r="G4465" s="4"/>
    </row>
    <row r="4466">
      <c r="A4466" s="4"/>
      <c r="B4466" s="4"/>
      <c r="C4466" s="4"/>
      <c r="D4466" s="13"/>
      <c r="E4466" s="4"/>
      <c r="F4466" s="4"/>
      <c r="G4466" s="4"/>
    </row>
    <row r="4467">
      <c r="A4467" s="4"/>
      <c r="B4467" s="4"/>
      <c r="C4467" s="4"/>
      <c r="D4467" s="4"/>
      <c r="E4467" s="13"/>
      <c r="F4467" s="4"/>
      <c r="G4467" s="4"/>
    </row>
    <row r="4468">
      <c r="A4468" s="4"/>
      <c r="B4468" s="4"/>
      <c r="C4468" s="4"/>
      <c r="D4468" s="4"/>
      <c r="E4468" s="4"/>
      <c r="F4468" s="4"/>
      <c r="G4468" s="4"/>
    </row>
    <row r="4469">
      <c r="A4469" s="4"/>
      <c r="B4469" s="4"/>
      <c r="C4469" s="4"/>
      <c r="D4469" s="13"/>
      <c r="E4469" s="4"/>
      <c r="F4469" s="4"/>
      <c r="G4469" s="4"/>
    </row>
    <row r="4470">
      <c r="A4470" s="4"/>
      <c r="B4470" s="4"/>
      <c r="C4470" s="4"/>
      <c r="D4470" s="4"/>
      <c r="E4470" s="4"/>
      <c r="F4470" s="4"/>
      <c r="G4470" s="4"/>
    </row>
    <row r="4471">
      <c r="A4471" s="4"/>
      <c r="B4471" s="4"/>
      <c r="C4471" s="4"/>
      <c r="D4471" s="4"/>
      <c r="E4471" s="4"/>
      <c r="F4471" s="4"/>
      <c r="G4471" s="4"/>
    </row>
    <row r="4472">
      <c r="A4472" s="4"/>
      <c r="B4472" s="4"/>
      <c r="C4472" s="4"/>
      <c r="D4472" s="13"/>
      <c r="E4472" s="13"/>
      <c r="F4472" s="4"/>
      <c r="G4472" s="4"/>
    </row>
    <row r="4473">
      <c r="A4473" s="4"/>
      <c r="B4473" s="4"/>
      <c r="C4473" s="4"/>
      <c r="D4473" s="4"/>
      <c r="E4473" s="4"/>
      <c r="F4473" s="4"/>
      <c r="G4473" s="4"/>
    </row>
    <row r="4474">
      <c r="A4474" s="4"/>
      <c r="B4474" s="4"/>
      <c r="C4474" s="4"/>
      <c r="D4474" s="4"/>
      <c r="E4474" s="13"/>
      <c r="F4474" s="4"/>
      <c r="G4474" s="4"/>
    </row>
    <row r="4475">
      <c r="A4475" s="4"/>
      <c r="B4475" s="4"/>
      <c r="C4475" s="4"/>
      <c r="D4475" s="4"/>
      <c r="E4475" s="13"/>
      <c r="F4475" s="4"/>
      <c r="G4475" s="4"/>
    </row>
    <row r="4476">
      <c r="A4476" s="4"/>
      <c r="B4476" s="4"/>
      <c r="C4476" s="4"/>
      <c r="D4476" s="4"/>
      <c r="E4476" s="4"/>
      <c r="F4476" s="4"/>
      <c r="G4476" s="4"/>
    </row>
    <row r="4477">
      <c r="A4477" s="4"/>
      <c r="B4477" s="4"/>
      <c r="C4477" s="4"/>
      <c r="D4477" s="13"/>
      <c r="E4477" s="13"/>
      <c r="F4477" s="4"/>
      <c r="G4477" s="4"/>
    </row>
    <row r="4478">
      <c r="A4478" s="4"/>
      <c r="B4478" s="4"/>
      <c r="C4478" s="4"/>
      <c r="D4478" s="4"/>
      <c r="E4478" s="4"/>
      <c r="F4478" s="4"/>
      <c r="G4478" s="4"/>
    </row>
    <row r="4479">
      <c r="A4479" s="4"/>
      <c r="B4479" s="4"/>
      <c r="C4479" s="4"/>
      <c r="D4479" s="4"/>
      <c r="E4479" s="4"/>
      <c r="F4479" s="4"/>
      <c r="G4479" s="4"/>
    </row>
    <row r="4480">
      <c r="A4480" s="4"/>
      <c r="B4480" s="4"/>
      <c r="C4480" s="4"/>
      <c r="D4480" s="13"/>
      <c r="E4480" s="13"/>
      <c r="F4480" s="4"/>
      <c r="G4480" s="4"/>
    </row>
    <row r="4481">
      <c r="A4481" s="4"/>
      <c r="B4481" s="4"/>
      <c r="C4481" s="4"/>
      <c r="D4481" s="4"/>
      <c r="E4481" s="4"/>
      <c r="F4481" s="4"/>
      <c r="G4481" s="4"/>
    </row>
    <row r="4482">
      <c r="A4482" s="4"/>
      <c r="B4482" s="4"/>
      <c r="C4482" s="4"/>
      <c r="D4482" s="4"/>
      <c r="E4482" s="4"/>
      <c r="F4482" s="4"/>
      <c r="G4482" s="4"/>
    </row>
    <row r="4483">
      <c r="A4483" s="4"/>
      <c r="B4483" s="4"/>
      <c r="C4483" s="4"/>
      <c r="D4483" s="13"/>
      <c r="E4483" s="13"/>
      <c r="F4483" s="4"/>
      <c r="G4483" s="4"/>
    </row>
    <row r="4484">
      <c r="A4484" s="4"/>
      <c r="B4484" s="4"/>
      <c r="C4484" s="4"/>
      <c r="D4484" s="13"/>
      <c r="E4484" s="4"/>
      <c r="F4484" s="4"/>
      <c r="G4484" s="4"/>
    </row>
    <row r="4485">
      <c r="A4485" s="4"/>
      <c r="B4485" s="4"/>
      <c r="C4485" s="4"/>
      <c r="D4485" s="4"/>
      <c r="E4485" s="4"/>
      <c r="F4485" s="4"/>
      <c r="G4485" s="4"/>
    </row>
    <row r="4486">
      <c r="A4486" s="4"/>
      <c r="B4486" s="4"/>
      <c r="C4486" s="4"/>
      <c r="D4486" s="4"/>
      <c r="E4486" s="4"/>
      <c r="F4486" s="4"/>
      <c r="G4486" s="4"/>
    </row>
    <row r="4487">
      <c r="A4487" s="4"/>
      <c r="B4487" s="4"/>
      <c r="C4487" s="4"/>
      <c r="D4487" s="4"/>
      <c r="E4487" s="13"/>
      <c r="F4487" s="4"/>
      <c r="G4487" s="4"/>
    </row>
    <row r="4488">
      <c r="A4488" s="4"/>
      <c r="B4488" s="4"/>
      <c r="C4488" s="4"/>
      <c r="D4488" s="4"/>
      <c r="E4488" s="4"/>
      <c r="F4488" s="4"/>
      <c r="G4488" s="4"/>
    </row>
    <row r="4489">
      <c r="A4489" s="4"/>
      <c r="B4489" s="4"/>
      <c r="C4489" s="4"/>
      <c r="D4489" s="4"/>
      <c r="E4489" s="13"/>
      <c r="F4489" s="4"/>
      <c r="G4489" s="4"/>
    </row>
    <row r="4490">
      <c r="A4490" s="4"/>
      <c r="B4490" s="4"/>
      <c r="C4490" s="4"/>
      <c r="D4490" s="4"/>
      <c r="E4490" s="4"/>
      <c r="F4490" s="4"/>
      <c r="G4490" s="4"/>
    </row>
    <row r="4491">
      <c r="A4491" s="4"/>
      <c r="B4491" s="4"/>
      <c r="C4491" s="4"/>
      <c r="D4491" s="4"/>
      <c r="E4491" s="13"/>
      <c r="F4491" s="4"/>
      <c r="G4491" s="4"/>
    </row>
    <row r="4492">
      <c r="A4492" s="4"/>
      <c r="B4492" s="4"/>
      <c r="C4492" s="4"/>
      <c r="D4492" s="4"/>
      <c r="E4492" s="4"/>
      <c r="F4492" s="4"/>
      <c r="G4492" s="4"/>
    </row>
    <row r="4493">
      <c r="A4493" s="4"/>
      <c r="B4493" s="4"/>
      <c r="C4493" s="4"/>
      <c r="D4493" s="4"/>
      <c r="E4493" s="4"/>
      <c r="F4493" s="4"/>
      <c r="G4493" s="4"/>
    </row>
    <row r="4494">
      <c r="A4494" s="4"/>
      <c r="B4494" s="4"/>
      <c r="C4494" s="4"/>
      <c r="D4494" s="4"/>
      <c r="E4494" s="4"/>
      <c r="F4494" s="4"/>
      <c r="G4494" s="4"/>
    </row>
    <row r="4495">
      <c r="A4495" s="4"/>
      <c r="B4495" s="4"/>
      <c r="C4495" s="4"/>
      <c r="D4495" s="4"/>
      <c r="E4495" s="13"/>
      <c r="F4495" s="4"/>
      <c r="G4495" s="4"/>
    </row>
    <row r="4496">
      <c r="A4496" s="4"/>
      <c r="B4496" s="4"/>
      <c r="C4496" s="4"/>
      <c r="D4496" s="4"/>
      <c r="E4496" s="13"/>
      <c r="F4496" s="4"/>
      <c r="G4496" s="4"/>
    </row>
    <row r="4497">
      <c r="A4497" s="4"/>
      <c r="B4497" s="4"/>
      <c r="C4497" s="4"/>
      <c r="D4497" s="4"/>
      <c r="E4497" s="13"/>
      <c r="F4497" s="4"/>
      <c r="G4497" s="4"/>
    </row>
    <row r="4498">
      <c r="A4498" s="4"/>
      <c r="B4498" s="4"/>
      <c r="C4498" s="4"/>
      <c r="D4498" s="4"/>
      <c r="E4498" s="4"/>
      <c r="F4498" s="4"/>
      <c r="G4498" s="4"/>
    </row>
    <row r="4499">
      <c r="A4499" s="4"/>
      <c r="B4499" s="4"/>
      <c r="C4499" s="4"/>
      <c r="D4499" s="13"/>
      <c r="E4499" s="13"/>
      <c r="F4499" s="4"/>
      <c r="G4499" s="4"/>
    </row>
    <row r="4500">
      <c r="A4500" s="4"/>
      <c r="B4500" s="4"/>
      <c r="C4500" s="4"/>
      <c r="D4500" s="4"/>
      <c r="E4500" s="4"/>
      <c r="F4500" s="4"/>
      <c r="G4500" s="4"/>
    </row>
    <row r="4501">
      <c r="A4501" s="4"/>
      <c r="B4501" s="4"/>
      <c r="C4501" s="4"/>
      <c r="D4501" s="4"/>
      <c r="E4501" s="13"/>
      <c r="F4501" s="4"/>
      <c r="G4501" s="4"/>
    </row>
    <row r="4502">
      <c r="A4502" s="4"/>
      <c r="B4502" s="4"/>
      <c r="C4502" s="4"/>
      <c r="D4502" s="4"/>
      <c r="E4502" s="4"/>
      <c r="F4502" s="4"/>
      <c r="G4502" s="4"/>
    </row>
    <row r="4503">
      <c r="A4503" s="4"/>
      <c r="B4503" s="4"/>
      <c r="C4503" s="4"/>
      <c r="D4503" s="13"/>
      <c r="E4503" s="13"/>
      <c r="F4503" s="4"/>
      <c r="G4503" s="4"/>
    </row>
    <row r="4504">
      <c r="A4504" s="4"/>
      <c r="B4504" s="4"/>
      <c r="C4504" s="4"/>
      <c r="D4504" s="13"/>
      <c r="E4504" s="13"/>
      <c r="F4504" s="4"/>
      <c r="G4504" s="4"/>
    </row>
    <row r="4505">
      <c r="A4505" s="4"/>
      <c r="B4505" s="4"/>
      <c r="C4505" s="4"/>
      <c r="D4505" s="4"/>
      <c r="E4505" s="4"/>
      <c r="F4505" s="4"/>
      <c r="G4505" s="4"/>
    </row>
    <row r="4506">
      <c r="A4506" s="4"/>
      <c r="B4506" s="4"/>
      <c r="C4506" s="4"/>
      <c r="D4506" s="4"/>
      <c r="E4506" s="13"/>
      <c r="F4506" s="4"/>
      <c r="G4506" s="4"/>
    </row>
    <row r="4507">
      <c r="A4507" s="4"/>
      <c r="B4507" s="4"/>
      <c r="C4507" s="4"/>
      <c r="D4507" s="4"/>
      <c r="E4507" s="4"/>
      <c r="F4507" s="4"/>
      <c r="G4507" s="4"/>
    </row>
    <row r="4508">
      <c r="A4508" s="4"/>
      <c r="B4508" s="4"/>
      <c r="C4508" s="4"/>
      <c r="D4508" s="4"/>
      <c r="E4508" s="13"/>
      <c r="F4508" s="4"/>
      <c r="G4508" s="4"/>
    </row>
    <row r="4509">
      <c r="A4509" s="4"/>
      <c r="B4509" s="4"/>
      <c r="C4509" s="4"/>
      <c r="D4509" s="4"/>
      <c r="E4509" s="4"/>
      <c r="F4509" s="4"/>
      <c r="G4509" s="4"/>
    </row>
    <row r="4510">
      <c r="A4510" s="4"/>
      <c r="B4510" s="4"/>
      <c r="C4510" s="4"/>
      <c r="D4510" s="4"/>
      <c r="E4510" s="4"/>
      <c r="F4510" s="4"/>
      <c r="G4510" s="4"/>
    </row>
    <row r="4511">
      <c r="A4511" s="4"/>
      <c r="B4511" s="4"/>
      <c r="C4511" s="4"/>
      <c r="D4511" s="4"/>
      <c r="E4511" s="13"/>
      <c r="F4511" s="4"/>
      <c r="G4511" s="4"/>
    </row>
    <row r="4512">
      <c r="A4512" s="4"/>
      <c r="B4512" s="4"/>
      <c r="C4512" s="4"/>
      <c r="D4512" s="4"/>
      <c r="E4512" s="13"/>
      <c r="F4512" s="4"/>
      <c r="G4512" s="4"/>
    </row>
    <row r="4513">
      <c r="A4513" s="4"/>
      <c r="B4513" s="4"/>
      <c r="C4513" s="4"/>
      <c r="D4513" s="4"/>
      <c r="E4513" s="4"/>
      <c r="F4513" s="4"/>
      <c r="G4513" s="4"/>
    </row>
    <row r="4514">
      <c r="A4514" s="4"/>
      <c r="B4514" s="4"/>
      <c r="C4514" s="4"/>
      <c r="D4514" s="13"/>
      <c r="E4514" s="4"/>
      <c r="F4514" s="4"/>
      <c r="G4514" s="4"/>
    </row>
    <row r="4515">
      <c r="A4515" s="4"/>
      <c r="B4515" s="4"/>
      <c r="C4515" s="4"/>
      <c r="D4515" s="4"/>
      <c r="E4515" s="4"/>
      <c r="F4515" s="4"/>
      <c r="G4515" s="4"/>
    </row>
    <row r="4516">
      <c r="A4516" s="4"/>
      <c r="B4516" s="4"/>
      <c r="C4516" s="4"/>
      <c r="D4516" s="4"/>
      <c r="E4516" s="4"/>
      <c r="F4516" s="4"/>
      <c r="G4516" s="4"/>
    </row>
    <row r="4517">
      <c r="A4517" s="4"/>
      <c r="B4517" s="4"/>
      <c r="C4517" s="4"/>
      <c r="D4517" s="4"/>
      <c r="E4517" s="13"/>
      <c r="F4517" s="4"/>
      <c r="G4517" s="4"/>
    </row>
    <row r="4518">
      <c r="A4518" s="4"/>
      <c r="B4518" s="4"/>
      <c r="C4518" s="4"/>
      <c r="D4518" s="13"/>
      <c r="E4518" s="4"/>
      <c r="F4518" s="4"/>
      <c r="G4518" s="4"/>
    </row>
    <row r="4519">
      <c r="A4519" s="4"/>
      <c r="B4519" s="4"/>
      <c r="C4519" s="4"/>
      <c r="D4519" s="4"/>
      <c r="E4519" s="4"/>
      <c r="F4519" s="4"/>
      <c r="G4519" s="4"/>
    </row>
    <row r="4520">
      <c r="A4520" s="4"/>
      <c r="B4520" s="4"/>
      <c r="C4520" s="4"/>
      <c r="D4520" s="4"/>
      <c r="E4520" s="4"/>
      <c r="F4520" s="4"/>
      <c r="G4520" s="4"/>
    </row>
    <row r="4521">
      <c r="A4521" s="4"/>
      <c r="B4521" s="4"/>
      <c r="C4521" s="4"/>
      <c r="D4521" s="4"/>
      <c r="E4521" s="4"/>
      <c r="F4521" s="4"/>
      <c r="G4521" s="4"/>
    </row>
    <row r="4522">
      <c r="A4522" s="4"/>
      <c r="B4522" s="4"/>
      <c r="C4522" s="4"/>
      <c r="D4522" s="4"/>
      <c r="E4522" s="4"/>
      <c r="F4522" s="4"/>
      <c r="G4522" s="4"/>
    </row>
    <row r="4523">
      <c r="A4523" s="4"/>
      <c r="B4523" s="4"/>
      <c r="C4523" s="4"/>
      <c r="D4523" s="4"/>
      <c r="E4523" s="4"/>
      <c r="F4523" s="4"/>
      <c r="G4523" s="4"/>
    </row>
    <row r="4524">
      <c r="A4524" s="4"/>
      <c r="B4524" s="4"/>
      <c r="C4524" s="4"/>
      <c r="D4524" s="4"/>
      <c r="E4524" s="4"/>
      <c r="F4524" s="4"/>
      <c r="G4524" s="4"/>
    </row>
    <row r="4525">
      <c r="A4525" s="4"/>
      <c r="B4525" s="4"/>
      <c r="C4525" s="4"/>
      <c r="D4525" s="4"/>
      <c r="E4525" s="13"/>
      <c r="F4525" s="4"/>
      <c r="G4525" s="4"/>
    </row>
    <row r="4526">
      <c r="A4526" s="4"/>
      <c r="B4526" s="4"/>
      <c r="C4526" s="4"/>
      <c r="D4526" s="4"/>
      <c r="E4526" s="4"/>
      <c r="F4526" s="4"/>
      <c r="G4526" s="4"/>
    </row>
    <row r="4527">
      <c r="A4527" s="4"/>
      <c r="B4527" s="4"/>
      <c r="C4527" s="4"/>
      <c r="D4527" s="4"/>
      <c r="E4527" s="4"/>
      <c r="F4527" s="4"/>
      <c r="G4527" s="4"/>
    </row>
    <row r="4528">
      <c r="A4528" s="4"/>
      <c r="B4528" s="4"/>
      <c r="C4528" s="4"/>
      <c r="D4528" s="13"/>
      <c r="E4528" s="13"/>
      <c r="F4528" s="4"/>
      <c r="G4528" s="4"/>
    </row>
    <row r="4529">
      <c r="A4529" s="4"/>
      <c r="B4529" s="4"/>
      <c r="C4529" s="4"/>
      <c r="D4529" s="13"/>
      <c r="E4529" s="13"/>
      <c r="F4529" s="4"/>
      <c r="G4529" s="4"/>
    </row>
    <row r="4530">
      <c r="A4530" s="4"/>
      <c r="B4530" s="4"/>
      <c r="C4530" s="4"/>
      <c r="D4530" s="4"/>
      <c r="E4530" s="4"/>
      <c r="F4530" s="4"/>
      <c r="G4530" s="4"/>
    </row>
    <row r="4531">
      <c r="A4531" s="4"/>
      <c r="B4531" s="4"/>
      <c r="C4531" s="4"/>
      <c r="D4531" s="4"/>
      <c r="E4531" s="13"/>
      <c r="F4531" s="4"/>
      <c r="G4531" s="4"/>
    </row>
    <row r="4532">
      <c r="A4532" s="4"/>
      <c r="B4532" s="4"/>
      <c r="C4532" s="4"/>
      <c r="D4532" s="4"/>
      <c r="E4532" s="4"/>
      <c r="F4532" s="4"/>
      <c r="G4532" s="4"/>
    </row>
    <row r="4533">
      <c r="A4533" s="4"/>
      <c r="B4533" s="4"/>
      <c r="C4533" s="4"/>
      <c r="D4533" s="4"/>
      <c r="E4533" s="4"/>
      <c r="F4533" s="4"/>
      <c r="G4533" s="4"/>
    </row>
    <row r="4534">
      <c r="A4534" s="4"/>
      <c r="B4534" s="4"/>
      <c r="C4534" s="4"/>
      <c r="D4534" s="4"/>
      <c r="E4534" s="4"/>
      <c r="F4534" s="4"/>
      <c r="G4534" s="4"/>
    </row>
    <row r="4535">
      <c r="A4535" s="4"/>
      <c r="B4535" s="4"/>
      <c r="C4535" s="4"/>
      <c r="D4535" s="4"/>
      <c r="E4535" s="4"/>
      <c r="F4535" s="4"/>
      <c r="G4535" s="4"/>
    </row>
    <row r="4536">
      <c r="A4536" s="4"/>
      <c r="B4536" s="4"/>
      <c r="C4536" s="4"/>
      <c r="D4536" s="4"/>
      <c r="E4536" s="4"/>
      <c r="F4536" s="4"/>
      <c r="G4536" s="4"/>
    </row>
    <row r="4537">
      <c r="A4537" s="4"/>
      <c r="B4537" s="4"/>
      <c r="C4537" s="4"/>
      <c r="D4537" s="13"/>
      <c r="E4537" s="13"/>
      <c r="F4537" s="4"/>
      <c r="G4537" s="4"/>
    </row>
    <row r="4538">
      <c r="A4538" s="4"/>
      <c r="B4538" s="4"/>
      <c r="C4538" s="4"/>
      <c r="D4538" s="4"/>
      <c r="E4538" s="4"/>
      <c r="F4538" s="4"/>
      <c r="G4538" s="4"/>
    </row>
    <row r="4539">
      <c r="A4539" s="4"/>
      <c r="B4539" s="4"/>
      <c r="C4539" s="4"/>
      <c r="D4539" s="4"/>
      <c r="E4539" s="4"/>
      <c r="F4539" s="4"/>
      <c r="G4539" s="4"/>
    </row>
    <row r="4540">
      <c r="A4540" s="4"/>
      <c r="B4540" s="4"/>
      <c r="C4540" s="4"/>
      <c r="D4540" s="4"/>
      <c r="E4540" s="4"/>
      <c r="F4540" s="4"/>
      <c r="G4540" s="4"/>
    </row>
    <row r="4541">
      <c r="A4541" s="4"/>
      <c r="B4541" s="4"/>
      <c r="C4541" s="4"/>
      <c r="D4541" s="13"/>
      <c r="E4541" s="13"/>
      <c r="F4541" s="4"/>
      <c r="G4541" s="4"/>
    </row>
    <row r="4542">
      <c r="A4542" s="4"/>
      <c r="B4542" s="4"/>
      <c r="C4542" s="4"/>
      <c r="D4542" s="4"/>
      <c r="E4542" s="13"/>
      <c r="F4542" s="4"/>
      <c r="G4542" s="4"/>
    </row>
    <row r="4543">
      <c r="A4543" s="4"/>
      <c r="B4543" s="4"/>
      <c r="C4543" s="4"/>
      <c r="D4543" s="4"/>
      <c r="E4543" s="4"/>
      <c r="F4543" s="4"/>
      <c r="G4543" s="4"/>
    </row>
    <row r="4544">
      <c r="A4544" s="4"/>
      <c r="B4544" s="4"/>
      <c r="C4544" s="4"/>
      <c r="D4544" s="4"/>
      <c r="E4544" s="4"/>
      <c r="F4544" s="4"/>
      <c r="G4544" s="4"/>
    </row>
    <row r="4545">
      <c r="A4545" s="4"/>
      <c r="B4545" s="4"/>
      <c r="C4545" s="4"/>
      <c r="D4545" s="4"/>
      <c r="E4545" s="13"/>
      <c r="F4545" s="4"/>
      <c r="G4545" s="4"/>
    </row>
    <row r="4546">
      <c r="A4546" s="4"/>
      <c r="B4546" s="4"/>
      <c r="C4546" s="4"/>
      <c r="D4546" s="4"/>
      <c r="E4546" s="13"/>
      <c r="F4546" s="4"/>
      <c r="G4546" s="4"/>
    </row>
    <row r="4547">
      <c r="A4547" s="4"/>
      <c r="B4547" s="4"/>
      <c r="C4547" s="4"/>
      <c r="D4547" s="4"/>
      <c r="E4547" s="4"/>
      <c r="F4547" s="4"/>
      <c r="G4547" s="4"/>
    </row>
    <row r="4548">
      <c r="A4548" s="4"/>
      <c r="B4548" s="4"/>
      <c r="C4548" s="4"/>
      <c r="D4548" s="13"/>
      <c r="E4548" s="13"/>
      <c r="F4548" s="4"/>
      <c r="G4548" s="4"/>
    </row>
    <row r="4549">
      <c r="A4549" s="4"/>
      <c r="B4549" s="4"/>
      <c r="C4549" s="4"/>
      <c r="D4549" s="4"/>
      <c r="E4549" s="4"/>
      <c r="F4549" s="4"/>
      <c r="G4549" s="4"/>
    </row>
    <row r="4550">
      <c r="A4550" s="4"/>
      <c r="B4550" s="4"/>
      <c r="C4550" s="4"/>
      <c r="D4550" s="4"/>
      <c r="E4550" s="4"/>
      <c r="F4550" s="4"/>
      <c r="G4550" s="4"/>
    </row>
    <row r="4551">
      <c r="A4551" s="4"/>
      <c r="B4551" s="4"/>
      <c r="C4551" s="4"/>
      <c r="D4551" s="4"/>
      <c r="E4551" s="4"/>
      <c r="F4551" s="4"/>
      <c r="G4551" s="4"/>
    </row>
    <row r="4552">
      <c r="A4552" s="4"/>
      <c r="B4552" s="4"/>
      <c r="C4552" s="4"/>
      <c r="D4552" s="4"/>
      <c r="E4552" s="13"/>
      <c r="F4552" s="4"/>
      <c r="G4552" s="4"/>
    </row>
    <row r="4553">
      <c r="A4553" s="4"/>
      <c r="B4553" s="4"/>
      <c r="C4553" s="4"/>
      <c r="D4553" s="4"/>
      <c r="E4553" s="13"/>
      <c r="F4553" s="4"/>
      <c r="G4553" s="4"/>
    </row>
    <row r="4554">
      <c r="A4554" s="4"/>
      <c r="B4554" s="4"/>
      <c r="C4554" s="4"/>
      <c r="D4554" s="4"/>
      <c r="E4554" s="4"/>
      <c r="F4554" s="4"/>
      <c r="G4554" s="4"/>
    </row>
    <row r="4555">
      <c r="A4555" s="4"/>
      <c r="B4555" s="4"/>
      <c r="C4555" s="4"/>
      <c r="D4555" s="4"/>
      <c r="E4555" s="4"/>
      <c r="F4555" s="4"/>
      <c r="G4555" s="4"/>
    </row>
    <row r="4556">
      <c r="A4556" s="4"/>
      <c r="B4556" s="4"/>
      <c r="C4556" s="4"/>
      <c r="D4556" s="4"/>
      <c r="E4556" s="4"/>
      <c r="F4556" s="4"/>
      <c r="G4556" s="4"/>
    </row>
    <row r="4557">
      <c r="A4557" s="4"/>
      <c r="B4557" s="4"/>
      <c r="C4557" s="4"/>
      <c r="D4557" s="4"/>
      <c r="E4557" s="4"/>
      <c r="F4557" s="4"/>
      <c r="G4557" s="4"/>
    </row>
    <row r="4558">
      <c r="A4558" s="4"/>
      <c r="B4558" s="4"/>
      <c r="C4558" s="4"/>
      <c r="D4558" s="4"/>
      <c r="E4558" s="13"/>
      <c r="F4558" s="4"/>
      <c r="G4558" s="4"/>
    </row>
    <row r="4559">
      <c r="A4559" s="4"/>
      <c r="B4559" s="4"/>
      <c r="C4559" s="4"/>
      <c r="D4559" s="4"/>
      <c r="E4559" s="4"/>
      <c r="F4559" s="4"/>
      <c r="G4559" s="4"/>
    </row>
    <row r="4560">
      <c r="A4560" s="4"/>
      <c r="B4560" s="4"/>
      <c r="C4560" s="4"/>
      <c r="D4560" s="4"/>
      <c r="E4560" s="4"/>
      <c r="F4560" s="4"/>
      <c r="G4560" s="4"/>
    </row>
    <row r="4561">
      <c r="A4561" s="4"/>
      <c r="B4561" s="4"/>
      <c r="C4561" s="4"/>
      <c r="D4561" s="4"/>
      <c r="E4561" s="4"/>
      <c r="F4561" s="4"/>
      <c r="G4561" s="4"/>
    </row>
    <row r="4562">
      <c r="A4562" s="4"/>
      <c r="B4562" s="4"/>
      <c r="C4562" s="4"/>
      <c r="D4562" s="13"/>
      <c r="E4562" s="4"/>
      <c r="F4562" s="4"/>
      <c r="G4562" s="4"/>
    </row>
    <row r="4563">
      <c r="A4563" s="4"/>
      <c r="B4563" s="4"/>
      <c r="C4563" s="4"/>
      <c r="D4563" s="4"/>
      <c r="E4563" s="4"/>
      <c r="F4563" s="4"/>
      <c r="G4563" s="4"/>
    </row>
    <row r="4564">
      <c r="A4564" s="4"/>
      <c r="B4564" s="4"/>
      <c r="C4564" s="4"/>
      <c r="D4564" s="4"/>
      <c r="E4564" s="13"/>
      <c r="F4564" s="4"/>
      <c r="G4564" s="4"/>
    </row>
    <row r="4565">
      <c r="A4565" s="4"/>
      <c r="B4565" s="4"/>
      <c r="C4565" s="4"/>
      <c r="D4565" s="4"/>
      <c r="E4565" s="13"/>
      <c r="F4565" s="4"/>
      <c r="G4565" s="4"/>
    </row>
    <row r="4566">
      <c r="A4566" s="4"/>
      <c r="B4566" s="4"/>
      <c r="C4566" s="4"/>
      <c r="D4566" s="4"/>
      <c r="E4566" s="4"/>
      <c r="F4566" s="4"/>
      <c r="G4566" s="4"/>
    </row>
    <row r="4567">
      <c r="A4567" s="4"/>
      <c r="B4567" s="4"/>
      <c r="C4567" s="4"/>
      <c r="D4567" s="4"/>
      <c r="E4567" s="4"/>
      <c r="F4567" s="4"/>
      <c r="G4567" s="4"/>
    </row>
    <row r="4568">
      <c r="A4568" s="4"/>
      <c r="B4568" s="4"/>
      <c r="C4568" s="4"/>
      <c r="D4568" s="4"/>
      <c r="E4568" s="4"/>
      <c r="F4568" s="4"/>
      <c r="G4568" s="4"/>
    </row>
    <row r="4569">
      <c r="A4569" s="4"/>
      <c r="B4569" s="4"/>
      <c r="C4569" s="4"/>
      <c r="D4569" s="4"/>
      <c r="E4569" s="4"/>
      <c r="F4569" s="4"/>
      <c r="G4569" s="4"/>
    </row>
    <row r="4570">
      <c r="A4570" s="4"/>
      <c r="B4570" s="4"/>
      <c r="C4570" s="4"/>
      <c r="D4570" s="4"/>
      <c r="E4570" s="4"/>
      <c r="F4570" s="4"/>
      <c r="G4570" s="4"/>
    </row>
    <row r="4571">
      <c r="A4571" s="4"/>
      <c r="B4571" s="4"/>
      <c r="C4571" s="4"/>
      <c r="D4571" s="4"/>
      <c r="E4571" s="13"/>
      <c r="F4571" s="4"/>
      <c r="G4571" s="4"/>
    </row>
    <row r="4572">
      <c r="A4572" s="4"/>
      <c r="B4572" s="4"/>
      <c r="C4572" s="4"/>
      <c r="D4572" s="4"/>
      <c r="E4572" s="4"/>
      <c r="F4572" s="4"/>
      <c r="G4572" s="4"/>
    </row>
    <row r="4573">
      <c r="A4573" s="4"/>
      <c r="B4573" s="4"/>
      <c r="C4573" s="4"/>
      <c r="D4573" s="4"/>
      <c r="E4573" s="4"/>
      <c r="F4573" s="4"/>
      <c r="G4573" s="4"/>
    </row>
    <row r="4574">
      <c r="A4574" s="4"/>
      <c r="B4574" s="4"/>
      <c r="C4574" s="4"/>
      <c r="D4574" s="4"/>
      <c r="E4574" s="13"/>
      <c r="F4574" s="4"/>
      <c r="G4574" s="4"/>
    </row>
    <row r="4575">
      <c r="A4575" s="4"/>
      <c r="B4575" s="4"/>
      <c r="C4575" s="4"/>
      <c r="D4575" s="4"/>
      <c r="E4575" s="4"/>
      <c r="F4575" s="4"/>
      <c r="G4575" s="4"/>
    </row>
    <row r="4576">
      <c r="A4576" s="4"/>
      <c r="B4576" s="4"/>
      <c r="C4576" s="4"/>
      <c r="D4576" s="4"/>
      <c r="E4576" s="4"/>
      <c r="F4576" s="4"/>
      <c r="G4576" s="4"/>
    </row>
    <row r="4577">
      <c r="A4577" s="4"/>
      <c r="B4577" s="4"/>
      <c r="C4577" s="4"/>
      <c r="D4577" s="4"/>
      <c r="E4577" s="4"/>
      <c r="F4577" s="4"/>
      <c r="G4577" s="4"/>
    </row>
    <row r="4578">
      <c r="A4578" s="4"/>
      <c r="B4578" s="4"/>
      <c r="C4578" s="4"/>
      <c r="D4578" s="13"/>
      <c r="E4578" s="13"/>
      <c r="F4578" s="4"/>
      <c r="G4578" s="4"/>
    </row>
    <row r="4579">
      <c r="A4579" s="4"/>
      <c r="B4579" s="4"/>
      <c r="C4579" s="4"/>
      <c r="D4579" s="4"/>
      <c r="E4579" s="4"/>
      <c r="F4579" s="4"/>
      <c r="G4579" s="4"/>
    </row>
    <row r="4580">
      <c r="A4580" s="4"/>
      <c r="B4580" s="4"/>
      <c r="C4580" s="4"/>
      <c r="D4580" s="13"/>
      <c r="E4580" s="13"/>
      <c r="F4580" s="4"/>
      <c r="G4580" s="4"/>
    </row>
    <row r="4581">
      <c r="A4581" s="4"/>
      <c r="B4581" s="4"/>
      <c r="C4581" s="4"/>
      <c r="D4581" s="13"/>
      <c r="E4581" s="13"/>
      <c r="F4581" s="4"/>
      <c r="G4581" s="4"/>
    </row>
    <row r="4582">
      <c r="A4582" s="4"/>
      <c r="B4582" s="4"/>
      <c r="C4582" s="4"/>
      <c r="D4582" s="4"/>
      <c r="E4582" s="4"/>
      <c r="F4582" s="4"/>
      <c r="G4582" s="4"/>
    </row>
    <row r="4583">
      <c r="A4583" s="4"/>
      <c r="B4583" s="4"/>
      <c r="C4583" s="4"/>
      <c r="D4583" s="13"/>
      <c r="E4583" s="13"/>
      <c r="F4583" s="4"/>
      <c r="G4583" s="4"/>
    </row>
    <row r="4584">
      <c r="A4584" s="4"/>
      <c r="B4584" s="4"/>
      <c r="C4584" s="4"/>
      <c r="D4584" s="4"/>
      <c r="E4584" s="4"/>
      <c r="F4584" s="4"/>
      <c r="G4584" s="4"/>
    </row>
    <row r="4585">
      <c r="A4585" s="4"/>
      <c r="B4585" s="4"/>
      <c r="C4585" s="4"/>
      <c r="D4585" s="13"/>
      <c r="E4585" s="13"/>
      <c r="F4585" s="4"/>
      <c r="G4585" s="4"/>
    </row>
    <row r="4586">
      <c r="A4586" s="4"/>
      <c r="B4586" s="4"/>
      <c r="C4586" s="4"/>
      <c r="D4586" s="13"/>
      <c r="E4586" s="13"/>
      <c r="F4586" s="4"/>
      <c r="G4586" s="4"/>
    </row>
    <row r="4587">
      <c r="A4587" s="4"/>
      <c r="B4587" s="4"/>
      <c r="C4587" s="4"/>
      <c r="D4587" s="13"/>
      <c r="E4587" s="13"/>
      <c r="F4587" s="4"/>
      <c r="G4587" s="4"/>
    </row>
    <row r="4588">
      <c r="A4588" s="4"/>
      <c r="B4588" s="4"/>
      <c r="C4588" s="4"/>
      <c r="D4588" s="4"/>
      <c r="E4588" s="4"/>
      <c r="F4588" s="4"/>
      <c r="G4588" s="4"/>
    </row>
    <row r="4589">
      <c r="A4589" s="4"/>
      <c r="B4589" s="4"/>
      <c r="C4589" s="4"/>
      <c r="D4589" s="13"/>
      <c r="E4589" s="13"/>
      <c r="F4589" s="4"/>
      <c r="G4589" s="4"/>
    </row>
    <row r="4590">
      <c r="A4590" s="4"/>
      <c r="B4590" s="4"/>
      <c r="C4590" s="4"/>
      <c r="D4590" s="4"/>
      <c r="E4590" s="4"/>
      <c r="F4590" s="4"/>
      <c r="G4590" s="4"/>
    </row>
    <row r="4591">
      <c r="A4591" s="4"/>
      <c r="B4591" s="4"/>
      <c r="C4591" s="4"/>
      <c r="D4591" s="4"/>
      <c r="E4591" s="13"/>
      <c r="F4591" s="4"/>
      <c r="G4591" s="4"/>
    </row>
    <row r="4592">
      <c r="A4592" s="4"/>
      <c r="B4592" s="4"/>
      <c r="C4592" s="4"/>
      <c r="D4592" s="4"/>
      <c r="E4592" s="4"/>
      <c r="F4592" s="4"/>
      <c r="G4592" s="4"/>
    </row>
    <row r="4593">
      <c r="A4593" s="4"/>
      <c r="B4593" s="4"/>
      <c r="C4593" s="4"/>
      <c r="D4593" s="13"/>
      <c r="E4593" s="4"/>
      <c r="F4593" s="4"/>
      <c r="G4593" s="4"/>
    </row>
    <row r="4594">
      <c r="A4594" s="4"/>
      <c r="B4594" s="4"/>
      <c r="C4594" s="4"/>
      <c r="D4594" s="4"/>
      <c r="E4594" s="13"/>
      <c r="F4594" s="4"/>
      <c r="G4594" s="4"/>
    </row>
    <row r="4595">
      <c r="A4595" s="4"/>
      <c r="B4595" s="4"/>
      <c r="C4595" s="4"/>
      <c r="D4595" s="4"/>
      <c r="E4595" s="4"/>
      <c r="F4595" s="4"/>
      <c r="G4595" s="4"/>
    </row>
    <row r="4596">
      <c r="A4596" s="4"/>
      <c r="B4596" s="4"/>
      <c r="C4596" s="4"/>
      <c r="D4596" s="4"/>
      <c r="E4596" s="4"/>
      <c r="F4596" s="4"/>
      <c r="G4596" s="4"/>
    </row>
    <row r="4597">
      <c r="A4597" s="4"/>
      <c r="B4597" s="4"/>
      <c r="C4597" s="4"/>
      <c r="D4597" s="4"/>
      <c r="E4597" s="4"/>
      <c r="F4597" s="4"/>
      <c r="G4597" s="4"/>
    </row>
    <row r="4598">
      <c r="A4598" s="4"/>
      <c r="B4598" s="4"/>
      <c r="C4598" s="4"/>
      <c r="D4598" s="4"/>
      <c r="E4598" s="4"/>
      <c r="F4598" s="4"/>
      <c r="G4598" s="4"/>
    </row>
    <row r="4599">
      <c r="A4599" s="4"/>
      <c r="B4599" s="4"/>
      <c r="C4599" s="4"/>
      <c r="D4599" s="4"/>
      <c r="E4599" s="4"/>
      <c r="F4599" s="4"/>
      <c r="G4599" s="4"/>
    </row>
    <row r="4600">
      <c r="A4600" s="4"/>
      <c r="B4600" s="4"/>
      <c r="C4600" s="4"/>
      <c r="D4600" s="4"/>
      <c r="E4600" s="4"/>
      <c r="F4600" s="4"/>
      <c r="G4600" s="4"/>
    </row>
    <row r="4601">
      <c r="A4601" s="4"/>
      <c r="B4601" s="4"/>
      <c r="C4601" s="4"/>
      <c r="D4601" s="4"/>
      <c r="E4601" s="13"/>
      <c r="F4601" s="4"/>
      <c r="G4601" s="4"/>
    </row>
    <row r="4602">
      <c r="A4602" s="4"/>
      <c r="B4602" s="4"/>
      <c r="C4602" s="4"/>
      <c r="D4602" s="4"/>
      <c r="E4602" s="4"/>
      <c r="F4602" s="4"/>
      <c r="G4602" s="4"/>
    </row>
    <row r="4603">
      <c r="A4603" s="4"/>
      <c r="B4603" s="4"/>
      <c r="C4603" s="4"/>
      <c r="D4603" s="4"/>
      <c r="E4603" s="13"/>
      <c r="F4603" s="4"/>
      <c r="G4603" s="4"/>
    </row>
    <row r="4604">
      <c r="A4604" s="4"/>
      <c r="B4604" s="4"/>
      <c r="C4604" s="4"/>
      <c r="D4604" s="4"/>
      <c r="E4604" s="4"/>
      <c r="F4604" s="4"/>
      <c r="G4604" s="4"/>
    </row>
    <row r="4605">
      <c r="A4605" s="4"/>
      <c r="B4605" s="4"/>
      <c r="C4605" s="4"/>
      <c r="D4605" s="4"/>
      <c r="E4605" s="4"/>
      <c r="F4605" s="4"/>
      <c r="G4605" s="4"/>
    </row>
    <row r="4606">
      <c r="A4606" s="4"/>
      <c r="B4606" s="4"/>
      <c r="C4606" s="4"/>
      <c r="D4606" s="4"/>
      <c r="E4606" s="4"/>
      <c r="F4606" s="4"/>
      <c r="G4606" s="4"/>
    </row>
    <row r="4607">
      <c r="A4607" s="4"/>
      <c r="B4607" s="4"/>
      <c r="C4607" s="4"/>
      <c r="D4607" s="4"/>
      <c r="E4607" s="13"/>
      <c r="F4607" s="4"/>
      <c r="G4607" s="4"/>
    </row>
    <row r="4608">
      <c r="A4608" s="4"/>
      <c r="B4608" s="4"/>
      <c r="C4608" s="4"/>
      <c r="D4608" s="4"/>
      <c r="E4608" s="13"/>
      <c r="F4608" s="4"/>
      <c r="G4608" s="4"/>
    </row>
    <row r="4609">
      <c r="A4609" s="4"/>
      <c r="B4609" s="4"/>
      <c r="C4609" s="4"/>
      <c r="D4609" s="4"/>
      <c r="E4609" s="4"/>
      <c r="F4609" s="4"/>
      <c r="G4609" s="4"/>
    </row>
    <row r="4610">
      <c r="A4610" s="4"/>
      <c r="B4610" s="4"/>
      <c r="C4610" s="4"/>
      <c r="D4610" s="13"/>
      <c r="E4610" s="4"/>
      <c r="F4610" s="4"/>
      <c r="G4610" s="4"/>
    </row>
    <row r="4611">
      <c r="A4611" s="4"/>
      <c r="B4611" s="4"/>
      <c r="C4611" s="4"/>
      <c r="D4611" s="4"/>
      <c r="E4611" s="4"/>
      <c r="F4611" s="4"/>
      <c r="G4611" s="4"/>
    </row>
    <row r="4612">
      <c r="A4612" s="4"/>
      <c r="B4612" s="4"/>
      <c r="C4612" s="4"/>
      <c r="D4612" s="4"/>
      <c r="E4612" s="13"/>
      <c r="F4612" s="4"/>
      <c r="G4612" s="4"/>
    </row>
    <row r="4613">
      <c r="A4613" s="4"/>
      <c r="B4613" s="4"/>
      <c r="C4613" s="4"/>
      <c r="D4613" s="4"/>
      <c r="E4613" s="4"/>
      <c r="F4613" s="4"/>
      <c r="G4613" s="4"/>
    </row>
    <row r="4614">
      <c r="A4614" s="4"/>
      <c r="B4614" s="4"/>
      <c r="C4614" s="4"/>
      <c r="D4614" s="4"/>
      <c r="E4614" s="4"/>
      <c r="F4614" s="4"/>
      <c r="G4614" s="4"/>
    </row>
    <row r="4615">
      <c r="A4615" s="4"/>
      <c r="B4615" s="4"/>
      <c r="C4615" s="4"/>
      <c r="D4615" s="4"/>
      <c r="E4615" s="4"/>
      <c r="F4615" s="4"/>
      <c r="G4615" s="4"/>
    </row>
    <row r="4616">
      <c r="A4616" s="4"/>
      <c r="B4616" s="4"/>
      <c r="C4616" s="4"/>
      <c r="D4616" s="13"/>
      <c r="E4616" s="4"/>
      <c r="F4616" s="4"/>
      <c r="G4616" s="4"/>
    </row>
    <row r="4617">
      <c r="A4617" s="4"/>
      <c r="B4617" s="4"/>
      <c r="C4617" s="4"/>
      <c r="D4617" s="4"/>
      <c r="E4617" s="13"/>
      <c r="F4617" s="4"/>
      <c r="G4617" s="4"/>
    </row>
    <row r="4618">
      <c r="A4618" s="4"/>
      <c r="B4618" s="4"/>
      <c r="C4618" s="4"/>
      <c r="D4618" s="4"/>
      <c r="E4618" s="4"/>
      <c r="F4618" s="4"/>
      <c r="G4618" s="4"/>
    </row>
    <row r="4619">
      <c r="A4619" s="4"/>
      <c r="B4619" s="4"/>
      <c r="C4619" s="4"/>
      <c r="D4619" s="4"/>
      <c r="E4619" s="13"/>
      <c r="F4619" s="4"/>
      <c r="G4619" s="4"/>
    </row>
    <row r="4620">
      <c r="A4620" s="4"/>
      <c r="B4620" s="4"/>
      <c r="C4620" s="4"/>
      <c r="D4620" s="4"/>
      <c r="E4620" s="4"/>
      <c r="F4620" s="4"/>
      <c r="G4620" s="4"/>
    </row>
    <row r="4621">
      <c r="A4621" s="4"/>
      <c r="B4621" s="4"/>
      <c r="C4621" s="4"/>
      <c r="D4621" s="13"/>
      <c r="E4621" s="13"/>
      <c r="F4621" s="4"/>
      <c r="G4621" s="4"/>
    </row>
    <row r="4622">
      <c r="A4622" s="4"/>
      <c r="B4622" s="4"/>
      <c r="C4622" s="4"/>
      <c r="D4622" s="4"/>
      <c r="E4622" s="4"/>
      <c r="F4622" s="4"/>
      <c r="G4622" s="4"/>
    </row>
    <row r="4623">
      <c r="A4623" s="4"/>
      <c r="B4623" s="4"/>
      <c r="C4623" s="4"/>
      <c r="D4623" s="4"/>
      <c r="E4623" s="4"/>
      <c r="F4623" s="4"/>
      <c r="G4623" s="4"/>
    </row>
    <row r="4624">
      <c r="A4624" s="4"/>
      <c r="B4624" s="4"/>
      <c r="C4624" s="4"/>
      <c r="D4624" s="4"/>
      <c r="E4624" s="4"/>
      <c r="F4624" s="4"/>
      <c r="G4624" s="4"/>
    </row>
    <row r="4625">
      <c r="A4625" s="4"/>
      <c r="B4625" s="4"/>
      <c r="C4625" s="4"/>
      <c r="D4625" s="13"/>
      <c r="E4625" s="13"/>
      <c r="F4625" s="4"/>
      <c r="G4625" s="4"/>
    </row>
    <row r="4626">
      <c r="A4626" s="4"/>
      <c r="B4626" s="4"/>
      <c r="C4626" s="4"/>
      <c r="D4626" s="13"/>
      <c r="E4626" s="13"/>
      <c r="F4626" s="4"/>
      <c r="G4626" s="4"/>
    </row>
    <row r="4627">
      <c r="A4627" s="4"/>
      <c r="B4627" s="4"/>
      <c r="C4627" s="4"/>
      <c r="D4627" s="4"/>
      <c r="E4627" s="4"/>
      <c r="F4627" s="4"/>
      <c r="G4627" s="4"/>
    </row>
    <row r="4628">
      <c r="A4628" s="4"/>
      <c r="B4628" s="4"/>
      <c r="C4628" s="4"/>
      <c r="D4628" s="4"/>
      <c r="E4628" s="4"/>
      <c r="F4628" s="4"/>
      <c r="G4628" s="4"/>
    </row>
    <row r="4629">
      <c r="A4629" s="4"/>
      <c r="B4629" s="4"/>
      <c r="C4629" s="4"/>
      <c r="D4629" s="4"/>
      <c r="E4629" s="4"/>
      <c r="F4629" s="4"/>
      <c r="G4629" s="4"/>
    </row>
    <row r="4630">
      <c r="A4630" s="4"/>
      <c r="B4630" s="4"/>
      <c r="C4630" s="4"/>
      <c r="D4630" s="13"/>
      <c r="E4630" s="13"/>
      <c r="F4630" s="4"/>
      <c r="G4630" s="4"/>
    </row>
    <row r="4631">
      <c r="A4631" s="4"/>
      <c r="B4631" s="4"/>
      <c r="C4631" s="4"/>
      <c r="D4631" s="4"/>
      <c r="E4631" s="4"/>
      <c r="F4631" s="4"/>
      <c r="G4631" s="4"/>
    </row>
    <row r="4632">
      <c r="A4632" s="4"/>
      <c r="B4632" s="4"/>
      <c r="C4632" s="4"/>
      <c r="D4632" s="4"/>
      <c r="E4632" s="4"/>
      <c r="F4632" s="4"/>
      <c r="G4632" s="4"/>
    </row>
    <row r="4633">
      <c r="A4633" s="4"/>
      <c r="B4633" s="4"/>
      <c r="C4633" s="4"/>
      <c r="D4633" s="4"/>
      <c r="E4633" s="4"/>
      <c r="F4633" s="4"/>
      <c r="G4633" s="4"/>
    </row>
    <row r="4634">
      <c r="A4634" s="4"/>
      <c r="B4634" s="4"/>
      <c r="C4634" s="4"/>
      <c r="D4634" s="4"/>
      <c r="E4634" s="4"/>
      <c r="F4634" s="4"/>
      <c r="G4634" s="4"/>
    </row>
    <row r="4635">
      <c r="A4635" s="4"/>
      <c r="B4635" s="4"/>
      <c r="C4635" s="4"/>
      <c r="D4635" s="13"/>
      <c r="E4635" s="13"/>
      <c r="F4635" s="4"/>
      <c r="G4635" s="4"/>
    </row>
    <row r="4636">
      <c r="A4636" s="4"/>
      <c r="B4636" s="4"/>
      <c r="C4636" s="4"/>
      <c r="D4636" s="4"/>
      <c r="E4636" s="4"/>
      <c r="F4636" s="4"/>
      <c r="G4636" s="4"/>
    </row>
    <row r="4637">
      <c r="A4637" s="4"/>
      <c r="B4637" s="4"/>
      <c r="C4637" s="4"/>
      <c r="D4637" s="4"/>
      <c r="E4637" s="4"/>
      <c r="F4637" s="4"/>
      <c r="G4637" s="4"/>
    </row>
    <row r="4638">
      <c r="A4638" s="4"/>
      <c r="B4638" s="4"/>
      <c r="C4638" s="4"/>
      <c r="D4638" s="4"/>
      <c r="E4638" s="13"/>
      <c r="F4638" s="4"/>
      <c r="G4638" s="4"/>
    </row>
    <row r="4639">
      <c r="A4639" s="4"/>
      <c r="B4639" s="4"/>
      <c r="C4639" s="4"/>
      <c r="D4639" s="4"/>
      <c r="E4639" s="4"/>
      <c r="F4639" s="4"/>
      <c r="G4639" s="4"/>
    </row>
    <row r="4640">
      <c r="A4640" s="4"/>
      <c r="B4640" s="4"/>
      <c r="C4640" s="4"/>
      <c r="D4640" s="4"/>
      <c r="E4640" s="4"/>
      <c r="F4640" s="4"/>
      <c r="G4640" s="4"/>
    </row>
    <row r="4641">
      <c r="A4641" s="4"/>
      <c r="B4641" s="4"/>
      <c r="C4641" s="4"/>
      <c r="D4641" s="4"/>
      <c r="E4641" s="13"/>
      <c r="F4641" s="4"/>
      <c r="G4641" s="4"/>
    </row>
    <row r="4642">
      <c r="A4642" s="4"/>
      <c r="B4642" s="4"/>
      <c r="C4642" s="4"/>
      <c r="D4642" s="4"/>
      <c r="E4642" s="13"/>
      <c r="F4642" s="4"/>
      <c r="G4642" s="4"/>
    </row>
    <row r="4643">
      <c r="A4643" s="4"/>
      <c r="B4643" s="4"/>
      <c r="C4643" s="4"/>
      <c r="D4643" s="4"/>
      <c r="E4643" s="4"/>
      <c r="F4643" s="4"/>
      <c r="G4643" s="4"/>
    </row>
    <row r="4644">
      <c r="A4644" s="4"/>
      <c r="B4644" s="4"/>
      <c r="C4644" s="4"/>
      <c r="D4644" s="4"/>
      <c r="E4644" s="4"/>
      <c r="F4644" s="4"/>
      <c r="G4644" s="4"/>
    </row>
    <row r="4645">
      <c r="A4645" s="4"/>
      <c r="B4645" s="4"/>
      <c r="C4645" s="4"/>
      <c r="D4645" s="4"/>
      <c r="E4645" s="13"/>
      <c r="F4645" s="4"/>
      <c r="G4645" s="4"/>
    </row>
    <row r="4646">
      <c r="A4646" s="4"/>
      <c r="B4646" s="4"/>
      <c r="C4646" s="4"/>
      <c r="D4646" s="4"/>
      <c r="E4646" s="4"/>
      <c r="F4646" s="4"/>
      <c r="G4646" s="4"/>
    </row>
    <row r="4647">
      <c r="A4647" s="4"/>
      <c r="B4647" s="4"/>
      <c r="C4647" s="4"/>
      <c r="D4647" s="13"/>
      <c r="E4647" s="13"/>
      <c r="F4647" s="4"/>
      <c r="G4647" s="4"/>
    </row>
    <row r="4648">
      <c r="A4648" s="4"/>
      <c r="B4648" s="4"/>
      <c r="C4648" s="4"/>
      <c r="D4648" s="4"/>
      <c r="E4648" s="4"/>
      <c r="F4648" s="4"/>
      <c r="G4648" s="4"/>
    </row>
    <row r="4649">
      <c r="A4649" s="4"/>
      <c r="B4649" s="4"/>
      <c r="C4649" s="4"/>
      <c r="D4649" s="4"/>
      <c r="E4649" s="4"/>
      <c r="F4649" s="4"/>
      <c r="G4649" s="4"/>
    </row>
    <row r="4650">
      <c r="A4650" s="4"/>
      <c r="B4650" s="4"/>
      <c r="C4650" s="4"/>
      <c r="D4650" s="4"/>
      <c r="E4650" s="4"/>
      <c r="F4650" s="4"/>
      <c r="G4650" s="4"/>
    </row>
    <row r="4651">
      <c r="A4651" s="4"/>
      <c r="B4651" s="4"/>
      <c r="C4651" s="4"/>
      <c r="D4651" s="13"/>
      <c r="E4651" s="13"/>
      <c r="F4651" s="4"/>
      <c r="G4651" s="4"/>
    </row>
    <row r="4652">
      <c r="A4652" s="4"/>
      <c r="B4652" s="4"/>
      <c r="C4652" s="4"/>
      <c r="D4652" s="4"/>
      <c r="E4652" s="4"/>
      <c r="F4652" s="4"/>
      <c r="G4652" s="4"/>
    </row>
    <row r="4653">
      <c r="A4653" s="4"/>
      <c r="B4653" s="4"/>
      <c r="C4653" s="4"/>
      <c r="D4653" s="4"/>
      <c r="E4653" s="4"/>
      <c r="F4653" s="4"/>
      <c r="G4653" s="4"/>
    </row>
    <row r="4654">
      <c r="A4654" s="4"/>
      <c r="B4654" s="4"/>
      <c r="C4654" s="4"/>
      <c r="D4654" s="4"/>
      <c r="E4654" s="13"/>
      <c r="F4654" s="4"/>
      <c r="G4654" s="4"/>
    </row>
    <row r="4655">
      <c r="A4655" s="4"/>
      <c r="B4655" s="4"/>
      <c r="C4655" s="4"/>
      <c r="D4655" s="4"/>
      <c r="E4655" s="4"/>
      <c r="F4655" s="4"/>
      <c r="G4655" s="4"/>
    </row>
    <row r="4656">
      <c r="A4656" s="4"/>
      <c r="B4656" s="4"/>
      <c r="C4656" s="4"/>
      <c r="D4656" s="13"/>
      <c r="E4656" s="13"/>
      <c r="F4656" s="4"/>
      <c r="G4656" s="4"/>
    </row>
    <row r="4657">
      <c r="A4657" s="4"/>
      <c r="B4657" s="4"/>
      <c r="C4657" s="4"/>
      <c r="D4657" s="13"/>
      <c r="E4657" s="13"/>
      <c r="F4657" s="4"/>
      <c r="G4657" s="4"/>
    </row>
    <row r="4658">
      <c r="A4658" s="4"/>
      <c r="B4658" s="4"/>
      <c r="C4658" s="4"/>
      <c r="D4658" s="4"/>
      <c r="E4658" s="4"/>
      <c r="F4658" s="4"/>
      <c r="G4658" s="4"/>
    </row>
    <row r="4659">
      <c r="A4659" s="4"/>
      <c r="B4659" s="4"/>
      <c r="C4659" s="4"/>
      <c r="D4659" s="13"/>
      <c r="E4659" s="13"/>
      <c r="F4659" s="4"/>
      <c r="G4659" s="4"/>
    </row>
    <row r="4660">
      <c r="A4660" s="4"/>
      <c r="B4660" s="4"/>
      <c r="C4660" s="4"/>
      <c r="D4660" s="4"/>
      <c r="E4660" s="13"/>
      <c r="F4660" s="4"/>
      <c r="G4660" s="4"/>
    </row>
    <row r="4661">
      <c r="A4661" s="4"/>
      <c r="B4661" s="4"/>
      <c r="C4661" s="4"/>
      <c r="D4661" s="4"/>
      <c r="E4661" s="4"/>
      <c r="F4661" s="4"/>
      <c r="G4661" s="4"/>
    </row>
    <row r="4662">
      <c r="A4662" s="4"/>
      <c r="B4662" s="4"/>
      <c r="C4662" s="4"/>
      <c r="D4662" s="4"/>
      <c r="E4662" s="4"/>
      <c r="F4662" s="4"/>
      <c r="G4662" s="4"/>
    </row>
    <row r="4663">
      <c r="A4663" s="4"/>
      <c r="B4663" s="4"/>
      <c r="C4663" s="4"/>
      <c r="D4663" s="4"/>
      <c r="E4663" s="4"/>
      <c r="F4663" s="4"/>
      <c r="G4663" s="4"/>
    </row>
    <row r="4664">
      <c r="A4664" s="4"/>
      <c r="B4664" s="4"/>
      <c r="C4664" s="4"/>
      <c r="D4664" s="4"/>
      <c r="E4664" s="13"/>
      <c r="F4664" s="4"/>
      <c r="G4664" s="4"/>
    </row>
    <row r="4665">
      <c r="A4665" s="4"/>
      <c r="B4665" s="4"/>
      <c r="C4665" s="4"/>
      <c r="D4665" s="13"/>
      <c r="E4665" s="13"/>
      <c r="F4665" s="4"/>
      <c r="G4665" s="4"/>
    </row>
    <row r="4666">
      <c r="A4666" s="4"/>
      <c r="B4666" s="4"/>
      <c r="C4666" s="4"/>
      <c r="D4666" s="13"/>
      <c r="E4666" s="13"/>
      <c r="F4666" s="4"/>
      <c r="G4666" s="4"/>
    </row>
    <row r="4667">
      <c r="A4667" s="4"/>
      <c r="B4667" s="4"/>
      <c r="C4667" s="4"/>
      <c r="D4667" s="13"/>
      <c r="E4667" s="13"/>
      <c r="F4667" s="4"/>
      <c r="G4667" s="4"/>
    </row>
    <row r="4668">
      <c r="A4668" s="4"/>
      <c r="B4668" s="4"/>
      <c r="C4668" s="4"/>
      <c r="D4668" s="4"/>
      <c r="E4668" s="4"/>
      <c r="F4668" s="4"/>
      <c r="G4668" s="4"/>
    </row>
    <row r="4669">
      <c r="A4669" s="4"/>
      <c r="B4669" s="4"/>
      <c r="C4669" s="4"/>
      <c r="D4669" s="4"/>
      <c r="E4669" s="4"/>
      <c r="F4669" s="4"/>
      <c r="G4669" s="4"/>
    </row>
    <row r="4670">
      <c r="A4670" s="4"/>
      <c r="B4670" s="4"/>
      <c r="C4670" s="4"/>
      <c r="D4670" s="4"/>
      <c r="E4670" s="4"/>
      <c r="F4670" s="4"/>
      <c r="G4670" s="4"/>
    </row>
    <row r="4671">
      <c r="A4671" s="4"/>
      <c r="B4671" s="4"/>
      <c r="C4671" s="4"/>
      <c r="D4671" s="4"/>
      <c r="E4671" s="4"/>
      <c r="F4671" s="4"/>
      <c r="G4671" s="4"/>
    </row>
    <row r="4672">
      <c r="A4672" s="4"/>
      <c r="B4672" s="4"/>
      <c r="C4672" s="4"/>
      <c r="D4672" s="13"/>
      <c r="E4672" s="13"/>
      <c r="F4672" s="4"/>
      <c r="G4672" s="4"/>
    </row>
    <row r="4673">
      <c r="A4673" s="4"/>
      <c r="B4673" s="4"/>
      <c r="C4673" s="4"/>
      <c r="D4673" s="4"/>
      <c r="E4673" s="4"/>
      <c r="F4673" s="4"/>
      <c r="G4673" s="4"/>
    </row>
    <row r="4674">
      <c r="A4674" s="4"/>
      <c r="B4674" s="4"/>
      <c r="C4674" s="4"/>
      <c r="D4674" s="4"/>
      <c r="E4674" s="4"/>
      <c r="F4674" s="4"/>
      <c r="G4674" s="4"/>
    </row>
    <row r="4675">
      <c r="A4675" s="4"/>
      <c r="B4675" s="4"/>
      <c r="C4675" s="4"/>
      <c r="D4675" s="4"/>
      <c r="E4675" s="4"/>
      <c r="F4675" s="4"/>
      <c r="G4675" s="4"/>
    </row>
    <row r="4676">
      <c r="A4676" s="4"/>
      <c r="B4676" s="4"/>
      <c r="C4676" s="4"/>
      <c r="D4676" s="13"/>
      <c r="E4676" s="13"/>
      <c r="F4676" s="4"/>
      <c r="G4676" s="4"/>
    </row>
    <row r="4677">
      <c r="A4677" s="4"/>
      <c r="B4677" s="4"/>
      <c r="C4677" s="4"/>
      <c r="D4677" s="4"/>
      <c r="E4677" s="4"/>
      <c r="F4677" s="4"/>
      <c r="G4677" s="4"/>
    </row>
    <row r="4678">
      <c r="A4678" s="4"/>
      <c r="B4678" s="4"/>
      <c r="C4678" s="4"/>
      <c r="D4678" s="4"/>
      <c r="E4678" s="13"/>
      <c r="F4678" s="4"/>
      <c r="G4678" s="4"/>
    </row>
    <row r="4679">
      <c r="A4679" s="4"/>
      <c r="B4679" s="4"/>
      <c r="C4679" s="4"/>
      <c r="D4679" s="4"/>
      <c r="E4679" s="4"/>
      <c r="F4679" s="4"/>
      <c r="G4679" s="4"/>
    </row>
    <row r="4680">
      <c r="A4680" s="4"/>
      <c r="B4680" s="4"/>
      <c r="C4680" s="4"/>
      <c r="D4680" s="4"/>
      <c r="E4680" s="13"/>
      <c r="F4680" s="4"/>
      <c r="G4680" s="4"/>
    </row>
    <row r="4681">
      <c r="A4681" s="4"/>
      <c r="B4681" s="4"/>
      <c r="C4681" s="4"/>
      <c r="D4681" s="4"/>
      <c r="E4681" s="4"/>
      <c r="F4681" s="4"/>
      <c r="G4681" s="4"/>
    </row>
    <row r="4682">
      <c r="A4682" s="4"/>
      <c r="B4682" s="4"/>
      <c r="C4682" s="4"/>
      <c r="D4682" s="4"/>
      <c r="E4682" s="13"/>
      <c r="F4682" s="4"/>
      <c r="G4682" s="4"/>
    </row>
    <row r="4683">
      <c r="A4683" s="4"/>
      <c r="B4683" s="4"/>
      <c r="C4683" s="4"/>
      <c r="D4683" s="4"/>
      <c r="E4683" s="4"/>
      <c r="F4683" s="4"/>
      <c r="G4683" s="4"/>
    </row>
    <row r="4684">
      <c r="A4684" s="4"/>
      <c r="B4684" s="4"/>
      <c r="C4684" s="4"/>
      <c r="D4684" s="4"/>
      <c r="E4684" s="4"/>
      <c r="F4684" s="4"/>
      <c r="G4684" s="4"/>
    </row>
    <row r="4685">
      <c r="A4685" s="4"/>
      <c r="B4685" s="4"/>
      <c r="C4685" s="4"/>
      <c r="D4685" s="4"/>
      <c r="E4685" s="4"/>
      <c r="F4685" s="4"/>
      <c r="G4685" s="4"/>
    </row>
    <row r="4686">
      <c r="A4686" s="4"/>
      <c r="B4686" s="4"/>
      <c r="C4686" s="4"/>
      <c r="D4686" s="13"/>
      <c r="E4686" s="4"/>
      <c r="F4686" s="4"/>
      <c r="G4686" s="4"/>
    </row>
    <row r="4687">
      <c r="A4687" s="4"/>
      <c r="B4687" s="4"/>
      <c r="C4687" s="4"/>
      <c r="D4687" s="4"/>
      <c r="E4687" s="4"/>
      <c r="F4687" s="4"/>
      <c r="G4687" s="4"/>
    </row>
    <row r="4688">
      <c r="A4688" s="4"/>
      <c r="B4688" s="4"/>
      <c r="C4688" s="4"/>
      <c r="D4688" s="4"/>
      <c r="E4688" s="13"/>
      <c r="F4688" s="4"/>
      <c r="G4688" s="4"/>
    </row>
    <row r="4689">
      <c r="A4689" s="4"/>
      <c r="B4689" s="4"/>
      <c r="C4689" s="4"/>
      <c r="D4689" s="4"/>
      <c r="E4689" s="4"/>
      <c r="F4689" s="4"/>
      <c r="G4689" s="4"/>
    </row>
    <row r="4690">
      <c r="A4690" s="4"/>
      <c r="B4690" s="4"/>
      <c r="C4690" s="4"/>
      <c r="D4690" s="4"/>
      <c r="E4690" s="4"/>
      <c r="F4690" s="4"/>
      <c r="G4690" s="4"/>
    </row>
    <row r="4691">
      <c r="A4691" s="4"/>
      <c r="B4691" s="4"/>
      <c r="C4691" s="4"/>
      <c r="D4691" s="4"/>
      <c r="E4691" s="4"/>
      <c r="F4691" s="4"/>
      <c r="G4691" s="4"/>
    </row>
    <row r="4692">
      <c r="A4692" s="4"/>
      <c r="B4692" s="4"/>
      <c r="C4692" s="4"/>
      <c r="D4692" s="13"/>
      <c r="E4692" s="13"/>
      <c r="F4692" s="4"/>
      <c r="G4692" s="4"/>
    </row>
    <row r="4693">
      <c r="A4693" s="4"/>
      <c r="B4693" s="4"/>
      <c r="C4693" s="4"/>
      <c r="D4693" s="13"/>
      <c r="E4693" s="13"/>
      <c r="F4693" s="4"/>
      <c r="G4693" s="4"/>
    </row>
    <row r="4694">
      <c r="A4694" s="4"/>
      <c r="B4694" s="4"/>
      <c r="C4694" s="4"/>
      <c r="D4694" s="4"/>
      <c r="E4694" s="4"/>
      <c r="F4694" s="4"/>
      <c r="G4694" s="4"/>
    </row>
    <row r="4695">
      <c r="A4695" s="4"/>
      <c r="B4695" s="4"/>
      <c r="C4695" s="4"/>
      <c r="D4695" s="4"/>
      <c r="E4695" s="13"/>
      <c r="F4695" s="4"/>
      <c r="G4695" s="4"/>
    </row>
    <row r="4696">
      <c r="A4696" s="4"/>
      <c r="B4696" s="4"/>
      <c r="C4696" s="4"/>
      <c r="D4696" s="4"/>
      <c r="E4696" s="4"/>
      <c r="F4696" s="4"/>
      <c r="G4696" s="4"/>
    </row>
    <row r="4697">
      <c r="A4697" s="4"/>
      <c r="B4697" s="4"/>
      <c r="C4697" s="4"/>
      <c r="D4697" s="4"/>
      <c r="E4697" s="13"/>
      <c r="F4697" s="4"/>
      <c r="G4697" s="4"/>
    </row>
    <row r="4698">
      <c r="A4698" s="4"/>
      <c r="B4698" s="4"/>
      <c r="C4698" s="4"/>
      <c r="D4698" s="4"/>
      <c r="E4698" s="13"/>
      <c r="F4698" s="4"/>
      <c r="G4698" s="4"/>
    </row>
    <row r="4699">
      <c r="A4699" s="4"/>
      <c r="B4699" s="4"/>
      <c r="C4699" s="4"/>
      <c r="D4699" s="4"/>
      <c r="E4699" s="4"/>
      <c r="F4699" s="4"/>
      <c r="G4699" s="4"/>
    </row>
    <row r="4700">
      <c r="A4700" s="4"/>
      <c r="B4700" s="4"/>
      <c r="C4700" s="4"/>
      <c r="D4700" s="4"/>
      <c r="E4700" s="13"/>
      <c r="F4700" s="4"/>
      <c r="G4700" s="4"/>
    </row>
    <row r="4701">
      <c r="A4701" s="4"/>
      <c r="B4701" s="4"/>
      <c r="C4701" s="4"/>
      <c r="D4701" s="4"/>
      <c r="E4701" s="4"/>
      <c r="F4701" s="4"/>
      <c r="G4701" s="4"/>
    </row>
    <row r="4702">
      <c r="A4702" s="4"/>
      <c r="B4702" s="4"/>
      <c r="C4702" s="4"/>
      <c r="D4702" s="13"/>
      <c r="E4702" s="13"/>
      <c r="F4702" s="4"/>
      <c r="G4702" s="4"/>
    </row>
    <row r="4703">
      <c r="A4703" s="4"/>
      <c r="B4703" s="4"/>
      <c r="C4703" s="4"/>
      <c r="D4703" s="4"/>
      <c r="E4703" s="4"/>
      <c r="F4703" s="4"/>
      <c r="G4703" s="4"/>
    </row>
    <row r="4704">
      <c r="A4704" s="4"/>
      <c r="B4704" s="4"/>
      <c r="C4704" s="4"/>
      <c r="D4704" s="4"/>
      <c r="E4704" s="13"/>
      <c r="F4704" s="4"/>
      <c r="G4704" s="4"/>
    </row>
    <row r="4705">
      <c r="A4705" s="4"/>
      <c r="B4705" s="4"/>
      <c r="C4705" s="4"/>
      <c r="D4705" s="4"/>
      <c r="E4705" s="4"/>
      <c r="F4705" s="4"/>
      <c r="G4705" s="4"/>
    </row>
    <row r="4706">
      <c r="A4706" s="4"/>
      <c r="B4706" s="4"/>
      <c r="C4706" s="4"/>
      <c r="D4706" s="4"/>
      <c r="E4706" s="4"/>
      <c r="F4706" s="4"/>
      <c r="G4706" s="4"/>
    </row>
    <row r="4707">
      <c r="A4707" s="4"/>
      <c r="B4707" s="4"/>
      <c r="C4707" s="4"/>
      <c r="D4707" s="4"/>
      <c r="E4707" s="4"/>
      <c r="F4707" s="4"/>
      <c r="G4707" s="4"/>
    </row>
    <row r="4708">
      <c r="A4708" s="4"/>
      <c r="B4708" s="4"/>
      <c r="C4708" s="4"/>
      <c r="D4708" s="4"/>
      <c r="E4708" s="4"/>
      <c r="F4708" s="4"/>
      <c r="G4708" s="4"/>
    </row>
    <row r="4709">
      <c r="A4709" s="4"/>
      <c r="B4709" s="4"/>
      <c r="C4709" s="4"/>
      <c r="D4709" s="4"/>
      <c r="E4709" s="13"/>
      <c r="F4709" s="4"/>
      <c r="G4709" s="4"/>
    </row>
    <row r="4710">
      <c r="A4710" s="4"/>
      <c r="B4710" s="4"/>
      <c r="C4710" s="4"/>
      <c r="D4710" s="13"/>
      <c r="E4710" s="13"/>
      <c r="F4710" s="4"/>
      <c r="G4710" s="4"/>
    </row>
    <row r="4711">
      <c r="A4711" s="4"/>
      <c r="B4711" s="4"/>
      <c r="C4711" s="4"/>
      <c r="D4711" s="4"/>
      <c r="E4711" s="4"/>
      <c r="F4711" s="4"/>
      <c r="G4711" s="4"/>
    </row>
    <row r="4712">
      <c r="A4712" s="4"/>
      <c r="B4712" s="4"/>
      <c r="C4712" s="4"/>
      <c r="D4712" s="4"/>
      <c r="E4712" s="13"/>
      <c r="F4712" s="4"/>
      <c r="G4712" s="4"/>
    </row>
    <row r="4713">
      <c r="A4713" s="4"/>
      <c r="B4713" s="4"/>
      <c r="C4713" s="4"/>
      <c r="D4713" s="4"/>
      <c r="E4713" s="4"/>
      <c r="F4713" s="4"/>
      <c r="G4713" s="4"/>
    </row>
    <row r="4714">
      <c r="A4714" s="4"/>
      <c r="B4714" s="4"/>
      <c r="C4714" s="4"/>
      <c r="D4714" s="4"/>
      <c r="E4714" s="4"/>
      <c r="F4714" s="4"/>
      <c r="G4714" s="4"/>
    </row>
    <row r="4715">
      <c r="A4715" s="4"/>
      <c r="B4715" s="4"/>
      <c r="C4715" s="4"/>
      <c r="D4715" s="13"/>
      <c r="E4715" s="13"/>
      <c r="F4715" s="4"/>
      <c r="G4715" s="4"/>
    </row>
    <row r="4716">
      <c r="A4716" s="4"/>
      <c r="B4716" s="4"/>
      <c r="C4716" s="4"/>
      <c r="D4716" s="13"/>
      <c r="E4716" s="13"/>
      <c r="F4716" s="4"/>
      <c r="G4716" s="4"/>
    </row>
    <row r="4717">
      <c r="A4717" s="4"/>
      <c r="B4717" s="4"/>
      <c r="C4717" s="4"/>
      <c r="D4717" s="13"/>
      <c r="E4717" s="13"/>
      <c r="F4717" s="4"/>
      <c r="G4717" s="4"/>
    </row>
    <row r="4718">
      <c r="A4718" s="4"/>
      <c r="B4718" s="4"/>
      <c r="C4718" s="4"/>
      <c r="D4718" s="4"/>
      <c r="E4718" s="4"/>
      <c r="F4718" s="4"/>
      <c r="G4718" s="4"/>
    </row>
    <row r="4719">
      <c r="A4719" s="4"/>
      <c r="B4719" s="4"/>
      <c r="C4719" s="4"/>
      <c r="D4719" s="13"/>
      <c r="E4719" s="13"/>
      <c r="F4719" s="4"/>
      <c r="G4719" s="4"/>
    </row>
    <row r="4720">
      <c r="A4720" s="4"/>
      <c r="B4720" s="4"/>
      <c r="C4720" s="4"/>
      <c r="D4720" s="13"/>
      <c r="E4720" s="13"/>
      <c r="F4720" s="4"/>
      <c r="G4720" s="4"/>
    </row>
    <row r="4721">
      <c r="A4721" s="4"/>
      <c r="B4721" s="4"/>
      <c r="C4721" s="4"/>
      <c r="D4721" s="4"/>
      <c r="E4721" s="4"/>
      <c r="F4721" s="4"/>
      <c r="G4721" s="4"/>
    </row>
    <row r="4722">
      <c r="A4722" s="4"/>
      <c r="B4722" s="4"/>
      <c r="C4722" s="4"/>
      <c r="D4722" s="13"/>
      <c r="E4722" s="13"/>
      <c r="F4722" s="4"/>
      <c r="G4722" s="4"/>
    </row>
    <row r="4723">
      <c r="A4723" s="4"/>
      <c r="B4723" s="4"/>
      <c r="C4723" s="4"/>
      <c r="D4723" s="13"/>
      <c r="E4723" s="13"/>
      <c r="F4723" s="4"/>
      <c r="G4723" s="4"/>
    </row>
    <row r="4724">
      <c r="A4724" s="4"/>
      <c r="B4724" s="4"/>
      <c r="C4724" s="4"/>
      <c r="D4724" s="4"/>
      <c r="E4724" s="4"/>
      <c r="F4724" s="4"/>
      <c r="G4724" s="4"/>
    </row>
    <row r="4725">
      <c r="A4725" s="4"/>
      <c r="B4725" s="4"/>
      <c r="C4725" s="4"/>
      <c r="D4725" s="13"/>
      <c r="E4725" s="13"/>
      <c r="F4725" s="4"/>
      <c r="G4725" s="4"/>
    </row>
    <row r="4726">
      <c r="A4726" s="4"/>
      <c r="B4726" s="4"/>
      <c r="C4726" s="4"/>
      <c r="D4726" s="13"/>
      <c r="E4726" s="13"/>
      <c r="F4726" s="4"/>
      <c r="G4726" s="4"/>
    </row>
    <row r="4727">
      <c r="A4727" s="4"/>
      <c r="B4727" s="4"/>
      <c r="C4727" s="4"/>
      <c r="D4727" s="13"/>
      <c r="E4727" s="13"/>
      <c r="F4727" s="4"/>
      <c r="G4727" s="4"/>
    </row>
    <row r="4728">
      <c r="A4728" s="4"/>
      <c r="B4728" s="4"/>
      <c r="C4728" s="4"/>
      <c r="D4728" s="13"/>
      <c r="E4728" s="13"/>
      <c r="F4728" s="4"/>
      <c r="G4728" s="4"/>
    </row>
    <row r="4729">
      <c r="A4729" s="4"/>
      <c r="B4729" s="4"/>
      <c r="C4729" s="4"/>
      <c r="D4729" s="4"/>
      <c r="E4729" s="4"/>
      <c r="F4729" s="4"/>
      <c r="G4729" s="4"/>
    </row>
    <row r="4730">
      <c r="A4730" s="4"/>
      <c r="B4730" s="4"/>
      <c r="C4730" s="4"/>
      <c r="D4730" s="4"/>
      <c r="E4730" s="13"/>
      <c r="F4730" s="4"/>
      <c r="G4730" s="4"/>
    </row>
    <row r="4731">
      <c r="A4731" s="4"/>
      <c r="B4731" s="4"/>
      <c r="C4731" s="4"/>
      <c r="D4731" s="4"/>
      <c r="E4731" s="4"/>
      <c r="F4731" s="4"/>
      <c r="G4731" s="4"/>
    </row>
    <row r="4732">
      <c r="A4732" s="4"/>
      <c r="B4732" s="4"/>
      <c r="C4732" s="4"/>
      <c r="D4732" s="4"/>
      <c r="E4732" s="13"/>
      <c r="F4732" s="4"/>
      <c r="G4732" s="4"/>
    </row>
    <row r="4733">
      <c r="A4733" s="4"/>
      <c r="B4733" s="4"/>
      <c r="C4733" s="4"/>
      <c r="D4733" s="4"/>
      <c r="E4733" s="13"/>
      <c r="F4733" s="4"/>
      <c r="G4733" s="4"/>
    </row>
    <row r="4734">
      <c r="A4734" s="4"/>
      <c r="B4734" s="4"/>
      <c r="C4734" s="4"/>
      <c r="D4734" s="4"/>
      <c r="E4734" s="4"/>
      <c r="F4734" s="4"/>
      <c r="G4734" s="4"/>
    </row>
    <row r="4735">
      <c r="A4735" s="4"/>
      <c r="B4735" s="4"/>
      <c r="C4735" s="4"/>
      <c r="D4735" s="4"/>
      <c r="E4735" s="4"/>
      <c r="F4735" s="4"/>
      <c r="G4735" s="4"/>
    </row>
    <row r="4736">
      <c r="A4736" s="4"/>
      <c r="B4736" s="4"/>
      <c r="C4736" s="4"/>
      <c r="D4736" s="4"/>
      <c r="E4736" s="4"/>
      <c r="F4736" s="4"/>
      <c r="G4736" s="4"/>
    </row>
    <row r="4737">
      <c r="A4737" s="4"/>
      <c r="B4737" s="4"/>
      <c r="C4737" s="4"/>
      <c r="D4737" s="4"/>
      <c r="E4737" s="4"/>
      <c r="F4737" s="4"/>
      <c r="G4737" s="4"/>
    </row>
    <row r="4738">
      <c r="A4738" s="4"/>
      <c r="B4738" s="4"/>
      <c r="C4738" s="4"/>
      <c r="D4738" s="4"/>
      <c r="E4738" s="4"/>
      <c r="F4738" s="4"/>
      <c r="G4738" s="4"/>
    </row>
    <row r="4739">
      <c r="A4739" s="4"/>
      <c r="B4739" s="4"/>
      <c r="C4739" s="4"/>
      <c r="D4739" s="4"/>
      <c r="E4739" s="4"/>
      <c r="F4739" s="4"/>
      <c r="G4739" s="4"/>
    </row>
    <row r="4740">
      <c r="A4740" s="4"/>
      <c r="B4740" s="4"/>
      <c r="C4740" s="4"/>
      <c r="D4740" s="4"/>
      <c r="E4740" s="4"/>
      <c r="F4740" s="4"/>
      <c r="G4740" s="4"/>
    </row>
    <row r="4741">
      <c r="A4741" s="4"/>
      <c r="B4741" s="4"/>
      <c r="C4741" s="4"/>
      <c r="D4741" s="4"/>
      <c r="E4741" s="13"/>
      <c r="F4741" s="4"/>
      <c r="G4741" s="4"/>
    </row>
    <row r="4742">
      <c r="A4742" s="4"/>
      <c r="B4742" s="4"/>
      <c r="C4742" s="4"/>
      <c r="D4742" s="4"/>
      <c r="E4742" s="13"/>
      <c r="F4742" s="4"/>
      <c r="G4742" s="4"/>
    </row>
    <row r="4743">
      <c r="A4743" s="4"/>
      <c r="B4743" s="4"/>
      <c r="C4743" s="4"/>
      <c r="D4743" s="4"/>
      <c r="E4743" s="4"/>
      <c r="F4743" s="4"/>
      <c r="G4743" s="4"/>
    </row>
    <row r="4744">
      <c r="A4744" s="4"/>
      <c r="B4744" s="4"/>
      <c r="C4744" s="4"/>
      <c r="D4744" s="4"/>
      <c r="E4744" s="4"/>
      <c r="F4744" s="4"/>
      <c r="G4744" s="4"/>
    </row>
    <row r="4745">
      <c r="A4745" s="4"/>
      <c r="B4745" s="4"/>
      <c r="C4745" s="4"/>
      <c r="D4745" s="4"/>
      <c r="E4745" s="13"/>
      <c r="F4745" s="4"/>
      <c r="G4745" s="4"/>
    </row>
    <row r="4746">
      <c r="A4746" s="4"/>
      <c r="B4746" s="4"/>
      <c r="C4746" s="4"/>
      <c r="D4746" s="4"/>
      <c r="E4746" s="4"/>
      <c r="F4746" s="4"/>
      <c r="G4746" s="4"/>
    </row>
    <row r="4747">
      <c r="A4747" s="4"/>
      <c r="B4747" s="4"/>
      <c r="C4747" s="4"/>
      <c r="D4747" s="4"/>
      <c r="E4747" s="4"/>
      <c r="F4747" s="4"/>
      <c r="G4747" s="4"/>
    </row>
    <row r="4748">
      <c r="A4748" s="4"/>
      <c r="B4748" s="4"/>
      <c r="C4748" s="4"/>
      <c r="D4748" s="13"/>
      <c r="E4748" s="13"/>
      <c r="F4748" s="4"/>
      <c r="G4748" s="4"/>
    </row>
    <row r="4749">
      <c r="A4749" s="4"/>
      <c r="B4749" s="4"/>
      <c r="C4749" s="4"/>
      <c r="D4749" s="4"/>
      <c r="E4749" s="4"/>
      <c r="F4749" s="4"/>
      <c r="G4749" s="4"/>
    </row>
    <row r="4750">
      <c r="A4750" s="4"/>
      <c r="B4750" s="4"/>
      <c r="C4750" s="4"/>
      <c r="D4750" s="4"/>
      <c r="E4750" s="4"/>
      <c r="F4750" s="4"/>
      <c r="G4750" s="4"/>
    </row>
    <row r="4751">
      <c r="A4751" s="4"/>
      <c r="B4751" s="4"/>
      <c r="C4751" s="4"/>
      <c r="D4751" s="13"/>
      <c r="E4751" s="13"/>
      <c r="F4751" s="4"/>
      <c r="G4751" s="4"/>
    </row>
    <row r="4752">
      <c r="A4752" s="4"/>
      <c r="B4752" s="4"/>
      <c r="C4752" s="4"/>
      <c r="D4752" s="13"/>
      <c r="E4752" s="13"/>
      <c r="F4752" s="4"/>
      <c r="G4752" s="4"/>
    </row>
    <row r="4753">
      <c r="A4753" s="4"/>
      <c r="B4753" s="4"/>
      <c r="C4753" s="4"/>
      <c r="D4753" s="4"/>
      <c r="E4753" s="4"/>
      <c r="F4753" s="4"/>
      <c r="G4753" s="4"/>
    </row>
    <row r="4754">
      <c r="A4754" s="4"/>
      <c r="B4754" s="4"/>
      <c r="C4754" s="4"/>
      <c r="D4754" s="4"/>
      <c r="E4754" s="4"/>
      <c r="F4754" s="4"/>
      <c r="G4754" s="4"/>
    </row>
    <row r="4755">
      <c r="A4755" s="4"/>
      <c r="B4755" s="4"/>
      <c r="C4755" s="4"/>
      <c r="D4755" s="4"/>
      <c r="E4755" s="13"/>
      <c r="F4755" s="4"/>
      <c r="G4755" s="4"/>
    </row>
    <row r="4756">
      <c r="A4756" s="4"/>
      <c r="B4756" s="4"/>
      <c r="C4756" s="4"/>
      <c r="D4756" s="4"/>
      <c r="E4756" s="4"/>
      <c r="F4756" s="4"/>
      <c r="G4756" s="4"/>
    </row>
    <row r="4757">
      <c r="A4757" s="4"/>
      <c r="B4757" s="4"/>
      <c r="C4757" s="4"/>
      <c r="D4757" s="4"/>
      <c r="E4757" s="13"/>
      <c r="F4757" s="4"/>
      <c r="G4757" s="4"/>
    </row>
    <row r="4758">
      <c r="A4758" s="4"/>
      <c r="B4758" s="4"/>
      <c r="C4758" s="4"/>
      <c r="D4758" s="4"/>
      <c r="E4758" s="13"/>
      <c r="F4758" s="4"/>
      <c r="G4758" s="4"/>
    </row>
    <row r="4759">
      <c r="A4759" s="4"/>
      <c r="B4759" s="4"/>
      <c r="C4759" s="4"/>
      <c r="D4759" s="4"/>
      <c r="E4759" s="4"/>
      <c r="F4759" s="4"/>
      <c r="G4759" s="4"/>
    </row>
    <row r="4760">
      <c r="A4760" s="4"/>
      <c r="B4760" s="4"/>
      <c r="C4760" s="4"/>
      <c r="D4760" s="4"/>
      <c r="E4760" s="4"/>
      <c r="F4760" s="4"/>
      <c r="G4760" s="4"/>
    </row>
    <row r="4761">
      <c r="A4761" s="4"/>
      <c r="B4761" s="4"/>
      <c r="C4761" s="4"/>
      <c r="D4761" s="4"/>
      <c r="E4761" s="13"/>
      <c r="F4761" s="4"/>
      <c r="G4761" s="4"/>
    </row>
    <row r="4762">
      <c r="A4762" s="4"/>
      <c r="B4762" s="4"/>
      <c r="C4762" s="4"/>
      <c r="D4762" s="4"/>
      <c r="E4762" s="13"/>
      <c r="F4762" s="4"/>
      <c r="G4762" s="4"/>
    </row>
    <row r="4763">
      <c r="A4763" s="4"/>
      <c r="B4763" s="4"/>
      <c r="C4763" s="4"/>
      <c r="D4763" s="4"/>
      <c r="E4763" s="4"/>
      <c r="F4763" s="4"/>
      <c r="G4763" s="4"/>
    </row>
    <row r="4764">
      <c r="A4764" s="4"/>
      <c r="B4764" s="4"/>
      <c r="C4764" s="4"/>
      <c r="D4764" s="4"/>
      <c r="E4764" s="13"/>
      <c r="F4764" s="4"/>
      <c r="G4764" s="4"/>
    </row>
    <row r="4765">
      <c r="A4765" s="4"/>
      <c r="B4765" s="4"/>
      <c r="C4765" s="4"/>
      <c r="D4765" s="4"/>
      <c r="E4765" s="4"/>
      <c r="F4765" s="4"/>
      <c r="G4765" s="4"/>
    </row>
    <row r="4766">
      <c r="A4766" s="4"/>
      <c r="B4766" s="4"/>
      <c r="C4766" s="4"/>
      <c r="D4766" s="4"/>
      <c r="E4766" s="4"/>
      <c r="F4766" s="4"/>
      <c r="G4766" s="4"/>
    </row>
    <row r="4767">
      <c r="A4767" s="4"/>
      <c r="B4767" s="4"/>
      <c r="C4767" s="4"/>
      <c r="D4767" s="13"/>
      <c r="E4767" s="13"/>
      <c r="F4767" s="4"/>
      <c r="G4767" s="4"/>
    </row>
    <row r="4768">
      <c r="A4768" s="4"/>
      <c r="B4768" s="4"/>
      <c r="C4768" s="4"/>
      <c r="D4768" s="4"/>
      <c r="E4768" s="4"/>
      <c r="F4768" s="4"/>
      <c r="G4768" s="4"/>
    </row>
    <row r="4769">
      <c r="A4769" s="4"/>
      <c r="B4769" s="4"/>
      <c r="C4769" s="4"/>
      <c r="D4769" s="13"/>
      <c r="E4769" s="13"/>
      <c r="F4769" s="4"/>
      <c r="G4769" s="4"/>
    </row>
    <row r="4770">
      <c r="A4770" s="4"/>
      <c r="B4770" s="4"/>
      <c r="C4770" s="4"/>
      <c r="D4770" s="4"/>
      <c r="E4770" s="13"/>
      <c r="F4770" s="4"/>
      <c r="G4770" s="4"/>
    </row>
    <row r="4771">
      <c r="A4771" s="4"/>
      <c r="B4771" s="4"/>
      <c r="C4771" s="4"/>
      <c r="D4771" s="4"/>
      <c r="E4771" s="4"/>
      <c r="F4771" s="4"/>
      <c r="G4771" s="4"/>
    </row>
    <row r="4772">
      <c r="A4772" s="4"/>
      <c r="B4772" s="4"/>
      <c r="C4772" s="4"/>
      <c r="D4772" s="4"/>
      <c r="E4772" s="13"/>
      <c r="F4772" s="4"/>
      <c r="G4772" s="4"/>
    </row>
    <row r="4773">
      <c r="A4773" s="4"/>
      <c r="B4773" s="4"/>
      <c r="C4773" s="4"/>
      <c r="D4773" s="4"/>
      <c r="E4773" s="4"/>
      <c r="F4773" s="4"/>
      <c r="G4773" s="4"/>
    </row>
    <row r="4774">
      <c r="A4774" s="4"/>
      <c r="B4774" s="4"/>
      <c r="C4774" s="4"/>
      <c r="D4774" s="4"/>
      <c r="E4774" s="13"/>
      <c r="F4774" s="4"/>
      <c r="G4774" s="4"/>
    </row>
    <row r="4775">
      <c r="A4775" s="4"/>
      <c r="B4775" s="4"/>
      <c r="C4775" s="4"/>
      <c r="D4775" s="4"/>
      <c r="E4775" s="4"/>
      <c r="F4775" s="4"/>
      <c r="G4775" s="4"/>
    </row>
    <row r="4776">
      <c r="A4776" s="4"/>
      <c r="B4776" s="4"/>
      <c r="C4776" s="4"/>
      <c r="D4776" s="13"/>
      <c r="E4776" s="13"/>
      <c r="F4776" s="4"/>
      <c r="G4776" s="4"/>
    </row>
    <row r="4777">
      <c r="A4777" s="4"/>
      <c r="B4777" s="4"/>
      <c r="C4777" s="4"/>
      <c r="D4777" s="13"/>
      <c r="E4777" s="13"/>
      <c r="F4777" s="4"/>
      <c r="G4777" s="4"/>
    </row>
    <row r="4778">
      <c r="A4778" s="4"/>
      <c r="B4778" s="4"/>
      <c r="C4778" s="4"/>
      <c r="D4778" s="4"/>
      <c r="E4778" s="4"/>
      <c r="F4778" s="4"/>
      <c r="G4778" s="4"/>
    </row>
    <row r="4779">
      <c r="A4779" s="4"/>
      <c r="B4779" s="4"/>
      <c r="C4779" s="4"/>
      <c r="D4779" s="4"/>
      <c r="E4779" s="4"/>
      <c r="F4779" s="4"/>
      <c r="G4779" s="4"/>
    </row>
    <row r="4780">
      <c r="A4780" s="4"/>
      <c r="B4780" s="4"/>
      <c r="C4780" s="4"/>
      <c r="D4780" s="13"/>
      <c r="E4780" s="13"/>
      <c r="F4780" s="4"/>
      <c r="G4780" s="4"/>
    </row>
    <row r="4781">
      <c r="A4781" s="4"/>
      <c r="B4781" s="4"/>
      <c r="C4781" s="4"/>
      <c r="D4781" s="4"/>
      <c r="E4781" s="13"/>
      <c r="F4781" s="4"/>
      <c r="G4781" s="4"/>
    </row>
    <row r="4782">
      <c r="A4782" s="4"/>
      <c r="B4782" s="4"/>
      <c r="C4782" s="4"/>
      <c r="D4782" s="4"/>
      <c r="E4782" s="4"/>
      <c r="F4782" s="4"/>
      <c r="G4782" s="4"/>
    </row>
    <row r="4783">
      <c r="A4783" s="4"/>
      <c r="B4783" s="4"/>
      <c r="C4783" s="4"/>
      <c r="D4783" s="4"/>
      <c r="E4783" s="13"/>
      <c r="F4783" s="4"/>
      <c r="G4783" s="4"/>
    </row>
    <row r="4784">
      <c r="A4784" s="4"/>
      <c r="B4784" s="4"/>
      <c r="C4784" s="4"/>
      <c r="D4784" s="4"/>
      <c r="E4784" s="4"/>
      <c r="F4784" s="4"/>
      <c r="G4784" s="4"/>
    </row>
    <row r="4785">
      <c r="A4785" s="4"/>
      <c r="B4785" s="4"/>
      <c r="C4785" s="4"/>
      <c r="D4785" s="4"/>
      <c r="E4785" s="13"/>
      <c r="F4785" s="4"/>
      <c r="G4785" s="4"/>
    </row>
    <row r="4786">
      <c r="A4786" s="4"/>
      <c r="B4786" s="4"/>
      <c r="C4786" s="4"/>
      <c r="D4786" s="4"/>
      <c r="E4786" s="4"/>
      <c r="F4786" s="4"/>
      <c r="G4786" s="4"/>
    </row>
    <row r="4787">
      <c r="A4787" s="4"/>
      <c r="B4787" s="4"/>
      <c r="C4787" s="4"/>
      <c r="D4787" s="13"/>
      <c r="E4787" s="13"/>
      <c r="F4787" s="4"/>
      <c r="G4787" s="4"/>
    </row>
    <row r="4788">
      <c r="A4788" s="4"/>
      <c r="B4788" s="4"/>
      <c r="C4788" s="4"/>
      <c r="D4788" s="4"/>
      <c r="E4788" s="4"/>
      <c r="F4788" s="4"/>
      <c r="G4788" s="4"/>
    </row>
    <row r="4789">
      <c r="A4789" s="4"/>
      <c r="B4789" s="4"/>
      <c r="C4789" s="4"/>
      <c r="D4789" s="4"/>
      <c r="E4789" s="13"/>
      <c r="F4789" s="4"/>
      <c r="G4789" s="4"/>
    </row>
    <row r="4790">
      <c r="A4790" s="4"/>
      <c r="B4790" s="4"/>
      <c r="C4790" s="4"/>
      <c r="D4790" s="4"/>
      <c r="E4790" s="4"/>
      <c r="F4790" s="4"/>
      <c r="G4790" s="4"/>
    </row>
    <row r="4791">
      <c r="A4791" s="4"/>
      <c r="B4791" s="4"/>
      <c r="C4791" s="4"/>
      <c r="D4791" s="4"/>
      <c r="E4791" s="4"/>
      <c r="F4791" s="4"/>
      <c r="G4791" s="4"/>
    </row>
    <row r="4792">
      <c r="A4792" s="4"/>
      <c r="B4792" s="4"/>
      <c r="C4792" s="4"/>
      <c r="D4792" s="4"/>
      <c r="E4792" s="13"/>
      <c r="F4792" s="4"/>
      <c r="G4792" s="4"/>
    </row>
    <row r="4793">
      <c r="A4793" s="4"/>
      <c r="B4793" s="4"/>
      <c r="C4793" s="4"/>
      <c r="D4793" s="4"/>
      <c r="E4793" s="4"/>
      <c r="F4793" s="4"/>
      <c r="G4793" s="4"/>
    </row>
    <row r="4794">
      <c r="A4794" s="4"/>
      <c r="B4794" s="4"/>
      <c r="C4794" s="4"/>
      <c r="D4794" s="4"/>
      <c r="E4794" s="4"/>
      <c r="F4794" s="4"/>
      <c r="G4794" s="4"/>
    </row>
    <row r="4795">
      <c r="A4795" s="4"/>
      <c r="B4795" s="4"/>
      <c r="C4795" s="4"/>
      <c r="D4795" s="4"/>
      <c r="E4795" s="4"/>
      <c r="F4795" s="4"/>
      <c r="G4795" s="4"/>
    </row>
    <row r="4796">
      <c r="A4796" s="4"/>
      <c r="B4796" s="4"/>
      <c r="C4796" s="4"/>
      <c r="D4796" s="4"/>
      <c r="E4796" s="13"/>
      <c r="F4796" s="4"/>
      <c r="G4796" s="4"/>
    </row>
    <row r="4797">
      <c r="A4797" s="4"/>
      <c r="B4797" s="4"/>
      <c r="C4797" s="4"/>
      <c r="D4797" s="4"/>
      <c r="E4797" s="4"/>
      <c r="F4797" s="4"/>
      <c r="G4797" s="4"/>
    </row>
    <row r="4798">
      <c r="A4798" s="4"/>
      <c r="B4798" s="4"/>
      <c r="C4798" s="4"/>
      <c r="D4798" s="4"/>
      <c r="E4798" s="13"/>
      <c r="F4798" s="4"/>
      <c r="G4798" s="4"/>
    </row>
    <row r="4799">
      <c r="A4799" s="4"/>
      <c r="B4799" s="4"/>
      <c r="C4799" s="4"/>
      <c r="D4799" s="4"/>
      <c r="E4799" s="13"/>
      <c r="F4799" s="4"/>
      <c r="G4799" s="4"/>
    </row>
    <row r="4800">
      <c r="A4800" s="4"/>
      <c r="B4800" s="4"/>
      <c r="C4800" s="4"/>
      <c r="D4800" s="4"/>
      <c r="E4800" s="4"/>
      <c r="F4800" s="4"/>
      <c r="G4800" s="4"/>
    </row>
    <row r="4801">
      <c r="A4801" s="4"/>
      <c r="B4801" s="4"/>
      <c r="C4801" s="4"/>
      <c r="D4801" s="13"/>
      <c r="E4801" s="4"/>
      <c r="F4801" s="4"/>
      <c r="G4801" s="4"/>
    </row>
    <row r="4802">
      <c r="A4802" s="4"/>
      <c r="B4802" s="4"/>
      <c r="C4802" s="4"/>
      <c r="D4802" s="4"/>
      <c r="E4802" s="4"/>
      <c r="F4802" s="4"/>
      <c r="G4802" s="4"/>
    </row>
    <row r="4803">
      <c r="A4803" s="4"/>
      <c r="B4803" s="4"/>
      <c r="C4803" s="4"/>
      <c r="D4803" s="13"/>
      <c r="E4803" s="13"/>
      <c r="F4803" s="4"/>
      <c r="G4803" s="4"/>
    </row>
    <row r="4804">
      <c r="A4804" s="4"/>
      <c r="B4804" s="4"/>
      <c r="C4804" s="4"/>
      <c r="D4804" s="4"/>
      <c r="E4804" s="4"/>
      <c r="F4804" s="4"/>
      <c r="G4804" s="4"/>
    </row>
    <row r="4805">
      <c r="A4805" s="4"/>
      <c r="B4805" s="4"/>
      <c r="C4805" s="4"/>
      <c r="D4805" s="13"/>
      <c r="E4805" s="4"/>
      <c r="F4805" s="4"/>
      <c r="G4805" s="4"/>
    </row>
    <row r="4806">
      <c r="A4806" s="4"/>
      <c r="B4806" s="4"/>
      <c r="C4806" s="4"/>
      <c r="D4806" s="4"/>
      <c r="E4806" s="4"/>
      <c r="F4806" s="4"/>
      <c r="G4806" s="4"/>
    </row>
    <row r="4807">
      <c r="A4807" s="4"/>
      <c r="B4807" s="4"/>
      <c r="C4807" s="4"/>
      <c r="D4807" s="4"/>
      <c r="E4807" s="4"/>
      <c r="F4807" s="4"/>
      <c r="G4807" s="4"/>
    </row>
    <row r="4808">
      <c r="A4808" s="4"/>
      <c r="B4808" s="4"/>
      <c r="C4808" s="4"/>
      <c r="D4808" s="13"/>
      <c r="E4808" s="4"/>
      <c r="F4808" s="4"/>
      <c r="G4808" s="4"/>
    </row>
    <row r="4809">
      <c r="A4809" s="4"/>
      <c r="B4809" s="4"/>
      <c r="C4809" s="4"/>
      <c r="D4809" s="13"/>
      <c r="E4809" s="13"/>
      <c r="F4809" s="4"/>
      <c r="G4809" s="4"/>
    </row>
    <row r="4810">
      <c r="A4810" s="4"/>
      <c r="B4810" s="4"/>
      <c r="C4810" s="4"/>
      <c r="D4810" s="13"/>
      <c r="E4810" s="13"/>
      <c r="F4810" s="4"/>
      <c r="G4810" s="4"/>
    </row>
    <row r="4811">
      <c r="A4811" s="4"/>
      <c r="B4811" s="4"/>
      <c r="C4811" s="4"/>
      <c r="D4811" s="4"/>
      <c r="E4811" s="4"/>
      <c r="F4811" s="4"/>
      <c r="G4811" s="4"/>
    </row>
    <row r="4812">
      <c r="A4812" s="4"/>
      <c r="B4812" s="4"/>
      <c r="C4812" s="4"/>
      <c r="D4812" s="4"/>
      <c r="E4812" s="13"/>
      <c r="F4812" s="4"/>
      <c r="G4812" s="4"/>
    </row>
    <row r="4813">
      <c r="A4813" s="4"/>
      <c r="B4813" s="4"/>
      <c r="C4813" s="4"/>
      <c r="D4813" s="4"/>
      <c r="E4813" s="4"/>
      <c r="F4813" s="4"/>
      <c r="G4813" s="4"/>
    </row>
    <row r="4814">
      <c r="A4814" s="4"/>
      <c r="B4814" s="4"/>
      <c r="C4814" s="4"/>
      <c r="D4814" s="4"/>
      <c r="E4814" s="13"/>
      <c r="F4814" s="4"/>
      <c r="G4814" s="4"/>
    </row>
    <row r="4815">
      <c r="A4815" s="4"/>
      <c r="B4815" s="4"/>
      <c r="C4815" s="4"/>
      <c r="D4815" s="4"/>
      <c r="E4815" s="13"/>
      <c r="F4815" s="4"/>
      <c r="G4815" s="4"/>
    </row>
    <row r="4816">
      <c r="A4816" s="4"/>
      <c r="B4816" s="4"/>
      <c r="C4816" s="4"/>
      <c r="D4816" s="4"/>
      <c r="E4816" s="4"/>
      <c r="F4816" s="4"/>
      <c r="G4816" s="4"/>
    </row>
    <row r="4817">
      <c r="A4817" s="4"/>
      <c r="B4817" s="4"/>
      <c r="C4817" s="4"/>
      <c r="D4817" s="4"/>
      <c r="E4817" s="4"/>
      <c r="F4817" s="4"/>
      <c r="G4817" s="4"/>
    </row>
    <row r="4818">
      <c r="A4818" s="4"/>
      <c r="B4818" s="4"/>
      <c r="C4818" s="4"/>
      <c r="D4818" s="13"/>
      <c r="E4818" s="4"/>
      <c r="F4818" s="4"/>
      <c r="G4818" s="4"/>
    </row>
    <row r="4819">
      <c r="A4819" s="4"/>
      <c r="B4819" s="4"/>
      <c r="C4819" s="4"/>
      <c r="D4819" s="4"/>
      <c r="E4819" s="4"/>
      <c r="F4819" s="4"/>
      <c r="G4819" s="4"/>
    </row>
    <row r="4820">
      <c r="A4820" s="4"/>
      <c r="B4820" s="4"/>
      <c r="C4820" s="4"/>
      <c r="D4820" s="4"/>
      <c r="E4820" s="13"/>
      <c r="F4820" s="4"/>
      <c r="G4820" s="4"/>
    </row>
    <row r="4821">
      <c r="A4821" s="4"/>
      <c r="B4821" s="4"/>
      <c r="C4821" s="4"/>
      <c r="D4821" s="4"/>
      <c r="E4821" s="4"/>
      <c r="F4821" s="4"/>
      <c r="G4821" s="4"/>
    </row>
    <row r="4822">
      <c r="A4822" s="4"/>
      <c r="B4822" s="4"/>
      <c r="C4822" s="4"/>
      <c r="D4822" s="4"/>
      <c r="E4822" s="4"/>
      <c r="F4822" s="4"/>
      <c r="G4822" s="4"/>
    </row>
    <row r="4823">
      <c r="A4823" s="4"/>
      <c r="B4823" s="4"/>
      <c r="C4823" s="4"/>
      <c r="D4823" s="4"/>
      <c r="E4823" s="4"/>
      <c r="F4823" s="4"/>
      <c r="G4823" s="4"/>
    </row>
    <row r="4824">
      <c r="A4824" s="4"/>
      <c r="B4824" s="4"/>
      <c r="C4824" s="4"/>
      <c r="D4824" s="4"/>
      <c r="E4824" s="4"/>
      <c r="F4824" s="4"/>
      <c r="G4824" s="4"/>
    </row>
    <row r="4825">
      <c r="A4825" s="4"/>
      <c r="B4825" s="4"/>
      <c r="C4825" s="4"/>
      <c r="D4825" s="4"/>
      <c r="E4825" s="4"/>
      <c r="F4825" s="4"/>
      <c r="G4825" s="4"/>
    </row>
    <row r="4826">
      <c r="A4826" s="4"/>
      <c r="B4826" s="4"/>
      <c r="C4826" s="4"/>
      <c r="D4826" s="4"/>
      <c r="E4826" s="13"/>
      <c r="F4826" s="4"/>
      <c r="G4826" s="4"/>
    </row>
    <row r="4827">
      <c r="A4827" s="4"/>
      <c r="B4827" s="4"/>
      <c r="C4827" s="4"/>
      <c r="D4827" s="4"/>
      <c r="E4827" s="13"/>
      <c r="F4827" s="4"/>
      <c r="G4827" s="4"/>
    </row>
    <row r="4828">
      <c r="A4828" s="4"/>
      <c r="B4828" s="4"/>
      <c r="C4828" s="4"/>
      <c r="D4828" s="4"/>
      <c r="E4828" s="4"/>
      <c r="F4828" s="4"/>
      <c r="G4828" s="4"/>
    </row>
    <row r="4829">
      <c r="A4829" s="4"/>
      <c r="B4829" s="4"/>
      <c r="C4829" s="4"/>
      <c r="D4829" s="4"/>
      <c r="E4829" s="4"/>
      <c r="F4829" s="4"/>
      <c r="G4829" s="4"/>
    </row>
    <row r="4830">
      <c r="A4830" s="4"/>
      <c r="B4830" s="4"/>
      <c r="C4830" s="4"/>
      <c r="D4830" s="4"/>
      <c r="E4830" s="4"/>
      <c r="F4830" s="4"/>
      <c r="G4830" s="4"/>
    </row>
    <row r="4831">
      <c r="A4831" s="4"/>
      <c r="B4831" s="4"/>
      <c r="C4831" s="4"/>
      <c r="D4831" s="4"/>
      <c r="E4831" s="4"/>
      <c r="F4831" s="4"/>
      <c r="G4831" s="4"/>
    </row>
    <row r="4832">
      <c r="A4832" s="4"/>
      <c r="B4832" s="4"/>
      <c r="C4832" s="4"/>
      <c r="D4832" s="4"/>
      <c r="E4832" s="4"/>
      <c r="F4832" s="4"/>
      <c r="G4832" s="4"/>
    </row>
    <row r="4833">
      <c r="A4833" s="4"/>
      <c r="B4833" s="4"/>
      <c r="C4833" s="4"/>
      <c r="D4833" s="4"/>
      <c r="E4833" s="4"/>
      <c r="F4833" s="4"/>
      <c r="G4833" s="4"/>
    </row>
    <row r="4834">
      <c r="A4834" s="4"/>
      <c r="B4834" s="4"/>
      <c r="C4834" s="4"/>
      <c r="D4834" s="4"/>
      <c r="E4834" s="4"/>
      <c r="F4834" s="4"/>
      <c r="G4834" s="4"/>
    </row>
    <row r="4835">
      <c r="A4835" s="4"/>
      <c r="B4835" s="4"/>
      <c r="C4835" s="4"/>
      <c r="D4835" s="4"/>
      <c r="E4835" s="4"/>
      <c r="F4835" s="4"/>
      <c r="G4835" s="4"/>
    </row>
    <row r="4836">
      <c r="A4836" s="4"/>
      <c r="B4836" s="4"/>
      <c r="C4836" s="4"/>
      <c r="D4836" s="13"/>
      <c r="E4836" s="13"/>
      <c r="F4836" s="4"/>
      <c r="G4836" s="4"/>
    </row>
    <row r="4837">
      <c r="A4837" s="4"/>
      <c r="B4837" s="4"/>
      <c r="C4837" s="4"/>
      <c r="D4837" s="4"/>
      <c r="E4837" s="4"/>
      <c r="F4837" s="4"/>
      <c r="G4837" s="4"/>
    </row>
    <row r="4838">
      <c r="A4838" s="4"/>
      <c r="B4838" s="4"/>
      <c r="C4838" s="4"/>
      <c r="D4838" s="13"/>
      <c r="E4838" s="13"/>
      <c r="F4838" s="4"/>
      <c r="G4838" s="4"/>
    </row>
    <row r="4839">
      <c r="A4839" s="4"/>
      <c r="B4839" s="4"/>
      <c r="C4839" s="4"/>
      <c r="D4839" s="13"/>
      <c r="E4839" s="13"/>
      <c r="F4839" s="4"/>
      <c r="G4839" s="4"/>
    </row>
    <row r="4840">
      <c r="A4840" s="4"/>
      <c r="B4840" s="4"/>
      <c r="C4840" s="4"/>
      <c r="D4840" s="4"/>
      <c r="E4840" s="4"/>
      <c r="F4840" s="4"/>
      <c r="G4840" s="4"/>
    </row>
    <row r="4841">
      <c r="A4841" s="4"/>
      <c r="B4841" s="4"/>
      <c r="C4841" s="4"/>
      <c r="D4841" s="4"/>
      <c r="E4841" s="4"/>
      <c r="F4841" s="4"/>
      <c r="G4841" s="4"/>
    </row>
    <row r="4842">
      <c r="A4842" s="4"/>
      <c r="B4842" s="4"/>
      <c r="C4842" s="4"/>
      <c r="D4842" s="4"/>
      <c r="E4842" s="4"/>
      <c r="F4842" s="4"/>
      <c r="G4842" s="4"/>
    </row>
    <row r="4843">
      <c r="A4843" s="4"/>
      <c r="B4843" s="4"/>
      <c r="C4843" s="4"/>
      <c r="D4843" s="4"/>
      <c r="E4843" s="13"/>
      <c r="F4843" s="4"/>
      <c r="G4843" s="4"/>
    </row>
    <row r="4844">
      <c r="A4844" s="4"/>
      <c r="B4844" s="4"/>
      <c r="C4844" s="4"/>
      <c r="D4844" s="4"/>
      <c r="E4844" s="4"/>
      <c r="F4844" s="4"/>
      <c r="G4844" s="4"/>
    </row>
    <row r="4845">
      <c r="A4845" s="4"/>
      <c r="B4845" s="4"/>
      <c r="C4845" s="4"/>
      <c r="D4845" s="4"/>
      <c r="E4845" s="4"/>
      <c r="F4845" s="4"/>
      <c r="G4845" s="4"/>
    </row>
    <row r="4846">
      <c r="A4846" s="4"/>
      <c r="B4846" s="4"/>
      <c r="C4846" s="4"/>
      <c r="D4846" s="4"/>
      <c r="E4846" s="4"/>
      <c r="F4846" s="4"/>
      <c r="G4846" s="4"/>
    </row>
    <row r="4847">
      <c r="A4847" s="4"/>
      <c r="B4847" s="4"/>
      <c r="C4847" s="4"/>
      <c r="D4847" s="4"/>
      <c r="E4847" s="4"/>
      <c r="F4847" s="4"/>
      <c r="G4847" s="4"/>
    </row>
    <row r="4848">
      <c r="A4848" s="4"/>
      <c r="B4848" s="4"/>
      <c r="C4848" s="4"/>
      <c r="D4848" s="4"/>
      <c r="E4848" s="4"/>
      <c r="F4848" s="4"/>
      <c r="G4848" s="4"/>
    </row>
    <row r="4849">
      <c r="A4849" s="4"/>
      <c r="B4849" s="4"/>
      <c r="C4849" s="4"/>
      <c r="D4849" s="4"/>
      <c r="E4849" s="13"/>
      <c r="F4849" s="4"/>
      <c r="G4849" s="4"/>
    </row>
    <row r="4850">
      <c r="A4850" s="4"/>
      <c r="B4850" s="4"/>
      <c r="C4850" s="4"/>
      <c r="D4850" s="4"/>
      <c r="E4850" s="4"/>
      <c r="F4850" s="4"/>
      <c r="G4850" s="4"/>
    </row>
    <row r="4851">
      <c r="A4851" s="4"/>
      <c r="B4851" s="4"/>
      <c r="C4851" s="4"/>
      <c r="D4851" s="13"/>
      <c r="E4851" s="4"/>
      <c r="F4851" s="4"/>
      <c r="G4851" s="4"/>
    </row>
    <row r="4852">
      <c r="A4852" s="4"/>
      <c r="B4852" s="4"/>
      <c r="C4852" s="4"/>
      <c r="D4852" s="4"/>
      <c r="E4852" s="4"/>
      <c r="F4852" s="4"/>
      <c r="G4852" s="4"/>
    </row>
    <row r="4853">
      <c r="A4853" s="4"/>
      <c r="B4853" s="4"/>
      <c r="C4853" s="4"/>
      <c r="D4853" s="4"/>
      <c r="E4853" s="4"/>
      <c r="F4853" s="4"/>
      <c r="G4853" s="4"/>
    </row>
    <row r="4854">
      <c r="A4854" s="4"/>
      <c r="B4854" s="4"/>
      <c r="C4854" s="4"/>
      <c r="D4854" s="4"/>
      <c r="E4854" s="13"/>
      <c r="F4854" s="4"/>
      <c r="G4854" s="4"/>
    </row>
    <row r="4855">
      <c r="A4855" s="4"/>
      <c r="B4855" s="4"/>
      <c r="C4855" s="4"/>
      <c r="D4855" s="4"/>
      <c r="E4855" s="4"/>
      <c r="F4855" s="4"/>
      <c r="G4855" s="4"/>
    </row>
    <row r="4856">
      <c r="A4856" s="4"/>
      <c r="B4856" s="4"/>
      <c r="C4856" s="4"/>
      <c r="D4856" s="4"/>
      <c r="E4856" s="4"/>
      <c r="F4856" s="4"/>
      <c r="G4856" s="4"/>
    </row>
    <row r="4857">
      <c r="A4857" s="4"/>
      <c r="B4857" s="4"/>
      <c r="C4857" s="4"/>
      <c r="D4857" s="4"/>
      <c r="E4857" s="13"/>
      <c r="F4857" s="4"/>
      <c r="G4857" s="4"/>
    </row>
    <row r="4858">
      <c r="A4858" s="4"/>
      <c r="B4858" s="4"/>
      <c r="C4858" s="4"/>
      <c r="D4858" s="4"/>
      <c r="E4858" s="4"/>
      <c r="F4858" s="4"/>
      <c r="G4858" s="4"/>
    </row>
    <row r="4859">
      <c r="A4859" s="4"/>
      <c r="B4859" s="4"/>
      <c r="C4859" s="4"/>
      <c r="D4859" s="4"/>
      <c r="E4859" s="13"/>
      <c r="F4859" s="4"/>
      <c r="G4859" s="4"/>
    </row>
    <row r="4860">
      <c r="A4860" s="4"/>
      <c r="B4860" s="4"/>
      <c r="C4860" s="4"/>
      <c r="D4860" s="4"/>
      <c r="E4860" s="4"/>
      <c r="F4860" s="4"/>
      <c r="G4860" s="4"/>
    </row>
    <row r="4861">
      <c r="A4861" s="4"/>
      <c r="B4861" s="4"/>
      <c r="C4861" s="4"/>
      <c r="D4861" s="4"/>
      <c r="E4861" s="4"/>
      <c r="F4861" s="4"/>
      <c r="G4861" s="4"/>
    </row>
    <row r="4862">
      <c r="A4862" s="4"/>
      <c r="B4862" s="4"/>
      <c r="C4862" s="4"/>
      <c r="D4862" s="4"/>
      <c r="E4862" s="4"/>
      <c r="F4862" s="4"/>
      <c r="G4862" s="4"/>
    </row>
    <row r="4863">
      <c r="A4863" s="4"/>
      <c r="B4863" s="4"/>
      <c r="C4863" s="4"/>
      <c r="D4863" s="4"/>
      <c r="E4863" s="4"/>
      <c r="F4863" s="4"/>
      <c r="G4863" s="4"/>
    </row>
    <row r="4864">
      <c r="A4864" s="4"/>
      <c r="B4864" s="4"/>
      <c r="C4864" s="4"/>
      <c r="D4864" s="4"/>
      <c r="E4864" s="13"/>
      <c r="F4864" s="4"/>
      <c r="G4864" s="4"/>
    </row>
    <row r="4865">
      <c r="A4865" s="4"/>
      <c r="B4865" s="4"/>
      <c r="C4865" s="4"/>
      <c r="D4865" s="4"/>
      <c r="E4865" s="4"/>
      <c r="F4865" s="4"/>
      <c r="G4865" s="4"/>
    </row>
    <row r="4866">
      <c r="A4866" s="4"/>
      <c r="B4866" s="4"/>
      <c r="C4866" s="4"/>
      <c r="D4866" s="4"/>
      <c r="E4866" s="4"/>
      <c r="F4866" s="4"/>
      <c r="G4866" s="4"/>
    </row>
    <row r="4867">
      <c r="A4867" s="4"/>
      <c r="B4867" s="4"/>
      <c r="C4867" s="4"/>
      <c r="D4867" s="4"/>
      <c r="E4867" s="13"/>
      <c r="F4867" s="4"/>
      <c r="G4867" s="4"/>
    </row>
    <row r="4868">
      <c r="A4868" s="4"/>
      <c r="B4868" s="4"/>
      <c r="C4868" s="4"/>
      <c r="D4868" s="4"/>
      <c r="E4868" s="4"/>
      <c r="F4868" s="4"/>
      <c r="G4868" s="4"/>
    </row>
    <row r="4869">
      <c r="A4869" s="4"/>
      <c r="B4869" s="4"/>
      <c r="C4869" s="4"/>
      <c r="D4869" s="4"/>
      <c r="E4869" s="13"/>
      <c r="F4869" s="4"/>
      <c r="G4869" s="4"/>
    </row>
    <row r="4870">
      <c r="A4870" s="4"/>
      <c r="B4870" s="4"/>
      <c r="C4870" s="4"/>
      <c r="D4870" s="4"/>
      <c r="E4870" s="4"/>
      <c r="F4870" s="4"/>
      <c r="G4870" s="4"/>
    </row>
    <row r="4871">
      <c r="A4871" s="4"/>
      <c r="B4871" s="4"/>
      <c r="C4871" s="4"/>
      <c r="D4871" s="4"/>
      <c r="E4871" s="13"/>
      <c r="F4871" s="4"/>
      <c r="G4871" s="4"/>
    </row>
    <row r="4872">
      <c r="A4872" s="4"/>
      <c r="B4872" s="4"/>
      <c r="C4872" s="4"/>
      <c r="D4872" s="4"/>
      <c r="E4872" s="4"/>
      <c r="F4872" s="4"/>
      <c r="G4872" s="4"/>
    </row>
    <row r="4873">
      <c r="A4873" s="4"/>
      <c r="B4873" s="4"/>
      <c r="C4873" s="4"/>
      <c r="D4873" s="4"/>
      <c r="E4873" s="13"/>
      <c r="F4873" s="4"/>
      <c r="G4873" s="4"/>
    </row>
    <row r="4874">
      <c r="A4874" s="4"/>
      <c r="B4874" s="4"/>
      <c r="C4874" s="4"/>
      <c r="D4874" s="4"/>
      <c r="E4874" s="4"/>
      <c r="F4874" s="4"/>
      <c r="G4874" s="4"/>
    </row>
    <row r="4875">
      <c r="A4875" s="4"/>
      <c r="B4875" s="4"/>
      <c r="C4875" s="4"/>
      <c r="D4875" s="4"/>
      <c r="E4875" s="4"/>
      <c r="F4875" s="4"/>
      <c r="G4875" s="4"/>
    </row>
    <row r="4876">
      <c r="A4876" s="4"/>
      <c r="B4876" s="4"/>
      <c r="C4876" s="4"/>
      <c r="D4876" s="4"/>
      <c r="E4876" s="4"/>
      <c r="F4876" s="4"/>
      <c r="G4876" s="4"/>
    </row>
    <row r="4877">
      <c r="A4877" s="4"/>
      <c r="B4877" s="4"/>
      <c r="C4877" s="4"/>
      <c r="D4877" s="4"/>
      <c r="E4877" s="13"/>
      <c r="F4877" s="4"/>
      <c r="G4877" s="4"/>
    </row>
    <row r="4878">
      <c r="A4878" s="4"/>
      <c r="B4878" s="4"/>
      <c r="C4878" s="4"/>
      <c r="D4878" s="4"/>
      <c r="E4878" s="4"/>
      <c r="F4878" s="4"/>
      <c r="G4878" s="4"/>
    </row>
    <row r="4879">
      <c r="A4879" s="4"/>
      <c r="B4879" s="4"/>
      <c r="C4879" s="4"/>
      <c r="D4879" s="4"/>
      <c r="E4879" s="13"/>
      <c r="F4879" s="4"/>
      <c r="G4879" s="4"/>
    </row>
    <row r="4880">
      <c r="A4880" s="4"/>
      <c r="B4880" s="4"/>
      <c r="C4880" s="4"/>
      <c r="D4880" s="4"/>
      <c r="E4880" s="13"/>
      <c r="F4880" s="4"/>
      <c r="G4880" s="4"/>
    </row>
    <row r="4881">
      <c r="A4881" s="4"/>
      <c r="B4881" s="4"/>
      <c r="C4881" s="4"/>
      <c r="D4881" s="4"/>
      <c r="E4881" s="4"/>
      <c r="F4881" s="4"/>
      <c r="G4881" s="4"/>
    </row>
    <row r="4882">
      <c r="A4882" s="4"/>
      <c r="B4882" s="4"/>
      <c r="C4882" s="4"/>
      <c r="D4882" s="13"/>
      <c r="E4882" s="4"/>
      <c r="F4882" s="4"/>
      <c r="G4882" s="4"/>
    </row>
    <row r="4883">
      <c r="A4883" s="4"/>
      <c r="B4883" s="4"/>
      <c r="C4883" s="4"/>
      <c r="D4883" s="4"/>
      <c r="E4883" s="4"/>
      <c r="F4883" s="4"/>
      <c r="G4883" s="4"/>
    </row>
    <row r="4884">
      <c r="A4884" s="4"/>
      <c r="B4884" s="4"/>
      <c r="C4884" s="4"/>
      <c r="D4884" s="4"/>
      <c r="E4884" s="13"/>
      <c r="F4884" s="4"/>
      <c r="G4884" s="4"/>
    </row>
    <row r="4885">
      <c r="A4885" s="4"/>
      <c r="B4885" s="4"/>
      <c r="C4885" s="4"/>
      <c r="D4885" s="4"/>
      <c r="E4885" s="4"/>
      <c r="F4885" s="4"/>
      <c r="G4885" s="4"/>
    </row>
    <row r="4886">
      <c r="A4886" s="4"/>
      <c r="B4886" s="4"/>
      <c r="C4886" s="4"/>
      <c r="D4886" s="4"/>
      <c r="E4886" s="4"/>
      <c r="F4886" s="4"/>
      <c r="G4886" s="4"/>
    </row>
    <row r="4887">
      <c r="A4887" s="4"/>
      <c r="B4887" s="4"/>
      <c r="C4887" s="4"/>
      <c r="D4887" s="13"/>
      <c r="E4887" s="4"/>
      <c r="F4887" s="4"/>
      <c r="G4887" s="4"/>
    </row>
    <row r="4888">
      <c r="A4888" s="4"/>
      <c r="B4888" s="4"/>
      <c r="C4888" s="4"/>
      <c r="D4888" s="4"/>
      <c r="E4888" s="4"/>
      <c r="F4888" s="4"/>
      <c r="G4888" s="4"/>
    </row>
    <row r="4889">
      <c r="A4889" s="4"/>
      <c r="B4889" s="4"/>
      <c r="C4889" s="4"/>
      <c r="D4889" s="4"/>
      <c r="E4889" s="4"/>
      <c r="F4889" s="4"/>
      <c r="G4889" s="4"/>
    </row>
    <row r="4890">
      <c r="A4890" s="4"/>
      <c r="B4890" s="4"/>
      <c r="C4890" s="4"/>
      <c r="D4890" s="4"/>
      <c r="E4890" s="4"/>
      <c r="F4890" s="4"/>
      <c r="G4890" s="4"/>
    </row>
    <row r="4891">
      <c r="A4891" s="4"/>
      <c r="B4891" s="4"/>
      <c r="C4891" s="4"/>
      <c r="D4891" s="4"/>
      <c r="E4891" s="4"/>
      <c r="F4891" s="4"/>
      <c r="G4891" s="4"/>
    </row>
    <row r="4892">
      <c r="A4892" s="4"/>
      <c r="B4892" s="4"/>
      <c r="C4892" s="4"/>
      <c r="D4892" s="4"/>
      <c r="E4892" s="4"/>
      <c r="F4892" s="4"/>
      <c r="G4892" s="4"/>
    </row>
    <row r="4893">
      <c r="A4893" s="4"/>
      <c r="B4893" s="4"/>
      <c r="C4893" s="4"/>
      <c r="D4893" s="4"/>
      <c r="E4893" s="4"/>
      <c r="F4893" s="4"/>
      <c r="G4893" s="4"/>
    </row>
    <row r="4894">
      <c r="A4894" s="4"/>
      <c r="B4894" s="4"/>
      <c r="C4894" s="4"/>
      <c r="D4894" s="4"/>
      <c r="E4894" s="13"/>
      <c r="F4894" s="4"/>
      <c r="G4894" s="4"/>
    </row>
    <row r="4895">
      <c r="A4895" s="4"/>
      <c r="B4895" s="4"/>
      <c r="C4895" s="4"/>
      <c r="D4895" s="4"/>
      <c r="E4895" s="13"/>
      <c r="F4895" s="4"/>
      <c r="G4895" s="4"/>
    </row>
    <row r="4896">
      <c r="A4896" s="4"/>
      <c r="B4896" s="4"/>
      <c r="C4896" s="4"/>
      <c r="D4896" s="4"/>
      <c r="E4896" s="4"/>
      <c r="F4896" s="4"/>
      <c r="G4896" s="4"/>
    </row>
    <row r="4897">
      <c r="A4897" s="4"/>
      <c r="B4897" s="4"/>
      <c r="C4897" s="4"/>
      <c r="D4897" s="4"/>
      <c r="E4897" s="13"/>
      <c r="F4897" s="4"/>
      <c r="G4897" s="4"/>
    </row>
    <row r="4898">
      <c r="A4898" s="4"/>
      <c r="B4898" s="4"/>
      <c r="C4898" s="4"/>
      <c r="D4898" s="4"/>
      <c r="E4898" s="4"/>
      <c r="F4898" s="4"/>
      <c r="G4898" s="4"/>
    </row>
    <row r="4899">
      <c r="A4899" s="4"/>
      <c r="B4899" s="4"/>
      <c r="C4899" s="4"/>
      <c r="D4899" s="13"/>
      <c r="E4899" s="13"/>
      <c r="F4899" s="4"/>
      <c r="G4899" s="4"/>
    </row>
    <row r="4900">
      <c r="A4900" s="4"/>
      <c r="B4900" s="4"/>
      <c r="C4900" s="4"/>
      <c r="D4900" s="4"/>
      <c r="E4900" s="13"/>
      <c r="F4900" s="4"/>
      <c r="G4900" s="4"/>
    </row>
    <row r="4901">
      <c r="A4901" s="4"/>
      <c r="B4901" s="4"/>
      <c r="C4901" s="4"/>
      <c r="D4901" s="4"/>
      <c r="E4901" s="4"/>
      <c r="F4901" s="4"/>
      <c r="G4901" s="4"/>
    </row>
    <row r="4902">
      <c r="A4902" s="4"/>
      <c r="B4902" s="4"/>
      <c r="C4902" s="4"/>
      <c r="D4902" s="4"/>
      <c r="E4902" s="4"/>
      <c r="F4902" s="4"/>
      <c r="G4902" s="4"/>
    </row>
    <row r="4903">
      <c r="A4903" s="4"/>
      <c r="B4903" s="4"/>
      <c r="C4903" s="4"/>
      <c r="D4903" s="4"/>
      <c r="E4903" s="4"/>
      <c r="F4903" s="4"/>
      <c r="G4903" s="4"/>
    </row>
    <row r="4904">
      <c r="A4904" s="4"/>
      <c r="B4904" s="4"/>
      <c r="C4904" s="4"/>
      <c r="D4904" s="4"/>
      <c r="E4904" s="4"/>
      <c r="F4904" s="4"/>
      <c r="G4904" s="4"/>
    </row>
    <row r="4905">
      <c r="A4905" s="4"/>
      <c r="B4905" s="4"/>
      <c r="C4905" s="4"/>
      <c r="D4905" s="4"/>
      <c r="E4905" s="13"/>
      <c r="F4905" s="4"/>
      <c r="G4905" s="4"/>
    </row>
    <row r="4906">
      <c r="A4906" s="4"/>
      <c r="B4906" s="4"/>
      <c r="C4906" s="4"/>
      <c r="D4906" s="4"/>
      <c r="E4906" s="4"/>
      <c r="F4906" s="4"/>
      <c r="G4906" s="4"/>
    </row>
    <row r="4907">
      <c r="A4907" s="4"/>
      <c r="B4907" s="4"/>
      <c r="C4907" s="4"/>
      <c r="D4907" s="4"/>
      <c r="E4907" s="13"/>
      <c r="F4907" s="4"/>
      <c r="G4907" s="4"/>
    </row>
    <row r="4908">
      <c r="A4908" s="4"/>
      <c r="B4908" s="4"/>
      <c r="C4908" s="4"/>
      <c r="D4908" s="4"/>
      <c r="E4908" s="4"/>
      <c r="F4908" s="4"/>
      <c r="G4908" s="4"/>
    </row>
    <row r="4909">
      <c r="A4909" s="4"/>
      <c r="B4909" s="4"/>
      <c r="C4909" s="4"/>
      <c r="D4909" s="4"/>
      <c r="E4909" s="4"/>
      <c r="F4909" s="4"/>
      <c r="G4909" s="4"/>
    </row>
    <row r="4910">
      <c r="A4910" s="4"/>
      <c r="B4910" s="4"/>
      <c r="C4910" s="4"/>
      <c r="D4910" s="4"/>
      <c r="E4910" s="4"/>
      <c r="F4910" s="4"/>
      <c r="G4910" s="4"/>
    </row>
    <row r="4911">
      <c r="A4911" s="4"/>
      <c r="B4911" s="4"/>
      <c r="C4911" s="4"/>
      <c r="D4911" s="4"/>
      <c r="E4911" s="13"/>
      <c r="F4911" s="4"/>
      <c r="G4911" s="4"/>
    </row>
    <row r="4912">
      <c r="A4912" s="4"/>
      <c r="B4912" s="4"/>
      <c r="C4912" s="4"/>
      <c r="D4912" s="4"/>
      <c r="E4912" s="4"/>
      <c r="F4912" s="4"/>
      <c r="G4912" s="4"/>
    </row>
    <row r="4913">
      <c r="A4913" s="4"/>
      <c r="B4913" s="4"/>
      <c r="C4913" s="4"/>
      <c r="D4913" s="13"/>
      <c r="E4913" s="13"/>
      <c r="F4913" s="4"/>
      <c r="G4913" s="4"/>
    </row>
    <row r="4914">
      <c r="A4914" s="4"/>
      <c r="B4914" s="4"/>
      <c r="C4914" s="4"/>
      <c r="D4914" s="4"/>
      <c r="E4914" s="4"/>
      <c r="F4914" s="4"/>
      <c r="G4914" s="4"/>
    </row>
    <row r="4915">
      <c r="A4915" s="4"/>
      <c r="B4915" s="4"/>
      <c r="C4915" s="4"/>
      <c r="D4915" s="4"/>
      <c r="E4915" s="4"/>
      <c r="F4915" s="4"/>
      <c r="G4915" s="4"/>
    </row>
    <row r="4916">
      <c r="A4916" s="4"/>
      <c r="B4916" s="4"/>
      <c r="C4916" s="4"/>
      <c r="D4916" s="4"/>
      <c r="E4916" s="4"/>
      <c r="F4916" s="4"/>
      <c r="G4916" s="4"/>
    </row>
    <row r="4917">
      <c r="A4917" s="4"/>
      <c r="B4917" s="4"/>
      <c r="C4917" s="4"/>
      <c r="D4917" s="4"/>
      <c r="E4917" s="4"/>
      <c r="F4917" s="4"/>
      <c r="G4917" s="4"/>
    </row>
    <row r="4918">
      <c r="A4918" s="4"/>
      <c r="B4918" s="4"/>
      <c r="C4918" s="4"/>
      <c r="D4918" s="4"/>
      <c r="E4918" s="4"/>
      <c r="F4918" s="4"/>
      <c r="G4918" s="4"/>
    </row>
    <row r="4919">
      <c r="A4919" s="4"/>
      <c r="B4919" s="4"/>
      <c r="C4919" s="4"/>
      <c r="D4919" s="13"/>
      <c r="E4919" s="13"/>
      <c r="F4919" s="4"/>
      <c r="G4919" s="4"/>
    </row>
    <row r="4920">
      <c r="A4920" s="4"/>
      <c r="B4920" s="4"/>
      <c r="C4920" s="4"/>
      <c r="D4920" s="4"/>
      <c r="E4920" s="4"/>
      <c r="F4920" s="4"/>
      <c r="G4920" s="4"/>
    </row>
    <row r="4921">
      <c r="A4921" s="4"/>
      <c r="B4921" s="4"/>
      <c r="C4921" s="4"/>
      <c r="D4921" s="4"/>
      <c r="E4921" s="4"/>
      <c r="F4921" s="4"/>
      <c r="G4921" s="4"/>
    </row>
    <row r="4922">
      <c r="A4922" s="4"/>
      <c r="B4922" s="4"/>
      <c r="C4922" s="4"/>
      <c r="D4922" s="13"/>
      <c r="E4922" s="13"/>
      <c r="F4922" s="4"/>
      <c r="G4922" s="4"/>
    </row>
    <row r="4923">
      <c r="A4923" s="4"/>
      <c r="B4923" s="4"/>
      <c r="C4923" s="4"/>
      <c r="D4923" s="13"/>
      <c r="E4923" s="13"/>
      <c r="F4923" s="4"/>
      <c r="G4923" s="4"/>
    </row>
    <row r="4924">
      <c r="A4924" s="4"/>
      <c r="B4924" s="4"/>
      <c r="C4924" s="4"/>
      <c r="D4924" s="4"/>
      <c r="E4924" s="4"/>
      <c r="F4924" s="4"/>
      <c r="G4924" s="4"/>
    </row>
    <row r="4925">
      <c r="A4925" s="4"/>
      <c r="B4925" s="4"/>
      <c r="C4925" s="4"/>
      <c r="D4925" s="4"/>
      <c r="E4925" s="4"/>
      <c r="F4925" s="4"/>
      <c r="G4925" s="4"/>
    </row>
    <row r="4926">
      <c r="A4926" s="4"/>
      <c r="B4926" s="4"/>
      <c r="C4926" s="4"/>
      <c r="D4926" s="4"/>
      <c r="E4926" s="4"/>
      <c r="F4926" s="4"/>
      <c r="G4926" s="4"/>
    </row>
    <row r="4927">
      <c r="A4927" s="4"/>
      <c r="B4927" s="4"/>
      <c r="C4927" s="4"/>
      <c r="D4927" s="4"/>
      <c r="E4927" s="4"/>
      <c r="F4927" s="4"/>
      <c r="G4927" s="4"/>
    </row>
    <row r="4928">
      <c r="A4928" s="4"/>
      <c r="B4928" s="4"/>
      <c r="C4928" s="4"/>
      <c r="D4928" s="4"/>
      <c r="E4928" s="13"/>
      <c r="F4928" s="4"/>
      <c r="G4928" s="4"/>
    </row>
    <row r="4929">
      <c r="A4929" s="4"/>
      <c r="B4929" s="4"/>
      <c r="C4929" s="4"/>
      <c r="D4929" s="4"/>
      <c r="E4929" s="4"/>
      <c r="F4929" s="4"/>
      <c r="G4929" s="4"/>
    </row>
    <row r="4930">
      <c r="A4930" s="4"/>
      <c r="B4930" s="4"/>
      <c r="C4930" s="4"/>
      <c r="D4930" s="4"/>
      <c r="E4930" s="4"/>
      <c r="F4930" s="4"/>
      <c r="G4930" s="4"/>
    </row>
    <row r="4931">
      <c r="A4931" s="4"/>
      <c r="B4931" s="4"/>
      <c r="C4931" s="4"/>
      <c r="D4931" s="4"/>
      <c r="E4931" s="4"/>
      <c r="F4931" s="4"/>
      <c r="G4931" s="4"/>
    </row>
    <row r="4932">
      <c r="A4932" s="4"/>
      <c r="B4932" s="4"/>
      <c r="C4932" s="4"/>
      <c r="D4932" s="4"/>
      <c r="E4932" s="4"/>
      <c r="F4932" s="4"/>
      <c r="G4932" s="4"/>
    </row>
    <row r="4933">
      <c r="A4933" s="4"/>
      <c r="B4933" s="4"/>
      <c r="C4933" s="4"/>
      <c r="D4933" s="4"/>
      <c r="E4933" s="13"/>
      <c r="F4933" s="4"/>
      <c r="G4933" s="4"/>
    </row>
    <row r="4934">
      <c r="A4934" s="4"/>
      <c r="B4934" s="4"/>
      <c r="C4934" s="4"/>
      <c r="D4934" s="4"/>
      <c r="E4934" s="4"/>
      <c r="F4934" s="4"/>
      <c r="G4934" s="4"/>
    </row>
    <row r="4935">
      <c r="A4935" s="4"/>
      <c r="B4935" s="4"/>
      <c r="C4935" s="4"/>
      <c r="D4935" s="4"/>
      <c r="E4935" s="13"/>
      <c r="F4935" s="4"/>
      <c r="G4935" s="4"/>
    </row>
    <row r="4936">
      <c r="A4936" s="4"/>
      <c r="B4936" s="4"/>
      <c r="C4936" s="4"/>
      <c r="D4936" s="4"/>
      <c r="E4936" s="4"/>
      <c r="F4936" s="4"/>
      <c r="G4936" s="4"/>
    </row>
    <row r="4937">
      <c r="A4937" s="4"/>
      <c r="B4937" s="4"/>
      <c r="C4937" s="4"/>
      <c r="D4937" s="4"/>
      <c r="E4937" s="13"/>
      <c r="F4937" s="4"/>
      <c r="G4937" s="4"/>
    </row>
    <row r="4938">
      <c r="A4938" s="4"/>
      <c r="B4938" s="4"/>
      <c r="C4938" s="4"/>
      <c r="D4938" s="4"/>
      <c r="E4938" s="4"/>
      <c r="F4938" s="4"/>
      <c r="G4938" s="4"/>
    </row>
    <row r="4939">
      <c r="A4939" s="4"/>
      <c r="B4939" s="4"/>
      <c r="C4939" s="4"/>
      <c r="D4939" s="13"/>
      <c r="E4939" s="4"/>
      <c r="F4939" s="4"/>
      <c r="G4939" s="4"/>
    </row>
    <row r="4940">
      <c r="A4940" s="4"/>
      <c r="B4940" s="4"/>
      <c r="C4940" s="4"/>
      <c r="D4940" s="4"/>
      <c r="E4940" s="13"/>
      <c r="F4940" s="4"/>
      <c r="G4940" s="4"/>
    </row>
    <row r="4941">
      <c r="A4941" s="4"/>
      <c r="B4941" s="4"/>
      <c r="C4941" s="4"/>
      <c r="D4941" s="4"/>
      <c r="E4941" s="4"/>
      <c r="F4941" s="4"/>
      <c r="G4941" s="4"/>
    </row>
    <row r="4942">
      <c r="A4942" s="4"/>
      <c r="B4942" s="4"/>
      <c r="C4942" s="4"/>
      <c r="D4942" s="4"/>
      <c r="E4942" s="4"/>
      <c r="F4942" s="4"/>
      <c r="G4942" s="4"/>
    </row>
    <row r="4943">
      <c r="A4943" s="4"/>
      <c r="B4943" s="4"/>
      <c r="C4943" s="4"/>
      <c r="D4943" s="13"/>
      <c r="E4943" s="4"/>
      <c r="F4943" s="4"/>
      <c r="G4943" s="4"/>
    </row>
    <row r="4944">
      <c r="A4944" s="4"/>
      <c r="B4944" s="4"/>
      <c r="C4944" s="4"/>
      <c r="D4944" s="4"/>
      <c r="E4944" s="4"/>
      <c r="F4944" s="4"/>
      <c r="G4944" s="4"/>
    </row>
    <row r="4945">
      <c r="A4945" s="4"/>
      <c r="B4945" s="4"/>
      <c r="C4945" s="4"/>
      <c r="D4945" s="13"/>
      <c r="E4945" s="4"/>
      <c r="F4945" s="4"/>
      <c r="G4945" s="4"/>
    </row>
    <row r="4946">
      <c r="A4946" s="4"/>
      <c r="B4946" s="4"/>
      <c r="C4946" s="4"/>
      <c r="D4946" s="13"/>
      <c r="E4946" s="13"/>
      <c r="F4946" s="4"/>
      <c r="G4946" s="4"/>
    </row>
    <row r="4947">
      <c r="A4947" s="4"/>
      <c r="B4947" s="4"/>
      <c r="C4947" s="4"/>
      <c r="D4947" s="4"/>
      <c r="E4947" s="13"/>
      <c r="F4947" s="4"/>
      <c r="G4947" s="4"/>
    </row>
    <row r="4948">
      <c r="A4948" s="4"/>
      <c r="B4948" s="4"/>
      <c r="C4948" s="4"/>
      <c r="D4948" s="4"/>
      <c r="E4948" s="4"/>
      <c r="F4948" s="4"/>
      <c r="G4948" s="4"/>
    </row>
    <row r="4949">
      <c r="A4949" s="4"/>
      <c r="B4949" s="4"/>
      <c r="C4949" s="4"/>
      <c r="D4949" s="4"/>
      <c r="E4949" s="4"/>
      <c r="F4949" s="4"/>
      <c r="G4949" s="4"/>
    </row>
    <row r="4950">
      <c r="A4950" s="4"/>
      <c r="B4950" s="4"/>
      <c r="C4950" s="4"/>
      <c r="D4950" s="13"/>
      <c r="E4950" s="13"/>
      <c r="F4950" s="4"/>
      <c r="G4950" s="4"/>
    </row>
    <row r="4951">
      <c r="A4951" s="4"/>
      <c r="B4951" s="4"/>
      <c r="C4951" s="4"/>
      <c r="D4951" s="13"/>
      <c r="E4951" s="13"/>
      <c r="F4951" s="4"/>
      <c r="G4951" s="4"/>
    </row>
    <row r="4952">
      <c r="A4952" s="4"/>
      <c r="B4952" s="4"/>
      <c r="C4952" s="4"/>
      <c r="D4952" s="4"/>
      <c r="E4952" s="4"/>
      <c r="F4952" s="4"/>
      <c r="G4952" s="4"/>
    </row>
    <row r="4953">
      <c r="A4953" s="4"/>
      <c r="B4953" s="4"/>
      <c r="C4953" s="4"/>
      <c r="D4953" s="13"/>
      <c r="E4953" s="13"/>
      <c r="F4953" s="4"/>
      <c r="G4953" s="4"/>
    </row>
    <row r="4954">
      <c r="A4954" s="4"/>
      <c r="B4954" s="4"/>
      <c r="C4954" s="4"/>
      <c r="D4954" s="4"/>
      <c r="E4954" s="13"/>
      <c r="F4954" s="4"/>
      <c r="G4954" s="4"/>
    </row>
    <row r="4955">
      <c r="A4955" s="4"/>
      <c r="B4955" s="4"/>
      <c r="C4955" s="4"/>
      <c r="D4955" s="4"/>
      <c r="E4955" s="4"/>
      <c r="F4955" s="4"/>
      <c r="G4955" s="4"/>
    </row>
    <row r="4956">
      <c r="A4956" s="4"/>
      <c r="B4956" s="4"/>
      <c r="C4956" s="4"/>
      <c r="D4956" s="4"/>
      <c r="E4956" s="4"/>
      <c r="F4956" s="4"/>
      <c r="G4956" s="4"/>
    </row>
    <row r="4957">
      <c r="A4957" s="4"/>
      <c r="B4957" s="4"/>
      <c r="C4957" s="4"/>
      <c r="D4957" s="4"/>
      <c r="E4957" s="13"/>
      <c r="F4957" s="4"/>
      <c r="G4957" s="4"/>
    </row>
    <row r="4958">
      <c r="A4958" s="4"/>
      <c r="B4958" s="4"/>
      <c r="C4958" s="4"/>
      <c r="D4958" s="4"/>
      <c r="E4958" s="4"/>
      <c r="F4958" s="4"/>
      <c r="G4958" s="4"/>
    </row>
    <row r="4959">
      <c r="A4959" s="4"/>
      <c r="B4959" s="4"/>
      <c r="C4959" s="4"/>
      <c r="D4959" s="4"/>
      <c r="E4959" s="4"/>
      <c r="F4959" s="4"/>
      <c r="G4959" s="4"/>
    </row>
    <row r="4960">
      <c r="A4960" s="4"/>
      <c r="B4960" s="4"/>
      <c r="C4960" s="4"/>
      <c r="D4960" s="4"/>
      <c r="E4960" s="13"/>
      <c r="F4960" s="4"/>
      <c r="G4960" s="4"/>
    </row>
    <row r="4961">
      <c r="A4961" s="4"/>
      <c r="B4961" s="4"/>
      <c r="C4961" s="4"/>
      <c r="D4961" s="4"/>
      <c r="E4961" s="4"/>
      <c r="F4961" s="4"/>
      <c r="G4961" s="4"/>
    </row>
    <row r="4962">
      <c r="A4962" s="4"/>
      <c r="B4962" s="4"/>
      <c r="C4962" s="4"/>
      <c r="D4962" s="4"/>
      <c r="E4962" s="4"/>
      <c r="F4962" s="4"/>
      <c r="G4962" s="4"/>
    </row>
    <row r="4963">
      <c r="A4963" s="4"/>
      <c r="B4963" s="4"/>
      <c r="C4963" s="4"/>
      <c r="D4963" s="4"/>
      <c r="E4963" s="4"/>
      <c r="F4963" s="4"/>
      <c r="G4963" s="4"/>
    </row>
    <row r="4964">
      <c r="A4964" s="4"/>
      <c r="B4964" s="4"/>
      <c r="C4964" s="4"/>
      <c r="D4964" s="4"/>
      <c r="E4964" s="13"/>
      <c r="F4964" s="4"/>
      <c r="G4964" s="4"/>
    </row>
    <row r="4965">
      <c r="A4965" s="4"/>
      <c r="B4965" s="4"/>
      <c r="C4965" s="4"/>
      <c r="D4965" s="4"/>
      <c r="E4965" s="13"/>
      <c r="F4965" s="4"/>
      <c r="G4965" s="4"/>
    </row>
    <row r="4966">
      <c r="A4966" s="4"/>
      <c r="B4966" s="4"/>
      <c r="C4966" s="4"/>
      <c r="D4966" s="4"/>
      <c r="E4966" s="4"/>
      <c r="F4966" s="4"/>
      <c r="G4966" s="4"/>
    </row>
    <row r="4967">
      <c r="A4967" s="4"/>
      <c r="B4967" s="4"/>
      <c r="C4967" s="4"/>
      <c r="D4967" s="4"/>
      <c r="E4967" s="4"/>
      <c r="F4967" s="4"/>
      <c r="G4967" s="4"/>
    </row>
    <row r="4968">
      <c r="A4968" s="4"/>
      <c r="B4968" s="4"/>
      <c r="C4968" s="4"/>
      <c r="D4968" s="4"/>
      <c r="E4968" s="13"/>
      <c r="F4968" s="4"/>
      <c r="G4968" s="4"/>
    </row>
    <row r="4969">
      <c r="A4969" s="4"/>
      <c r="B4969" s="4"/>
      <c r="C4969" s="4"/>
      <c r="D4969" s="4"/>
      <c r="E4969" s="4"/>
      <c r="F4969" s="4"/>
      <c r="G4969" s="4"/>
    </row>
    <row r="4970">
      <c r="A4970" s="4"/>
      <c r="B4970" s="4"/>
      <c r="C4970" s="4"/>
      <c r="D4970" s="4"/>
      <c r="E4970" s="13"/>
      <c r="F4970" s="4"/>
      <c r="G4970" s="4"/>
    </row>
    <row r="4971">
      <c r="A4971" s="4"/>
      <c r="B4971" s="4"/>
      <c r="C4971" s="4"/>
      <c r="D4971" s="4"/>
      <c r="E4971" s="13"/>
      <c r="F4971" s="4"/>
      <c r="G4971" s="4"/>
    </row>
    <row r="4972">
      <c r="A4972" s="4"/>
      <c r="B4972" s="4"/>
      <c r="C4972" s="4"/>
      <c r="D4972" s="4"/>
      <c r="E4972" s="4"/>
      <c r="F4972" s="4"/>
      <c r="G4972" s="4"/>
    </row>
    <row r="4973">
      <c r="A4973" s="4"/>
      <c r="B4973" s="4"/>
      <c r="C4973" s="4"/>
      <c r="D4973" s="4"/>
      <c r="E4973" s="4"/>
      <c r="F4973" s="4"/>
      <c r="G4973" s="4"/>
    </row>
    <row r="4974">
      <c r="A4974" s="4"/>
      <c r="B4974" s="4"/>
      <c r="C4974" s="4"/>
      <c r="D4974" s="13"/>
      <c r="E4974" s="13"/>
      <c r="F4974" s="4"/>
      <c r="G4974" s="4"/>
    </row>
    <row r="4975">
      <c r="A4975" s="4"/>
      <c r="B4975" s="4"/>
      <c r="C4975" s="4"/>
      <c r="D4975" s="13"/>
      <c r="E4975" s="13"/>
      <c r="F4975" s="4"/>
      <c r="G4975" s="4"/>
    </row>
    <row r="4976">
      <c r="A4976" s="4"/>
      <c r="B4976" s="4"/>
      <c r="C4976" s="4"/>
      <c r="D4976" s="4"/>
      <c r="E4976" s="4"/>
      <c r="F4976" s="4"/>
      <c r="G4976" s="4"/>
    </row>
    <row r="4977">
      <c r="A4977" s="4"/>
      <c r="B4977" s="4"/>
      <c r="C4977" s="4"/>
      <c r="D4977" s="4"/>
      <c r="E4977" s="4"/>
      <c r="F4977" s="4"/>
      <c r="G4977" s="4"/>
    </row>
    <row r="4978">
      <c r="A4978" s="4"/>
      <c r="B4978" s="4"/>
      <c r="C4978" s="4"/>
      <c r="D4978" s="4"/>
      <c r="E4978" s="13"/>
      <c r="F4978" s="4"/>
      <c r="G4978" s="4"/>
    </row>
    <row r="4979">
      <c r="A4979" s="4"/>
      <c r="B4979" s="4"/>
      <c r="C4979" s="4"/>
      <c r="D4979" s="4"/>
      <c r="E4979" s="4"/>
      <c r="F4979" s="4"/>
      <c r="G4979" s="4"/>
    </row>
    <row r="4980">
      <c r="A4980" s="4"/>
      <c r="B4980" s="4"/>
      <c r="C4980" s="4"/>
      <c r="D4980" s="4"/>
      <c r="E4980" s="13"/>
      <c r="F4980" s="4"/>
      <c r="G4980" s="4"/>
    </row>
    <row r="4981">
      <c r="A4981" s="4"/>
      <c r="B4981" s="4"/>
      <c r="C4981" s="4"/>
      <c r="D4981" s="4"/>
      <c r="E4981" s="4"/>
      <c r="F4981" s="4"/>
      <c r="G4981" s="4"/>
    </row>
    <row r="4982">
      <c r="A4982" s="4"/>
      <c r="B4982" s="4"/>
      <c r="C4982" s="4"/>
      <c r="D4982" s="4"/>
      <c r="E4982" s="4"/>
      <c r="F4982" s="4"/>
      <c r="G4982" s="4"/>
    </row>
    <row r="4983">
      <c r="A4983" s="4"/>
      <c r="B4983" s="4"/>
      <c r="C4983" s="4"/>
      <c r="D4983" s="13"/>
      <c r="E4983" s="4"/>
      <c r="F4983" s="4"/>
      <c r="G4983" s="4"/>
    </row>
    <row r="4984">
      <c r="A4984" s="4"/>
      <c r="B4984" s="4"/>
      <c r="C4984" s="4"/>
      <c r="D4984" s="4"/>
      <c r="E4984" s="4"/>
      <c r="F4984" s="4"/>
      <c r="G4984" s="4"/>
    </row>
    <row r="4985">
      <c r="A4985" s="4"/>
      <c r="B4985" s="4"/>
      <c r="C4985" s="4"/>
      <c r="D4985" s="4"/>
      <c r="E4985" s="13"/>
      <c r="F4985" s="4"/>
      <c r="G4985" s="4"/>
    </row>
    <row r="4986">
      <c r="A4986" s="4"/>
      <c r="B4986" s="4"/>
      <c r="C4986" s="4"/>
      <c r="D4986" s="4"/>
      <c r="E4986" s="4"/>
      <c r="F4986" s="4"/>
      <c r="G4986" s="4"/>
    </row>
    <row r="4987">
      <c r="A4987" s="4"/>
      <c r="B4987" s="4"/>
      <c r="C4987" s="4"/>
      <c r="D4987" s="4"/>
      <c r="E4987" s="13"/>
      <c r="F4987" s="4"/>
      <c r="G4987" s="4"/>
    </row>
    <row r="4988">
      <c r="A4988" s="4"/>
      <c r="B4988" s="4"/>
      <c r="C4988" s="4"/>
      <c r="D4988" s="4"/>
      <c r="E4988" s="4"/>
      <c r="F4988" s="4"/>
      <c r="G4988" s="4"/>
    </row>
    <row r="4989">
      <c r="A4989" s="4"/>
      <c r="B4989" s="4"/>
      <c r="C4989" s="4"/>
      <c r="D4989" s="4"/>
      <c r="E4989" s="4"/>
      <c r="F4989" s="4"/>
      <c r="G4989" s="4"/>
    </row>
    <row r="4990">
      <c r="A4990" s="4"/>
      <c r="B4990" s="4"/>
      <c r="C4990" s="4"/>
      <c r="D4990" s="13"/>
      <c r="E4990" s="4"/>
      <c r="F4990" s="4"/>
      <c r="G4990" s="4"/>
    </row>
    <row r="4991">
      <c r="A4991" s="4"/>
      <c r="B4991" s="4"/>
      <c r="C4991" s="4"/>
      <c r="D4991" s="4"/>
      <c r="E4991" s="4"/>
      <c r="F4991" s="4"/>
      <c r="G4991" s="4"/>
    </row>
    <row r="4992">
      <c r="A4992" s="4"/>
      <c r="B4992" s="4"/>
      <c r="C4992" s="4"/>
      <c r="D4992" s="4"/>
      <c r="E4992" s="4"/>
      <c r="F4992" s="4"/>
      <c r="G4992" s="4"/>
    </row>
    <row r="4993">
      <c r="A4993" s="4"/>
      <c r="B4993" s="4"/>
      <c r="C4993" s="4"/>
      <c r="D4993" s="13"/>
      <c r="E4993" s="13"/>
      <c r="F4993" s="4"/>
      <c r="G4993" s="4"/>
    </row>
    <row r="4994">
      <c r="A4994" s="4"/>
      <c r="B4994" s="4"/>
      <c r="C4994" s="4"/>
      <c r="D4994" s="13"/>
      <c r="E4994" s="13"/>
      <c r="F4994" s="4"/>
      <c r="G4994" s="4"/>
    </row>
    <row r="4995">
      <c r="A4995" s="4"/>
      <c r="B4995" s="4"/>
      <c r="C4995" s="4"/>
      <c r="D4995" s="4"/>
      <c r="E4995" s="4"/>
      <c r="F4995" s="4"/>
      <c r="G4995" s="4"/>
    </row>
    <row r="4996">
      <c r="A4996" s="4"/>
      <c r="B4996" s="4"/>
      <c r="C4996" s="4"/>
      <c r="D4996" s="4"/>
      <c r="E4996" s="4"/>
      <c r="F4996" s="4"/>
      <c r="G4996" s="4"/>
    </row>
    <row r="4997">
      <c r="A4997" s="4"/>
      <c r="B4997" s="4"/>
      <c r="C4997" s="4"/>
      <c r="D4997" s="13"/>
      <c r="E4997" s="13"/>
      <c r="F4997" s="4"/>
      <c r="G4997" s="4"/>
    </row>
    <row r="4998">
      <c r="A4998" s="4"/>
      <c r="B4998" s="4"/>
      <c r="C4998" s="4"/>
      <c r="D4998" s="13"/>
      <c r="E4998" s="13"/>
      <c r="F4998" s="4"/>
      <c r="G4998" s="4"/>
    </row>
    <row r="4999">
      <c r="A4999" s="4"/>
      <c r="B4999" s="4"/>
      <c r="C4999" s="4"/>
      <c r="D4999" s="13"/>
      <c r="E4999" s="13"/>
      <c r="F4999" s="4"/>
      <c r="G4999" s="4"/>
    </row>
    <row r="5000">
      <c r="A5000" s="4"/>
      <c r="B5000" s="4"/>
      <c r="C5000" s="4"/>
      <c r="D5000" s="4"/>
      <c r="E5000" s="4"/>
      <c r="F5000" s="4"/>
      <c r="G5000" s="4"/>
    </row>
    <row r="5001">
      <c r="A5001" s="4"/>
      <c r="B5001" s="4"/>
      <c r="C5001" s="4"/>
      <c r="D5001" s="4"/>
      <c r="E5001" s="13"/>
      <c r="F5001" s="4"/>
      <c r="G5001" s="4"/>
    </row>
    <row r="5002">
      <c r="A5002" s="4"/>
      <c r="B5002" s="4"/>
      <c r="C5002" s="4"/>
      <c r="D5002" s="4"/>
      <c r="E5002" s="4"/>
      <c r="F5002" s="4"/>
      <c r="G5002" s="4"/>
    </row>
    <row r="5003">
      <c r="A5003" s="4"/>
      <c r="B5003" s="4"/>
      <c r="C5003" s="4"/>
      <c r="D5003" s="4"/>
      <c r="E5003" s="4"/>
      <c r="F5003" s="4"/>
      <c r="G5003" s="4"/>
    </row>
    <row r="5004">
      <c r="A5004" s="4"/>
      <c r="B5004" s="4"/>
      <c r="C5004" s="4"/>
      <c r="D5004" s="4"/>
      <c r="E5004" s="4"/>
      <c r="F5004" s="4"/>
      <c r="G5004" s="4"/>
    </row>
    <row r="5005">
      <c r="A5005" s="4"/>
      <c r="B5005" s="4"/>
      <c r="C5005" s="4"/>
      <c r="D5005" s="4"/>
      <c r="E5005" s="4"/>
      <c r="F5005" s="4"/>
      <c r="G5005" s="4"/>
    </row>
    <row r="5006">
      <c r="A5006" s="4"/>
      <c r="B5006" s="4"/>
      <c r="C5006" s="4"/>
      <c r="D5006" s="4"/>
      <c r="E5006" s="13"/>
      <c r="F5006" s="4"/>
      <c r="G5006" s="4"/>
    </row>
    <row r="5007">
      <c r="A5007" s="4"/>
      <c r="B5007" s="4"/>
      <c r="C5007" s="4"/>
      <c r="D5007" s="4"/>
      <c r="E5007" s="4"/>
      <c r="F5007" s="4"/>
      <c r="G5007" s="4"/>
    </row>
    <row r="5008">
      <c r="A5008" s="4"/>
      <c r="B5008" s="4"/>
      <c r="C5008" s="4"/>
      <c r="D5008" s="4"/>
      <c r="E5008" s="4"/>
      <c r="F5008" s="4"/>
      <c r="G5008" s="4"/>
    </row>
    <row r="5009">
      <c r="A5009" s="4"/>
      <c r="B5009" s="4"/>
      <c r="C5009" s="4"/>
      <c r="D5009" s="4"/>
      <c r="E5009" s="13"/>
      <c r="F5009" s="4"/>
      <c r="G5009" s="4"/>
    </row>
    <row r="5010">
      <c r="A5010" s="4"/>
      <c r="B5010" s="4"/>
      <c r="C5010" s="4"/>
      <c r="D5010" s="4"/>
      <c r="E5010" s="4"/>
      <c r="F5010" s="4"/>
      <c r="G5010" s="4"/>
    </row>
    <row r="5011">
      <c r="A5011" s="4"/>
      <c r="B5011" s="4"/>
      <c r="C5011" s="4"/>
      <c r="D5011" s="4"/>
      <c r="E5011" s="4"/>
      <c r="F5011" s="4"/>
      <c r="G5011" s="4"/>
    </row>
    <row r="5012">
      <c r="A5012" s="4"/>
      <c r="B5012" s="4"/>
      <c r="C5012" s="4"/>
      <c r="D5012" s="4"/>
      <c r="E5012" s="4"/>
      <c r="F5012" s="4"/>
      <c r="G5012" s="4"/>
    </row>
    <row r="5013">
      <c r="A5013" s="4"/>
      <c r="B5013" s="4"/>
      <c r="C5013" s="4"/>
      <c r="D5013" s="4"/>
      <c r="E5013" s="4"/>
      <c r="F5013" s="4"/>
      <c r="G5013" s="4"/>
    </row>
    <row r="5014">
      <c r="A5014" s="4"/>
      <c r="B5014" s="4"/>
      <c r="C5014" s="4"/>
      <c r="D5014" s="4"/>
      <c r="E5014" s="13"/>
      <c r="F5014" s="4"/>
      <c r="G5014" s="4"/>
    </row>
    <row r="5015">
      <c r="A5015" s="4"/>
      <c r="B5015" s="4"/>
      <c r="C5015" s="4"/>
      <c r="D5015" s="4"/>
      <c r="E5015" s="13"/>
      <c r="F5015" s="4"/>
      <c r="G5015" s="4"/>
    </row>
    <row r="5016">
      <c r="A5016" s="4"/>
      <c r="B5016" s="4"/>
      <c r="C5016" s="4"/>
      <c r="D5016" s="4"/>
      <c r="E5016" s="4"/>
      <c r="F5016" s="4"/>
      <c r="G5016" s="4"/>
    </row>
    <row r="5017">
      <c r="A5017" s="4"/>
      <c r="B5017" s="4"/>
      <c r="C5017" s="4"/>
      <c r="D5017" s="4"/>
      <c r="E5017" s="13"/>
      <c r="F5017" s="4"/>
      <c r="G5017" s="4"/>
    </row>
    <row r="5018">
      <c r="A5018" s="4"/>
      <c r="B5018" s="4"/>
      <c r="C5018" s="4"/>
      <c r="D5018" s="4"/>
      <c r="E5018" s="4"/>
      <c r="F5018" s="4"/>
      <c r="G5018" s="4"/>
    </row>
    <row r="5019">
      <c r="A5019" s="4"/>
      <c r="B5019" s="4"/>
      <c r="C5019" s="4"/>
      <c r="D5019" s="4"/>
      <c r="E5019" s="4"/>
      <c r="F5019" s="4"/>
      <c r="G5019" s="4"/>
    </row>
    <row r="5020">
      <c r="A5020" s="4"/>
      <c r="B5020" s="4"/>
      <c r="C5020" s="4"/>
      <c r="D5020" s="4"/>
      <c r="E5020" s="4"/>
      <c r="F5020" s="4"/>
      <c r="G5020" s="4"/>
    </row>
    <row r="5021">
      <c r="A5021" s="4"/>
      <c r="B5021" s="4"/>
      <c r="C5021" s="4"/>
      <c r="D5021" s="4"/>
      <c r="E5021" s="4"/>
      <c r="F5021" s="4"/>
      <c r="G5021" s="4"/>
    </row>
    <row r="5022">
      <c r="A5022" s="4"/>
      <c r="B5022" s="4"/>
      <c r="C5022" s="4"/>
      <c r="D5022" s="4"/>
      <c r="E5022" s="4"/>
      <c r="F5022" s="4"/>
      <c r="G5022" s="4"/>
    </row>
    <row r="5023">
      <c r="A5023" s="4"/>
      <c r="B5023" s="4"/>
      <c r="C5023" s="4"/>
      <c r="D5023" s="4"/>
      <c r="E5023" s="4"/>
      <c r="F5023" s="4"/>
      <c r="G5023" s="4"/>
    </row>
    <row r="5024">
      <c r="A5024" s="4"/>
      <c r="B5024" s="4"/>
      <c r="C5024" s="4"/>
      <c r="D5024" s="4"/>
      <c r="E5024" s="13"/>
      <c r="F5024" s="4"/>
      <c r="G5024" s="4"/>
    </row>
    <row r="5025">
      <c r="A5025" s="4"/>
      <c r="B5025" s="4"/>
      <c r="C5025" s="4"/>
      <c r="D5025" s="4"/>
      <c r="E5025" s="13"/>
      <c r="F5025" s="4"/>
      <c r="G5025" s="4"/>
    </row>
    <row r="5026">
      <c r="A5026" s="4"/>
      <c r="B5026" s="4"/>
      <c r="C5026" s="4"/>
      <c r="D5026" s="4"/>
      <c r="E5026" s="4"/>
      <c r="F5026" s="4"/>
      <c r="G5026" s="4"/>
    </row>
    <row r="5027">
      <c r="A5027" s="4"/>
      <c r="B5027" s="4"/>
      <c r="C5027" s="4"/>
      <c r="D5027" s="4"/>
      <c r="E5027" s="4"/>
      <c r="F5027" s="4"/>
      <c r="G5027" s="4"/>
    </row>
    <row r="5028">
      <c r="A5028" s="4"/>
      <c r="B5028" s="4"/>
      <c r="C5028" s="4"/>
      <c r="D5028" s="4"/>
      <c r="E5028" s="4"/>
      <c r="F5028" s="4"/>
      <c r="G5028" s="4"/>
    </row>
    <row r="5029">
      <c r="A5029" s="4"/>
      <c r="B5029" s="4"/>
      <c r="C5029" s="4"/>
      <c r="D5029" s="4"/>
      <c r="E5029" s="4"/>
      <c r="F5029" s="4"/>
      <c r="G5029" s="4"/>
    </row>
    <row r="5030">
      <c r="A5030" s="4"/>
      <c r="B5030" s="4"/>
      <c r="C5030" s="4"/>
      <c r="D5030" s="4"/>
      <c r="E5030" s="13"/>
      <c r="F5030" s="4"/>
      <c r="G5030" s="4"/>
    </row>
    <row r="5031">
      <c r="A5031" s="4"/>
      <c r="B5031" s="4"/>
      <c r="C5031" s="4"/>
      <c r="D5031" s="4"/>
      <c r="E5031" s="4"/>
      <c r="F5031" s="4"/>
      <c r="G5031" s="4"/>
    </row>
    <row r="5032">
      <c r="A5032" s="4"/>
      <c r="B5032" s="4"/>
      <c r="C5032" s="4"/>
      <c r="D5032" s="4"/>
      <c r="E5032" s="13"/>
      <c r="F5032" s="4"/>
      <c r="G5032" s="4"/>
    </row>
    <row r="5033">
      <c r="A5033" s="4"/>
      <c r="B5033" s="4"/>
      <c r="C5033" s="4"/>
      <c r="D5033" s="4"/>
      <c r="E5033" s="4"/>
      <c r="F5033" s="4"/>
      <c r="G5033" s="4"/>
    </row>
    <row r="5034">
      <c r="A5034" s="4"/>
      <c r="B5034" s="4"/>
      <c r="C5034" s="4"/>
      <c r="D5034" s="4"/>
      <c r="E5034" s="4"/>
      <c r="F5034" s="4"/>
      <c r="G5034" s="4"/>
    </row>
    <row r="5035">
      <c r="A5035" s="4"/>
      <c r="B5035" s="4"/>
      <c r="C5035" s="4"/>
      <c r="D5035" s="4"/>
      <c r="E5035" s="4"/>
      <c r="F5035" s="4"/>
      <c r="G5035" s="4"/>
    </row>
    <row r="5036">
      <c r="A5036" s="4"/>
      <c r="B5036" s="4"/>
      <c r="C5036" s="4"/>
      <c r="D5036" s="4"/>
      <c r="E5036" s="4"/>
      <c r="F5036" s="4"/>
      <c r="G5036" s="4"/>
    </row>
    <row r="5037">
      <c r="A5037" s="4"/>
      <c r="B5037" s="4"/>
      <c r="C5037" s="4"/>
      <c r="D5037" s="4"/>
      <c r="E5037" s="13"/>
      <c r="F5037" s="4"/>
      <c r="G5037" s="4"/>
    </row>
    <row r="5038">
      <c r="A5038" s="4"/>
      <c r="B5038" s="4"/>
      <c r="C5038" s="4"/>
      <c r="D5038" s="4"/>
      <c r="E5038" s="4"/>
      <c r="F5038" s="4"/>
      <c r="G5038" s="4"/>
    </row>
    <row r="5039">
      <c r="A5039" s="4"/>
      <c r="B5039" s="4"/>
      <c r="C5039" s="4"/>
      <c r="D5039" s="4"/>
      <c r="E5039" s="13"/>
      <c r="F5039" s="4"/>
      <c r="G5039" s="4"/>
    </row>
    <row r="5040">
      <c r="A5040" s="4"/>
      <c r="B5040" s="4"/>
      <c r="C5040" s="4"/>
      <c r="D5040" s="4"/>
      <c r="E5040" s="4"/>
      <c r="F5040" s="4"/>
      <c r="G5040" s="4"/>
    </row>
    <row r="5041">
      <c r="A5041" s="4"/>
      <c r="B5041" s="4"/>
      <c r="C5041" s="4"/>
      <c r="D5041" s="4"/>
      <c r="E5041" s="13"/>
      <c r="F5041" s="4"/>
      <c r="G5041" s="4"/>
    </row>
    <row r="5042">
      <c r="A5042" s="4"/>
      <c r="B5042" s="4"/>
      <c r="C5042" s="4"/>
      <c r="D5042" s="4"/>
      <c r="E5042" s="4"/>
      <c r="F5042" s="4"/>
      <c r="G5042" s="4"/>
    </row>
    <row r="5043">
      <c r="A5043" s="4"/>
      <c r="B5043" s="4"/>
      <c r="C5043" s="4"/>
      <c r="D5043" s="4"/>
      <c r="E5043" s="4"/>
      <c r="F5043" s="4"/>
      <c r="G5043" s="4"/>
    </row>
    <row r="5044">
      <c r="A5044" s="4"/>
      <c r="B5044" s="4"/>
      <c r="C5044" s="4"/>
      <c r="D5044" s="4"/>
      <c r="E5044" s="4"/>
      <c r="F5044" s="4"/>
      <c r="G5044" s="4"/>
    </row>
    <row r="5045">
      <c r="A5045" s="4"/>
      <c r="B5045" s="4"/>
      <c r="C5045" s="4"/>
      <c r="D5045" s="4"/>
      <c r="E5045" s="4"/>
      <c r="F5045" s="4"/>
      <c r="G5045" s="4"/>
    </row>
    <row r="5046">
      <c r="A5046" s="4"/>
      <c r="B5046" s="4"/>
      <c r="C5046" s="4"/>
      <c r="D5046" s="4"/>
      <c r="E5046" s="4"/>
      <c r="F5046" s="4"/>
      <c r="G5046" s="4"/>
    </row>
    <row r="5047">
      <c r="A5047" s="4"/>
      <c r="B5047" s="4"/>
      <c r="C5047" s="4"/>
      <c r="D5047" s="4"/>
      <c r="E5047" s="4"/>
      <c r="F5047" s="4"/>
      <c r="G5047" s="4"/>
    </row>
    <row r="5048">
      <c r="A5048" s="4"/>
      <c r="B5048" s="4"/>
      <c r="C5048" s="4"/>
      <c r="D5048" s="13"/>
      <c r="E5048" s="13"/>
      <c r="F5048" s="4"/>
      <c r="G5048" s="4"/>
    </row>
    <row r="5049">
      <c r="A5049" s="4"/>
      <c r="B5049" s="4"/>
      <c r="C5049" s="4"/>
      <c r="D5049" s="13"/>
      <c r="E5049" s="13"/>
      <c r="F5049" s="4"/>
      <c r="G5049" s="4"/>
    </row>
    <row r="5050">
      <c r="A5050" s="4"/>
      <c r="B5050" s="4"/>
      <c r="C5050" s="4"/>
      <c r="D5050" s="4"/>
      <c r="E5050" s="4"/>
      <c r="F5050" s="4"/>
      <c r="G5050" s="4"/>
    </row>
    <row r="5051">
      <c r="A5051" s="4"/>
      <c r="B5051" s="4"/>
      <c r="C5051" s="4"/>
      <c r="D5051" s="13"/>
      <c r="E5051" s="13"/>
      <c r="F5051" s="4"/>
      <c r="G5051" s="4"/>
    </row>
    <row r="5052">
      <c r="A5052" s="4"/>
      <c r="B5052" s="4"/>
      <c r="C5052" s="4"/>
      <c r="D5052" s="4"/>
      <c r="E5052" s="4"/>
      <c r="F5052" s="4"/>
      <c r="G5052" s="4"/>
    </row>
    <row r="5053">
      <c r="A5053" s="4"/>
      <c r="B5053" s="4"/>
      <c r="C5053" s="4"/>
      <c r="D5053" s="4"/>
      <c r="E5053" s="13"/>
      <c r="F5053" s="4"/>
      <c r="G5053" s="4"/>
    </row>
    <row r="5054">
      <c r="A5054" s="4"/>
      <c r="B5054" s="4"/>
      <c r="C5054" s="4"/>
      <c r="D5054" s="4"/>
      <c r="E5054" s="4"/>
      <c r="F5054" s="4"/>
      <c r="G5054" s="4"/>
    </row>
    <row r="5055">
      <c r="A5055" s="4"/>
      <c r="B5055" s="4"/>
      <c r="C5055" s="4"/>
      <c r="D5055" s="4"/>
      <c r="E5055" s="4"/>
      <c r="F5055" s="4"/>
      <c r="G5055" s="4"/>
    </row>
    <row r="5056">
      <c r="A5056" s="4"/>
      <c r="B5056" s="4"/>
      <c r="C5056" s="4"/>
      <c r="D5056" s="4"/>
      <c r="E5056" s="4"/>
      <c r="F5056" s="4"/>
      <c r="G5056" s="4"/>
    </row>
    <row r="5057">
      <c r="A5057" s="4"/>
      <c r="B5057" s="4"/>
      <c r="C5057" s="4"/>
      <c r="D5057" s="4"/>
      <c r="E5057" s="4"/>
      <c r="F5057" s="4"/>
      <c r="G5057" s="4"/>
    </row>
    <row r="5058">
      <c r="A5058" s="4"/>
      <c r="B5058" s="4"/>
      <c r="C5058" s="4"/>
      <c r="D5058" s="4"/>
      <c r="E5058" s="4"/>
      <c r="F5058" s="4"/>
      <c r="G5058" s="4"/>
    </row>
    <row r="5059">
      <c r="A5059" s="4"/>
      <c r="B5059" s="4"/>
      <c r="C5059" s="4"/>
      <c r="D5059" s="4"/>
      <c r="E5059" s="4"/>
      <c r="F5059" s="4"/>
      <c r="G5059" s="4"/>
    </row>
    <row r="5060">
      <c r="A5060" s="4"/>
      <c r="B5060" s="4"/>
      <c r="C5060" s="4"/>
      <c r="D5060" s="4"/>
      <c r="E5060" s="4"/>
      <c r="F5060" s="4"/>
      <c r="G5060" s="4"/>
    </row>
    <row r="5061">
      <c r="A5061" s="4"/>
      <c r="B5061" s="4"/>
      <c r="C5061" s="4"/>
      <c r="D5061" s="4"/>
      <c r="E5061" s="4"/>
      <c r="F5061" s="4"/>
      <c r="G5061" s="4"/>
    </row>
    <row r="5062">
      <c r="A5062" s="4"/>
      <c r="B5062" s="4"/>
      <c r="C5062" s="4"/>
      <c r="D5062" s="4"/>
      <c r="E5062" s="4"/>
      <c r="F5062" s="4"/>
      <c r="G5062" s="4"/>
    </row>
    <row r="5063">
      <c r="A5063" s="4"/>
      <c r="B5063" s="4"/>
      <c r="C5063" s="4"/>
      <c r="D5063" s="4"/>
      <c r="E5063" s="4"/>
      <c r="F5063" s="4"/>
      <c r="G5063" s="4"/>
    </row>
    <row r="5064">
      <c r="A5064" s="4"/>
      <c r="B5064" s="4"/>
      <c r="C5064" s="4"/>
      <c r="D5064" s="4"/>
      <c r="E5064" s="4"/>
      <c r="F5064" s="4"/>
      <c r="G5064" s="4"/>
    </row>
    <row r="5065">
      <c r="A5065" s="4"/>
      <c r="B5065" s="4"/>
      <c r="C5065" s="4"/>
      <c r="D5065" s="4"/>
      <c r="E5065" s="13"/>
      <c r="F5065" s="4"/>
      <c r="G5065" s="4"/>
    </row>
    <row r="5066">
      <c r="A5066" s="4"/>
      <c r="B5066" s="4"/>
      <c r="C5066" s="4"/>
      <c r="D5066" s="4"/>
      <c r="E5066" s="4"/>
      <c r="F5066" s="4"/>
      <c r="G5066" s="4"/>
    </row>
    <row r="5067">
      <c r="A5067" s="4"/>
      <c r="B5067" s="4"/>
      <c r="C5067" s="4"/>
      <c r="D5067" s="4"/>
      <c r="E5067" s="13"/>
      <c r="F5067" s="4"/>
      <c r="G5067" s="4"/>
    </row>
    <row r="5068">
      <c r="A5068" s="4"/>
      <c r="B5068" s="4"/>
      <c r="C5068" s="4"/>
      <c r="D5068" s="4"/>
      <c r="E5068" s="4"/>
      <c r="F5068" s="4"/>
      <c r="G5068" s="4"/>
    </row>
    <row r="5069">
      <c r="A5069" s="4"/>
      <c r="B5069" s="4"/>
      <c r="C5069" s="4"/>
      <c r="D5069" s="4"/>
      <c r="E5069" s="4"/>
      <c r="F5069" s="4"/>
      <c r="G5069" s="4"/>
    </row>
    <row r="5070">
      <c r="A5070" s="4"/>
      <c r="B5070" s="4"/>
      <c r="C5070" s="4"/>
      <c r="D5070" s="4"/>
      <c r="E5070" s="13"/>
      <c r="F5070" s="4"/>
      <c r="G5070" s="4"/>
    </row>
    <row r="5071">
      <c r="A5071" s="4"/>
      <c r="B5071" s="4"/>
      <c r="C5071" s="4"/>
      <c r="D5071" s="4"/>
      <c r="E5071" s="4"/>
      <c r="F5071" s="4"/>
      <c r="G5071" s="4"/>
    </row>
    <row r="5072">
      <c r="A5072" s="4"/>
      <c r="B5072" s="4"/>
      <c r="C5072" s="4"/>
      <c r="D5072" s="4"/>
      <c r="E5072" s="4"/>
      <c r="F5072" s="4"/>
      <c r="G5072" s="4"/>
    </row>
    <row r="5073">
      <c r="A5073" s="4"/>
      <c r="B5073" s="4"/>
      <c r="C5073" s="4"/>
      <c r="D5073" s="4"/>
      <c r="E5073" s="13"/>
      <c r="F5073" s="4"/>
      <c r="G5073" s="4"/>
    </row>
    <row r="5074">
      <c r="A5074" s="4"/>
      <c r="B5074" s="4"/>
      <c r="C5074" s="4"/>
      <c r="D5074" s="4"/>
      <c r="E5074" s="4"/>
      <c r="F5074" s="4"/>
      <c r="G5074" s="4"/>
    </row>
    <row r="5075">
      <c r="A5075" s="4"/>
      <c r="B5075" s="4"/>
      <c r="C5075" s="4"/>
      <c r="D5075" s="4"/>
      <c r="E5075" s="4"/>
      <c r="F5075" s="4"/>
      <c r="G5075" s="4"/>
    </row>
    <row r="5076">
      <c r="A5076" s="4"/>
      <c r="B5076" s="4"/>
      <c r="C5076" s="4"/>
      <c r="D5076" s="4"/>
      <c r="E5076" s="4"/>
      <c r="F5076" s="4"/>
      <c r="G5076" s="4"/>
    </row>
    <row r="5077">
      <c r="A5077" s="4"/>
      <c r="B5077" s="4"/>
      <c r="C5077" s="4"/>
      <c r="D5077" s="4"/>
      <c r="E5077" s="13"/>
      <c r="F5077" s="4"/>
      <c r="G5077" s="4"/>
    </row>
    <row r="5078">
      <c r="A5078" s="4"/>
      <c r="B5078" s="4"/>
      <c r="C5078" s="4"/>
      <c r="D5078" s="4"/>
      <c r="E5078" s="4"/>
      <c r="F5078" s="4"/>
      <c r="G5078" s="4"/>
    </row>
    <row r="5079">
      <c r="A5079" s="4"/>
      <c r="B5079" s="4"/>
      <c r="C5079" s="4"/>
      <c r="D5079" s="13"/>
      <c r="E5079" s="13"/>
      <c r="F5079" s="4"/>
      <c r="G5079" s="4"/>
    </row>
    <row r="5080">
      <c r="A5080" s="4"/>
      <c r="B5080" s="4"/>
      <c r="C5080" s="4"/>
      <c r="D5080" s="4"/>
      <c r="E5080" s="4"/>
      <c r="F5080" s="4"/>
      <c r="G5080" s="4"/>
    </row>
    <row r="5081">
      <c r="A5081" s="4"/>
      <c r="B5081" s="4"/>
      <c r="C5081" s="4"/>
      <c r="D5081" s="13"/>
      <c r="E5081" s="13"/>
      <c r="F5081" s="4"/>
      <c r="G5081" s="4"/>
    </row>
    <row r="5082">
      <c r="A5082" s="4"/>
      <c r="B5082" s="4"/>
      <c r="C5082" s="4"/>
      <c r="D5082" s="4"/>
      <c r="E5082" s="4"/>
      <c r="F5082" s="4"/>
      <c r="G5082" s="4"/>
    </row>
    <row r="5083">
      <c r="A5083" s="4"/>
      <c r="B5083" s="4"/>
      <c r="C5083" s="4"/>
      <c r="D5083" s="4"/>
      <c r="E5083" s="4"/>
      <c r="F5083" s="4"/>
      <c r="G5083" s="4"/>
    </row>
    <row r="5084">
      <c r="A5084" s="4"/>
      <c r="B5084" s="4"/>
      <c r="C5084" s="4"/>
      <c r="D5084" s="4"/>
      <c r="E5084" s="4"/>
      <c r="F5084" s="4"/>
      <c r="G5084" s="4"/>
    </row>
    <row r="5085">
      <c r="A5085" s="4"/>
      <c r="B5085" s="4"/>
      <c r="C5085" s="4"/>
      <c r="D5085" s="4"/>
      <c r="E5085" s="4"/>
      <c r="F5085" s="4"/>
      <c r="G5085" s="4"/>
    </row>
    <row r="5086">
      <c r="A5086" s="4"/>
      <c r="B5086" s="4"/>
      <c r="C5086" s="4"/>
      <c r="D5086" s="13"/>
      <c r="E5086" s="13"/>
      <c r="F5086" s="4"/>
      <c r="G5086" s="4"/>
    </row>
    <row r="5087">
      <c r="A5087" s="4"/>
      <c r="B5087" s="4"/>
      <c r="C5087" s="4"/>
      <c r="D5087" s="4"/>
      <c r="E5087" s="4"/>
      <c r="F5087" s="4"/>
      <c r="G5087" s="4"/>
    </row>
    <row r="5088">
      <c r="A5088" s="4"/>
      <c r="B5088" s="4"/>
      <c r="C5088" s="4"/>
      <c r="D5088" s="4"/>
      <c r="E5088" s="4"/>
      <c r="F5088" s="4"/>
      <c r="G5088" s="4"/>
    </row>
    <row r="5089">
      <c r="A5089" s="4"/>
      <c r="B5089" s="4"/>
      <c r="C5089" s="4"/>
      <c r="D5089" s="13"/>
      <c r="E5089" s="13"/>
      <c r="F5089" s="4"/>
      <c r="G5089" s="4"/>
    </row>
    <row r="5090">
      <c r="A5090" s="4"/>
      <c r="B5090" s="4"/>
      <c r="C5090" s="4"/>
      <c r="D5090" s="4"/>
      <c r="E5090" s="13"/>
      <c r="F5090" s="4"/>
      <c r="G5090" s="4"/>
    </row>
    <row r="5091">
      <c r="A5091" s="4"/>
      <c r="B5091" s="4"/>
      <c r="C5091" s="4"/>
      <c r="D5091" s="4"/>
      <c r="E5091" s="4"/>
      <c r="F5091" s="4"/>
      <c r="G5091" s="4"/>
    </row>
    <row r="5092">
      <c r="A5092" s="4"/>
      <c r="B5092" s="4"/>
      <c r="C5092" s="4"/>
      <c r="D5092" s="4"/>
      <c r="E5092" s="4"/>
      <c r="F5092" s="4"/>
      <c r="G5092" s="4"/>
    </row>
    <row r="5093">
      <c r="A5093" s="4"/>
      <c r="B5093" s="4"/>
      <c r="C5093" s="4"/>
      <c r="D5093" s="4"/>
      <c r="E5093" s="13"/>
      <c r="F5093" s="4"/>
      <c r="G5093" s="4"/>
    </row>
    <row r="5094">
      <c r="A5094" s="4"/>
      <c r="B5094" s="4"/>
      <c r="C5094" s="4"/>
      <c r="D5094" s="4"/>
      <c r="E5094" s="4"/>
      <c r="F5094" s="4"/>
      <c r="G5094" s="4"/>
    </row>
    <row r="5095">
      <c r="A5095" s="4"/>
      <c r="B5095" s="4"/>
      <c r="C5095" s="4"/>
      <c r="D5095" s="4"/>
      <c r="E5095" s="4"/>
      <c r="F5095" s="4"/>
      <c r="G5095" s="4"/>
    </row>
    <row r="5096">
      <c r="A5096" s="4"/>
      <c r="B5096" s="4"/>
      <c r="C5096" s="4"/>
      <c r="D5096" s="4"/>
      <c r="E5096" s="13"/>
      <c r="F5096" s="4"/>
      <c r="G5096" s="4"/>
    </row>
    <row r="5097">
      <c r="A5097" s="4"/>
      <c r="B5097" s="4"/>
      <c r="C5097" s="4"/>
      <c r="D5097" s="4"/>
      <c r="E5097" s="4"/>
      <c r="F5097" s="4"/>
      <c r="G5097" s="4"/>
    </row>
    <row r="5098">
      <c r="A5098" s="4"/>
      <c r="B5098" s="4"/>
      <c r="C5098" s="4"/>
      <c r="D5098" s="4"/>
      <c r="E5098" s="4"/>
      <c r="F5098" s="4"/>
      <c r="G5098" s="4"/>
    </row>
    <row r="5099">
      <c r="A5099" s="4"/>
      <c r="B5099" s="4"/>
      <c r="C5099" s="4"/>
      <c r="D5099" s="4"/>
      <c r="E5099" s="4"/>
      <c r="F5099" s="4"/>
      <c r="G5099" s="4"/>
    </row>
    <row r="5100">
      <c r="A5100" s="4"/>
      <c r="B5100" s="4"/>
      <c r="C5100" s="4"/>
      <c r="D5100" s="4"/>
      <c r="E5100" s="4"/>
      <c r="F5100" s="4"/>
      <c r="G5100" s="4"/>
    </row>
    <row r="5101">
      <c r="A5101" s="4"/>
      <c r="B5101" s="4"/>
      <c r="C5101" s="4"/>
      <c r="D5101" s="4"/>
      <c r="E5101" s="4"/>
      <c r="F5101" s="4"/>
      <c r="G5101" s="4"/>
    </row>
    <row r="5102">
      <c r="A5102" s="4"/>
      <c r="B5102" s="4"/>
      <c r="C5102" s="4"/>
      <c r="D5102" s="4"/>
      <c r="E5102" s="13"/>
      <c r="F5102" s="4"/>
      <c r="G5102" s="4"/>
    </row>
    <row r="5103">
      <c r="A5103" s="4"/>
      <c r="B5103" s="4"/>
      <c r="C5103" s="4"/>
      <c r="D5103" s="4"/>
      <c r="E5103" s="13"/>
      <c r="F5103" s="4"/>
      <c r="G5103" s="4"/>
    </row>
    <row r="5104">
      <c r="A5104" s="4"/>
      <c r="B5104" s="4"/>
      <c r="C5104" s="4"/>
      <c r="D5104" s="4"/>
      <c r="E5104" s="4"/>
      <c r="F5104" s="4"/>
      <c r="G5104" s="4"/>
    </row>
    <row r="5105">
      <c r="A5105" s="4"/>
      <c r="B5105" s="4"/>
      <c r="C5105" s="4"/>
      <c r="D5105" s="13"/>
      <c r="E5105" s="13"/>
      <c r="F5105" s="4"/>
      <c r="G5105" s="4"/>
    </row>
    <row r="5106">
      <c r="A5106" s="4"/>
      <c r="B5106" s="4"/>
      <c r="C5106" s="4"/>
      <c r="D5106" s="4"/>
      <c r="E5106" s="4"/>
      <c r="F5106" s="4"/>
      <c r="G5106" s="4"/>
    </row>
    <row r="5107">
      <c r="A5107" s="4"/>
      <c r="B5107" s="4"/>
      <c r="C5107" s="4"/>
      <c r="D5107" s="4"/>
      <c r="E5107" s="13"/>
      <c r="F5107" s="4"/>
      <c r="G5107" s="4"/>
    </row>
    <row r="5108">
      <c r="A5108" s="4"/>
      <c r="B5108" s="4"/>
      <c r="C5108" s="4"/>
      <c r="D5108" s="4"/>
      <c r="E5108" s="4"/>
      <c r="F5108" s="4"/>
      <c r="G5108" s="4"/>
    </row>
    <row r="5109">
      <c r="A5109" s="4"/>
      <c r="B5109" s="4"/>
      <c r="C5109" s="4"/>
      <c r="D5109" s="4"/>
      <c r="E5109" s="4"/>
      <c r="F5109" s="4"/>
      <c r="G5109" s="4"/>
    </row>
    <row r="5110">
      <c r="A5110" s="4"/>
      <c r="B5110" s="4"/>
      <c r="C5110" s="4"/>
      <c r="D5110" s="13"/>
      <c r="E5110" s="13"/>
      <c r="F5110" s="4"/>
      <c r="G5110" s="4"/>
    </row>
    <row r="5111">
      <c r="A5111" s="4"/>
      <c r="B5111" s="4"/>
      <c r="C5111" s="4"/>
      <c r="D5111" s="4"/>
      <c r="E5111" s="4"/>
      <c r="F5111" s="4"/>
      <c r="G5111" s="4"/>
    </row>
    <row r="5112">
      <c r="A5112" s="4"/>
      <c r="B5112" s="4"/>
      <c r="C5112" s="4"/>
      <c r="D5112" s="4"/>
      <c r="E5112" s="13"/>
      <c r="F5112" s="4"/>
      <c r="G5112" s="4"/>
    </row>
    <row r="5113">
      <c r="A5113" s="4"/>
      <c r="B5113" s="4"/>
      <c r="C5113" s="4"/>
      <c r="D5113" s="4"/>
      <c r="E5113" s="4"/>
      <c r="F5113" s="4"/>
      <c r="G5113" s="4"/>
    </row>
    <row r="5114">
      <c r="A5114" s="4"/>
      <c r="B5114" s="4"/>
      <c r="C5114" s="4"/>
      <c r="D5114" s="4"/>
      <c r="E5114" s="13"/>
      <c r="F5114" s="4"/>
      <c r="G5114" s="4"/>
    </row>
    <row r="5115">
      <c r="A5115" s="4"/>
      <c r="B5115" s="4"/>
      <c r="C5115" s="4"/>
      <c r="D5115" s="4"/>
      <c r="E5115" s="4"/>
      <c r="F5115" s="4"/>
      <c r="G5115" s="4"/>
    </row>
    <row r="5116">
      <c r="A5116" s="4"/>
      <c r="B5116" s="4"/>
      <c r="C5116" s="4"/>
      <c r="D5116" s="4"/>
      <c r="E5116" s="4"/>
      <c r="F5116" s="4"/>
      <c r="G5116" s="4"/>
    </row>
    <row r="5117">
      <c r="A5117" s="4"/>
      <c r="B5117" s="4"/>
      <c r="C5117" s="4"/>
      <c r="D5117" s="4"/>
      <c r="E5117" s="4"/>
      <c r="F5117" s="4"/>
      <c r="G5117" s="4"/>
    </row>
    <row r="5118">
      <c r="A5118" s="4"/>
      <c r="B5118" s="4"/>
      <c r="C5118" s="4"/>
      <c r="D5118" s="4"/>
      <c r="E5118" s="4"/>
      <c r="F5118" s="4"/>
      <c r="G5118" s="4"/>
    </row>
    <row r="5119">
      <c r="A5119" s="4"/>
      <c r="B5119" s="4"/>
      <c r="C5119" s="4"/>
      <c r="D5119" s="4"/>
      <c r="E5119" s="13"/>
      <c r="F5119" s="4"/>
      <c r="G5119" s="4"/>
    </row>
    <row r="5120">
      <c r="A5120" s="4"/>
      <c r="B5120" s="4"/>
      <c r="C5120" s="4"/>
      <c r="D5120" s="4"/>
      <c r="E5120" s="4"/>
      <c r="F5120" s="4"/>
      <c r="G5120" s="4"/>
    </row>
    <row r="5121">
      <c r="A5121" s="4"/>
      <c r="B5121" s="4"/>
      <c r="C5121" s="4"/>
      <c r="D5121" s="4"/>
      <c r="E5121" s="4"/>
      <c r="F5121" s="4"/>
      <c r="G5121" s="4"/>
    </row>
    <row r="5122">
      <c r="A5122" s="4"/>
      <c r="B5122" s="4"/>
      <c r="C5122" s="4"/>
      <c r="D5122" s="4"/>
      <c r="E5122" s="4"/>
      <c r="F5122" s="4"/>
      <c r="G5122" s="4"/>
    </row>
    <row r="5123">
      <c r="A5123" s="4"/>
      <c r="B5123" s="4"/>
      <c r="C5123" s="4"/>
      <c r="D5123" s="13"/>
      <c r="E5123" s="13"/>
      <c r="F5123" s="4"/>
      <c r="G5123" s="4"/>
    </row>
    <row r="5124">
      <c r="A5124" s="4"/>
      <c r="B5124" s="4"/>
      <c r="C5124" s="4"/>
      <c r="D5124" s="4"/>
      <c r="E5124" s="4"/>
      <c r="F5124" s="4"/>
      <c r="G5124" s="4"/>
    </row>
    <row r="5125">
      <c r="A5125" s="4"/>
      <c r="B5125" s="4"/>
      <c r="C5125" s="4"/>
      <c r="D5125" s="4"/>
      <c r="E5125" s="13"/>
      <c r="F5125" s="4"/>
      <c r="G5125" s="4"/>
    </row>
    <row r="5126">
      <c r="A5126" s="4"/>
      <c r="B5126" s="4"/>
      <c r="C5126" s="4"/>
      <c r="D5126" s="4"/>
      <c r="E5126" s="4"/>
      <c r="F5126" s="4"/>
      <c r="G5126" s="4"/>
    </row>
    <row r="5127">
      <c r="A5127" s="4"/>
      <c r="B5127" s="4"/>
      <c r="C5127" s="4"/>
      <c r="D5127" s="4"/>
      <c r="E5127" s="4"/>
      <c r="F5127" s="4"/>
      <c r="G5127" s="4"/>
    </row>
    <row r="5128">
      <c r="A5128" s="4"/>
      <c r="B5128" s="4"/>
      <c r="C5128" s="4"/>
      <c r="D5128" s="4"/>
      <c r="E5128" s="4"/>
      <c r="F5128" s="4"/>
      <c r="G5128" s="4"/>
    </row>
    <row r="5129">
      <c r="A5129" s="4"/>
      <c r="B5129" s="4"/>
      <c r="C5129" s="4"/>
      <c r="D5129" s="4"/>
      <c r="E5129" s="4"/>
      <c r="F5129" s="4"/>
      <c r="G5129" s="4"/>
    </row>
    <row r="5130">
      <c r="A5130" s="4"/>
      <c r="B5130" s="4"/>
      <c r="C5130" s="4"/>
      <c r="D5130" s="4"/>
      <c r="E5130" s="13"/>
      <c r="F5130" s="4"/>
      <c r="G5130" s="4"/>
    </row>
    <row r="5131">
      <c r="A5131" s="4"/>
      <c r="B5131" s="4"/>
      <c r="C5131" s="4"/>
      <c r="D5131" s="13"/>
      <c r="E5131" s="13"/>
      <c r="F5131" s="4"/>
      <c r="G5131" s="4"/>
    </row>
    <row r="5132">
      <c r="A5132" s="4"/>
      <c r="B5132" s="4"/>
      <c r="C5132" s="4"/>
      <c r="D5132" s="4"/>
      <c r="E5132" s="4"/>
      <c r="F5132" s="4"/>
      <c r="G5132" s="4"/>
    </row>
    <row r="5133">
      <c r="A5133" s="4"/>
      <c r="B5133" s="4"/>
      <c r="C5133" s="4"/>
      <c r="D5133" s="4"/>
      <c r="E5133" s="4"/>
      <c r="F5133" s="4"/>
      <c r="G5133" s="4"/>
    </row>
    <row r="5134">
      <c r="A5134" s="4"/>
      <c r="B5134" s="4"/>
      <c r="C5134" s="4"/>
      <c r="D5134" s="13"/>
      <c r="E5134" s="13"/>
      <c r="F5134" s="4"/>
      <c r="G5134" s="4"/>
    </row>
    <row r="5135">
      <c r="A5135" s="4"/>
      <c r="B5135" s="4"/>
      <c r="C5135" s="4"/>
      <c r="D5135" s="4"/>
      <c r="E5135" s="13"/>
      <c r="F5135" s="4"/>
      <c r="G5135" s="4"/>
    </row>
    <row r="5136">
      <c r="A5136" s="4"/>
      <c r="B5136" s="4"/>
      <c r="C5136" s="4"/>
      <c r="D5136" s="4"/>
      <c r="E5136" s="4"/>
      <c r="F5136" s="4"/>
      <c r="G5136" s="4"/>
    </row>
    <row r="5137">
      <c r="A5137" s="4"/>
      <c r="B5137" s="4"/>
      <c r="C5137" s="4"/>
      <c r="D5137" s="13"/>
      <c r="E5137" s="13"/>
      <c r="F5137" s="4"/>
      <c r="G5137" s="4"/>
    </row>
    <row r="5138">
      <c r="A5138" s="4"/>
      <c r="B5138" s="4"/>
      <c r="C5138" s="4"/>
      <c r="D5138" s="4"/>
      <c r="E5138" s="4"/>
      <c r="F5138" s="4"/>
      <c r="G5138" s="4"/>
    </row>
    <row r="5139">
      <c r="A5139" s="4"/>
      <c r="B5139" s="4"/>
      <c r="C5139" s="4"/>
      <c r="D5139" s="4"/>
      <c r="E5139" s="13"/>
      <c r="F5139" s="4"/>
      <c r="G5139" s="4"/>
    </row>
    <row r="5140">
      <c r="A5140" s="4"/>
      <c r="B5140" s="4"/>
      <c r="C5140" s="4"/>
      <c r="D5140" s="4"/>
      <c r="E5140" s="4"/>
      <c r="F5140" s="4"/>
      <c r="G5140" s="4"/>
    </row>
    <row r="5141">
      <c r="A5141" s="4"/>
      <c r="B5141" s="4"/>
      <c r="C5141" s="4"/>
      <c r="D5141" s="4"/>
      <c r="E5141" s="4"/>
      <c r="F5141" s="4"/>
      <c r="G5141" s="4"/>
    </row>
    <row r="5142">
      <c r="A5142" s="4"/>
      <c r="B5142" s="4"/>
      <c r="C5142" s="4"/>
      <c r="D5142" s="4"/>
      <c r="E5142" s="13"/>
      <c r="F5142" s="4"/>
      <c r="G5142" s="4"/>
    </row>
    <row r="5143">
      <c r="A5143" s="4"/>
      <c r="B5143" s="4"/>
      <c r="C5143" s="4"/>
      <c r="D5143" s="4"/>
      <c r="E5143" s="4"/>
      <c r="F5143" s="4"/>
      <c r="G5143" s="4"/>
    </row>
    <row r="5144">
      <c r="A5144" s="4"/>
      <c r="B5144" s="4"/>
      <c r="C5144" s="4"/>
      <c r="D5144" s="4"/>
      <c r="E5144" s="4"/>
      <c r="F5144" s="4"/>
      <c r="G5144" s="4"/>
    </row>
    <row r="5145">
      <c r="A5145" s="4"/>
      <c r="B5145" s="4"/>
      <c r="C5145" s="4"/>
      <c r="D5145" s="4"/>
      <c r="E5145" s="13"/>
      <c r="F5145" s="4"/>
      <c r="G5145" s="4"/>
    </row>
    <row r="5146">
      <c r="A5146" s="4"/>
      <c r="B5146" s="4"/>
      <c r="C5146" s="4"/>
      <c r="D5146" s="4"/>
      <c r="E5146" s="4"/>
      <c r="F5146" s="4"/>
      <c r="G5146" s="4"/>
    </row>
    <row r="5147">
      <c r="A5147" s="4"/>
      <c r="B5147" s="4"/>
      <c r="C5147" s="4"/>
      <c r="D5147" s="4"/>
      <c r="E5147" s="4"/>
      <c r="F5147" s="4"/>
      <c r="G5147" s="4"/>
    </row>
    <row r="5148">
      <c r="A5148" s="4"/>
      <c r="B5148" s="4"/>
      <c r="C5148" s="4"/>
      <c r="D5148" s="4"/>
      <c r="E5148" s="4"/>
      <c r="F5148" s="4"/>
      <c r="G5148" s="4"/>
    </row>
    <row r="5149">
      <c r="A5149" s="4"/>
      <c r="B5149" s="4"/>
      <c r="C5149" s="4"/>
      <c r="D5149" s="4"/>
      <c r="E5149" s="4"/>
      <c r="F5149" s="4"/>
      <c r="G5149" s="4"/>
    </row>
    <row r="5150">
      <c r="A5150" s="4"/>
      <c r="B5150" s="4"/>
      <c r="C5150" s="4"/>
      <c r="D5150" s="4"/>
      <c r="E5150" s="4"/>
      <c r="F5150" s="4"/>
      <c r="G5150" s="4"/>
    </row>
    <row r="5151">
      <c r="A5151" s="4"/>
      <c r="B5151" s="4"/>
      <c r="C5151" s="4"/>
      <c r="D5151" s="4"/>
      <c r="E5151" s="4"/>
      <c r="F5151" s="4"/>
      <c r="G5151" s="4"/>
    </row>
    <row r="5152">
      <c r="A5152" s="4"/>
      <c r="B5152" s="4"/>
      <c r="C5152" s="4"/>
      <c r="D5152" s="4"/>
      <c r="E5152" s="4"/>
      <c r="F5152" s="4"/>
      <c r="G5152" s="4"/>
    </row>
    <row r="5153">
      <c r="A5153" s="4"/>
      <c r="B5153" s="4"/>
      <c r="C5153" s="4"/>
      <c r="D5153" s="4"/>
      <c r="E5153" s="4"/>
      <c r="F5153" s="4"/>
      <c r="G5153" s="4"/>
    </row>
    <row r="5154">
      <c r="A5154" s="4"/>
      <c r="B5154" s="4"/>
      <c r="C5154" s="4"/>
      <c r="D5154" s="4"/>
      <c r="E5154" s="4"/>
      <c r="F5154" s="4"/>
      <c r="G5154" s="4"/>
    </row>
    <row r="5155">
      <c r="A5155" s="4"/>
      <c r="B5155" s="4"/>
      <c r="C5155" s="4"/>
      <c r="D5155" s="4"/>
      <c r="E5155" s="13"/>
      <c r="F5155" s="4"/>
      <c r="G5155" s="4"/>
    </row>
    <row r="5156">
      <c r="A5156" s="4"/>
      <c r="B5156" s="4"/>
      <c r="C5156" s="4"/>
      <c r="D5156" s="4"/>
      <c r="E5156" s="4"/>
      <c r="F5156" s="4"/>
      <c r="G5156" s="4"/>
    </row>
    <row r="5157">
      <c r="A5157" s="4"/>
      <c r="B5157" s="4"/>
      <c r="C5157" s="4"/>
      <c r="D5157" s="4"/>
      <c r="E5157" s="4"/>
      <c r="F5157" s="4"/>
      <c r="G5157" s="4"/>
    </row>
    <row r="5158">
      <c r="A5158" s="4"/>
      <c r="B5158" s="4"/>
      <c r="C5158" s="4"/>
      <c r="D5158" s="4"/>
      <c r="E5158" s="13"/>
      <c r="F5158" s="4"/>
      <c r="G5158" s="4"/>
    </row>
    <row r="5159">
      <c r="A5159" s="4"/>
      <c r="B5159" s="4"/>
      <c r="C5159" s="4"/>
      <c r="D5159" s="4"/>
      <c r="E5159" s="4"/>
      <c r="F5159" s="4"/>
      <c r="G5159" s="4"/>
    </row>
    <row r="5160">
      <c r="A5160" s="4"/>
      <c r="B5160" s="4"/>
      <c r="C5160" s="4"/>
      <c r="D5160" s="4"/>
      <c r="E5160" s="4"/>
      <c r="F5160" s="4"/>
      <c r="G5160" s="4"/>
    </row>
    <row r="5161">
      <c r="A5161" s="4"/>
      <c r="B5161" s="4"/>
      <c r="C5161" s="4"/>
      <c r="D5161" s="4"/>
      <c r="E5161" s="4"/>
      <c r="F5161" s="4"/>
      <c r="G5161" s="4"/>
    </row>
    <row r="5162">
      <c r="A5162" s="4"/>
      <c r="B5162" s="4"/>
      <c r="C5162" s="4"/>
      <c r="D5162" s="4"/>
      <c r="E5162" s="4"/>
      <c r="F5162" s="4"/>
      <c r="G5162" s="4"/>
    </row>
    <row r="5163">
      <c r="A5163" s="4"/>
      <c r="B5163" s="4"/>
      <c r="C5163" s="4"/>
      <c r="D5163" s="4"/>
      <c r="E5163" s="4"/>
      <c r="F5163" s="4"/>
      <c r="G5163" s="4"/>
    </row>
    <row r="5164">
      <c r="A5164" s="4"/>
      <c r="B5164" s="4"/>
      <c r="C5164" s="4"/>
      <c r="D5164" s="4"/>
      <c r="E5164" s="4"/>
      <c r="F5164" s="4"/>
      <c r="G5164" s="4"/>
    </row>
    <row r="5165">
      <c r="A5165" s="4"/>
      <c r="B5165" s="4"/>
      <c r="C5165" s="4"/>
      <c r="D5165" s="4"/>
      <c r="E5165" s="4"/>
      <c r="F5165" s="4"/>
      <c r="G5165" s="4"/>
    </row>
    <row r="5166">
      <c r="A5166" s="4"/>
      <c r="B5166" s="4"/>
      <c r="C5166" s="4"/>
      <c r="D5166" s="4"/>
      <c r="E5166" s="4"/>
      <c r="F5166" s="4"/>
      <c r="G5166" s="4"/>
    </row>
    <row r="5167">
      <c r="A5167" s="4"/>
      <c r="B5167" s="4"/>
      <c r="C5167" s="4"/>
      <c r="D5167" s="4"/>
      <c r="E5167" s="13"/>
      <c r="F5167" s="4"/>
      <c r="G5167" s="4"/>
    </row>
    <row r="5168">
      <c r="A5168" s="4"/>
      <c r="B5168" s="4"/>
      <c r="C5168" s="4"/>
      <c r="D5168" s="4"/>
      <c r="E5168" s="4"/>
      <c r="F5168" s="4"/>
      <c r="G5168" s="4"/>
    </row>
    <row r="5169">
      <c r="A5169" s="4"/>
      <c r="B5169" s="4"/>
      <c r="C5169" s="4"/>
      <c r="D5169" s="4"/>
      <c r="E5169" s="4"/>
      <c r="F5169" s="4"/>
      <c r="G5169" s="4"/>
    </row>
    <row r="5170">
      <c r="A5170" s="4"/>
      <c r="B5170" s="4"/>
      <c r="C5170" s="4"/>
      <c r="D5170" s="4"/>
      <c r="E5170" s="13"/>
      <c r="F5170" s="4"/>
      <c r="G5170" s="4"/>
    </row>
    <row r="5171">
      <c r="A5171" s="4"/>
      <c r="B5171" s="4"/>
      <c r="C5171" s="4"/>
      <c r="D5171" s="4"/>
      <c r="E5171" s="4"/>
      <c r="F5171" s="4"/>
      <c r="G5171" s="4"/>
    </row>
    <row r="5172">
      <c r="A5172" s="4"/>
      <c r="B5172" s="4"/>
      <c r="C5172" s="4"/>
      <c r="D5172" s="4"/>
      <c r="E5172" s="4"/>
      <c r="F5172" s="4"/>
      <c r="G5172" s="4"/>
    </row>
    <row r="5173">
      <c r="A5173" s="4"/>
      <c r="B5173" s="4"/>
      <c r="C5173" s="4"/>
      <c r="D5173" s="4"/>
      <c r="E5173" s="13"/>
      <c r="F5173" s="4"/>
      <c r="G5173" s="4"/>
    </row>
    <row r="5174">
      <c r="A5174" s="4"/>
      <c r="B5174" s="4"/>
      <c r="C5174" s="4"/>
      <c r="D5174" s="4"/>
      <c r="E5174" s="4"/>
      <c r="F5174" s="4"/>
      <c r="G5174" s="4"/>
    </row>
    <row r="5175">
      <c r="A5175" s="4"/>
      <c r="B5175" s="4"/>
      <c r="C5175" s="4"/>
      <c r="D5175" s="4"/>
      <c r="E5175" s="4"/>
      <c r="F5175" s="4"/>
      <c r="G5175" s="4"/>
    </row>
    <row r="5176">
      <c r="A5176" s="4"/>
      <c r="B5176" s="4"/>
      <c r="C5176" s="4"/>
      <c r="D5176" s="4"/>
      <c r="E5176" s="4"/>
      <c r="F5176" s="4"/>
      <c r="G5176" s="4"/>
    </row>
    <row r="5177">
      <c r="A5177" s="4"/>
      <c r="B5177" s="4"/>
      <c r="C5177" s="4"/>
      <c r="D5177" s="4"/>
      <c r="E5177" s="13"/>
      <c r="F5177" s="4"/>
      <c r="G5177" s="4"/>
    </row>
    <row r="5178">
      <c r="A5178" s="4"/>
      <c r="B5178" s="4"/>
      <c r="C5178" s="4"/>
      <c r="D5178" s="4"/>
      <c r="E5178" s="4"/>
      <c r="F5178" s="4"/>
      <c r="G5178" s="4"/>
    </row>
    <row r="5179">
      <c r="A5179" s="4"/>
      <c r="B5179" s="4"/>
      <c r="C5179" s="4"/>
      <c r="D5179" s="4"/>
      <c r="E5179" s="4"/>
      <c r="F5179" s="4"/>
      <c r="G5179" s="4"/>
    </row>
    <row r="5180">
      <c r="A5180" s="4"/>
      <c r="B5180" s="4"/>
      <c r="C5180" s="4"/>
      <c r="D5180" s="4"/>
      <c r="E5180" s="13"/>
      <c r="F5180" s="4"/>
      <c r="G5180" s="4"/>
    </row>
    <row r="5181">
      <c r="A5181" s="4"/>
      <c r="B5181" s="4"/>
      <c r="C5181" s="4"/>
      <c r="D5181" s="4"/>
      <c r="E5181" s="4"/>
      <c r="F5181" s="4"/>
      <c r="G5181" s="4"/>
    </row>
    <row r="5182">
      <c r="A5182" s="4"/>
      <c r="B5182" s="4"/>
      <c r="C5182" s="4"/>
      <c r="D5182" s="4"/>
      <c r="E5182" s="4"/>
      <c r="F5182" s="4"/>
      <c r="G5182" s="4"/>
    </row>
    <row r="5183">
      <c r="A5183" s="4"/>
      <c r="B5183" s="4"/>
      <c r="C5183" s="4"/>
      <c r="D5183" s="4"/>
      <c r="E5183" s="13"/>
      <c r="F5183" s="4"/>
      <c r="G5183" s="4"/>
    </row>
    <row r="5184">
      <c r="A5184" s="4"/>
      <c r="B5184" s="4"/>
      <c r="C5184" s="4"/>
      <c r="D5184" s="4"/>
      <c r="E5184" s="4"/>
      <c r="F5184" s="4"/>
      <c r="G5184" s="4"/>
    </row>
    <row r="5185">
      <c r="A5185" s="4"/>
      <c r="B5185" s="4"/>
      <c r="C5185" s="4"/>
      <c r="D5185" s="4"/>
      <c r="E5185" s="4"/>
      <c r="F5185" s="4"/>
      <c r="G5185" s="4"/>
    </row>
    <row r="5186">
      <c r="A5186" s="4"/>
      <c r="B5186" s="4"/>
      <c r="C5186" s="4"/>
      <c r="D5186" s="13"/>
      <c r="E5186" s="13"/>
      <c r="F5186" s="4"/>
      <c r="G5186" s="4"/>
    </row>
    <row r="5187">
      <c r="A5187" s="4"/>
      <c r="B5187" s="4"/>
      <c r="C5187" s="4"/>
      <c r="D5187" s="13"/>
      <c r="E5187" s="13"/>
      <c r="F5187" s="4"/>
      <c r="G5187" s="4"/>
    </row>
    <row r="5188">
      <c r="A5188" s="4"/>
      <c r="B5188" s="4"/>
      <c r="C5188" s="4"/>
      <c r="D5188" s="13"/>
      <c r="E5188" s="13"/>
      <c r="F5188" s="4"/>
      <c r="G5188" s="4"/>
    </row>
    <row r="5189">
      <c r="A5189" s="4"/>
      <c r="B5189" s="4"/>
      <c r="C5189" s="4"/>
      <c r="D5189" s="13"/>
      <c r="E5189" s="13"/>
      <c r="F5189" s="4"/>
      <c r="G5189" s="4"/>
    </row>
    <row r="5190">
      <c r="A5190" s="4"/>
      <c r="B5190" s="4"/>
      <c r="C5190" s="4"/>
      <c r="D5190" s="4"/>
      <c r="E5190" s="4"/>
      <c r="F5190" s="4"/>
      <c r="G5190" s="4"/>
    </row>
    <row r="5191">
      <c r="A5191" s="4"/>
      <c r="B5191" s="4"/>
      <c r="C5191" s="4"/>
      <c r="D5191" s="4"/>
      <c r="E5191" s="4"/>
      <c r="F5191" s="4"/>
      <c r="G5191" s="4"/>
    </row>
    <row r="5192">
      <c r="A5192" s="4"/>
      <c r="B5192" s="4"/>
      <c r="C5192" s="4"/>
      <c r="D5192" s="13"/>
      <c r="E5192" s="13"/>
      <c r="F5192" s="4"/>
      <c r="G5192" s="4"/>
    </row>
    <row r="5193">
      <c r="A5193" s="4"/>
      <c r="B5193" s="4"/>
      <c r="C5193" s="4"/>
      <c r="D5193" s="4"/>
      <c r="E5193" s="4"/>
      <c r="F5193" s="4"/>
      <c r="G5193" s="4"/>
    </row>
    <row r="5194">
      <c r="A5194" s="4"/>
      <c r="B5194" s="4"/>
      <c r="C5194" s="4"/>
      <c r="D5194" s="4"/>
      <c r="E5194" s="4"/>
      <c r="F5194" s="4"/>
      <c r="G5194" s="4"/>
    </row>
    <row r="5195">
      <c r="A5195" s="4"/>
      <c r="B5195" s="4"/>
      <c r="C5195" s="4"/>
      <c r="D5195" s="4"/>
      <c r="E5195" s="4"/>
      <c r="F5195" s="4"/>
      <c r="G5195" s="4"/>
    </row>
    <row r="5196">
      <c r="A5196" s="4"/>
      <c r="B5196" s="4"/>
      <c r="C5196" s="4"/>
      <c r="D5196" s="4"/>
      <c r="E5196" s="4"/>
      <c r="F5196" s="4"/>
      <c r="G5196" s="4"/>
    </row>
    <row r="5197">
      <c r="A5197" s="4"/>
      <c r="B5197" s="4"/>
      <c r="C5197" s="4"/>
      <c r="D5197" s="4"/>
      <c r="E5197" s="13"/>
      <c r="F5197" s="4"/>
      <c r="G5197" s="4"/>
    </row>
    <row r="5198">
      <c r="A5198" s="4"/>
      <c r="B5198" s="4"/>
      <c r="C5198" s="4"/>
      <c r="D5198" s="4"/>
      <c r="E5198" s="4"/>
      <c r="F5198" s="4"/>
      <c r="G5198" s="4"/>
    </row>
    <row r="5199">
      <c r="A5199" s="4"/>
      <c r="B5199" s="4"/>
      <c r="C5199" s="4"/>
      <c r="D5199" s="4"/>
      <c r="E5199" s="4"/>
      <c r="F5199" s="4"/>
      <c r="G5199" s="4"/>
    </row>
    <row r="5200">
      <c r="A5200" s="4"/>
      <c r="B5200" s="4"/>
      <c r="C5200" s="4"/>
      <c r="D5200" s="4"/>
      <c r="E5200" s="4"/>
      <c r="F5200" s="4"/>
      <c r="G5200" s="4"/>
    </row>
    <row r="5201">
      <c r="A5201" s="4"/>
      <c r="B5201" s="4"/>
      <c r="C5201" s="4"/>
      <c r="D5201" s="4"/>
      <c r="E5201" s="4"/>
      <c r="F5201" s="4"/>
      <c r="G5201" s="4"/>
    </row>
    <row r="5202">
      <c r="A5202" s="4"/>
      <c r="B5202" s="4"/>
      <c r="C5202" s="4"/>
      <c r="D5202" s="4"/>
      <c r="E5202" s="4"/>
      <c r="F5202" s="4"/>
      <c r="G5202" s="4"/>
    </row>
    <row r="5203">
      <c r="A5203" s="4"/>
      <c r="B5203" s="4"/>
      <c r="C5203" s="4"/>
      <c r="D5203" s="4"/>
      <c r="E5203" s="13"/>
      <c r="F5203" s="4"/>
      <c r="G5203" s="4"/>
    </row>
    <row r="5204">
      <c r="A5204" s="4"/>
      <c r="B5204" s="4"/>
      <c r="C5204" s="4"/>
      <c r="D5204" s="4"/>
      <c r="E5204" s="4"/>
      <c r="F5204" s="4"/>
      <c r="G5204" s="4"/>
    </row>
    <row r="5205">
      <c r="A5205" s="4"/>
      <c r="B5205" s="4"/>
      <c r="C5205" s="4"/>
      <c r="D5205" s="4"/>
      <c r="E5205" s="13"/>
      <c r="F5205" s="4"/>
      <c r="G5205" s="4"/>
    </row>
    <row r="5206">
      <c r="A5206" s="4"/>
      <c r="B5206" s="4"/>
      <c r="C5206" s="4"/>
      <c r="D5206" s="4"/>
      <c r="E5206" s="4"/>
      <c r="F5206" s="4"/>
      <c r="G5206" s="4"/>
    </row>
    <row r="5207">
      <c r="A5207" s="4"/>
      <c r="B5207" s="4"/>
      <c r="C5207" s="4"/>
      <c r="D5207" s="4"/>
      <c r="E5207" s="4"/>
      <c r="F5207" s="4"/>
      <c r="G5207" s="4"/>
    </row>
    <row r="5208">
      <c r="A5208" s="4"/>
      <c r="B5208" s="4"/>
      <c r="C5208" s="4"/>
      <c r="D5208" s="4"/>
      <c r="E5208" s="4"/>
      <c r="F5208" s="4"/>
      <c r="G5208" s="4"/>
    </row>
    <row r="5209">
      <c r="A5209" s="4"/>
      <c r="B5209" s="4"/>
      <c r="C5209" s="4"/>
      <c r="D5209" s="4"/>
      <c r="E5209" s="13"/>
      <c r="F5209" s="4"/>
      <c r="G5209" s="4"/>
    </row>
    <row r="5210">
      <c r="A5210" s="4"/>
      <c r="B5210" s="4"/>
      <c r="C5210" s="4"/>
      <c r="D5210" s="4"/>
      <c r="E5210" s="4"/>
      <c r="F5210" s="4"/>
      <c r="G5210" s="4"/>
    </row>
    <row r="5211">
      <c r="A5211" s="4"/>
      <c r="B5211" s="4"/>
      <c r="C5211" s="4"/>
      <c r="D5211" s="4"/>
      <c r="E5211" s="4"/>
      <c r="F5211" s="4"/>
      <c r="G5211" s="4"/>
    </row>
    <row r="5212">
      <c r="A5212" s="4"/>
      <c r="B5212" s="4"/>
      <c r="C5212" s="4"/>
      <c r="D5212" s="4"/>
      <c r="E5212" s="13"/>
      <c r="F5212" s="4"/>
      <c r="G5212" s="4"/>
    </row>
    <row r="5213">
      <c r="A5213" s="4"/>
      <c r="B5213" s="4"/>
      <c r="C5213" s="4"/>
      <c r="D5213" s="4"/>
      <c r="E5213" s="13"/>
      <c r="F5213" s="4"/>
      <c r="G5213" s="4"/>
    </row>
    <row r="5214">
      <c r="A5214" s="4"/>
      <c r="B5214" s="4"/>
      <c r="C5214" s="4"/>
      <c r="D5214" s="4"/>
      <c r="E5214" s="13"/>
      <c r="F5214" s="4"/>
      <c r="G5214" s="4"/>
    </row>
    <row r="5215">
      <c r="A5215" s="4"/>
      <c r="B5215" s="4"/>
      <c r="C5215" s="4"/>
      <c r="D5215" s="4"/>
      <c r="E5215" s="4"/>
      <c r="F5215" s="4"/>
      <c r="G5215" s="4"/>
    </row>
    <row r="5216">
      <c r="A5216" s="4"/>
      <c r="B5216" s="4"/>
      <c r="C5216" s="4"/>
      <c r="D5216" s="4"/>
      <c r="E5216" s="4"/>
      <c r="F5216" s="4"/>
      <c r="G5216" s="4"/>
    </row>
    <row r="5217">
      <c r="A5217" s="4"/>
      <c r="B5217" s="4"/>
      <c r="C5217" s="4"/>
      <c r="D5217" s="4"/>
      <c r="E5217" s="4"/>
      <c r="F5217" s="4"/>
      <c r="G5217" s="4"/>
    </row>
    <row r="5218">
      <c r="A5218" s="4"/>
      <c r="B5218" s="4"/>
      <c r="C5218" s="4"/>
      <c r="D5218" s="4"/>
      <c r="E5218" s="13"/>
      <c r="F5218" s="4"/>
      <c r="G5218" s="4"/>
    </row>
    <row r="5219">
      <c r="A5219" s="4"/>
      <c r="B5219" s="4"/>
      <c r="C5219" s="4"/>
      <c r="D5219" s="4"/>
      <c r="E5219" s="4"/>
      <c r="F5219" s="4"/>
      <c r="G5219" s="4"/>
    </row>
    <row r="5220">
      <c r="A5220" s="4"/>
      <c r="B5220" s="4"/>
      <c r="C5220" s="4"/>
      <c r="D5220" s="4"/>
      <c r="E5220" s="4"/>
      <c r="F5220" s="4"/>
      <c r="G5220" s="4"/>
    </row>
    <row r="5221">
      <c r="A5221" s="4"/>
      <c r="B5221" s="4"/>
      <c r="C5221" s="4"/>
      <c r="D5221" s="4"/>
      <c r="E5221" s="13"/>
      <c r="F5221" s="4"/>
      <c r="G5221" s="4"/>
    </row>
    <row r="5222">
      <c r="A5222" s="4"/>
      <c r="B5222" s="4"/>
      <c r="C5222" s="4"/>
      <c r="D5222" s="4"/>
      <c r="E5222" s="4"/>
      <c r="F5222" s="4"/>
      <c r="G5222" s="4"/>
    </row>
    <row r="5223">
      <c r="A5223" s="4"/>
      <c r="B5223" s="4"/>
      <c r="C5223" s="4"/>
      <c r="D5223" s="4"/>
      <c r="E5223" s="4"/>
      <c r="F5223" s="4"/>
      <c r="G5223" s="4"/>
    </row>
    <row r="5224">
      <c r="A5224" s="4"/>
      <c r="B5224" s="4"/>
      <c r="C5224" s="4"/>
      <c r="D5224" s="4"/>
      <c r="E5224" s="13"/>
      <c r="F5224" s="4"/>
      <c r="G5224" s="4"/>
    </row>
    <row r="5225">
      <c r="A5225" s="4"/>
      <c r="B5225" s="4"/>
      <c r="C5225" s="4"/>
      <c r="D5225" s="4"/>
      <c r="E5225" s="13"/>
      <c r="F5225" s="4"/>
      <c r="G5225" s="4"/>
    </row>
    <row r="5226">
      <c r="A5226" s="4"/>
      <c r="B5226" s="4"/>
      <c r="C5226" s="4"/>
      <c r="D5226" s="4"/>
      <c r="E5226" s="4"/>
      <c r="F5226" s="4"/>
      <c r="G5226" s="4"/>
    </row>
    <row r="5227">
      <c r="A5227" s="4"/>
      <c r="B5227" s="4"/>
      <c r="C5227" s="4"/>
      <c r="D5227" s="4"/>
      <c r="E5227" s="4"/>
      <c r="F5227" s="4"/>
      <c r="G5227" s="4"/>
    </row>
    <row r="5228">
      <c r="A5228" s="4"/>
      <c r="B5228" s="4"/>
      <c r="C5228" s="4"/>
      <c r="D5228" s="13"/>
      <c r="E5228" s="13"/>
      <c r="F5228" s="4"/>
      <c r="G5228" s="4"/>
    </row>
    <row r="5229">
      <c r="A5229" s="4"/>
      <c r="B5229" s="4"/>
      <c r="C5229" s="4"/>
      <c r="D5229" s="4"/>
      <c r="E5229" s="4"/>
      <c r="F5229" s="4"/>
      <c r="G5229" s="4"/>
    </row>
    <row r="5230">
      <c r="A5230" s="4"/>
      <c r="B5230" s="4"/>
      <c r="C5230" s="4"/>
      <c r="D5230" s="13"/>
      <c r="E5230" s="13"/>
      <c r="F5230" s="4"/>
      <c r="G5230" s="4"/>
    </row>
    <row r="5231">
      <c r="A5231" s="4"/>
      <c r="B5231" s="4"/>
      <c r="C5231" s="4"/>
      <c r="D5231" s="4"/>
      <c r="E5231" s="4"/>
      <c r="F5231" s="4"/>
      <c r="G5231" s="4"/>
    </row>
    <row r="5232">
      <c r="A5232" s="4"/>
      <c r="B5232" s="4"/>
      <c r="C5232" s="4"/>
      <c r="D5232" s="13"/>
      <c r="E5232" s="13"/>
      <c r="F5232" s="4"/>
      <c r="G5232" s="4"/>
    </row>
    <row r="5233">
      <c r="A5233" s="4"/>
      <c r="B5233" s="4"/>
      <c r="C5233" s="4"/>
      <c r="D5233" s="4"/>
      <c r="E5233" s="4"/>
      <c r="F5233" s="4"/>
      <c r="G5233" s="4"/>
    </row>
    <row r="5234">
      <c r="A5234" s="4"/>
      <c r="B5234" s="4"/>
      <c r="C5234" s="4"/>
      <c r="D5234" s="13"/>
      <c r="E5234" s="13"/>
      <c r="F5234" s="4"/>
      <c r="G5234" s="4"/>
    </row>
    <row r="5235">
      <c r="A5235" s="4"/>
      <c r="B5235" s="4"/>
      <c r="C5235" s="4"/>
      <c r="D5235" s="4"/>
      <c r="E5235" s="4"/>
      <c r="F5235" s="4"/>
      <c r="G5235" s="4"/>
    </row>
    <row r="5236">
      <c r="A5236" s="4"/>
      <c r="B5236" s="4"/>
      <c r="C5236" s="4"/>
      <c r="D5236" s="13"/>
      <c r="E5236" s="13"/>
      <c r="F5236" s="4"/>
      <c r="G5236" s="4"/>
    </row>
    <row r="5237">
      <c r="A5237" s="4"/>
      <c r="B5237" s="4"/>
      <c r="C5237" s="4"/>
      <c r="D5237" s="4"/>
      <c r="E5237" s="4"/>
      <c r="F5237" s="4"/>
      <c r="G5237" s="4"/>
    </row>
    <row r="5238">
      <c r="A5238" s="4"/>
      <c r="B5238" s="4"/>
      <c r="C5238" s="4"/>
      <c r="D5238" s="4"/>
      <c r="E5238" s="4"/>
      <c r="F5238" s="4"/>
      <c r="G5238" s="4"/>
    </row>
    <row r="5239">
      <c r="A5239" s="4"/>
      <c r="B5239" s="4"/>
      <c r="C5239" s="4"/>
      <c r="D5239" s="4"/>
      <c r="E5239" s="4"/>
      <c r="F5239" s="4"/>
      <c r="G5239" s="4"/>
    </row>
    <row r="5240">
      <c r="A5240" s="4"/>
      <c r="B5240" s="4"/>
      <c r="C5240" s="4"/>
      <c r="D5240" s="13"/>
      <c r="E5240" s="13"/>
      <c r="F5240" s="4"/>
      <c r="G5240" s="4"/>
    </row>
    <row r="5241">
      <c r="A5241" s="4"/>
      <c r="B5241" s="4"/>
      <c r="C5241" s="4"/>
      <c r="D5241" s="4"/>
      <c r="E5241" s="4"/>
      <c r="F5241" s="4"/>
      <c r="G5241" s="4"/>
    </row>
    <row r="5242">
      <c r="A5242" s="4"/>
      <c r="B5242" s="4"/>
      <c r="C5242" s="4"/>
      <c r="D5242" s="4"/>
      <c r="E5242" s="13"/>
      <c r="F5242" s="4"/>
      <c r="G5242" s="4"/>
    </row>
    <row r="5243">
      <c r="A5243" s="4"/>
      <c r="B5243" s="4"/>
      <c r="C5243" s="4"/>
      <c r="D5243" s="4"/>
      <c r="E5243" s="4"/>
      <c r="F5243" s="4"/>
      <c r="G5243" s="4"/>
    </row>
    <row r="5244">
      <c r="A5244" s="4"/>
      <c r="B5244" s="4"/>
      <c r="C5244" s="4"/>
      <c r="D5244" s="4"/>
      <c r="E5244" s="13"/>
      <c r="F5244" s="4"/>
      <c r="G5244" s="4"/>
    </row>
    <row r="5245">
      <c r="A5245" s="4"/>
      <c r="B5245" s="4"/>
      <c r="C5245" s="4"/>
      <c r="D5245" s="4"/>
      <c r="E5245" s="13"/>
      <c r="F5245" s="4"/>
      <c r="G5245" s="4"/>
    </row>
    <row r="5246">
      <c r="A5246" s="4"/>
      <c r="B5246" s="4"/>
      <c r="C5246" s="4"/>
      <c r="D5246" s="4"/>
      <c r="E5246" s="4"/>
      <c r="F5246" s="4"/>
      <c r="G5246" s="4"/>
    </row>
    <row r="5247">
      <c r="A5247" s="4"/>
      <c r="B5247" s="4"/>
      <c r="C5247" s="4"/>
      <c r="D5247" s="4"/>
      <c r="E5247" s="4"/>
      <c r="F5247" s="4"/>
      <c r="G5247" s="4"/>
    </row>
    <row r="5248">
      <c r="A5248" s="4"/>
      <c r="B5248" s="4"/>
      <c r="C5248" s="4"/>
      <c r="D5248" s="4"/>
      <c r="E5248" s="13"/>
      <c r="F5248" s="4"/>
      <c r="G5248" s="4"/>
    </row>
    <row r="5249">
      <c r="A5249" s="4"/>
      <c r="B5249" s="4"/>
      <c r="C5249" s="4"/>
      <c r="D5249" s="4"/>
      <c r="E5249" s="13"/>
      <c r="F5249" s="4"/>
      <c r="G5249" s="4"/>
    </row>
    <row r="5250">
      <c r="A5250" s="4"/>
      <c r="B5250" s="4"/>
      <c r="C5250" s="4"/>
      <c r="D5250" s="4"/>
      <c r="E5250" s="4"/>
      <c r="F5250" s="4"/>
      <c r="G5250" s="4"/>
    </row>
    <row r="5251">
      <c r="A5251" s="4"/>
      <c r="B5251" s="4"/>
      <c r="C5251" s="4"/>
      <c r="D5251" s="4"/>
      <c r="E5251" s="4"/>
      <c r="F5251" s="4"/>
      <c r="G5251" s="4"/>
    </row>
    <row r="5252">
      <c r="A5252" s="4"/>
      <c r="B5252" s="4"/>
      <c r="C5252" s="4"/>
      <c r="D5252" s="4"/>
      <c r="E5252" s="13"/>
      <c r="F5252" s="4"/>
      <c r="G5252" s="4"/>
    </row>
    <row r="5253">
      <c r="A5253" s="4"/>
      <c r="B5253" s="4"/>
      <c r="C5253" s="4"/>
      <c r="D5253" s="4"/>
      <c r="E5253" s="4"/>
      <c r="F5253" s="4"/>
      <c r="G5253" s="4"/>
    </row>
    <row r="5254">
      <c r="A5254" s="4"/>
      <c r="B5254" s="4"/>
      <c r="C5254" s="4"/>
      <c r="D5254" s="4"/>
      <c r="E5254" s="13"/>
      <c r="F5254" s="4"/>
      <c r="G5254" s="4"/>
    </row>
    <row r="5255">
      <c r="A5255" s="4"/>
      <c r="B5255" s="4"/>
      <c r="C5255" s="4"/>
      <c r="D5255" s="4"/>
      <c r="E5255" s="4"/>
      <c r="F5255" s="4"/>
      <c r="G5255" s="4"/>
    </row>
    <row r="5256">
      <c r="A5256" s="4"/>
      <c r="B5256" s="4"/>
      <c r="C5256" s="4"/>
      <c r="D5256" s="4"/>
      <c r="E5256" s="4"/>
      <c r="F5256" s="4"/>
      <c r="G5256" s="4"/>
    </row>
    <row r="5257">
      <c r="A5257" s="4"/>
      <c r="B5257" s="4"/>
      <c r="C5257" s="4"/>
      <c r="D5257" s="4"/>
      <c r="E5257" s="13"/>
      <c r="F5257" s="4"/>
      <c r="G5257" s="4"/>
    </row>
    <row r="5258">
      <c r="A5258" s="4"/>
      <c r="B5258" s="4"/>
      <c r="C5258" s="4"/>
      <c r="D5258" s="13"/>
      <c r="E5258" s="13"/>
      <c r="F5258" s="4"/>
      <c r="G5258" s="4"/>
    </row>
    <row r="5259">
      <c r="A5259" s="4"/>
      <c r="B5259" s="4"/>
      <c r="C5259" s="4"/>
      <c r="D5259" s="4"/>
      <c r="E5259" s="13"/>
      <c r="F5259" s="4"/>
      <c r="G5259" s="4"/>
    </row>
    <row r="5260">
      <c r="A5260" s="4"/>
      <c r="B5260" s="4"/>
      <c r="C5260" s="4"/>
      <c r="D5260" s="4"/>
      <c r="E5260" s="4"/>
      <c r="F5260" s="4"/>
      <c r="G5260" s="4"/>
    </row>
    <row r="5261">
      <c r="A5261" s="4"/>
      <c r="B5261" s="4"/>
      <c r="C5261" s="4"/>
      <c r="D5261" s="13"/>
      <c r="E5261" s="13"/>
      <c r="F5261" s="4"/>
      <c r="G5261" s="4"/>
    </row>
    <row r="5262">
      <c r="A5262" s="4"/>
      <c r="B5262" s="4"/>
      <c r="C5262" s="4"/>
      <c r="D5262" s="4"/>
      <c r="E5262" s="4"/>
      <c r="F5262" s="4"/>
      <c r="G5262" s="4"/>
    </row>
    <row r="5263">
      <c r="A5263" s="4"/>
      <c r="B5263" s="4"/>
      <c r="C5263" s="4"/>
      <c r="D5263" s="4"/>
      <c r="E5263" s="13"/>
      <c r="F5263" s="4"/>
      <c r="G5263" s="4"/>
    </row>
    <row r="5264">
      <c r="A5264" s="4"/>
      <c r="B5264" s="4"/>
      <c r="C5264" s="4"/>
      <c r="D5264" s="4"/>
      <c r="E5264" s="4"/>
      <c r="F5264" s="4"/>
      <c r="G5264" s="4"/>
    </row>
    <row r="5265">
      <c r="A5265" s="4"/>
      <c r="B5265" s="4"/>
      <c r="C5265" s="4"/>
      <c r="D5265" s="4"/>
      <c r="E5265" s="4"/>
      <c r="F5265" s="4"/>
      <c r="G5265" s="4"/>
    </row>
    <row r="5266">
      <c r="A5266" s="4"/>
      <c r="B5266" s="4"/>
      <c r="C5266" s="4"/>
      <c r="D5266" s="4"/>
      <c r="E5266" s="13"/>
      <c r="F5266" s="4"/>
      <c r="G5266" s="4"/>
    </row>
    <row r="5267">
      <c r="A5267" s="4"/>
      <c r="B5267" s="4"/>
      <c r="C5267" s="4"/>
      <c r="D5267" s="4"/>
      <c r="E5267" s="4"/>
      <c r="F5267" s="4"/>
      <c r="G5267" s="4"/>
    </row>
    <row r="5268">
      <c r="A5268" s="4"/>
      <c r="B5268" s="4"/>
      <c r="C5268" s="4"/>
      <c r="D5268" s="4"/>
      <c r="E5268" s="4"/>
      <c r="F5268" s="4"/>
      <c r="G5268" s="4"/>
    </row>
    <row r="5269">
      <c r="A5269" s="4"/>
      <c r="B5269" s="4"/>
      <c r="C5269" s="4"/>
      <c r="D5269" s="4"/>
      <c r="E5269" s="4"/>
      <c r="F5269" s="4"/>
      <c r="G5269" s="4"/>
    </row>
    <row r="5270">
      <c r="A5270" s="4"/>
      <c r="B5270" s="4"/>
      <c r="C5270" s="4"/>
      <c r="D5270" s="13"/>
      <c r="E5270" s="13"/>
      <c r="F5270" s="4"/>
      <c r="G5270" s="4"/>
    </row>
    <row r="5271">
      <c r="A5271" s="4"/>
      <c r="B5271" s="4"/>
      <c r="C5271" s="4"/>
      <c r="D5271" s="13"/>
      <c r="E5271" s="13"/>
      <c r="F5271" s="4"/>
      <c r="G5271" s="4"/>
    </row>
    <row r="5272">
      <c r="A5272" s="4"/>
      <c r="B5272" s="4"/>
      <c r="C5272" s="4"/>
      <c r="D5272" s="4"/>
      <c r="E5272" s="4"/>
      <c r="F5272" s="4"/>
      <c r="G5272" s="4"/>
    </row>
    <row r="5273">
      <c r="A5273" s="4"/>
      <c r="B5273" s="4"/>
      <c r="C5273" s="4"/>
      <c r="D5273" s="4"/>
      <c r="E5273" s="13"/>
      <c r="F5273" s="4"/>
      <c r="G5273" s="4"/>
    </row>
    <row r="5274">
      <c r="A5274" s="4"/>
      <c r="B5274" s="4"/>
      <c r="C5274" s="4"/>
      <c r="D5274" s="4"/>
      <c r="E5274" s="4"/>
      <c r="F5274" s="4"/>
      <c r="G5274" s="4"/>
    </row>
    <row r="5275">
      <c r="A5275" s="4"/>
      <c r="B5275" s="4"/>
      <c r="C5275" s="4"/>
      <c r="D5275" s="4"/>
      <c r="E5275" s="4"/>
      <c r="F5275" s="4"/>
      <c r="G5275" s="4"/>
    </row>
    <row r="5276">
      <c r="A5276" s="4"/>
      <c r="B5276" s="4"/>
      <c r="C5276" s="4"/>
      <c r="D5276" s="13"/>
      <c r="E5276" s="13"/>
      <c r="F5276" s="4"/>
      <c r="G5276" s="4"/>
    </row>
    <row r="5277">
      <c r="A5277" s="4"/>
      <c r="B5277" s="4"/>
      <c r="C5277" s="4"/>
      <c r="D5277" s="4"/>
      <c r="E5277" s="4"/>
      <c r="F5277" s="4"/>
      <c r="G5277" s="4"/>
    </row>
    <row r="5278">
      <c r="A5278" s="4"/>
      <c r="B5278" s="4"/>
      <c r="C5278" s="4"/>
      <c r="D5278" s="4"/>
      <c r="E5278" s="4"/>
      <c r="F5278" s="4"/>
      <c r="G5278" s="4"/>
    </row>
    <row r="5279">
      <c r="A5279" s="4"/>
      <c r="B5279" s="4"/>
      <c r="C5279" s="4"/>
      <c r="D5279" s="4"/>
      <c r="E5279" s="4"/>
      <c r="F5279" s="4"/>
      <c r="G5279" s="4"/>
    </row>
    <row r="5280">
      <c r="A5280" s="4"/>
      <c r="B5280" s="4"/>
      <c r="C5280" s="4"/>
      <c r="D5280" s="13"/>
      <c r="E5280" s="13"/>
      <c r="F5280" s="4"/>
      <c r="G5280" s="4"/>
    </row>
    <row r="5281">
      <c r="A5281" s="4"/>
      <c r="B5281" s="4"/>
      <c r="C5281" s="4"/>
      <c r="D5281" s="4"/>
      <c r="E5281" s="4"/>
      <c r="F5281" s="4"/>
      <c r="G5281" s="4"/>
    </row>
    <row r="5282">
      <c r="A5282" s="4"/>
      <c r="B5282" s="4"/>
      <c r="C5282" s="4"/>
      <c r="D5282" s="4"/>
      <c r="E5282" s="4"/>
      <c r="F5282" s="4"/>
      <c r="G5282" s="4"/>
    </row>
    <row r="5283">
      <c r="A5283" s="4"/>
      <c r="B5283" s="4"/>
      <c r="C5283" s="4"/>
      <c r="D5283" s="4"/>
      <c r="E5283" s="4"/>
      <c r="F5283" s="4"/>
      <c r="G5283" s="4"/>
    </row>
    <row r="5284">
      <c r="A5284" s="4"/>
      <c r="B5284" s="4"/>
      <c r="C5284" s="4"/>
      <c r="D5284" s="4"/>
      <c r="E5284" s="4"/>
      <c r="F5284" s="4"/>
      <c r="G5284" s="4"/>
    </row>
    <row r="5285">
      <c r="A5285" s="4"/>
      <c r="B5285" s="4"/>
      <c r="C5285" s="4"/>
      <c r="D5285" s="4"/>
      <c r="E5285" s="4"/>
      <c r="F5285" s="4"/>
      <c r="G5285" s="4"/>
    </row>
    <row r="5286">
      <c r="A5286" s="4"/>
      <c r="B5286" s="4"/>
      <c r="C5286" s="4"/>
      <c r="D5286" s="4"/>
      <c r="E5286" s="13"/>
      <c r="F5286" s="4"/>
      <c r="G5286" s="4"/>
    </row>
    <row r="5287">
      <c r="A5287" s="4"/>
      <c r="B5287" s="4"/>
      <c r="C5287" s="4"/>
      <c r="D5287" s="4"/>
      <c r="E5287" s="4"/>
      <c r="F5287" s="4"/>
      <c r="G5287" s="4"/>
    </row>
    <row r="5288">
      <c r="A5288" s="4"/>
      <c r="B5288" s="4"/>
      <c r="C5288" s="4"/>
      <c r="D5288" s="4"/>
      <c r="E5288" s="4"/>
      <c r="F5288" s="4"/>
      <c r="G5288" s="4"/>
    </row>
    <row r="5289">
      <c r="A5289" s="4"/>
      <c r="B5289" s="4"/>
      <c r="C5289" s="4"/>
      <c r="D5289" s="4"/>
      <c r="E5289" s="13"/>
      <c r="F5289" s="4"/>
      <c r="G5289" s="4"/>
    </row>
    <row r="5290">
      <c r="A5290" s="4"/>
      <c r="B5290" s="4"/>
      <c r="C5290" s="4"/>
      <c r="D5290" s="4"/>
      <c r="E5290" s="4"/>
      <c r="F5290" s="4"/>
      <c r="G5290" s="4"/>
    </row>
    <row r="5291">
      <c r="A5291" s="4"/>
      <c r="B5291" s="4"/>
      <c r="C5291" s="4"/>
      <c r="D5291" s="4"/>
      <c r="E5291" s="4"/>
      <c r="F5291" s="4"/>
      <c r="G5291" s="4"/>
    </row>
    <row r="5292">
      <c r="A5292" s="4"/>
      <c r="B5292" s="4"/>
      <c r="C5292" s="4"/>
      <c r="D5292" s="13"/>
      <c r="E5292" s="4"/>
      <c r="F5292" s="4"/>
      <c r="G5292" s="4"/>
    </row>
    <row r="5293">
      <c r="A5293" s="4"/>
      <c r="B5293" s="4"/>
      <c r="C5293" s="4"/>
      <c r="D5293" s="4"/>
      <c r="E5293" s="4"/>
      <c r="F5293" s="4"/>
      <c r="G5293" s="4"/>
    </row>
    <row r="5294">
      <c r="A5294" s="4"/>
      <c r="B5294" s="4"/>
      <c r="C5294" s="4"/>
      <c r="D5294" s="4"/>
      <c r="E5294" s="13"/>
      <c r="F5294" s="4"/>
      <c r="G5294" s="4"/>
    </row>
    <row r="5295">
      <c r="A5295" s="4"/>
      <c r="B5295" s="4"/>
      <c r="C5295" s="4"/>
      <c r="D5295" s="4"/>
      <c r="E5295" s="4"/>
      <c r="F5295" s="4"/>
      <c r="G5295" s="4"/>
    </row>
    <row r="5296">
      <c r="A5296" s="4"/>
      <c r="B5296" s="4"/>
      <c r="C5296" s="4"/>
      <c r="D5296" s="4"/>
      <c r="E5296" s="13"/>
      <c r="F5296" s="4"/>
      <c r="G5296" s="4"/>
    </row>
    <row r="5297">
      <c r="A5297" s="4"/>
      <c r="B5297" s="4"/>
      <c r="C5297" s="4"/>
      <c r="D5297" s="13"/>
      <c r="E5297" s="13"/>
      <c r="F5297" s="4"/>
      <c r="G5297" s="4"/>
    </row>
    <row r="5298">
      <c r="A5298" s="4"/>
      <c r="B5298" s="4"/>
      <c r="C5298" s="4"/>
      <c r="D5298" s="4"/>
      <c r="E5298" s="4"/>
      <c r="F5298" s="4"/>
      <c r="G5298" s="4"/>
    </row>
    <row r="5299">
      <c r="A5299" s="4"/>
      <c r="B5299" s="4"/>
      <c r="C5299" s="4"/>
      <c r="D5299" s="4"/>
      <c r="E5299" s="4"/>
      <c r="F5299" s="4"/>
      <c r="G5299" s="4"/>
    </row>
    <row r="5300">
      <c r="A5300" s="4"/>
      <c r="B5300" s="4"/>
      <c r="C5300" s="4"/>
      <c r="D5300" s="13"/>
      <c r="E5300" s="13"/>
      <c r="F5300" s="4"/>
      <c r="G5300" s="4"/>
    </row>
    <row r="5301">
      <c r="A5301" s="4"/>
      <c r="B5301" s="4"/>
      <c r="C5301" s="4"/>
      <c r="D5301" s="13"/>
      <c r="E5301" s="13"/>
      <c r="F5301" s="4"/>
      <c r="G5301" s="4"/>
    </row>
    <row r="5302">
      <c r="A5302" s="4"/>
      <c r="B5302" s="4"/>
      <c r="C5302" s="4"/>
      <c r="D5302" s="13"/>
      <c r="E5302" s="13"/>
      <c r="F5302" s="4"/>
      <c r="G5302" s="4"/>
    </row>
    <row r="5303">
      <c r="A5303" s="4"/>
      <c r="B5303" s="4"/>
      <c r="C5303" s="4"/>
      <c r="D5303" s="4"/>
      <c r="E5303" s="4"/>
      <c r="F5303" s="4"/>
      <c r="G5303" s="4"/>
    </row>
    <row r="5304">
      <c r="A5304" s="4"/>
      <c r="B5304" s="4"/>
      <c r="C5304" s="4"/>
      <c r="D5304" s="13"/>
      <c r="E5304" s="13"/>
      <c r="F5304" s="4"/>
      <c r="G5304" s="4"/>
    </row>
    <row r="5305">
      <c r="A5305" s="4"/>
      <c r="B5305" s="4"/>
      <c r="C5305" s="4"/>
      <c r="D5305" s="4"/>
      <c r="E5305" s="4"/>
      <c r="F5305" s="4"/>
      <c r="G5305" s="4"/>
    </row>
    <row r="5306">
      <c r="A5306" s="4"/>
      <c r="B5306" s="4"/>
      <c r="C5306" s="4"/>
      <c r="D5306" s="13"/>
      <c r="E5306" s="13"/>
      <c r="F5306" s="4"/>
      <c r="G5306" s="4"/>
    </row>
    <row r="5307">
      <c r="A5307" s="4"/>
      <c r="B5307" s="4"/>
      <c r="C5307" s="4"/>
      <c r="D5307" s="4"/>
      <c r="E5307" s="4"/>
      <c r="F5307" s="4"/>
      <c r="G5307" s="4"/>
    </row>
    <row r="5308">
      <c r="A5308" s="4"/>
      <c r="B5308" s="4"/>
      <c r="C5308" s="4"/>
      <c r="D5308" s="4"/>
      <c r="E5308" s="13"/>
      <c r="F5308" s="4"/>
      <c r="G5308" s="4"/>
    </row>
    <row r="5309">
      <c r="A5309" s="4"/>
      <c r="B5309" s="4"/>
      <c r="C5309" s="4"/>
      <c r="D5309" s="4"/>
      <c r="E5309" s="4"/>
      <c r="F5309" s="4"/>
      <c r="G5309" s="4"/>
    </row>
    <row r="5310">
      <c r="A5310" s="4"/>
      <c r="B5310" s="4"/>
      <c r="C5310" s="4"/>
      <c r="D5310" s="4"/>
      <c r="E5310" s="13"/>
      <c r="F5310" s="4"/>
      <c r="G5310" s="4"/>
    </row>
    <row r="5311">
      <c r="A5311" s="4"/>
      <c r="B5311" s="4"/>
      <c r="C5311" s="4"/>
      <c r="D5311" s="4"/>
      <c r="E5311" s="13"/>
      <c r="F5311" s="4"/>
      <c r="G5311" s="4"/>
    </row>
    <row r="5312">
      <c r="A5312" s="4"/>
      <c r="B5312" s="4"/>
      <c r="C5312" s="4"/>
      <c r="D5312" s="4"/>
      <c r="E5312" s="4"/>
      <c r="F5312" s="4"/>
      <c r="G5312" s="4"/>
    </row>
    <row r="5313">
      <c r="A5313" s="4"/>
      <c r="B5313" s="4"/>
      <c r="C5313" s="4"/>
      <c r="D5313" s="4"/>
      <c r="E5313" s="4"/>
      <c r="F5313" s="4"/>
      <c r="G5313" s="4"/>
    </row>
    <row r="5314">
      <c r="A5314" s="4"/>
      <c r="B5314" s="4"/>
      <c r="C5314" s="4"/>
      <c r="D5314" s="4"/>
      <c r="E5314" s="13"/>
      <c r="F5314" s="4"/>
      <c r="G5314" s="4"/>
    </row>
    <row r="5315">
      <c r="A5315" s="4"/>
      <c r="B5315" s="4"/>
      <c r="C5315" s="4"/>
      <c r="D5315" s="4"/>
      <c r="E5315" s="4"/>
      <c r="F5315" s="4"/>
      <c r="G5315" s="4"/>
    </row>
    <row r="5316">
      <c r="A5316" s="4"/>
      <c r="B5316" s="4"/>
      <c r="C5316" s="4"/>
      <c r="D5316" s="4"/>
      <c r="E5316" s="13"/>
      <c r="F5316" s="4"/>
      <c r="G5316" s="4"/>
    </row>
    <row r="5317">
      <c r="A5317" s="4"/>
      <c r="B5317" s="4"/>
      <c r="C5317" s="4"/>
      <c r="D5317" s="4"/>
      <c r="E5317" s="4"/>
      <c r="F5317" s="4"/>
      <c r="G5317" s="4"/>
    </row>
    <row r="5318">
      <c r="A5318" s="4"/>
      <c r="B5318" s="4"/>
      <c r="C5318" s="4"/>
      <c r="D5318" s="13"/>
      <c r="E5318" s="13"/>
      <c r="F5318" s="4"/>
      <c r="G5318" s="4"/>
    </row>
    <row r="5319">
      <c r="A5319" s="4"/>
      <c r="B5319" s="4"/>
      <c r="C5319" s="4"/>
      <c r="D5319" s="13"/>
      <c r="E5319" s="13"/>
      <c r="F5319" s="4"/>
      <c r="G5319" s="4"/>
    </row>
    <row r="5320">
      <c r="A5320" s="4"/>
      <c r="B5320" s="4"/>
      <c r="C5320" s="4"/>
      <c r="D5320" s="4"/>
      <c r="E5320" s="13"/>
      <c r="F5320" s="4"/>
      <c r="G5320" s="4"/>
    </row>
    <row r="5321">
      <c r="A5321" s="4"/>
      <c r="B5321" s="4"/>
      <c r="C5321" s="4"/>
      <c r="D5321" s="4"/>
      <c r="E5321" s="4"/>
      <c r="F5321" s="4"/>
      <c r="G5321" s="4"/>
    </row>
    <row r="5322">
      <c r="A5322" s="4"/>
      <c r="B5322" s="4"/>
      <c r="C5322" s="4"/>
      <c r="D5322" s="4"/>
      <c r="E5322" s="4"/>
      <c r="F5322" s="4"/>
      <c r="G5322" s="4"/>
    </row>
    <row r="5323">
      <c r="A5323" s="4"/>
      <c r="B5323" s="4"/>
      <c r="C5323" s="4"/>
      <c r="D5323" s="13"/>
      <c r="E5323" s="13"/>
      <c r="F5323" s="4"/>
      <c r="G5323" s="4"/>
    </row>
    <row r="5324">
      <c r="A5324" s="4"/>
      <c r="B5324" s="4"/>
      <c r="C5324" s="4"/>
      <c r="D5324" s="4"/>
      <c r="E5324" s="4"/>
      <c r="F5324" s="4"/>
      <c r="G5324" s="4"/>
    </row>
    <row r="5325">
      <c r="A5325" s="4"/>
      <c r="B5325" s="4"/>
      <c r="C5325" s="4"/>
      <c r="D5325" s="13"/>
      <c r="E5325" s="13"/>
      <c r="F5325" s="4"/>
      <c r="G5325" s="4"/>
    </row>
    <row r="5326">
      <c r="A5326" s="4"/>
      <c r="B5326" s="4"/>
      <c r="C5326" s="4"/>
      <c r="D5326" s="4"/>
      <c r="E5326" s="4"/>
      <c r="F5326" s="4"/>
      <c r="G5326" s="4"/>
    </row>
    <row r="5327">
      <c r="A5327" s="4"/>
      <c r="B5327" s="4"/>
      <c r="C5327" s="4"/>
      <c r="D5327" s="13"/>
      <c r="E5327" s="13"/>
      <c r="F5327" s="4"/>
      <c r="G5327" s="4"/>
    </row>
    <row r="5328">
      <c r="A5328" s="4"/>
      <c r="B5328" s="4"/>
      <c r="C5328" s="4"/>
      <c r="D5328" s="4"/>
      <c r="E5328" s="4"/>
      <c r="F5328" s="4"/>
      <c r="G5328" s="4"/>
    </row>
    <row r="5329">
      <c r="A5329" s="4"/>
      <c r="B5329" s="4"/>
      <c r="C5329" s="4"/>
      <c r="D5329" s="13"/>
      <c r="E5329" s="13"/>
      <c r="F5329" s="4"/>
      <c r="G5329" s="4"/>
    </row>
    <row r="5330">
      <c r="A5330" s="4"/>
      <c r="B5330" s="4"/>
      <c r="C5330" s="4"/>
      <c r="D5330" s="4"/>
      <c r="E5330" s="4"/>
      <c r="F5330" s="4"/>
      <c r="G5330" s="4"/>
    </row>
    <row r="5331">
      <c r="A5331" s="4"/>
      <c r="B5331" s="4"/>
      <c r="C5331" s="4"/>
      <c r="D5331" s="13"/>
      <c r="E5331" s="13"/>
      <c r="F5331" s="4"/>
      <c r="G5331" s="4"/>
    </row>
    <row r="5332">
      <c r="A5332" s="4"/>
      <c r="B5332" s="4"/>
      <c r="C5332" s="4"/>
      <c r="D5332" s="4"/>
      <c r="E5332" s="4"/>
      <c r="F5332" s="4"/>
      <c r="G5332" s="4"/>
    </row>
    <row r="5333">
      <c r="A5333" s="4"/>
      <c r="B5333" s="4"/>
      <c r="C5333" s="4"/>
      <c r="D5333" s="4"/>
      <c r="E5333" s="13"/>
      <c r="F5333" s="4"/>
      <c r="G5333" s="4"/>
    </row>
    <row r="5334">
      <c r="A5334" s="4"/>
      <c r="B5334" s="4"/>
      <c r="C5334" s="4"/>
      <c r="D5334" s="4"/>
      <c r="E5334" s="4"/>
      <c r="F5334" s="4"/>
      <c r="G5334" s="4"/>
    </row>
    <row r="5335">
      <c r="A5335" s="4"/>
      <c r="B5335" s="4"/>
      <c r="C5335" s="4"/>
      <c r="D5335" s="4"/>
      <c r="E5335" s="4"/>
      <c r="F5335" s="4"/>
      <c r="G5335" s="4"/>
    </row>
    <row r="5336">
      <c r="A5336" s="4"/>
      <c r="B5336" s="4"/>
      <c r="C5336" s="4"/>
      <c r="D5336" s="4"/>
      <c r="E5336" s="13"/>
      <c r="F5336" s="4"/>
      <c r="G5336" s="4"/>
    </row>
    <row r="5337">
      <c r="A5337" s="4"/>
      <c r="B5337" s="4"/>
      <c r="C5337" s="4"/>
      <c r="D5337" s="13"/>
      <c r="E5337" s="13"/>
      <c r="F5337" s="4"/>
      <c r="G5337" s="4"/>
    </row>
    <row r="5338">
      <c r="A5338" s="4"/>
      <c r="B5338" s="4"/>
      <c r="C5338" s="4"/>
      <c r="D5338" s="13"/>
      <c r="E5338" s="13"/>
      <c r="F5338" s="4"/>
      <c r="G5338" s="4"/>
    </row>
    <row r="5339">
      <c r="A5339" s="4"/>
      <c r="B5339" s="4"/>
      <c r="C5339" s="4"/>
      <c r="D5339" s="13"/>
      <c r="E5339" s="13"/>
      <c r="F5339" s="4"/>
      <c r="G5339" s="4"/>
    </row>
    <row r="5340">
      <c r="A5340" s="4"/>
      <c r="B5340" s="4"/>
      <c r="C5340" s="4"/>
      <c r="D5340" s="4"/>
      <c r="E5340" s="4"/>
      <c r="F5340" s="4"/>
      <c r="G5340" s="4"/>
    </row>
    <row r="5341">
      <c r="A5341" s="4"/>
      <c r="B5341" s="4"/>
      <c r="C5341" s="4"/>
      <c r="D5341" s="4"/>
      <c r="E5341" s="4"/>
      <c r="F5341" s="4"/>
      <c r="G5341" s="4"/>
    </row>
    <row r="5342">
      <c r="A5342" s="4"/>
      <c r="B5342" s="4"/>
      <c r="C5342" s="4"/>
      <c r="D5342" s="4"/>
      <c r="E5342" s="4"/>
      <c r="F5342" s="4"/>
      <c r="G5342" s="4"/>
    </row>
    <row r="5343">
      <c r="A5343" s="4"/>
      <c r="B5343" s="4"/>
      <c r="C5343" s="4"/>
      <c r="D5343" s="4"/>
      <c r="E5343" s="13"/>
      <c r="F5343" s="4"/>
      <c r="G5343" s="4"/>
    </row>
    <row r="5344">
      <c r="A5344" s="4"/>
      <c r="B5344" s="4"/>
      <c r="C5344" s="4"/>
      <c r="D5344" s="4"/>
      <c r="E5344" s="4"/>
      <c r="F5344" s="4"/>
      <c r="G5344" s="4"/>
    </row>
    <row r="5345">
      <c r="A5345" s="4"/>
      <c r="B5345" s="4"/>
      <c r="C5345" s="4"/>
      <c r="D5345" s="4"/>
      <c r="E5345" s="4"/>
      <c r="F5345" s="4"/>
      <c r="G5345" s="4"/>
    </row>
    <row r="5346">
      <c r="A5346" s="4"/>
      <c r="B5346" s="4"/>
      <c r="C5346" s="4"/>
      <c r="D5346" s="4"/>
      <c r="E5346" s="4"/>
      <c r="F5346" s="4"/>
      <c r="G5346" s="4"/>
    </row>
    <row r="5347">
      <c r="A5347" s="4"/>
      <c r="B5347" s="4"/>
      <c r="C5347" s="4"/>
      <c r="D5347" s="4"/>
      <c r="E5347" s="4"/>
      <c r="F5347" s="4"/>
      <c r="G5347" s="4"/>
    </row>
    <row r="5348">
      <c r="A5348" s="4"/>
      <c r="B5348" s="4"/>
      <c r="C5348" s="4"/>
      <c r="D5348" s="4"/>
      <c r="E5348" s="13"/>
      <c r="F5348" s="4"/>
      <c r="G5348" s="4"/>
    </row>
    <row r="5349">
      <c r="A5349" s="4"/>
      <c r="B5349" s="4"/>
      <c r="C5349" s="4"/>
      <c r="D5349" s="4"/>
      <c r="E5349" s="4"/>
      <c r="F5349" s="4"/>
      <c r="G5349" s="4"/>
    </row>
    <row r="5350">
      <c r="A5350" s="4"/>
      <c r="B5350" s="4"/>
      <c r="C5350" s="4"/>
      <c r="D5350" s="4"/>
      <c r="E5350" s="13"/>
      <c r="F5350" s="4"/>
      <c r="G5350" s="4"/>
    </row>
    <row r="5351">
      <c r="A5351" s="4"/>
      <c r="B5351" s="4"/>
      <c r="C5351" s="4"/>
      <c r="D5351" s="4"/>
      <c r="E5351" s="4"/>
      <c r="F5351" s="4"/>
      <c r="G5351" s="4"/>
    </row>
    <row r="5352">
      <c r="A5352" s="4"/>
      <c r="B5352" s="4"/>
      <c r="C5352" s="4"/>
      <c r="D5352" s="4"/>
      <c r="E5352" s="4"/>
      <c r="F5352" s="4"/>
      <c r="G5352" s="4"/>
    </row>
    <row r="5353">
      <c r="A5353" s="4"/>
      <c r="B5353" s="4"/>
      <c r="C5353" s="4"/>
      <c r="D5353" s="4"/>
      <c r="E5353" s="4"/>
      <c r="F5353" s="4"/>
      <c r="G5353" s="4"/>
    </row>
    <row r="5354">
      <c r="A5354" s="4"/>
      <c r="B5354" s="4"/>
      <c r="C5354" s="4"/>
      <c r="D5354" s="4"/>
      <c r="E5354" s="4"/>
      <c r="F5354" s="4"/>
      <c r="G5354" s="4"/>
    </row>
    <row r="5355">
      <c r="A5355" s="4"/>
      <c r="B5355" s="4"/>
      <c r="C5355" s="4"/>
      <c r="D5355" s="4"/>
      <c r="E5355" s="4"/>
      <c r="F5355" s="4"/>
      <c r="G5355" s="4"/>
    </row>
    <row r="5356">
      <c r="A5356" s="4"/>
      <c r="B5356" s="4"/>
      <c r="C5356" s="4"/>
      <c r="D5356" s="4"/>
      <c r="E5356" s="13"/>
      <c r="F5356" s="4"/>
      <c r="G5356" s="4"/>
    </row>
    <row r="5357">
      <c r="A5357" s="4"/>
      <c r="B5357" s="4"/>
      <c r="C5357" s="4"/>
      <c r="D5357" s="4"/>
      <c r="E5357" s="4"/>
      <c r="F5357" s="4"/>
      <c r="G5357" s="4"/>
    </row>
    <row r="5358">
      <c r="A5358" s="4"/>
      <c r="B5358" s="4"/>
      <c r="C5358" s="4"/>
      <c r="D5358" s="4"/>
      <c r="E5358" s="13"/>
      <c r="F5358" s="4"/>
      <c r="G5358" s="4"/>
    </row>
    <row r="5359">
      <c r="A5359" s="4"/>
      <c r="B5359" s="4"/>
      <c r="C5359" s="4"/>
      <c r="D5359" s="4"/>
      <c r="E5359" s="4"/>
      <c r="F5359" s="4"/>
      <c r="G5359" s="4"/>
    </row>
    <row r="5360">
      <c r="A5360" s="4"/>
      <c r="B5360" s="4"/>
      <c r="C5360" s="4"/>
      <c r="D5360" s="4"/>
      <c r="E5360" s="4"/>
      <c r="F5360" s="4"/>
      <c r="G5360" s="4"/>
    </row>
    <row r="5361">
      <c r="A5361" s="4"/>
      <c r="B5361" s="4"/>
      <c r="C5361" s="4"/>
      <c r="D5361" s="4"/>
      <c r="E5361" s="4"/>
      <c r="F5361" s="4"/>
      <c r="G5361" s="4"/>
    </row>
    <row r="5362">
      <c r="A5362" s="4"/>
      <c r="B5362" s="4"/>
      <c r="C5362" s="4"/>
      <c r="D5362" s="4"/>
      <c r="E5362" s="4"/>
      <c r="F5362" s="4"/>
      <c r="G5362" s="4"/>
    </row>
    <row r="5363">
      <c r="A5363" s="4"/>
      <c r="B5363" s="4"/>
      <c r="C5363" s="4"/>
      <c r="D5363" s="4"/>
      <c r="E5363" s="4"/>
      <c r="F5363" s="4"/>
      <c r="G5363" s="4"/>
    </row>
    <row r="5364">
      <c r="A5364" s="4"/>
      <c r="B5364" s="4"/>
      <c r="C5364" s="4"/>
      <c r="D5364" s="4"/>
      <c r="E5364" s="13"/>
      <c r="F5364" s="4"/>
      <c r="G5364" s="4"/>
    </row>
    <row r="5365">
      <c r="A5365" s="4"/>
      <c r="B5365" s="4"/>
      <c r="C5365" s="4"/>
      <c r="D5365" s="4"/>
      <c r="E5365" s="4"/>
      <c r="F5365" s="4"/>
      <c r="G5365" s="4"/>
    </row>
    <row r="5366">
      <c r="A5366" s="4"/>
      <c r="B5366" s="4"/>
      <c r="C5366" s="4"/>
      <c r="D5366" s="4"/>
      <c r="E5366" s="4"/>
      <c r="F5366" s="4"/>
      <c r="G5366" s="4"/>
    </row>
    <row r="5367">
      <c r="A5367" s="4"/>
      <c r="B5367" s="4"/>
      <c r="C5367" s="4"/>
      <c r="D5367" s="4"/>
      <c r="E5367" s="4"/>
      <c r="F5367" s="4"/>
      <c r="G5367" s="4"/>
    </row>
    <row r="5368">
      <c r="A5368" s="4"/>
      <c r="B5368" s="4"/>
      <c r="C5368" s="4"/>
      <c r="D5368" s="13"/>
      <c r="E5368" s="13"/>
      <c r="F5368" s="4"/>
      <c r="G5368" s="4"/>
    </row>
    <row r="5369">
      <c r="A5369" s="4"/>
      <c r="B5369" s="4"/>
      <c r="C5369" s="4"/>
      <c r="D5369" s="4"/>
      <c r="E5369" s="4"/>
      <c r="F5369" s="4"/>
      <c r="G5369" s="4"/>
    </row>
    <row r="5370">
      <c r="A5370" s="4"/>
      <c r="B5370" s="4"/>
      <c r="C5370" s="4"/>
      <c r="D5370" s="4"/>
      <c r="E5370" s="4"/>
      <c r="F5370" s="4"/>
      <c r="G5370" s="4"/>
    </row>
    <row r="5371">
      <c r="A5371" s="4"/>
      <c r="B5371" s="4"/>
      <c r="C5371" s="4"/>
      <c r="D5371" s="4"/>
      <c r="E5371" s="4"/>
      <c r="F5371" s="4"/>
      <c r="G5371" s="4"/>
    </row>
    <row r="5372">
      <c r="A5372" s="4"/>
      <c r="B5372" s="4"/>
      <c r="C5372" s="4"/>
      <c r="D5372" s="13"/>
      <c r="E5372" s="13"/>
      <c r="F5372" s="4"/>
      <c r="G5372" s="4"/>
    </row>
    <row r="5373">
      <c r="A5373" s="4"/>
      <c r="B5373" s="4"/>
      <c r="C5373" s="4"/>
      <c r="D5373" s="4"/>
      <c r="E5373" s="4"/>
      <c r="F5373" s="4"/>
      <c r="G5373" s="4"/>
    </row>
    <row r="5374">
      <c r="A5374" s="4"/>
      <c r="B5374" s="4"/>
      <c r="C5374" s="4"/>
      <c r="D5374" s="4"/>
      <c r="E5374" s="4"/>
      <c r="F5374" s="4"/>
      <c r="G5374" s="4"/>
    </row>
    <row r="5375">
      <c r="A5375" s="4"/>
      <c r="B5375" s="4"/>
      <c r="C5375" s="4"/>
      <c r="D5375" s="4"/>
      <c r="E5375" s="4"/>
      <c r="F5375" s="4"/>
      <c r="G5375" s="4"/>
    </row>
    <row r="5376">
      <c r="A5376" s="4"/>
      <c r="B5376" s="4"/>
      <c r="C5376" s="4"/>
      <c r="D5376" s="4"/>
      <c r="E5376" s="4"/>
      <c r="F5376" s="4"/>
      <c r="G5376" s="4"/>
    </row>
    <row r="5377">
      <c r="A5377" s="4"/>
      <c r="B5377" s="4"/>
      <c r="C5377" s="4"/>
      <c r="D5377" s="4"/>
      <c r="E5377" s="4"/>
      <c r="F5377" s="4"/>
      <c r="G5377" s="4"/>
    </row>
    <row r="5378">
      <c r="A5378" s="4"/>
      <c r="B5378" s="4"/>
      <c r="C5378" s="4"/>
      <c r="D5378" s="4"/>
      <c r="E5378" s="13"/>
      <c r="F5378" s="4"/>
      <c r="G5378" s="4"/>
    </row>
    <row r="5379">
      <c r="A5379" s="4"/>
      <c r="B5379" s="4"/>
      <c r="C5379" s="4"/>
      <c r="D5379" s="4"/>
      <c r="E5379" s="4"/>
      <c r="F5379" s="4"/>
      <c r="G5379" s="4"/>
    </row>
    <row r="5380">
      <c r="A5380" s="4"/>
      <c r="B5380" s="4"/>
      <c r="C5380" s="4"/>
      <c r="D5380" s="4"/>
      <c r="E5380" s="13"/>
      <c r="F5380" s="4"/>
      <c r="G5380" s="4"/>
    </row>
    <row r="5381">
      <c r="A5381" s="4"/>
      <c r="B5381" s="4"/>
      <c r="C5381" s="4"/>
      <c r="D5381" s="4"/>
      <c r="E5381" s="4"/>
      <c r="F5381" s="4"/>
      <c r="G5381" s="4"/>
    </row>
    <row r="5382">
      <c r="A5382" s="4"/>
      <c r="B5382" s="4"/>
      <c r="C5382" s="4"/>
      <c r="D5382" s="4"/>
      <c r="E5382" s="13"/>
      <c r="F5382" s="4"/>
      <c r="G5382" s="4"/>
    </row>
    <row r="5383">
      <c r="A5383" s="4"/>
      <c r="B5383" s="4"/>
      <c r="C5383" s="4"/>
      <c r="D5383" s="4"/>
      <c r="E5383" s="4"/>
      <c r="F5383" s="4"/>
      <c r="G5383" s="4"/>
    </row>
    <row r="5384">
      <c r="A5384" s="4"/>
      <c r="B5384" s="4"/>
      <c r="C5384" s="4"/>
      <c r="D5384" s="13"/>
      <c r="E5384" s="13"/>
      <c r="F5384" s="4"/>
      <c r="G5384" s="4"/>
    </row>
    <row r="5385">
      <c r="A5385" s="4"/>
      <c r="B5385" s="4"/>
      <c r="C5385" s="4"/>
      <c r="D5385" s="13"/>
      <c r="E5385" s="13"/>
      <c r="F5385" s="4"/>
      <c r="G5385" s="4"/>
    </row>
    <row r="5386">
      <c r="A5386" s="4"/>
      <c r="B5386" s="4"/>
      <c r="C5386" s="4"/>
      <c r="D5386" s="13"/>
      <c r="E5386" s="13"/>
      <c r="F5386" s="4"/>
      <c r="G5386" s="4"/>
    </row>
    <row r="5387">
      <c r="A5387" s="4"/>
      <c r="B5387" s="4"/>
      <c r="C5387" s="4"/>
      <c r="D5387" s="13"/>
      <c r="E5387" s="13"/>
      <c r="F5387" s="4"/>
      <c r="G5387" s="4"/>
    </row>
    <row r="5388">
      <c r="A5388" s="4"/>
      <c r="B5388" s="4"/>
      <c r="C5388" s="4"/>
      <c r="D5388" s="13"/>
      <c r="E5388" s="13"/>
      <c r="F5388" s="4"/>
      <c r="G5388" s="4"/>
    </row>
    <row r="5389">
      <c r="A5389" s="4"/>
      <c r="B5389" s="4"/>
      <c r="C5389" s="4"/>
      <c r="D5389" s="4"/>
      <c r="E5389" s="13"/>
      <c r="F5389" s="4"/>
      <c r="G5389" s="4"/>
    </row>
    <row r="5390">
      <c r="A5390" s="4"/>
      <c r="B5390" s="4"/>
      <c r="C5390" s="4"/>
      <c r="D5390" s="4"/>
      <c r="E5390" s="4"/>
      <c r="F5390" s="4"/>
      <c r="G5390" s="4"/>
    </row>
    <row r="5391">
      <c r="A5391" s="4"/>
      <c r="B5391" s="4"/>
      <c r="C5391" s="4"/>
      <c r="D5391" s="4"/>
      <c r="E5391" s="13"/>
      <c r="F5391" s="4"/>
      <c r="G5391" s="4"/>
    </row>
    <row r="5392">
      <c r="A5392" s="4"/>
      <c r="B5392" s="4"/>
      <c r="C5392" s="4"/>
      <c r="D5392" s="4"/>
      <c r="E5392" s="4"/>
      <c r="F5392" s="4"/>
      <c r="G5392" s="4"/>
    </row>
    <row r="5393">
      <c r="A5393" s="4"/>
      <c r="B5393" s="4"/>
      <c r="C5393" s="4"/>
      <c r="D5393" s="13"/>
      <c r="E5393" s="13"/>
      <c r="F5393" s="4"/>
      <c r="G5393" s="4"/>
    </row>
    <row r="5394">
      <c r="A5394" s="4"/>
      <c r="B5394" s="4"/>
      <c r="C5394" s="4"/>
      <c r="D5394" s="4"/>
      <c r="E5394" s="4"/>
      <c r="F5394" s="4"/>
      <c r="G5394" s="4"/>
    </row>
    <row r="5395">
      <c r="A5395" s="4"/>
      <c r="B5395" s="4"/>
      <c r="C5395" s="4"/>
      <c r="D5395" s="13"/>
      <c r="E5395" s="13"/>
      <c r="F5395" s="4"/>
      <c r="G5395" s="4"/>
    </row>
    <row r="5396">
      <c r="A5396" s="4"/>
      <c r="B5396" s="4"/>
      <c r="C5396" s="4"/>
      <c r="D5396" s="13"/>
      <c r="E5396" s="13"/>
      <c r="F5396" s="4"/>
      <c r="G5396" s="4"/>
    </row>
    <row r="5397">
      <c r="A5397" s="4"/>
      <c r="B5397" s="4"/>
      <c r="C5397" s="4"/>
      <c r="D5397" s="13"/>
      <c r="E5397" s="13"/>
      <c r="F5397" s="4"/>
      <c r="G5397" s="4"/>
    </row>
    <row r="5398">
      <c r="A5398" s="4"/>
      <c r="B5398" s="4"/>
      <c r="C5398" s="4"/>
      <c r="D5398" s="13"/>
      <c r="E5398" s="13"/>
      <c r="F5398" s="4"/>
      <c r="G5398" s="4"/>
    </row>
    <row r="5399">
      <c r="A5399" s="4"/>
      <c r="B5399" s="4"/>
      <c r="C5399" s="4"/>
      <c r="D5399" s="4"/>
      <c r="E5399" s="4"/>
      <c r="F5399" s="4"/>
      <c r="G5399" s="4"/>
    </row>
    <row r="5400">
      <c r="A5400" s="4"/>
      <c r="B5400" s="4"/>
      <c r="C5400" s="4"/>
      <c r="D5400" s="13"/>
      <c r="E5400" s="13"/>
      <c r="F5400" s="4"/>
      <c r="G5400" s="4"/>
    </row>
    <row r="5401">
      <c r="A5401" s="4"/>
      <c r="B5401" s="4"/>
      <c r="C5401" s="4"/>
      <c r="D5401" s="4"/>
      <c r="E5401" s="4"/>
      <c r="F5401" s="4"/>
      <c r="G5401" s="4"/>
    </row>
    <row r="5402">
      <c r="A5402" s="4"/>
      <c r="B5402" s="4"/>
      <c r="C5402" s="4"/>
      <c r="D5402" s="13"/>
      <c r="E5402" s="13"/>
      <c r="F5402" s="4"/>
      <c r="G5402" s="4"/>
    </row>
    <row r="5403">
      <c r="A5403" s="4"/>
      <c r="B5403" s="4"/>
      <c r="C5403" s="4"/>
      <c r="D5403" s="4"/>
      <c r="E5403" s="4"/>
      <c r="F5403" s="4"/>
      <c r="G5403" s="4"/>
    </row>
    <row r="5404">
      <c r="A5404" s="4"/>
      <c r="B5404" s="4"/>
      <c r="C5404" s="4"/>
      <c r="D5404" s="13"/>
      <c r="E5404" s="13"/>
      <c r="F5404" s="4"/>
      <c r="G5404" s="4"/>
    </row>
    <row r="5405">
      <c r="A5405" s="4"/>
      <c r="B5405" s="4"/>
      <c r="C5405" s="4"/>
      <c r="D5405" s="4"/>
      <c r="E5405" s="13"/>
      <c r="F5405" s="4"/>
      <c r="G5405" s="4"/>
    </row>
    <row r="5406">
      <c r="A5406" s="4"/>
      <c r="B5406" s="4"/>
      <c r="C5406" s="4"/>
      <c r="D5406" s="4"/>
      <c r="E5406" s="4"/>
      <c r="F5406" s="4"/>
      <c r="G5406" s="4"/>
    </row>
    <row r="5407">
      <c r="A5407" s="4"/>
      <c r="B5407" s="4"/>
      <c r="C5407" s="4"/>
      <c r="D5407" s="4"/>
      <c r="E5407" s="4"/>
      <c r="F5407" s="4"/>
      <c r="G5407" s="4"/>
    </row>
    <row r="5408">
      <c r="A5408" s="4"/>
      <c r="B5408" s="4"/>
      <c r="C5408" s="4"/>
      <c r="D5408" s="4"/>
      <c r="E5408" s="13"/>
      <c r="F5408" s="4"/>
      <c r="G5408" s="4"/>
    </row>
    <row r="5409">
      <c r="A5409" s="4"/>
      <c r="B5409" s="4"/>
      <c r="C5409" s="4"/>
      <c r="D5409" s="4"/>
      <c r="E5409" s="4"/>
      <c r="F5409" s="4"/>
      <c r="G5409" s="4"/>
    </row>
    <row r="5410">
      <c r="A5410" s="4"/>
      <c r="B5410" s="4"/>
      <c r="C5410" s="4"/>
      <c r="D5410" s="4"/>
      <c r="E5410" s="4"/>
      <c r="F5410" s="4"/>
      <c r="G5410" s="4"/>
    </row>
    <row r="5411">
      <c r="A5411" s="4"/>
      <c r="B5411" s="4"/>
      <c r="C5411" s="4"/>
      <c r="D5411" s="4"/>
      <c r="E5411" s="4"/>
      <c r="F5411" s="4"/>
      <c r="G5411" s="4"/>
    </row>
    <row r="5412">
      <c r="A5412" s="4"/>
      <c r="B5412" s="4"/>
      <c r="C5412" s="4"/>
      <c r="D5412" s="4"/>
      <c r="E5412" s="4"/>
      <c r="F5412" s="4"/>
      <c r="G5412" s="4"/>
    </row>
    <row r="5413">
      <c r="A5413" s="4"/>
      <c r="B5413" s="4"/>
      <c r="C5413" s="4"/>
      <c r="D5413" s="4"/>
      <c r="E5413" s="13"/>
      <c r="F5413" s="4"/>
      <c r="G5413" s="4"/>
    </row>
    <row r="5414">
      <c r="A5414" s="4"/>
      <c r="B5414" s="4"/>
      <c r="C5414" s="4"/>
      <c r="D5414" s="4"/>
      <c r="E5414" s="4"/>
      <c r="F5414" s="4"/>
      <c r="G5414" s="4"/>
    </row>
    <row r="5415">
      <c r="A5415" s="4"/>
      <c r="B5415" s="4"/>
      <c r="C5415" s="4"/>
      <c r="D5415" s="4"/>
      <c r="E5415" s="4"/>
      <c r="F5415" s="4"/>
      <c r="G5415" s="4"/>
    </row>
    <row r="5416">
      <c r="A5416" s="4"/>
      <c r="B5416" s="4"/>
      <c r="C5416" s="4"/>
      <c r="D5416" s="4"/>
      <c r="E5416" s="13"/>
      <c r="F5416" s="4"/>
      <c r="G5416" s="4"/>
    </row>
    <row r="5417">
      <c r="A5417" s="4"/>
      <c r="B5417" s="4"/>
      <c r="C5417" s="4"/>
      <c r="D5417" s="13"/>
      <c r="E5417" s="13"/>
      <c r="F5417" s="4"/>
      <c r="G5417" s="4"/>
    </row>
    <row r="5418">
      <c r="A5418" s="4"/>
      <c r="B5418" s="4"/>
      <c r="C5418" s="4"/>
      <c r="D5418" s="4"/>
      <c r="E5418" s="4"/>
      <c r="F5418" s="4"/>
      <c r="G5418" s="4"/>
    </row>
    <row r="5419">
      <c r="A5419" s="4"/>
      <c r="B5419" s="4"/>
      <c r="C5419" s="4"/>
      <c r="D5419" s="4"/>
      <c r="E5419" s="4"/>
      <c r="F5419" s="4"/>
      <c r="G5419" s="4"/>
    </row>
    <row r="5420">
      <c r="A5420" s="4"/>
      <c r="B5420" s="4"/>
      <c r="C5420" s="4"/>
      <c r="D5420" s="4"/>
      <c r="E5420" s="13"/>
      <c r="F5420" s="4"/>
      <c r="G5420" s="4"/>
    </row>
    <row r="5421">
      <c r="A5421" s="4"/>
      <c r="B5421" s="4"/>
      <c r="C5421" s="4"/>
      <c r="D5421" s="4"/>
      <c r="E5421" s="4"/>
      <c r="F5421" s="4"/>
      <c r="G5421" s="4"/>
    </row>
    <row r="5422">
      <c r="A5422" s="4"/>
      <c r="B5422" s="4"/>
      <c r="C5422" s="4"/>
      <c r="D5422" s="4"/>
      <c r="E5422" s="4"/>
      <c r="F5422" s="4"/>
      <c r="G5422" s="4"/>
    </row>
    <row r="5423">
      <c r="A5423" s="4"/>
      <c r="B5423" s="4"/>
      <c r="C5423" s="4"/>
      <c r="D5423" s="4"/>
      <c r="E5423" s="4"/>
      <c r="F5423" s="4"/>
      <c r="G5423" s="4"/>
    </row>
    <row r="5424">
      <c r="A5424" s="4"/>
      <c r="B5424" s="4"/>
      <c r="C5424" s="4"/>
      <c r="D5424" s="4"/>
      <c r="E5424" s="4"/>
      <c r="F5424" s="4"/>
      <c r="G5424" s="4"/>
    </row>
    <row r="5425">
      <c r="A5425" s="4"/>
      <c r="B5425" s="4"/>
      <c r="C5425" s="4"/>
      <c r="D5425" s="4"/>
      <c r="E5425" s="4"/>
      <c r="F5425" s="4"/>
      <c r="G5425" s="4"/>
    </row>
    <row r="5426">
      <c r="A5426" s="4"/>
      <c r="B5426" s="4"/>
      <c r="C5426" s="4"/>
      <c r="D5426" s="4"/>
      <c r="E5426" s="13"/>
      <c r="F5426" s="4"/>
      <c r="G5426" s="4"/>
    </row>
    <row r="5427">
      <c r="A5427" s="4"/>
      <c r="B5427" s="4"/>
      <c r="C5427" s="4"/>
      <c r="D5427" s="4"/>
      <c r="E5427" s="4"/>
      <c r="F5427" s="4"/>
      <c r="G5427" s="4"/>
    </row>
    <row r="5428">
      <c r="A5428" s="4"/>
      <c r="B5428" s="4"/>
      <c r="C5428" s="4"/>
      <c r="D5428" s="4"/>
      <c r="E5428" s="13"/>
      <c r="F5428" s="4"/>
      <c r="G5428" s="4"/>
    </row>
    <row r="5429">
      <c r="A5429" s="4"/>
      <c r="B5429" s="4"/>
      <c r="C5429" s="4"/>
      <c r="D5429" s="4"/>
      <c r="E5429" s="4"/>
      <c r="F5429" s="4"/>
      <c r="G5429" s="4"/>
    </row>
    <row r="5430">
      <c r="A5430" s="4"/>
      <c r="B5430" s="4"/>
      <c r="C5430" s="4"/>
      <c r="D5430" s="4"/>
      <c r="E5430" s="13"/>
      <c r="F5430" s="4"/>
      <c r="G5430" s="4"/>
    </row>
    <row r="5431">
      <c r="A5431" s="4"/>
      <c r="B5431" s="4"/>
      <c r="C5431" s="4"/>
      <c r="D5431" s="4"/>
      <c r="E5431" s="4"/>
      <c r="F5431" s="4"/>
      <c r="G5431" s="4"/>
    </row>
    <row r="5432">
      <c r="A5432" s="4"/>
      <c r="B5432" s="4"/>
      <c r="C5432" s="4"/>
      <c r="D5432" s="4"/>
      <c r="E5432" s="4"/>
      <c r="F5432" s="4"/>
      <c r="G5432" s="4"/>
    </row>
    <row r="5433">
      <c r="A5433" s="4"/>
      <c r="B5433" s="4"/>
      <c r="C5433" s="4"/>
      <c r="D5433" s="4"/>
      <c r="E5433" s="4"/>
      <c r="F5433" s="4"/>
      <c r="G5433" s="4"/>
    </row>
    <row r="5434">
      <c r="A5434" s="4"/>
      <c r="B5434" s="4"/>
      <c r="C5434" s="4"/>
      <c r="D5434" s="4"/>
      <c r="E5434" s="13"/>
      <c r="F5434" s="4"/>
      <c r="G5434" s="4"/>
    </row>
    <row r="5435">
      <c r="A5435" s="4"/>
      <c r="B5435" s="4"/>
      <c r="C5435" s="4"/>
      <c r="D5435" s="4"/>
      <c r="E5435" s="4"/>
      <c r="F5435" s="4"/>
      <c r="G5435" s="4"/>
    </row>
    <row r="5436">
      <c r="A5436" s="4"/>
      <c r="B5436" s="4"/>
      <c r="C5436" s="4"/>
      <c r="D5436" s="4"/>
      <c r="E5436" s="13"/>
      <c r="F5436" s="4"/>
      <c r="G5436" s="4"/>
    </row>
    <row r="5437">
      <c r="A5437" s="4"/>
      <c r="B5437" s="4"/>
      <c r="C5437" s="4"/>
      <c r="D5437" s="4"/>
      <c r="E5437" s="4"/>
      <c r="F5437" s="4"/>
      <c r="G5437" s="4"/>
    </row>
    <row r="5438">
      <c r="A5438" s="4"/>
      <c r="B5438" s="4"/>
      <c r="C5438" s="4"/>
      <c r="D5438" s="4"/>
      <c r="E5438" s="13"/>
      <c r="F5438" s="4"/>
      <c r="G5438" s="4"/>
    </row>
    <row r="5439">
      <c r="A5439" s="4"/>
      <c r="B5439" s="4"/>
      <c r="C5439" s="4"/>
      <c r="D5439" s="13"/>
      <c r="E5439" s="4"/>
      <c r="F5439" s="4"/>
      <c r="G5439" s="4"/>
    </row>
    <row r="5440">
      <c r="A5440" s="4"/>
      <c r="B5440" s="4"/>
      <c r="C5440" s="4"/>
      <c r="D5440" s="4"/>
      <c r="E5440" s="4"/>
      <c r="F5440" s="4"/>
      <c r="G5440" s="4"/>
    </row>
    <row r="5441">
      <c r="A5441" s="4"/>
      <c r="B5441" s="4"/>
      <c r="C5441" s="4"/>
      <c r="D5441" s="4"/>
      <c r="E5441" s="4"/>
      <c r="F5441" s="4"/>
      <c r="G5441" s="4"/>
    </row>
    <row r="5442">
      <c r="A5442" s="4"/>
      <c r="B5442" s="4"/>
      <c r="C5442" s="4"/>
      <c r="D5442" s="4"/>
      <c r="E5442" s="13"/>
      <c r="F5442" s="4"/>
      <c r="G5442" s="4"/>
    </row>
    <row r="5443">
      <c r="A5443" s="4"/>
      <c r="B5443" s="4"/>
      <c r="C5443" s="4"/>
      <c r="D5443" s="13"/>
      <c r="E5443" s="4"/>
      <c r="F5443" s="4"/>
      <c r="G5443" s="4"/>
    </row>
    <row r="5444">
      <c r="A5444" s="4"/>
      <c r="B5444" s="4"/>
      <c r="C5444" s="4"/>
      <c r="D5444" s="4"/>
      <c r="E5444" s="4"/>
      <c r="F5444" s="4"/>
      <c r="G5444" s="4"/>
    </row>
    <row r="5445">
      <c r="A5445" s="4"/>
      <c r="B5445" s="4"/>
      <c r="C5445" s="4"/>
      <c r="D5445" s="4"/>
      <c r="E5445" s="4"/>
      <c r="F5445" s="4"/>
      <c r="G5445" s="4"/>
    </row>
    <row r="5446">
      <c r="A5446" s="4"/>
      <c r="B5446" s="4"/>
      <c r="C5446" s="4"/>
      <c r="D5446" s="4"/>
      <c r="E5446" s="4"/>
      <c r="F5446" s="4"/>
      <c r="G5446" s="4"/>
    </row>
    <row r="5447">
      <c r="A5447" s="4"/>
      <c r="B5447" s="4"/>
      <c r="C5447" s="4"/>
      <c r="D5447" s="4"/>
      <c r="E5447" s="4"/>
      <c r="F5447" s="4"/>
      <c r="G5447" s="4"/>
    </row>
    <row r="5448">
      <c r="A5448" s="4"/>
      <c r="B5448" s="4"/>
      <c r="C5448" s="4"/>
      <c r="D5448" s="4"/>
      <c r="E5448" s="4"/>
      <c r="F5448" s="4"/>
      <c r="G5448" s="4"/>
    </row>
    <row r="5449">
      <c r="A5449" s="4"/>
      <c r="B5449" s="4"/>
      <c r="C5449" s="4"/>
      <c r="D5449" s="4"/>
      <c r="E5449" s="4"/>
      <c r="F5449" s="4"/>
      <c r="G5449" s="4"/>
    </row>
    <row r="5450">
      <c r="A5450" s="4"/>
      <c r="B5450" s="4"/>
      <c r="C5450" s="4"/>
      <c r="D5450" s="4"/>
      <c r="E5450" s="4"/>
      <c r="F5450" s="4"/>
      <c r="G5450" s="4"/>
    </row>
    <row r="5451">
      <c r="A5451" s="4"/>
      <c r="B5451" s="4"/>
      <c r="C5451" s="4"/>
      <c r="D5451" s="4"/>
      <c r="E5451" s="13"/>
      <c r="F5451" s="4"/>
      <c r="G5451" s="4"/>
    </row>
    <row r="5452">
      <c r="A5452" s="4"/>
      <c r="B5452" s="4"/>
      <c r="C5452" s="4"/>
      <c r="D5452" s="4"/>
      <c r="E5452" s="4"/>
      <c r="F5452" s="4"/>
      <c r="G5452" s="4"/>
    </row>
    <row r="5453">
      <c r="A5453" s="4"/>
      <c r="B5453" s="4"/>
      <c r="C5453" s="4"/>
      <c r="D5453" s="4"/>
      <c r="E5453" s="13"/>
      <c r="F5453" s="4"/>
      <c r="G5453" s="4"/>
    </row>
    <row r="5454">
      <c r="A5454" s="4"/>
      <c r="B5454" s="4"/>
      <c r="C5454" s="4"/>
      <c r="D5454" s="4"/>
      <c r="E5454" s="4"/>
      <c r="F5454" s="4"/>
      <c r="G5454" s="4"/>
    </row>
    <row r="5455">
      <c r="A5455" s="4"/>
      <c r="B5455" s="4"/>
      <c r="C5455" s="4"/>
      <c r="D5455" s="4"/>
      <c r="E5455" s="4"/>
      <c r="F5455" s="4"/>
      <c r="G5455" s="4"/>
    </row>
    <row r="5456">
      <c r="A5456" s="4"/>
      <c r="B5456" s="4"/>
      <c r="C5456" s="4"/>
      <c r="D5456" s="4"/>
      <c r="E5456" s="13"/>
      <c r="F5456" s="4"/>
      <c r="G5456" s="4"/>
    </row>
    <row r="5457">
      <c r="A5457" s="4"/>
      <c r="B5457" s="4"/>
      <c r="C5457" s="4"/>
      <c r="D5457" s="13"/>
      <c r="E5457" s="13"/>
      <c r="F5457" s="4"/>
      <c r="G5457" s="4"/>
    </row>
    <row r="5458">
      <c r="A5458" s="4"/>
      <c r="B5458" s="4"/>
      <c r="C5458" s="4"/>
      <c r="D5458" s="4"/>
      <c r="E5458" s="4"/>
      <c r="F5458" s="4"/>
      <c r="G5458" s="4"/>
    </row>
    <row r="5459">
      <c r="A5459" s="4"/>
      <c r="B5459" s="4"/>
      <c r="C5459" s="4"/>
      <c r="D5459" s="4"/>
      <c r="E5459" s="13"/>
      <c r="F5459" s="4"/>
      <c r="G5459" s="4"/>
    </row>
    <row r="5460">
      <c r="A5460" s="4"/>
      <c r="B5460" s="4"/>
      <c r="C5460" s="4"/>
      <c r="D5460" s="4"/>
      <c r="E5460" s="4"/>
      <c r="F5460" s="4"/>
      <c r="G5460" s="4"/>
    </row>
    <row r="5461">
      <c r="A5461" s="4"/>
      <c r="B5461" s="4"/>
      <c r="C5461" s="4"/>
      <c r="D5461" s="4"/>
      <c r="E5461" s="4"/>
      <c r="F5461" s="4"/>
      <c r="G5461" s="4"/>
    </row>
    <row r="5462">
      <c r="A5462" s="4"/>
      <c r="B5462" s="4"/>
      <c r="C5462" s="4"/>
      <c r="D5462" s="4"/>
      <c r="E5462" s="4"/>
      <c r="F5462" s="4"/>
      <c r="G5462" s="4"/>
    </row>
    <row r="5463">
      <c r="A5463" s="4"/>
      <c r="B5463" s="4"/>
      <c r="C5463" s="4"/>
      <c r="D5463" s="4"/>
      <c r="E5463" s="13"/>
      <c r="F5463" s="4"/>
      <c r="G5463" s="4"/>
    </row>
    <row r="5464">
      <c r="A5464" s="4"/>
      <c r="B5464" s="4"/>
      <c r="C5464" s="4"/>
      <c r="D5464" s="4"/>
      <c r="E5464" s="13"/>
      <c r="F5464" s="4"/>
      <c r="G5464" s="4"/>
    </row>
    <row r="5465">
      <c r="A5465" s="4"/>
      <c r="B5465" s="4"/>
      <c r="C5465" s="4"/>
      <c r="D5465" s="4"/>
      <c r="E5465" s="4"/>
      <c r="F5465" s="4"/>
      <c r="G5465" s="4"/>
    </row>
    <row r="5466">
      <c r="A5466" s="4"/>
      <c r="B5466" s="4"/>
      <c r="C5466" s="4"/>
      <c r="D5466" s="4"/>
      <c r="E5466" s="13"/>
      <c r="F5466" s="4"/>
      <c r="G5466" s="4"/>
    </row>
    <row r="5467">
      <c r="A5467" s="4"/>
      <c r="B5467" s="4"/>
      <c r="C5467" s="4"/>
      <c r="D5467" s="4"/>
      <c r="E5467" s="4"/>
      <c r="F5467" s="4"/>
      <c r="G5467" s="4"/>
    </row>
    <row r="5468">
      <c r="A5468" s="4"/>
      <c r="B5468" s="4"/>
      <c r="C5468" s="4"/>
      <c r="D5468" s="4"/>
      <c r="E5468" s="4"/>
      <c r="F5468" s="4"/>
      <c r="G5468" s="4"/>
    </row>
    <row r="5469">
      <c r="A5469" s="4"/>
      <c r="B5469" s="4"/>
      <c r="C5469" s="4"/>
      <c r="D5469" s="4"/>
      <c r="E5469" s="4"/>
      <c r="F5469" s="4"/>
      <c r="G5469" s="4"/>
    </row>
    <row r="5470">
      <c r="A5470" s="4"/>
      <c r="B5470" s="4"/>
      <c r="C5470" s="4"/>
      <c r="D5470" s="4"/>
      <c r="E5470" s="4"/>
      <c r="F5470" s="4"/>
      <c r="G5470" s="4"/>
    </row>
    <row r="5471">
      <c r="A5471" s="4"/>
      <c r="B5471" s="4"/>
      <c r="C5471" s="4"/>
      <c r="D5471" s="4"/>
      <c r="E5471" s="4"/>
      <c r="F5471" s="4"/>
      <c r="G5471" s="4"/>
    </row>
    <row r="5472">
      <c r="A5472" s="4"/>
      <c r="B5472" s="4"/>
      <c r="C5472" s="4"/>
      <c r="D5472" s="4"/>
      <c r="E5472" s="4"/>
      <c r="F5472" s="4"/>
      <c r="G5472" s="4"/>
    </row>
    <row r="5473">
      <c r="A5473" s="4"/>
      <c r="B5473" s="4"/>
      <c r="C5473" s="4"/>
      <c r="D5473" s="4"/>
      <c r="E5473" s="13"/>
      <c r="F5473" s="4"/>
      <c r="G5473" s="4"/>
    </row>
    <row r="5474">
      <c r="A5474" s="4"/>
      <c r="B5474" s="4"/>
      <c r="C5474" s="4"/>
      <c r="D5474" s="4"/>
      <c r="E5474" s="13"/>
      <c r="F5474" s="4"/>
      <c r="G5474" s="4"/>
    </row>
    <row r="5475">
      <c r="A5475" s="4"/>
      <c r="B5475" s="4"/>
      <c r="C5475" s="4"/>
      <c r="D5475" s="4"/>
      <c r="E5475" s="4"/>
      <c r="F5475" s="4"/>
      <c r="G5475" s="4"/>
    </row>
    <row r="5476">
      <c r="A5476" s="4"/>
      <c r="B5476" s="4"/>
      <c r="C5476" s="4"/>
      <c r="D5476" s="13"/>
      <c r="E5476" s="13"/>
      <c r="F5476" s="4"/>
      <c r="G5476" s="4"/>
    </row>
    <row r="5477">
      <c r="A5477" s="4"/>
      <c r="B5477" s="4"/>
      <c r="C5477" s="4"/>
      <c r="D5477" s="4"/>
      <c r="E5477" s="4"/>
      <c r="F5477" s="4"/>
      <c r="G5477" s="4"/>
    </row>
    <row r="5478">
      <c r="A5478" s="4"/>
      <c r="B5478" s="4"/>
      <c r="C5478" s="4"/>
      <c r="D5478" s="13"/>
      <c r="E5478" s="13"/>
      <c r="F5478" s="4"/>
      <c r="G5478" s="4"/>
    </row>
    <row r="5479">
      <c r="A5479" s="4"/>
      <c r="B5479" s="4"/>
      <c r="C5479" s="4"/>
      <c r="D5479" s="13"/>
      <c r="E5479" s="13"/>
      <c r="F5479" s="4"/>
      <c r="G5479" s="4"/>
    </row>
    <row r="5480">
      <c r="A5480" s="4"/>
      <c r="B5480" s="4"/>
      <c r="C5480" s="4"/>
      <c r="D5480" s="4"/>
      <c r="E5480" s="4"/>
      <c r="F5480" s="4"/>
      <c r="G5480" s="4"/>
    </row>
    <row r="5481">
      <c r="A5481" s="4"/>
      <c r="B5481" s="4"/>
      <c r="C5481" s="4"/>
      <c r="D5481" s="4"/>
      <c r="E5481" s="4"/>
      <c r="F5481" s="4"/>
      <c r="G5481" s="4"/>
    </row>
    <row r="5482">
      <c r="A5482" s="4"/>
      <c r="B5482" s="4"/>
      <c r="C5482" s="4"/>
      <c r="D5482" s="4"/>
      <c r="E5482" s="4"/>
      <c r="F5482" s="4"/>
      <c r="G5482" s="4"/>
    </row>
    <row r="5483">
      <c r="A5483" s="4"/>
      <c r="B5483" s="4"/>
      <c r="C5483" s="4"/>
      <c r="D5483" s="4"/>
      <c r="E5483" s="13"/>
      <c r="F5483" s="4"/>
      <c r="G5483" s="4"/>
    </row>
    <row r="5484">
      <c r="A5484" s="4"/>
      <c r="B5484" s="4"/>
      <c r="C5484" s="4"/>
      <c r="D5484" s="4"/>
      <c r="E5484" s="4"/>
      <c r="F5484" s="4"/>
      <c r="G5484" s="4"/>
    </row>
    <row r="5485">
      <c r="A5485" s="4"/>
      <c r="B5485" s="4"/>
      <c r="C5485" s="4"/>
      <c r="D5485" s="4"/>
      <c r="E5485" s="4"/>
      <c r="F5485" s="4"/>
      <c r="G5485" s="4"/>
    </row>
    <row r="5486">
      <c r="A5486" s="4"/>
      <c r="B5486" s="4"/>
      <c r="C5486" s="4"/>
      <c r="D5486" s="4"/>
      <c r="E5486" s="4"/>
      <c r="F5486" s="4"/>
      <c r="G5486" s="4"/>
    </row>
    <row r="5487">
      <c r="A5487" s="4"/>
      <c r="B5487" s="4"/>
      <c r="C5487" s="4"/>
      <c r="D5487" s="4"/>
      <c r="E5487" s="4"/>
      <c r="F5487" s="4"/>
      <c r="G5487" s="4"/>
    </row>
    <row r="5488">
      <c r="A5488" s="4"/>
      <c r="B5488" s="4"/>
      <c r="C5488" s="4"/>
      <c r="D5488" s="4"/>
      <c r="E5488" s="4"/>
      <c r="F5488" s="4"/>
      <c r="G5488" s="4"/>
    </row>
    <row r="5489">
      <c r="A5489" s="4"/>
      <c r="B5489" s="4"/>
      <c r="C5489" s="4"/>
      <c r="D5489" s="4"/>
      <c r="E5489" s="4"/>
      <c r="F5489" s="4"/>
      <c r="G5489" s="4"/>
    </row>
    <row r="5490">
      <c r="A5490" s="4"/>
      <c r="B5490" s="4"/>
      <c r="C5490" s="4"/>
      <c r="D5490" s="4"/>
      <c r="E5490" s="4"/>
      <c r="F5490" s="4"/>
      <c r="G5490" s="4"/>
    </row>
    <row r="5491">
      <c r="A5491" s="4"/>
      <c r="B5491" s="4"/>
      <c r="C5491" s="4"/>
      <c r="D5491" s="4"/>
      <c r="E5491" s="4"/>
      <c r="F5491" s="4"/>
      <c r="G5491" s="4"/>
    </row>
    <row r="5492">
      <c r="A5492" s="4"/>
      <c r="B5492" s="4"/>
      <c r="C5492" s="4"/>
      <c r="D5492" s="4"/>
      <c r="E5492" s="4"/>
      <c r="F5492" s="4"/>
      <c r="G5492" s="4"/>
    </row>
    <row r="5493">
      <c r="A5493" s="4"/>
      <c r="B5493" s="4"/>
      <c r="C5493" s="4"/>
      <c r="D5493" s="4"/>
      <c r="E5493" s="4"/>
      <c r="F5493" s="4"/>
      <c r="G5493" s="4"/>
    </row>
    <row r="5494">
      <c r="A5494" s="4"/>
      <c r="B5494" s="4"/>
      <c r="C5494" s="4"/>
      <c r="D5494" s="4"/>
      <c r="E5494" s="4"/>
      <c r="F5494" s="4"/>
      <c r="G5494" s="4"/>
    </row>
    <row r="5495">
      <c r="A5495" s="4"/>
      <c r="B5495" s="4"/>
      <c r="C5495" s="4"/>
      <c r="D5495" s="4"/>
      <c r="E5495" s="4"/>
      <c r="F5495" s="4"/>
      <c r="G5495" s="4"/>
    </row>
    <row r="5496">
      <c r="A5496" s="4"/>
      <c r="B5496" s="4"/>
      <c r="C5496" s="4"/>
      <c r="D5496" s="4"/>
      <c r="E5496" s="13"/>
      <c r="F5496" s="4"/>
      <c r="G5496" s="4"/>
    </row>
    <row r="5497">
      <c r="A5497" s="4"/>
      <c r="B5497" s="4"/>
      <c r="C5497" s="4"/>
      <c r="D5497" s="4"/>
      <c r="E5497" s="4"/>
      <c r="F5497" s="4"/>
      <c r="G5497" s="4"/>
    </row>
    <row r="5498">
      <c r="A5498" s="4"/>
      <c r="B5498" s="4"/>
      <c r="C5498" s="4"/>
      <c r="D5498" s="4"/>
      <c r="E5498" s="4"/>
      <c r="F5498" s="4"/>
      <c r="G5498" s="4"/>
    </row>
    <row r="5499">
      <c r="A5499" s="4"/>
      <c r="B5499" s="4"/>
      <c r="C5499" s="4"/>
      <c r="D5499" s="4"/>
      <c r="E5499" s="13"/>
      <c r="F5499" s="4"/>
      <c r="G5499" s="4"/>
    </row>
    <row r="5500">
      <c r="A5500" s="4"/>
      <c r="B5500" s="4"/>
      <c r="C5500" s="4"/>
      <c r="D5500" s="4"/>
      <c r="E5500" s="4"/>
      <c r="F5500" s="4"/>
      <c r="G5500" s="4"/>
    </row>
    <row r="5501">
      <c r="A5501" s="4"/>
      <c r="B5501" s="4"/>
      <c r="C5501" s="4"/>
      <c r="D5501" s="4"/>
      <c r="E5501" s="4"/>
      <c r="F5501" s="4"/>
      <c r="G5501" s="4"/>
    </row>
    <row r="5502">
      <c r="A5502" s="4"/>
      <c r="B5502" s="4"/>
      <c r="C5502" s="4"/>
      <c r="D5502" s="4"/>
      <c r="E5502" s="13"/>
      <c r="F5502" s="4"/>
      <c r="G5502" s="4"/>
    </row>
    <row r="5503">
      <c r="A5503" s="4"/>
      <c r="B5503" s="4"/>
      <c r="C5503" s="4"/>
      <c r="D5503" s="4"/>
      <c r="E5503" s="4"/>
      <c r="F5503" s="4"/>
      <c r="G5503" s="4"/>
    </row>
    <row r="5504">
      <c r="A5504" s="4"/>
      <c r="B5504" s="4"/>
      <c r="C5504" s="4"/>
      <c r="D5504" s="4"/>
      <c r="E5504" s="4"/>
      <c r="F5504" s="4"/>
      <c r="G5504" s="4"/>
    </row>
    <row r="5505">
      <c r="A5505" s="4"/>
      <c r="B5505" s="4"/>
      <c r="C5505" s="4"/>
      <c r="D5505" s="4"/>
      <c r="E5505" s="4"/>
      <c r="F5505" s="4"/>
      <c r="G5505" s="4"/>
    </row>
    <row r="5506">
      <c r="A5506" s="4"/>
      <c r="B5506" s="4"/>
      <c r="C5506" s="4"/>
      <c r="D5506" s="4"/>
      <c r="E5506" s="4"/>
      <c r="F5506" s="4"/>
      <c r="G5506" s="4"/>
    </row>
    <row r="5507">
      <c r="A5507" s="4"/>
      <c r="B5507" s="4"/>
      <c r="C5507" s="4"/>
      <c r="D5507" s="13"/>
      <c r="E5507" s="13"/>
      <c r="F5507" s="4"/>
      <c r="G5507" s="4"/>
    </row>
    <row r="5508">
      <c r="A5508" s="4"/>
      <c r="B5508" s="4"/>
      <c r="C5508" s="4"/>
      <c r="D5508" s="4"/>
      <c r="E5508" s="4"/>
      <c r="F5508" s="4"/>
      <c r="G5508" s="4"/>
    </row>
    <row r="5509">
      <c r="A5509" s="4"/>
      <c r="B5509" s="4"/>
      <c r="C5509" s="4"/>
      <c r="D5509" s="4"/>
      <c r="E5509" s="4"/>
      <c r="F5509" s="4"/>
      <c r="G5509" s="4"/>
    </row>
    <row r="5510">
      <c r="A5510" s="4"/>
      <c r="B5510" s="4"/>
      <c r="C5510" s="4"/>
      <c r="D5510" s="13"/>
      <c r="E5510" s="13"/>
      <c r="F5510" s="4"/>
      <c r="G5510" s="4"/>
    </row>
    <row r="5511">
      <c r="A5511" s="4"/>
      <c r="B5511" s="4"/>
      <c r="C5511" s="4"/>
      <c r="D5511" s="4"/>
      <c r="E5511" s="4"/>
      <c r="F5511" s="4"/>
      <c r="G5511" s="4"/>
    </row>
    <row r="5512">
      <c r="A5512" s="4"/>
      <c r="B5512" s="4"/>
      <c r="C5512" s="4"/>
      <c r="D5512" s="13"/>
      <c r="E5512" s="13"/>
      <c r="F5512" s="4"/>
      <c r="G5512" s="4"/>
    </row>
    <row r="5513">
      <c r="A5513" s="4"/>
      <c r="B5513" s="4"/>
      <c r="C5513" s="4"/>
      <c r="D5513" s="13"/>
      <c r="E5513" s="13"/>
      <c r="F5513" s="4"/>
      <c r="G5513" s="4"/>
    </row>
    <row r="5514">
      <c r="A5514" s="4"/>
      <c r="B5514" s="4"/>
      <c r="C5514" s="4"/>
      <c r="D5514" s="13"/>
      <c r="E5514" s="13"/>
      <c r="F5514" s="4"/>
      <c r="G5514" s="4"/>
    </row>
    <row r="5515">
      <c r="A5515" s="4"/>
      <c r="B5515" s="4"/>
      <c r="C5515" s="4"/>
      <c r="D5515" s="4"/>
      <c r="E5515" s="4"/>
      <c r="F5515" s="4"/>
      <c r="G5515" s="4"/>
    </row>
    <row r="5516">
      <c r="A5516" s="4"/>
      <c r="B5516" s="4"/>
      <c r="C5516" s="4"/>
      <c r="D5516" s="4"/>
      <c r="E5516" s="4"/>
      <c r="F5516" s="4"/>
      <c r="G5516" s="4"/>
    </row>
    <row r="5517">
      <c r="A5517" s="4"/>
      <c r="B5517" s="4"/>
      <c r="C5517" s="4"/>
      <c r="D5517" s="4"/>
      <c r="E5517" s="4"/>
      <c r="F5517" s="4"/>
      <c r="G5517" s="4"/>
    </row>
    <row r="5518">
      <c r="A5518" s="4"/>
      <c r="B5518" s="4"/>
      <c r="C5518" s="4"/>
      <c r="D5518" s="4"/>
      <c r="E5518" s="4"/>
      <c r="F5518" s="4"/>
      <c r="G5518" s="4"/>
    </row>
    <row r="5519">
      <c r="A5519" s="4"/>
      <c r="B5519" s="4"/>
      <c r="C5519" s="4"/>
      <c r="D5519" s="13"/>
      <c r="E5519" s="13"/>
      <c r="F5519" s="4"/>
      <c r="G5519" s="4"/>
    </row>
    <row r="5520">
      <c r="A5520" s="4"/>
      <c r="B5520" s="4"/>
      <c r="C5520" s="4"/>
      <c r="D5520" s="4"/>
      <c r="E5520" s="4"/>
      <c r="F5520" s="4"/>
      <c r="G5520" s="4"/>
    </row>
    <row r="5521">
      <c r="A5521" s="4"/>
      <c r="B5521" s="4"/>
      <c r="C5521" s="4"/>
      <c r="D5521" s="13"/>
      <c r="E5521" s="13"/>
      <c r="F5521" s="4"/>
      <c r="G5521" s="4"/>
    </row>
    <row r="5522">
      <c r="A5522" s="4"/>
      <c r="B5522" s="4"/>
      <c r="C5522" s="4"/>
      <c r="D5522" s="4"/>
      <c r="E5522" s="4"/>
      <c r="F5522" s="4"/>
      <c r="G5522" s="4"/>
    </row>
    <row r="5523">
      <c r="A5523" s="4"/>
      <c r="B5523" s="4"/>
      <c r="C5523" s="4"/>
      <c r="D5523" s="4"/>
      <c r="E5523" s="13"/>
      <c r="F5523" s="4"/>
      <c r="G5523" s="4"/>
    </row>
    <row r="5524">
      <c r="A5524" s="4"/>
      <c r="B5524" s="4"/>
      <c r="C5524" s="4"/>
      <c r="D5524" s="4"/>
      <c r="E5524" s="4"/>
      <c r="F5524" s="4"/>
      <c r="G5524" s="4"/>
    </row>
    <row r="5525">
      <c r="A5525" s="4"/>
      <c r="B5525" s="4"/>
      <c r="C5525" s="4"/>
      <c r="D5525" s="4"/>
      <c r="E5525" s="13"/>
      <c r="F5525" s="4"/>
      <c r="G5525" s="4"/>
    </row>
    <row r="5526">
      <c r="A5526" s="4"/>
      <c r="B5526" s="4"/>
      <c r="C5526" s="4"/>
      <c r="D5526" s="4"/>
      <c r="E5526" s="13"/>
      <c r="F5526" s="4"/>
      <c r="G5526" s="4"/>
    </row>
    <row r="5527">
      <c r="A5527" s="4"/>
      <c r="B5527" s="4"/>
      <c r="C5527" s="4"/>
      <c r="D5527" s="4"/>
      <c r="E5527" s="13"/>
      <c r="F5527" s="4"/>
      <c r="G5527" s="4"/>
    </row>
    <row r="5528">
      <c r="A5528" s="4"/>
      <c r="B5528" s="4"/>
      <c r="C5528" s="4"/>
      <c r="D5528" s="4"/>
      <c r="E5528" s="4"/>
      <c r="F5528" s="4"/>
      <c r="G5528" s="4"/>
    </row>
    <row r="5529">
      <c r="A5529" s="4"/>
      <c r="B5529" s="4"/>
      <c r="C5529" s="4"/>
      <c r="D5529" s="4"/>
      <c r="E5529" s="4"/>
      <c r="F5529" s="4"/>
      <c r="G5529" s="4"/>
    </row>
    <row r="5530">
      <c r="A5530" s="4"/>
      <c r="B5530" s="4"/>
      <c r="C5530" s="4"/>
      <c r="D5530" s="4"/>
      <c r="E5530" s="4"/>
      <c r="F5530" s="4"/>
      <c r="G5530" s="4"/>
    </row>
    <row r="5531">
      <c r="A5531" s="4"/>
      <c r="B5531" s="4"/>
      <c r="C5531" s="4"/>
      <c r="D5531" s="4"/>
      <c r="E5531" s="4"/>
      <c r="F5531" s="4"/>
      <c r="G5531" s="4"/>
    </row>
    <row r="5532">
      <c r="A5532" s="4"/>
      <c r="B5532" s="4"/>
      <c r="C5532" s="4"/>
      <c r="D5532" s="4"/>
      <c r="E5532" s="13"/>
      <c r="F5532" s="4"/>
      <c r="G5532" s="4"/>
    </row>
    <row r="5533">
      <c r="A5533" s="4"/>
      <c r="B5533" s="4"/>
      <c r="C5533" s="4"/>
      <c r="D5533" s="4"/>
      <c r="E5533" s="4"/>
      <c r="F5533" s="4"/>
      <c r="G5533" s="4"/>
    </row>
    <row r="5534">
      <c r="A5534" s="4"/>
      <c r="B5534" s="4"/>
      <c r="C5534" s="4"/>
      <c r="D5534" s="4"/>
      <c r="E5534" s="4"/>
      <c r="F5534" s="4"/>
      <c r="G5534" s="4"/>
    </row>
    <row r="5535">
      <c r="A5535" s="4"/>
      <c r="B5535" s="4"/>
      <c r="C5535" s="4"/>
      <c r="D5535" s="4"/>
      <c r="E5535" s="4"/>
      <c r="F5535" s="4"/>
      <c r="G5535" s="4"/>
    </row>
    <row r="5536">
      <c r="A5536" s="4"/>
      <c r="B5536" s="4"/>
      <c r="C5536" s="4"/>
      <c r="D5536" s="4"/>
      <c r="E5536" s="13"/>
      <c r="F5536" s="4"/>
      <c r="G5536" s="4"/>
    </row>
    <row r="5537">
      <c r="A5537" s="4"/>
      <c r="B5537" s="4"/>
      <c r="C5537" s="4"/>
      <c r="D5537" s="4"/>
      <c r="E5537" s="4"/>
      <c r="F5537" s="4"/>
      <c r="G5537" s="4"/>
    </row>
    <row r="5538">
      <c r="A5538" s="4"/>
      <c r="B5538" s="4"/>
      <c r="C5538" s="4"/>
      <c r="D5538" s="4"/>
      <c r="E5538" s="4"/>
      <c r="F5538" s="4"/>
      <c r="G5538" s="4"/>
    </row>
    <row r="5539">
      <c r="A5539" s="4"/>
      <c r="B5539" s="4"/>
      <c r="C5539" s="4"/>
      <c r="D5539" s="4"/>
      <c r="E5539" s="13"/>
      <c r="F5539" s="4"/>
      <c r="G5539" s="4"/>
    </row>
    <row r="5540">
      <c r="A5540" s="4"/>
      <c r="B5540" s="4"/>
      <c r="C5540" s="4"/>
      <c r="D5540" s="4"/>
      <c r="E5540" s="4"/>
      <c r="F5540" s="4"/>
      <c r="G5540" s="4"/>
    </row>
    <row r="5541">
      <c r="A5541" s="4"/>
      <c r="B5541" s="4"/>
      <c r="C5541" s="4"/>
      <c r="D5541" s="4"/>
      <c r="E5541" s="4"/>
      <c r="F5541" s="4"/>
      <c r="G5541" s="4"/>
    </row>
    <row r="5542">
      <c r="A5542" s="4"/>
      <c r="B5542" s="4"/>
      <c r="C5542" s="4"/>
      <c r="D5542" s="13"/>
      <c r="E5542" s="13"/>
      <c r="F5542" s="4"/>
      <c r="G5542" s="4"/>
    </row>
    <row r="5543">
      <c r="A5543" s="4"/>
      <c r="B5543" s="4"/>
      <c r="C5543" s="4"/>
      <c r="D5543" s="4"/>
      <c r="E5543" s="13"/>
      <c r="F5543" s="4"/>
      <c r="G5543" s="4"/>
    </row>
    <row r="5544">
      <c r="A5544" s="4"/>
      <c r="B5544" s="4"/>
      <c r="C5544" s="4"/>
      <c r="D5544" s="4"/>
      <c r="E5544" s="4"/>
      <c r="F5544" s="4"/>
      <c r="G5544" s="4"/>
    </row>
    <row r="5545">
      <c r="A5545" s="4"/>
      <c r="B5545" s="4"/>
      <c r="C5545" s="4"/>
      <c r="D5545" s="4"/>
      <c r="E5545" s="4"/>
      <c r="F5545" s="4"/>
      <c r="G5545" s="4"/>
    </row>
    <row r="5546">
      <c r="A5546" s="4"/>
      <c r="B5546" s="4"/>
      <c r="C5546" s="4"/>
      <c r="D5546" s="4"/>
      <c r="E5546" s="4"/>
      <c r="F5546" s="4"/>
      <c r="G5546" s="4"/>
    </row>
    <row r="5547">
      <c r="A5547" s="4"/>
      <c r="B5547" s="4"/>
      <c r="C5547" s="4"/>
      <c r="D5547" s="4"/>
      <c r="E5547" s="4"/>
      <c r="F5547" s="4"/>
      <c r="G5547" s="4"/>
    </row>
    <row r="5548">
      <c r="A5548" s="4"/>
      <c r="B5548" s="4"/>
      <c r="C5548" s="4"/>
      <c r="D5548" s="4"/>
      <c r="E5548" s="13"/>
      <c r="F5548" s="4"/>
      <c r="G5548" s="4"/>
    </row>
    <row r="5549">
      <c r="A5549" s="4"/>
      <c r="B5549" s="4"/>
      <c r="C5549" s="4"/>
      <c r="D5549" s="4"/>
      <c r="E5549" s="4"/>
      <c r="F5549" s="4"/>
      <c r="G5549" s="4"/>
    </row>
    <row r="5550">
      <c r="A5550" s="4"/>
      <c r="B5550" s="4"/>
      <c r="C5550" s="4"/>
      <c r="D5550" s="4"/>
      <c r="E5550" s="4"/>
      <c r="F5550" s="4"/>
      <c r="G5550" s="4"/>
    </row>
    <row r="5551">
      <c r="A5551" s="4"/>
      <c r="B5551" s="4"/>
      <c r="C5551" s="4"/>
      <c r="D5551" s="13"/>
      <c r="E5551" s="13"/>
      <c r="F5551" s="4"/>
      <c r="G5551" s="4"/>
    </row>
    <row r="5552">
      <c r="A5552" s="4"/>
      <c r="B5552" s="4"/>
      <c r="C5552" s="4"/>
      <c r="D5552" s="13"/>
      <c r="E5552" s="13"/>
      <c r="F5552" s="4"/>
      <c r="G5552" s="4"/>
    </row>
    <row r="5553">
      <c r="A5553" s="4"/>
      <c r="B5553" s="4"/>
      <c r="C5553" s="4"/>
      <c r="D5553" s="4"/>
      <c r="E5553" s="4"/>
      <c r="F5553" s="4"/>
      <c r="G5553" s="4"/>
    </row>
    <row r="5554">
      <c r="A5554" s="4"/>
      <c r="B5554" s="4"/>
      <c r="C5554" s="4"/>
      <c r="D5554" s="4"/>
      <c r="E5554" s="4"/>
      <c r="F5554" s="4"/>
      <c r="G5554" s="4"/>
    </row>
    <row r="5555">
      <c r="A5555" s="4"/>
      <c r="B5555" s="4"/>
      <c r="C5555" s="4"/>
      <c r="D5555" s="4"/>
      <c r="E5555" s="4"/>
      <c r="F5555" s="4"/>
      <c r="G5555" s="4"/>
    </row>
    <row r="5556">
      <c r="A5556" s="4"/>
      <c r="B5556" s="4"/>
      <c r="C5556" s="4"/>
      <c r="D5556" s="13"/>
      <c r="E5556" s="13"/>
      <c r="F5556" s="4"/>
      <c r="G5556" s="4"/>
    </row>
    <row r="5557">
      <c r="A5557" s="4"/>
      <c r="B5557" s="4"/>
      <c r="C5557" s="4"/>
      <c r="D5557" s="4"/>
      <c r="E5557" s="4"/>
      <c r="F5557" s="4"/>
      <c r="G5557" s="4"/>
    </row>
    <row r="5558">
      <c r="A5558" s="4"/>
      <c r="B5558" s="4"/>
      <c r="C5558" s="4"/>
      <c r="D5558" s="13"/>
      <c r="E5558" s="13"/>
      <c r="F5558" s="4"/>
      <c r="G5558" s="4"/>
    </row>
    <row r="5559">
      <c r="A5559" s="4"/>
      <c r="B5559" s="4"/>
      <c r="C5559" s="4"/>
      <c r="D5559" s="4"/>
      <c r="E5559" s="4"/>
      <c r="F5559" s="4"/>
      <c r="G5559" s="4"/>
    </row>
    <row r="5560">
      <c r="A5560" s="4"/>
      <c r="B5560" s="4"/>
      <c r="C5560" s="4"/>
      <c r="D5560" s="4"/>
      <c r="E5560" s="4"/>
      <c r="F5560" s="4"/>
      <c r="G5560" s="4"/>
    </row>
    <row r="5561">
      <c r="A5561" s="4"/>
      <c r="B5561" s="4"/>
      <c r="C5561" s="4"/>
      <c r="D5561" s="4"/>
      <c r="E5561" s="13"/>
      <c r="F5561" s="4"/>
      <c r="G5561" s="4"/>
    </row>
    <row r="5562">
      <c r="A5562" s="4"/>
      <c r="B5562" s="4"/>
      <c r="C5562" s="4"/>
      <c r="D5562" s="4"/>
      <c r="E5562" s="4"/>
      <c r="F5562" s="4"/>
      <c r="G5562" s="4"/>
    </row>
    <row r="5563">
      <c r="A5563" s="4"/>
      <c r="B5563" s="4"/>
      <c r="C5563" s="4"/>
      <c r="D5563" s="4"/>
      <c r="E5563" s="13"/>
      <c r="F5563" s="4"/>
      <c r="G5563" s="4"/>
    </row>
    <row r="5564">
      <c r="A5564" s="4"/>
      <c r="B5564" s="4"/>
      <c r="C5564" s="4"/>
      <c r="D5564" s="13"/>
      <c r="E5564" s="13"/>
      <c r="F5564" s="4"/>
      <c r="G5564" s="4"/>
    </row>
    <row r="5565">
      <c r="A5565" s="4"/>
      <c r="B5565" s="4"/>
      <c r="C5565" s="4"/>
      <c r="D5565" s="4"/>
      <c r="E5565" s="4"/>
      <c r="F5565" s="4"/>
      <c r="G5565" s="4"/>
    </row>
    <row r="5566">
      <c r="A5566" s="4"/>
      <c r="B5566" s="4"/>
      <c r="C5566" s="4"/>
      <c r="D5566" s="13"/>
      <c r="E5566" s="13"/>
      <c r="F5566" s="4"/>
      <c r="G5566" s="4"/>
    </row>
    <row r="5567">
      <c r="A5567" s="4"/>
      <c r="B5567" s="4"/>
      <c r="C5567" s="4"/>
      <c r="D5567" s="13"/>
      <c r="E5567" s="13"/>
      <c r="F5567" s="4"/>
      <c r="G5567" s="4"/>
    </row>
    <row r="5568">
      <c r="A5568" s="4"/>
      <c r="B5568" s="4"/>
      <c r="C5568" s="4"/>
      <c r="D5568" s="13"/>
      <c r="E5568" s="13"/>
      <c r="F5568" s="4"/>
      <c r="G5568" s="4"/>
    </row>
    <row r="5569">
      <c r="A5569" s="4"/>
      <c r="B5569" s="4"/>
      <c r="C5569" s="4"/>
      <c r="D5569" s="4"/>
      <c r="E5569" s="13"/>
      <c r="F5569" s="4"/>
      <c r="G5569" s="4"/>
    </row>
    <row r="5570">
      <c r="A5570" s="4"/>
      <c r="B5570" s="4"/>
      <c r="C5570" s="4"/>
      <c r="D5570" s="4"/>
      <c r="E5570" s="4"/>
      <c r="F5570" s="4"/>
      <c r="G5570" s="4"/>
    </row>
    <row r="5571">
      <c r="A5571" s="4"/>
      <c r="B5571" s="4"/>
      <c r="C5571" s="4"/>
      <c r="D5571" s="4"/>
      <c r="E5571" s="4"/>
      <c r="F5571" s="4"/>
      <c r="G5571" s="4"/>
    </row>
    <row r="5572">
      <c r="A5572" s="4"/>
      <c r="B5572" s="4"/>
      <c r="C5572" s="4"/>
      <c r="D5572" s="4"/>
      <c r="E5572" s="4"/>
      <c r="F5572" s="4"/>
      <c r="G5572" s="4"/>
    </row>
    <row r="5573">
      <c r="A5573" s="4"/>
      <c r="B5573" s="4"/>
      <c r="C5573" s="4"/>
      <c r="D5573" s="4"/>
      <c r="E5573" s="13"/>
      <c r="F5573" s="4"/>
      <c r="G5573" s="4"/>
    </row>
    <row r="5574">
      <c r="A5574" s="4"/>
      <c r="B5574" s="4"/>
      <c r="C5574" s="4"/>
      <c r="D5574" s="4"/>
      <c r="E5574" s="4"/>
      <c r="F5574" s="4"/>
      <c r="G5574" s="4"/>
    </row>
    <row r="5575">
      <c r="A5575" s="4"/>
      <c r="B5575" s="4"/>
      <c r="C5575" s="4"/>
      <c r="D5575" s="4"/>
      <c r="E5575" s="4"/>
      <c r="F5575" s="4"/>
      <c r="G5575" s="4"/>
    </row>
    <row r="5576">
      <c r="A5576" s="4"/>
      <c r="B5576" s="4"/>
      <c r="C5576" s="4"/>
      <c r="D5576" s="4"/>
      <c r="E5576" s="13"/>
      <c r="F5576" s="4"/>
      <c r="G5576" s="4"/>
    </row>
    <row r="5577">
      <c r="A5577" s="4"/>
      <c r="B5577" s="4"/>
      <c r="C5577" s="4"/>
      <c r="D5577" s="4"/>
      <c r="E5577" s="13"/>
      <c r="F5577" s="4"/>
      <c r="G5577" s="4"/>
    </row>
    <row r="5578">
      <c r="A5578" s="4"/>
      <c r="B5578" s="4"/>
      <c r="C5578" s="4"/>
      <c r="D5578" s="4"/>
      <c r="E5578" s="13"/>
      <c r="F5578" s="4"/>
      <c r="G5578" s="4"/>
    </row>
    <row r="5579">
      <c r="A5579" s="4"/>
      <c r="B5579" s="4"/>
      <c r="C5579" s="4"/>
      <c r="D5579" s="4"/>
      <c r="E5579" s="4"/>
      <c r="F5579" s="4"/>
      <c r="G5579" s="4"/>
    </row>
    <row r="5580">
      <c r="A5580" s="4"/>
      <c r="B5580" s="4"/>
      <c r="C5580" s="4"/>
      <c r="D5580" s="4"/>
      <c r="E5580" s="4"/>
      <c r="F5580" s="4"/>
      <c r="G5580" s="4"/>
    </row>
    <row r="5581">
      <c r="A5581" s="4"/>
      <c r="B5581" s="4"/>
      <c r="C5581" s="4"/>
      <c r="D5581" s="13"/>
      <c r="E5581" s="13"/>
      <c r="F5581" s="4"/>
      <c r="G5581" s="4"/>
    </row>
    <row r="5582">
      <c r="A5582" s="4"/>
      <c r="B5582" s="4"/>
      <c r="C5582" s="4"/>
      <c r="D5582" s="4"/>
      <c r="E5582" s="4"/>
      <c r="F5582" s="4"/>
      <c r="G5582" s="4"/>
    </row>
    <row r="5583">
      <c r="A5583" s="4"/>
      <c r="B5583" s="4"/>
      <c r="C5583" s="4"/>
      <c r="D5583" s="4"/>
      <c r="E5583" s="13"/>
      <c r="F5583" s="4"/>
      <c r="G5583" s="4"/>
    </row>
    <row r="5584">
      <c r="A5584" s="4"/>
      <c r="B5584" s="4"/>
      <c r="C5584" s="4"/>
      <c r="D5584" s="4"/>
      <c r="E5584" s="4"/>
      <c r="F5584" s="4"/>
      <c r="G5584" s="4"/>
    </row>
    <row r="5585">
      <c r="A5585" s="4"/>
      <c r="B5585" s="4"/>
      <c r="C5585" s="4"/>
      <c r="D5585" s="4"/>
      <c r="E5585" s="4"/>
      <c r="F5585" s="4"/>
      <c r="G5585" s="4"/>
    </row>
    <row r="5586">
      <c r="A5586" s="4"/>
      <c r="B5586" s="4"/>
      <c r="C5586" s="4"/>
      <c r="D5586" s="4"/>
      <c r="E5586" s="13"/>
      <c r="F5586" s="4"/>
      <c r="G5586" s="4"/>
    </row>
    <row r="5587">
      <c r="A5587" s="4"/>
      <c r="B5587" s="4"/>
      <c r="C5587" s="4"/>
      <c r="D5587" s="4"/>
      <c r="E5587" s="4"/>
      <c r="F5587" s="4"/>
      <c r="G5587" s="4"/>
    </row>
    <row r="5588">
      <c r="A5588" s="4"/>
      <c r="B5588" s="4"/>
      <c r="C5588" s="4"/>
      <c r="D5588" s="4"/>
      <c r="E5588" s="4"/>
      <c r="F5588" s="4"/>
      <c r="G5588" s="4"/>
    </row>
    <row r="5589">
      <c r="A5589" s="4"/>
      <c r="B5589" s="4"/>
      <c r="C5589" s="4"/>
      <c r="D5589" s="4"/>
      <c r="E5589" s="13"/>
      <c r="F5589" s="4"/>
      <c r="G5589" s="4"/>
    </row>
    <row r="5590">
      <c r="A5590" s="4"/>
      <c r="B5590" s="4"/>
      <c r="C5590" s="4"/>
      <c r="D5590" s="4"/>
      <c r="E5590" s="4"/>
      <c r="F5590" s="4"/>
      <c r="G5590" s="4"/>
    </row>
    <row r="5591">
      <c r="A5591" s="4"/>
      <c r="B5591" s="4"/>
      <c r="C5591" s="4"/>
      <c r="D5591" s="13"/>
      <c r="E5591" s="13"/>
      <c r="F5591" s="4"/>
      <c r="G5591" s="4"/>
    </row>
    <row r="5592">
      <c r="A5592" s="4"/>
      <c r="B5592" s="4"/>
      <c r="C5592" s="4"/>
      <c r="D5592" s="4"/>
      <c r="E5592" s="4"/>
      <c r="F5592" s="4"/>
      <c r="G5592" s="4"/>
    </row>
    <row r="5593">
      <c r="A5593" s="4"/>
      <c r="B5593" s="4"/>
      <c r="C5593" s="4"/>
      <c r="D5593" s="13"/>
      <c r="E5593" s="13"/>
      <c r="F5593" s="4"/>
      <c r="G5593" s="4"/>
    </row>
    <row r="5594">
      <c r="A5594" s="4"/>
      <c r="B5594" s="4"/>
      <c r="C5594" s="4"/>
      <c r="D5594" s="4"/>
      <c r="E5594" s="4"/>
      <c r="F5594" s="4"/>
      <c r="G5594" s="4"/>
    </row>
    <row r="5595">
      <c r="A5595" s="4"/>
      <c r="B5595" s="4"/>
      <c r="C5595" s="4"/>
      <c r="D5595" s="4"/>
      <c r="E5595" s="13"/>
      <c r="F5595" s="4"/>
      <c r="G5595" s="4"/>
    </row>
    <row r="5596">
      <c r="A5596" s="4"/>
      <c r="B5596" s="4"/>
      <c r="C5596" s="4"/>
      <c r="D5596" s="4"/>
      <c r="E5596" s="4"/>
      <c r="F5596" s="4"/>
      <c r="G5596" s="4"/>
    </row>
    <row r="5597">
      <c r="A5597" s="4"/>
      <c r="B5597" s="4"/>
      <c r="C5597" s="4"/>
      <c r="D5597" s="4"/>
      <c r="E5597" s="4"/>
      <c r="F5597" s="4"/>
      <c r="G5597" s="4"/>
    </row>
    <row r="5598">
      <c r="A5598" s="4"/>
      <c r="B5598" s="4"/>
      <c r="C5598" s="4"/>
      <c r="D5598" s="4"/>
      <c r="E5598" s="13"/>
      <c r="F5598" s="4"/>
      <c r="G5598" s="4"/>
    </row>
    <row r="5599">
      <c r="A5599" s="4"/>
      <c r="B5599" s="4"/>
      <c r="C5599" s="4"/>
      <c r="D5599" s="4"/>
      <c r="E5599" s="4"/>
      <c r="F5599" s="4"/>
      <c r="G5599" s="4"/>
    </row>
    <row r="5600">
      <c r="A5600" s="4"/>
      <c r="B5600" s="4"/>
      <c r="C5600" s="4"/>
      <c r="D5600" s="4"/>
      <c r="E5600" s="4"/>
      <c r="F5600" s="4"/>
      <c r="G5600" s="4"/>
    </row>
    <row r="5601">
      <c r="A5601" s="4"/>
      <c r="B5601" s="4"/>
      <c r="C5601" s="4"/>
      <c r="D5601" s="4"/>
      <c r="E5601" s="4"/>
      <c r="F5601" s="4"/>
      <c r="G5601" s="4"/>
    </row>
    <row r="5602">
      <c r="A5602" s="4"/>
      <c r="B5602" s="4"/>
      <c r="C5602" s="4"/>
      <c r="D5602" s="4"/>
      <c r="E5602" s="4"/>
      <c r="F5602" s="4"/>
      <c r="G5602" s="4"/>
    </row>
    <row r="5603">
      <c r="A5603" s="4"/>
      <c r="B5603" s="4"/>
      <c r="C5603" s="4"/>
      <c r="D5603" s="4"/>
      <c r="E5603" s="13"/>
      <c r="F5603" s="4"/>
      <c r="G5603" s="4"/>
    </row>
    <row r="5604">
      <c r="A5604" s="4"/>
      <c r="B5604" s="4"/>
      <c r="C5604" s="4"/>
      <c r="D5604" s="13"/>
      <c r="E5604" s="4"/>
      <c r="F5604" s="4"/>
      <c r="G5604" s="4"/>
    </row>
    <row r="5605">
      <c r="A5605" s="4"/>
      <c r="B5605" s="4"/>
      <c r="C5605" s="4"/>
      <c r="D5605" s="13"/>
      <c r="E5605" s="13"/>
      <c r="F5605" s="4"/>
      <c r="G5605" s="4"/>
    </row>
    <row r="5606">
      <c r="A5606" s="4"/>
      <c r="B5606" s="4"/>
      <c r="C5606" s="4"/>
      <c r="D5606" s="13"/>
      <c r="E5606" s="13"/>
      <c r="F5606" s="4"/>
      <c r="G5606" s="4"/>
    </row>
    <row r="5607">
      <c r="A5607" s="4"/>
      <c r="B5607" s="4"/>
      <c r="C5607" s="4"/>
      <c r="D5607" s="13"/>
      <c r="E5607" s="13"/>
      <c r="F5607" s="4"/>
      <c r="G5607" s="4"/>
    </row>
    <row r="5608">
      <c r="A5608" s="4"/>
      <c r="B5608" s="4"/>
      <c r="C5608" s="4"/>
      <c r="D5608" s="4"/>
      <c r="E5608" s="4"/>
      <c r="F5608" s="4"/>
      <c r="G5608" s="4"/>
    </row>
    <row r="5609">
      <c r="A5609" s="4"/>
      <c r="B5609" s="4"/>
      <c r="C5609" s="4"/>
      <c r="D5609" s="4"/>
      <c r="E5609" s="4"/>
      <c r="F5609" s="4"/>
      <c r="G5609" s="4"/>
    </row>
    <row r="5610">
      <c r="A5610" s="4"/>
      <c r="B5610" s="4"/>
      <c r="C5610" s="4"/>
      <c r="D5610" s="4"/>
      <c r="E5610" s="13"/>
      <c r="F5610" s="4"/>
      <c r="G5610" s="4"/>
    </row>
    <row r="5611">
      <c r="A5611" s="4"/>
      <c r="B5611" s="4"/>
      <c r="C5611" s="4"/>
      <c r="D5611" s="4"/>
      <c r="E5611" s="4"/>
      <c r="F5611" s="4"/>
      <c r="G5611" s="4"/>
    </row>
    <row r="5612">
      <c r="A5612" s="4"/>
      <c r="B5612" s="4"/>
      <c r="C5612" s="4"/>
      <c r="D5612" s="4"/>
      <c r="E5612" s="4"/>
      <c r="F5612" s="4"/>
      <c r="G5612" s="4"/>
    </row>
    <row r="5613">
      <c r="A5613" s="4"/>
      <c r="B5613" s="4"/>
      <c r="C5613" s="4"/>
      <c r="D5613" s="13"/>
      <c r="E5613" s="13"/>
      <c r="F5613" s="4"/>
      <c r="G5613" s="4"/>
    </row>
    <row r="5614">
      <c r="A5614" s="4"/>
      <c r="B5614" s="4"/>
      <c r="C5614" s="4"/>
      <c r="D5614" s="4"/>
      <c r="E5614" s="4"/>
      <c r="F5614" s="4"/>
      <c r="G5614" s="4"/>
    </row>
    <row r="5615">
      <c r="A5615" s="4"/>
      <c r="B5615" s="4"/>
      <c r="C5615" s="4"/>
      <c r="D5615" s="4"/>
      <c r="E5615" s="13"/>
      <c r="F5615" s="4"/>
      <c r="G5615" s="4"/>
    </row>
    <row r="5616">
      <c r="A5616" s="4"/>
      <c r="B5616" s="4"/>
      <c r="C5616" s="4"/>
      <c r="D5616" s="4"/>
      <c r="E5616" s="4"/>
      <c r="F5616" s="4"/>
      <c r="G5616" s="4"/>
    </row>
    <row r="5617">
      <c r="A5617" s="4"/>
      <c r="B5617" s="4"/>
      <c r="C5617" s="4"/>
      <c r="D5617" s="4"/>
      <c r="E5617" s="4"/>
      <c r="F5617" s="4"/>
      <c r="G5617" s="4"/>
    </row>
    <row r="5618">
      <c r="A5618" s="4"/>
      <c r="B5618" s="4"/>
      <c r="C5618" s="4"/>
      <c r="D5618" s="4"/>
      <c r="E5618" s="13"/>
      <c r="F5618" s="4"/>
      <c r="G5618" s="4"/>
    </row>
    <row r="5619">
      <c r="A5619" s="4"/>
      <c r="B5619" s="4"/>
      <c r="C5619" s="4"/>
      <c r="D5619" s="4"/>
      <c r="E5619" s="13"/>
      <c r="F5619" s="4"/>
      <c r="G5619" s="4"/>
    </row>
    <row r="5620">
      <c r="A5620" s="4"/>
      <c r="B5620" s="4"/>
      <c r="C5620" s="4"/>
      <c r="D5620" s="4"/>
      <c r="E5620" s="4"/>
      <c r="F5620" s="4"/>
      <c r="G5620" s="4"/>
    </row>
    <row r="5621">
      <c r="A5621" s="4"/>
      <c r="B5621" s="4"/>
      <c r="C5621" s="4"/>
      <c r="D5621" s="4"/>
      <c r="E5621" s="4"/>
      <c r="F5621" s="4"/>
      <c r="G5621" s="4"/>
    </row>
    <row r="5622">
      <c r="A5622" s="4"/>
      <c r="B5622" s="4"/>
      <c r="C5622" s="4"/>
      <c r="D5622" s="4"/>
      <c r="E5622" s="13"/>
      <c r="F5622" s="4"/>
      <c r="G5622" s="4"/>
    </row>
    <row r="5623">
      <c r="A5623" s="4"/>
      <c r="B5623" s="4"/>
      <c r="C5623" s="4"/>
      <c r="D5623" s="4"/>
      <c r="E5623" s="4"/>
      <c r="F5623" s="4"/>
      <c r="G5623" s="4"/>
    </row>
    <row r="5624">
      <c r="A5624" s="4"/>
      <c r="B5624" s="4"/>
      <c r="C5624" s="4"/>
      <c r="D5624" s="4"/>
      <c r="E5624" s="4"/>
      <c r="F5624" s="4"/>
      <c r="G5624" s="4"/>
    </row>
    <row r="5625">
      <c r="A5625" s="4"/>
      <c r="B5625" s="4"/>
      <c r="C5625" s="4"/>
      <c r="D5625" s="4"/>
      <c r="E5625" s="4"/>
      <c r="F5625" s="4"/>
      <c r="G5625" s="4"/>
    </row>
    <row r="5626">
      <c r="A5626" s="4"/>
      <c r="B5626" s="4"/>
      <c r="C5626" s="4"/>
      <c r="D5626" s="4"/>
      <c r="E5626" s="4"/>
      <c r="F5626" s="4"/>
      <c r="G5626" s="4"/>
    </row>
    <row r="5627">
      <c r="A5627" s="4"/>
      <c r="B5627" s="4"/>
      <c r="C5627" s="4"/>
      <c r="D5627" s="4"/>
      <c r="E5627" s="13"/>
      <c r="F5627" s="4"/>
      <c r="G5627" s="4"/>
    </row>
    <row r="5628">
      <c r="A5628" s="4"/>
      <c r="B5628" s="4"/>
      <c r="C5628" s="4"/>
      <c r="D5628" s="4"/>
      <c r="E5628" s="4"/>
      <c r="F5628" s="4"/>
      <c r="G5628" s="4"/>
    </row>
    <row r="5629">
      <c r="A5629" s="4"/>
      <c r="B5629" s="4"/>
      <c r="C5629" s="4"/>
      <c r="D5629" s="4"/>
      <c r="E5629" s="13"/>
      <c r="F5629" s="4"/>
      <c r="G5629" s="4"/>
    </row>
    <row r="5630">
      <c r="A5630" s="4"/>
      <c r="B5630" s="4"/>
      <c r="C5630" s="4"/>
      <c r="D5630" s="4"/>
      <c r="E5630" s="4"/>
      <c r="F5630" s="4"/>
      <c r="G5630" s="4"/>
    </row>
    <row r="5631">
      <c r="A5631" s="4"/>
      <c r="B5631" s="4"/>
      <c r="C5631" s="4"/>
      <c r="D5631" s="13"/>
      <c r="E5631" s="13"/>
      <c r="F5631" s="4"/>
      <c r="G5631" s="4"/>
    </row>
    <row r="5632">
      <c r="A5632" s="4"/>
      <c r="B5632" s="4"/>
      <c r="C5632" s="4"/>
      <c r="D5632" s="4"/>
      <c r="E5632" s="4"/>
      <c r="F5632" s="4"/>
      <c r="G5632" s="4"/>
    </row>
    <row r="5633">
      <c r="A5633" s="4"/>
      <c r="B5633" s="4"/>
      <c r="C5633" s="4"/>
      <c r="D5633" s="4"/>
      <c r="E5633" s="4"/>
      <c r="F5633" s="4"/>
      <c r="G5633" s="4"/>
    </row>
    <row r="5634">
      <c r="A5634" s="4"/>
      <c r="B5634" s="4"/>
      <c r="C5634" s="4"/>
      <c r="D5634" s="4"/>
      <c r="E5634" s="4"/>
      <c r="F5634" s="4"/>
      <c r="G5634" s="4"/>
    </row>
    <row r="5635">
      <c r="A5635" s="4"/>
      <c r="B5635" s="4"/>
      <c r="C5635" s="4"/>
      <c r="D5635" s="13"/>
      <c r="E5635" s="13"/>
      <c r="F5635" s="4"/>
      <c r="G5635" s="4"/>
    </row>
    <row r="5636">
      <c r="A5636" s="4"/>
      <c r="B5636" s="4"/>
      <c r="C5636" s="4"/>
      <c r="D5636" s="4"/>
      <c r="E5636" s="4"/>
      <c r="F5636" s="4"/>
      <c r="G5636" s="4"/>
    </row>
    <row r="5637">
      <c r="A5637" s="4"/>
      <c r="B5637" s="4"/>
      <c r="C5637" s="4"/>
      <c r="D5637" s="13"/>
      <c r="E5637" s="13"/>
      <c r="F5637" s="4"/>
      <c r="G5637" s="4"/>
    </row>
    <row r="5638">
      <c r="A5638" s="4"/>
      <c r="B5638" s="4"/>
      <c r="C5638" s="4"/>
      <c r="D5638" s="4"/>
      <c r="E5638" s="4"/>
      <c r="F5638" s="4"/>
      <c r="G5638" s="4"/>
    </row>
    <row r="5639">
      <c r="A5639" s="4"/>
      <c r="B5639" s="4"/>
      <c r="C5639" s="4"/>
      <c r="D5639" s="13"/>
      <c r="E5639" s="13"/>
      <c r="F5639" s="4"/>
      <c r="G5639" s="4"/>
    </row>
    <row r="5640">
      <c r="A5640" s="4"/>
      <c r="B5640" s="4"/>
      <c r="C5640" s="4"/>
      <c r="D5640" s="13"/>
      <c r="E5640" s="13"/>
      <c r="F5640" s="4"/>
      <c r="G5640" s="4"/>
    </row>
    <row r="5641">
      <c r="A5641" s="4"/>
      <c r="B5641" s="4"/>
      <c r="C5641" s="4"/>
      <c r="D5641" s="13"/>
      <c r="E5641" s="13"/>
      <c r="F5641" s="4"/>
      <c r="G5641" s="4"/>
    </row>
    <row r="5642">
      <c r="A5642" s="4"/>
      <c r="B5642" s="4"/>
      <c r="C5642" s="4"/>
      <c r="D5642" s="4"/>
      <c r="E5642" s="4"/>
      <c r="F5642" s="4"/>
      <c r="G5642" s="4"/>
    </row>
    <row r="5643">
      <c r="A5643" s="4"/>
      <c r="B5643" s="4"/>
      <c r="C5643" s="4"/>
      <c r="D5643" s="13"/>
      <c r="E5643" s="13"/>
      <c r="F5643" s="4"/>
      <c r="G5643" s="4"/>
    </row>
    <row r="5644">
      <c r="A5644" s="4"/>
      <c r="B5644" s="4"/>
      <c r="C5644" s="4"/>
      <c r="D5644" s="13"/>
      <c r="E5644" s="13"/>
      <c r="F5644" s="4"/>
      <c r="G5644" s="4"/>
    </row>
    <row r="5645">
      <c r="A5645" s="4"/>
      <c r="B5645" s="4"/>
      <c r="C5645" s="4"/>
      <c r="D5645" s="4"/>
      <c r="E5645" s="4"/>
      <c r="F5645" s="4"/>
      <c r="G5645" s="4"/>
    </row>
    <row r="5646">
      <c r="A5646" s="4"/>
      <c r="B5646" s="4"/>
      <c r="C5646" s="4"/>
      <c r="D5646" s="13"/>
      <c r="E5646" s="13"/>
      <c r="F5646" s="4"/>
      <c r="G5646" s="4"/>
    </row>
    <row r="5647">
      <c r="A5647" s="4"/>
      <c r="B5647" s="4"/>
      <c r="C5647" s="4"/>
      <c r="D5647" s="4"/>
      <c r="E5647" s="4"/>
      <c r="F5647" s="4"/>
      <c r="G5647" s="4"/>
    </row>
    <row r="5648">
      <c r="A5648" s="4"/>
      <c r="B5648" s="4"/>
      <c r="C5648" s="4"/>
      <c r="D5648" s="4"/>
      <c r="E5648" s="4"/>
      <c r="F5648" s="4"/>
      <c r="G5648" s="4"/>
    </row>
    <row r="5649">
      <c r="A5649" s="4"/>
      <c r="B5649" s="4"/>
      <c r="C5649" s="4"/>
      <c r="D5649" s="13"/>
      <c r="E5649" s="13"/>
      <c r="F5649" s="4"/>
      <c r="G5649" s="4"/>
    </row>
    <row r="5650">
      <c r="A5650" s="4"/>
      <c r="B5650" s="4"/>
      <c r="C5650" s="4"/>
      <c r="D5650" s="4"/>
      <c r="E5650" s="4"/>
      <c r="F5650" s="4"/>
      <c r="G5650" s="4"/>
    </row>
    <row r="5651">
      <c r="A5651" s="4"/>
      <c r="B5651" s="4"/>
      <c r="C5651" s="4"/>
      <c r="D5651" s="13"/>
      <c r="E5651" s="13"/>
      <c r="F5651" s="4"/>
      <c r="G5651" s="4"/>
    </row>
    <row r="5652">
      <c r="A5652" s="4"/>
      <c r="B5652" s="4"/>
      <c r="C5652" s="4"/>
      <c r="D5652" s="4"/>
      <c r="E5652" s="4"/>
      <c r="F5652" s="4"/>
      <c r="G5652" s="4"/>
    </row>
    <row r="5653">
      <c r="A5653" s="4"/>
      <c r="B5653" s="4"/>
      <c r="C5653" s="4"/>
      <c r="D5653" s="13"/>
      <c r="E5653" s="13"/>
      <c r="F5653" s="4"/>
      <c r="G5653" s="4"/>
    </row>
    <row r="5654">
      <c r="A5654" s="4"/>
      <c r="B5654" s="4"/>
      <c r="C5654" s="4"/>
      <c r="D5654" s="13"/>
      <c r="E5654" s="13"/>
      <c r="F5654" s="4"/>
      <c r="G5654" s="4"/>
    </row>
    <row r="5655">
      <c r="A5655" s="4"/>
      <c r="B5655" s="4"/>
      <c r="C5655" s="4"/>
      <c r="D5655" s="13"/>
      <c r="E5655" s="13"/>
      <c r="F5655" s="4"/>
      <c r="G5655" s="4"/>
    </row>
    <row r="5656">
      <c r="A5656" s="4"/>
      <c r="B5656" s="4"/>
      <c r="C5656" s="4"/>
      <c r="D5656" s="4"/>
      <c r="E5656" s="13"/>
      <c r="F5656" s="4"/>
      <c r="G5656" s="4"/>
    </row>
    <row r="5657">
      <c r="A5657" s="4"/>
      <c r="B5657" s="4"/>
      <c r="C5657" s="4"/>
      <c r="D5657" s="4"/>
      <c r="E5657" s="4"/>
      <c r="F5657" s="4"/>
      <c r="G5657" s="4"/>
    </row>
    <row r="5658">
      <c r="A5658" s="4"/>
      <c r="B5658" s="4"/>
      <c r="C5658" s="4"/>
      <c r="D5658" s="4"/>
      <c r="E5658" s="4"/>
      <c r="F5658" s="4"/>
      <c r="G5658" s="4"/>
    </row>
    <row r="5659">
      <c r="A5659" s="4"/>
      <c r="B5659" s="4"/>
      <c r="C5659" s="4"/>
      <c r="D5659" s="4"/>
      <c r="E5659" s="4"/>
      <c r="F5659" s="4"/>
      <c r="G5659" s="4"/>
    </row>
    <row r="5660">
      <c r="A5660" s="4"/>
      <c r="B5660" s="4"/>
      <c r="C5660" s="4"/>
      <c r="D5660" s="4"/>
      <c r="E5660" s="4"/>
      <c r="F5660" s="4"/>
      <c r="G5660" s="4"/>
    </row>
    <row r="5661">
      <c r="A5661" s="4"/>
      <c r="B5661" s="4"/>
      <c r="C5661" s="4"/>
      <c r="D5661" s="4"/>
      <c r="E5661" s="4"/>
      <c r="F5661" s="4"/>
      <c r="G5661" s="4"/>
    </row>
    <row r="5662">
      <c r="A5662" s="4"/>
      <c r="B5662" s="4"/>
      <c r="C5662" s="4"/>
      <c r="D5662" s="4"/>
      <c r="E5662" s="13"/>
      <c r="F5662" s="4"/>
      <c r="G5662" s="4"/>
    </row>
    <row r="5663">
      <c r="A5663" s="4"/>
      <c r="B5663" s="4"/>
      <c r="C5663" s="4"/>
      <c r="D5663" s="13"/>
      <c r="E5663" s="13"/>
      <c r="F5663" s="4"/>
      <c r="G5663" s="4"/>
    </row>
    <row r="5664">
      <c r="A5664" s="4"/>
      <c r="B5664" s="4"/>
      <c r="C5664" s="4"/>
      <c r="D5664" s="13"/>
      <c r="E5664" s="13"/>
      <c r="F5664" s="4"/>
      <c r="G5664" s="4"/>
    </row>
    <row r="5665">
      <c r="A5665" s="4"/>
      <c r="B5665" s="4"/>
      <c r="C5665" s="4"/>
      <c r="D5665" s="4"/>
      <c r="E5665" s="13"/>
      <c r="F5665" s="4"/>
      <c r="G5665" s="4"/>
    </row>
    <row r="5666">
      <c r="A5666" s="4"/>
      <c r="B5666" s="4"/>
      <c r="C5666" s="4"/>
      <c r="D5666" s="4"/>
      <c r="E5666" s="4"/>
      <c r="F5666" s="4"/>
      <c r="G5666" s="4"/>
    </row>
    <row r="5667">
      <c r="A5667" s="4"/>
      <c r="B5667" s="4"/>
      <c r="C5667" s="4"/>
      <c r="D5667" s="4"/>
      <c r="E5667" s="4"/>
      <c r="F5667" s="4"/>
      <c r="G5667" s="4"/>
    </row>
    <row r="5668">
      <c r="A5668" s="4"/>
      <c r="B5668" s="4"/>
      <c r="C5668" s="4"/>
      <c r="D5668" s="4"/>
      <c r="E5668" s="13"/>
      <c r="F5668" s="4"/>
      <c r="G5668" s="4"/>
    </row>
    <row r="5669">
      <c r="A5669" s="4"/>
      <c r="B5669" s="4"/>
      <c r="C5669" s="4"/>
      <c r="D5669" s="4"/>
      <c r="E5669" s="13"/>
      <c r="F5669" s="4"/>
      <c r="G5669" s="4"/>
    </row>
    <row r="5670">
      <c r="A5670" s="4"/>
      <c r="B5670" s="4"/>
      <c r="C5670" s="4"/>
      <c r="D5670" s="4"/>
      <c r="E5670" s="4"/>
      <c r="F5670" s="4"/>
      <c r="G5670" s="4"/>
    </row>
    <row r="5671">
      <c r="A5671" s="4"/>
      <c r="B5671" s="4"/>
      <c r="C5671" s="4"/>
      <c r="D5671" s="4"/>
      <c r="E5671" s="13"/>
      <c r="F5671" s="4"/>
      <c r="G5671" s="4"/>
    </row>
    <row r="5672">
      <c r="A5672" s="4"/>
      <c r="B5672" s="4"/>
      <c r="C5672" s="4"/>
      <c r="D5672" s="4"/>
      <c r="E5672" s="4"/>
      <c r="F5672" s="4"/>
      <c r="G5672" s="4"/>
    </row>
    <row r="5673">
      <c r="A5673" s="4"/>
      <c r="B5673" s="4"/>
      <c r="C5673" s="4"/>
      <c r="D5673" s="4"/>
      <c r="E5673" s="4"/>
      <c r="F5673" s="4"/>
      <c r="G5673" s="4"/>
    </row>
    <row r="5674">
      <c r="A5674" s="4"/>
      <c r="B5674" s="4"/>
      <c r="C5674" s="4"/>
      <c r="D5674" s="4"/>
      <c r="E5674" s="4"/>
      <c r="F5674" s="4"/>
      <c r="G5674" s="4"/>
    </row>
    <row r="5675">
      <c r="A5675" s="4"/>
      <c r="B5675" s="4"/>
      <c r="C5675" s="4"/>
      <c r="D5675" s="13"/>
      <c r="E5675" s="4"/>
      <c r="F5675" s="4"/>
      <c r="G5675" s="4"/>
    </row>
    <row r="5676">
      <c r="A5676" s="4"/>
      <c r="B5676" s="4"/>
      <c r="C5676" s="4"/>
      <c r="D5676" s="13"/>
      <c r="E5676" s="4"/>
      <c r="F5676" s="4"/>
      <c r="G5676" s="4"/>
    </row>
    <row r="5677">
      <c r="A5677" s="4"/>
      <c r="B5677" s="4"/>
      <c r="C5677" s="4"/>
      <c r="D5677" s="4"/>
      <c r="E5677" s="4"/>
      <c r="F5677" s="4"/>
      <c r="G5677" s="4"/>
    </row>
    <row r="5678">
      <c r="A5678" s="4"/>
      <c r="B5678" s="4"/>
      <c r="C5678" s="4"/>
      <c r="D5678" s="4"/>
      <c r="E5678" s="13"/>
      <c r="F5678" s="4"/>
      <c r="G5678" s="4"/>
    </row>
    <row r="5679">
      <c r="A5679" s="4"/>
      <c r="B5679" s="4"/>
      <c r="C5679" s="4"/>
      <c r="D5679" s="4"/>
      <c r="E5679" s="13"/>
      <c r="F5679" s="4"/>
      <c r="G5679" s="4"/>
    </row>
    <row r="5680">
      <c r="A5680" s="4"/>
      <c r="B5680" s="4"/>
      <c r="C5680" s="4"/>
      <c r="D5680" s="4"/>
      <c r="E5680" s="4"/>
      <c r="F5680" s="4"/>
      <c r="G5680" s="4"/>
    </row>
    <row r="5681">
      <c r="A5681" s="4"/>
      <c r="B5681" s="4"/>
      <c r="C5681" s="4"/>
      <c r="D5681" s="4"/>
      <c r="E5681" s="4"/>
      <c r="F5681" s="4"/>
      <c r="G5681" s="4"/>
    </row>
    <row r="5682">
      <c r="A5682" s="4"/>
      <c r="B5682" s="4"/>
      <c r="C5682" s="4"/>
      <c r="D5682" s="4"/>
      <c r="E5682" s="4"/>
      <c r="F5682" s="4"/>
      <c r="G5682" s="4"/>
    </row>
    <row r="5683">
      <c r="A5683" s="4"/>
      <c r="B5683" s="4"/>
      <c r="C5683" s="4"/>
      <c r="D5683" s="13"/>
      <c r="E5683" s="13"/>
      <c r="F5683" s="4"/>
      <c r="G5683" s="4"/>
    </row>
    <row r="5684">
      <c r="A5684" s="4"/>
      <c r="B5684" s="4"/>
      <c r="C5684" s="4"/>
      <c r="D5684" s="13"/>
      <c r="E5684" s="13"/>
      <c r="F5684" s="4"/>
      <c r="G5684" s="4"/>
    </row>
    <row r="5685">
      <c r="A5685" s="4"/>
      <c r="B5685" s="4"/>
      <c r="C5685" s="4"/>
      <c r="D5685" s="13"/>
      <c r="E5685" s="13"/>
      <c r="F5685" s="4"/>
      <c r="G5685" s="4"/>
    </row>
    <row r="5686">
      <c r="A5686" s="4"/>
      <c r="B5686" s="4"/>
      <c r="C5686" s="4"/>
      <c r="D5686" s="4"/>
      <c r="E5686" s="4"/>
      <c r="F5686" s="4"/>
      <c r="G5686" s="4"/>
    </row>
    <row r="5687">
      <c r="A5687" s="4"/>
      <c r="B5687" s="4"/>
      <c r="C5687" s="4"/>
      <c r="D5687" s="13"/>
      <c r="E5687" s="13"/>
      <c r="F5687" s="4"/>
      <c r="G5687" s="4"/>
    </row>
    <row r="5688">
      <c r="A5688" s="4"/>
      <c r="B5688" s="4"/>
      <c r="C5688" s="4"/>
      <c r="D5688" s="4"/>
      <c r="E5688" s="13"/>
      <c r="F5688" s="4"/>
      <c r="G5688" s="4"/>
    </row>
    <row r="5689">
      <c r="A5689" s="4"/>
      <c r="B5689" s="4"/>
      <c r="C5689" s="4"/>
      <c r="D5689" s="4"/>
      <c r="E5689" s="13"/>
      <c r="F5689" s="4"/>
      <c r="G5689" s="4"/>
    </row>
    <row r="5690">
      <c r="A5690" s="4"/>
      <c r="B5690" s="4"/>
      <c r="C5690" s="4"/>
      <c r="D5690" s="4"/>
      <c r="E5690" s="4"/>
      <c r="F5690" s="4"/>
      <c r="G5690" s="4"/>
    </row>
    <row r="5691">
      <c r="A5691" s="4"/>
      <c r="B5691" s="4"/>
      <c r="C5691" s="4"/>
      <c r="D5691" s="4"/>
      <c r="E5691" s="4"/>
      <c r="F5691" s="4"/>
      <c r="G5691" s="4"/>
    </row>
    <row r="5692">
      <c r="A5692" s="4"/>
      <c r="B5692" s="4"/>
      <c r="C5692" s="4"/>
      <c r="D5692" s="13"/>
      <c r="E5692" s="13"/>
      <c r="F5692" s="4"/>
      <c r="G5692" s="4"/>
    </row>
    <row r="5693">
      <c r="A5693" s="4"/>
      <c r="B5693" s="4"/>
      <c r="C5693" s="4"/>
      <c r="D5693" s="4"/>
      <c r="E5693" s="4"/>
      <c r="F5693" s="4"/>
      <c r="G5693" s="4"/>
    </row>
    <row r="5694">
      <c r="A5694" s="4"/>
      <c r="B5694" s="4"/>
      <c r="C5694" s="4"/>
      <c r="D5694" s="4"/>
      <c r="E5694" s="4"/>
      <c r="F5694" s="4"/>
      <c r="G5694" s="4"/>
    </row>
    <row r="5695">
      <c r="A5695" s="4"/>
      <c r="B5695" s="4"/>
      <c r="C5695" s="4"/>
      <c r="D5695" s="13"/>
      <c r="E5695" s="13"/>
      <c r="F5695" s="4"/>
      <c r="G5695" s="4"/>
    </row>
    <row r="5696">
      <c r="A5696" s="4"/>
      <c r="B5696" s="4"/>
      <c r="C5696" s="4"/>
      <c r="D5696" s="4"/>
      <c r="E5696" s="13"/>
      <c r="F5696" s="4"/>
      <c r="G5696" s="4"/>
    </row>
    <row r="5697">
      <c r="A5697" s="4"/>
      <c r="B5697" s="4"/>
      <c r="C5697" s="4"/>
      <c r="D5697" s="13"/>
      <c r="E5697" s="13"/>
      <c r="F5697" s="4"/>
      <c r="G5697" s="4"/>
    </row>
    <row r="5698">
      <c r="A5698" s="4"/>
      <c r="B5698" s="4"/>
      <c r="C5698" s="4"/>
      <c r="D5698" s="4"/>
      <c r="E5698" s="4"/>
      <c r="F5698" s="4"/>
      <c r="G5698" s="4"/>
    </row>
    <row r="5699">
      <c r="A5699" s="4"/>
      <c r="B5699" s="4"/>
      <c r="C5699" s="4"/>
      <c r="D5699" s="13"/>
      <c r="E5699" s="13"/>
      <c r="F5699" s="4"/>
      <c r="G5699" s="4"/>
    </row>
    <row r="5700">
      <c r="A5700" s="4"/>
      <c r="B5700" s="4"/>
      <c r="C5700" s="4"/>
      <c r="D5700" s="4"/>
      <c r="E5700" s="13"/>
      <c r="F5700" s="4"/>
      <c r="G5700" s="4"/>
    </row>
    <row r="5701">
      <c r="A5701" s="4"/>
      <c r="B5701" s="4"/>
      <c r="C5701" s="4"/>
      <c r="D5701" s="4"/>
      <c r="E5701" s="4"/>
      <c r="F5701" s="4"/>
      <c r="G5701" s="4"/>
    </row>
    <row r="5702">
      <c r="A5702" s="4"/>
      <c r="B5702" s="4"/>
      <c r="C5702" s="4"/>
      <c r="D5702" s="4"/>
      <c r="E5702" s="4"/>
      <c r="F5702" s="4"/>
      <c r="G5702" s="4"/>
    </row>
    <row r="5703">
      <c r="A5703" s="4"/>
      <c r="B5703" s="4"/>
      <c r="C5703" s="4"/>
      <c r="D5703" s="4"/>
      <c r="E5703" s="13"/>
      <c r="F5703" s="4"/>
      <c r="G5703" s="4"/>
    </row>
    <row r="5704">
      <c r="A5704" s="4"/>
      <c r="B5704" s="4"/>
      <c r="C5704" s="4"/>
      <c r="D5704" s="4"/>
      <c r="E5704" s="4"/>
      <c r="F5704" s="4"/>
      <c r="G5704" s="4"/>
    </row>
    <row r="5705">
      <c r="A5705" s="4"/>
      <c r="B5705" s="4"/>
      <c r="C5705" s="4"/>
      <c r="D5705" s="4"/>
      <c r="E5705" s="4"/>
      <c r="F5705" s="4"/>
      <c r="G5705" s="4"/>
    </row>
    <row r="5706">
      <c r="A5706" s="4"/>
      <c r="B5706" s="4"/>
      <c r="C5706" s="4"/>
      <c r="D5706" s="4"/>
      <c r="E5706" s="13"/>
      <c r="F5706" s="4"/>
      <c r="G5706" s="4"/>
    </row>
    <row r="5707">
      <c r="A5707" s="4"/>
      <c r="B5707" s="4"/>
      <c r="C5707" s="4"/>
      <c r="D5707" s="4"/>
      <c r="E5707" s="4"/>
      <c r="F5707" s="4"/>
      <c r="G5707" s="4"/>
    </row>
    <row r="5708">
      <c r="A5708" s="4"/>
      <c r="B5708" s="4"/>
      <c r="C5708" s="4"/>
      <c r="D5708" s="4"/>
      <c r="E5708" s="13"/>
      <c r="F5708" s="4"/>
      <c r="G5708" s="4"/>
    </row>
    <row r="5709">
      <c r="A5709" s="4"/>
      <c r="B5709" s="4"/>
      <c r="C5709" s="4"/>
      <c r="D5709" s="4"/>
      <c r="E5709" s="4"/>
      <c r="F5709" s="4"/>
      <c r="G5709" s="4"/>
    </row>
    <row r="5710">
      <c r="A5710" s="4"/>
      <c r="B5710" s="4"/>
      <c r="C5710" s="4"/>
      <c r="D5710" s="4"/>
      <c r="E5710" s="4"/>
      <c r="F5710" s="4"/>
      <c r="G5710" s="4"/>
    </row>
    <row r="5711">
      <c r="A5711" s="4"/>
      <c r="B5711" s="4"/>
      <c r="C5711" s="4"/>
      <c r="D5711" s="13"/>
      <c r="E5711" s="13"/>
      <c r="F5711" s="4"/>
      <c r="G5711" s="4"/>
    </row>
    <row r="5712">
      <c r="A5712" s="4"/>
      <c r="B5712" s="4"/>
      <c r="C5712" s="4"/>
      <c r="D5712" s="4"/>
      <c r="E5712" s="13"/>
      <c r="F5712" s="4"/>
      <c r="G5712" s="4"/>
    </row>
    <row r="5713">
      <c r="A5713" s="4"/>
      <c r="B5713" s="4"/>
      <c r="C5713" s="4"/>
      <c r="D5713" s="4"/>
      <c r="E5713" s="13"/>
      <c r="F5713" s="4"/>
      <c r="G5713" s="4"/>
    </row>
    <row r="5714">
      <c r="A5714" s="4"/>
      <c r="B5714" s="4"/>
      <c r="C5714" s="4"/>
      <c r="D5714" s="4"/>
      <c r="E5714" s="4"/>
      <c r="F5714" s="4"/>
      <c r="G5714" s="4"/>
    </row>
    <row r="5715">
      <c r="A5715" s="4"/>
      <c r="B5715" s="4"/>
      <c r="C5715" s="4"/>
      <c r="D5715" s="4"/>
      <c r="E5715" s="4"/>
      <c r="F5715" s="4"/>
      <c r="G5715" s="4"/>
    </row>
    <row r="5716">
      <c r="A5716" s="4"/>
      <c r="B5716" s="4"/>
      <c r="C5716" s="4"/>
      <c r="D5716" s="13"/>
      <c r="E5716" s="4"/>
      <c r="F5716" s="4"/>
      <c r="G5716" s="4"/>
    </row>
    <row r="5717">
      <c r="A5717" s="4"/>
      <c r="B5717" s="4"/>
      <c r="C5717" s="4"/>
      <c r="D5717" s="4"/>
      <c r="E5717" s="4"/>
      <c r="F5717" s="4"/>
      <c r="G5717" s="4"/>
    </row>
    <row r="5718">
      <c r="A5718" s="4"/>
      <c r="B5718" s="4"/>
      <c r="C5718" s="4"/>
      <c r="D5718" s="4"/>
      <c r="E5718" s="4"/>
      <c r="F5718" s="4"/>
      <c r="G5718" s="4"/>
    </row>
    <row r="5719">
      <c r="A5719" s="4"/>
      <c r="B5719" s="4"/>
      <c r="C5719" s="4"/>
      <c r="D5719" s="13"/>
      <c r="E5719" s="4"/>
      <c r="F5719" s="4"/>
      <c r="G5719" s="4"/>
    </row>
    <row r="5720">
      <c r="A5720" s="4"/>
      <c r="B5720" s="4"/>
      <c r="C5720" s="4"/>
      <c r="D5720" s="4"/>
      <c r="E5720" s="4"/>
      <c r="F5720" s="4"/>
      <c r="G5720" s="4"/>
    </row>
    <row r="5721">
      <c r="A5721" s="4"/>
      <c r="B5721" s="4"/>
      <c r="C5721" s="4"/>
      <c r="D5721" s="4"/>
      <c r="E5721" s="4"/>
      <c r="F5721" s="4"/>
      <c r="G5721" s="4"/>
    </row>
    <row r="5722">
      <c r="A5722" s="4"/>
      <c r="B5722" s="4"/>
      <c r="C5722" s="4"/>
      <c r="D5722" s="4"/>
      <c r="E5722" s="4"/>
      <c r="F5722" s="4"/>
      <c r="G5722" s="4"/>
    </row>
    <row r="5723">
      <c r="A5723" s="4"/>
      <c r="B5723" s="4"/>
      <c r="C5723" s="4"/>
      <c r="D5723" s="4"/>
      <c r="E5723" s="4"/>
      <c r="F5723" s="4"/>
      <c r="G5723" s="4"/>
    </row>
    <row r="5724">
      <c r="A5724" s="4"/>
      <c r="B5724" s="4"/>
      <c r="C5724" s="4"/>
      <c r="D5724" s="4"/>
      <c r="E5724" s="13"/>
      <c r="F5724" s="4"/>
      <c r="G5724" s="4"/>
    </row>
    <row r="5725">
      <c r="A5725" s="4"/>
      <c r="B5725" s="4"/>
      <c r="C5725" s="4"/>
      <c r="D5725" s="4"/>
      <c r="E5725" s="13"/>
      <c r="F5725" s="4"/>
      <c r="G5725" s="4"/>
    </row>
    <row r="5726">
      <c r="A5726" s="4"/>
      <c r="B5726" s="4"/>
      <c r="C5726" s="4"/>
      <c r="D5726" s="13"/>
      <c r="E5726" s="13"/>
      <c r="F5726" s="4"/>
      <c r="G5726" s="4"/>
    </row>
    <row r="5727">
      <c r="A5727" s="4"/>
      <c r="B5727" s="4"/>
      <c r="C5727" s="4"/>
      <c r="D5727" s="4"/>
      <c r="E5727" s="4"/>
      <c r="F5727" s="4"/>
      <c r="G5727" s="4"/>
    </row>
    <row r="5728">
      <c r="A5728" s="4"/>
      <c r="B5728" s="4"/>
      <c r="C5728" s="4"/>
      <c r="D5728" s="13"/>
      <c r="E5728" s="13"/>
      <c r="F5728" s="4"/>
      <c r="G5728" s="4"/>
    </row>
    <row r="5729">
      <c r="A5729" s="4"/>
      <c r="B5729" s="4"/>
      <c r="C5729" s="4"/>
      <c r="D5729" s="4"/>
      <c r="E5729" s="4"/>
      <c r="F5729" s="4"/>
      <c r="G5729" s="4"/>
    </row>
    <row r="5730">
      <c r="A5730" s="4"/>
      <c r="B5730" s="4"/>
      <c r="C5730" s="4"/>
      <c r="D5730" s="4"/>
      <c r="E5730" s="4"/>
      <c r="F5730" s="4"/>
      <c r="G5730" s="4"/>
    </row>
    <row r="5731">
      <c r="A5731" s="4"/>
      <c r="B5731" s="4"/>
      <c r="C5731" s="4"/>
      <c r="D5731" s="4"/>
      <c r="E5731" s="4"/>
      <c r="F5731" s="4"/>
      <c r="G5731" s="4"/>
    </row>
    <row r="5732">
      <c r="A5732" s="4"/>
      <c r="B5732" s="4"/>
      <c r="C5732" s="4"/>
      <c r="D5732" s="4"/>
      <c r="E5732" s="4"/>
      <c r="F5732" s="4"/>
      <c r="G5732" s="4"/>
    </row>
    <row r="5733">
      <c r="A5733" s="4"/>
      <c r="B5733" s="4"/>
      <c r="C5733" s="4"/>
      <c r="D5733" s="4"/>
      <c r="E5733" s="4"/>
      <c r="F5733" s="4"/>
      <c r="G5733" s="4"/>
    </row>
    <row r="5734">
      <c r="A5734" s="4"/>
      <c r="B5734" s="4"/>
      <c r="C5734" s="4"/>
      <c r="D5734" s="13"/>
      <c r="E5734" s="13"/>
      <c r="F5734" s="4"/>
      <c r="G5734" s="4"/>
    </row>
    <row r="5735">
      <c r="A5735" s="4"/>
      <c r="B5735" s="4"/>
      <c r="C5735" s="4"/>
      <c r="D5735" s="4"/>
      <c r="E5735" s="4"/>
      <c r="F5735" s="4"/>
      <c r="G5735" s="4"/>
    </row>
    <row r="5736">
      <c r="A5736" s="4"/>
      <c r="B5736" s="4"/>
      <c r="C5736" s="4"/>
      <c r="D5736" s="13"/>
      <c r="E5736" s="13"/>
      <c r="F5736" s="4"/>
      <c r="G5736" s="4"/>
    </row>
    <row r="5737">
      <c r="A5737" s="4"/>
      <c r="B5737" s="4"/>
      <c r="C5737" s="4"/>
      <c r="D5737" s="13"/>
      <c r="E5737" s="13"/>
      <c r="F5737" s="4"/>
      <c r="G5737" s="4"/>
    </row>
    <row r="5738">
      <c r="A5738" s="4"/>
      <c r="B5738" s="4"/>
      <c r="C5738" s="4"/>
      <c r="D5738" s="4"/>
      <c r="E5738" s="4"/>
      <c r="F5738" s="4"/>
      <c r="G5738" s="4"/>
    </row>
    <row r="5739">
      <c r="A5739" s="4"/>
      <c r="B5739" s="4"/>
      <c r="C5739" s="4"/>
      <c r="D5739" s="4"/>
      <c r="E5739" s="4"/>
      <c r="F5739" s="4"/>
      <c r="G5739" s="4"/>
    </row>
    <row r="5740">
      <c r="A5740" s="4"/>
      <c r="B5740" s="4"/>
      <c r="C5740" s="4"/>
      <c r="D5740" s="4"/>
      <c r="E5740" s="13"/>
      <c r="F5740" s="4"/>
      <c r="G5740" s="4"/>
    </row>
    <row r="5741">
      <c r="A5741" s="4"/>
      <c r="B5741" s="4"/>
      <c r="C5741" s="4"/>
      <c r="D5741" s="4"/>
      <c r="E5741" s="4"/>
      <c r="F5741" s="4"/>
      <c r="G5741" s="4"/>
    </row>
    <row r="5742">
      <c r="A5742" s="4"/>
      <c r="B5742" s="4"/>
      <c r="C5742" s="4"/>
      <c r="D5742" s="4"/>
      <c r="E5742" s="4"/>
      <c r="F5742" s="4"/>
      <c r="G5742" s="4"/>
    </row>
    <row r="5743">
      <c r="A5743" s="4"/>
      <c r="B5743" s="4"/>
      <c r="C5743" s="4"/>
      <c r="D5743" s="4"/>
      <c r="E5743" s="4"/>
      <c r="F5743" s="4"/>
      <c r="G5743" s="4"/>
    </row>
    <row r="5744">
      <c r="A5744" s="4"/>
      <c r="B5744" s="4"/>
      <c r="C5744" s="4"/>
      <c r="D5744" s="4"/>
      <c r="E5744" s="4"/>
      <c r="F5744" s="4"/>
      <c r="G5744" s="4"/>
    </row>
    <row r="5745">
      <c r="A5745" s="4"/>
      <c r="B5745" s="4"/>
      <c r="C5745" s="4"/>
      <c r="D5745" s="4"/>
      <c r="E5745" s="4"/>
      <c r="F5745" s="4"/>
      <c r="G5745" s="4"/>
    </row>
    <row r="5746">
      <c r="A5746" s="4"/>
      <c r="B5746" s="4"/>
      <c r="C5746" s="4"/>
      <c r="D5746" s="4"/>
      <c r="E5746" s="4"/>
      <c r="F5746" s="4"/>
      <c r="G5746" s="4"/>
    </row>
    <row r="5747">
      <c r="A5747" s="4"/>
      <c r="B5747" s="4"/>
      <c r="C5747" s="4"/>
      <c r="D5747" s="4"/>
      <c r="E5747" s="13"/>
      <c r="F5747" s="4"/>
      <c r="G5747" s="4"/>
    </row>
    <row r="5748">
      <c r="A5748" s="4"/>
      <c r="B5748" s="4"/>
      <c r="C5748" s="4"/>
      <c r="D5748" s="4"/>
      <c r="E5748" s="13"/>
      <c r="F5748" s="4"/>
      <c r="G5748" s="4"/>
    </row>
    <row r="5749">
      <c r="A5749" s="4"/>
      <c r="B5749" s="4"/>
      <c r="C5749" s="4"/>
      <c r="D5749" s="4"/>
      <c r="E5749" s="4"/>
      <c r="F5749" s="4"/>
      <c r="G5749" s="4"/>
    </row>
    <row r="5750">
      <c r="A5750" s="4"/>
      <c r="B5750" s="4"/>
      <c r="C5750" s="4"/>
      <c r="D5750" s="13"/>
      <c r="E5750" s="13"/>
      <c r="F5750" s="4"/>
      <c r="G5750" s="4"/>
    </row>
    <row r="5751">
      <c r="A5751" s="4"/>
      <c r="B5751" s="4"/>
      <c r="C5751" s="4"/>
      <c r="D5751" s="4"/>
      <c r="E5751" s="4"/>
      <c r="F5751" s="4"/>
      <c r="G5751" s="4"/>
    </row>
    <row r="5752">
      <c r="A5752" s="4"/>
      <c r="B5752" s="4"/>
      <c r="C5752" s="4"/>
      <c r="D5752" s="13"/>
      <c r="E5752" s="13"/>
      <c r="F5752" s="4"/>
      <c r="G5752" s="4"/>
    </row>
    <row r="5753">
      <c r="A5753" s="4"/>
      <c r="B5753" s="4"/>
      <c r="C5753" s="4"/>
      <c r="D5753" s="4"/>
      <c r="E5753" s="4"/>
      <c r="F5753" s="4"/>
      <c r="G5753" s="4"/>
    </row>
    <row r="5754">
      <c r="A5754" s="4"/>
      <c r="B5754" s="4"/>
      <c r="C5754" s="4"/>
      <c r="D5754" s="4"/>
      <c r="E5754" s="13"/>
      <c r="F5754" s="4"/>
      <c r="G5754" s="4"/>
    </row>
    <row r="5755">
      <c r="A5755" s="4"/>
      <c r="B5755" s="4"/>
      <c r="C5755" s="4"/>
      <c r="D5755" s="4"/>
      <c r="E5755" s="4"/>
      <c r="F5755" s="4"/>
      <c r="G5755" s="4"/>
    </row>
    <row r="5756">
      <c r="A5756" s="4"/>
      <c r="B5756" s="4"/>
      <c r="C5756" s="4"/>
      <c r="D5756" s="4"/>
      <c r="E5756" s="4"/>
      <c r="F5756" s="4"/>
      <c r="G5756" s="4"/>
    </row>
    <row r="5757">
      <c r="A5757" s="4"/>
      <c r="B5757" s="4"/>
      <c r="C5757" s="4"/>
      <c r="D5757" s="4"/>
      <c r="E5757" s="13"/>
      <c r="F5757" s="4"/>
      <c r="G5757" s="4"/>
    </row>
    <row r="5758">
      <c r="A5758" s="4"/>
      <c r="B5758" s="4"/>
      <c r="C5758" s="4"/>
      <c r="D5758" s="4"/>
      <c r="E5758" s="4"/>
      <c r="F5758" s="4"/>
      <c r="G5758" s="4"/>
    </row>
    <row r="5759">
      <c r="A5759" s="4"/>
      <c r="B5759" s="4"/>
      <c r="C5759" s="4"/>
      <c r="D5759" s="4"/>
      <c r="E5759" s="13"/>
      <c r="F5759" s="4"/>
      <c r="G5759" s="4"/>
    </row>
    <row r="5760">
      <c r="A5760" s="4"/>
      <c r="B5760" s="4"/>
      <c r="C5760" s="4"/>
      <c r="D5760" s="13"/>
      <c r="E5760" s="13"/>
      <c r="F5760" s="4"/>
      <c r="G5760" s="4"/>
    </row>
    <row r="5761">
      <c r="A5761" s="4"/>
      <c r="B5761" s="4"/>
      <c r="C5761" s="4"/>
      <c r="D5761" s="13"/>
      <c r="E5761" s="13"/>
      <c r="F5761" s="4"/>
      <c r="G5761" s="4"/>
    </row>
    <row r="5762">
      <c r="A5762" s="4"/>
      <c r="B5762" s="4"/>
      <c r="C5762" s="4"/>
      <c r="D5762" s="13"/>
      <c r="E5762" s="13"/>
      <c r="F5762" s="4"/>
      <c r="G5762" s="4"/>
    </row>
    <row r="5763">
      <c r="A5763" s="4"/>
      <c r="B5763" s="4"/>
      <c r="C5763" s="4"/>
      <c r="D5763" s="13"/>
      <c r="E5763" s="13"/>
      <c r="F5763" s="4"/>
      <c r="G5763" s="4"/>
    </row>
    <row r="5764">
      <c r="A5764" s="4"/>
      <c r="B5764" s="4"/>
      <c r="C5764" s="4"/>
      <c r="D5764" s="4"/>
      <c r="E5764" s="4"/>
      <c r="F5764" s="4"/>
      <c r="G5764" s="4"/>
    </row>
    <row r="5765">
      <c r="A5765" s="4"/>
      <c r="B5765" s="4"/>
      <c r="C5765" s="4"/>
      <c r="D5765" s="4"/>
      <c r="E5765" s="4"/>
      <c r="F5765" s="4"/>
      <c r="G5765" s="4"/>
    </row>
    <row r="5766">
      <c r="A5766" s="4"/>
      <c r="B5766" s="4"/>
      <c r="C5766" s="4"/>
      <c r="D5766" s="4"/>
      <c r="E5766" s="13"/>
      <c r="F5766" s="4"/>
      <c r="G5766" s="4"/>
    </row>
    <row r="5767">
      <c r="A5767" s="4"/>
      <c r="B5767" s="4"/>
      <c r="C5767" s="4"/>
      <c r="D5767" s="4"/>
      <c r="E5767" s="13"/>
      <c r="F5767" s="4"/>
      <c r="G5767" s="4"/>
    </row>
    <row r="5768">
      <c r="A5768" s="4"/>
      <c r="B5768" s="4"/>
      <c r="C5768" s="4"/>
      <c r="D5768" s="4"/>
      <c r="E5768" s="4"/>
      <c r="F5768" s="4"/>
      <c r="G5768" s="4"/>
    </row>
    <row r="5769">
      <c r="A5769" s="4"/>
      <c r="B5769" s="4"/>
      <c r="C5769" s="4"/>
      <c r="D5769" s="13"/>
      <c r="E5769" s="4"/>
      <c r="F5769" s="4"/>
      <c r="G5769" s="4"/>
    </row>
    <row r="5770">
      <c r="A5770" s="4"/>
      <c r="B5770" s="4"/>
      <c r="C5770" s="4"/>
      <c r="D5770" s="4"/>
      <c r="E5770" s="4"/>
      <c r="F5770" s="4"/>
      <c r="G5770" s="4"/>
    </row>
    <row r="5771">
      <c r="A5771" s="4"/>
      <c r="B5771" s="4"/>
      <c r="C5771" s="4"/>
      <c r="D5771" s="4"/>
      <c r="E5771" s="4"/>
      <c r="F5771" s="4"/>
      <c r="G5771" s="4"/>
    </row>
    <row r="5772">
      <c r="A5772" s="4"/>
      <c r="B5772" s="4"/>
      <c r="C5772" s="4"/>
      <c r="D5772" s="4"/>
      <c r="E5772" s="4"/>
      <c r="F5772" s="4"/>
      <c r="G5772" s="4"/>
    </row>
    <row r="5773">
      <c r="A5773" s="4"/>
      <c r="B5773" s="4"/>
      <c r="C5773" s="4"/>
      <c r="D5773" s="4"/>
      <c r="E5773" s="13"/>
      <c r="F5773" s="4"/>
      <c r="G5773" s="4"/>
    </row>
    <row r="5774">
      <c r="A5774" s="4"/>
      <c r="B5774" s="4"/>
      <c r="C5774" s="4"/>
      <c r="D5774" s="4"/>
      <c r="E5774" s="4"/>
      <c r="F5774" s="4"/>
      <c r="G5774" s="4"/>
    </row>
    <row r="5775">
      <c r="A5775" s="4"/>
      <c r="B5775" s="4"/>
      <c r="C5775" s="4"/>
      <c r="D5775" s="13"/>
      <c r="E5775" s="13"/>
      <c r="F5775" s="4"/>
      <c r="G5775" s="4"/>
    </row>
    <row r="5776">
      <c r="A5776" s="4"/>
      <c r="B5776" s="4"/>
      <c r="C5776" s="4"/>
      <c r="D5776" s="4"/>
      <c r="E5776" s="4"/>
      <c r="F5776" s="4"/>
      <c r="G5776" s="4"/>
    </row>
    <row r="5777">
      <c r="A5777" s="4"/>
      <c r="B5777" s="4"/>
      <c r="C5777" s="4"/>
      <c r="D5777" s="13"/>
      <c r="E5777" s="13"/>
      <c r="F5777" s="4"/>
      <c r="G5777" s="4"/>
    </row>
    <row r="5778">
      <c r="A5778" s="4"/>
      <c r="B5778" s="4"/>
      <c r="C5778" s="4"/>
      <c r="D5778" s="4"/>
      <c r="E5778" s="4"/>
      <c r="F5778" s="4"/>
      <c r="G5778" s="4"/>
    </row>
    <row r="5779">
      <c r="A5779" s="4"/>
      <c r="B5779" s="4"/>
      <c r="C5779" s="4"/>
      <c r="D5779" s="13"/>
      <c r="E5779" s="13"/>
      <c r="F5779" s="4"/>
      <c r="G5779" s="4"/>
    </row>
    <row r="5780">
      <c r="A5780" s="4"/>
      <c r="B5780" s="4"/>
      <c r="C5780" s="4"/>
      <c r="D5780" s="4"/>
      <c r="E5780" s="4"/>
      <c r="F5780" s="4"/>
      <c r="G5780" s="4"/>
    </row>
    <row r="5781">
      <c r="A5781" s="4"/>
      <c r="B5781" s="4"/>
      <c r="C5781" s="4"/>
      <c r="D5781" s="4"/>
      <c r="E5781" s="13"/>
      <c r="F5781" s="4"/>
      <c r="G5781" s="4"/>
    </row>
    <row r="5782">
      <c r="A5782" s="4"/>
      <c r="B5782" s="4"/>
      <c r="C5782" s="4"/>
      <c r="D5782" s="4"/>
      <c r="E5782" s="4"/>
      <c r="F5782" s="4"/>
      <c r="G5782" s="4"/>
    </row>
    <row r="5783">
      <c r="A5783" s="4"/>
      <c r="B5783" s="4"/>
      <c r="C5783" s="4"/>
      <c r="D5783" s="4"/>
      <c r="E5783" s="13"/>
      <c r="F5783" s="4"/>
      <c r="G5783" s="4"/>
    </row>
    <row r="5784">
      <c r="A5784" s="4"/>
      <c r="B5784" s="4"/>
      <c r="C5784" s="4"/>
      <c r="D5784" s="4"/>
      <c r="E5784" s="4"/>
      <c r="F5784" s="4"/>
      <c r="G5784" s="4"/>
    </row>
    <row r="5785">
      <c r="A5785" s="4"/>
      <c r="B5785" s="4"/>
      <c r="C5785" s="4"/>
      <c r="D5785" s="13"/>
      <c r="E5785" s="13"/>
      <c r="F5785" s="4"/>
      <c r="G5785" s="4"/>
    </row>
    <row r="5786">
      <c r="A5786" s="4"/>
      <c r="B5786" s="4"/>
      <c r="C5786" s="4"/>
      <c r="D5786" s="13"/>
      <c r="E5786" s="13"/>
      <c r="F5786" s="4"/>
      <c r="G5786" s="4"/>
    </row>
    <row r="5787">
      <c r="A5787" s="4"/>
      <c r="B5787" s="4"/>
      <c r="C5787" s="4"/>
      <c r="D5787" s="4"/>
      <c r="E5787" s="4"/>
      <c r="F5787" s="4"/>
      <c r="G5787" s="4"/>
    </row>
    <row r="5788">
      <c r="A5788" s="4"/>
      <c r="B5788" s="4"/>
      <c r="C5788" s="4"/>
      <c r="D5788" s="13"/>
      <c r="E5788" s="13"/>
      <c r="F5788" s="4"/>
      <c r="G5788" s="4"/>
    </row>
    <row r="5789">
      <c r="A5789" s="4"/>
      <c r="B5789" s="4"/>
      <c r="C5789" s="4"/>
      <c r="D5789" s="4"/>
      <c r="E5789" s="4"/>
      <c r="F5789" s="4"/>
      <c r="G5789" s="4"/>
    </row>
    <row r="5790">
      <c r="A5790" s="4"/>
      <c r="B5790" s="4"/>
      <c r="C5790" s="4"/>
      <c r="D5790" s="13"/>
      <c r="E5790" s="13"/>
      <c r="F5790" s="4"/>
      <c r="G5790" s="4"/>
    </row>
    <row r="5791">
      <c r="A5791" s="4"/>
      <c r="B5791" s="4"/>
      <c r="C5791" s="4"/>
      <c r="D5791" s="13"/>
      <c r="E5791" s="13"/>
      <c r="F5791" s="4"/>
      <c r="G5791" s="4"/>
    </row>
    <row r="5792">
      <c r="A5792" s="4"/>
      <c r="B5792" s="4"/>
      <c r="C5792" s="4"/>
      <c r="D5792" s="13"/>
      <c r="E5792" s="13"/>
      <c r="F5792" s="4"/>
      <c r="G5792" s="4"/>
    </row>
    <row r="5793">
      <c r="A5793" s="4"/>
      <c r="B5793" s="4"/>
      <c r="C5793" s="4"/>
      <c r="D5793" s="13"/>
      <c r="E5793" s="13"/>
      <c r="F5793" s="4"/>
      <c r="G5793" s="4"/>
    </row>
    <row r="5794">
      <c r="A5794" s="4"/>
      <c r="B5794" s="4"/>
      <c r="C5794" s="4"/>
      <c r="D5794" s="13"/>
      <c r="E5794" s="13"/>
      <c r="F5794" s="4"/>
      <c r="G5794" s="4"/>
    </row>
    <row r="5795">
      <c r="A5795" s="4"/>
      <c r="B5795" s="4"/>
      <c r="C5795" s="4"/>
      <c r="D5795" s="13"/>
      <c r="E5795" s="13"/>
      <c r="F5795" s="4"/>
      <c r="G5795" s="4"/>
    </row>
    <row r="5796">
      <c r="A5796" s="4"/>
      <c r="B5796" s="4"/>
      <c r="C5796" s="4"/>
      <c r="D5796" s="4"/>
      <c r="E5796" s="4"/>
      <c r="F5796" s="4"/>
      <c r="G5796" s="4"/>
    </row>
    <row r="5797">
      <c r="A5797" s="4"/>
      <c r="B5797" s="4"/>
      <c r="C5797" s="4"/>
      <c r="D5797" s="4"/>
      <c r="E5797" s="4"/>
      <c r="F5797" s="4"/>
      <c r="G5797" s="4"/>
    </row>
    <row r="5798">
      <c r="A5798" s="4"/>
      <c r="B5798" s="4"/>
      <c r="C5798" s="4"/>
      <c r="D5798" s="4"/>
      <c r="E5798" s="13"/>
      <c r="F5798" s="4"/>
      <c r="G5798" s="4"/>
    </row>
    <row r="5799">
      <c r="A5799" s="4"/>
      <c r="B5799" s="4"/>
      <c r="C5799" s="4"/>
      <c r="D5799" s="4"/>
      <c r="E5799" s="4"/>
      <c r="F5799" s="4"/>
      <c r="G5799" s="4"/>
    </row>
    <row r="5800">
      <c r="A5800" s="4"/>
      <c r="B5800" s="4"/>
      <c r="C5800" s="4"/>
      <c r="D5800" s="4"/>
      <c r="E5800" s="4"/>
      <c r="F5800" s="4"/>
      <c r="G5800" s="4"/>
    </row>
    <row r="5801">
      <c r="A5801" s="4"/>
      <c r="B5801" s="4"/>
      <c r="C5801" s="4"/>
      <c r="D5801" s="4"/>
      <c r="E5801" s="13"/>
      <c r="F5801" s="4"/>
      <c r="G5801" s="4"/>
    </row>
    <row r="5802">
      <c r="A5802" s="4"/>
      <c r="B5802" s="4"/>
      <c r="C5802" s="4"/>
      <c r="D5802" s="4"/>
      <c r="E5802" s="4"/>
      <c r="F5802" s="4"/>
      <c r="G5802" s="4"/>
    </row>
    <row r="5803">
      <c r="A5803" s="4"/>
      <c r="B5803" s="4"/>
      <c r="C5803" s="4"/>
      <c r="D5803" s="4"/>
      <c r="E5803" s="13"/>
      <c r="F5803" s="4"/>
      <c r="G5803" s="4"/>
    </row>
    <row r="5804">
      <c r="A5804" s="4"/>
      <c r="B5804" s="4"/>
      <c r="C5804" s="4"/>
      <c r="D5804" s="4"/>
      <c r="E5804" s="13"/>
      <c r="F5804" s="4"/>
      <c r="G5804" s="4"/>
    </row>
    <row r="5805">
      <c r="A5805" s="4"/>
      <c r="B5805" s="4"/>
      <c r="C5805" s="4"/>
      <c r="D5805" s="4"/>
      <c r="E5805" s="4"/>
      <c r="F5805" s="4"/>
      <c r="G5805" s="4"/>
    </row>
    <row r="5806">
      <c r="A5806" s="4"/>
      <c r="B5806" s="4"/>
      <c r="C5806" s="4"/>
      <c r="D5806" s="4"/>
      <c r="E5806" s="4"/>
      <c r="F5806" s="4"/>
      <c r="G5806" s="4"/>
    </row>
    <row r="5807">
      <c r="A5807" s="4"/>
      <c r="B5807" s="4"/>
      <c r="C5807" s="4"/>
      <c r="D5807" s="4"/>
      <c r="E5807" s="13"/>
      <c r="F5807" s="4"/>
      <c r="G5807" s="4"/>
    </row>
    <row r="5808">
      <c r="A5808" s="4"/>
      <c r="B5808" s="4"/>
      <c r="C5808" s="4"/>
      <c r="D5808" s="4"/>
      <c r="E5808" s="4"/>
      <c r="F5808" s="4"/>
      <c r="G5808" s="4"/>
    </row>
    <row r="5809">
      <c r="A5809" s="4"/>
      <c r="B5809" s="4"/>
      <c r="C5809" s="4"/>
      <c r="D5809" s="13"/>
      <c r="E5809" s="13"/>
      <c r="F5809" s="4"/>
      <c r="G5809" s="4"/>
    </row>
    <row r="5810">
      <c r="A5810" s="4"/>
      <c r="B5810" s="4"/>
      <c r="C5810" s="4"/>
      <c r="D5810" s="13"/>
      <c r="E5810" s="13"/>
      <c r="F5810" s="4"/>
      <c r="G5810" s="4"/>
    </row>
    <row r="5811">
      <c r="A5811" s="4"/>
      <c r="B5811" s="4"/>
      <c r="C5811" s="4"/>
      <c r="D5811" s="13"/>
      <c r="E5811" s="13"/>
      <c r="F5811" s="4"/>
      <c r="G5811" s="4"/>
    </row>
    <row r="5812">
      <c r="A5812" s="4"/>
      <c r="B5812" s="4"/>
      <c r="C5812" s="4"/>
      <c r="D5812" s="4"/>
      <c r="E5812" s="13"/>
      <c r="F5812" s="4"/>
      <c r="G5812" s="4"/>
    </row>
    <row r="5813">
      <c r="A5813" s="4"/>
      <c r="B5813" s="4"/>
      <c r="C5813" s="4"/>
      <c r="D5813" s="4"/>
      <c r="E5813" s="4"/>
      <c r="F5813" s="4"/>
      <c r="G5813" s="4"/>
    </row>
    <row r="5814">
      <c r="A5814" s="4"/>
      <c r="B5814" s="4"/>
      <c r="C5814" s="4"/>
      <c r="D5814" s="4"/>
      <c r="E5814" s="4"/>
      <c r="F5814" s="4"/>
      <c r="G5814" s="4"/>
    </row>
    <row r="5815">
      <c r="A5815" s="4"/>
      <c r="B5815" s="4"/>
      <c r="C5815" s="4"/>
      <c r="D5815" s="4"/>
      <c r="E5815" s="13"/>
      <c r="F5815" s="4"/>
      <c r="G5815" s="4"/>
    </row>
    <row r="5816">
      <c r="A5816" s="4"/>
      <c r="B5816" s="4"/>
      <c r="C5816" s="4"/>
      <c r="D5816" s="4"/>
      <c r="E5816" s="13"/>
      <c r="F5816" s="4"/>
      <c r="G5816" s="4"/>
    </row>
    <row r="5817">
      <c r="A5817" s="4"/>
      <c r="B5817" s="4"/>
      <c r="C5817" s="4"/>
      <c r="D5817" s="4"/>
      <c r="E5817" s="4"/>
      <c r="F5817" s="4"/>
      <c r="G5817" s="4"/>
    </row>
    <row r="5818">
      <c r="A5818" s="4"/>
      <c r="B5818" s="4"/>
      <c r="C5818" s="4"/>
      <c r="D5818" s="4"/>
      <c r="E5818" s="4"/>
      <c r="F5818" s="4"/>
      <c r="G5818" s="4"/>
    </row>
    <row r="5819">
      <c r="A5819" s="4"/>
      <c r="B5819" s="4"/>
      <c r="C5819" s="4"/>
      <c r="D5819" s="13"/>
      <c r="E5819" s="4"/>
      <c r="F5819" s="4"/>
      <c r="G5819" s="4"/>
    </row>
    <row r="5820">
      <c r="A5820" s="4"/>
      <c r="B5820" s="4"/>
      <c r="C5820" s="4"/>
      <c r="D5820" s="4"/>
      <c r="E5820" s="4"/>
      <c r="F5820" s="4"/>
      <c r="G5820" s="4"/>
    </row>
    <row r="5821">
      <c r="A5821" s="4"/>
      <c r="B5821" s="4"/>
      <c r="C5821" s="4"/>
      <c r="D5821" s="4"/>
      <c r="E5821" s="4"/>
      <c r="F5821" s="4"/>
      <c r="G5821" s="4"/>
    </row>
    <row r="5822">
      <c r="A5822" s="4"/>
      <c r="B5822" s="4"/>
      <c r="C5822" s="4"/>
      <c r="D5822" s="4"/>
      <c r="E5822" s="4"/>
      <c r="F5822" s="4"/>
      <c r="G5822" s="4"/>
    </row>
    <row r="5823">
      <c r="A5823" s="4"/>
      <c r="B5823" s="4"/>
      <c r="C5823" s="4"/>
      <c r="D5823" s="4"/>
      <c r="E5823" s="4"/>
      <c r="F5823" s="4"/>
      <c r="G5823" s="4"/>
    </row>
    <row r="5824">
      <c r="A5824" s="4"/>
      <c r="B5824" s="4"/>
      <c r="C5824" s="4"/>
      <c r="D5824" s="13"/>
      <c r="E5824" s="4"/>
      <c r="F5824" s="4"/>
      <c r="G5824" s="4"/>
    </row>
    <row r="5825">
      <c r="A5825" s="4"/>
      <c r="B5825" s="4"/>
      <c r="C5825" s="4"/>
      <c r="D5825" s="4"/>
      <c r="E5825" s="13"/>
      <c r="F5825" s="4"/>
      <c r="G5825" s="4"/>
    </row>
    <row r="5826">
      <c r="A5826" s="4"/>
      <c r="B5826" s="4"/>
      <c r="C5826" s="4"/>
      <c r="D5826" s="4"/>
      <c r="E5826" s="4"/>
      <c r="F5826" s="4"/>
      <c r="G5826" s="4"/>
    </row>
    <row r="5827">
      <c r="A5827" s="4"/>
      <c r="B5827" s="4"/>
      <c r="C5827" s="4"/>
      <c r="D5827" s="4"/>
      <c r="E5827" s="4"/>
      <c r="F5827" s="4"/>
      <c r="G5827" s="4"/>
    </row>
    <row r="5828">
      <c r="A5828" s="4"/>
      <c r="B5828" s="4"/>
      <c r="C5828" s="4"/>
      <c r="D5828" s="13"/>
      <c r="E5828" s="13"/>
      <c r="F5828" s="4"/>
      <c r="G5828" s="4"/>
    </row>
    <row r="5829">
      <c r="A5829" s="4"/>
      <c r="B5829" s="4"/>
      <c r="C5829" s="4"/>
      <c r="D5829" s="13"/>
      <c r="E5829" s="13"/>
      <c r="F5829" s="4"/>
      <c r="G5829" s="4"/>
    </row>
    <row r="5830">
      <c r="A5830" s="4"/>
      <c r="B5830" s="4"/>
      <c r="C5830" s="4"/>
      <c r="D5830" s="4"/>
      <c r="E5830" s="4"/>
      <c r="F5830" s="4"/>
      <c r="G5830" s="4"/>
    </row>
    <row r="5831">
      <c r="A5831" s="4"/>
      <c r="B5831" s="4"/>
      <c r="C5831" s="4"/>
      <c r="D5831" s="4"/>
      <c r="E5831" s="4"/>
      <c r="F5831" s="4"/>
      <c r="G5831" s="4"/>
    </row>
    <row r="5832">
      <c r="A5832" s="4"/>
      <c r="B5832" s="4"/>
      <c r="C5832" s="4"/>
      <c r="D5832" s="4"/>
      <c r="E5832" s="4"/>
      <c r="F5832" s="4"/>
      <c r="G5832" s="4"/>
    </row>
    <row r="5833">
      <c r="A5833" s="4"/>
      <c r="B5833" s="4"/>
      <c r="C5833" s="4"/>
      <c r="D5833" s="4"/>
      <c r="E5833" s="13"/>
      <c r="F5833" s="4"/>
      <c r="G5833" s="4"/>
    </row>
    <row r="5834">
      <c r="A5834" s="4"/>
      <c r="B5834" s="4"/>
      <c r="C5834" s="4"/>
      <c r="D5834" s="4"/>
      <c r="E5834" s="4"/>
      <c r="F5834" s="4"/>
      <c r="G5834" s="4"/>
    </row>
    <row r="5835">
      <c r="A5835" s="4"/>
      <c r="B5835" s="4"/>
      <c r="C5835" s="4"/>
      <c r="D5835" s="4"/>
      <c r="E5835" s="13"/>
      <c r="F5835" s="4"/>
      <c r="G5835" s="4"/>
    </row>
    <row r="5836">
      <c r="A5836" s="4"/>
      <c r="B5836" s="4"/>
      <c r="C5836" s="4"/>
      <c r="D5836" s="4"/>
      <c r="E5836" s="4"/>
      <c r="F5836" s="4"/>
      <c r="G5836" s="4"/>
    </row>
    <row r="5837">
      <c r="A5837" s="4"/>
      <c r="B5837" s="4"/>
      <c r="C5837" s="4"/>
      <c r="D5837" s="4"/>
      <c r="E5837" s="4"/>
      <c r="F5837" s="4"/>
      <c r="G5837" s="4"/>
    </row>
    <row r="5838">
      <c r="A5838" s="4"/>
      <c r="B5838" s="4"/>
      <c r="C5838" s="4"/>
      <c r="D5838" s="4"/>
      <c r="E5838" s="13"/>
      <c r="F5838" s="4"/>
      <c r="G5838" s="4"/>
    </row>
    <row r="5839">
      <c r="A5839" s="4"/>
      <c r="B5839" s="4"/>
      <c r="C5839" s="4"/>
      <c r="D5839" s="4"/>
      <c r="E5839" s="4"/>
      <c r="F5839" s="4"/>
      <c r="G5839" s="4"/>
    </row>
    <row r="5840">
      <c r="A5840" s="4"/>
      <c r="B5840" s="4"/>
      <c r="C5840" s="4"/>
      <c r="D5840" s="4"/>
      <c r="E5840" s="4"/>
      <c r="F5840" s="4"/>
      <c r="G5840" s="4"/>
    </row>
    <row r="5841">
      <c r="A5841" s="4"/>
      <c r="B5841" s="4"/>
      <c r="C5841" s="4"/>
      <c r="D5841" s="4"/>
      <c r="E5841" s="4"/>
      <c r="F5841" s="4"/>
      <c r="G5841" s="4"/>
    </row>
    <row r="5842">
      <c r="A5842" s="4"/>
      <c r="B5842" s="4"/>
      <c r="C5842" s="4"/>
      <c r="D5842" s="4"/>
      <c r="E5842" s="4"/>
      <c r="F5842" s="4"/>
      <c r="G5842" s="4"/>
    </row>
    <row r="5843">
      <c r="A5843" s="4"/>
      <c r="B5843" s="4"/>
      <c r="C5843" s="4"/>
      <c r="D5843" s="4"/>
      <c r="E5843" s="4"/>
      <c r="F5843" s="4"/>
      <c r="G5843" s="4"/>
    </row>
    <row r="5844">
      <c r="A5844" s="4"/>
      <c r="B5844" s="4"/>
      <c r="C5844" s="4"/>
      <c r="D5844" s="13"/>
      <c r="E5844" s="13"/>
      <c r="F5844" s="4"/>
      <c r="G5844" s="4"/>
    </row>
    <row r="5845">
      <c r="A5845" s="4"/>
      <c r="B5845" s="4"/>
      <c r="C5845" s="4"/>
      <c r="D5845" s="13"/>
      <c r="E5845" s="13"/>
      <c r="F5845" s="4"/>
      <c r="G5845" s="4"/>
    </row>
    <row r="5846">
      <c r="A5846" s="4"/>
      <c r="B5846" s="4"/>
      <c r="C5846" s="4"/>
      <c r="D5846" s="13"/>
      <c r="E5846" s="13"/>
      <c r="F5846" s="4"/>
      <c r="G5846" s="4"/>
    </row>
    <row r="5847">
      <c r="A5847" s="4"/>
      <c r="B5847" s="4"/>
      <c r="C5847" s="4"/>
      <c r="D5847" s="13"/>
      <c r="E5847" s="13"/>
      <c r="F5847" s="4"/>
      <c r="G5847" s="4"/>
    </row>
    <row r="5848">
      <c r="A5848" s="4"/>
      <c r="B5848" s="4"/>
      <c r="C5848" s="4"/>
      <c r="D5848" s="4"/>
      <c r="E5848" s="4"/>
      <c r="F5848" s="4"/>
      <c r="G5848" s="4"/>
    </row>
    <row r="5849">
      <c r="A5849" s="4"/>
      <c r="B5849" s="4"/>
      <c r="C5849" s="4"/>
      <c r="D5849" s="13"/>
      <c r="E5849" s="13"/>
      <c r="F5849" s="4"/>
      <c r="G5849" s="4"/>
    </row>
    <row r="5850">
      <c r="A5850" s="4"/>
      <c r="B5850" s="4"/>
      <c r="C5850" s="4"/>
      <c r="D5850" s="4"/>
      <c r="E5850" s="4"/>
      <c r="F5850" s="4"/>
      <c r="G5850" s="4"/>
    </row>
    <row r="5851">
      <c r="A5851" s="4"/>
      <c r="B5851" s="4"/>
      <c r="C5851" s="4"/>
      <c r="D5851" s="13"/>
      <c r="E5851" s="13"/>
      <c r="F5851" s="4"/>
      <c r="G5851" s="4"/>
    </row>
    <row r="5852">
      <c r="A5852" s="4"/>
      <c r="B5852" s="4"/>
      <c r="C5852" s="4"/>
      <c r="D5852" s="4"/>
      <c r="E5852" s="13"/>
      <c r="F5852" s="4"/>
      <c r="G5852" s="4"/>
    </row>
    <row r="5853">
      <c r="A5853" s="4"/>
      <c r="B5853" s="4"/>
      <c r="C5853" s="4"/>
      <c r="D5853" s="4"/>
      <c r="E5853" s="4"/>
      <c r="F5853" s="4"/>
      <c r="G5853" s="4"/>
    </row>
    <row r="5854">
      <c r="A5854" s="4"/>
      <c r="B5854" s="4"/>
      <c r="C5854" s="4"/>
      <c r="D5854" s="4"/>
      <c r="E5854" s="4"/>
      <c r="F5854" s="4"/>
      <c r="G5854" s="4"/>
    </row>
    <row r="5855">
      <c r="A5855" s="4"/>
      <c r="B5855" s="4"/>
      <c r="C5855" s="4"/>
      <c r="D5855" s="4"/>
      <c r="E5855" s="4"/>
      <c r="F5855" s="4"/>
      <c r="G5855" s="4"/>
    </row>
    <row r="5856">
      <c r="A5856" s="4"/>
      <c r="B5856" s="4"/>
      <c r="C5856" s="4"/>
      <c r="D5856" s="13"/>
      <c r="E5856" s="13"/>
      <c r="F5856" s="4"/>
      <c r="G5856" s="4"/>
    </row>
    <row r="5857">
      <c r="A5857" s="4"/>
      <c r="B5857" s="4"/>
      <c r="C5857" s="4"/>
      <c r="D5857" s="4"/>
      <c r="E5857" s="13"/>
      <c r="F5857" s="4"/>
      <c r="G5857" s="4"/>
    </row>
    <row r="5858">
      <c r="A5858" s="4"/>
      <c r="B5858" s="4"/>
      <c r="C5858" s="4"/>
      <c r="D5858" s="4"/>
      <c r="E5858" s="4"/>
      <c r="F5858" s="4"/>
      <c r="G5858" s="4"/>
    </row>
    <row r="5859">
      <c r="A5859" s="4"/>
      <c r="B5859" s="4"/>
      <c r="C5859" s="4"/>
      <c r="D5859" s="4"/>
      <c r="E5859" s="4"/>
      <c r="F5859" s="4"/>
      <c r="G5859" s="4"/>
    </row>
    <row r="5860">
      <c r="A5860" s="4"/>
      <c r="B5860" s="4"/>
      <c r="C5860" s="4"/>
      <c r="D5860" s="4"/>
      <c r="E5860" s="13"/>
      <c r="F5860" s="4"/>
      <c r="G5860" s="4"/>
    </row>
    <row r="5861">
      <c r="A5861" s="4"/>
      <c r="B5861" s="4"/>
      <c r="C5861" s="4"/>
      <c r="D5861" s="4"/>
      <c r="E5861" s="13"/>
      <c r="F5861" s="4"/>
      <c r="G5861" s="4"/>
    </row>
    <row r="5862">
      <c r="A5862" s="4"/>
      <c r="B5862" s="4"/>
      <c r="C5862" s="4"/>
      <c r="D5862" s="4"/>
      <c r="E5862" s="4"/>
      <c r="F5862" s="4"/>
      <c r="G5862" s="4"/>
    </row>
    <row r="5863">
      <c r="A5863" s="4"/>
      <c r="B5863" s="4"/>
      <c r="C5863" s="4"/>
      <c r="D5863" s="4"/>
      <c r="E5863" s="4"/>
      <c r="F5863" s="4"/>
      <c r="G5863" s="4"/>
    </row>
    <row r="5864">
      <c r="A5864" s="4"/>
      <c r="B5864" s="4"/>
      <c r="C5864" s="4"/>
      <c r="D5864" s="4"/>
      <c r="E5864" s="13"/>
      <c r="F5864" s="4"/>
      <c r="G5864" s="4"/>
    </row>
    <row r="5865">
      <c r="A5865" s="4"/>
      <c r="B5865" s="4"/>
      <c r="C5865" s="4"/>
      <c r="D5865" s="4"/>
      <c r="E5865" s="13"/>
      <c r="F5865" s="4"/>
      <c r="G5865" s="4"/>
    </row>
    <row r="5866">
      <c r="A5866" s="4"/>
      <c r="B5866" s="4"/>
      <c r="C5866" s="4"/>
      <c r="D5866" s="4"/>
      <c r="E5866" s="4"/>
      <c r="F5866" s="4"/>
      <c r="G5866" s="4"/>
    </row>
    <row r="5867">
      <c r="A5867" s="4"/>
      <c r="B5867" s="4"/>
      <c r="C5867" s="4"/>
      <c r="D5867" s="4"/>
      <c r="E5867" s="13"/>
      <c r="F5867" s="4"/>
      <c r="G5867" s="4"/>
    </row>
    <row r="5868">
      <c r="A5868" s="4"/>
      <c r="B5868" s="4"/>
      <c r="C5868" s="4"/>
      <c r="D5868" s="4"/>
      <c r="E5868" s="4"/>
      <c r="F5868" s="4"/>
      <c r="G5868" s="4"/>
    </row>
    <row r="5869">
      <c r="A5869" s="4"/>
      <c r="B5869" s="4"/>
      <c r="C5869" s="4"/>
      <c r="D5869" s="4"/>
      <c r="E5869" s="4"/>
      <c r="F5869" s="4"/>
      <c r="G5869" s="4"/>
    </row>
    <row r="5870">
      <c r="A5870" s="4"/>
      <c r="B5870" s="4"/>
      <c r="C5870" s="4"/>
      <c r="D5870" s="4"/>
      <c r="E5870" s="4"/>
      <c r="F5870" s="4"/>
      <c r="G5870" s="4"/>
    </row>
    <row r="5871">
      <c r="A5871" s="4"/>
      <c r="B5871" s="4"/>
      <c r="C5871" s="4"/>
      <c r="D5871" s="4"/>
      <c r="E5871" s="13"/>
      <c r="F5871" s="4"/>
      <c r="G5871" s="4"/>
    </row>
    <row r="5872">
      <c r="A5872" s="4"/>
      <c r="B5872" s="4"/>
      <c r="C5872" s="4"/>
      <c r="D5872" s="4"/>
      <c r="E5872" s="4"/>
      <c r="F5872" s="4"/>
      <c r="G5872" s="4"/>
    </row>
    <row r="5873">
      <c r="A5873" s="4"/>
      <c r="B5873" s="4"/>
      <c r="C5873" s="4"/>
      <c r="D5873" s="4"/>
      <c r="E5873" s="4"/>
      <c r="F5873" s="4"/>
      <c r="G5873" s="4"/>
    </row>
    <row r="5874">
      <c r="A5874" s="4"/>
      <c r="B5874" s="4"/>
      <c r="C5874" s="4"/>
      <c r="D5874" s="4"/>
      <c r="E5874" s="4"/>
      <c r="F5874" s="4"/>
      <c r="G5874" s="4"/>
    </row>
    <row r="5875">
      <c r="A5875" s="4"/>
      <c r="B5875" s="4"/>
      <c r="C5875" s="4"/>
      <c r="D5875" s="4"/>
      <c r="E5875" s="13"/>
      <c r="F5875" s="4"/>
      <c r="G5875" s="4"/>
    </row>
    <row r="5876">
      <c r="A5876" s="4"/>
      <c r="B5876" s="4"/>
      <c r="C5876" s="4"/>
      <c r="D5876" s="4"/>
      <c r="E5876" s="4"/>
      <c r="F5876" s="4"/>
      <c r="G5876" s="4"/>
    </row>
    <row r="5877">
      <c r="A5877" s="4"/>
      <c r="B5877" s="4"/>
      <c r="C5877" s="4"/>
      <c r="D5877" s="4"/>
      <c r="E5877" s="4"/>
      <c r="F5877" s="4"/>
      <c r="G5877" s="4"/>
    </row>
    <row r="5878">
      <c r="A5878" s="4"/>
      <c r="B5878" s="4"/>
      <c r="C5878" s="4"/>
      <c r="D5878" s="4"/>
      <c r="E5878" s="13"/>
      <c r="F5878" s="4"/>
      <c r="G5878" s="4"/>
    </row>
    <row r="5879">
      <c r="A5879" s="4"/>
      <c r="B5879" s="4"/>
      <c r="C5879" s="4"/>
      <c r="D5879" s="4"/>
      <c r="E5879" s="13"/>
      <c r="F5879" s="4"/>
      <c r="G5879" s="4"/>
    </row>
    <row r="5880">
      <c r="A5880" s="4"/>
      <c r="B5880" s="4"/>
      <c r="C5880" s="4"/>
      <c r="D5880" s="4"/>
      <c r="E5880" s="4"/>
      <c r="F5880" s="4"/>
      <c r="G5880" s="4"/>
    </row>
    <row r="5881">
      <c r="A5881" s="4"/>
      <c r="B5881" s="4"/>
      <c r="C5881" s="4"/>
      <c r="D5881" s="4"/>
      <c r="E5881" s="4"/>
      <c r="F5881" s="4"/>
      <c r="G5881" s="4"/>
    </row>
    <row r="5882">
      <c r="A5882" s="4"/>
      <c r="B5882" s="4"/>
      <c r="C5882" s="4"/>
      <c r="D5882" s="4"/>
      <c r="E5882" s="13"/>
      <c r="F5882" s="4"/>
      <c r="G5882" s="4"/>
    </row>
    <row r="5883">
      <c r="A5883" s="4"/>
      <c r="B5883" s="4"/>
      <c r="C5883" s="4"/>
      <c r="D5883" s="4"/>
      <c r="E5883" s="13"/>
      <c r="F5883" s="4"/>
      <c r="G5883" s="4"/>
    </row>
    <row r="5884">
      <c r="A5884" s="4"/>
      <c r="B5884" s="4"/>
      <c r="C5884" s="4"/>
      <c r="D5884" s="4"/>
      <c r="E5884" s="13"/>
      <c r="F5884" s="4"/>
      <c r="G5884" s="4"/>
    </row>
    <row r="5885">
      <c r="A5885" s="4"/>
      <c r="B5885" s="4"/>
      <c r="C5885" s="4"/>
      <c r="D5885" s="4"/>
      <c r="E5885" s="4"/>
      <c r="F5885" s="4"/>
      <c r="G5885" s="4"/>
    </row>
    <row r="5886">
      <c r="A5886" s="4"/>
      <c r="B5886" s="4"/>
      <c r="C5886" s="4"/>
      <c r="D5886" s="4"/>
      <c r="E5886" s="4"/>
      <c r="F5886" s="4"/>
      <c r="G5886" s="4"/>
    </row>
    <row r="5887">
      <c r="A5887" s="4"/>
      <c r="B5887" s="4"/>
      <c r="C5887" s="4"/>
      <c r="D5887" s="4"/>
      <c r="E5887" s="13"/>
      <c r="F5887" s="4"/>
      <c r="G5887" s="4"/>
    </row>
    <row r="5888">
      <c r="A5888" s="4"/>
      <c r="B5888" s="4"/>
      <c r="C5888" s="4"/>
      <c r="D5888" s="4"/>
      <c r="E5888" s="4"/>
      <c r="F5888" s="4"/>
      <c r="G5888" s="4"/>
    </row>
    <row r="5889">
      <c r="A5889" s="4"/>
      <c r="B5889" s="4"/>
      <c r="C5889" s="4"/>
      <c r="D5889" s="4"/>
      <c r="E5889" s="4"/>
      <c r="F5889" s="4"/>
      <c r="G5889" s="4"/>
    </row>
    <row r="5890">
      <c r="A5890" s="4"/>
      <c r="B5890" s="4"/>
      <c r="C5890" s="4"/>
      <c r="D5890" s="4"/>
      <c r="E5890" s="13"/>
      <c r="F5890" s="4"/>
      <c r="G5890" s="4"/>
    </row>
    <row r="5891">
      <c r="A5891" s="4"/>
      <c r="B5891" s="4"/>
      <c r="C5891" s="4"/>
      <c r="D5891" s="4"/>
      <c r="E5891" s="4"/>
      <c r="F5891" s="4"/>
      <c r="G5891" s="4"/>
    </row>
    <row r="5892">
      <c r="A5892" s="4"/>
      <c r="B5892" s="4"/>
      <c r="C5892" s="4"/>
      <c r="D5892" s="4"/>
      <c r="E5892" s="4"/>
      <c r="F5892" s="4"/>
      <c r="G5892" s="4"/>
    </row>
    <row r="5893">
      <c r="A5893" s="4"/>
      <c r="B5893" s="4"/>
      <c r="C5893" s="4"/>
      <c r="D5893" s="4"/>
      <c r="E5893" s="4"/>
      <c r="F5893" s="4"/>
      <c r="G5893" s="4"/>
    </row>
    <row r="5894">
      <c r="A5894" s="4"/>
      <c r="B5894" s="4"/>
      <c r="C5894" s="4"/>
      <c r="D5894" s="13"/>
      <c r="E5894" s="13"/>
      <c r="F5894" s="4"/>
      <c r="G5894" s="4"/>
    </row>
    <row r="5895">
      <c r="A5895" s="4"/>
      <c r="B5895" s="4"/>
      <c r="C5895" s="4"/>
      <c r="D5895" s="4"/>
      <c r="E5895" s="4"/>
      <c r="F5895" s="4"/>
      <c r="G5895" s="4"/>
    </row>
    <row r="5896">
      <c r="A5896" s="4"/>
      <c r="B5896" s="4"/>
      <c r="C5896" s="4"/>
      <c r="D5896" s="4"/>
      <c r="E5896" s="4"/>
      <c r="F5896" s="4"/>
      <c r="G5896" s="4"/>
    </row>
    <row r="5897">
      <c r="A5897" s="4"/>
      <c r="B5897" s="4"/>
      <c r="C5897" s="4"/>
      <c r="D5897" s="13"/>
      <c r="E5897" s="13"/>
      <c r="F5897" s="4"/>
      <c r="G5897" s="4"/>
    </row>
    <row r="5898">
      <c r="A5898" s="4"/>
      <c r="B5898" s="4"/>
      <c r="C5898" s="4"/>
      <c r="D5898" s="13"/>
      <c r="E5898" s="13"/>
      <c r="F5898" s="4"/>
      <c r="G5898" s="4"/>
    </row>
    <row r="5899">
      <c r="A5899" s="4"/>
      <c r="B5899" s="4"/>
      <c r="C5899" s="4"/>
      <c r="D5899" s="4"/>
      <c r="E5899" s="4"/>
      <c r="F5899" s="4"/>
      <c r="G5899" s="4"/>
    </row>
    <row r="5900">
      <c r="A5900" s="4"/>
      <c r="B5900" s="4"/>
      <c r="C5900" s="4"/>
      <c r="D5900" s="13"/>
      <c r="E5900" s="13"/>
      <c r="F5900" s="4"/>
      <c r="G5900" s="4"/>
    </row>
    <row r="5901">
      <c r="A5901" s="4"/>
      <c r="B5901" s="4"/>
      <c r="C5901" s="4"/>
      <c r="D5901" s="4"/>
      <c r="E5901" s="4"/>
      <c r="F5901" s="4"/>
      <c r="G5901" s="4"/>
    </row>
    <row r="5902">
      <c r="A5902" s="4"/>
      <c r="B5902" s="4"/>
      <c r="C5902" s="4"/>
      <c r="D5902" s="13"/>
      <c r="E5902" s="13"/>
      <c r="F5902" s="4"/>
      <c r="G5902" s="4"/>
    </row>
    <row r="5903">
      <c r="A5903" s="4"/>
      <c r="B5903" s="4"/>
      <c r="C5903" s="4"/>
      <c r="D5903" s="4"/>
      <c r="E5903" s="13"/>
      <c r="F5903" s="4"/>
      <c r="G5903" s="4"/>
    </row>
    <row r="5904">
      <c r="A5904" s="4"/>
      <c r="B5904" s="4"/>
      <c r="C5904" s="4"/>
      <c r="D5904" s="4"/>
      <c r="E5904" s="4"/>
      <c r="F5904" s="4"/>
      <c r="G5904" s="4"/>
    </row>
    <row r="5905">
      <c r="A5905" s="4"/>
      <c r="B5905" s="4"/>
      <c r="C5905" s="4"/>
      <c r="D5905" s="4"/>
      <c r="E5905" s="4"/>
      <c r="F5905" s="4"/>
      <c r="G5905" s="4"/>
    </row>
    <row r="5906">
      <c r="A5906" s="4"/>
      <c r="B5906" s="4"/>
      <c r="C5906" s="4"/>
      <c r="D5906" s="4"/>
      <c r="E5906" s="13"/>
      <c r="F5906" s="4"/>
      <c r="G5906" s="4"/>
    </row>
    <row r="5907">
      <c r="A5907" s="4"/>
      <c r="B5907" s="4"/>
      <c r="C5907" s="4"/>
      <c r="D5907" s="4"/>
      <c r="E5907" s="13"/>
      <c r="F5907" s="4"/>
      <c r="G5907" s="4"/>
    </row>
    <row r="5908">
      <c r="A5908" s="4"/>
      <c r="B5908" s="4"/>
      <c r="C5908" s="4"/>
      <c r="D5908" s="4"/>
      <c r="E5908" s="4"/>
      <c r="F5908" s="4"/>
      <c r="G5908" s="4"/>
    </row>
    <row r="5909">
      <c r="A5909" s="4"/>
      <c r="B5909" s="4"/>
      <c r="C5909" s="4"/>
      <c r="D5909" s="4"/>
      <c r="E5909" s="13"/>
      <c r="F5909" s="4"/>
      <c r="G5909" s="4"/>
    </row>
    <row r="5910">
      <c r="A5910" s="4"/>
      <c r="B5910" s="4"/>
      <c r="C5910" s="4"/>
      <c r="D5910" s="4"/>
      <c r="E5910" s="4"/>
      <c r="F5910" s="4"/>
      <c r="G5910" s="4"/>
    </row>
    <row r="5911">
      <c r="A5911" s="4"/>
      <c r="B5911" s="4"/>
      <c r="C5911" s="4"/>
      <c r="D5911" s="4"/>
      <c r="E5911" s="4"/>
      <c r="F5911" s="4"/>
      <c r="G5911" s="4"/>
    </row>
    <row r="5912">
      <c r="A5912" s="4"/>
      <c r="B5912" s="4"/>
      <c r="C5912" s="4"/>
      <c r="D5912" s="4"/>
      <c r="E5912" s="13"/>
      <c r="F5912" s="4"/>
      <c r="G5912" s="4"/>
    </row>
    <row r="5913">
      <c r="A5913" s="4"/>
      <c r="B5913" s="4"/>
      <c r="C5913" s="4"/>
      <c r="D5913" s="13"/>
      <c r="E5913" s="13"/>
      <c r="F5913" s="4"/>
      <c r="G5913" s="4"/>
    </row>
    <row r="5914">
      <c r="A5914" s="4"/>
      <c r="B5914" s="4"/>
      <c r="C5914" s="4"/>
      <c r="D5914" s="4"/>
      <c r="E5914" s="4"/>
      <c r="F5914" s="4"/>
      <c r="G5914" s="4"/>
    </row>
    <row r="5915">
      <c r="A5915" s="4"/>
      <c r="B5915" s="4"/>
      <c r="C5915" s="4"/>
      <c r="D5915" s="4"/>
      <c r="E5915" s="4"/>
      <c r="F5915" s="4"/>
      <c r="G5915" s="4"/>
    </row>
    <row r="5916">
      <c r="A5916" s="4"/>
      <c r="B5916" s="4"/>
      <c r="C5916" s="4"/>
      <c r="D5916" s="13"/>
      <c r="E5916" s="13"/>
      <c r="F5916" s="4"/>
      <c r="G5916" s="4"/>
    </row>
    <row r="5917">
      <c r="A5917" s="4"/>
      <c r="B5917" s="4"/>
      <c r="C5917" s="4"/>
      <c r="D5917" s="4"/>
      <c r="E5917" s="4"/>
      <c r="F5917" s="4"/>
      <c r="G5917" s="4"/>
    </row>
    <row r="5918">
      <c r="A5918" s="4"/>
      <c r="B5918" s="4"/>
      <c r="C5918" s="4"/>
      <c r="D5918" s="4"/>
      <c r="E5918" s="13"/>
      <c r="F5918" s="4"/>
      <c r="G5918" s="4"/>
    </row>
    <row r="5919">
      <c r="A5919" s="4"/>
      <c r="B5919" s="4"/>
      <c r="C5919" s="4"/>
      <c r="D5919" s="4"/>
      <c r="E5919" s="4"/>
      <c r="F5919" s="4"/>
      <c r="G5919" s="4"/>
    </row>
    <row r="5920">
      <c r="A5920" s="4"/>
      <c r="B5920" s="4"/>
      <c r="C5920" s="4"/>
      <c r="D5920" s="4"/>
      <c r="E5920" s="13"/>
      <c r="F5920" s="4"/>
      <c r="G5920" s="4"/>
    </row>
    <row r="5921">
      <c r="A5921" s="4"/>
      <c r="B5921" s="4"/>
      <c r="C5921" s="4"/>
      <c r="D5921" s="4"/>
      <c r="E5921" s="4"/>
      <c r="F5921" s="4"/>
      <c r="G5921" s="4"/>
    </row>
    <row r="5922">
      <c r="A5922" s="4"/>
      <c r="B5922" s="4"/>
      <c r="C5922" s="4"/>
      <c r="D5922" s="4"/>
      <c r="E5922" s="4"/>
      <c r="F5922" s="4"/>
      <c r="G5922" s="4"/>
    </row>
    <row r="5923">
      <c r="A5923" s="4"/>
      <c r="B5923" s="4"/>
      <c r="C5923" s="4"/>
      <c r="D5923" s="13"/>
      <c r="E5923" s="4"/>
      <c r="F5923" s="4"/>
      <c r="G5923" s="4"/>
    </row>
    <row r="5924">
      <c r="A5924" s="4"/>
      <c r="B5924" s="4"/>
      <c r="C5924" s="4"/>
      <c r="D5924" s="4"/>
      <c r="E5924" s="4"/>
      <c r="F5924" s="4"/>
      <c r="G5924" s="4"/>
    </row>
    <row r="5925">
      <c r="A5925" s="4"/>
      <c r="B5925" s="4"/>
      <c r="C5925" s="4"/>
      <c r="D5925" s="4"/>
      <c r="E5925" s="4"/>
      <c r="F5925" s="4"/>
      <c r="G5925" s="4"/>
    </row>
    <row r="5926">
      <c r="A5926" s="4"/>
      <c r="B5926" s="4"/>
      <c r="C5926" s="4"/>
      <c r="D5926" s="4"/>
      <c r="E5926" s="13"/>
      <c r="F5926" s="4"/>
      <c r="G5926" s="4"/>
    </row>
    <row r="5927">
      <c r="A5927" s="4"/>
      <c r="B5927" s="4"/>
      <c r="C5927" s="4"/>
      <c r="D5927" s="4"/>
      <c r="E5927" s="13"/>
      <c r="F5927" s="4"/>
      <c r="G5927" s="4"/>
    </row>
    <row r="5928">
      <c r="A5928" s="4"/>
      <c r="B5928" s="4"/>
      <c r="C5928" s="4"/>
      <c r="D5928" s="4"/>
      <c r="E5928" s="13"/>
      <c r="F5928" s="4"/>
      <c r="G5928" s="4"/>
    </row>
    <row r="5929">
      <c r="A5929" s="4"/>
      <c r="B5929" s="4"/>
      <c r="C5929" s="4"/>
      <c r="D5929" s="4"/>
      <c r="E5929" s="4"/>
      <c r="F5929" s="4"/>
      <c r="G5929" s="4"/>
    </row>
    <row r="5930">
      <c r="A5930" s="4"/>
      <c r="B5930" s="4"/>
      <c r="C5930" s="4"/>
      <c r="D5930" s="4"/>
      <c r="E5930" s="4"/>
      <c r="F5930" s="4"/>
      <c r="G5930" s="4"/>
    </row>
    <row r="5931">
      <c r="A5931" s="4"/>
      <c r="B5931" s="4"/>
      <c r="C5931" s="4"/>
      <c r="D5931" s="4"/>
      <c r="E5931" s="4"/>
      <c r="F5931" s="4"/>
      <c r="G5931" s="4"/>
    </row>
    <row r="5932">
      <c r="A5932" s="4"/>
      <c r="B5932" s="4"/>
      <c r="C5932" s="4"/>
      <c r="D5932" s="13"/>
      <c r="E5932" s="13"/>
      <c r="F5932" s="4"/>
      <c r="G5932" s="4"/>
    </row>
    <row r="5933">
      <c r="A5933" s="4"/>
      <c r="B5933" s="4"/>
      <c r="C5933" s="4"/>
      <c r="D5933" s="4"/>
      <c r="E5933" s="4"/>
      <c r="F5933" s="4"/>
      <c r="G5933" s="4"/>
    </row>
    <row r="5934">
      <c r="A5934" s="4"/>
      <c r="B5934" s="4"/>
      <c r="C5934" s="4"/>
      <c r="D5934" s="13"/>
      <c r="E5934" s="13"/>
      <c r="F5934" s="4"/>
      <c r="G5934" s="4"/>
    </row>
    <row r="5935">
      <c r="A5935" s="4"/>
      <c r="B5935" s="4"/>
      <c r="C5935" s="4"/>
      <c r="D5935" s="4"/>
      <c r="E5935" s="4"/>
      <c r="F5935" s="4"/>
      <c r="G5935" s="4"/>
    </row>
    <row r="5936">
      <c r="A5936" s="4"/>
      <c r="B5936" s="4"/>
      <c r="C5936" s="4"/>
      <c r="D5936" s="4"/>
      <c r="E5936" s="4"/>
      <c r="F5936" s="4"/>
      <c r="G5936" s="4"/>
    </row>
    <row r="5937">
      <c r="A5937" s="4"/>
      <c r="B5937" s="4"/>
      <c r="C5937" s="4"/>
      <c r="D5937" s="4"/>
      <c r="E5937" s="4"/>
      <c r="F5937" s="4"/>
      <c r="G5937" s="4"/>
    </row>
    <row r="5938">
      <c r="A5938" s="4"/>
      <c r="B5938" s="4"/>
      <c r="C5938" s="4"/>
      <c r="D5938" s="4"/>
      <c r="E5938" s="4"/>
      <c r="F5938" s="4"/>
      <c r="G5938" s="4"/>
    </row>
    <row r="5939">
      <c r="A5939" s="4"/>
      <c r="B5939" s="4"/>
      <c r="C5939" s="4"/>
      <c r="D5939" s="4"/>
      <c r="E5939" s="4"/>
      <c r="F5939" s="4"/>
      <c r="G5939" s="4"/>
    </row>
    <row r="5940">
      <c r="A5940" s="4"/>
      <c r="B5940" s="4"/>
      <c r="C5940" s="4"/>
      <c r="D5940" s="13"/>
      <c r="E5940" s="13"/>
      <c r="F5940" s="4"/>
      <c r="G5940" s="4"/>
    </row>
    <row r="5941">
      <c r="A5941" s="4"/>
      <c r="B5941" s="4"/>
      <c r="C5941" s="4"/>
      <c r="D5941" s="4"/>
      <c r="E5941" s="4"/>
      <c r="F5941" s="4"/>
      <c r="G5941" s="4"/>
    </row>
    <row r="5942">
      <c r="A5942" s="4"/>
      <c r="B5942" s="4"/>
      <c r="C5942" s="4"/>
      <c r="D5942" s="4"/>
      <c r="E5942" s="4"/>
      <c r="F5942" s="4"/>
      <c r="G5942" s="4"/>
    </row>
    <row r="5943">
      <c r="A5943" s="4"/>
      <c r="B5943" s="4"/>
      <c r="C5943" s="4"/>
      <c r="D5943" s="13"/>
      <c r="E5943" s="13"/>
      <c r="F5943" s="4"/>
      <c r="G5943" s="4"/>
    </row>
    <row r="5944">
      <c r="A5944" s="4"/>
      <c r="B5944" s="4"/>
      <c r="C5944" s="4"/>
      <c r="D5944" s="4"/>
      <c r="E5944" s="13"/>
      <c r="F5944" s="4"/>
      <c r="G5944" s="4"/>
    </row>
    <row r="5945">
      <c r="A5945" s="4"/>
      <c r="B5945" s="4"/>
      <c r="C5945" s="4"/>
      <c r="D5945" s="4"/>
      <c r="E5945" s="4"/>
      <c r="F5945" s="4"/>
      <c r="G5945" s="4"/>
    </row>
    <row r="5946">
      <c r="A5946" s="4"/>
      <c r="B5946" s="4"/>
      <c r="C5946" s="4"/>
      <c r="D5946" s="4"/>
      <c r="E5946" s="13"/>
      <c r="F5946" s="4"/>
      <c r="G5946" s="4"/>
    </row>
    <row r="5947">
      <c r="A5947" s="4"/>
      <c r="B5947" s="4"/>
      <c r="C5947" s="4"/>
      <c r="D5947" s="4"/>
      <c r="E5947" s="4"/>
      <c r="F5947" s="4"/>
      <c r="G5947" s="4"/>
    </row>
    <row r="5948">
      <c r="A5948" s="4"/>
      <c r="B5948" s="4"/>
      <c r="C5948" s="4"/>
      <c r="D5948" s="4"/>
      <c r="E5948" s="4"/>
      <c r="F5948" s="4"/>
      <c r="G5948" s="4"/>
    </row>
    <row r="5949">
      <c r="A5949" s="4"/>
      <c r="B5949" s="4"/>
      <c r="C5949" s="4"/>
      <c r="D5949" s="4"/>
      <c r="E5949" s="4"/>
      <c r="F5949" s="4"/>
      <c r="G5949" s="4"/>
    </row>
    <row r="5950">
      <c r="A5950" s="4"/>
      <c r="B5950" s="4"/>
      <c r="C5950" s="4"/>
      <c r="D5950" s="4"/>
      <c r="E5950" s="4"/>
      <c r="F5950" s="4"/>
      <c r="G5950" s="4"/>
    </row>
    <row r="5951">
      <c r="A5951" s="4"/>
      <c r="B5951" s="4"/>
      <c r="C5951" s="4"/>
      <c r="D5951" s="4"/>
      <c r="E5951" s="4"/>
      <c r="F5951" s="4"/>
      <c r="G5951" s="4"/>
    </row>
    <row r="5952">
      <c r="A5952" s="4"/>
      <c r="B5952" s="4"/>
      <c r="C5952" s="4"/>
      <c r="D5952" s="4"/>
      <c r="E5952" s="4"/>
      <c r="F5952" s="4"/>
      <c r="G5952" s="4"/>
    </row>
    <row r="5953">
      <c r="A5953" s="4"/>
      <c r="B5953" s="4"/>
      <c r="C5953" s="4"/>
      <c r="D5953" s="4"/>
      <c r="E5953" s="4"/>
      <c r="F5953" s="4"/>
      <c r="G5953" s="4"/>
    </row>
    <row r="5954">
      <c r="A5954" s="4"/>
      <c r="B5954" s="4"/>
      <c r="C5954" s="4"/>
      <c r="D5954" s="4"/>
      <c r="E5954" s="4"/>
      <c r="F5954" s="4"/>
      <c r="G5954" s="4"/>
    </row>
    <row r="5955">
      <c r="A5955" s="4"/>
      <c r="B5955" s="4"/>
      <c r="C5955" s="4"/>
      <c r="D5955" s="4"/>
      <c r="E5955" s="4"/>
      <c r="F5955" s="4"/>
      <c r="G5955" s="4"/>
    </row>
    <row r="5956">
      <c r="A5956" s="4"/>
      <c r="B5956" s="4"/>
      <c r="C5956" s="4"/>
      <c r="D5956" s="4"/>
      <c r="E5956" s="4"/>
      <c r="F5956" s="4"/>
      <c r="G5956" s="4"/>
    </row>
    <row r="5957">
      <c r="A5957" s="4"/>
      <c r="B5957" s="4"/>
      <c r="C5957" s="4"/>
      <c r="D5957" s="4"/>
      <c r="E5957" s="4"/>
      <c r="F5957" s="4"/>
      <c r="G5957" s="4"/>
    </row>
    <row r="5958">
      <c r="A5958" s="4"/>
      <c r="B5958" s="4"/>
      <c r="C5958" s="4"/>
      <c r="D5958" s="4"/>
      <c r="E5958" s="13"/>
      <c r="F5958" s="4"/>
      <c r="G5958" s="4"/>
    </row>
    <row r="5959">
      <c r="A5959" s="4"/>
      <c r="B5959" s="4"/>
      <c r="C5959" s="4"/>
      <c r="D5959" s="4"/>
      <c r="E5959" s="13"/>
      <c r="F5959" s="4"/>
      <c r="G5959" s="4"/>
    </row>
    <row r="5960">
      <c r="A5960" s="4"/>
      <c r="B5960" s="4"/>
      <c r="C5960" s="4"/>
      <c r="D5960" s="4"/>
      <c r="E5960" s="4"/>
      <c r="F5960" s="4"/>
      <c r="G5960" s="4"/>
    </row>
    <row r="5961">
      <c r="A5961" s="4"/>
      <c r="B5961" s="4"/>
      <c r="C5961" s="4"/>
      <c r="D5961" s="4"/>
      <c r="E5961" s="4"/>
      <c r="F5961" s="4"/>
      <c r="G5961" s="4"/>
    </row>
    <row r="5962">
      <c r="A5962" s="4"/>
      <c r="B5962" s="4"/>
      <c r="C5962" s="4"/>
      <c r="D5962" s="4"/>
      <c r="E5962" s="13"/>
      <c r="F5962" s="4"/>
      <c r="G5962" s="4"/>
    </row>
    <row r="5963">
      <c r="A5963" s="4"/>
      <c r="B5963" s="4"/>
      <c r="C5963" s="4"/>
      <c r="D5963" s="4"/>
      <c r="E5963" s="4"/>
      <c r="F5963" s="4"/>
      <c r="G5963" s="4"/>
    </row>
    <row r="5964">
      <c r="A5964" s="4"/>
      <c r="B5964" s="4"/>
      <c r="C5964" s="4"/>
      <c r="D5964" s="4"/>
      <c r="E5964" s="4"/>
      <c r="F5964" s="4"/>
      <c r="G5964" s="4"/>
    </row>
    <row r="5965">
      <c r="A5965" s="4"/>
      <c r="B5965" s="4"/>
      <c r="C5965" s="4"/>
      <c r="D5965" s="4"/>
      <c r="E5965" s="4"/>
      <c r="F5965" s="4"/>
      <c r="G5965" s="4"/>
    </row>
    <row r="5966">
      <c r="A5966" s="4"/>
      <c r="B5966" s="4"/>
      <c r="C5966" s="4"/>
      <c r="D5966" s="4"/>
      <c r="E5966" s="4"/>
      <c r="F5966" s="4"/>
      <c r="G5966" s="4"/>
    </row>
    <row r="5967">
      <c r="A5967" s="4"/>
      <c r="B5967" s="4"/>
      <c r="C5967" s="4"/>
      <c r="D5967" s="4"/>
      <c r="E5967" s="4"/>
      <c r="F5967" s="4"/>
      <c r="G5967" s="4"/>
    </row>
    <row r="5968">
      <c r="A5968" s="4"/>
      <c r="B5968" s="4"/>
      <c r="C5968" s="4"/>
      <c r="D5968" s="4"/>
      <c r="E5968" s="13"/>
      <c r="F5968" s="4"/>
      <c r="G5968" s="4"/>
    </row>
    <row r="5969">
      <c r="A5969" s="4"/>
      <c r="B5969" s="4"/>
      <c r="C5969" s="4"/>
      <c r="D5969" s="4"/>
      <c r="E5969" s="13"/>
      <c r="F5969" s="4"/>
      <c r="G5969" s="4"/>
    </row>
    <row r="5970">
      <c r="A5970" s="4"/>
      <c r="B5970" s="4"/>
      <c r="C5970" s="4"/>
      <c r="D5970" s="4"/>
      <c r="E5970" s="4"/>
      <c r="F5970" s="4"/>
      <c r="G5970" s="4"/>
    </row>
    <row r="5971">
      <c r="A5971" s="4"/>
      <c r="B5971" s="4"/>
      <c r="C5971" s="4"/>
      <c r="D5971" s="4"/>
      <c r="E5971" s="4"/>
      <c r="F5971" s="4"/>
      <c r="G5971" s="4"/>
    </row>
    <row r="5972">
      <c r="A5972" s="4"/>
      <c r="B5972" s="4"/>
      <c r="C5972" s="4"/>
      <c r="D5972" s="4"/>
      <c r="E5972" s="13"/>
      <c r="F5972" s="4"/>
      <c r="G5972" s="4"/>
    </row>
    <row r="5973">
      <c r="A5973" s="4"/>
      <c r="B5973" s="4"/>
      <c r="C5973" s="4"/>
      <c r="D5973" s="4"/>
      <c r="E5973" s="4"/>
      <c r="F5973" s="4"/>
      <c r="G5973" s="4"/>
    </row>
    <row r="5974">
      <c r="A5974" s="4"/>
      <c r="B5974" s="4"/>
      <c r="C5974" s="4"/>
      <c r="D5974" s="4"/>
      <c r="E5974" s="4"/>
      <c r="F5974" s="4"/>
      <c r="G5974" s="4"/>
    </row>
    <row r="5975">
      <c r="A5975" s="4"/>
      <c r="B5975" s="4"/>
      <c r="C5975" s="4"/>
      <c r="D5975" s="4"/>
      <c r="E5975" s="13"/>
      <c r="F5975" s="4"/>
      <c r="G5975" s="4"/>
    </row>
    <row r="5976">
      <c r="A5976" s="4"/>
      <c r="B5976" s="4"/>
      <c r="C5976" s="4"/>
      <c r="D5976" s="4"/>
      <c r="E5976" s="4"/>
      <c r="F5976" s="4"/>
      <c r="G5976" s="4"/>
    </row>
    <row r="5977">
      <c r="A5977" s="4"/>
      <c r="B5977" s="4"/>
      <c r="C5977" s="4"/>
      <c r="D5977" s="4"/>
      <c r="E5977" s="13"/>
      <c r="F5977" s="4"/>
      <c r="G5977" s="4"/>
    </row>
    <row r="5978">
      <c r="A5978" s="4"/>
      <c r="B5978" s="4"/>
      <c r="C5978" s="4"/>
      <c r="D5978" s="13"/>
      <c r="E5978" s="13"/>
      <c r="F5978" s="4"/>
      <c r="G5978" s="4"/>
    </row>
    <row r="5979">
      <c r="A5979" s="4"/>
      <c r="B5979" s="4"/>
      <c r="C5979" s="4"/>
      <c r="D5979" s="4"/>
      <c r="E5979" s="13"/>
      <c r="F5979" s="4"/>
      <c r="G5979" s="4"/>
    </row>
    <row r="5980">
      <c r="A5980" s="4"/>
      <c r="B5980" s="4"/>
      <c r="C5980" s="4"/>
      <c r="D5980" s="4"/>
      <c r="E5980" s="4"/>
      <c r="F5980" s="4"/>
      <c r="G5980" s="4"/>
    </row>
    <row r="5981">
      <c r="A5981" s="4"/>
      <c r="B5981" s="4"/>
      <c r="C5981" s="4"/>
      <c r="D5981" s="4"/>
      <c r="E5981" s="4"/>
      <c r="F5981" s="4"/>
      <c r="G5981" s="4"/>
    </row>
    <row r="5982">
      <c r="A5982" s="4"/>
      <c r="B5982" s="4"/>
      <c r="C5982" s="4"/>
      <c r="D5982" s="4"/>
      <c r="E5982" s="13"/>
      <c r="F5982" s="4"/>
      <c r="G5982" s="4"/>
    </row>
    <row r="5983">
      <c r="A5983" s="4"/>
      <c r="B5983" s="4"/>
      <c r="C5983" s="4"/>
      <c r="D5983" s="4"/>
      <c r="E5983" s="4"/>
      <c r="F5983" s="4"/>
      <c r="G5983" s="4"/>
    </row>
    <row r="5984">
      <c r="A5984" s="4"/>
      <c r="B5984" s="4"/>
      <c r="C5984" s="4"/>
      <c r="D5984" s="4"/>
      <c r="E5984" s="13"/>
      <c r="F5984" s="4"/>
      <c r="G5984" s="4"/>
    </row>
    <row r="5985">
      <c r="A5985" s="4"/>
      <c r="B5985" s="4"/>
      <c r="C5985" s="4"/>
      <c r="D5985" s="4"/>
      <c r="E5985" s="4"/>
      <c r="F5985" s="4"/>
      <c r="G5985" s="4"/>
    </row>
    <row r="5986">
      <c r="A5986" s="4"/>
      <c r="B5986" s="4"/>
      <c r="C5986" s="4"/>
      <c r="D5986" s="4"/>
      <c r="E5986" s="13"/>
      <c r="F5986" s="4"/>
      <c r="G5986" s="4"/>
    </row>
    <row r="5987">
      <c r="A5987" s="4"/>
      <c r="B5987" s="4"/>
      <c r="C5987" s="4"/>
      <c r="D5987" s="4"/>
      <c r="E5987" s="4"/>
      <c r="F5987" s="4"/>
      <c r="G5987" s="4"/>
    </row>
    <row r="5988">
      <c r="A5988" s="4"/>
      <c r="B5988" s="4"/>
      <c r="C5988" s="4"/>
      <c r="D5988" s="4"/>
      <c r="E5988" s="4"/>
      <c r="F5988" s="4"/>
      <c r="G5988" s="4"/>
    </row>
    <row r="5989">
      <c r="A5989" s="4"/>
      <c r="B5989" s="4"/>
      <c r="C5989" s="4"/>
      <c r="D5989" s="4"/>
      <c r="E5989" s="13"/>
      <c r="F5989" s="4"/>
      <c r="G5989" s="4"/>
    </row>
    <row r="5990">
      <c r="A5990" s="4"/>
      <c r="B5990" s="4"/>
      <c r="C5990" s="4"/>
      <c r="D5990" s="4"/>
      <c r="E5990" s="13"/>
      <c r="F5990" s="4"/>
      <c r="G5990" s="4"/>
    </row>
    <row r="5991">
      <c r="A5991" s="4"/>
      <c r="B5991" s="4"/>
      <c r="C5991" s="4"/>
      <c r="D5991" s="4"/>
      <c r="E5991" s="13"/>
      <c r="F5991" s="4"/>
      <c r="G5991" s="4"/>
    </row>
    <row r="5992">
      <c r="A5992" s="4"/>
      <c r="B5992" s="4"/>
      <c r="C5992" s="4"/>
      <c r="D5992" s="4"/>
      <c r="E5992" s="4"/>
      <c r="F5992" s="4"/>
      <c r="G5992" s="4"/>
    </row>
    <row r="5993">
      <c r="A5993" s="4"/>
      <c r="B5993" s="4"/>
      <c r="C5993" s="4"/>
      <c r="D5993" s="4"/>
      <c r="E5993" s="4"/>
      <c r="F5993" s="4"/>
      <c r="G5993" s="4"/>
    </row>
    <row r="5994">
      <c r="A5994" s="4"/>
      <c r="B5994" s="4"/>
      <c r="C5994" s="4"/>
      <c r="D5994" s="4"/>
      <c r="E5994" s="4"/>
      <c r="F5994" s="4"/>
      <c r="G5994" s="4"/>
    </row>
    <row r="5995">
      <c r="A5995" s="4"/>
      <c r="B5995" s="4"/>
      <c r="C5995" s="4"/>
      <c r="D5995" s="4"/>
      <c r="E5995" s="4"/>
      <c r="F5995" s="4"/>
      <c r="G5995" s="4"/>
    </row>
    <row r="5996">
      <c r="A5996" s="4"/>
      <c r="B5996" s="4"/>
      <c r="C5996" s="4"/>
      <c r="D5996" s="4"/>
      <c r="E5996" s="13"/>
      <c r="F5996" s="4"/>
      <c r="G5996" s="4"/>
    </row>
    <row r="5997">
      <c r="A5997" s="4"/>
      <c r="B5997" s="4"/>
      <c r="C5997" s="4"/>
      <c r="D5997" s="4"/>
      <c r="E5997" s="4"/>
      <c r="F5997" s="4"/>
      <c r="G5997" s="4"/>
    </row>
    <row r="5998">
      <c r="A5998" s="4"/>
      <c r="B5998" s="4"/>
      <c r="C5998" s="4"/>
      <c r="D5998" s="4"/>
      <c r="E5998" s="13"/>
      <c r="F5998" s="4"/>
      <c r="G5998" s="4"/>
    </row>
    <row r="5999">
      <c r="A5999" s="4"/>
      <c r="B5999" s="4"/>
      <c r="C5999" s="4"/>
      <c r="D5999" s="4"/>
      <c r="E5999" s="13"/>
      <c r="F5999" s="4"/>
      <c r="G5999" s="4"/>
    </row>
    <row r="6000">
      <c r="A6000" s="4"/>
      <c r="B6000" s="4"/>
      <c r="C6000" s="4"/>
      <c r="D6000" s="4"/>
      <c r="E6000" s="4"/>
      <c r="F6000" s="4"/>
      <c r="G6000" s="4"/>
    </row>
    <row r="6001">
      <c r="A6001" s="4"/>
      <c r="B6001" s="4"/>
      <c r="C6001" s="4"/>
      <c r="D6001" s="4"/>
      <c r="E6001" s="4"/>
      <c r="F6001" s="4"/>
      <c r="G6001" s="4"/>
    </row>
    <row r="6002">
      <c r="A6002" s="4"/>
      <c r="B6002" s="4"/>
      <c r="C6002" s="4"/>
      <c r="D6002" s="4"/>
      <c r="E6002" s="13"/>
      <c r="F6002" s="4"/>
      <c r="G6002" s="4"/>
    </row>
    <row r="6003">
      <c r="A6003" s="4"/>
      <c r="B6003" s="4"/>
      <c r="C6003" s="4"/>
      <c r="D6003" s="13"/>
      <c r="E6003" s="13"/>
      <c r="F6003" s="4"/>
      <c r="G6003" s="4"/>
    </row>
    <row r="6004">
      <c r="A6004" s="4"/>
      <c r="B6004" s="4"/>
      <c r="C6004" s="4"/>
      <c r="D6004" s="13"/>
      <c r="E6004" s="13"/>
      <c r="F6004" s="4"/>
      <c r="G6004" s="4"/>
    </row>
    <row r="6005">
      <c r="A6005" s="4"/>
      <c r="B6005" s="4"/>
      <c r="C6005" s="4"/>
      <c r="D6005" s="13"/>
      <c r="E6005" s="13"/>
      <c r="F6005" s="4"/>
      <c r="G6005" s="4"/>
    </row>
    <row r="6006">
      <c r="A6006" s="4"/>
      <c r="B6006" s="4"/>
      <c r="C6006" s="4"/>
      <c r="D6006" s="4"/>
      <c r="E6006" s="4"/>
      <c r="F6006" s="4"/>
      <c r="G6006" s="4"/>
    </row>
    <row r="6007">
      <c r="A6007" s="4"/>
      <c r="B6007" s="4"/>
      <c r="C6007" s="4"/>
      <c r="D6007" s="4"/>
      <c r="E6007" s="13"/>
      <c r="F6007" s="4"/>
      <c r="G6007" s="4"/>
    </row>
    <row r="6008">
      <c r="A6008" s="4"/>
      <c r="B6008" s="4"/>
      <c r="C6008" s="4"/>
      <c r="D6008" s="4"/>
      <c r="E6008" s="4"/>
      <c r="F6008" s="4"/>
      <c r="G6008" s="4"/>
    </row>
    <row r="6009">
      <c r="A6009" s="4"/>
      <c r="B6009" s="4"/>
      <c r="C6009" s="4"/>
      <c r="D6009" s="4"/>
      <c r="E6009" s="4"/>
      <c r="F6009" s="4"/>
      <c r="G6009" s="4"/>
    </row>
    <row r="6010">
      <c r="A6010" s="4"/>
      <c r="B6010" s="4"/>
      <c r="C6010" s="4"/>
      <c r="D6010" s="4"/>
      <c r="E6010" s="4"/>
      <c r="F6010" s="4"/>
      <c r="G6010" s="4"/>
    </row>
    <row r="6011">
      <c r="A6011" s="4"/>
      <c r="B6011" s="4"/>
      <c r="C6011" s="4"/>
      <c r="D6011" s="13"/>
      <c r="E6011" s="13"/>
      <c r="F6011" s="4"/>
      <c r="G6011" s="4"/>
    </row>
    <row r="6012">
      <c r="A6012" s="4"/>
      <c r="B6012" s="4"/>
      <c r="C6012" s="4"/>
      <c r="D6012" s="13"/>
      <c r="E6012" s="13"/>
      <c r="F6012" s="4"/>
      <c r="G6012" s="4"/>
    </row>
    <row r="6013">
      <c r="A6013" s="4"/>
      <c r="B6013" s="4"/>
      <c r="C6013" s="4"/>
      <c r="D6013" s="4"/>
      <c r="E6013" s="13"/>
      <c r="F6013" s="4"/>
      <c r="G6013" s="4"/>
    </row>
    <row r="6014">
      <c r="A6014" s="4"/>
      <c r="B6014" s="4"/>
      <c r="C6014" s="4"/>
      <c r="D6014" s="13"/>
      <c r="E6014" s="13"/>
      <c r="F6014" s="4"/>
      <c r="G6014" s="4"/>
    </row>
    <row r="6015">
      <c r="A6015" s="4"/>
      <c r="B6015" s="4"/>
      <c r="C6015" s="4"/>
      <c r="D6015" s="4"/>
      <c r="E6015" s="4"/>
      <c r="F6015" s="4"/>
      <c r="G6015" s="4"/>
    </row>
    <row r="6016">
      <c r="A6016" s="4"/>
      <c r="B6016" s="4"/>
      <c r="C6016" s="4"/>
      <c r="D6016" s="4"/>
      <c r="E6016" s="13"/>
      <c r="F6016" s="4"/>
      <c r="G6016" s="4"/>
    </row>
    <row r="6017">
      <c r="A6017" s="4"/>
      <c r="B6017" s="4"/>
      <c r="C6017" s="4"/>
      <c r="D6017" s="4"/>
      <c r="E6017" s="4"/>
      <c r="F6017" s="4"/>
      <c r="G6017" s="4"/>
    </row>
    <row r="6018">
      <c r="A6018" s="4"/>
      <c r="B6018" s="4"/>
      <c r="C6018" s="4"/>
      <c r="D6018" s="13"/>
      <c r="E6018" s="13"/>
      <c r="F6018" s="4"/>
      <c r="G6018" s="4"/>
    </row>
    <row r="6019">
      <c r="A6019" s="4"/>
      <c r="B6019" s="4"/>
      <c r="C6019" s="4"/>
      <c r="D6019" s="4"/>
      <c r="E6019" s="13"/>
      <c r="F6019" s="4"/>
      <c r="G6019" s="4"/>
    </row>
    <row r="6020">
      <c r="A6020" s="4"/>
      <c r="B6020" s="4"/>
      <c r="C6020" s="4"/>
      <c r="D6020" s="13"/>
      <c r="E6020" s="13"/>
      <c r="F6020" s="4"/>
      <c r="G6020" s="4"/>
    </row>
    <row r="6021">
      <c r="A6021" s="4"/>
      <c r="B6021" s="4"/>
      <c r="C6021" s="4"/>
      <c r="D6021" s="4"/>
      <c r="E6021" s="4"/>
      <c r="F6021" s="4"/>
      <c r="G6021" s="4"/>
    </row>
    <row r="6022">
      <c r="A6022" s="4"/>
      <c r="B6022" s="4"/>
      <c r="C6022" s="4"/>
      <c r="D6022" s="4"/>
      <c r="E6022" s="13"/>
      <c r="F6022" s="4"/>
      <c r="G6022" s="4"/>
    </row>
    <row r="6023">
      <c r="A6023" s="4"/>
      <c r="B6023" s="4"/>
      <c r="C6023" s="4"/>
      <c r="D6023" s="4"/>
      <c r="E6023" s="4"/>
      <c r="F6023" s="4"/>
      <c r="G6023" s="4"/>
    </row>
    <row r="6024">
      <c r="A6024" s="4"/>
      <c r="B6024" s="4"/>
      <c r="C6024" s="4"/>
      <c r="D6024" s="4"/>
      <c r="E6024" s="13"/>
      <c r="F6024" s="4"/>
      <c r="G6024" s="4"/>
    </row>
    <row r="6025">
      <c r="A6025" s="4"/>
      <c r="B6025" s="4"/>
      <c r="C6025" s="4"/>
      <c r="D6025" s="4"/>
      <c r="E6025" s="4"/>
      <c r="F6025" s="4"/>
      <c r="G6025" s="4"/>
    </row>
    <row r="6026">
      <c r="A6026" s="4"/>
      <c r="B6026" s="4"/>
      <c r="C6026" s="4"/>
      <c r="D6026" s="4"/>
      <c r="E6026" s="13"/>
      <c r="F6026" s="4"/>
      <c r="G6026" s="4"/>
    </row>
    <row r="6027">
      <c r="A6027" s="4"/>
      <c r="B6027" s="4"/>
      <c r="C6027" s="4"/>
      <c r="D6027" s="4"/>
      <c r="E6027" s="13"/>
      <c r="F6027" s="4"/>
      <c r="G6027" s="4"/>
    </row>
    <row r="6028">
      <c r="A6028" s="4"/>
      <c r="B6028" s="4"/>
      <c r="C6028" s="4"/>
      <c r="D6028" s="4"/>
      <c r="E6028" s="4"/>
      <c r="F6028" s="4"/>
      <c r="G6028" s="4"/>
    </row>
    <row r="6029">
      <c r="A6029" s="4"/>
      <c r="B6029" s="4"/>
      <c r="C6029" s="4"/>
      <c r="D6029" s="4"/>
      <c r="E6029" s="4"/>
      <c r="F6029" s="4"/>
      <c r="G6029" s="4"/>
    </row>
    <row r="6030">
      <c r="A6030" s="4"/>
      <c r="B6030" s="4"/>
      <c r="C6030" s="4"/>
      <c r="D6030" s="4"/>
      <c r="E6030" s="13"/>
      <c r="F6030" s="4"/>
      <c r="G6030" s="4"/>
    </row>
    <row r="6031">
      <c r="A6031" s="4"/>
      <c r="B6031" s="4"/>
      <c r="C6031" s="4"/>
      <c r="D6031" s="4"/>
      <c r="E6031" s="4"/>
      <c r="F6031" s="4"/>
      <c r="G6031" s="4"/>
    </row>
    <row r="6032">
      <c r="A6032" s="4"/>
      <c r="B6032" s="4"/>
      <c r="C6032" s="4"/>
      <c r="D6032" s="4"/>
      <c r="E6032" s="13"/>
      <c r="F6032" s="4"/>
      <c r="G6032" s="4"/>
    </row>
    <row r="6033">
      <c r="A6033" s="4"/>
      <c r="B6033" s="4"/>
      <c r="C6033" s="4"/>
      <c r="D6033" s="4"/>
      <c r="E6033" s="4"/>
      <c r="F6033" s="4"/>
      <c r="G6033" s="4"/>
    </row>
    <row r="6034">
      <c r="A6034" s="4"/>
      <c r="B6034" s="4"/>
      <c r="C6034" s="4"/>
      <c r="D6034" s="4"/>
      <c r="E6034" s="13"/>
      <c r="F6034" s="4"/>
      <c r="G6034" s="4"/>
    </row>
    <row r="6035">
      <c r="A6035" s="4"/>
      <c r="B6035" s="4"/>
      <c r="C6035" s="4"/>
      <c r="D6035" s="4"/>
      <c r="E6035" s="4"/>
      <c r="F6035" s="4"/>
      <c r="G6035" s="4"/>
    </row>
    <row r="6036">
      <c r="A6036" s="4"/>
      <c r="B6036" s="4"/>
      <c r="C6036" s="4"/>
      <c r="D6036" s="4"/>
      <c r="E6036" s="13"/>
      <c r="F6036" s="4"/>
      <c r="G6036" s="4"/>
    </row>
    <row r="6037">
      <c r="A6037" s="4"/>
      <c r="B6037" s="4"/>
      <c r="C6037" s="4"/>
      <c r="D6037" s="4"/>
      <c r="E6037" s="4"/>
      <c r="F6037" s="4"/>
      <c r="G6037" s="4"/>
    </row>
    <row r="6038">
      <c r="A6038" s="4"/>
      <c r="B6038" s="4"/>
      <c r="C6038" s="4"/>
      <c r="D6038" s="4"/>
      <c r="E6038" s="4"/>
      <c r="F6038" s="4"/>
      <c r="G6038" s="4"/>
    </row>
    <row r="6039">
      <c r="A6039" s="4"/>
      <c r="B6039" s="4"/>
      <c r="C6039" s="4"/>
      <c r="D6039" s="4"/>
      <c r="E6039" s="4"/>
      <c r="F6039" s="4"/>
      <c r="G6039" s="4"/>
    </row>
    <row r="6040">
      <c r="A6040" s="4"/>
      <c r="B6040" s="4"/>
      <c r="C6040" s="4"/>
      <c r="D6040" s="4"/>
      <c r="E6040" s="4"/>
      <c r="F6040" s="4"/>
      <c r="G6040" s="4"/>
    </row>
    <row r="6041">
      <c r="A6041" s="4"/>
      <c r="B6041" s="4"/>
      <c r="C6041" s="4"/>
      <c r="D6041" s="4"/>
      <c r="E6041" s="13"/>
      <c r="F6041" s="4"/>
      <c r="G6041" s="4"/>
    </row>
    <row r="6042">
      <c r="A6042" s="4"/>
      <c r="B6042" s="4"/>
      <c r="C6042" s="4"/>
      <c r="D6042" s="13"/>
      <c r="E6042" s="13"/>
      <c r="F6042" s="4"/>
      <c r="G6042" s="4"/>
    </row>
    <row r="6043">
      <c r="A6043" s="4"/>
      <c r="B6043" s="4"/>
      <c r="C6043" s="4"/>
      <c r="D6043" s="4"/>
      <c r="E6043" s="4"/>
      <c r="F6043" s="4"/>
      <c r="G6043" s="4"/>
    </row>
    <row r="6044">
      <c r="A6044" s="4"/>
      <c r="B6044" s="4"/>
      <c r="C6044" s="4"/>
      <c r="D6044" s="4"/>
      <c r="E6044" s="4"/>
      <c r="F6044" s="4"/>
      <c r="G6044" s="4"/>
    </row>
    <row r="6045">
      <c r="A6045" s="4"/>
      <c r="B6045" s="4"/>
      <c r="C6045" s="4"/>
      <c r="D6045" s="4"/>
      <c r="E6045" s="4"/>
      <c r="F6045" s="4"/>
      <c r="G6045" s="4"/>
    </row>
    <row r="6046">
      <c r="A6046" s="4"/>
      <c r="B6046" s="4"/>
      <c r="C6046" s="4"/>
      <c r="D6046" s="4"/>
      <c r="E6046" s="4"/>
      <c r="F6046" s="4"/>
      <c r="G6046" s="4"/>
    </row>
    <row r="6047">
      <c r="A6047" s="4"/>
      <c r="B6047" s="4"/>
      <c r="C6047" s="4"/>
      <c r="D6047" s="4"/>
      <c r="E6047" s="4"/>
      <c r="F6047" s="4"/>
      <c r="G6047" s="4"/>
    </row>
    <row r="6048">
      <c r="A6048" s="4"/>
      <c r="B6048" s="4"/>
      <c r="C6048" s="4"/>
      <c r="D6048" s="13"/>
      <c r="E6048" s="13"/>
      <c r="F6048" s="4"/>
      <c r="G6048" s="4"/>
    </row>
    <row r="6049">
      <c r="A6049" s="4"/>
      <c r="B6049" s="4"/>
      <c r="C6049" s="4"/>
      <c r="D6049" s="4"/>
      <c r="E6049" s="4"/>
      <c r="F6049" s="4"/>
      <c r="G6049" s="4"/>
    </row>
    <row r="6050">
      <c r="A6050" s="4"/>
      <c r="B6050" s="4"/>
      <c r="C6050" s="4"/>
      <c r="D6050" s="13"/>
      <c r="E6050" s="13"/>
      <c r="F6050" s="4"/>
      <c r="G6050" s="4"/>
    </row>
    <row r="6051">
      <c r="A6051" s="4"/>
      <c r="B6051" s="4"/>
      <c r="C6051" s="4"/>
      <c r="D6051" s="4"/>
      <c r="E6051" s="4"/>
      <c r="F6051" s="4"/>
      <c r="G6051" s="4"/>
    </row>
    <row r="6052">
      <c r="A6052" s="4"/>
      <c r="B6052" s="4"/>
      <c r="C6052" s="4"/>
      <c r="D6052" s="4"/>
      <c r="E6052" s="4"/>
      <c r="F6052" s="4"/>
      <c r="G6052" s="4"/>
    </row>
    <row r="6053">
      <c r="A6053" s="4"/>
      <c r="B6053" s="4"/>
      <c r="C6053" s="4"/>
      <c r="D6053" s="13"/>
      <c r="E6053" s="13"/>
      <c r="F6053" s="4"/>
      <c r="G6053" s="4"/>
    </row>
    <row r="6054">
      <c r="A6054" s="4"/>
      <c r="B6054" s="4"/>
      <c r="C6054" s="4"/>
      <c r="D6054" s="13"/>
      <c r="E6054" s="13"/>
      <c r="F6054" s="4"/>
      <c r="G6054" s="4"/>
    </row>
    <row r="6055">
      <c r="A6055" s="4"/>
      <c r="B6055" s="4"/>
      <c r="C6055" s="4"/>
      <c r="D6055" s="4"/>
      <c r="E6055" s="13"/>
      <c r="F6055" s="4"/>
      <c r="G6055" s="4"/>
    </row>
    <row r="6056">
      <c r="A6056" s="4"/>
      <c r="B6056" s="4"/>
      <c r="C6056" s="4"/>
      <c r="D6056" s="4"/>
      <c r="E6056" s="13"/>
      <c r="F6056" s="4"/>
      <c r="G6056" s="4"/>
    </row>
    <row r="6057">
      <c r="A6057" s="4"/>
      <c r="B6057" s="4"/>
      <c r="C6057" s="4"/>
      <c r="D6057" s="4"/>
      <c r="E6057" s="4"/>
      <c r="F6057" s="4"/>
      <c r="G6057" s="4"/>
    </row>
    <row r="6058">
      <c r="A6058" s="4"/>
      <c r="B6058" s="4"/>
      <c r="C6058" s="4"/>
      <c r="D6058" s="4"/>
      <c r="E6058" s="4"/>
      <c r="F6058" s="4"/>
      <c r="G6058" s="4"/>
    </row>
    <row r="6059">
      <c r="A6059" s="4"/>
      <c r="B6059" s="4"/>
      <c r="C6059" s="4"/>
      <c r="D6059" s="4"/>
      <c r="E6059" s="4"/>
      <c r="F6059" s="4"/>
      <c r="G6059" s="4"/>
    </row>
    <row r="6060">
      <c r="A6060" s="4"/>
      <c r="B6060" s="4"/>
      <c r="C6060" s="4"/>
      <c r="D6060" s="4"/>
      <c r="E6060" s="13"/>
      <c r="F6060" s="4"/>
      <c r="G6060" s="4"/>
    </row>
    <row r="6061">
      <c r="A6061" s="4"/>
      <c r="B6061" s="4"/>
      <c r="C6061" s="4"/>
      <c r="D6061" s="4"/>
      <c r="E6061" s="13"/>
      <c r="F6061" s="4"/>
      <c r="G6061" s="4"/>
    </row>
    <row r="6062">
      <c r="A6062" s="4"/>
      <c r="B6062" s="4"/>
      <c r="C6062" s="4"/>
      <c r="D6062" s="4"/>
      <c r="E6062" s="4"/>
      <c r="F6062" s="4"/>
      <c r="G6062" s="4"/>
    </row>
    <row r="6063">
      <c r="A6063" s="4"/>
      <c r="B6063" s="4"/>
      <c r="C6063" s="4"/>
      <c r="D6063" s="4"/>
      <c r="E6063" s="4"/>
      <c r="F6063" s="4"/>
      <c r="G6063" s="4"/>
    </row>
    <row r="6064">
      <c r="A6064" s="4"/>
      <c r="B6064" s="4"/>
      <c r="C6064" s="4"/>
      <c r="D6064" s="4"/>
      <c r="E6064" s="13"/>
      <c r="F6064" s="4"/>
      <c r="G6064" s="4"/>
    </row>
    <row r="6065">
      <c r="A6065" s="4"/>
      <c r="B6065" s="4"/>
      <c r="C6065" s="4"/>
      <c r="D6065" s="4"/>
      <c r="E6065" s="13"/>
      <c r="F6065" s="4"/>
      <c r="G6065" s="4"/>
    </row>
    <row r="6066">
      <c r="A6066" s="4"/>
      <c r="B6066" s="4"/>
      <c r="C6066" s="4"/>
      <c r="D6066" s="4"/>
      <c r="E6066" s="4"/>
      <c r="F6066" s="4"/>
      <c r="G6066" s="4"/>
    </row>
    <row r="6067">
      <c r="A6067" s="4"/>
      <c r="B6067" s="4"/>
      <c r="C6067" s="4"/>
      <c r="D6067" s="4"/>
      <c r="E6067" s="4"/>
      <c r="F6067" s="4"/>
      <c r="G6067" s="4"/>
    </row>
    <row r="6068">
      <c r="A6068" s="4"/>
      <c r="B6068" s="4"/>
      <c r="C6068" s="4"/>
      <c r="D6068" s="4"/>
      <c r="E6068" s="13"/>
      <c r="F6068" s="4"/>
      <c r="G6068" s="4"/>
    </row>
    <row r="6069">
      <c r="A6069" s="4"/>
      <c r="B6069" s="4"/>
      <c r="C6069" s="4"/>
      <c r="D6069" s="4"/>
      <c r="E6069" s="4"/>
      <c r="F6069" s="4"/>
      <c r="G6069" s="4"/>
    </row>
    <row r="6070">
      <c r="A6070" s="4"/>
      <c r="B6070" s="4"/>
      <c r="C6070" s="4"/>
      <c r="D6070" s="4"/>
      <c r="E6070" s="4"/>
      <c r="F6070" s="4"/>
      <c r="G6070" s="4"/>
    </row>
    <row r="6071">
      <c r="A6071" s="4"/>
      <c r="B6071" s="4"/>
      <c r="C6071" s="4"/>
      <c r="D6071" s="4"/>
      <c r="E6071" s="13"/>
      <c r="F6071" s="4"/>
      <c r="G6071" s="4"/>
    </row>
    <row r="6072">
      <c r="A6072" s="4"/>
      <c r="B6072" s="4"/>
      <c r="C6072" s="4"/>
      <c r="D6072" s="4"/>
      <c r="E6072" s="4"/>
      <c r="F6072" s="4"/>
      <c r="G6072" s="4"/>
    </row>
    <row r="6073">
      <c r="A6073" s="4"/>
      <c r="B6073" s="4"/>
      <c r="C6073" s="4"/>
      <c r="D6073" s="4"/>
      <c r="E6073" s="4"/>
      <c r="F6073" s="4"/>
      <c r="G6073" s="4"/>
    </row>
    <row r="6074">
      <c r="A6074" s="4"/>
      <c r="B6074" s="4"/>
      <c r="C6074" s="4"/>
      <c r="D6074" s="4"/>
      <c r="E6074" s="4"/>
      <c r="F6074" s="4"/>
      <c r="G6074" s="4"/>
    </row>
    <row r="6075">
      <c r="A6075" s="4"/>
      <c r="B6075" s="4"/>
      <c r="C6075" s="4"/>
      <c r="D6075" s="4"/>
      <c r="E6075" s="13"/>
      <c r="F6075" s="4"/>
      <c r="G6075" s="4"/>
    </row>
    <row r="6076">
      <c r="A6076" s="4"/>
      <c r="B6076" s="4"/>
      <c r="C6076" s="4"/>
      <c r="D6076" s="4"/>
      <c r="E6076" s="4"/>
      <c r="F6076" s="4"/>
      <c r="G6076" s="4"/>
    </row>
    <row r="6077">
      <c r="A6077" s="4"/>
      <c r="B6077" s="4"/>
      <c r="C6077" s="4"/>
      <c r="D6077" s="4"/>
      <c r="E6077" s="4"/>
      <c r="F6077" s="4"/>
      <c r="G6077" s="4"/>
    </row>
    <row r="6078">
      <c r="A6078" s="4"/>
      <c r="B6078" s="4"/>
      <c r="C6078" s="4"/>
      <c r="D6078" s="13"/>
      <c r="E6078" s="13"/>
      <c r="F6078" s="4"/>
      <c r="G6078" s="4"/>
    </row>
    <row r="6079">
      <c r="A6079" s="4"/>
      <c r="B6079" s="4"/>
      <c r="C6079" s="4"/>
      <c r="D6079" s="4"/>
      <c r="E6079" s="4"/>
      <c r="F6079" s="4"/>
      <c r="G6079" s="4"/>
    </row>
    <row r="6080">
      <c r="A6080" s="4"/>
      <c r="B6080" s="4"/>
      <c r="C6080" s="4"/>
      <c r="D6080" s="4"/>
      <c r="E6080" s="4"/>
      <c r="F6080" s="4"/>
      <c r="G6080" s="4"/>
    </row>
    <row r="6081">
      <c r="A6081" s="4"/>
      <c r="B6081" s="4"/>
      <c r="C6081" s="4"/>
      <c r="D6081" s="4"/>
      <c r="E6081" s="4"/>
      <c r="F6081" s="4"/>
      <c r="G6081" s="4"/>
    </row>
    <row r="6082">
      <c r="A6082" s="4"/>
      <c r="B6082" s="4"/>
      <c r="C6082" s="4"/>
      <c r="D6082" s="4"/>
      <c r="E6082" s="4"/>
      <c r="F6082" s="4"/>
      <c r="G6082" s="4"/>
    </row>
    <row r="6083">
      <c r="A6083" s="4"/>
      <c r="B6083" s="4"/>
      <c r="C6083" s="4"/>
      <c r="D6083" s="4"/>
      <c r="E6083" s="4"/>
      <c r="F6083" s="4"/>
      <c r="G6083" s="4"/>
    </row>
    <row r="6084">
      <c r="A6084" s="4"/>
      <c r="B6084" s="4"/>
      <c r="C6084" s="4"/>
      <c r="D6084" s="4"/>
      <c r="E6084" s="13"/>
      <c r="F6084" s="4"/>
      <c r="G6084" s="4"/>
    </row>
    <row r="6085">
      <c r="A6085" s="4"/>
      <c r="B6085" s="4"/>
      <c r="C6085" s="4"/>
      <c r="D6085" s="4"/>
      <c r="E6085" s="4"/>
      <c r="F6085" s="4"/>
      <c r="G6085" s="4"/>
    </row>
    <row r="6086">
      <c r="A6086" s="4"/>
      <c r="B6086" s="4"/>
      <c r="C6086" s="4"/>
      <c r="D6086" s="4"/>
      <c r="E6086" s="4"/>
      <c r="F6086" s="4"/>
      <c r="G6086" s="4"/>
    </row>
    <row r="6087">
      <c r="A6087" s="4"/>
      <c r="B6087" s="4"/>
      <c r="C6087" s="4"/>
      <c r="D6087" s="4"/>
      <c r="E6087" s="4"/>
      <c r="F6087" s="4"/>
      <c r="G6087" s="4"/>
    </row>
    <row r="6088">
      <c r="A6088" s="4"/>
      <c r="B6088" s="4"/>
      <c r="C6088" s="4"/>
      <c r="D6088" s="13"/>
      <c r="E6088" s="13"/>
      <c r="F6088" s="4"/>
      <c r="G6088" s="4"/>
    </row>
    <row r="6089">
      <c r="A6089" s="4"/>
      <c r="B6089" s="4"/>
      <c r="C6089" s="4"/>
      <c r="D6089" s="13"/>
      <c r="E6089" s="13"/>
      <c r="F6089" s="4"/>
      <c r="G6089" s="4"/>
    </row>
    <row r="6090">
      <c r="A6090" s="4"/>
      <c r="B6090" s="4"/>
      <c r="C6090" s="4"/>
      <c r="D6090" s="13"/>
      <c r="E6090" s="13"/>
      <c r="F6090" s="4"/>
      <c r="G6090" s="4"/>
    </row>
    <row r="6091">
      <c r="A6091" s="4"/>
      <c r="B6091" s="4"/>
      <c r="C6091" s="4"/>
      <c r="D6091" s="4"/>
      <c r="E6091" s="4"/>
      <c r="F6091" s="4"/>
      <c r="G6091" s="4"/>
    </row>
    <row r="6092">
      <c r="A6092" s="4"/>
      <c r="B6092" s="4"/>
      <c r="C6092" s="4"/>
      <c r="D6092" s="13"/>
      <c r="E6092" s="13"/>
      <c r="F6092" s="4"/>
      <c r="G6092" s="4"/>
    </row>
    <row r="6093">
      <c r="A6093" s="4"/>
      <c r="B6093" s="4"/>
      <c r="C6093" s="4"/>
      <c r="D6093" s="13"/>
      <c r="E6093" s="13"/>
      <c r="F6093" s="4"/>
      <c r="G6093" s="4"/>
    </row>
    <row r="6094">
      <c r="A6094" s="4"/>
      <c r="B6094" s="4"/>
      <c r="C6094" s="4"/>
      <c r="D6094" s="13"/>
      <c r="E6094" s="13"/>
      <c r="F6094" s="4"/>
      <c r="G6094" s="4"/>
    </row>
    <row r="6095">
      <c r="A6095" s="4"/>
      <c r="B6095" s="4"/>
      <c r="C6095" s="4"/>
      <c r="D6095" s="4"/>
      <c r="E6095" s="4"/>
      <c r="F6095" s="4"/>
      <c r="G6095" s="4"/>
    </row>
    <row r="6096">
      <c r="A6096" s="4"/>
      <c r="B6096" s="4"/>
      <c r="C6096" s="4"/>
      <c r="D6096" s="4"/>
      <c r="E6096" s="4"/>
      <c r="F6096" s="4"/>
      <c r="G6096" s="4"/>
    </row>
    <row r="6097">
      <c r="A6097" s="4"/>
      <c r="B6097" s="4"/>
      <c r="C6097" s="4"/>
      <c r="D6097" s="4"/>
      <c r="E6097" s="13"/>
      <c r="F6097" s="4"/>
      <c r="G6097" s="4"/>
    </row>
    <row r="6098">
      <c r="A6098" s="4"/>
      <c r="B6098" s="4"/>
      <c r="C6098" s="4"/>
      <c r="D6098" s="4"/>
      <c r="E6098" s="4"/>
      <c r="F6098" s="4"/>
      <c r="G6098" s="4"/>
    </row>
    <row r="6099">
      <c r="A6099" s="4"/>
      <c r="B6099" s="4"/>
      <c r="C6099" s="4"/>
      <c r="D6099" s="4"/>
      <c r="E6099" s="4"/>
      <c r="F6099" s="4"/>
      <c r="G6099" s="4"/>
    </row>
    <row r="6100">
      <c r="A6100" s="4"/>
      <c r="B6100" s="4"/>
      <c r="C6100" s="4"/>
      <c r="D6100" s="4"/>
      <c r="E6100" s="4"/>
      <c r="F6100" s="4"/>
      <c r="G6100" s="4"/>
    </row>
    <row r="6101">
      <c r="A6101" s="4"/>
      <c r="B6101" s="4"/>
      <c r="C6101" s="4"/>
      <c r="D6101" s="4"/>
      <c r="E6101" s="4"/>
      <c r="F6101" s="4"/>
      <c r="G6101" s="4"/>
    </row>
    <row r="6102">
      <c r="A6102" s="4"/>
      <c r="B6102" s="4"/>
      <c r="C6102" s="4"/>
      <c r="D6102" s="4"/>
      <c r="E6102" s="4"/>
      <c r="F6102" s="4"/>
      <c r="G6102" s="4"/>
    </row>
    <row r="6103">
      <c r="A6103" s="4"/>
      <c r="B6103" s="4"/>
      <c r="C6103" s="4"/>
      <c r="D6103" s="4"/>
      <c r="E6103" s="13"/>
      <c r="F6103" s="4"/>
      <c r="G6103" s="4"/>
    </row>
    <row r="6104">
      <c r="A6104" s="4"/>
      <c r="B6104" s="4"/>
      <c r="C6104" s="4"/>
      <c r="D6104" s="4"/>
      <c r="E6104" s="13"/>
      <c r="F6104" s="4"/>
      <c r="G6104" s="4"/>
    </row>
    <row r="6105">
      <c r="A6105" s="4"/>
      <c r="B6105" s="4"/>
      <c r="C6105" s="4"/>
      <c r="D6105" s="4"/>
      <c r="E6105" s="13"/>
      <c r="F6105" s="4"/>
      <c r="G6105" s="4"/>
    </row>
    <row r="6106">
      <c r="A6106" s="4"/>
      <c r="B6106" s="4"/>
      <c r="C6106" s="4"/>
      <c r="D6106" s="4"/>
      <c r="E6106" s="4"/>
      <c r="F6106" s="4"/>
      <c r="G6106" s="4"/>
    </row>
    <row r="6107">
      <c r="A6107" s="4"/>
      <c r="B6107" s="4"/>
      <c r="C6107" s="4"/>
      <c r="D6107" s="4"/>
      <c r="E6107" s="4"/>
      <c r="F6107" s="4"/>
      <c r="G6107" s="4"/>
    </row>
    <row r="6108">
      <c r="A6108" s="4"/>
      <c r="B6108" s="4"/>
      <c r="C6108" s="4"/>
      <c r="D6108" s="4"/>
      <c r="E6108" s="13"/>
      <c r="F6108" s="4"/>
      <c r="G6108" s="4"/>
    </row>
    <row r="6109">
      <c r="A6109" s="4"/>
      <c r="B6109" s="4"/>
      <c r="C6109" s="4"/>
      <c r="D6109" s="4"/>
      <c r="E6109" s="4"/>
      <c r="F6109" s="4"/>
      <c r="G6109" s="4"/>
    </row>
    <row r="6110">
      <c r="A6110" s="4"/>
      <c r="B6110" s="4"/>
      <c r="C6110" s="4"/>
      <c r="D6110" s="4"/>
      <c r="E6110" s="4"/>
      <c r="F6110" s="4"/>
      <c r="G6110" s="4"/>
    </row>
    <row r="6111">
      <c r="A6111" s="4"/>
      <c r="B6111" s="4"/>
      <c r="C6111" s="4"/>
      <c r="D6111" s="13"/>
      <c r="E6111" s="4"/>
      <c r="F6111" s="4"/>
      <c r="G6111" s="4"/>
    </row>
    <row r="6112">
      <c r="A6112" s="4"/>
      <c r="B6112" s="4"/>
      <c r="C6112" s="4"/>
      <c r="D6112" s="13"/>
      <c r="E6112" s="4"/>
      <c r="F6112" s="4"/>
      <c r="G6112" s="4"/>
    </row>
    <row r="6113">
      <c r="A6113" s="4"/>
      <c r="B6113" s="4"/>
      <c r="C6113" s="4"/>
      <c r="D6113" s="4"/>
      <c r="E6113" s="4"/>
      <c r="F6113" s="4"/>
      <c r="G6113" s="4"/>
    </row>
    <row r="6114">
      <c r="A6114" s="4"/>
      <c r="B6114" s="4"/>
      <c r="C6114" s="4"/>
      <c r="D6114" s="13"/>
      <c r="E6114" s="13"/>
      <c r="F6114" s="4"/>
      <c r="G6114" s="4"/>
    </row>
    <row r="6115">
      <c r="A6115" s="4"/>
      <c r="B6115" s="4"/>
      <c r="C6115" s="4"/>
      <c r="D6115" s="4"/>
      <c r="E6115" s="4"/>
      <c r="F6115" s="4"/>
      <c r="G6115" s="4"/>
    </row>
    <row r="6116">
      <c r="A6116" s="4"/>
      <c r="B6116" s="4"/>
      <c r="C6116" s="4"/>
      <c r="D6116" s="4"/>
      <c r="E6116" s="4"/>
      <c r="F6116" s="4"/>
      <c r="G6116" s="4"/>
    </row>
    <row r="6117">
      <c r="A6117" s="4"/>
      <c r="B6117" s="4"/>
      <c r="C6117" s="4"/>
      <c r="D6117" s="13"/>
      <c r="E6117" s="13"/>
      <c r="F6117" s="4"/>
      <c r="G6117" s="4"/>
    </row>
    <row r="6118">
      <c r="A6118" s="4"/>
      <c r="B6118" s="4"/>
      <c r="C6118" s="4"/>
      <c r="D6118" s="4"/>
      <c r="E6118" s="13"/>
      <c r="F6118" s="4"/>
      <c r="G6118" s="4"/>
    </row>
    <row r="6119">
      <c r="A6119" s="4"/>
      <c r="B6119" s="4"/>
      <c r="C6119" s="4"/>
      <c r="D6119" s="13"/>
      <c r="E6119" s="13"/>
      <c r="F6119" s="4"/>
      <c r="G6119" s="4"/>
    </row>
    <row r="6120">
      <c r="A6120" s="4"/>
      <c r="B6120" s="4"/>
      <c r="C6120" s="4"/>
      <c r="D6120" s="4"/>
      <c r="E6120" s="4"/>
      <c r="F6120" s="4"/>
      <c r="G6120" s="4"/>
    </row>
    <row r="6121">
      <c r="A6121" s="4"/>
      <c r="B6121" s="4"/>
      <c r="C6121" s="4"/>
      <c r="D6121" s="4"/>
      <c r="E6121" s="4"/>
      <c r="F6121" s="4"/>
      <c r="G6121" s="4"/>
    </row>
    <row r="6122">
      <c r="A6122" s="4"/>
      <c r="B6122" s="4"/>
      <c r="C6122" s="4"/>
      <c r="D6122" s="4"/>
      <c r="E6122" s="4"/>
      <c r="F6122" s="4"/>
      <c r="G6122" s="4"/>
    </row>
    <row r="6123">
      <c r="A6123" s="4"/>
      <c r="B6123" s="4"/>
      <c r="C6123" s="4"/>
      <c r="D6123" s="4"/>
      <c r="E6123" s="13"/>
      <c r="F6123" s="4"/>
      <c r="G6123" s="4"/>
    </row>
    <row r="6124">
      <c r="A6124" s="4"/>
      <c r="B6124" s="4"/>
      <c r="C6124" s="4"/>
      <c r="D6124" s="13"/>
      <c r="E6124" s="13"/>
      <c r="F6124" s="4"/>
      <c r="G6124" s="4"/>
    </row>
    <row r="6125">
      <c r="A6125" s="4"/>
      <c r="B6125" s="4"/>
      <c r="C6125" s="4"/>
      <c r="D6125" s="4"/>
      <c r="E6125" s="4"/>
      <c r="F6125" s="4"/>
      <c r="G6125" s="4"/>
    </row>
    <row r="6126">
      <c r="A6126" s="4"/>
      <c r="B6126" s="4"/>
      <c r="C6126" s="4"/>
      <c r="D6126" s="4"/>
      <c r="E6126" s="13"/>
      <c r="F6126" s="4"/>
      <c r="G6126" s="4"/>
    </row>
    <row r="6127">
      <c r="A6127" s="4"/>
      <c r="B6127" s="4"/>
      <c r="C6127" s="4"/>
      <c r="D6127" s="4"/>
      <c r="E6127" s="4"/>
      <c r="F6127" s="4"/>
      <c r="G6127" s="4"/>
    </row>
    <row r="6128">
      <c r="A6128" s="4"/>
      <c r="B6128" s="4"/>
      <c r="C6128" s="4"/>
      <c r="D6128" s="4"/>
      <c r="E6128" s="13"/>
      <c r="F6128" s="4"/>
      <c r="G6128" s="4"/>
    </row>
    <row r="6129">
      <c r="A6129" s="4"/>
      <c r="B6129" s="4"/>
      <c r="C6129" s="4"/>
      <c r="D6129" s="4"/>
      <c r="E6129" s="4"/>
      <c r="F6129" s="4"/>
      <c r="G6129" s="4"/>
    </row>
    <row r="6130">
      <c r="A6130" s="4"/>
      <c r="B6130" s="4"/>
      <c r="C6130" s="4"/>
      <c r="D6130" s="4"/>
      <c r="E6130" s="4"/>
      <c r="F6130" s="4"/>
      <c r="G6130" s="4"/>
    </row>
    <row r="6131">
      <c r="A6131" s="4"/>
      <c r="B6131" s="4"/>
      <c r="C6131" s="4"/>
      <c r="D6131" s="4"/>
      <c r="E6131" s="13"/>
      <c r="F6131" s="4"/>
      <c r="G6131" s="4"/>
    </row>
    <row r="6132">
      <c r="A6132" s="4"/>
      <c r="B6132" s="4"/>
      <c r="C6132" s="4"/>
      <c r="D6132" s="13"/>
      <c r="E6132" s="4"/>
      <c r="F6132" s="4"/>
      <c r="G6132" s="4"/>
    </row>
    <row r="6133">
      <c r="A6133" s="4"/>
      <c r="B6133" s="4"/>
      <c r="C6133" s="4"/>
      <c r="D6133" s="4"/>
      <c r="E6133" s="4"/>
      <c r="F6133" s="4"/>
      <c r="G6133" s="4"/>
    </row>
    <row r="6134">
      <c r="A6134" s="4"/>
      <c r="B6134" s="4"/>
      <c r="C6134" s="4"/>
      <c r="D6134" s="4"/>
      <c r="E6134" s="4"/>
      <c r="F6134" s="4"/>
      <c r="G6134" s="4"/>
    </row>
    <row r="6135">
      <c r="A6135" s="4"/>
      <c r="B6135" s="4"/>
      <c r="C6135" s="4"/>
      <c r="D6135" s="4"/>
      <c r="E6135" s="4"/>
      <c r="F6135" s="4"/>
      <c r="G6135" s="4"/>
    </row>
    <row r="6136">
      <c r="A6136" s="4"/>
      <c r="B6136" s="4"/>
      <c r="C6136" s="4"/>
      <c r="D6136" s="4"/>
      <c r="E6136" s="13"/>
      <c r="F6136" s="4"/>
      <c r="G6136" s="4"/>
    </row>
    <row r="6137">
      <c r="A6137" s="4"/>
      <c r="B6137" s="4"/>
      <c r="C6137" s="4"/>
      <c r="D6137" s="4"/>
      <c r="E6137" s="4"/>
      <c r="F6137" s="4"/>
      <c r="G6137" s="4"/>
    </row>
    <row r="6138">
      <c r="A6138" s="4"/>
      <c r="B6138" s="4"/>
      <c r="C6138" s="4"/>
      <c r="D6138" s="13"/>
      <c r="E6138" s="4"/>
      <c r="F6138" s="4"/>
      <c r="G6138" s="4"/>
    </row>
    <row r="6139">
      <c r="A6139" s="4"/>
      <c r="B6139" s="4"/>
      <c r="C6139" s="4"/>
      <c r="D6139" s="4"/>
      <c r="E6139" s="4"/>
      <c r="F6139" s="4"/>
      <c r="G6139" s="4"/>
    </row>
    <row r="6140">
      <c r="A6140" s="4"/>
      <c r="B6140" s="4"/>
      <c r="C6140" s="4"/>
      <c r="D6140" s="4"/>
      <c r="E6140" s="13"/>
      <c r="F6140" s="4"/>
      <c r="G6140" s="4"/>
    </row>
    <row r="6141">
      <c r="A6141" s="4"/>
      <c r="B6141" s="4"/>
      <c r="C6141" s="4"/>
      <c r="D6141" s="4"/>
      <c r="E6141" s="4"/>
      <c r="F6141" s="4"/>
      <c r="G6141" s="4"/>
    </row>
    <row r="6142">
      <c r="A6142" s="4"/>
      <c r="B6142" s="4"/>
      <c r="C6142" s="4"/>
      <c r="D6142" s="4"/>
      <c r="E6142" s="13"/>
      <c r="F6142" s="4"/>
      <c r="G6142" s="4"/>
    </row>
    <row r="6143">
      <c r="A6143" s="4"/>
      <c r="B6143" s="4"/>
      <c r="C6143" s="4"/>
      <c r="D6143" s="4"/>
      <c r="E6143" s="4"/>
      <c r="F6143" s="4"/>
      <c r="G6143" s="4"/>
    </row>
    <row r="6144">
      <c r="A6144" s="4"/>
      <c r="B6144" s="4"/>
      <c r="C6144" s="4"/>
      <c r="D6144" s="4"/>
      <c r="E6144" s="4"/>
      <c r="F6144" s="4"/>
      <c r="G6144" s="4"/>
    </row>
    <row r="6145">
      <c r="A6145" s="4"/>
      <c r="B6145" s="4"/>
      <c r="C6145" s="4"/>
      <c r="D6145" s="4"/>
      <c r="E6145" s="13"/>
      <c r="F6145" s="4"/>
      <c r="G6145" s="4"/>
    </row>
    <row r="6146">
      <c r="A6146" s="4"/>
      <c r="B6146" s="4"/>
      <c r="C6146" s="4"/>
      <c r="D6146" s="4"/>
      <c r="E6146" s="4"/>
      <c r="F6146" s="4"/>
      <c r="G6146" s="4"/>
    </row>
    <row r="6147">
      <c r="A6147" s="4"/>
      <c r="B6147" s="4"/>
      <c r="C6147" s="4"/>
      <c r="D6147" s="4"/>
      <c r="E6147" s="4"/>
      <c r="F6147" s="4"/>
      <c r="G6147" s="4"/>
    </row>
    <row r="6148">
      <c r="A6148" s="4"/>
      <c r="B6148" s="4"/>
      <c r="C6148" s="4"/>
      <c r="D6148" s="4"/>
      <c r="E6148" s="4"/>
      <c r="F6148" s="4"/>
      <c r="G6148" s="4"/>
    </row>
    <row r="6149">
      <c r="A6149" s="4"/>
      <c r="B6149" s="4"/>
      <c r="C6149" s="4"/>
      <c r="D6149" s="4"/>
      <c r="E6149" s="4"/>
      <c r="F6149" s="4"/>
      <c r="G6149" s="4"/>
    </row>
    <row r="6150">
      <c r="A6150" s="4"/>
      <c r="B6150" s="4"/>
      <c r="C6150" s="4"/>
      <c r="D6150" s="4"/>
      <c r="E6150" s="13"/>
      <c r="F6150" s="4"/>
      <c r="G6150" s="4"/>
    </row>
    <row r="6151">
      <c r="A6151" s="4"/>
      <c r="B6151" s="4"/>
      <c r="C6151" s="4"/>
      <c r="D6151" s="4"/>
      <c r="E6151" s="4"/>
      <c r="F6151" s="4"/>
      <c r="G6151" s="4"/>
    </row>
    <row r="6152">
      <c r="A6152" s="4"/>
      <c r="B6152" s="4"/>
      <c r="C6152" s="4"/>
      <c r="D6152" s="4"/>
      <c r="E6152" s="4"/>
      <c r="F6152" s="4"/>
      <c r="G6152" s="4"/>
    </row>
    <row r="6153">
      <c r="A6153" s="4"/>
      <c r="B6153" s="4"/>
      <c r="C6153" s="4"/>
      <c r="D6153" s="4"/>
      <c r="E6153" s="13"/>
      <c r="F6153" s="4"/>
      <c r="G6153" s="4"/>
    </row>
    <row r="6154">
      <c r="A6154" s="4"/>
      <c r="B6154" s="4"/>
      <c r="C6154" s="4"/>
      <c r="D6154" s="4"/>
      <c r="E6154" s="4"/>
      <c r="F6154" s="4"/>
      <c r="G6154" s="4"/>
    </row>
    <row r="6155">
      <c r="A6155" s="4"/>
      <c r="B6155" s="4"/>
      <c r="C6155" s="4"/>
      <c r="D6155" s="4"/>
      <c r="E6155" s="4"/>
      <c r="F6155" s="4"/>
      <c r="G6155" s="4"/>
    </row>
    <row r="6156">
      <c r="A6156" s="4"/>
      <c r="B6156" s="4"/>
      <c r="C6156" s="4"/>
      <c r="D6156" s="4"/>
      <c r="E6156" s="4"/>
      <c r="F6156" s="4"/>
      <c r="G6156" s="4"/>
    </row>
    <row r="6157">
      <c r="A6157" s="4"/>
      <c r="B6157" s="4"/>
      <c r="C6157" s="4"/>
      <c r="D6157" s="4"/>
      <c r="E6157" s="4"/>
      <c r="F6157" s="4"/>
      <c r="G6157" s="4"/>
    </row>
    <row r="6158">
      <c r="A6158" s="4"/>
      <c r="B6158" s="4"/>
      <c r="C6158" s="4"/>
      <c r="D6158" s="4"/>
      <c r="E6158" s="4"/>
      <c r="F6158" s="4"/>
      <c r="G6158" s="4"/>
    </row>
    <row r="6159">
      <c r="A6159" s="4"/>
      <c r="B6159" s="4"/>
      <c r="C6159" s="4"/>
      <c r="D6159" s="4"/>
      <c r="E6159" s="13"/>
      <c r="F6159" s="4"/>
      <c r="G6159" s="4"/>
    </row>
    <row r="6160">
      <c r="A6160" s="4"/>
      <c r="B6160" s="4"/>
      <c r="C6160" s="4"/>
      <c r="D6160" s="4"/>
      <c r="E6160" s="13"/>
      <c r="F6160" s="4"/>
      <c r="G6160" s="4"/>
    </row>
    <row r="6161">
      <c r="A6161" s="4"/>
      <c r="B6161" s="4"/>
      <c r="C6161" s="4"/>
      <c r="D6161" s="4"/>
      <c r="E6161" s="13"/>
      <c r="F6161" s="4"/>
      <c r="G6161" s="4"/>
    </row>
    <row r="6162">
      <c r="A6162" s="4"/>
      <c r="B6162" s="4"/>
      <c r="C6162" s="4"/>
      <c r="D6162" s="4"/>
      <c r="E6162" s="4"/>
      <c r="F6162" s="4"/>
      <c r="G6162" s="4"/>
    </row>
    <row r="6163">
      <c r="A6163" s="4"/>
      <c r="B6163" s="4"/>
      <c r="C6163" s="4"/>
      <c r="D6163" s="4"/>
      <c r="E6163" s="4"/>
      <c r="F6163" s="4"/>
      <c r="G6163" s="4"/>
    </row>
    <row r="6164">
      <c r="A6164" s="4"/>
      <c r="B6164" s="4"/>
      <c r="C6164" s="4"/>
      <c r="D6164" s="4"/>
      <c r="E6164" s="13"/>
      <c r="F6164" s="4"/>
      <c r="G6164" s="4"/>
    </row>
    <row r="6165">
      <c r="A6165" s="4"/>
      <c r="B6165" s="4"/>
      <c r="C6165" s="4"/>
      <c r="D6165" s="13"/>
      <c r="E6165" s="13"/>
      <c r="F6165" s="4"/>
      <c r="G6165" s="4"/>
    </row>
    <row r="6166">
      <c r="A6166" s="4"/>
      <c r="B6166" s="4"/>
      <c r="C6166" s="4"/>
      <c r="D6166" s="4"/>
      <c r="E6166" s="4"/>
      <c r="F6166" s="4"/>
      <c r="G6166" s="4"/>
    </row>
    <row r="6167">
      <c r="A6167" s="4"/>
      <c r="B6167" s="4"/>
      <c r="C6167" s="4"/>
      <c r="D6167" s="4"/>
      <c r="E6167" s="13"/>
      <c r="F6167" s="4"/>
      <c r="G6167" s="4"/>
    </row>
    <row r="6168">
      <c r="A6168" s="4"/>
      <c r="B6168" s="4"/>
      <c r="C6168" s="4"/>
      <c r="D6168" s="4"/>
      <c r="E6168" s="4"/>
      <c r="F6168" s="4"/>
      <c r="G6168" s="4"/>
    </row>
    <row r="6169">
      <c r="A6169" s="4"/>
      <c r="B6169" s="4"/>
      <c r="C6169" s="4"/>
      <c r="D6169" s="13"/>
      <c r="E6169" s="13"/>
      <c r="F6169" s="4"/>
      <c r="G6169" s="4"/>
    </row>
    <row r="6170">
      <c r="A6170" s="4"/>
      <c r="B6170" s="4"/>
      <c r="C6170" s="4"/>
      <c r="D6170" s="4"/>
      <c r="E6170" s="13"/>
      <c r="F6170" s="4"/>
      <c r="G6170" s="4"/>
    </row>
    <row r="6171">
      <c r="A6171" s="4"/>
      <c r="B6171" s="4"/>
      <c r="C6171" s="4"/>
      <c r="D6171" s="4"/>
      <c r="E6171" s="4"/>
      <c r="F6171" s="4"/>
      <c r="G6171" s="4"/>
    </row>
    <row r="6172">
      <c r="A6172" s="4"/>
      <c r="B6172" s="4"/>
      <c r="C6172" s="4"/>
      <c r="D6172" s="4"/>
      <c r="E6172" s="13"/>
      <c r="F6172" s="4"/>
      <c r="G6172" s="4"/>
    </row>
    <row r="6173">
      <c r="A6173" s="4"/>
      <c r="B6173" s="4"/>
      <c r="C6173" s="4"/>
      <c r="D6173" s="4"/>
      <c r="E6173" s="13"/>
      <c r="F6173" s="4"/>
      <c r="G6173" s="4"/>
    </row>
    <row r="6174">
      <c r="A6174" s="4"/>
      <c r="B6174" s="4"/>
      <c r="C6174" s="4"/>
      <c r="D6174" s="4"/>
      <c r="E6174" s="4"/>
      <c r="F6174" s="4"/>
      <c r="G6174" s="4"/>
    </row>
    <row r="6175">
      <c r="A6175" s="4"/>
      <c r="B6175" s="4"/>
      <c r="C6175" s="4"/>
      <c r="D6175" s="4"/>
      <c r="E6175" s="4"/>
      <c r="F6175" s="4"/>
      <c r="G6175" s="4"/>
    </row>
    <row r="6176">
      <c r="A6176" s="4"/>
      <c r="B6176" s="4"/>
      <c r="C6176" s="4"/>
      <c r="D6176" s="4"/>
      <c r="E6176" s="4"/>
      <c r="F6176" s="4"/>
      <c r="G6176" s="4"/>
    </row>
    <row r="6177">
      <c r="A6177" s="4"/>
      <c r="B6177" s="4"/>
      <c r="C6177" s="4"/>
      <c r="D6177" s="4"/>
      <c r="E6177" s="4"/>
      <c r="F6177" s="4"/>
      <c r="G6177" s="4"/>
    </row>
    <row r="6178">
      <c r="A6178" s="4"/>
      <c r="B6178" s="4"/>
      <c r="C6178" s="4"/>
      <c r="D6178" s="4"/>
      <c r="E6178" s="13"/>
      <c r="F6178" s="4"/>
      <c r="G6178" s="4"/>
    </row>
    <row r="6179">
      <c r="A6179" s="4"/>
      <c r="B6179" s="4"/>
      <c r="C6179" s="4"/>
      <c r="D6179" s="4"/>
      <c r="E6179" s="4"/>
      <c r="F6179" s="4"/>
      <c r="G6179" s="4"/>
    </row>
    <row r="6180">
      <c r="A6180" s="4"/>
      <c r="B6180" s="4"/>
      <c r="C6180" s="4"/>
      <c r="D6180" s="4"/>
      <c r="E6180" s="4"/>
      <c r="F6180" s="4"/>
      <c r="G6180" s="4"/>
    </row>
    <row r="6181">
      <c r="A6181" s="4"/>
      <c r="B6181" s="4"/>
      <c r="C6181" s="4"/>
      <c r="D6181" s="13"/>
      <c r="E6181" s="13"/>
      <c r="F6181" s="4"/>
      <c r="G6181" s="4"/>
    </row>
    <row r="6182">
      <c r="A6182" s="4"/>
      <c r="B6182" s="4"/>
      <c r="C6182" s="4"/>
      <c r="D6182" s="4"/>
      <c r="E6182" s="4"/>
      <c r="F6182" s="4"/>
      <c r="G6182" s="4"/>
    </row>
    <row r="6183">
      <c r="A6183" s="4"/>
      <c r="B6183" s="4"/>
      <c r="C6183" s="4"/>
      <c r="D6183" s="4"/>
      <c r="E6183" s="13"/>
      <c r="F6183" s="4"/>
      <c r="G6183" s="4"/>
    </row>
    <row r="6184">
      <c r="A6184" s="4"/>
      <c r="B6184" s="4"/>
      <c r="C6184" s="4"/>
      <c r="D6184" s="4"/>
      <c r="E6184" s="4"/>
      <c r="F6184" s="4"/>
      <c r="G6184" s="4"/>
    </row>
    <row r="6185">
      <c r="A6185" s="4"/>
      <c r="B6185" s="4"/>
      <c r="C6185" s="4"/>
      <c r="D6185" s="4"/>
      <c r="E6185" s="4"/>
      <c r="F6185" s="4"/>
      <c r="G6185" s="4"/>
    </row>
    <row r="6186">
      <c r="A6186" s="4"/>
      <c r="B6186" s="4"/>
      <c r="C6186" s="4"/>
      <c r="D6186" s="4"/>
      <c r="E6186" s="4"/>
      <c r="F6186" s="4"/>
      <c r="G6186" s="4"/>
    </row>
    <row r="6187">
      <c r="A6187" s="4"/>
      <c r="B6187" s="4"/>
      <c r="C6187" s="4"/>
      <c r="D6187" s="4"/>
      <c r="E6187" s="4"/>
      <c r="F6187" s="4"/>
      <c r="G6187" s="4"/>
    </row>
    <row r="6188">
      <c r="A6188" s="4"/>
      <c r="B6188" s="4"/>
      <c r="C6188" s="4"/>
      <c r="D6188" s="4"/>
      <c r="E6188" s="4"/>
      <c r="F6188" s="4"/>
      <c r="G6188" s="4"/>
    </row>
    <row r="6189">
      <c r="A6189" s="4"/>
      <c r="B6189" s="4"/>
      <c r="C6189" s="4"/>
      <c r="D6189" s="4"/>
      <c r="E6189" s="4"/>
      <c r="F6189" s="4"/>
      <c r="G6189" s="4"/>
    </row>
    <row r="6190">
      <c r="A6190" s="4"/>
      <c r="B6190" s="4"/>
      <c r="C6190" s="4"/>
      <c r="D6190" s="4"/>
      <c r="E6190" s="4"/>
      <c r="F6190" s="4"/>
      <c r="G6190" s="4"/>
    </row>
    <row r="6191">
      <c r="A6191" s="4"/>
      <c r="B6191" s="4"/>
      <c r="C6191" s="4"/>
      <c r="D6191" s="4"/>
      <c r="E6191" s="4"/>
      <c r="F6191" s="4"/>
      <c r="G6191" s="4"/>
    </row>
    <row r="6192">
      <c r="A6192" s="4"/>
      <c r="B6192" s="4"/>
      <c r="C6192" s="4"/>
      <c r="D6192" s="4"/>
      <c r="E6192" s="4"/>
      <c r="F6192" s="4"/>
      <c r="G6192" s="4"/>
    </row>
    <row r="6193">
      <c r="A6193" s="4"/>
      <c r="B6193" s="4"/>
      <c r="C6193" s="4"/>
      <c r="D6193" s="4"/>
      <c r="E6193" s="13"/>
      <c r="F6193" s="4"/>
      <c r="G6193" s="4"/>
    </row>
    <row r="6194">
      <c r="A6194" s="4"/>
      <c r="B6194" s="4"/>
      <c r="C6194" s="4"/>
      <c r="D6194" s="4"/>
      <c r="E6194" s="4"/>
      <c r="F6194" s="4"/>
      <c r="G6194" s="4"/>
    </row>
    <row r="6195">
      <c r="A6195" s="4"/>
      <c r="B6195" s="4"/>
      <c r="C6195" s="4"/>
      <c r="D6195" s="4"/>
      <c r="E6195" s="4"/>
      <c r="F6195" s="4"/>
      <c r="G6195" s="4"/>
    </row>
    <row r="6196">
      <c r="A6196" s="4"/>
      <c r="B6196" s="4"/>
      <c r="C6196" s="4"/>
      <c r="D6196" s="4"/>
      <c r="E6196" s="4"/>
      <c r="F6196" s="4"/>
      <c r="G6196" s="4"/>
    </row>
    <row r="6197">
      <c r="A6197" s="4"/>
      <c r="B6197" s="4"/>
      <c r="C6197" s="4"/>
      <c r="D6197" s="4"/>
      <c r="E6197" s="4"/>
      <c r="F6197" s="4"/>
      <c r="G6197" s="4"/>
    </row>
    <row r="6198">
      <c r="A6198" s="4"/>
      <c r="B6198" s="4"/>
      <c r="C6198" s="4"/>
      <c r="D6198" s="4"/>
      <c r="E6198" s="4"/>
      <c r="F6198" s="4"/>
      <c r="G6198" s="4"/>
    </row>
    <row r="6199">
      <c r="A6199" s="4"/>
      <c r="B6199" s="4"/>
      <c r="C6199" s="4"/>
      <c r="D6199" s="4"/>
      <c r="E6199" s="13"/>
      <c r="F6199" s="4"/>
      <c r="G6199" s="4"/>
    </row>
    <row r="6200">
      <c r="A6200" s="4"/>
      <c r="B6200" s="4"/>
      <c r="C6200" s="4"/>
      <c r="D6200" s="4"/>
      <c r="E6200" s="4"/>
      <c r="F6200" s="4"/>
      <c r="G6200" s="4"/>
    </row>
    <row r="6201">
      <c r="A6201" s="4"/>
      <c r="B6201" s="4"/>
      <c r="C6201" s="4"/>
      <c r="D6201" s="4"/>
      <c r="E6201" s="4"/>
      <c r="F6201" s="4"/>
      <c r="G6201" s="4"/>
    </row>
    <row r="6202">
      <c r="A6202" s="4"/>
      <c r="B6202" s="4"/>
      <c r="C6202" s="4"/>
      <c r="D6202" s="4"/>
      <c r="E6202" s="13"/>
      <c r="F6202" s="4"/>
      <c r="G6202" s="4"/>
    </row>
    <row r="6203">
      <c r="A6203" s="4"/>
      <c r="B6203" s="4"/>
      <c r="C6203" s="4"/>
      <c r="D6203" s="4"/>
      <c r="E6203" s="4"/>
      <c r="F6203" s="4"/>
      <c r="G6203" s="4"/>
    </row>
    <row r="6204">
      <c r="A6204" s="4"/>
      <c r="B6204" s="4"/>
      <c r="C6204" s="4"/>
      <c r="D6204" s="13"/>
      <c r="E6204" s="13"/>
      <c r="F6204" s="4"/>
      <c r="G6204" s="4"/>
    </row>
    <row r="6205">
      <c r="A6205" s="4"/>
      <c r="B6205" s="4"/>
      <c r="C6205" s="4"/>
      <c r="D6205" s="13"/>
      <c r="E6205" s="13"/>
      <c r="F6205" s="4"/>
      <c r="G6205" s="4"/>
    </row>
    <row r="6206">
      <c r="A6206" s="4"/>
      <c r="B6206" s="4"/>
      <c r="C6206" s="4"/>
      <c r="D6206" s="4"/>
      <c r="E6206" s="4"/>
      <c r="F6206" s="4"/>
      <c r="G6206" s="4"/>
    </row>
    <row r="6207">
      <c r="A6207" s="4"/>
      <c r="B6207" s="4"/>
      <c r="C6207" s="4"/>
      <c r="D6207" s="4"/>
      <c r="E6207" s="4"/>
      <c r="F6207" s="4"/>
      <c r="G6207" s="4"/>
    </row>
    <row r="6208">
      <c r="A6208" s="4"/>
      <c r="B6208" s="4"/>
      <c r="C6208" s="4"/>
      <c r="D6208" s="4"/>
      <c r="E6208" s="4"/>
      <c r="F6208" s="4"/>
      <c r="G6208" s="4"/>
    </row>
    <row r="6209">
      <c r="A6209" s="4"/>
      <c r="B6209" s="4"/>
      <c r="C6209" s="4"/>
      <c r="D6209" s="4"/>
      <c r="E6209" s="13"/>
      <c r="F6209" s="4"/>
      <c r="G6209" s="4"/>
    </row>
    <row r="6210">
      <c r="A6210" s="4"/>
      <c r="B6210" s="4"/>
      <c r="C6210" s="4"/>
      <c r="D6210" s="4"/>
      <c r="E6210" s="4"/>
      <c r="F6210" s="4"/>
      <c r="G6210" s="4"/>
    </row>
    <row r="6211">
      <c r="A6211" s="4"/>
      <c r="B6211" s="4"/>
      <c r="C6211" s="4"/>
      <c r="D6211" s="4"/>
      <c r="E6211" s="4"/>
      <c r="F6211" s="4"/>
      <c r="G6211" s="4"/>
    </row>
    <row r="6212">
      <c r="A6212" s="4"/>
      <c r="B6212" s="4"/>
      <c r="C6212" s="4"/>
      <c r="D6212" s="4"/>
      <c r="E6212" s="4"/>
      <c r="F6212" s="4"/>
      <c r="G6212" s="4"/>
    </row>
    <row r="6213">
      <c r="A6213" s="4"/>
      <c r="B6213" s="4"/>
      <c r="C6213" s="4"/>
      <c r="D6213" s="4"/>
      <c r="E6213" s="4"/>
      <c r="F6213" s="4"/>
      <c r="G6213" s="4"/>
    </row>
    <row r="6214">
      <c r="A6214" s="4"/>
      <c r="B6214" s="4"/>
      <c r="C6214" s="4"/>
      <c r="D6214" s="13"/>
      <c r="E6214" s="13"/>
      <c r="F6214" s="4"/>
      <c r="G6214" s="4"/>
    </row>
    <row r="6215">
      <c r="A6215" s="4"/>
      <c r="B6215" s="4"/>
      <c r="C6215" s="4"/>
      <c r="D6215" s="4"/>
      <c r="E6215" s="4"/>
      <c r="F6215" s="4"/>
      <c r="G6215" s="4"/>
    </row>
    <row r="6216">
      <c r="A6216" s="4"/>
      <c r="B6216" s="4"/>
      <c r="C6216" s="4"/>
      <c r="D6216" s="4"/>
      <c r="E6216" s="13"/>
      <c r="F6216" s="4"/>
      <c r="G6216" s="4"/>
    </row>
    <row r="6217">
      <c r="A6217" s="4"/>
      <c r="B6217" s="4"/>
      <c r="C6217" s="4"/>
      <c r="D6217" s="4"/>
      <c r="E6217" s="4"/>
      <c r="F6217" s="4"/>
      <c r="G6217" s="4"/>
    </row>
    <row r="6218">
      <c r="A6218" s="4"/>
      <c r="B6218" s="4"/>
      <c r="C6218" s="4"/>
      <c r="D6218" s="4"/>
      <c r="E6218" s="4"/>
      <c r="F6218" s="4"/>
      <c r="G6218" s="4"/>
    </row>
    <row r="6219">
      <c r="A6219" s="4"/>
      <c r="B6219" s="4"/>
      <c r="C6219" s="4"/>
      <c r="D6219" s="4"/>
      <c r="E6219" s="4"/>
      <c r="F6219" s="4"/>
      <c r="G6219" s="4"/>
    </row>
    <row r="6220">
      <c r="A6220" s="4"/>
      <c r="B6220" s="4"/>
      <c r="C6220" s="4"/>
      <c r="D6220" s="13"/>
      <c r="E6220" s="13"/>
      <c r="F6220" s="4"/>
      <c r="G6220" s="4"/>
    </row>
    <row r="6221">
      <c r="A6221" s="4"/>
      <c r="B6221" s="4"/>
      <c r="C6221" s="4"/>
      <c r="D6221" s="4"/>
      <c r="E6221" s="4"/>
      <c r="F6221" s="4"/>
      <c r="G6221" s="4"/>
    </row>
    <row r="6222">
      <c r="A6222" s="4"/>
      <c r="B6222" s="4"/>
      <c r="C6222" s="4"/>
      <c r="D6222" s="13"/>
      <c r="E6222" s="13"/>
      <c r="F6222" s="4"/>
      <c r="G6222" s="4"/>
    </row>
    <row r="6223">
      <c r="A6223" s="4"/>
      <c r="B6223" s="4"/>
      <c r="C6223" s="4"/>
      <c r="D6223" s="4"/>
      <c r="E6223" s="4"/>
      <c r="F6223" s="4"/>
      <c r="G6223" s="4"/>
    </row>
    <row r="6224">
      <c r="A6224" s="4"/>
      <c r="B6224" s="4"/>
      <c r="C6224" s="4"/>
      <c r="D6224" s="13"/>
      <c r="E6224" s="13"/>
      <c r="F6224" s="4"/>
      <c r="G6224" s="4"/>
    </row>
    <row r="6225">
      <c r="A6225" s="4"/>
      <c r="B6225" s="4"/>
      <c r="C6225" s="4"/>
      <c r="D6225" s="4"/>
      <c r="E6225" s="13"/>
      <c r="F6225" s="4"/>
      <c r="G6225" s="4"/>
    </row>
    <row r="6226">
      <c r="A6226" s="4"/>
      <c r="B6226" s="4"/>
      <c r="C6226" s="4"/>
      <c r="D6226" s="4"/>
      <c r="E6226" s="4"/>
      <c r="F6226" s="4"/>
      <c r="G6226" s="4"/>
    </row>
    <row r="6227">
      <c r="A6227" s="4"/>
      <c r="B6227" s="4"/>
      <c r="C6227" s="4"/>
      <c r="D6227" s="4"/>
      <c r="E6227" s="4"/>
      <c r="F6227" s="4"/>
      <c r="G6227" s="4"/>
    </row>
    <row r="6228">
      <c r="A6228" s="4"/>
      <c r="B6228" s="4"/>
      <c r="C6228" s="4"/>
      <c r="D6228" s="13"/>
      <c r="E6228" s="13"/>
      <c r="F6228" s="4"/>
      <c r="G6228" s="4"/>
    </row>
    <row r="6229">
      <c r="A6229" s="4"/>
      <c r="B6229" s="4"/>
      <c r="C6229" s="4"/>
      <c r="D6229" s="4"/>
      <c r="E6229" s="4"/>
      <c r="F6229" s="4"/>
      <c r="G6229" s="4"/>
    </row>
    <row r="6230">
      <c r="A6230" s="4"/>
      <c r="B6230" s="4"/>
      <c r="C6230" s="4"/>
      <c r="D6230" s="13"/>
      <c r="E6230" s="13"/>
      <c r="F6230" s="4"/>
      <c r="G6230" s="4"/>
    </row>
    <row r="6231">
      <c r="A6231" s="4"/>
      <c r="B6231" s="4"/>
      <c r="C6231" s="4"/>
      <c r="D6231" s="4"/>
      <c r="E6231" s="13"/>
      <c r="F6231" s="4"/>
      <c r="G6231" s="4"/>
    </row>
    <row r="6232">
      <c r="A6232" s="4"/>
      <c r="B6232" s="4"/>
      <c r="C6232" s="4"/>
      <c r="D6232" s="13"/>
      <c r="E6232" s="13"/>
      <c r="F6232" s="4"/>
      <c r="G6232" s="4"/>
    </row>
    <row r="6233">
      <c r="A6233" s="4"/>
      <c r="B6233" s="4"/>
      <c r="C6233" s="4"/>
      <c r="D6233" s="4"/>
      <c r="E6233" s="4"/>
      <c r="F6233" s="4"/>
      <c r="G6233" s="4"/>
    </row>
    <row r="6234">
      <c r="A6234" s="4"/>
      <c r="B6234" s="4"/>
      <c r="C6234" s="4"/>
      <c r="D6234" s="4"/>
      <c r="E6234" s="4"/>
      <c r="F6234" s="4"/>
      <c r="G6234" s="4"/>
    </row>
    <row r="6235">
      <c r="A6235" s="4"/>
      <c r="B6235" s="4"/>
      <c r="C6235" s="4"/>
      <c r="D6235" s="4"/>
      <c r="E6235" s="13"/>
      <c r="F6235" s="4"/>
      <c r="G6235" s="4"/>
    </row>
    <row r="6236">
      <c r="A6236" s="4"/>
      <c r="B6236" s="4"/>
      <c r="C6236" s="4"/>
      <c r="D6236" s="4"/>
      <c r="E6236" s="13"/>
      <c r="F6236" s="4"/>
      <c r="G6236" s="4"/>
    </row>
    <row r="6237">
      <c r="A6237" s="4"/>
      <c r="B6237" s="4"/>
      <c r="C6237" s="4"/>
      <c r="D6237" s="4"/>
      <c r="E6237" s="13"/>
      <c r="F6237" s="4"/>
      <c r="G6237" s="4"/>
    </row>
    <row r="6238">
      <c r="A6238" s="4"/>
      <c r="B6238" s="4"/>
      <c r="C6238" s="4"/>
      <c r="D6238" s="4"/>
      <c r="E6238" s="4"/>
      <c r="F6238" s="4"/>
      <c r="G6238" s="4"/>
    </row>
    <row r="6239">
      <c r="A6239" s="4"/>
      <c r="B6239" s="4"/>
      <c r="C6239" s="4"/>
      <c r="D6239" s="4"/>
      <c r="E6239" s="4"/>
      <c r="F6239" s="4"/>
      <c r="G6239" s="4"/>
    </row>
    <row r="6240">
      <c r="A6240" s="4"/>
      <c r="B6240" s="4"/>
      <c r="C6240" s="4"/>
      <c r="D6240" s="4"/>
      <c r="E6240" s="4"/>
      <c r="F6240" s="4"/>
      <c r="G6240" s="4"/>
    </row>
    <row r="6241">
      <c r="A6241" s="4"/>
      <c r="B6241" s="4"/>
      <c r="C6241" s="4"/>
      <c r="D6241" s="13"/>
      <c r="E6241" s="13"/>
      <c r="F6241" s="4"/>
      <c r="G6241" s="4"/>
    </row>
    <row r="6242">
      <c r="A6242" s="4"/>
      <c r="B6242" s="4"/>
      <c r="C6242" s="4"/>
      <c r="D6242" s="13"/>
      <c r="E6242" s="13"/>
      <c r="F6242" s="4"/>
      <c r="G6242" s="4"/>
    </row>
    <row r="6243">
      <c r="A6243" s="4"/>
      <c r="B6243" s="4"/>
      <c r="C6243" s="4"/>
      <c r="D6243" s="4"/>
      <c r="E6243" s="4"/>
      <c r="F6243" s="4"/>
      <c r="G6243" s="4"/>
    </row>
    <row r="6244">
      <c r="A6244" s="4"/>
      <c r="B6244" s="4"/>
      <c r="C6244" s="4"/>
      <c r="D6244" s="4"/>
      <c r="E6244" s="4"/>
      <c r="F6244" s="4"/>
      <c r="G6244" s="4"/>
    </row>
    <row r="6245">
      <c r="A6245" s="4"/>
      <c r="B6245" s="4"/>
      <c r="C6245" s="4"/>
      <c r="D6245" s="4"/>
      <c r="E6245" s="13"/>
      <c r="F6245" s="4"/>
      <c r="G6245" s="4"/>
    </row>
    <row r="6246">
      <c r="A6246" s="4"/>
      <c r="B6246" s="4"/>
      <c r="C6246" s="4"/>
      <c r="D6246" s="4"/>
      <c r="E6246" s="4"/>
      <c r="F6246" s="4"/>
      <c r="G6246" s="4"/>
    </row>
    <row r="6247">
      <c r="A6247" s="4"/>
      <c r="B6247" s="4"/>
      <c r="C6247" s="4"/>
      <c r="D6247" s="4"/>
      <c r="E6247" s="4"/>
      <c r="F6247" s="4"/>
      <c r="G6247" s="4"/>
    </row>
    <row r="6248">
      <c r="A6248" s="4"/>
      <c r="B6248" s="4"/>
      <c r="C6248" s="4"/>
      <c r="D6248" s="4"/>
      <c r="E6248" s="13"/>
      <c r="F6248" s="4"/>
      <c r="G6248" s="4"/>
    </row>
    <row r="6249">
      <c r="A6249" s="4"/>
      <c r="B6249" s="4"/>
      <c r="C6249" s="4"/>
      <c r="D6249" s="4"/>
      <c r="E6249" s="4"/>
      <c r="F6249" s="4"/>
      <c r="G6249" s="4"/>
    </row>
    <row r="6250">
      <c r="A6250" s="4"/>
      <c r="B6250" s="4"/>
      <c r="C6250" s="4"/>
      <c r="D6250" s="4"/>
      <c r="E6250" s="13"/>
      <c r="F6250" s="4"/>
      <c r="G6250" s="4"/>
    </row>
    <row r="6251">
      <c r="A6251" s="4"/>
      <c r="B6251" s="4"/>
      <c r="C6251" s="4"/>
      <c r="D6251" s="4"/>
      <c r="E6251" s="4"/>
      <c r="F6251" s="4"/>
      <c r="G6251" s="4"/>
    </row>
    <row r="6252">
      <c r="A6252" s="4"/>
      <c r="B6252" s="4"/>
      <c r="C6252" s="4"/>
      <c r="D6252" s="4"/>
      <c r="E6252" s="4"/>
      <c r="F6252" s="4"/>
      <c r="G6252" s="4"/>
    </row>
    <row r="6253">
      <c r="A6253" s="4"/>
      <c r="B6253" s="4"/>
      <c r="C6253" s="4"/>
      <c r="D6253" s="4"/>
      <c r="E6253" s="4"/>
      <c r="F6253" s="4"/>
      <c r="G6253" s="4"/>
    </row>
    <row r="6254">
      <c r="A6254" s="4"/>
      <c r="B6254" s="4"/>
      <c r="C6254" s="4"/>
      <c r="D6254" s="13"/>
      <c r="E6254" s="13"/>
      <c r="F6254" s="4"/>
      <c r="G6254" s="4"/>
    </row>
    <row r="6255">
      <c r="A6255" s="4"/>
      <c r="B6255" s="4"/>
      <c r="C6255" s="4"/>
      <c r="D6255" s="13"/>
      <c r="E6255" s="13"/>
      <c r="F6255" s="4"/>
      <c r="G6255" s="4"/>
    </row>
    <row r="6256">
      <c r="A6256" s="4"/>
      <c r="B6256" s="4"/>
      <c r="C6256" s="4"/>
      <c r="D6256" s="13"/>
      <c r="E6256" s="13"/>
      <c r="F6256" s="4"/>
      <c r="G6256" s="4"/>
    </row>
    <row r="6257">
      <c r="A6257" s="4"/>
      <c r="B6257" s="4"/>
      <c r="C6257" s="4"/>
      <c r="D6257" s="13"/>
      <c r="E6257" s="13"/>
      <c r="F6257" s="4"/>
      <c r="G6257" s="4"/>
    </row>
    <row r="6258">
      <c r="A6258" s="4"/>
      <c r="B6258" s="4"/>
      <c r="C6258" s="4"/>
      <c r="D6258" s="13"/>
      <c r="E6258" s="13"/>
      <c r="F6258" s="4"/>
      <c r="G6258" s="4"/>
    </row>
    <row r="6259">
      <c r="A6259" s="4"/>
      <c r="B6259" s="4"/>
      <c r="C6259" s="4"/>
      <c r="D6259" s="13"/>
      <c r="E6259" s="13"/>
      <c r="F6259" s="4"/>
      <c r="G6259" s="4"/>
    </row>
    <row r="6260">
      <c r="A6260" s="4"/>
      <c r="B6260" s="4"/>
      <c r="C6260" s="4"/>
      <c r="D6260" s="13"/>
      <c r="E6260" s="13"/>
      <c r="F6260" s="4"/>
      <c r="G6260" s="4"/>
    </row>
    <row r="6261">
      <c r="A6261" s="4"/>
      <c r="B6261" s="4"/>
      <c r="C6261" s="4"/>
      <c r="D6261" s="13"/>
      <c r="E6261" s="13"/>
      <c r="F6261" s="4"/>
      <c r="G6261" s="4"/>
    </row>
    <row r="6262">
      <c r="A6262" s="4"/>
      <c r="B6262" s="4"/>
      <c r="C6262" s="4"/>
      <c r="D6262" s="13"/>
      <c r="E6262" s="13"/>
      <c r="F6262" s="4"/>
      <c r="G6262" s="4"/>
    </row>
    <row r="6263">
      <c r="A6263" s="4"/>
      <c r="B6263" s="4"/>
      <c r="C6263" s="4"/>
      <c r="D6263" s="4"/>
      <c r="E6263" s="13"/>
      <c r="F6263" s="4"/>
      <c r="G6263" s="4"/>
    </row>
    <row r="6264">
      <c r="A6264" s="4"/>
      <c r="B6264" s="4"/>
      <c r="C6264" s="4"/>
      <c r="D6264" s="4"/>
      <c r="E6264" s="4"/>
      <c r="F6264" s="4"/>
      <c r="G6264" s="4"/>
    </row>
    <row r="6265">
      <c r="A6265" s="4"/>
      <c r="B6265" s="4"/>
      <c r="C6265" s="4"/>
      <c r="D6265" s="4"/>
      <c r="E6265" s="13"/>
      <c r="F6265" s="4"/>
      <c r="G6265" s="4"/>
    </row>
    <row r="6266">
      <c r="A6266" s="4"/>
      <c r="B6266" s="4"/>
      <c r="C6266" s="4"/>
      <c r="D6266" s="4"/>
      <c r="E6266" s="4"/>
      <c r="F6266" s="4"/>
      <c r="G6266" s="4"/>
    </row>
    <row r="6267">
      <c r="A6267" s="4"/>
      <c r="B6267" s="4"/>
      <c r="C6267" s="4"/>
      <c r="D6267" s="4"/>
      <c r="E6267" s="4"/>
      <c r="F6267" s="4"/>
      <c r="G6267" s="4"/>
    </row>
    <row r="6268">
      <c r="A6268" s="4"/>
      <c r="B6268" s="4"/>
      <c r="C6268" s="4"/>
      <c r="D6268" s="4"/>
      <c r="E6268" s="4"/>
      <c r="F6268" s="4"/>
      <c r="G6268" s="4"/>
    </row>
    <row r="6269">
      <c r="A6269" s="4"/>
      <c r="B6269" s="4"/>
      <c r="C6269" s="4"/>
      <c r="D6269" s="4"/>
      <c r="E6269" s="13"/>
      <c r="F6269" s="4"/>
      <c r="G6269" s="4"/>
    </row>
    <row r="6270">
      <c r="A6270" s="4"/>
      <c r="B6270" s="4"/>
      <c r="C6270" s="4"/>
      <c r="D6270" s="4"/>
      <c r="E6270" s="4"/>
      <c r="F6270" s="4"/>
      <c r="G6270" s="4"/>
    </row>
    <row r="6271">
      <c r="A6271" s="4"/>
      <c r="B6271" s="4"/>
      <c r="C6271" s="4"/>
      <c r="D6271" s="4"/>
      <c r="E6271" s="13"/>
      <c r="F6271" s="4"/>
      <c r="G6271" s="4"/>
    </row>
    <row r="6272">
      <c r="A6272" s="4"/>
      <c r="B6272" s="4"/>
      <c r="C6272" s="4"/>
      <c r="D6272" s="4"/>
      <c r="E6272" s="4"/>
      <c r="F6272" s="4"/>
      <c r="G6272" s="4"/>
    </row>
    <row r="6273">
      <c r="A6273" s="4"/>
      <c r="B6273" s="4"/>
      <c r="C6273" s="4"/>
      <c r="D6273" s="4"/>
      <c r="E6273" s="13"/>
      <c r="F6273" s="4"/>
      <c r="G6273" s="4"/>
    </row>
    <row r="6274">
      <c r="A6274" s="4"/>
      <c r="B6274" s="4"/>
      <c r="C6274" s="4"/>
      <c r="D6274" s="4"/>
      <c r="E6274" s="4"/>
      <c r="F6274" s="4"/>
      <c r="G6274" s="4"/>
    </row>
    <row r="6275">
      <c r="A6275" s="4"/>
      <c r="B6275" s="4"/>
      <c r="C6275" s="4"/>
      <c r="D6275" s="4"/>
      <c r="E6275" s="13"/>
      <c r="F6275" s="4"/>
      <c r="G6275" s="4"/>
    </row>
    <row r="6276">
      <c r="A6276" s="4"/>
      <c r="B6276" s="4"/>
      <c r="C6276" s="4"/>
      <c r="D6276" s="4"/>
      <c r="E6276" s="13"/>
      <c r="F6276" s="4"/>
      <c r="G6276" s="4"/>
    </row>
    <row r="6277">
      <c r="A6277" s="4"/>
      <c r="B6277" s="4"/>
      <c r="C6277" s="4"/>
      <c r="D6277" s="4"/>
      <c r="E6277" s="4"/>
      <c r="F6277" s="4"/>
      <c r="G6277" s="4"/>
    </row>
    <row r="6278">
      <c r="A6278" s="4"/>
      <c r="B6278" s="4"/>
      <c r="C6278" s="4"/>
      <c r="D6278" s="4"/>
      <c r="E6278" s="4"/>
      <c r="F6278" s="4"/>
      <c r="G6278" s="4"/>
    </row>
    <row r="6279">
      <c r="A6279" s="4"/>
      <c r="B6279" s="4"/>
      <c r="C6279" s="4"/>
      <c r="D6279" s="13"/>
      <c r="E6279" s="13"/>
      <c r="F6279" s="4"/>
      <c r="G6279" s="4"/>
    </row>
    <row r="6280">
      <c r="A6280" s="4"/>
      <c r="B6280" s="4"/>
      <c r="C6280" s="4"/>
      <c r="D6280" s="13"/>
      <c r="E6280" s="13"/>
      <c r="F6280" s="4"/>
      <c r="G6280" s="4"/>
    </row>
    <row r="6281">
      <c r="A6281" s="4"/>
      <c r="B6281" s="4"/>
      <c r="C6281" s="4"/>
      <c r="D6281" s="4"/>
      <c r="E6281" s="4"/>
      <c r="F6281" s="4"/>
      <c r="G6281" s="4"/>
    </row>
    <row r="6282">
      <c r="A6282" s="4"/>
      <c r="B6282" s="4"/>
      <c r="C6282" s="4"/>
      <c r="D6282" s="4"/>
      <c r="E6282" s="13"/>
      <c r="F6282" s="4"/>
      <c r="G6282" s="4"/>
    </row>
    <row r="6283">
      <c r="A6283" s="4"/>
      <c r="B6283" s="4"/>
      <c r="C6283" s="4"/>
      <c r="D6283" s="13"/>
      <c r="E6283" s="4"/>
      <c r="F6283" s="4"/>
      <c r="G6283" s="4"/>
    </row>
    <row r="6284">
      <c r="A6284" s="4"/>
      <c r="B6284" s="4"/>
      <c r="C6284" s="4"/>
      <c r="D6284" s="4"/>
      <c r="E6284" s="4"/>
      <c r="F6284" s="4"/>
      <c r="G6284" s="4"/>
    </row>
    <row r="6285">
      <c r="A6285" s="4"/>
      <c r="B6285" s="4"/>
      <c r="C6285" s="4"/>
      <c r="D6285" s="4"/>
      <c r="E6285" s="13"/>
      <c r="F6285" s="4"/>
      <c r="G6285" s="4"/>
    </row>
    <row r="6286">
      <c r="A6286" s="4"/>
      <c r="B6286" s="4"/>
      <c r="C6286" s="4"/>
      <c r="D6286" s="4"/>
      <c r="E6286" s="4"/>
      <c r="F6286" s="4"/>
      <c r="G6286" s="4"/>
    </row>
    <row r="6287">
      <c r="A6287" s="4"/>
      <c r="B6287" s="4"/>
      <c r="C6287" s="4"/>
      <c r="D6287" s="4"/>
      <c r="E6287" s="4"/>
      <c r="F6287" s="4"/>
      <c r="G6287" s="4"/>
    </row>
    <row r="6288">
      <c r="A6288" s="4"/>
      <c r="B6288" s="4"/>
      <c r="C6288" s="4"/>
      <c r="D6288" s="4"/>
      <c r="E6288" s="13"/>
      <c r="F6288" s="4"/>
      <c r="G6288" s="4"/>
    </row>
    <row r="6289">
      <c r="A6289" s="4"/>
      <c r="B6289" s="4"/>
      <c r="C6289" s="4"/>
      <c r="D6289" s="4"/>
      <c r="E6289" s="4"/>
      <c r="F6289" s="4"/>
      <c r="G6289" s="4"/>
    </row>
    <row r="6290">
      <c r="A6290" s="4"/>
      <c r="B6290" s="4"/>
      <c r="C6290" s="4"/>
      <c r="D6290" s="4"/>
      <c r="E6290" s="4"/>
      <c r="F6290" s="4"/>
      <c r="G6290" s="4"/>
    </row>
    <row r="6291">
      <c r="A6291" s="4"/>
      <c r="B6291" s="4"/>
      <c r="C6291" s="4"/>
      <c r="D6291" s="4"/>
      <c r="E6291" s="4"/>
      <c r="F6291" s="4"/>
      <c r="G6291" s="4"/>
    </row>
    <row r="6292">
      <c r="A6292" s="4"/>
      <c r="B6292" s="4"/>
      <c r="C6292" s="4"/>
      <c r="D6292" s="4"/>
      <c r="E6292" s="4"/>
      <c r="F6292" s="4"/>
      <c r="G6292" s="4"/>
    </row>
    <row r="6293">
      <c r="A6293" s="4"/>
      <c r="B6293" s="4"/>
      <c r="C6293" s="4"/>
      <c r="D6293" s="4"/>
      <c r="E6293" s="13"/>
      <c r="F6293" s="4"/>
      <c r="G6293" s="4"/>
    </row>
    <row r="6294">
      <c r="A6294" s="4"/>
      <c r="B6294" s="4"/>
      <c r="C6294" s="4"/>
      <c r="D6294" s="4"/>
      <c r="E6294" s="4"/>
      <c r="F6294" s="4"/>
      <c r="G6294" s="4"/>
    </row>
    <row r="6295">
      <c r="A6295" s="4"/>
      <c r="B6295" s="4"/>
      <c r="C6295" s="4"/>
      <c r="D6295" s="13"/>
      <c r="E6295" s="13"/>
      <c r="F6295" s="4"/>
      <c r="G6295" s="4"/>
    </row>
    <row r="6296">
      <c r="A6296" s="4"/>
      <c r="B6296" s="4"/>
      <c r="C6296" s="4"/>
      <c r="D6296" s="4"/>
      <c r="E6296" s="4"/>
      <c r="F6296" s="4"/>
      <c r="G6296" s="4"/>
    </row>
    <row r="6297">
      <c r="A6297" s="4"/>
      <c r="B6297" s="4"/>
      <c r="C6297" s="4"/>
      <c r="D6297" s="4"/>
      <c r="E6297" s="4"/>
      <c r="F6297" s="4"/>
      <c r="G6297" s="4"/>
    </row>
    <row r="6298">
      <c r="A6298" s="4"/>
      <c r="B6298" s="4"/>
      <c r="C6298" s="4"/>
      <c r="D6298" s="4"/>
      <c r="E6298" s="4"/>
      <c r="F6298" s="4"/>
      <c r="G6298" s="4"/>
    </row>
    <row r="6299">
      <c r="A6299" s="4"/>
      <c r="B6299" s="4"/>
      <c r="C6299" s="4"/>
      <c r="D6299" s="4"/>
      <c r="E6299" s="4"/>
      <c r="F6299" s="4"/>
      <c r="G6299" s="4"/>
    </row>
    <row r="6300">
      <c r="A6300" s="4"/>
      <c r="B6300" s="4"/>
      <c r="C6300" s="4"/>
      <c r="D6300" s="4"/>
      <c r="E6300" s="4"/>
      <c r="F6300" s="4"/>
      <c r="G6300" s="4"/>
    </row>
    <row r="6301">
      <c r="A6301" s="4"/>
      <c r="B6301" s="4"/>
      <c r="C6301" s="4"/>
      <c r="D6301" s="4"/>
      <c r="E6301" s="4"/>
      <c r="F6301" s="4"/>
      <c r="G6301" s="4"/>
    </row>
    <row r="6302">
      <c r="A6302" s="4"/>
      <c r="B6302" s="4"/>
      <c r="C6302" s="4"/>
      <c r="D6302" s="4"/>
      <c r="E6302" s="13"/>
      <c r="F6302" s="4"/>
      <c r="G6302" s="4"/>
    </row>
    <row r="6303">
      <c r="A6303" s="4"/>
      <c r="B6303" s="4"/>
      <c r="C6303" s="4"/>
      <c r="D6303" s="4"/>
      <c r="E6303" s="4"/>
      <c r="F6303" s="4"/>
      <c r="G6303" s="4"/>
    </row>
    <row r="6304">
      <c r="A6304" s="4"/>
      <c r="B6304" s="4"/>
      <c r="C6304" s="4"/>
      <c r="D6304" s="4"/>
      <c r="E6304" s="13"/>
      <c r="F6304" s="4"/>
      <c r="G6304" s="4"/>
    </row>
    <row r="6305">
      <c r="A6305" s="4"/>
      <c r="B6305" s="4"/>
      <c r="C6305" s="4"/>
      <c r="D6305" s="4"/>
      <c r="E6305" s="4"/>
      <c r="F6305" s="4"/>
      <c r="G6305" s="4"/>
    </row>
    <row r="6306">
      <c r="A6306" s="4"/>
      <c r="B6306" s="4"/>
      <c r="C6306" s="4"/>
      <c r="D6306" s="4"/>
      <c r="E6306" s="4"/>
      <c r="F6306" s="4"/>
      <c r="G6306" s="4"/>
    </row>
    <row r="6307">
      <c r="A6307" s="4"/>
      <c r="B6307" s="4"/>
      <c r="C6307" s="4"/>
      <c r="D6307" s="4"/>
      <c r="E6307" s="4"/>
      <c r="F6307" s="4"/>
      <c r="G6307" s="4"/>
    </row>
    <row r="6308">
      <c r="A6308" s="4"/>
      <c r="B6308" s="4"/>
      <c r="C6308" s="4"/>
      <c r="D6308" s="4"/>
      <c r="E6308" s="4"/>
      <c r="F6308" s="4"/>
      <c r="G6308" s="4"/>
    </row>
    <row r="6309">
      <c r="A6309" s="4"/>
      <c r="B6309" s="4"/>
      <c r="C6309" s="4"/>
      <c r="D6309" s="4"/>
      <c r="E6309" s="13"/>
      <c r="F6309" s="4"/>
      <c r="G6309" s="4"/>
    </row>
    <row r="6310">
      <c r="A6310" s="4"/>
      <c r="B6310" s="4"/>
      <c r="C6310" s="4"/>
      <c r="D6310" s="4"/>
      <c r="E6310" s="4"/>
      <c r="F6310" s="4"/>
      <c r="G6310" s="4"/>
    </row>
    <row r="6311">
      <c r="A6311" s="4"/>
      <c r="B6311" s="4"/>
      <c r="C6311" s="4"/>
      <c r="D6311" s="4"/>
      <c r="E6311" s="4"/>
      <c r="F6311" s="4"/>
      <c r="G6311" s="4"/>
    </row>
    <row r="6312">
      <c r="A6312" s="4"/>
      <c r="B6312" s="4"/>
      <c r="C6312" s="4"/>
      <c r="D6312" s="4"/>
      <c r="E6312" s="4"/>
      <c r="F6312" s="4"/>
      <c r="G6312" s="4"/>
    </row>
    <row r="6313">
      <c r="A6313" s="4"/>
      <c r="B6313" s="4"/>
      <c r="C6313" s="4"/>
      <c r="D6313" s="4"/>
      <c r="E6313" s="13"/>
      <c r="F6313" s="4"/>
      <c r="G6313" s="4"/>
    </row>
    <row r="6314">
      <c r="A6314" s="4"/>
      <c r="B6314" s="4"/>
      <c r="C6314" s="4"/>
      <c r="D6314" s="4"/>
      <c r="E6314" s="4"/>
      <c r="F6314" s="4"/>
      <c r="G6314" s="4"/>
    </row>
    <row r="6315">
      <c r="A6315" s="4"/>
      <c r="B6315" s="4"/>
      <c r="C6315" s="4"/>
      <c r="D6315" s="4"/>
      <c r="E6315" s="13"/>
      <c r="F6315" s="4"/>
      <c r="G6315" s="4"/>
    </row>
    <row r="6316">
      <c r="A6316" s="4"/>
      <c r="B6316" s="4"/>
      <c r="C6316" s="4"/>
      <c r="D6316" s="4"/>
      <c r="E6316" s="4"/>
      <c r="F6316" s="4"/>
      <c r="G6316" s="4"/>
    </row>
    <row r="6317">
      <c r="A6317" s="4"/>
      <c r="B6317" s="4"/>
      <c r="C6317" s="4"/>
      <c r="D6317" s="4"/>
      <c r="E6317" s="4"/>
      <c r="F6317" s="4"/>
      <c r="G6317" s="4"/>
    </row>
    <row r="6318">
      <c r="A6318" s="4"/>
      <c r="B6318" s="4"/>
      <c r="C6318" s="4"/>
      <c r="D6318" s="4"/>
      <c r="E6318" s="4"/>
      <c r="F6318" s="4"/>
      <c r="G6318" s="4"/>
    </row>
    <row r="6319">
      <c r="A6319" s="4"/>
      <c r="B6319" s="4"/>
      <c r="C6319" s="4"/>
      <c r="D6319" s="4"/>
      <c r="E6319" s="4"/>
      <c r="F6319" s="4"/>
      <c r="G6319" s="4"/>
    </row>
    <row r="6320">
      <c r="A6320" s="4"/>
      <c r="B6320" s="4"/>
      <c r="C6320" s="4"/>
      <c r="D6320" s="4"/>
      <c r="E6320" s="4"/>
      <c r="F6320" s="4"/>
      <c r="G6320" s="4"/>
    </row>
    <row r="6321">
      <c r="A6321" s="4"/>
      <c r="B6321" s="4"/>
      <c r="C6321" s="4"/>
      <c r="D6321" s="4"/>
      <c r="E6321" s="13"/>
      <c r="F6321" s="4"/>
      <c r="G6321" s="4"/>
    </row>
    <row r="6322">
      <c r="A6322" s="4"/>
      <c r="B6322" s="4"/>
      <c r="C6322" s="4"/>
      <c r="D6322" s="4"/>
      <c r="E6322" s="4"/>
      <c r="F6322" s="4"/>
      <c r="G6322" s="4"/>
    </row>
    <row r="6323">
      <c r="A6323" s="4"/>
      <c r="B6323" s="4"/>
      <c r="C6323" s="4"/>
      <c r="D6323" s="4"/>
      <c r="E6323" s="4"/>
      <c r="F6323" s="4"/>
      <c r="G6323" s="4"/>
    </row>
    <row r="6324">
      <c r="A6324" s="4"/>
      <c r="B6324" s="4"/>
      <c r="C6324" s="4"/>
      <c r="D6324" s="4"/>
      <c r="E6324" s="4"/>
      <c r="F6324" s="4"/>
      <c r="G6324" s="4"/>
    </row>
    <row r="6325">
      <c r="A6325" s="4"/>
      <c r="B6325" s="4"/>
      <c r="C6325" s="4"/>
      <c r="D6325" s="4"/>
      <c r="E6325" s="4"/>
      <c r="F6325" s="4"/>
      <c r="G6325" s="4"/>
    </row>
    <row r="6326">
      <c r="A6326" s="4"/>
      <c r="B6326" s="4"/>
      <c r="C6326" s="4"/>
      <c r="D6326" s="4"/>
      <c r="E6326" s="4"/>
      <c r="F6326" s="4"/>
      <c r="G6326" s="4"/>
    </row>
    <row r="6327">
      <c r="A6327" s="4"/>
      <c r="B6327" s="4"/>
      <c r="C6327" s="4"/>
      <c r="D6327" s="4"/>
      <c r="E6327" s="13"/>
      <c r="F6327" s="4"/>
      <c r="G6327" s="4"/>
    </row>
    <row r="6328">
      <c r="A6328" s="4"/>
      <c r="B6328" s="4"/>
      <c r="C6328" s="4"/>
      <c r="D6328" s="4"/>
      <c r="E6328" s="4"/>
      <c r="F6328" s="4"/>
      <c r="G6328" s="4"/>
    </row>
    <row r="6329">
      <c r="A6329" s="4"/>
      <c r="B6329" s="4"/>
      <c r="C6329" s="4"/>
      <c r="D6329" s="4"/>
      <c r="E6329" s="13"/>
      <c r="F6329" s="4"/>
      <c r="G6329" s="4"/>
    </row>
    <row r="6330">
      <c r="A6330" s="4"/>
      <c r="B6330" s="4"/>
      <c r="C6330" s="4"/>
      <c r="D6330" s="4"/>
      <c r="E6330" s="13"/>
      <c r="F6330" s="4"/>
      <c r="G6330" s="4"/>
    </row>
    <row r="6331">
      <c r="A6331" s="4"/>
      <c r="B6331" s="4"/>
      <c r="C6331" s="4"/>
      <c r="D6331" s="4"/>
      <c r="E6331" s="13"/>
      <c r="F6331" s="4"/>
      <c r="G6331" s="4"/>
    </row>
    <row r="6332">
      <c r="A6332" s="4"/>
      <c r="B6332" s="4"/>
      <c r="C6332" s="4"/>
      <c r="D6332" s="4"/>
      <c r="E6332" s="4"/>
      <c r="F6332" s="4"/>
      <c r="G6332" s="4"/>
    </row>
    <row r="6333">
      <c r="A6333" s="4"/>
      <c r="B6333" s="4"/>
      <c r="C6333" s="4"/>
      <c r="D6333" s="4"/>
      <c r="E6333" s="13"/>
      <c r="F6333" s="4"/>
      <c r="G6333" s="4"/>
    </row>
    <row r="6334">
      <c r="A6334" s="4"/>
      <c r="B6334" s="4"/>
      <c r="C6334" s="4"/>
      <c r="D6334" s="4"/>
      <c r="E6334" s="4"/>
      <c r="F6334" s="4"/>
      <c r="G6334" s="4"/>
    </row>
    <row r="6335">
      <c r="A6335" s="4"/>
      <c r="B6335" s="4"/>
      <c r="C6335" s="4"/>
      <c r="D6335" s="4"/>
      <c r="E6335" s="4"/>
      <c r="F6335" s="4"/>
      <c r="G6335" s="4"/>
    </row>
    <row r="6336">
      <c r="A6336" s="4"/>
      <c r="B6336" s="4"/>
      <c r="C6336" s="4"/>
      <c r="D6336" s="4"/>
      <c r="E6336" s="13"/>
      <c r="F6336" s="4"/>
      <c r="G6336" s="4"/>
    </row>
    <row r="6337">
      <c r="A6337" s="4"/>
      <c r="B6337" s="4"/>
      <c r="C6337" s="4"/>
      <c r="D6337" s="4"/>
      <c r="E6337" s="13"/>
      <c r="F6337" s="4"/>
      <c r="G6337" s="4"/>
    </row>
    <row r="6338">
      <c r="A6338" s="4"/>
      <c r="B6338" s="4"/>
      <c r="C6338" s="4"/>
      <c r="D6338" s="4"/>
      <c r="E6338" s="4"/>
      <c r="F6338" s="4"/>
      <c r="G6338" s="4"/>
    </row>
    <row r="6339">
      <c r="A6339" s="4"/>
      <c r="B6339" s="4"/>
      <c r="C6339" s="4"/>
      <c r="D6339" s="4"/>
      <c r="E6339" s="13"/>
      <c r="F6339" s="4"/>
      <c r="G6339" s="4"/>
    </row>
    <row r="6340">
      <c r="A6340" s="4"/>
      <c r="B6340" s="4"/>
      <c r="C6340" s="4"/>
      <c r="D6340" s="4"/>
      <c r="E6340" s="4"/>
      <c r="F6340" s="4"/>
      <c r="G6340" s="4"/>
    </row>
    <row r="6341">
      <c r="A6341" s="4"/>
      <c r="B6341" s="4"/>
      <c r="C6341" s="4"/>
      <c r="D6341" s="4"/>
      <c r="E6341" s="4"/>
      <c r="F6341" s="4"/>
      <c r="G6341" s="4"/>
    </row>
    <row r="6342">
      <c r="A6342" s="4"/>
      <c r="B6342" s="4"/>
      <c r="C6342" s="4"/>
      <c r="D6342" s="4"/>
      <c r="E6342" s="4"/>
      <c r="F6342" s="4"/>
      <c r="G6342" s="4"/>
    </row>
    <row r="6343">
      <c r="A6343" s="4"/>
      <c r="B6343" s="4"/>
      <c r="C6343" s="4"/>
      <c r="D6343" s="4"/>
      <c r="E6343" s="13"/>
      <c r="F6343" s="4"/>
      <c r="G6343" s="4"/>
    </row>
    <row r="6344">
      <c r="A6344" s="4"/>
      <c r="B6344" s="4"/>
      <c r="C6344" s="4"/>
      <c r="D6344" s="4"/>
      <c r="E6344" s="4"/>
      <c r="F6344" s="4"/>
      <c r="G6344" s="4"/>
    </row>
    <row r="6345">
      <c r="A6345" s="4"/>
      <c r="B6345" s="4"/>
      <c r="C6345" s="4"/>
      <c r="D6345" s="4"/>
      <c r="E6345" s="4"/>
      <c r="F6345" s="4"/>
      <c r="G6345" s="4"/>
    </row>
    <row r="6346">
      <c r="A6346" s="4"/>
      <c r="B6346" s="4"/>
      <c r="C6346" s="4"/>
      <c r="D6346" s="13"/>
      <c r="E6346" s="4"/>
      <c r="F6346" s="4"/>
      <c r="G6346" s="4"/>
    </row>
    <row r="6347">
      <c r="A6347" s="4"/>
      <c r="B6347" s="4"/>
      <c r="C6347" s="4"/>
      <c r="D6347" s="13"/>
      <c r="E6347" s="13"/>
      <c r="F6347" s="4"/>
      <c r="G6347" s="4"/>
    </row>
    <row r="6348">
      <c r="A6348" s="4"/>
      <c r="B6348" s="4"/>
      <c r="C6348" s="4"/>
      <c r="D6348" s="4"/>
      <c r="E6348" s="4"/>
      <c r="F6348" s="4"/>
      <c r="G6348" s="4"/>
    </row>
    <row r="6349">
      <c r="A6349" s="4"/>
      <c r="B6349" s="4"/>
      <c r="C6349" s="4"/>
      <c r="D6349" s="13"/>
      <c r="E6349" s="13"/>
      <c r="F6349" s="4"/>
      <c r="G6349" s="4"/>
    </row>
    <row r="6350">
      <c r="A6350" s="4"/>
      <c r="B6350" s="4"/>
      <c r="C6350" s="4"/>
      <c r="D6350" s="13"/>
      <c r="E6350" s="13"/>
      <c r="F6350" s="4"/>
      <c r="G6350" s="4"/>
    </row>
    <row r="6351">
      <c r="A6351" s="4"/>
      <c r="B6351" s="4"/>
      <c r="C6351" s="4"/>
      <c r="D6351" s="4"/>
      <c r="E6351" s="4"/>
      <c r="F6351" s="4"/>
      <c r="G6351" s="4"/>
    </row>
    <row r="6352">
      <c r="A6352" s="4"/>
      <c r="B6352" s="4"/>
      <c r="C6352" s="4"/>
      <c r="D6352" s="4"/>
      <c r="E6352" s="4"/>
      <c r="F6352" s="4"/>
      <c r="G6352" s="4"/>
    </row>
    <row r="6353">
      <c r="A6353" s="4"/>
      <c r="B6353" s="4"/>
      <c r="C6353" s="4"/>
      <c r="D6353" s="4"/>
      <c r="E6353" s="4"/>
      <c r="F6353" s="4"/>
      <c r="G6353" s="4"/>
    </row>
    <row r="6354">
      <c r="A6354" s="4"/>
      <c r="B6354" s="4"/>
      <c r="C6354" s="4"/>
      <c r="D6354" s="4"/>
      <c r="E6354" s="4"/>
      <c r="F6354" s="4"/>
      <c r="G6354" s="4"/>
    </row>
    <row r="6355">
      <c r="A6355" s="4"/>
      <c r="B6355" s="4"/>
      <c r="C6355" s="4"/>
      <c r="D6355" s="4"/>
      <c r="E6355" s="13"/>
      <c r="F6355" s="4"/>
      <c r="G6355" s="4"/>
    </row>
    <row r="6356">
      <c r="A6356" s="4"/>
      <c r="B6356" s="4"/>
      <c r="C6356" s="4"/>
      <c r="D6356" s="4"/>
      <c r="E6356" s="4"/>
      <c r="F6356" s="4"/>
      <c r="G6356" s="4"/>
    </row>
    <row r="6357">
      <c r="A6357" s="4"/>
      <c r="B6357" s="4"/>
      <c r="C6357" s="4"/>
      <c r="D6357" s="4"/>
      <c r="E6357" s="13"/>
      <c r="F6357" s="4"/>
      <c r="G6357" s="4"/>
    </row>
    <row r="6358">
      <c r="A6358" s="4"/>
      <c r="B6358" s="4"/>
      <c r="C6358" s="4"/>
      <c r="D6358" s="4"/>
      <c r="E6358" s="4"/>
      <c r="F6358" s="4"/>
      <c r="G6358" s="4"/>
    </row>
    <row r="6359">
      <c r="A6359" s="4"/>
      <c r="B6359" s="4"/>
      <c r="C6359" s="4"/>
      <c r="D6359" s="4"/>
      <c r="E6359" s="4"/>
      <c r="F6359" s="4"/>
      <c r="G6359" s="4"/>
    </row>
    <row r="6360">
      <c r="A6360" s="4"/>
      <c r="B6360" s="4"/>
      <c r="C6360" s="4"/>
      <c r="D6360" s="4"/>
      <c r="E6360" s="4"/>
      <c r="F6360" s="4"/>
      <c r="G6360" s="4"/>
    </row>
    <row r="6361">
      <c r="A6361" s="4"/>
      <c r="B6361" s="4"/>
      <c r="C6361" s="4"/>
      <c r="D6361" s="4"/>
      <c r="E6361" s="13"/>
      <c r="F6361" s="4"/>
      <c r="G6361" s="4"/>
    </row>
    <row r="6362">
      <c r="A6362" s="4"/>
      <c r="B6362" s="4"/>
      <c r="C6362" s="4"/>
      <c r="D6362" s="4"/>
      <c r="E6362" s="4"/>
      <c r="F6362" s="4"/>
      <c r="G6362" s="4"/>
    </row>
    <row r="6363">
      <c r="A6363" s="4"/>
      <c r="B6363" s="4"/>
      <c r="C6363" s="4"/>
      <c r="D6363" s="4"/>
      <c r="E6363" s="4"/>
      <c r="F6363" s="4"/>
      <c r="G6363" s="4"/>
    </row>
    <row r="6364">
      <c r="A6364" s="4"/>
      <c r="B6364" s="4"/>
      <c r="C6364" s="4"/>
      <c r="D6364" s="4"/>
      <c r="E6364" s="4"/>
      <c r="F6364" s="4"/>
      <c r="G6364" s="4"/>
    </row>
    <row r="6365">
      <c r="A6365" s="4"/>
      <c r="B6365" s="4"/>
      <c r="C6365" s="4"/>
      <c r="D6365" s="4"/>
      <c r="E6365" s="4"/>
      <c r="F6365" s="4"/>
      <c r="G6365" s="4"/>
    </row>
    <row r="6366">
      <c r="A6366" s="4"/>
      <c r="B6366" s="4"/>
      <c r="C6366" s="4"/>
      <c r="D6366" s="4"/>
      <c r="E6366" s="13"/>
      <c r="F6366" s="4"/>
      <c r="G6366" s="4"/>
    </row>
    <row r="6367">
      <c r="A6367" s="4"/>
      <c r="B6367" s="4"/>
      <c r="C6367" s="4"/>
      <c r="D6367" s="4"/>
      <c r="E6367" s="4"/>
      <c r="F6367" s="4"/>
      <c r="G6367" s="4"/>
    </row>
    <row r="6368">
      <c r="A6368" s="4"/>
      <c r="B6368" s="4"/>
      <c r="C6368" s="4"/>
      <c r="D6368" s="4"/>
      <c r="E6368" s="4"/>
      <c r="F6368" s="4"/>
      <c r="G6368" s="4"/>
    </row>
    <row r="6369">
      <c r="A6369" s="4"/>
      <c r="B6369" s="4"/>
      <c r="C6369" s="4"/>
      <c r="D6369" s="4"/>
      <c r="E6369" s="4"/>
      <c r="F6369" s="4"/>
      <c r="G6369" s="4"/>
    </row>
    <row r="6370">
      <c r="A6370" s="4"/>
      <c r="B6370" s="4"/>
      <c r="C6370" s="4"/>
      <c r="D6370" s="4"/>
      <c r="E6370" s="4"/>
      <c r="F6370" s="4"/>
      <c r="G6370" s="4"/>
    </row>
    <row r="6371">
      <c r="A6371" s="4"/>
      <c r="B6371" s="4"/>
      <c r="C6371" s="4"/>
      <c r="D6371" s="4"/>
      <c r="E6371" s="4"/>
      <c r="F6371" s="4"/>
      <c r="G6371" s="4"/>
    </row>
    <row r="6372">
      <c r="A6372" s="4"/>
      <c r="B6372" s="4"/>
      <c r="C6372" s="4"/>
      <c r="D6372" s="4"/>
      <c r="E6372" s="4"/>
      <c r="F6372" s="4"/>
      <c r="G6372" s="4"/>
    </row>
    <row r="6373">
      <c r="A6373" s="4"/>
      <c r="B6373" s="4"/>
      <c r="C6373" s="4"/>
      <c r="D6373" s="13"/>
      <c r="E6373" s="13"/>
      <c r="F6373" s="4"/>
      <c r="G6373" s="4"/>
    </row>
    <row r="6374">
      <c r="A6374" s="4"/>
      <c r="B6374" s="4"/>
      <c r="C6374" s="4"/>
      <c r="D6374" s="4"/>
      <c r="E6374" s="13"/>
      <c r="F6374" s="4"/>
      <c r="G6374" s="4"/>
    </row>
    <row r="6375">
      <c r="A6375" s="4"/>
      <c r="B6375" s="4"/>
      <c r="C6375" s="4"/>
      <c r="D6375" s="4"/>
      <c r="E6375" s="4"/>
      <c r="F6375" s="4"/>
      <c r="G6375" s="4"/>
    </row>
    <row r="6376">
      <c r="A6376" s="4"/>
      <c r="B6376" s="4"/>
      <c r="C6376" s="4"/>
      <c r="D6376" s="4"/>
      <c r="E6376" s="4"/>
      <c r="F6376" s="4"/>
      <c r="G6376" s="4"/>
    </row>
    <row r="6377">
      <c r="A6377" s="4"/>
      <c r="B6377" s="4"/>
      <c r="C6377" s="4"/>
      <c r="D6377" s="4"/>
      <c r="E6377" s="13"/>
      <c r="F6377" s="4"/>
      <c r="G6377" s="4"/>
    </row>
    <row r="6378">
      <c r="A6378" s="4"/>
      <c r="B6378" s="4"/>
      <c r="C6378" s="4"/>
      <c r="D6378" s="4"/>
      <c r="E6378" s="4"/>
      <c r="F6378" s="4"/>
      <c r="G6378" s="4"/>
    </row>
    <row r="6379">
      <c r="A6379" s="4"/>
      <c r="B6379" s="4"/>
      <c r="C6379" s="4"/>
      <c r="D6379" s="4"/>
      <c r="E6379" s="13"/>
      <c r="F6379" s="4"/>
      <c r="G6379" s="4"/>
    </row>
    <row r="6380">
      <c r="A6380" s="4"/>
      <c r="B6380" s="4"/>
      <c r="C6380" s="4"/>
      <c r="D6380" s="4"/>
      <c r="E6380" s="4"/>
      <c r="F6380" s="4"/>
      <c r="G6380" s="4"/>
    </row>
    <row r="6381">
      <c r="A6381" s="4"/>
      <c r="B6381" s="4"/>
      <c r="C6381" s="4"/>
      <c r="D6381" s="13"/>
      <c r="E6381" s="13"/>
      <c r="F6381" s="4"/>
      <c r="G6381" s="4"/>
    </row>
    <row r="6382">
      <c r="A6382" s="4"/>
      <c r="B6382" s="4"/>
      <c r="C6382" s="4"/>
      <c r="D6382" s="13"/>
      <c r="E6382" s="13"/>
      <c r="F6382" s="4"/>
      <c r="G6382" s="4"/>
    </row>
    <row r="6383">
      <c r="A6383" s="4"/>
      <c r="B6383" s="4"/>
      <c r="C6383" s="4"/>
      <c r="D6383" s="4"/>
      <c r="E6383" s="13"/>
      <c r="F6383" s="4"/>
      <c r="G6383" s="4"/>
    </row>
    <row r="6384">
      <c r="A6384" s="4"/>
      <c r="B6384" s="4"/>
      <c r="C6384" s="4"/>
      <c r="D6384" s="4"/>
      <c r="E6384" s="4"/>
      <c r="F6384" s="4"/>
      <c r="G6384" s="4"/>
    </row>
    <row r="6385">
      <c r="A6385" s="4"/>
      <c r="B6385" s="4"/>
      <c r="C6385" s="4"/>
      <c r="D6385" s="4"/>
      <c r="E6385" s="4"/>
      <c r="F6385" s="4"/>
      <c r="G6385" s="4"/>
    </row>
    <row r="6386">
      <c r="A6386" s="4"/>
      <c r="B6386" s="4"/>
      <c r="C6386" s="4"/>
      <c r="D6386" s="4"/>
      <c r="E6386" s="4"/>
      <c r="F6386" s="4"/>
      <c r="G6386" s="4"/>
    </row>
    <row r="6387">
      <c r="A6387" s="4"/>
      <c r="B6387" s="4"/>
      <c r="C6387" s="4"/>
      <c r="D6387" s="4"/>
      <c r="E6387" s="13"/>
      <c r="F6387" s="4"/>
      <c r="G6387" s="4"/>
    </row>
    <row r="6388">
      <c r="A6388" s="4"/>
      <c r="B6388" s="4"/>
      <c r="C6388" s="4"/>
      <c r="D6388" s="4"/>
      <c r="E6388" s="4"/>
      <c r="F6388" s="4"/>
      <c r="G6388" s="4"/>
    </row>
    <row r="6389">
      <c r="A6389" s="4"/>
      <c r="B6389" s="4"/>
      <c r="C6389" s="4"/>
      <c r="D6389" s="4"/>
      <c r="E6389" s="4"/>
      <c r="F6389" s="4"/>
      <c r="G6389" s="4"/>
    </row>
    <row r="6390">
      <c r="A6390" s="4"/>
      <c r="B6390" s="4"/>
      <c r="C6390" s="4"/>
      <c r="D6390" s="4"/>
      <c r="E6390" s="4"/>
      <c r="F6390" s="4"/>
      <c r="G6390" s="4"/>
    </row>
    <row r="6391">
      <c r="A6391" s="4"/>
      <c r="B6391" s="4"/>
      <c r="C6391" s="4"/>
      <c r="D6391" s="4"/>
      <c r="E6391" s="4"/>
      <c r="F6391" s="4"/>
      <c r="G6391" s="4"/>
    </row>
    <row r="6392">
      <c r="A6392" s="4"/>
      <c r="B6392" s="4"/>
      <c r="C6392" s="4"/>
      <c r="D6392" s="4"/>
      <c r="E6392" s="13"/>
      <c r="F6392" s="4"/>
      <c r="G6392" s="4"/>
    </row>
    <row r="6393">
      <c r="A6393" s="4"/>
      <c r="B6393" s="4"/>
      <c r="C6393" s="4"/>
      <c r="D6393" s="4"/>
      <c r="E6393" s="13"/>
      <c r="F6393" s="4"/>
      <c r="G6393" s="4"/>
    </row>
    <row r="6394">
      <c r="A6394" s="4"/>
      <c r="B6394" s="4"/>
      <c r="C6394" s="4"/>
      <c r="D6394" s="4"/>
      <c r="E6394" s="4"/>
      <c r="F6394" s="4"/>
      <c r="G6394" s="4"/>
    </row>
    <row r="6395">
      <c r="A6395" s="4"/>
      <c r="B6395" s="4"/>
      <c r="C6395" s="4"/>
      <c r="D6395" s="4"/>
      <c r="E6395" s="4"/>
      <c r="F6395" s="4"/>
      <c r="G6395" s="4"/>
    </row>
    <row r="6396">
      <c r="A6396" s="4"/>
      <c r="B6396" s="4"/>
      <c r="C6396" s="4"/>
      <c r="D6396" s="4"/>
      <c r="E6396" s="4"/>
      <c r="F6396" s="4"/>
      <c r="G6396" s="4"/>
    </row>
    <row r="6397">
      <c r="A6397" s="4"/>
      <c r="B6397" s="4"/>
      <c r="C6397" s="4"/>
      <c r="D6397" s="13"/>
      <c r="E6397" s="13"/>
      <c r="F6397" s="4"/>
      <c r="G6397" s="4"/>
    </row>
    <row r="6398">
      <c r="A6398" s="4"/>
      <c r="B6398" s="4"/>
      <c r="C6398" s="4"/>
      <c r="D6398" s="4"/>
      <c r="E6398" s="4"/>
      <c r="F6398" s="4"/>
      <c r="G6398" s="4"/>
    </row>
    <row r="6399">
      <c r="A6399" s="4"/>
      <c r="B6399" s="4"/>
      <c r="C6399" s="4"/>
      <c r="D6399" s="4"/>
      <c r="E6399" s="4"/>
      <c r="F6399" s="4"/>
      <c r="G6399" s="4"/>
    </row>
    <row r="6400">
      <c r="A6400" s="4"/>
      <c r="B6400" s="4"/>
      <c r="C6400" s="4"/>
      <c r="D6400" s="13"/>
      <c r="E6400" s="13"/>
      <c r="F6400" s="4"/>
      <c r="G6400" s="4"/>
    </row>
    <row r="6401">
      <c r="A6401" s="4"/>
      <c r="B6401" s="4"/>
      <c r="C6401" s="4"/>
      <c r="D6401" s="4"/>
      <c r="E6401" s="13"/>
      <c r="F6401" s="4"/>
      <c r="G6401" s="4"/>
    </row>
    <row r="6402">
      <c r="A6402" s="4"/>
      <c r="B6402" s="4"/>
      <c r="C6402" s="4"/>
      <c r="D6402" s="4"/>
      <c r="E6402" s="4"/>
      <c r="F6402" s="4"/>
      <c r="G6402" s="4"/>
    </row>
    <row r="6403">
      <c r="A6403" s="4"/>
      <c r="B6403" s="4"/>
      <c r="C6403" s="4"/>
      <c r="D6403" s="4"/>
      <c r="E6403" s="13"/>
      <c r="F6403" s="4"/>
      <c r="G6403" s="4"/>
    </row>
    <row r="6404">
      <c r="A6404" s="4"/>
      <c r="B6404" s="4"/>
      <c r="C6404" s="4"/>
      <c r="D6404" s="4"/>
      <c r="E6404" s="4"/>
      <c r="F6404" s="4"/>
      <c r="G6404" s="4"/>
    </row>
    <row r="6405">
      <c r="A6405" s="4"/>
      <c r="B6405" s="4"/>
      <c r="C6405" s="4"/>
      <c r="D6405" s="4"/>
      <c r="E6405" s="13"/>
      <c r="F6405" s="4"/>
      <c r="G6405" s="4"/>
    </row>
    <row r="6406">
      <c r="A6406" s="4"/>
      <c r="B6406" s="4"/>
      <c r="C6406" s="4"/>
      <c r="D6406" s="4"/>
      <c r="E6406" s="4"/>
      <c r="F6406" s="4"/>
      <c r="G6406" s="4"/>
    </row>
    <row r="6407">
      <c r="A6407" s="4"/>
      <c r="B6407" s="4"/>
      <c r="C6407" s="4"/>
      <c r="D6407" s="4"/>
      <c r="E6407" s="4"/>
      <c r="F6407" s="4"/>
      <c r="G6407" s="4"/>
    </row>
    <row r="6408">
      <c r="A6408" s="4"/>
      <c r="B6408" s="4"/>
      <c r="C6408" s="4"/>
      <c r="D6408" s="4"/>
      <c r="E6408" s="13"/>
      <c r="F6408" s="4"/>
      <c r="G6408" s="4"/>
    </row>
    <row r="6409">
      <c r="A6409" s="4"/>
      <c r="B6409" s="4"/>
      <c r="C6409" s="4"/>
      <c r="D6409" s="4"/>
      <c r="E6409" s="13"/>
      <c r="F6409" s="4"/>
      <c r="G6409" s="4"/>
    </row>
    <row r="6410">
      <c r="A6410" s="4"/>
      <c r="B6410" s="4"/>
      <c r="C6410" s="4"/>
      <c r="D6410" s="4"/>
      <c r="E6410" s="4"/>
      <c r="F6410" s="4"/>
      <c r="G6410" s="4"/>
    </row>
    <row r="6411">
      <c r="A6411" s="4"/>
      <c r="B6411" s="4"/>
      <c r="C6411" s="4"/>
      <c r="D6411" s="4"/>
      <c r="E6411" s="13"/>
      <c r="F6411" s="4"/>
      <c r="G6411" s="4"/>
    </row>
    <row r="6412">
      <c r="A6412" s="4"/>
      <c r="B6412" s="4"/>
      <c r="C6412" s="4"/>
      <c r="D6412" s="4"/>
      <c r="E6412" s="4"/>
      <c r="F6412" s="4"/>
      <c r="G6412" s="4"/>
    </row>
    <row r="6413">
      <c r="A6413" s="4"/>
      <c r="B6413" s="4"/>
      <c r="C6413" s="4"/>
      <c r="D6413" s="4"/>
      <c r="E6413" s="4"/>
      <c r="F6413" s="4"/>
      <c r="G6413" s="4"/>
    </row>
    <row r="6414">
      <c r="A6414" s="4"/>
      <c r="B6414" s="4"/>
      <c r="C6414" s="4"/>
      <c r="D6414" s="4"/>
      <c r="E6414" s="13"/>
      <c r="F6414" s="4"/>
      <c r="G6414" s="4"/>
    </row>
    <row r="6415">
      <c r="A6415" s="4"/>
      <c r="B6415" s="4"/>
      <c r="C6415" s="4"/>
      <c r="D6415" s="4"/>
      <c r="E6415" s="4"/>
      <c r="F6415" s="4"/>
      <c r="G6415" s="4"/>
    </row>
    <row r="6416">
      <c r="A6416" s="4"/>
      <c r="B6416" s="4"/>
      <c r="C6416" s="4"/>
      <c r="D6416" s="4"/>
      <c r="E6416" s="13"/>
      <c r="F6416" s="4"/>
      <c r="G6416" s="4"/>
    </row>
    <row r="6417">
      <c r="A6417" s="4"/>
      <c r="B6417" s="4"/>
      <c r="C6417" s="4"/>
      <c r="D6417" s="4"/>
      <c r="E6417" s="4"/>
      <c r="F6417" s="4"/>
      <c r="G6417" s="4"/>
    </row>
    <row r="6418">
      <c r="A6418" s="4"/>
      <c r="B6418" s="4"/>
      <c r="C6418" s="4"/>
      <c r="D6418" s="4"/>
      <c r="E6418" s="4"/>
      <c r="F6418" s="4"/>
      <c r="G6418" s="4"/>
    </row>
    <row r="6419">
      <c r="A6419" s="4"/>
      <c r="B6419" s="4"/>
      <c r="C6419" s="4"/>
      <c r="D6419" s="4"/>
      <c r="E6419" s="13"/>
      <c r="F6419" s="4"/>
      <c r="G6419" s="4"/>
    </row>
    <row r="6420">
      <c r="A6420" s="4"/>
      <c r="B6420" s="4"/>
      <c r="C6420" s="4"/>
      <c r="D6420" s="4"/>
      <c r="E6420" s="13"/>
      <c r="F6420" s="4"/>
      <c r="G6420" s="4"/>
    </row>
    <row r="6421">
      <c r="A6421" s="4"/>
      <c r="B6421" s="4"/>
      <c r="C6421" s="4"/>
      <c r="D6421" s="4"/>
      <c r="E6421" s="4"/>
      <c r="F6421" s="4"/>
      <c r="G6421" s="4"/>
    </row>
    <row r="6422">
      <c r="A6422" s="4"/>
      <c r="B6422" s="4"/>
      <c r="C6422" s="4"/>
      <c r="D6422" s="4"/>
      <c r="E6422" s="13"/>
      <c r="F6422" s="4"/>
      <c r="G6422" s="4"/>
    </row>
    <row r="6423">
      <c r="A6423" s="4"/>
      <c r="B6423" s="4"/>
      <c r="C6423" s="4"/>
      <c r="D6423" s="4"/>
      <c r="E6423" s="4"/>
      <c r="F6423" s="4"/>
      <c r="G6423" s="4"/>
    </row>
    <row r="6424">
      <c r="A6424" s="4"/>
      <c r="B6424" s="4"/>
      <c r="C6424" s="4"/>
      <c r="D6424" s="4"/>
      <c r="E6424" s="13"/>
      <c r="F6424" s="4"/>
      <c r="G6424" s="4"/>
    </row>
    <row r="6425">
      <c r="A6425" s="4"/>
      <c r="B6425" s="4"/>
      <c r="C6425" s="4"/>
      <c r="D6425" s="4"/>
      <c r="E6425" s="4"/>
      <c r="F6425" s="4"/>
      <c r="G6425" s="4"/>
    </row>
    <row r="6426">
      <c r="A6426" s="4"/>
      <c r="B6426" s="4"/>
      <c r="C6426" s="4"/>
      <c r="D6426" s="4"/>
      <c r="E6426" s="13"/>
      <c r="F6426" s="4"/>
      <c r="G6426" s="4"/>
    </row>
    <row r="6427">
      <c r="A6427" s="4"/>
      <c r="B6427" s="4"/>
      <c r="C6427" s="4"/>
      <c r="D6427" s="4"/>
      <c r="E6427" s="4"/>
      <c r="F6427" s="4"/>
      <c r="G6427" s="4"/>
    </row>
    <row r="6428">
      <c r="A6428" s="4"/>
      <c r="B6428" s="4"/>
      <c r="C6428" s="4"/>
      <c r="D6428" s="4"/>
      <c r="E6428" s="4"/>
      <c r="F6428" s="4"/>
      <c r="G6428" s="4"/>
    </row>
    <row r="6429">
      <c r="A6429" s="4"/>
      <c r="B6429" s="4"/>
      <c r="C6429" s="4"/>
      <c r="D6429" s="13"/>
      <c r="E6429" s="13"/>
      <c r="F6429" s="4"/>
      <c r="G6429" s="4"/>
    </row>
    <row r="6430">
      <c r="A6430" s="4"/>
      <c r="B6430" s="4"/>
      <c r="C6430" s="4"/>
      <c r="D6430" s="4"/>
      <c r="E6430" s="4"/>
      <c r="F6430" s="4"/>
      <c r="G6430" s="4"/>
    </row>
    <row r="6431">
      <c r="A6431" s="4"/>
      <c r="B6431" s="4"/>
      <c r="C6431" s="4"/>
      <c r="D6431" s="4"/>
      <c r="E6431" s="4"/>
      <c r="F6431" s="4"/>
      <c r="G6431" s="4"/>
    </row>
    <row r="6432">
      <c r="A6432" s="4"/>
      <c r="B6432" s="4"/>
      <c r="C6432" s="4"/>
      <c r="D6432" s="4"/>
      <c r="E6432" s="4"/>
      <c r="F6432" s="4"/>
      <c r="G6432" s="4"/>
    </row>
    <row r="6433">
      <c r="A6433" s="4"/>
      <c r="B6433" s="4"/>
      <c r="C6433" s="4"/>
      <c r="D6433" s="13"/>
      <c r="E6433" s="13"/>
      <c r="F6433" s="4"/>
      <c r="G6433" s="4"/>
    </row>
    <row r="6434">
      <c r="A6434" s="4"/>
      <c r="B6434" s="4"/>
      <c r="C6434" s="4"/>
      <c r="D6434" s="4"/>
      <c r="E6434" s="4"/>
      <c r="F6434" s="4"/>
      <c r="G6434" s="4"/>
    </row>
    <row r="6435">
      <c r="A6435" s="4"/>
      <c r="B6435" s="4"/>
      <c r="C6435" s="4"/>
      <c r="D6435" s="13"/>
      <c r="E6435" s="13"/>
      <c r="F6435" s="4"/>
      <c r="G6435" s="4"/>
    </row>
    <row r="6436">
      <c r="A6436" s="4"/>
      <c r="B6436" s="4"/>
      <c r="C6436" s="4"/>
      <c r="D6436" s="4"/>
      <c r="E6436" s="4"/>
      <c r="F6436" s="4"/>
      <c r="G6436" s="4"/>
    </row>
    <row r="6437">
      <c r="A6437" s="4"/>
      <c r="B6437" s="4"/>
      <c r="C6437" s="4"/>
      <c r="D6437" s="4"/>
      <c r="E6437" s="13"/>
      <c r="F6437" s="4"/>
      <c r="G6437" s="4"/>
    </row>
    <row r="6438">
      <c r="A6438" s="4"/>
      <c r="B6438" s="4"/>
      <c r="C6438" s="4"/>
      <c r="D6438" s="4"/>
      <c r="E6438" s="4"/>
      <c r="F6438" s="4"/>
      <c r="G6438" s="4"/>
    </row>
    <row r="6439">
      <c r="A6439" s="4"/>
      <c r="B6439" s="4"/>
      <c r="C6439" s="4"/>
      <c r="D6439" s="4"/>
      <c r="E6439" s="13"/>
      <c r="F6439" s="4"/>
      <c r="G6439" s="4"/>
    </row>
    <row r="6440">
      <c r="A6440" s="4"/>
      <c r="B6440" s="4"/>
      <c r="C6440" s="4"/>
      <c r="D6440" s="4"/>
      <c r="E6440" s="4"/>
      <c r="F6440" s="4"/>
      <c r="G6440" s="4"/>
    </row>
    <row r="6441">
      <c r="A6441" s="4"/>
      <c r="B6441" s="4"/>
      <c r="C6441" s="4"/>
      <c r="D6441" s="4"/>
      <c r="E6441" s="13"/>
      <c r="F6441" s="4"/>
      <c r="G6441" s="4"/>
    </row>
    <row r="6442">
      <c r="A6442" s="4"/>
      <c r="B6442" s="4"/>
      <c r="C6442" s="4"/>
      <c r="D6442" s="4"/>
      <c r="E6442" s="4"/>
      <c r="F6442" s="4"/>
      <c r="G6442" s="4"/>
    </row>
    <row r="6443">
      <c r="A6443" s="4"/>
      <c r="B6443" s="4"/>
      <c r="C6443" s="4"/>
      <c r="D6443" s="4"/>
      <c r="E6443" s="4"/>
      <c r="F6443" s="4"/>
      <c r="G6443" s="4"/>
    </row>
    <row r="6444">
      <c r="A6444" s="4"/>
      <c r="B6444" s="4"/>
      <c r="C6444" s="4"/>
      <c r="D6444" s="4"/>
      <c r="E6444" s="4"/>
      <c r="F6444" s="4"/>
      <c r="G6444" s="4"/>
    </row>
    <row r="6445">
      <c r="A6445" s="4"/>
      <c r="B6445" s="4"/>
      <c r="C6445" s="4"/>
      <c r="D6445" s="4"/>
      <c r="E6445" s="4"/>
      <c r="F6445" s="4"/>
      <c r="G6445" s="4"/>
    </row>
    <row r="6446">
      <c r="A6446" s="4"/>
      <c r="B6446" s="4"/>
      <c r="C6446" s="4"/>
      <c r="D6446" s="13"/>
      <c r="E6446" s="13"/>
      <c r="F6446" s="4"/>
      <c r="G6446" s="4"/>
    </row>
    <row r="6447">
      <c r="A6447" s="4"/>
      <c r="B6447" s="4"/>
      <c r="C6447" s="4"/>
      <c r="D6447" s="4"/>
      <c r="E6447" s="4"/>
      <c r="F6447" s="4"/>
      <c r="G6447" s="4"/>
    </row>
    <row r="6448">
      <c r="A6448" s="4"/>
      <c r="B6448" s="4"/>
      <c r="C6448" s="4"/>
      <c r="D6448" s="4"/>
      <c r="E6448" s="4"/>
      <c r="F6448" s="4"/>
      <c r="G6448" s="4"/>
    </row>
    <row r="6449">
      <c r="A6449" s="4"/>
      <c r="B6449" s="4"/>
      <c r="C6449" s="4"/>
      <c r="D6449" s="4"/>
      <c r="E6449" s="4"/>
      <c r="F6449" s="4"/>
      <c r="G6449" s="4"/>
    </row>
    <row r="6450">
      <c r="A6450" s="4"/>
      <c r="B6450" s="4"/>
      <c r="C6450" s="4"/>
      <c r="D6450" s="4"/>
      <c r="E6450" s="4"/>
      <c r="F6450" s="4"/>
      <c r="G6450" s="4"/>
    </row>
    <row r="6451">
      <c r="A6451" s="4"/>
      <c r="B6451" s="4"/>
      <c r="C6451" s="4"/>
      <c r="D6451" s="4"/>
      <c r="E6451" s="4"/>
      <c r="F6451" s="4"/>
      <c r="G6451" s="4"/>
    </row>
    <row r="6452">
      <c r="A6452" s="4"/>
      <c r="B6452" s="4"/>
      <c r="C6452" s="4"/>
      <c r="D6452" s="4"/>
      <c r="E6452" s="13"/>
      <c r="F6452" s="4"/>
      <c r="G6452" s="4"/>
    </row>
    <row r="6453">
      <c r="A6453" s="4"/>
      <c r="B6453" s="4"/>
      <c r="C6453" s="4"/>
      <c r="D6453" s="4"/>
      <c r="E6453" s="4"/>
      <c r="F6453" s="4"/>
      <c r="G6453" s="4"/>
    </row>
    <row r="6454">
      <c r="A6454" s="4"/>
      <c r="B6454" s="4"/>
      <c r="C6454" s="4"/>
      <c r="D6454" s="4"/>
      <c r="E6454" s="13"/>
      <c r="F6454" s="4"/>
      <c r="G6454" s="4"/>
    </row>
    <row r="6455">
      <c r="A6455" s="4"/>
      <c r="B6455" s="4"/>
      <c r="C6455" s="4"/>
      <c r="D6455" s="4"/>
      <c r="E6455" s="4"/>
      <c r="F6455" s="4"/>
      <c r="G6455" s="4"/>
    </row>
    <row r="6456">
      <c r="A6456" s="4"/>
      <c r="B6456" s="4"/>
      <c r="C6456" s="4"/>
      <c r="D6456" s="4"/>
      <c r="E6456" s="13"/>
      <c r="F6456" s="4"/>
      <c r="G6456" s="4"/>
    </row>
    <row r="6457">
      <c r="A6457" s="4"/>
      <c r="B6457" s="4"/>
      <c r="C6457" s="4"/>
      <c r="D6457" s="4"/>
      <c r="E6457" s="4"/>
      <c r="F6457" s="4"/>
      <c r="G6457" s="4"/>
    </row>
    <row r="6458">
      <c r="A6458" s="4"/>
      <c r="B6458" s="4"/>
      <c r="C6458" s="4"/>
      <c r="D6458" s="4"/>
      <c r="E6458" s="4"/>
      <c r="F6458" s="4"/>
      <c r="G6458" s="4"/>
    </row>
    <row r="6459">
      <c r="A6459" s="4"/>
      <c r="B6459" s="4"/>
      <c r="C6459" s="4"/>
      <c r="D6459" s="13"/>
      <c r="E6459" s="13"/>
      <c r="F6459" s="4"/>
      <c r="G6459" s="4"/>
    </row>
    <row r="6460">
      <c r="A6460" s="4"/>
      <c r="B6460" s="4"/>
      <c r="C6460" s="4"/>
      <c r="D6460" s="4"/>
      <c r="E6460" s="13"/>
      <c r="F6460" s="4"/>
      <c r="G6460" s="4"/>
    </row>
    <row r="6461">
      <c r="A6461" s="4"/>
      <c r="B6461" s="4"/>
      <c r="C6461" s="4"/>
      <c r="D6461" s="4"/>
      <c r="E6461" s="4"/>
      <c r="F6461" s="4"/>
      <c r="G6461" s="4"/>
    </row>
    <row r="6462">
      <c r="A6462" s="4"/>
      <c r="B6462" s="4"/>
      <c r="C6462" s="4"/>
      <c r="D6462" s="4"/>
      <c r="E6462" s="4"/>
      <c r="F6462" s="4"/>
      <c r="G6462" s="4"/>
    </row>
    <row r="6463">
      <c r="A6463" s="4"/>
      <c r="B6463" s="4"/>
      <c r="C6463" s="4"/>
      <c r="D6463" s="4"/>
      <c r="E6463" s="4"/>
      <c r="F6463" s="4"/>
      <c r="G6463" s="4"/>
    </row>
    <row r="6464">
      <c r="A6464" s="4"/>
      <c r="B6464" s="4"/>
      <c r="C6464" s="4"/>
      <c r="D6464" s="4"/>
      <c r="E6464" s="4"/>
      <c r="F6464" s="4"/>
      <c r="G6464" s="4"/>
    </row>
    <row r="6465">
      <c r="A6465" s="4"/>
      <c r="B6465" s="4"/>
      <c r="C6465" s="4"/>
      <c r="D6465" s="4"/>
      <c r="E6465" s="13"/>
      <c r="F6465" s="4"/>
      <c r="G6465" s="4"/>
    </row>
    <row r="6466">
      <c r="A6466" s="4"/>
      <c r="B6466" s="4"/>
      <c r="C6466" s="4"/>
      <c r="D6466" s="13"/>
      <c r="E6466" s="13"/>
      <c r="F6466" s="4"/>
      <c r="G6466" s="4"/>
    </row>
    <row r="6467">
      <c r="A6467" s="4"/>
      <c r="B6467" s="4"/>
      <c r="C6467" s="4"/>
      <c r="D6467" s="4"/>
      <c r="E6467" s="4"/>
      <c r="F6467" s="4"/>
      <c r="G6467" s="4"/>
    </row>
    <row r="6468">
      <c r="A6468" s="4"/>
      <c r="B6468" s="4"/>
      <c r="C6468" s="4"/>
      <c r="D6468" s="4"/>
      <c r="E6468" s="4"/>
      <c r="F6468" s="4"/>
      <c r="G6468" s="4"/>
    </row>
    <row r="6469">
      <c r="A6469" s="4"/>
      <c r="B6469" s="4"/>
      <c r="C6469" s="4"/>
      <c r="D6469" s="4"/>
      <c r="E6469" s="13"/>
      <c r="F6469" s="4"/>
      <c r="G6469" s="4"/>
    </row>
    <row r="6470">
      <c r="A6470" s="4"/>
      <c r="B6470" s="4"/>
      <c r="C6470" s="4"/>
      <c r="D6470" s="4"/>
      <c r="E6470" s="4"/>
      <c r="F6470" s="4"/>
      <c r="G6470" s="4"/>
    </row>
    <row r="6471">
      <c r="A6471" s="4"/>
      <c r="B6471" s="4"/>
      <c r="C6471" s="4"/>
      <c r="D6471" s="4"/>
      <c r="E6471" s="4"/>
      <c r="F6471" s="4"/>
      <c r="G6471" s="4"/>
    </row>
    <row r="6472">
      <c r="A6472" s="4"/>
      <c r="B6472" s="4"/>
      <c r="C6472" s="4"/>
      <c r="D6472" s="4"/>
      <c r="E6472" s="4"/>
      <c r="F6472" s="4"/>
      <c r="G6472" s="4"/>
    </row>
    <row r="6473">
      <c r="A6473" s="4"/>
      <c r="B6473" s="4"/>
      <c r="C6473" s="4"/>
      <c r="D6473" s="4"/>
      <c r="E6473" s="13"/>
      <c r="F6473" s="4"/>
      <c r="G6473" s="4"/>
    </row>
    <row r="6474">
      <c r="A6474" s="4"/>
      <c r="B6474" s="4"/>
      <c r="C6474" s="4"/>
      <c r="D6474" s="4"/>
      <c r="E6474" s="4"/>
      <c r="F6474" s="4"/>
      <c r="G6474" s="4"/>
    </row>
    <row r="6475">
      <c r="A6475" s="4"/>
      <c r="B6475" s="4"/>
      <c r="C6475" s="4"/>
      <c r="D6475" s="4"/>
      <c r="E6475" s="4"/>
      <c r="F6475" s="4"/>
      <c r="G6475" s="4"/>
    </row>
    <row r="6476">
      <c r="A6476" s="4"/>
      <c r="B6476" s="4"/>
      <c r="C6476" s="4"/>
      <c r="D6476" s="4"/>
      <c r="E6476" s="4"/>
      <c r="F6476" s="4"/>
      <c r="G6476" s="4"/>
    </row>
    <row r="6477">
      <c r="A6477" s="4"/>
      <c r="B6477" s="4"/>
      <c r="C6477" s="4"/>
      <c r="D6477" s="13"/>
      <c r="E6477" s="13"/>
      <c r="F6477" s="4"/>
      <c r="G6477" s="4"/>
    </row>
    <row r="6478">
      <c r="A6478" s="4"/>
      <c r="B6478" s="4"/>
      <c r="C6478" s="4"/>
      <c r="D6478" s="13"/>
      <c r="E6478" s="13"/>
      <c r="F6478" s="4"/>
      <c r="G6478" s="4"/>
    </row>
    <row r="6479">
      <c r="A6479" s="4"/>
      <c r="B6479" s="4"/>
      <c r="C6479" s="4"/>
      <c r="D6479" s="4"/>
      <c r="E6479" s="4"/>
      <c r="F6479" s="4"/>
      <c r="G6479" s="4"/>
    </row>
    <row r="6480">
      <c r="A6480" s="4"/>
      <c r="B6480" s="4"/>
      <c r="C6480" s="4"/>
      <c r="D6480" s="13"/>
      <c r="E6480" s="13"/>
      <c r="F6480" s="4"/>
      <c r="G6480" s="4"/>
    </row>
    <row r="6481">
      <c r="A6481" s="4"/>
      <c r="B6481" s="4"/>
      <c r="C6481" s="4"/>
      <c r="D6481" s="4"/>
      <c r="E6481" s="4"/>
      <c r="F6481" s="4"/>
      <c r="G6481" s="4"/>
    </row>
    <row r="6482">
      <c r="A6482" s="4"/>
      <c r="B6482" s="4"/>
      <c r="C6482" s="4"/>
      <c r="D6482" s="13"/>
      <c r="E6482" s="13"/>
      <c r="F6482" s="4"/>
      <c r="G6482" s="4"/>
    </row>
    <row r="6483">
      <c r="A6483" s="4"/>
      <c r="B6483" s="4"/>
      <c r="C6483" s="4"/>
      <c r="D6483" s="13"/>
      <c r="E6483" s="13"/>
      <c r="F6483" s="4"/>
      <c r="G6483" s="4"/>
    </row>
    <row r="6484">
      <c r="A6484" s="4"/>
      <c r="B6484" s="4"/>
      <c r="C6484" s="4"/>
      <c r="D6484" s="4"/>
      <c r="E6484" s="4"/>
      <c r="F6484" s="4"/>
      <c r="G6484" s="4"/>
    </row>
    <row r="6485">
      <c r="A6485" s="4"/>
      <c r="B6485" s="4"/>
      <c r="C6485" s="4"/>
      <c r="D6485" s="4"/>
      <c r="E6485" s="13"/>
      <c r="F6485" s="4"/>
      <c r="G6485" s="4"/>
    </row>
    <row r="6486">
      <c r="A6486" s="4"/>
      <c r="B6486" s="4"/>
      <c r="C6486" s="4"/>
      <c r="D6486" s="13"/>
      <c r="E6486" s="4"/>
      <c r="F6486" s="4"/>
      <c r="G6486" s="4"/>
    </row>
    <row r="6487">
      <c r="A6487" s="4"/>
      <c r="B6487" s="4"/>
      <c r="C6487" s="4"/>
      <c r="D6487" s="13"/>
      <c r="E6487" s="4"/>
      <c r="F6487" s="4"/>
      <c r="G6487" s="4"/>
    </row>
    <row r="6488">
      <c r="A6488" s="4"/>
      <c r="B6488" s="4"/>
      <c r="C6488" s="4"/>
      <c r="D6488" s="4"/>
      <c r="E6488" s="4"/>
      <c r="F6488" s="4"/>
      <c r="G6488" s="4"/>
    </row>
    <row r="6489">
      <c r="A6489" s="4"/>
      <c r="B6489" s="4"/>
      <c r="C6489" s="4"/>
      <c r="D6489" s="13"/>
      <c r="E6489" s="13"/>
      <c r="F6489" s="4"/>
      <c r="G6489" s="4"/>
    </row>
    <row r="6490">
      <c r="A6490" s="4"/>
      <c r="B6490" s="4"/>
      <c r="C6490" s="4"/>
      <c r="D6490" s="13"/>
      <c r="E6490" s="13"/>
      <c r="F6490" s="4"/>
      <c r="G6490" s="4"/>
    </row>
    <row r="6491">
      <c r="A6491" s="4"/>
      <c r="B6491" s="4"/>
      <c r="C6491" s="4"/>
      <c r="D6491" s="4"/>
      <c r="E6491" s="4"/>
      <c r="F6491" s="4"/>
      <c r="G6491" s="4"/>
    </row>
    <row r="6492">
      <c r="A6492" s="4"/>
      <c r="B6492" s="4"/>
      <c r="C6492" s="4"/>
      <c r="D6492" s="13"/>
      <c r="E6492" s="13"/>
      <c r="F6492" s="4"/>
      <c r="G6492" s="4"/>
    </row>
    <row r="6493">
      <c r="A6493" s="4"/>
      <c r="B6493" s="4"/>
      <c r="C6493" s="4"/>
      <c r="D6493" s="4"/>
      <c r="E6493" s="4"/>
      <c r="F6493" s="4"/>
      <c r="G6493" s="4"/>
    </row>
    <row r="6494">
      <c r="A6494" s="4"/>
      <c r="B6494" s="4"/>
      <c r="C6494" s="4"/>
      <c r="D6494" s="13"/>
      <c r="E6494" s="13"/>
      <c r="F6494" s="4"/>
      <c r="G6494" s="4"/>
    </row>
    <row r="6495">
      <c r="A6495" s="4"/>
      <c r="B6495" s="4"/>
      <c r="C6495" s="4"/>
      <c r="D6495" s="13"/>
      <c r="E6495" s="13"/>
      <c r="F6495" s="4"/>
      <c r="G6495" s="4"/>
    </row>
    <row r="6496">
      <c r="A6496" s="4"/>
      <c r="B6496" s="4"/>
      <c r="C6496" s="4"/>
      <c r="D6496" s="13"/>
      <c r="E6496" s="13"/>
      <c r="F6496" s="4"/>
      <c r="G6496" s="4"/>
    </row>
    <row r="6497">
      <c r="A6497" s="4"/>
      <c r="B6497" s="4"/>
      <c r="C6497" s="4"/>
      <c r="D6497" s="4"/>
      <c r="E6497" s="4"/>
      <c r="F6497" s="4"/>
      <c r="G6497" s="4"/>
    </row>
    <row r="6498">
      <c r="A6498" s="4"/>
      <c r="B6498" s="4"/>
      <c r="C6498" s="4"/>
      <c r="D6498" s="4"/>
      <c r="E6498" s="4"/>
      <c r="F6498" s="4"/>
      <c r="G6498" s="4"/>
    </row>
    <row r="6499">
      <c r="A6499" s="4"/>
      <c r="B6499" s="4"/>
      <c r="C6499" s="4"/>
      <c r="D6499" s="4"/>
      <c r="E6499" s="4"/>
      <c r="F6499" s="4"/>
      <c r="G6499" s="4"/>
    </row>
    <row r="6500">
      <c r="A6500" s="4"/>
      <c r="B6500" s="4"/>
      <c r="C6500" s="4"/>
      <c r="D6500" s="4"/>
      <c r="E6500" s="4"/>
      <c r="F6500" s="4"/>
      <c r="G6500" s="4"/>
    </row>
    <row r="6501">
      <c r="A6501" s="4"/>
      <c r="B6501" s="4"/>
      <c r="C6501" s="4"/>
      <c r="D6501" s="4"/>
      <c r="E6501" s="4"/>
      <c r="F6501" s="4"/>
      <c r="G6501" s="4"/>
    </row>
    <row r="6502">
      <c r="A6502" s="4"/>
      <c r="B6502" s="4"/>
      <c r="C6502" s="4"/>
      <c r="D6502" s="4"/>
      <c r="E6502" s="4"/>
      <c r="F6502" s="4"/>
      <c r="G6502" s="4"/>
    </row>
    <row r="6503">
      <c r="A6503" s="4"/>
      <c r="B6503" s="4"/>
      <c r="C6503" s="4"/>
      <c r="D6503" s="13"/>
      <c r="E6503" s="13"/>
      <c r="F6503" s="4"/>
      <c r="G6503" s="4"/>
    </row>
    <row r="6504">
      <c r="A6504" s="4"/>
      <c r="B6504" s="4"/>
      <c r="C6504" s="4"/>
      <c r="D6504" s="4"/>
      <c r="E6504" s="4"/>
      <c r="F6504" s="4"/>
      <c r="G6504" s="4"/>
    </row>
    <row r="6505">
      <c r="A6505" s="4"/>
      <c r="B6505" s="4"/>
      <c r="C6505" s="4"/>
      <c r="D6505" s="13"/>
      <c r="E6505" s="13"/>
      <c r="F6505" s="4"/>
      <c r="G6505" s="4"/>
    </row>
    <row r="6506">
      <c r="A6506" s="4"/>
      <c r="B6506" s="4"/>
      <c r="C6506" s="4"/>
      <c r="D6506" s="13"/>
      <c r="E6506" s="13"/>
      <c r="F6506" s="4"/>
      <c r="G6506" s="4"/>
    </row>
    <row r="6507">
      <c r="A6507" s="4"/>
      <c r="B6507" s="4"/>
      <c r="C6507" s="4"/>
      <c r="D6507" s="13"/>
      <c r="E6507" s="13"/>
      <c r="F6507" s="4"/>
      <c r="G6507" s="4"/>
    </row>
    <row r="6508">
      <c r="A6508" s="4"/>
      <c r="B6508" s="4"/>
      <c r="C6508" s="4"/>
      <c r="D6508" s="4"/>
      <c r="E6508" s="4"/>
      <c r="F6508" s="4"/>
      <c r="G6508" s="4"/>
    </row>
    <row r="6509">
      <c r="A6509" s="4"/>
      <c r="B6509" s="4"/>
      <c r="C6509" s="4"/>
      <c r="D6509" s="13"/>
      <c r="E6509" s="13"/>
      <c r="F6509" s="4"/>
      <c r="G6509" s="4"/>
    </row>
    <row r="6510">
      <c r="A6510" s="4"/>
      <c r="B6510" s="4"/>
      <c r="C6510" s="4"/>
      <c r="D6510" s="4"/>
      <c r="E6510" s="4"/>
      <c r="F6510" s="4"/>
      <c r="G6510" s="4"/>
    </row>
    <row r="6511">
      <c r="A6511" s="4"/>
      <c r="B6511" s="4"/>
      <c r="C6511" s="4"/>
      <c r="D6511" s="4"/>
      <c r="E6511" s="13"/>
      <c r="F6511" s="4"/>
      <c r="G6511" s="4"/>
    </row>
    <row r="6512">
      <c r="A6512" s="4"/>
      <c r="B6512" s="4"/>
      <c r="C6512" s="4"/>
      <c r="D6512" s="13"/>
      <c r="E6512" s="13"/>
      <c r="F6512" s="4"/>
      <c r="G6512" s="4"/>
    </row>
    <row r="6513">
      <c r="A6513" s="4"/>
      <c r="B6513" s="4"/>
      <c r="C6513" s="4"/>
      <c r="D6513" s="13"/>
      <c r="E6513" s="13"/>
      <c r="F6513" s="4"/>
      <c r="G6513" s="4"/>
    </row>
    <row r="6514">
      <c r="A6514" s="4"/>
      <c r="B6514" s="4"/>
      <c r="C6514" s="4"/>
      <c r="D6514" s="4"/>
      <c r="E6514" s="4"/>
      <c r="F6514" s="4"/>
      <c r="G6514" s="4"/>
    </row>
    <row r="6515">
      <c r="A6515" s="4"/>
      <c r="B6515" s="4"/>
      <c r="C6515" s="4"/>
      <c r="D6515" s="4"/>
      <c r="E6515" s="13"/>
      <c r="F6515" s="4"/>
      <c r="G6515" s="4"/>
    </row>
    <row r="6516">
      <c r="A6516" s="4"/>
      <c r="B6516" s="4"/>
      <c r="C6516" s="4"/>
      <c r="D6516" s="4"/>
      <c r="E6516" s="4"/>
      <c r="F6516" s="4"/>
      <c r="G6516" s="4"/>
    </row>
    <row r="6517">
      <c r="A6517" s="4"/>
      <c r="B6517" s="4"/>
      <c r="C6517" s="4"/>
      <c r="D6517" s="4"/>
      <c r="E6517" s="4"/>
      <c r="F6517" s="4"/>
      <c r="G6517" s="4"/>
    </row>
    <row r="6518">
      <c r="A6518" s="4"/>
      <c r="B6518" s="4"/>
      <c r="C6518" s="4"/>
      <c r="D6518" s="4"/>
      <c r="E6518" s="13"/>
      <c r="F6518" s="4"/>
      <c r="G6518" s="4"/>
    </row>
    <row r="6519">
      <c r="A6519" s="4"/>
      <c r="B6519" s="4"/>
      <c r="C6519" s="4"/>
      <c r="D6519" s="4"/>
      <c r="E6519" s="13"/>
      <c r="F6519" s="4"/>
      <c r="G6519" s="4"/>
    </row>
    <row r="6520">
      <c r="A6520" s="4"/>
      <c r="B6520" s="4"/>
      <c r="C6520" s="4"/>
      <c r="D6520" s="4"/>
      <c r="E6520" s="4"/>
      <c r="F6520" s="4"/>
      <c r="G6520" s="4"/>
    </row>
    <row r="6521">
      <c r="A6521" s="4"/>
      <c r="B6521" s="4"/>
      <c r="C6521" s="4"/>
      <c r="D6521" s="4"/>
      <c r="E6521" s="13"/>
      <c r="F6521" s="4"/>
      <c r="G6521" s="4"/>
    </row>
    <row r="6522">
      <c r="A6522" s="4"/>
      <c r="B6522" s="4"/>
      <c r="C6522" s="4"/>
      <c r="D6522" s="4"/>
      <c r="E6522" s="4"/>
      <c r="F6522" s="4"/>
      <c r="G6522" s="4"/>
    </row>
    <row r="6523">
      <c r="A6523" s="4"/>
      <c r="B6523" s="4"/>
      <c r="C6523" s="4"/>
      <c r="D6523" s="4"/>
      <c r="E6523" s="13"/>
      <c r="F6523" s="4"/>
      <c r="G6523" s="4"/>
    </row>
    <row r="6524">
      <c r="A6524" s="4"/>
      <c r="B6524" s="4"/>
      <c r="C6524" s="4"/>
      <c r="D6524" s="4"/>
      <c r="E6524" s="4"/>
      <c r="F6524" s="4"/>
      <c r="G6524" s="4"/>
    </row>
    <row r="6525">
      <c r="A6525" s="4"/>
      <c r="B6525" s="4"/>
      <c r="C6525" s="4"/>
      <c r="D6525" s="13"/>
      <c r="E6525" s="13"/>
      <c r="F6525" s="4"/>
      <c r="G6525" s="4"/>
    </row>
    <row r="6526">
      <c r="A6526" s="4"/>
      <c r="B6526" s="4"/>
      <c r="C6526" s="4"/>
      <c r="D6526" s="4"/>
      <c r="E6526" s="4"/>
      <c r="F6526" s="4"/>
      <c r="G6526" s="4"/>
    </row>
    <row r="6527">
      <c r="A6527" s="4"/>
      <c r="B6527" s="4"/>
      <c r="C6527" s="4"/>
      <c r="D6527" s="4"/>
      <c r="E6527" s="13"/>
      <c r="F6527" s="4"/>
      <c r="G6527" s="4"/>
    </row>
    <row r="6528">
      <c r="A6528" s="4"/>
      <c r="B6528" s="4"/>
      <c r="C6528" s="4"/>
      <c r="D6528" s="4"/>
      <c r="E6528" s="4"/>
      <c r="F6528" s="4"/>
      <c r="G6528" s="4"/>
    </row>
    <row r="6529">
      <c r="A6529" s="4"/>
      <c r="B6529" s="4"/>
      <c r="C6529" s="4"/>
      <c r="D6529" s="4"/>
      <c r="E6529" s="4"/>
      <c r="F6529" s="4"/>
      <c r="G6529" s="4"/>
    </row>
    <row r="6530">
      <c r="A6530" s="4"/>
      <c r="B6530" s="4"/>
      <c r="C6530" s="4"/>
      <c r="D6530" s="4"/>
      <c r="E6530" s="4"/>
      <c r="F6530" s="4"/>
      <c r="G6530" s="4"/>
    </row>
    <row r="6531">
      <c r="A6531" s="4"/>
      <c r="B6531" s="4"/>
      <c r="C6531" s="4"/>
      <c r="D6531" s="4"/>
      <c r="E6531" s="4"/>
      <c r="F6531" s="4"/>
      <c r="G6531" s="4"/>
    </row>
    <row r="6532">
      <c r="A6532" s="4"/>
      <c r="B6532" s="4"/>
      <c r="C6532" s="4"/>
      <c r="D6532" s="4"/>
      <c r="E6532" s="4"/>
      <c r="F6532" s="4"/>
      <c r="G6532" s="4"/>
    </row>
    <row r="6533">
      <c r="A6533" s="4"/>
      <c r="B6533" s="4"/>
      <c r="C6533" s="4"/>
      <c r="D6533" s="4"/>
      <c r="E6533" s="13"/>
      <c r="F6533" s="4"/>
      <c r="G6533" s="4"/>
    </row>
    <row r="6534">
      <c r="A6534" s="4"/>
      <c r="B6534" s="4"/>
      <c r="C6534" s="4"/>
      <c r="D6534" s="4"/>
      <c r="E6534" s="13"/>
      <c r="F6534" s="4"/>
      <c r="G6534" s="4"/>
    </row>
    <row r="6535">
      <c r="A6535" s="4"/>
      <c r="B6535" s="4"/>
      <c r="C6535" s="4"/>
      <c r="D6535" s="4"/>
      <c r="E6535" s="4"/>
      <c r="F6535" s="4"/>
      <c r="G6535" s="4"/>
    </row>
    <row r="6536">
      <c r="A6536" s="4"/>
      <c r="B6536" s="4"/>
      <c r="C6536" s="4"/>
      <c r="D6536" s="4"/>
      <c r="E6536" s="4"/>
      <c r="F6536" s="4"/>
      <c r="G6536" s="4"/>
    </row>
    <row r="6537">
      <c r="A6537" s="4"/>
      <c r="B6537" s="4"/>
      <c r="C6537" s="4"/>
      <c r="D6537" s="4"/>
      <c r="E6537" s="4"/>
      <c r="F6537" s="4"/>
      <c r="G6537" s="4"/>
    </row>
    <row r="6538">
      <c r="A6538" s="4"/>
      <c r="B6538" s="4"/>
      <c r="C6538" s="4"/>
      <c r="D6538" s="4"/>
      <c r="E6538" s="13"/>
      <c r="F6538" s="4"/>
      <c r="G6538" s="4"/>
    </row>
    <row r="6539">
      <c r="A6539" s="4"/>
      <c r="B6539" s="4"/>
      <c r="C6539" s="4"/>
      <c r="D6539" s="4"/>
      <c r="E6539" s="4"/>
      <c r="F6539" s="4"/>
      <c r="G6539" s="4"/>
    </row>
    <row r="6540">
      <c r="A6540" s="4"/>
      <c r="B6540" s="4"/>
      <c r="C6540" s="4"/>
      <c r="D6540" s="4"/>
      <c r="E6540" s="4"/>
      <c r="F6540" s="4"/>
      <c r="G6540" s="4"/>
    </row>
    <row r="6541">
      <c r="A6541" s="4"/>
      <c r="B6541" s="4"/>
      <c r="C6541" s="4"/>
      <c r="D6541" s="4"/>
      <c r="E6541" s="4"/>
      <c r="F6541" s="4"/>
      <c r="G6541" s="4"/>
    </row>
    <row r="6542">
      <c r="A6542" s="4"/>
      <c r="B6542" s="4"/>
      <c r="C6542" s="4"/>
      <c r="D6542" s="4"/>
      <c r="E6542" s="13"/>
      <c r="F6542" s="4"/>
      <c r="G6542" s="4"/>
    </row>
    <row r="6543">
      <c r="A6543" s="4"/>
      <c r="B6543" s="4"/>
      <c r="C6543" s="4"/>
      <c r="D6543" s="4"/>
      <c r="E6543" s="4"/>
      <c r="F6543" s="4"/>
      <c r="G6543" s="4"/>
    </row>
    <row r="6544">
      <c r="A6544" s="4"/>
      <c r="B6544" s="4"/>
      <c r="C6544" s="4"/>
      <c r="D6544" s="13"/>
      <c r="E6544" s="13"/>
      <c r="F6544" s="4"/>
      <c r="G6544" s="4"/>
    </row>
    <row r="6545">
      <c r="A6545" s="4"/>
      <c r="B6545" s="4"/>
      <c r="C6545" s="4"/>
      <c r="D6545" s="4"/>
      <c r="E6545" s="4"/>
      <c r="F6545" s="4"/>
      <c r="G6545" s="4"/>
    </row>
    <row r="6546">
      <c r="A6546" s="4"/>
      <c r="B6546" s="4"/>
      <c r="C6546" s="4"/>
      <c r="D6546" s="4"/>
      <c r="E6546" s="4"/>
      <c r="F6546" s="4"/>
      <c r="G6546" s="4"/>
    </row>
    <row r="6547">
      <c r="A6547" s="4"/>
      <c r="B6547" s="4"/>
      <c r="C6547" s="4"/>
      <c r="D6547" s="13"/>
      <c r="E6547" s="13"/>
      <c r="F6547" s="4"/>
      <c r="G6547" s="4"/>
    </row>
    <row r="6548">
      <c r="A6548" s="4"/>
      <c r="B6548" s="4"/>
      <c r="C6548" s="4"/>
      <c r="D6548" s="13"/>
      <c r="E6548" s="4"/>
      <c r="F6548" s="4"/>
      <c r="G6548" s="4"/>
    </row>
    <row r="6549">
      <c r="A6549" s="4"/>
      <c r="B6549" s="4"/>
      <c r="C6549" s="4"/>
      <c r="D6549" s="4"/>
      <c r="E6549" s="13"/>
      <c r="F6549" s="4"/>
      <c r="G6549" s="4"/>
    </row>
    <row r="6550">
      <c r="A6550" s="4"/>
      <c r="B6550" s="4"/>
      <c r="C6550" s="4"/>
      <c r="D6550" s="4"/>
      <c r="E6550" s="4"/>
      <c r="F6550" s="4"/>
      <c r="G6550" s="4"/>
    </row>
    <row r="6551">
      <c r="A6551" s="4"/>
      <c r="B6551" s="4"/>
      <c r="C6551" s="4"/>
      <c r="D6551" s="4"/>
      <c r="E6551" s="4"/>
      <c r="F6551" s="4"/>
      <c r="G6551" s="4"/>
    </row>
    <row r="6552">
      <c r="A6552" s="4"/>
      <c r="B6552" s="4"/>
      <c r="C6552" s="4"/>
      <c r="D6552" s="4"/>
      <c r="E6552" s="4"/>
      <c r="F6552" s="4"/>
      <c r="G6552" s="4"/>
    </row>
    <row r="6553">
      <c r="A6553" s="4"/>
      <c r="B6553" s="4"/>
      <c r="C6553" s="4"/>
      <c r="D6553" s="4"/>
      <c r="E6553" s="13"/>
      <c r="F6553" s="4"/>
      <c r="G6553" s="4"/>
    </row>
    <row r="6554">
      <c r="A6554" s="4"/>
      <c r="B6554" s="4"/>
      <c r="C6554" s="4"/>
      <c r="D6554" s="4"/>
      <c r="E6554" s="4"/>
      <c r="F6554" s="4"/>
      <c r="G6554" s="4"/>
    </row>
    <row r="6555">
      <c r="A6555" s="4"/>
      <c r="B6555" s="4"/>
      <c r="C6555" s="4"/>
      <c r="D6555" s="4"/>
      <c r="E6555" s="4"/>
      <c r="F6555" s="4"/>
      <c r="G6555" s="4"/>
    </row>
    <row r="6556">
      <c r="A6556" s="4"/>
      <c r="B6556" s="4"/>
      <c r="C6556" s="4"/>
      <c r="D6556" s="4"/>
      <c r="E6556" s="4"/>
      <c r="F6556" s="4"/>
      <c r="G6556" s="4"/>
    </row>
    <row r="6557">
      <c r="A6557" s="4"/>
      <c r="B6557" s="4"/>
      <c r="C6557" s="4"/>
      <c r="D6557" s="4"/>
      <c r="E6557" s="4"/>
      <c r="F6557" s="4"/>
      <c r="G6557" s="4"/>
    </row>
    <row r="6558">
      <c r="A6558" s="4"/>
      <c r="B6558" s="4"/>
      <c r="C6558" s="4"/>
      <c r="D6558" s="4"/>
      <c r="E6558" s="13"/>
      <c r="F6558" s="4"/>
      <c r="G6558" s="4"/>
    </row>
    <row r="6559">
      <c r="A6559" s="4"/>
      <c r="B6559" s="4"/>
      <c r="C6559" s="4"/>
      <c r="D6559" s="4"/>
      <c r="E6559" s="4"/>
      <c r="F6559" s="4"/>
      <c r="G6559" s="4"/>
    </row>
    <row r="6560">
      <c r="A6560" s="4"/>
      <c r="B6560" s="4"/>
      <c r="C6560" s="4"/>
      <c r="D6560" s="4"/>
      <c r="E6560" s="4"/>
      <c r="F6560" s="4"/>
      <c r="G6560" s="4"/>
    </row>
    <row r="6561">
      <c r="A6561" s="4"/>
      <c r="B6561" s="4"/>
      <c r="C6561" s="4"/>
      <c r="D6561" s="13"/>
      <c r="E6561" s="13"/>
      <c r="F6561" s="4"/>
      <c r="G6561" s="4"/>
    </row>
    <row r="6562">
      <c r="A6562" s="4"/>
      <c r="B6562" s="4"/>
      <c r="C6562" s="4"/>
      <c r="D6562" s="4"/>
      <c r="E6562" s="4"/>
      <c r="F6562" s="4"/>
      <c r="G6562" s="4"/>
    </row>
    <row r="6563">
      <c r="A6563" s="4"/>
      <c r="B6563" s="4"/>
      <c r="C6563" s="4"/>
      <c r="D6563" s="13"/>
      <c r="E6563" s="13"/>
      <c r="F6563" s="4"/>
      <c r="G6563" s="4"/>
    </row>
    <row r="6564">
      <c r="A6564" s="4"/>
      <c r="B6564" s="4"/>
      <c r="C6564" s="4"/>
      <c r="D6564" s="4"/>
      <c r="E6564" s="4"/>
      <c r="F6564" s="4"/>
      <c r="G6564" s="4"/>
    </row>
    <row r="6565">
      <c r="A6565" s="4"/>
      <c r="B6565" s="4"/>
      <c r="C6565" s="4"/>
      <c r="D6565" s="4"/>
      <c r="E6565" s="4"/>
      <c r="F6565" s="4"/>
      <c r="G6565" s="4"/>
    </row>
    <row r="6566">
      <c r="A6566" s="4"/>
      <c r="B6566" s="4"/>
      <c r="C6566" s="4"/>
      <c r="D6566" s="4"/>
      <c r="E6566" s="13"/>
      <c r="F6566" s="4"/>
      <c r="G6566" s="4"/>
    </row>
    <row r="6567">
      <c r="A6567" s="4"/>
      <c r="B6567" s="4"/>
      <c r="C6567" s="4"/>
      <c r="D6567" s="4"/>
      <c r="E6567" s="4"/>
      <c r="F6567" s="4"/>
      <c r="G6567" s="4"/>
    </row>
    <row r="6568">
      <c r="A6568" s="4"/>
      <c r="B6568" s="4"/>
      <c r="C6568" s="4"/>
      <c r="D6568" s="4"/>
      <c r="E6568" s="4"/>
      <c r="F6568" s="4"/>
      <c r="G6568" s="4"/>
    </row>
    <row r="6569">
      <c r="A6569" s="4"/>
      <c r="B6569" s="4"/>
      <c r="C6569" s="4"/>
      <c r="D6569" s="4"/>
      <c r="E6569" s="13"/>
      <c r="F6569" s="4"/>
      <c r="G6569" s="4"/>
    </row>
    <row r="6570">
      <c r="A6570" s="4"/>
      <c r="B6570" s="4"/>
      <c r="C6570" s="4"/>
      <c r="D6570" s="4"/>
      <c r="E6570" s="4"/>
      <c r="F6570" s="4"/>
      <c r="G6570" s="4"/>
    </row>
    <row r="6571">
      <c r="A6571" s="4"/>
      <c r="B6571" s="4"/>
      <c r="C6571" s="4"/>
      <c r="D6571" s="4"/>
      <c r="E6571" s="4"/>
      <c r="F6571" s="4"/>
      <c r="G6571" s="4"/>
    </row>
    <row r="6572">
      <c r="A6572" s="4"/>
      <c r="B6572" s="4"/>
      <c r="C6572" s="4"/>
      <c r="D6572" s="13"/>
      <c r="E6572" s="13"/>
      <c r="F6572" s="4"/>
      <c r="G6572" s="4"/>
    </row>
    <row r="6573">
      <c r="A6573" s="4"/>
      <c r="B6573" s="4"/>
      <c r="C6573" s="4"/>
      <c r="D6573" s="4"/>
      <c r="E6573" s="13"/>
      <c r="F6573" s="4"/>
      <c r="G6573" s="4"/>
    </row>
    <row r="6574">
      <c r="A6574" s="4"/>
      <c r="B6574" s="4"/>
      <c r="C6574" s="4"/>
      <c r="D6574" s="4"/>
      <c r="E6574" s="4"/>
      <c r="F6574" s="4"/>
      <c r="G6574" s="4"/>
    </row>
    <row r="6575">
      <c r="A6575" s="4"/>
      <c r="B6575" s="4"/>
      <c r="C6575" s="4"/>
      <c r="D6575" s="4"/>
      <c r="E6575" s="4"/>
      <c r="F6575" s="4"/>
      <c r="G6575" s="4"/>
    </row>
    <row r="6576">
      <c r="A6576" s="4"/>
      <c r="B6576" s="4"/>
      <c r="C6576" s="4"/>
      <c r="D6576" s="4"/>
      <c r="E6576" s="13"/>
      <c r="F6576" s="4"/>
      <c r="G6576" s="4"/>
    </row>
    <row r="6577">
      <c r="A6577" s="4"/>
      <c r="B6577" s="4"/>
      <c r="C6577" s="4"/>
      <c r="D6577" s="4"/>
      <c r="E6577" s="13"/>
      <c r="F6577" s="4"/>
      <c r="G6577" s="4"/>
    </row>
    <row r="6578">
      <c r="A6578" s="4"/>
      <c r="B6578" s="4"/>
      <c r="C6578" s="4"/>
      <c r="D6578" s="4"/>
      <c r="E6578" s="4"/>
      <c r="F6578" s="4"/>
      <c r="G6578" s="4"/>
    </row>
    <row r="6579">
      <c r="A6579" s="4"/>
      <c r="B6579" s="4"/>
      <c r="C6579" s="4"/>
      <c r="D6579" s="4"/>
      <c r="E6579" s="4"/>
      <c r="F6579" s="4"/>
      <c r="G6579" s="4"/>
    </row>
    <row r="6580">
      <c r="A6580" s="4"/>
      <c r="B6580" s="4"/>
      <c r="C6580" s="4"/>
      <c r="D6580" s="4"/>
      <c r="E6580" s="13"/>
      <c r="F6580" s="4"/>
      <c r="G6580" s="4"/>
    </row>
    <row r="6581">
      <c r="A6581" s="4"/>
      <c r="B6581" s="4"/>
      <c r="C6581" s="4"/>
      <c r="D6581" s="4"/>
      <c r="E6581" s="4"/>
      <c r="F6581" s="4"/>
      <c r="G6581" s="4"/>
    </row>
    <row r="6582">
      <c r="A6582" s="4"/>
      <c r="B6582" s="4"/>
      <c r="C6582" s="4"/>
      <c r="D6582" s="4"/>
      <c r="E6582" s="4"/>
      <c r="F6582" s="4"/>
      <c r="G6582" s="4"/>
    </row>
    <row r="6583">
      <c r="A6583" s="4"/>
      <c r="B6583" s="4"/>
      <c r="C6583" s="4"/>
      <c r="D6583" s="4"/>
      <c r="E6583" s="13"/>
      <c r="F6583" s="4"/>
      <c r="G6583" s="4"/>
    </row>
    <row r="6584">
      <c r="A6584" s="4"/>
      <c r="B6584" s="4"/>
      <c r="C6584" s="4"/>
      <c r="D6584" s="4"/>
      <c r="E6584" s="4"/>
      <c r="F6584" s="4"/>
      <c r="G6584" s="4"/>
    </row>
    <row r="6585">
      <c r="A6585" s="4"/>
      <c r="B6585" s="4"/>
      <c r="C6585" s="4"/>
      <c r="D6585" s="13"/>
      <c r="E6585" s="13"/>
      <c r="F6585" s="4"/>
      <c r="G6585" s="4"/>
    </row>
    <row r="6586">
      <c r="A6586" s="4"/>
      <c r="B6586" s="4"/>
      <c r="C6586" s="4"/>
      <c r="D6586" s="4"/>
      <c r="E6586" s="4"/>
      <c r="F6586" s="4"/>
      <c r="G6586" s="4"/>
    </row>
    <row r="6587">
      <c r="A6587" s="4"/>
      <c r="B6587" s="4"/>
      <c r="C6587" s="4"/>
      <c r="D6587" s="13"/>
      <c r="E6587" s="13"/>
      <c r="F6587" s="4"/>
      <c r="G6587" s="4"/>
    </row>
    <row r="6588">
      <c r="A6588" s="4"/>
      <c r="B6588" s="4"/>
      <c r="C6588" s="4"/>
      <c r="D6588" s="4"/>
      <c r="E6588" s="13"/>
      <c r="F6588" s="4"/>
      <c r="G6588" s="4"/>
    </row>
    <row r="6589">
      <c r="A6589" s="4"/>
      <c r="B6589" s="4"/>
      <c r="C6589" s="4"/>
      <c r="D6589" s="13"/>
      <c r="E6589" s="13"/>
      <c r="F6589" s="4"/>
      <c r="G6589" s="4"/>
    </row>
    <row r="6590">
      <c r="A6590" s="4"/>
      <c r="B6590" s="4"/>
      <c r="C6590" s="4"/>
      <c r="D6590" s="13"/>
      <c r="E6590" s="13"/>
      <c r="F6590" s="4"/>
      <c r="G6590" s="4"/>
    </row>
    <row r="6591">
      <c r="A6591" s="4"/>
      <c r="B6591" s="4"/>
      <c r="C6591" s="4"/>
      <c r="D6591" s="4"/>
      <c r="E6591" s="4"/>
      <c r="F6591" s="4"/>
      <c r="G6591" s="4"/>
    </row>
    <row r="6592">
      <c r="A6592" s="4"/>
      <c r="B6592" s="4"/>
      <c r="C6592" s="4"/>
      <c r="D6592" s="4"/>
      <c r="E6592" s="4"/>
      <c r="F6592" s="4"/>
      <c r="G6592" s="4"/>
    </row>
    <row r="6593">
      <c r="A6593" s="4"/>
      <c r="B6593" s="4"/>
      <c r="C6593" s="4"/>
      <c r="D6593" s="4"/>
      <c r="E6593" s="4"/>
      <c r="F6593" s="4"/>
      <c r="G6593" s="4"/>
    </row>
    <row r="6594">
      <c r="A6594" s="4"/>
      <c r="B6594" s="4"/>
      <c r="C6594" s="4"/>
      <c r="D6594" s="4"/>
      <c r="E6594" s="4"/>
      <c r="F6594" s="4"/>
      <c r="G6594" s="4"/>
    </row>
    <row r="6595">
      <c r="A6595" s="4"/>
      <c r="B6595" s="4"/>
      <c r="C6595" s="4"/>
      <c r="D6595" s="4"/>
      <c r="E6595" s="4"/>
      <c r="F6595" s="4"/>
      <c r="G6595" s="4"/>
    </row>
    <row r="6596">
      <c r="A6596" s="4"/>
      <c r="B6596" s="4"/>
      <c r="C6596" s="4"/>
      <c r="D6596" s="4"/>
      <c r="E6596" s="13"/>
      <c r="F6596" s="4"/>
      <c r="G6596" s="4"/>
    </row>
    <row r="6597">
      <c r="A6597" s="4"/>
      <c r="B6597" s="4"/>
      <c r="C6597" s="4"/>
      <c r="D6597" s="4"/>
      <c r="E6597" s="4"/>
      <c r="F6597" s="4"/>
      <c r="G6597" s="4"/>
    </row>
    <row r="6598">
      <c r="A6598" s="4"/>
      <c r="B6598" s="4"/>
      <c r="C6598" s="4"/>
      <c r="D6598" s="4"/>
      <c r="E6598" s="13"/>
      <c r="F6598" s="4"/>
      <c r="G6598" s="4"/>
    </row>
    <row r="6599">
      <c r="A6599" s="4"/>
      <c r="B6599" s="4"/>
      <c r="C6599" s="4"/>
      <c r="D6599" s="4"/>
      <c r="E6599" s="4"/>
      <c r="F6599" s="4"/>
      <c r="G6599" s="4"/>
    </row>
    <row r="6600">
      <c r="A6600" s="4"/>
      <c r="B6600" s="4"/>
      <c r="C6600" s="4"/>
      <c r="D6600" s="4"/>
      <c r="E6600" s="4"/>
      <c r="F6600" s="4"/>
      <c r="G6600" s="4"/>
    </row>
    <row r="6601">
      <c r="A6601" s="4"/>
      <c r="B6601" s="4"/>
      <c r="C6601" s="4"/>
      <c r="D6601" s="4"/>
      <c r="E6601" s="4"/>
      <c r="F6601" s="4"/>
      <c r="G6601" s="4"/>
    </row>
    <row r="6602">
      <c r="A6602" s="4"/>
      <c r="B6602" s="4"/>
      <c r="C6602" s="4"/>
      <c r="D6602" s="4"/>
      <c r="E6602" s="13"/>
      <c r="F6602" s="4"/>
      <c r="G6602" s="4"/>
    </row>
    <row r="6603">
      <c r="A6603" s="4"/>
      <c r="B6603" s="4"/>
      <c r="C6603" s="4"/>
      <c r="D6603" s="4"/>
      <c r="E6603" s="4"/>
      <c r="F6603" s="4"/>
      <c r="G6603" s="4"/>
    </row>
    <row r="6604">
      <c r="A6604" s="4"/>
      <c r="B6604" s="4"/>
      <c r="C6604" s="4"/>
      <c r="D6604" s="4"/>
      <c r="E6604" s="4"/>
      <c r="F6604" s="4"/>
      <c r="G6604" s="4"/>
    </row>
    <row r="6605">
      <c r="A6605" s="4"/>
      <c r="B6605" s="4"/>
      <c r="C6605" s="4"/>
      <c r="D6605" s="4"/>
      <c r="E6605" s="4"/>
      <c r="F6605" s="4"/>
      <c r="G6605" s="4"/>
    </row>
    <row r="6606">
      <c r="A6606" s="4"/>
      <c r="B6606" s="4"/>
      <c r="C6606" s="4"/>
      <c r="D6606" s="4"/>
      <c r="E6606" s="4"/>
      <c r="F6606" s="4"/>
      <c r="G6606" s="4"/>
    </row>
    <row r="6607">
      <c r="A6607" s="4"/>
      <c r="B6607" s="4"/>
      <c r="C6607" s="4"/>
      <c r="D6607" s="13"/>
      <c r="E6607" s="13"/>
      <c r="F6607" s="4"/>
      <c r="G6607" s="4"/>
    </row>
    <row r="6608">
      <c r="A6608" s="4"/>
      <c r="B6608" s="4"/>
      <c r="C6608" s="4"/>
      <c r="D6608" s="4"/>
      <c r="E6608" s="13"/>
      <c r="F6608" s="4"/>
      <c r="G6608" s="4"/>
    </row>
    <row r="6609">
      <c r="A6609" s="4"/>
      <c r="B6609" s="4"/>
      <c r="C6609" s="4"/>
      <c r="D6609" s="4"/>
      <c r="E6609" s="4"/>
      <c r="F6609" s="4"/>
      <c r="G6609" s="4"/>
    </row>
    <row r="6610">
      <c r="A6610" s="4"/>
      <c r="B6610" s="4"/>
      <c r="C6610" s="4"/>
      <c r="D6610" s="4"/>
      <c r="E6610" s="4"/>
      <c r="F6610" s="4"/>
      <c r="G6610" s="4"/>
    </row>
    <row r="6611">
      <c r="A6611" s="4"/>
      <c r="B6611" s="4"/>
      <c r="C6611" s="4"/>
      <c r="D6611" s="4"/>
      <c r="E6611" s="4"/>
      <c r="F6611" s="4"/>
      <c r="G6611" s="4"/>
    </row>
    <row r="6612">
      <c r="A6612" s="4"/>
      <c r="B6612" s="4"/>
      <c r="C6612" s="4"/>
      <c r="D6612" s="13"/>
      <c r="E6612" s="13"/>
      <c r="F6612" s="4"/>
      <c r="G6612" s="4"/>
    </row>
    <row r="6613">
      <c r="A6613" s="4"/>
      <c r="B6613" s="4"/>
      <c r="C6613" s="4"/>
      <c r="D6613" s="4"/>
      <c r="E6613" s="4"/>
      <c r="F6613" s="4"/>
      <c r="G6613" s="4"/>
    </row>
    <row r="6614">
      <c r="A6614" s="4"/>
      <c r="B6614" s="4"/>
      <c r="C6614" s="4"/>
      <c r="D6614" s="13"/>
      <c r="E6614" s="13"/>
      <c r="F6614" s="4"/>
      <c r="G6614" s="4"/>
    </row>
    <row r="6615">
      <c r="A6615" s="4"/>
      <c r="B6615" s="4"/>
      <c r="C6615" s="4"/>
      <c r="D6615" s="4"/>
      <c r="E6615" s="4"/>
      <c r="F6615" s="4"/>
      <c r="G6615" s="4"/>
    </row>
    <row r="6616">
      <c r="A6616" s="4"/>
      <c r="B6616" s="4"/>
      <c r="C6616" s="4"/>
      <c r="D6616" s="4"/>
      <c r="E6616" s="4"/>
      <c r="F6616" s="4"/>
      <c r="G6616" s="4"/>
    </row>
    <row r="6617">
      <c r="A6617" s="4"/>
      <c r="B6617" s="4"/>
      <c r="C6617" s="4"/>
      <c r="D6617" s="13"/>
      <c r="E6617" s="13"/>
      <c r="F6617" s="4"/>
      <c r="G6617" s="4"/>
    </row>
    <row r="6618">
      <c r="A6618" s="4"/>
      <c r="B6618" s="4"/>
      <c r="C6618" s="4"/>
      <c r="D6618" s="4"/>
      <c r="E6618" s="4"/>
      <c r="F6618" s="4"/>
      <c r="G6618" s="4"/>
    </row>
    <row r="6619">
      <c r="A6619" s="4"/>
      <c r="B6619" s="4"/>
      <c r="C6619" s="4"/>
      <c r="D6619" s="4"/>
      <c r="E6619" s="4"/>
      <c r="F6619" s="4"/>
      <c r="G6619" s="4"/>
    </row>
    <row r="6620">
      <c r="A6620" s="4"/>
      <c r="B6620" s="4"/>
      <c r="C6620" s="4"/>
      <c r="D6620" s="13"/>
      <c r="E6620" s="13"/>
      <c r="F6620" s="4"/>
      <c r="G6620" s="4"/>
    </row>
    <row r="6621">
      <c r="A6621" s="4"/>
      <c r="B6621" s="4"/>
      <c r="C6621" s="4"/>
      <c r="D6621" s="4"/>
      <c r="E6621" s="4"/>
      <c r="F6621" s="4"/>
      <c r="G6621" s="4"/>
    </row>
    <row r="6622">
      <c r="A6622" s="4"/>
      <c r="B6622" s="4"/>
      <c r="C6622" s="4"/>
      <c r="D6622" s="13"/>
      <c r="E6622" s="13"/>
      <c r="F6622" s="4"/>
      <c r="G6622" s="4"/>
    </row>
    <row r="6623">
      <c r="A6623" s="4"/>
      <c r="B6623" s="4"/>
      <c r="C6623" s="4"/>
      <c r="D6623" s="13"/>
      <c r="E6623" s="13"/>
      <c r="F6623" s="4"/>
      <c r="G6623" s="4"/>
    </row>
    <row r="6624">
      <c r="A6624" s="4"/>
      <c r="B6624" s="4"/>
      <c r="C6624" s="4"/>
      <c r="D6624" s="13"/>
      <c r="E6624" s="13"/>
      <c r="F6624" s="4"/>
      <c r="G6624" s="4"/>
    </row>
    <row r="6625">
      <c r="A6625" s="4"/>
      <c r="B6625" s="4"/>
      <c r="C6625" s="4"/>
      <c r="D6625" s="4"/>
      <c r="E6625" s="4"/>
      <c r="F6625" s="4"/>
      <c r="G6625" s="4"/>
    </row>
    <row r="6626">
      <c r="A6626" s="4"/>
      <c r="B6626" s="4"/>
      <c r="C6626" s="4"/>
      <c r="D6626" s="4"/>
      <c r="E6626" s="13"/>
      <c r="F6626" s="4"/>
      <c r="G6626" s="4"/>
    </row>
    <row r="6627">
      <c r="A6627" s="4"/>
      <c r="B6627" s="4"/>
      <c r="C6627" s="4"/>
      <c r="D6627" s="4"/>
      <c r="E6627" s="4"/>
      <c r="F6627" s="4"/>
      <c r="G6627" s="4"/>
    </row>
    <row r="6628">
      <c r="A6628" s="4"/>
      <c r="B6628" s="4"/>
      <c r="C6628" s="4"/>
      <c r="D6628" s="13"/>
      <c r="E6628" s="13"/>
      <c r="F6628" s="4"/>
      <c r="G6628" s="4"/>
    </row>
    <row r="6629">
      <c r="A6629" s="4"/>
      <c r="B6629" s="4"/>
      <c r="C6629" s="4"/>
      <c r="D6629" s="13"/>
      <c r="E6629" s="4"/>
      <c r="F6629" s="4"/>
      <c r="G6629" s="4"/>
    </row>
    <row r="6630">
      <c r="A6630" s="4"/>
      <c r="B6630" s="4"/>
      <c r="C6630" s="4"/>
      <c r="D6630" s="4"/>
      <c r="E6630" s="4"/>
      <c r="F6630" s="4"/>
      <c r="G6630" s="4"/>
    </row>
    <row r="6631">
      <c r="A6631" s="4"/>
      <c r="B6631" s="4"/>
      <c r="C6631" s="4"/>
      <c r="D6631" s="13"/>
      <c r="E6631" s="4"/>
      <c r="F6631" s="4"/>
      <c r="G6631" s="4"/>
    </row>
    <row r="6632">
      <c r="A6632" s="4"/>
      <c r="B6632" s="4"/>
      <c r="C6632" s="4"/>
      <c r="D6632" s="4"/>
      <c r="E6632" s="4"/>
      <c r="F6632" s="4"/>
      <c r="G6632" s="4"/>
    </row>
    <row r="6633">
      <c r="A6633" s="4"/>
      <c r="B6633" s="4"/>
      <c r="C6633" s="4"/>
      <c r="D6633" s="4"/>
      <c r="E6633" s="4"/>
      <c r="F6633" s="4"/>
      <c r="G6633" s="4"/>
    </row>
    <row r="6634">
      <c r="A6634" s="4"/>
      <c r="B6634" s="4"/>
      <c r="C6634" s="4"/>
      <c r="D6634" s="4"/>
      <c r="E6634" s="13"/>
      <c r="F6634" s="4"/>
      <c r="G6634" s="4"/>
    </row>
    <row r="6635">
      <c r="A6635" s="4"/>
      <c r="B6635" s="4"/>
      <c r="C6635" s="4"/>
      <c r="D6635" s="4"/>
      <c r="E6635" s="4"/>
      <c r="F6635" s="4"/>
      <c r="G6635" s="4"/>
    </row>
    <row r="6636">
      <c r="A6636" s="4"/>
      <c r="B6636" s="4"/>
      <c r="C6636" s="4"/>
      <c r="D6636" s="4"/>
      <c r="E6636" s="4"/>
      <c r="F6636" s="4"/>
      <c r="G6636" s="4"/>
    </row>
    <row r="6637">
      <c r="A6637" s="4"/>
      <c r="B6637" s="4"/>
      <c r="C6637" s="4"/>
      <c r="D6637" s="4"/>
      <c r="E6637" s="4"/>
      <c r="F6637" s="4"/>
      <c r="G6637" s="4"/>
    </row>
    <row r="6638">
      <c r="A6638" s="4"/>
      <c r="B6638" s="4"/>
      <c r="C6638" s="4"/>
      <c r="D6638" s="4"/>
      <c r="E6638" s="13"/>
      <c r="F6638" s="4"/>
      <c r="G6638" s="4"/>
    </row>
    <row r="6639">
      <c r="A6639" s="4"/>
      <c r="B6639" s="4"/>
      <c r="C6639" s="4"/>
      <c r="D6639" s="4"/>
      <c r="E6639" s="4"/>
      <c r="F6639" s="4"/>
      <c r="G6639" s="4"/>
    </row>
    <row r="6640">
      <c r="A6640" s="4"/>
      <c r="B6640" s="4"/>
      <c r="C6640" s="4"/>
      <c r="D6640" s="4"/>
      <c r="E6640" s="4"/>
      <c r="F6640" s="4"/>
      <c r="G6640" s="4"/>
    </row>
    <row r="6641">
      <c r="A6641" s="4"/>
      <c r="B6641" s="4"/>
      <c r="C6641" s="4"/>
      <c r="D6641" s="4"/>
      <c r="E6641" s="13"/>
      <c r="F6641" s="4"/>
      <c r="G6641" s="4"/>
    </row>
    <row r="6642">
      <c r="A6642" s="4"/>
      <c r="B6642" s="4"/>
      <c r="C6642" s="4"/>
      <c r="D6642" s="4"/>
      <c r="E6642" s="4"/>
      <c r="F6642" s="4"/>
      <c r="G6642" s="4"/>
    </row>
    <row r="6643">
      <c r="A6643" s="4"/>
      <c r="B6643" s="4"/>
      <c r="C6643" s="4"/>
      <c r="D6643" s="4"/>
      <c r="E6643" s="4"/>
      <c r="F6643" s="4"/>
      <c r="G6643" s="4"/>
    </row>
    <row r="6644">
      <c r="A6644" s="4"/>
      <c r="B6644" s="4"/>
      <c r="C6644" s="4"/>
      <c r="D6644" s="4"/>
      <c r="E6644" s="4"/>
      <c r="F6644" s="4"/>
      <c r="G6644" s="4"/>
    </row>
    <row r="6645">
      <c r="A6645" s="4"/>
      <c r="B6645" s="4"/>
      <c r="C6645" s="4"/>
      <c r="D6645" s="4"/>
      <c r="E6645" s="4"/>
      <c r="F6645" s="4"/>
      <c r="G6645" s="4"/>
    </row>
    <row r="6646">
      <c r="A6646" s="4"/>
      <c r="B6646" s="4"/>
      <c r="C6646" s="4"/>
      <c r="D6646" s="4"/>
      <c r="E6646" s="4"/>
      <c r="F6646" s="4"/>
      <c r="G6646" s="4"/>
    </row>
    <row r="6647">
      <c r="A6647" s="4"/>
      <c r="B6647" s="4"/>
      <c r="C6647" s="4"/>
      <c r="D6647" s="4"/>
      <c r="E6647" s="4"/>
      <c r="F6647" s="4"/>
      <c r="G6647" s="4"/>
    </row>
    <row r="6648">
      <c r="A6648" s="4"/>
      <c r="B6648" s="4"/>
      <c r="C6648" s="4"/>
      <c r="D6648" s="4"/>
      <c r="E6648" s="4"/>
      <c r="F6648" s="4"/>
      <c r="G6648" s="4"/>
    </row>
    <row r="6649">
      <c r="A6649" s="4"/>
      <c r="B6649" s="4"/>
      <c r="C6649" s="4"/>
      <c r="D6649" s="4"/>
      <c r="E6649" s="4"/>
      <c r="F6649" s="4"/>
      <c r="G6649" s="4"/>
    </row>
    <row r="6650">
      <c r="A6650" s="4"/>
      <c r="B6650" s="4"/>
      <c r="C6650" s="4"/>
      <c r="D6650" s="4"/>
      <c r="E6650" s="4"/>
      <c r="F6650" s="4"/>
      <c r="G6650" s="4"/>
    </row>
    <row r="6651">
      <c r="A6651" s="4"/>
      <c r="B6651" s="4"/>
      <c r="C6651" s="4"/>
      <c r="D6651" s="4"/>
      <c r="E6651" s="4"/>
      <c r="F6651" s="4"/>
      <c r="G6651" s="4"/>
    </row>
    <row r="6652">
      <c r="A6652" s="4"/>
      <c r="B6652" s="4"/>
      <c r="C6652" s="4"/>
      <c r="D6652" s="4"/>
      <c r="E6652" s="4"/>
      <c r="F6652" s="4"/>
      <c r="G6652" s="4"/>
    </row>
    <row r="6653">
      <c r="A6653" s="4"/>
      <c r="B6653" s="4"/>
      <c r="C6653" s="4"/>
      <c r="D6653" s="4"/>
      <c r="E6653" s="4"/>
      <c r="F6653" s="4"/>
      <c r="G6653" s="4"/>
    </row>
    <row r="6654">
      <c r="A6654" s="4"/>
      <c r="B6654" s="4"/>
      <c r="C6654" s="4"/>
      <c r="D6654" s="4"/>
      <c r="E6654" s="13"/>
      <c r="F6654" s="4"/>
      <c r="G6654" s="4"/>
    </row>
    <row r="6655">
      <c r="A6655" s="4"/>
      <c r="B6655" s="4"/>
      <c r="C6655" s="4"/>
      <c r="D6655" s="4"/>
      <c r="E6655" s="4"/>
      <c r="F6655" s="4"/>
      <c r="G6655" s="4"/>
    </row>
    <row r="6656">
      <c r="A6656" s="4"/>
      <c r="B6656" s="4"/>
      <c r="C6656" s="4"/>
      <c r="D6656" s="13"/>
      <c r="E6656" s="13"/>
      <c r="F6656" s="4"/>
      <c r="G6656" s="4"/>
    </row>
    <row r="6657">
      <c r="A6657" s="4"/>
      <c r="B6657" s="4"/>
      <c r="C6657" s="4"/>
      <c r="D6657" s="13"/>
      <c r="E6657" s="13"/>
      <c r="F6657" s="4"/>
      <c r="G6657" s="4"/>
    </row>
    <row r="6658">
      <c r="A6658" s="4"/>
      <c r="B6658" s="4"/>
      <c r="C6658" s="4"/>
      <c r="D6658" s="4"/>
      <c r="E6658" s="4"/>
      <c r="F6658" s="4"/>
      <c r="G6658" s="4"/>
    </row>
    <row r="6659">
      <c r="A6659" s="4"/>
      <c r="B6659" s="4"/>
      <c r="C6659" s="4"/>
      <c r="D6659" s="4"/>
      <c r="E6659" s="4"/>
      <c r="F6659" s="4"/>
      <c r="G6659" s="4"/>
    </row>
    <row r="6660">
      <c r="A6660" s="4"/>
      <c r="B6660" s="4"/>
      <c r="C6660" s="4"/>
      <c r="D6660" s="4"/>
      <c r="E6660" s="4"/>
      <c r="F6660" s="4"/>
      <c r="G6660" s="4"/>
    </row>
    <row r="6661">
      <c r="A6661" s="4"/>
      <c r="B6661" s="4"/>
      <c r="C6661" s="4"/>
      <c r="D6661" s="4"/>
      <c r="E6661" s="13"/>
      <c r="F6661" s="4"/>
      <c r="G6661" s="4"/>
    </row>
    <row r="6662">
      <c r="A6662" s="4"/>
      <c r="B6662" s="4"/>
      <c r="C6662" s="4"/>
      <c r="D6662" s="4"/>
      <c r="E6662" s="4"/>
      <c r="F6662" s="4"/>
      <c r="G6662" s="4"/>
    </row>
    <row r="6663">
      <c r="A6663" s="4"/>
      <c r="B6663" s="4"/>
      <c r="C6663" s="4"/>
      <c r="D6663" s="4"/>
      <c r="E6663" s="4"/>
      <c r="F6663" s="4"/>
      <c r="G6663" s="4"/>
    </row>
    <row r="6664">
      <c r="A6664" s="4"/>
      <c r="B6664" s="4"/>
      <c r="C6664" s="4"/>
      <c r="D6664" s="13"/>
      <c r="E6664" s="13"/>
      <c r="F6664" s="4"/>
      <c r="G6664" s="4"/>
    </row>
    <row r="6665">
      <c r="A6665" s="4"/>
      <c r="B6665" s="4"/>
      <c r="C6665" s="4"/>
      <c r="D6665" s="4"/>
      <c r="E6665" s="13"/>
      <c r="F6665" s="4"/>
      <c r="G6665" s="4"/>
    </row>
    <row r="6666">
      <c r="A6666" s="4"/>
      <c r="B6666" s="4"/>
      <c r="C6666" s="4"/>
      <c r="D6666" s="4"/>
      <c r="E6666" s="4"/>
      <c r="F6666" s="4"/>
      <c r="G6666" s="4"/>
    </row>
    <row r="6667">
      <c r="A6667" s="4"/>
      <c r="B6667" s="4"/>
      <c r="C6667" s="4"/>
      <c r="D6667" s="4"/>
      <c r="E6667" s="4"/>
      <c r="F6667" s="4"/>
      <c r="G6667" s="4"/>
    </row>
    <row r="6668">
      <c r="A6668" s="4"/>
      <c r="B6668" s="4"/>
      <c r="C6668" s="4"/>
      <c r="D6668" s="4"/>
      <c r="E6668" s="13"/>
      <c r="F6668" s="4"/>
      <c r="G6668" s="4"/>
    </row>
    <row r="6669">
      <c r="A6669" s="4"/>
      <c r="B6669" s="4"/>
      <c r="C6669" s="4"/>
      <c r="D6669" s="4"/>
      <c r="E6669" s="13"/>
      <c r="F6669" s="4"/>
      <c r="G6669" s="4"/>
    </row>
    <row r="6670">
      <c r="A6670" s="4"/>
      <c r="B6670" s="4"/>
      <c r="C6670" s="4"/>
      <c r="D6670" s="4"/>
      <c r="E6670" s="13"/>
      <c r="F6670" s="4"/>
      <c r="G6670" s="4"/>
    </row>
    <row r="6671">
      <c r="A6671" s="4"/>
      <c r="B6671" s="4"/>
      <c r="C6671" s="4"/>
      <c r="D6671" s="4"/>
      <c r="E6671" s="4"/>
      <c r="F6671" s="4"/>
      <c r="G6671" s="4"/>
    </row>
    <row r="6672">
      <c r="A6672" s="4"/>
      <c r="B6672" s="4"/>
      <c r="C6672" s="4"/>
      <c r="D6672" s="4"/>
      <c r="E6672" s="13"/>
      <c r="F6672" s="4"/>
      <c r="G6672" s="4"/>
    </row>
    <row r="6673">
      <c r="A6673" s="4"/>
      <c r="B6673" s="4"/>
      <c r="C6673" s="4"/>
      <c r="D6673" s="4"/>
      <c r="E6673" s="4"/>
      <c r="F6673" s="4"/>
      <c r="G6673" s="4"/>
    </row>
    <row r="6674">
      <c r="A6674" s="4"/>
      <c r="B6674" s="4"/>
      <c r="C6674" s="4"/>
      <c r="D6674" s="4"/>
      <c r="E6674" s="4"/>
      <c r="F6674" s="4"/>
      <c r="G6674" s="4"/>
    </row>
    <row r="6675">
      <c r="A6675" s="4"/>
      <c r="B6675" s="4"/>
      <c r="C6675" s="4"/>
      <c r="D6675" s="4"/>
      <c r="E6675" s="13"/>
      <c r="F6675" s="4"/>
      <c r="G6675" s="4"/>
    </row>
    <row r="6676">
      <c r="A6676" s="4"/>
      <c r="B6676" s="4"/>
      <c r="C6676" s="4"/>
      <c r="D6676" s="4"/>
      <c r="E6676" s="4"/>
      <c r="F6676" s="4"/>
      <c r="G6676" s="4"/>
    </row>
    <row r="6677">
      <c r="A6677" s="4"/>
      <c r="B6677" s="4"/>
      <c r="C6677" s="4"/>
      <c r="D6677" s="4"/>
      <c r="E6677" s="4"/>
      <c r="F6677" s="4"/>
      <c r="G6677" s="4"/>
    </row>
    <row r="6678">
      <c r="A6678" s="4"/>
      <c r="B6678" s="4"/>
      <c r="C6678" s="4"/>
      <c r="D6678" s="4"/>
      <c r="E6678" s="13"/>
      <c r="F6678" s="4"/>
      <c r="G6678" s="4"/>
    </row>
    <row r="6679">
      <c r="A6679" s="4"/>
      <c r="B6679" s="4"/>
      <c r="C6679" s="4"/>
      <c r="D6679" s="4"/>
      <c r="E6679" s="13"/>
      <c r="F6679" s="4"/>
      <c r="G6679" s="4"/>
    </row>
    <row r="6680">
      <c r="A6680" s="4"/>
      <c r="B6680" s="4"/>
      <c r="C6680" s="4"/>
      <c r="D6680" s="4"/>
      <c r="E6680" s="4"/>
      <c r="F6680" s="4"/>
      <c r="G6680" s="4"/>
    </row>
    <row r="6681">
      <c r="A6681" s="4"/>
      <c r="B6681" s="4"/>
      <c r="C6681" s="4"/>
      <c r="D6681" s="4"/>
      <c r="E6681" s="4"/>
      <c r="F6681" s="4"/>
      <c r="G6681" s="4"/>
    </row>
    <row r="6682">
      <c r="A6682" s="4"/>
      <c r="B6682" s="4"/>
      <c r="C6682" s="4"/>
      <c r="D6682" s="4"/>
      <c r="E6682" s="4"/>
      <c r="F6682" s="4"/>
      <c r="G6682" s="4"/>
    </row>
    <row r="6683">
      <c r="A6683" s="4"/>
      <c r="B6683" s="4"/>
      <c r="C6683" s="4"/>
      <c r="D6683" s="4"/>
      <c r="E6683" s="4"/>
      <c r="F6683" s="4"/>
      <c r="G6683" s="4"/>
    </row>
    <row r="6684">
      <c r="A6684" s="4"/>
      <c r="B6684" s="4"/>
      <c r="C6684" s="4"/>
      <c r="D6684" s="4"/>
      <c r="E6684" s="13"/>
      <c r="F6684" s="4"/>
      <c r="G6684" s="4"/>
    </row>
    <row r="6685">
      <c r="A6685" s="4"/>
      <c r="B6685" s="4"/>
      <c r="C6685" s="4"/>
      <c r="D6685" s="4"/>
      <c r="E6685" s="4"/>
      <c r="F6685" s="4"/>
      <c r="G6685" s="4"/>
    </row>
    <row r="6686">
      <c r="A6686" s="4"/>
      <c r="B6686" s="4"/>
      <c r="C6686" s="4"/>
      <c r="D6686" s="4"/>
      <c r="E6686" s="4"/>
      <c r="F6686" s="4"/>
      <c r="G6686" s="4"/>
    </row>
    <row r="6687">
      <c r="A6687" s="4"/>
      <c r="B6687" s="4"/>
      <c r="C6687" s="4"/>
      <c r="D6687" s="4"/>
      <c r="E6687" s="4"/>
      <c r="F6687" s="4"/>
      <c r="G6687" s="4"/>
    </row>
    <row r="6688">
      <c r="A6688" s="4"/>
      <c r="B6688" s="4"/>
      <c r="C6688" s="4"/>
      <c r="D6688" s="4"/>
      <c r="E6688" s="4"/>
      <c r="F6688" s="4"/>
      <c r="G6688" s="4"/>
    </row>
    <row r="6689">
      <c r="A6689" s="4"/>
      <c r="B6689" s="4"/>
      <c r="C6689" s="4"/>
      <c r="D6689" s="4"/>
      <c r="E6689" s="4"/>
      <c r="F6689" s="4"/>
      <c r="G6689" s="4"/>
    </row>
    <row r="6690">
      <c r="A6690" s="4"/>
      <c r="B6690" s="4"/>
      <c r="C6690" s="4"/>
      <c r="D6690" s="4"/>
      <c r="E6690" s="13"/>
      <c r="F6690" s="4"/>
      <c r="G6690" s="4"/>
    </row>
    <row r="6691">
      <c r="A6691" s="4"/>
      <c r="B6691" s="4"/>
      <c r="C6691" s="4"/>
      <c r="D6691" s="4"/>
      <c r="E6691" s="4"/>
      <c r="F6691" s="4"/>
      <c r="G6691" s="4"/>
    </row>
    <row r="6692">
      <c r="A6692" s="4"/>
      <c r="B6692" s="4"/>
      <c r="C6692" s="4"/>
      <c r="D6692" s="4"/>
      <c r="E6692" s="4"/>
      <c r="F6692" s="4"/>
      <c r="G6692" s="4"/>
    </row>
    <row r="6693">
      <c r="A6693" s="4"/>
      <c r="B6693" s="4"/>
      <c r="C6693" s="4"/>
      <c r="D6693" s="4"/>
      <c r="E6693" s="13"/>
      <c r="F6693" s="4"/>
      <c r="G6693" s="4"/>
    </row>
    <row r="6694">
      <c r="A6694" s="4"/>
      <c r="B6694" s="4"/>
      <c r="C6694" s="4"/>
      <c r="D6694" s="4"/>
      <c r="E6694" s="13"/>
      <c r="F6694" s="4"/>
      <c r="G6694" s="4"/>
    </row>
    <row r="6695">
      <c r="A6695" s="4"/>
      <c r="B6695" s="4"/>
      <c r="C6695" s="4"/>
      <c r="D6695" s="4"/>
      <c r="E6695" s="4"/>
      <c r="F6695" s="4"/>
      <c r="G6695" s="4"/>
    </row>
    <row r="6696">
      <c r="A6696" s="4"/>
      <c r="B6696" s="4"/>
      <c r="C6696" s="4"/>
      <c r="D6696" s="4"/>
      <c r="E6696" s="4"/>
      <c r="F6696" s="4"/>
      <c r="G6696" s="4"/>
    </row>
    <row r="6697">
      <c r="A6697" s="4"/>
      <c r="B6697" s="4"/>
      <c r="C6697" s="4"/>
      <c r="D6697" s="4"/>
      <c r="E6697" s="4"/>
      <c r="F6697" s="4"/>
      <c r="G6697" s="4"/>
    </row>
    <row r="6698">
      <c r="A6698" s="4"/>
      <c r="B6698" s="4"/>
      <c r="C6698" s="4"/>
      <c r="D6698" s="13"/>
      <c r="E6698" s="13"/>
      <c r="F6698" s="4"/>
      <c r="G6698" s="4"/>
    </row>
    <row r="6699">
      <c r="A6699" s="4"/>
      <c r="B6699" s="4"/>
      <c r="C6699" s="4"/>
      <c r="D6699" s="13"/>
      <c r="E6699" s="13"/>
      <c r="F6699" s="4"/>
      <c r="G6699" s="4"/>
    </row>
    <row r="6700">
      <c r="A6700" s="4"/>
      <c r="B6700" s="4"/>
      <c r="C6700" s="4"/>
      <c r="D6700" s="13"/>
      <c r="E6700" s="13"/>
      <c r="F6700" s="4"/>
      <c r="G6700" s="4"/>
    </row>
    <row r="6701">
      <c r="A6701" s="4"/>
      <c r="B6701" s="4"/>
      <c r="C6701" s="4"/>
      <c r="D6701" s="13"/>
      <c r="E6701" s="13"/>
      <c r="F6701" s="4"/>
      <c r="G6701" s="4"/>
    </row>
    <row r="6702">
      <c r="A6702" s="4"/>
      <c r="B6702" s="4"/>
      <c r="C6702" s="4"/>
      <c r="D6702" s="13"/>
      <c r="E6702" s="13"/>
      <c r="F6702" s="4"/>
      <c r="G6702" s="4"/>
    </row>
    <row r="6703">
      <c r="A6703" s="4"/>
      <c r="B6703" s="4"/>
      <c r="C6703" s="4"/>
      <c r="D6703" s="13"/>
      <c r="E6703" s="13"/>
      <c r="F6703" s="4"/>
      <c r="G6703" s="4"/>
    </row>
    <row r="6704">
      <c r="A6704" s="4"/>
      <c r="B6704" s="4"/>
      <c r="C6704" s="4"/>
      <c r="D6704" s="13"/>
      <c r="E6704" s="13"/>
      <c r="F6704" s="4"/>
      <c r="G6704" s="4"/>
    </row>
    <row r="6705">
      <c r="A6705" s="4"/>
      <c r="B6705" s="4"/>
      <c r="C6705" s="4"/>
      <c r="D6705" s="13"/>
      <c r="E6705" s="13"/>
      <c r="F6705" s="4"/>
      <c r="G6705" s="4"/>
    </row>
    <row r="6706">
      <c r="A6706" s="4"/>
      <c r="B6706" s="4"/>
      <c r="C6706" s="4"/>
      <c r="D6706" s="13"/>
      <c r="E6706" s="13"/>
      <c r="F6706" s="4"/>
      <c r="G6706" s="4"/>
    </row>
    <row r="6707">
      <c r="A6707" s="4"/>
      <c r="B6707" s="4"/>
      <c r="C6707" s="4"/>
      <c r="D6707" s="13"/>
      <c r="E6707" s="13"/>
      <c r="F6707" s="4"/>
      <c r="G6707" s="4"/>
    </row>
    <row r="6708">
      <c r="A6708" s="4"/>
      <c r="B6708" s="4"/>
      <c r="C6708" s="4"/>
      <c r="D6708" s="4"/>
      <c r="E6708" s="4"/>
      <c r="F6708" s="4"/>
      <c r="G6708" s="4"/>
    </row>
    <row r="6709">
      <c r="A6709" s="4"/>
      <c r="B6709" s="4"/>
      <c r="C6709" s="4"/>
      <c r="D6709" s="4"/>
      <c r="E6709" s="4"/>
      <c r="F6709" s="4"/>
      <c r="G6709" s="4"/>
    </row>
    <row r="6710">
      <c r="A6710" s="4"/>
      <c r="B6710" s="4"/>
      <c r="C6710" s="4"/>
      <c r="D6710" s="4"/>
      <c r="E6710" s="13"/>
      <c r="F6710" s="4"/>
      <c r="G6710" s="4"/>
    </row>
    <row r="6711">
      <c r="A6711" s="4"/>
      <c r="B6711" s="4"/>
      <c r="C6711" s="4"/>
      <c r="D6711" s="13"/>
      <c r="E6711" s="13"/>
      <c r="F6711" s="4"/>
      <c r="G6711" s="4"/>
    </row>
    <row r="6712">
      <c r="A6712" s="4"/>
      <c r="B6712" s="4"/>
      <c r="C6712" s="4"/>
      <c r="D6712" s="4"/>
      <c r="E6712" s="4"/>
      <c r="F6712" s="4"/>
      <c r="G6712" s="4"/>
    </row>
    <row r="6713">
      <c r="A6713" s="4"/>
      <c r="B6713" s="4"/>
      <c r="C6713" s="4"/>
      <c r="D6713" s="4"/>
      <c r="E6713" s="13"/>
      <c r="F6713" s="4"/>
      <c r="G6713" s="4"/>
    </row>
    <row r="6714">
      <c r="A6714" s="4"/>
      <c r="B6714" s="4"/>
      <c r="C6714" s="4"/>
      <c r="D6714" s="4"/>
      <c r="E6714" s="4"/>
      <c r="F6714" s="4"/>
      <c r="G6714" s="4"/>
    </row>
    <row r="6715">
      <c r="A6715" s="4"/>
      <c r="B6715" s="4"/>
      <c r="C6715" s="4"/>
      <c r="D6715" s="4"/>
      <c r="E6715" s="4"/>
      <c r="F6715" s="4"/>
      <c r="G6715" s="4"/>
    </row>
    <row r="6716">
      <c r="A6716" s="4"/>
      <c r="B6716" s="4"/>
      <c r="C6716" s="4"/>
      <c r="D6716" s="4"/>
      <c r="E6716" s="4"/>
      <c r="F6716" s="4"/>
      <c r="G6716" s="4"/>
    </row>
    <row r="6717">
      <c r="A6717" s="4"/>
      <c r="B6717" s="4"/>
      <c r="C6717" s="4"/>
      <c r="D6717" s="13"/>
      <c r="E6717" s="13"/>
      <c r="F6717" s="4"/>
      <c r="G6717" s="4"/>
    </row>
    <row r="6718">
      <c r="A6718" s="4"/>
      <c r="B6718" s="4"/>
      <c r="C6718" s="4"/>
      <c r="D6718" s="4"/>
      <c r="E6718" s="4"/>
      <c r="F6718" s="4"/>
      <c r="G6718" s="4"/>
    </row>
    <row r="6719">
      <c r="A6719" s="4"/>
      <c r="B6719" s="4"/>
      <c r="C6719" s="4"/>
      <c r="D6719" s="13"/>
      <c r="E6719" s="13"/>
      <c r="F6719" s="4"/>
      <c r="G6719" s="4"/>
    </row>
    <row r="6720">
      <c r="A6720" s="4"/>
      <c r="B6720" s="4"/>
      <c r="C6720" s="4"/>
      <c r="D6720" s="13"/>
      <c r="E6720" s="13"/>
      <c r="F6720" s="4"/>
      <c r="G6720" s="4"/>
    </row>
    <row r="6721">
      <c r="A6721" s="4"/>
      <c r="B6721" s="4"/>
      <c r="C6721" s="4"/>
      <c r="D6721" s="4"/>
      <c r="E6721" s="4"/>
      <c r="F6721" s="4"/>
      <c r="G6721" s="4"/>
    </row>
    <row r="6722">
      <c r="A6722" s="4"/>
      <c r="B6722" s="4"/>
      <c r="C6722" s="4"/>
      <c r="D6722" s="4"/>
      <c r="E6722" s="4"/>
      <c r="F6722" s="4"/>
      <c r="G6722" s="4"/>
    </row>
    <row r="6723">
      <c r="A6723" s="4"/>
      <c r="B6723" s="4"/>
      <c r="C6723" s="4"/>
      <c r="D6723" s="4"/>
      <c r="E6723" s="13"/>
      <c r="F6723" s="4"/>
      <c r="G6723" s="4"/>
    </row>
    <row r="6724">
      <c r="A6724" s="4"/>
      <c r="B6724" s="4"/>
      <c r="C6724" s="4"/>
      <c r="D6724" s="4"/>
      <c r="E6724" s="13"/>
      <c r="F6724" s="4"/>
      <c r="G6724" s="4"/>
    </row>
    <row r="6725">
      <c r="A6725" s="4"/>
      <c r="B6725" s="4"/>
      <c r="C6725" s="4"/>
      <c r="D6725" s="4"/>
      <c r="E6725" s="4"/>
      <c r="F6725" s="4"/>
      <c r="G6725" s="4"/>
    </row>
    <row r="6726">
      <c r="A6726" s="4"/>
      <c r="B6726" s="4"/>
      <c r="C6726" s="4"/>
      <c r="D6726" s="4"/>
      <c r="E6726" s="4"/>
      <c r="F6726" s="4"/>
      <c r="G6726" s="4"/>
    </row>
    <row r="6727">
      <c r="A6727" s="4"/>
      <c r="B6727" s="4"/>
      <c r="C6727" s="4"/>
      <c r="D6727" s="4"/>
      <c r="E6727" s="13"/>
      <c r="F6727" s="4"/>
      <c r="G6727" s="4"/>
    </row>
    <row r="6728">
      <c r="A6728" s="4"/>
      <c r="B6728" s="4"/>
      <c r="C6728" s="4"/>
      <c r="D6728" s="4"/>
      <c r="E6728" s="4"/>
      <c r="F6728" s="4"/>
      <c r="G6728" s="4"/>
    </row>
    <row r="6729">
      <c r="A6729" s="4"/>
      <c r="B6729" s="4"/>
      <c r="C6729" s="4"/>
      <c r="D6729" s="4"/>
      <c r="E6729" s="4"/>
      <c r="F6729" s="4"/>
      <c r="G6729" s="4"/>
    </row>
    <row r="6730">
      <c r="A6730" s="4"/>
      <c r="B6730" s="4"/>
      <c r="C6730" s="4"/>
      <c r="D6730" s="4"/>
      <c r="E6730" s="13"/>
      <c r="F6730" s="4"/>
      <c r="G6730" s="4"/>
    </row>
    <row r="6731">
      <c r="A6731" s="4"/>
      <c r="B6731" s="4"/>
      <c r="C6731" s="4"/>
      <c r="D6731" s="4"/>
      <c r="E6731" s="13"/>
      <c r="F6731" s="4"/>
      <c r="G6731" s="4"/>
    </row>
    <row r="6732">
      <c r="A6732" s="4"/>
      <c r="B6732" s="4"/>
      <c r="C6732" s="4"/>
      <c r="D6732" s="4"/>
      <c r="E6732" s="4"/>
      <c r="F6732" s="4"/>
      <c r="G6732" s="4"/>
    </row>
    <row r="6733">
      <c r="A6733" s="4"/>
      <c r="B6733" s="4"/>
      <c r="C6733" s="4"/>
      <c r="D6733" s="4"/>
      <c r="E6733" s="4"/>
      <c r="F6733" s="4"/>
      <c r="G6733" s="4"/>
    </row>
    <row r="6734">
      <c r="A6734" s="4"/>
      <c r="B6734" s="4"/>
      <c r="C6734" s="4"/>
      <c r="D6734" s="4"/>
      <c r="E6734" s="4"/>
      <c r="F6734" s="4"/>
      <c r="G6734" s="4"/>
    </row>
    <row r="6735">
      <c r="A6735" s="4"/>
      <c r="B6735" s="4"/>
      <c r="C6735" s="4"/>
      <c r="D6735" s="4"/>
      <c r="E6735" s="4"/>
      <c r="F6735" s="4"/>
      <c r="G6735" s="4"/>
    </row>
    <row r="6736">
      <c r="A6736" s="4"/>
      <c r="B6736" s="4"/>
      <c r="C6736" s="4"/>
      <c r="D6736" s="4"/>
      <c r="E6736" s="13"/>
      <c r="F6736" s="4"/>
      <c r="G6736" s="4"/>
    </row>
    <row r="6737">
      <c r="A6737" s="4"/>
      <c r="B6737" s="4"/>
      <c r="C6737" s="4"/>
      <c r="D6737" s="4"/>
      <c r="E6737" s="4"/>
      <c r="F6737" s="4"/>
      <c r="G6737" s="4"/>
    </row>
    <row r="6738">
      <c r="A6738" s="4"/>
      <c r="B6738" s="4"/>
      <c r="C6738" s="4"/>
      <c r="D6738" s="4"/>
      <c r="E6738" s="13"/>
      <c r="F6738" s="4"/>
      <c r="G6738" s="4"/>
    </row>
    <row r="6739">
      <c r="A6739" s="4"/>
      <c r="B6739" s="4"/>
      <c r="C6739" s="4"/>
      <c r="D6739" s="13"/>
      <c r="E6739" s="13"/>
      <c r="F6739" s="4"/>
      <c r="G6739" s="4"/>
    </row>
    <row r="6740">
      <c r="A6740" s="4"/>
      <c r="B6740" s="4"/>
      <c r="C6740" s="4"/>
      <c r="D6740" s="4"/>
      <c r="E6740" s="13"/>
      <c r="F6740" s="4"/>
      <c r="G6740" s="4"/>
    </row>
    <row r="6741">
      <c r="A6741" s="4"/>
      <c r="B6741" s="4"/>
      <c r="C6741" s="4"/>
      <c r="D6741" s="4"/>
      <c r="E6741" s="4"/>
      <c r="F6741" s="4"/>
      <c r="G6741" s="4"/>
    </row>
    <row r="6742">
      <c r="A6742" s="4"/>
      <c r="B6742" s="4"/>
      <c r="C6742" s="4"/>
      <c r="D6742" s="13"/>
      <c r="E6742" s="13"/>
      <c r="F6742" s="4"/>
      <c r="G6742" s="4"/>
    </row>
    <row r="6743">
      <c r="A6743" s="4"/>
      <c r="B6743" s="4"/>
      <c r="C6743" s="4"/>
      <c r="D6743" s="4"/>
      <c r="E6743" s="4"/>
      <c r="F6743" s="4"/>
      <c r="G6743" s="4"/>
    </row>
    <row r="6744">
      <c r="A6744" s="4"/>
      <c r="B6744" s="4"/>
      <c r="C6744" s="4"/>
      <c r="D6744" s="4"/>
      <c r="E6744" s="4"/>
      <c r="F6744" s="4"/>
      <c r="G6744" s="4"/>
    </row>
    <row r="6745">
      <c r="A6745" s="4"/>
      <c r="B6745" s="4"/>
      <c r="C6745" s="4"/>
      <c r="D6745" s="4"/>
      <c r="E6745" s="4"/>
      <c r="F6745" s="4"/>
      <c r="G6745" s="4"/>
    </row>
    <row r="6746">
      <c r="A6746" s="4"/>
      <c r="B6746" s="4"/>
      <c r="C6746" s="4"/>
      <c r="D6746" s="13"/>
      <c r="E6746" s="13"/>
      <c r="F6746" s="4"/>
      <c r="G6746" s="4"/>
    </row>
    <row r="6747">
      <c r="A6747" s="4"/>
      <c r="B6747" s="4"/>
      <c r="C6747" s="4"/>
      <c r="D6747" s="13"/>
      <c r="E6747" s="13"/>
      <c r="F6747" s="4"/>
      <c r="G6747" s="4"/>
    </row>
    <row r="6748">
      <c r="A6748" s="4"/>
      <c r="B6748" s="4"/>
      <c r="C6748" s="4"/>
      <c r="D6748" s="4"/>
      <c r="E6748" s="4"/>
      <c r="F6748" s="4"/>
      <c r="G6748" s="4"/>
    </row>
    <row r="6749">
      <c r="A6749" s="4"/>
      <c r="B6749" s="4"/>
      <c r="C6749" s="4"/>
      <c r="D6749" s="13"/>
      <c r="E6749" s="13"/>
      <c r="F6749" s="4"/>
      <c r="G6749" s="4"/>
    </row>
    <row r="6750">
      <c r="A6750" s="4"/>
      <c r="B6750" s="4"/>
      <c r="C6750" s="4"/>
      <c r="D6750" s="4"/>
      <c r="E6750" s="4"/>
      <c r="F6750" s="4"/>
      <c r="G6750" s="4"/>
    </row>
    <row r="6751">
      <c r="A6751" s="4"/>
      <c r="B6751" s="4"/>
      <c r="C6751" s="4"/>
      <c r="D6751" s="4"/>
      <c r="E6751" s="4"/>
      <c r="F6751" s="4"/>
      <c r="G6751" s="4"/>
    </row>
    <row r="6752">
      <c r="A6752" s="4"/>
      <c r="B6752" s="4"/>
      <c r="C6752" s="4"/>
      <c r="D6752" s="13"/>
      <c r="E6752" s="13"/>
      <c r="F6752" s="4"/>
      <c r="G6752" s="4"/>
    </row>
    <row r="6753">
      <c r="A6753" s="4"/>
      <c r="B6753" s="4"/>
      <c r="C6753" s="4"/>
      <c r="D6753" s="13"/>
      <c r="E6753" s="13"/>
      <c r="F6753" s="4"/>
      <c r="G6753" s="4"/>
    </row>
    <row r="6754">
      <c r="A6754" s="4"/>
      <c r="B6754" s="4"/>
      <c r="C6754" s="4"/>
      <c r="D6754" s="4"/>
      <c r="E6754" s="4"/>
      <c r="F6754" s="4"/>
      <c r="G6754" s="4"/>
    </row>
    <row r="6755">
      <c r="A6755" s="4"/>
      <c r="B6755" s="4"/>
      <c r="C6755" s="4"/>
      <c r="D6755" s="4"/>
      <c r="E6755" s="13"/>
      <c r="F6755" s="4"/>
      <c r="G6755" s="4"/>
    </row>
    <row r="6756">
      <c r="A6756" s="4"/>
      <c r="B6756" s="4"/>
      <c r="C6756" s="4"/>
      <c r="D6756" s="4"/>
      <c r="E6756" s="4"/>
      <c r="F6756" s="4"/>
      <c r="G6756" s="4"/>
    </row>
    <row r="6757">
      <c r="A6757" s="4"/>
      <c r="B6757" s="4"/>
      <c r="C6757" s="4"/>
      <c r="D6757" s="4"/>
      <c r="E6757" s="4"/>
      <c r="F6757" s="4"/>
      <c r="G6757" s="4"/>
    </row>
    <row r="6758">
      <c r="A6758" s="4"/>
      <c r="B6758" s="4"/>
      <c r="C6758" s="4"/>
      <c r="D6758" s="4"/>
      <c r="E6758" s="4"/>
      <c r="F6758" s="4"/>
      <c r="G6758" s="4"/>
    </row>
    <row r="6759">
      <c r="A6759" s="4"/>
      <c r="B6759" s="4"/>
      <c r="C6759" s="4"/>
      <c r="D6759" s="4"/>
      <c r="E6759" s="13"/>
      <c r="F6759" s="4"/>
      <c r="G6759" s="4"/>
    </row>
    <row r="6760">
      <c r="A6760" s="4"/>
      <c r="B6760" s="4"/>
      <c r="C6760" s="4"/>
      <c r="D6760" s="13"/>
      <c r="E6760" s="13"/>
      <c r="F6760" s="4"/>
      <c r="G6760" s="4"/>
    </row>
    <row r="6761">
      <c r="A6761" s="4"/>
      <c r="B6761" s="4"/>
      <c r="C6761" s="4"/>
      <c r="D6761" s="13"/>
      <c r="E6761" s="13"/>
      <c r="F6761" s="4"/>
      <c r="G6761" s="4"/>
    </row>
    <row r="6762">
      <c r="A6762" s="4"/>
      <c r="B6762" s="4"/>
      <c r="C6762" s="4"/>
      <c r="D6762" s="13"/>
      <c r="E6762" s="13"/>
      <c r="F6762" s="4"/>
      <c r="G6762" s="4"/>
    </row>
    <row r="6763">
      <c r="A6763" s="4"/>
      <c r="B6763" s="4"/>
      <c r="C6763" s="4"/>
      <c r="D6763" s="13"/>
      <c r="E6763" s="13"/>
      <c r="F6763" s="4"/>
      <c r="G6763" s="4"/>
    </row>
    <row r="6764">
      <c r="A6764" s="4"/>
      <c r="B6764" s="4"/>
      <c r="C6764" s="4"/>
      <c r="D6764" s="13"/>
      <c r="E6764" s="13"/>
      <c r="F6764" s="4"/>
      <c r="G6764" s="4"/>
    </row>
    <row r="6765">
      <c r="A6765" s="4"/>
      <c r="B6765" s="4"/>
      <c r="C6765" s="4"/>
      <c r="D6765" s="13"/>
      <c r="E6765" s="13"/>
      <c r="F6765" s="4"/>
      <c r="G6765" s="4"/>
    </row>
    <row r="6766">
      <c r="A6766" s="4"/>
      <c r="B6766" s="4"/>
      <c r="C6766" s="4"/>
      <c r="D6766" s="13"/>
      <c r="E6766" s="13"/>
      <c r="F6766" s="4"/>
      <c r="G6766" s="4"/>
    </row>
    <row r="6767">
      <c r="A6767" s="4"/>
      <c r="B6767" s="4"/>
      <c r="C6767" s="4"/>
      <c r="D6767" s="13"/>
      <c r="E6767" s="13"/>
      <c r="F6767" s="4"/>
      <c r="G6767" s="4"/>
    </row>
    <row r="6768">
      <c r="A6768" s="4"/>
      <c r="B6768" s="4"/>
      <c r="C6768" s="4"/>
      <c r="D6768" s="4"/>
      <c r="E6768" s="4"/>
      <c r="F6768" s="4"/>
      <c r="G6768" s="4"/>
    </row>
    <row r="6769">
      <c r="A6769" s="4"/>
      <c r="B6769" s="4"/>
      <c r="C6769" s="4"/>
      <c r="D6769" s="4"/>
      <c r="E6769" s="13"/>
      <c r="F6769" s="4"/>
      <c r="G6769" s="4"/>
    </row>
    <row r="6770">
      <c r="A6770" s="4"/>
      <c r="B6770" s="4"/>
      <c r="C6770" s="4"/>
      <c r="D6770" s="4"/>
      <c r="E6770" s="4"/>
      <c r="F6770" s="4"/>
      <c r="G6770" s="4"/>
    </row>
    <row r="6771">
      <c r="A6771" s="4"/>
      <c r="B6771" s="4"/>
      <c r="C6771" s="4"/>
      <c r="D6771" s="4"/>
      <c r="E6771" s="4"/>
      <c r="F6771" s="4"/>
      <c r="G6771" s="4"/>
    </row>
    <row r="6772">
      <c r="A6772" s="4"/>
      <c r="B6772" s="4"/>
      <c r="C6772" s="4"/>
      <c r="D6772" s="13"/>
      <c r="E6772" s="4"/>
      <c r="F6772" s="4"/>
      <c r="G6772" s="4"/>
    </row>
    <row r="6773">
      <c r="A6773" s="4"/>
      <c r="B6773" s="4"/>
      <c r="C6773" s="4"/>
      <c r="D6773" s="4"/>
      <c r="E6773" s="4"/>
      <c r="F6773" s="4"/>
      <c r="G6773" s="4"/>
    </row>
    <row r="6774">
      <c r="A6774" s="4"/>
      <c r="B6774" s="4"/>
      <c r="C6774" s="4"/>
      <c r="D6774" s="4"/>
      <c r="E6774" s="4"/>
      <c r="F6774" s="4"/>
      <c r="G6774" s="4"/>
    </row>
    <row r="6775">
      <c r="A6775" s="4"/>
      <c r="B6775" s="4"/>
      <c r="C6775" s="4"/>
      <c r="D6775" s="13"/>
      <c r="E6775" s="13"/>
      <c r="F6775" s="4"/>
      <c r="G6775" s="4"/>
    </row>
    <row r="6776">
      <c r="A6776" s="4"/>
      <c r="B6776" s="4"/>
      <c r="C6776" s="4"/>
      <c r="D6776" s="13"/>
      <c r="E6776" s="13"/>
      <c r="F6776" s="4"/>
      <c r="G6776" s="4"/>
    </row>
    <row r="6777">
      <c r="A6777" s="4"/>
      <c r="B6777" s="4"/>
      <c r="C6777" s="4"/>
      <c r="D6777" s="13"/>
      <c r="E6777" s="13"/>
      <c r="F6777" s="4"/>
      <c r="G6777" s="4"/>
    </row>
    <row r="6778">
      <c r="A6778" s="4"/>
      <c r="B6778" s="4"/>
      <c r="C6778" s="4"/>
      <c r="D6778" s="13"/>
      <c r="E6778" s="13"/>
      <c r="F6778" s="4"/>
      <c r="G6778" s="4"/>
    </row>
    <row r="6779">
      <c r="A6779" s="4"/>
      <c r="B6779" s="4"/>
      <c r="C6779" s="4"/>
      <c r="D6779" s="13"/>
      <c r="E6779" s="13"/>
      <c r="F6779" s="4"/>
      <c r="G6779" s="4"/>
    </row>
    <row r="6780">
      <c r="A6780" s="4"/>
      <c r="B6780" s="4"/>
      <c r="C6780" s="4"/>
      <c r="D6780" s="4"/>
      <c r="E6780" s="13"/>
      <c r="F6780" s="4"/>
      <c r="G6780" s="4"/>
    </row>
    <row r="6781">
      <c r="A6781" s="4"/>
      <c r="B6781" s="4"/>
      <c r="C6781" s="4"/>
      <c r="D6781" s="13"/>
      <c r="E6781" s="13"/>
      <c r="F6781" s="4"/>
      <c r="G6781" s="4"/>
    </row>
    <row r="6782">
      <c r="A6782" s="4"/>
      <c r="B6782" s="4"/>
      <c r="C6782" s="4"/>
      <c r="D6782" s="4"/>
      <c r="E6782" s="4"/>
      <c r="F6782" s="4"/>
      <c r="G6782" s="4"/>
    </row>
    <row r="6783">
      <c r="A6783" s="4"/>
      <c r="B6783" s="4"/>
      <c r="C6783" s="4"/>
      <c r="D6783" s="13"/>
      <c r="E6783" s="13"/>
      <c r="F6783" s="4"/>
      <c r="G6783" s="4"/>
    </row>
    <row r="6784">
      <c r="A6784" s="4"/>
      <c r="B6784" s="4"/>
      <c r="C6784" s="4"/>
      <c r="D6784" s="4"/>
      <c r="E6784" s="4"/>
      <c r="F6784" s="4"/>
      <c r="G6784" s="4"/>
    </row>
    <row r="6785">
      <c r="A6785" s="4"/>
      <c r="B6785" s="4"/>
      <c r="C6785" s="4"/>
      <c r="D6785" s="4"/>
      <c r="E6785" s="13"/>
      <c r="F6785" s="4"/>
      <c r="G6785" s="4"/>
    </row>
    <row r="6786">
      <c r="A6786" s="4"/>
      <c r="B6786" s="4"/>
      <c r="C6786" s="4"/>
      <c r="D6786" s="4"/>
      <c r="E6786" s="4"/>
      <c r="F6786" s="4"/>
      <c r="G6786" s="4"/>
    </row>
    <row r="6787">
      <c r="A6787" s="4"/>
      <c r="B6787" s="4"/>
      <c r="C6787" s="4"/>
      <c r="D6787" s="4"/>
      <c r="E6787" s="13"/>
      <c r="F6787" s="4"/>
      <c r="G6787" s="4"/>
    </row>
    <row r="6788">
      <c r="A6788" s="4"/>
      <c r="B6788" s="4"/>
      <c r="C6788" s="4"/>
      <c r="D6788" s="13"/>
      <c r="E6788" s="13"/>
      <c r="F6788" s="4"/>
      <c r="G6788" s="4"/>
    </row>
    <row r="6789">
      <c r="A6789" s="4"/>
      <c r="B6789" s="4"/>
      <c r="C6789" s="4"/>
      <c r="D6789" s="4"/>
      <c r="E6789" s="4"/>
      <c r="F6789" s="4"/>
      <c r="G6789" s="4"/>
    </row>
    <row r="6790">
      <c r="A6790" s="4"/>
      <c r="B6790" s="4"/>
      <c r="C6790" s="4"/>
      <c r="D6790" s="4"/>
      <c r="E6790" s="4"/>
      <c r="F6790" s="4"/>
      <c r="G6790" s="4"/>
    </row>
    <row r="6791">
      <c r="A6791" s="4"/>
      <c r="B6791" s="4"/>
      <c r="C6791" s="4"/>
      <c r="D6791" s="4"/>
      <c r="E6791" s="13"/>
      <c r="F6791" s="4"/>
      <c r="G6791" s="4"/>
    </row>
    <row r="6792">
      <c r="A6792" s="4"/>
      <c r="B6792" s="4"/>
      <c r="C6792" s="4"/>
      <c r="D6792" s="4"/>
      <c r="E6792" s="13"/>
      <c r="F6792" s="4"/>
      <c r="G6792" s="4"/>
    </row>
    <row r="6793">
      <c r="A6793" s="4"/>
      <c r="B6793" s="4"/>
      <c r="C6793" s="4"/>
      <c r="D6793" s="4"/>
      <c r="E6793" s="4"/>
      <c r="F6793" s="4"/>
      <c r="G6793" s="4"/>
    </row>
    <row r="6794">
      <c r="A6794" s="4"/>
      <c r="B6794" s="4"/>
      <c r="C6794" s="4"/>
      <c r="D6794" s="4"/>
      <c r="E6794" s="4"/>
      <c r="F6794" s="4"/>
      <c r="G6794" s="4"/>
    </row>
    <row r="6795">
      <c r="A6795" s="4"/>
      <c r="B6795" s="4"/>
      <c r="C6795" s="4"/>
      <c r="D6795" s="4"/>
      <c r="E6795" s="13"/>
      <c r="F6795" s="4"/>
      <c r="G6795" s="4"/>
    </row>
    <row r="6796">
      <c r="A6796" s="4"/>
      <c r="B6796" s="4"/>
      <c r="C6796" s="4"/>
      <c r="D6796" s="4"/>
      <c r="E6796" s="13"/>
      <c r="F6796" s="4"/>
      <c r="G6796" s="4"/>
    </row>
    <row r="6797">
      <c r="A6797" s="4"/>
      <c r="B6797" s="4"/>
      <c r="C6797" s="4"/>
      <c r="D6797" s="4"/>
      <c r="E6797" s="13"/>
      <c r="F6797" s="4"/>
      <c r="G6797" s="4"/>
    </row>
    <row r="6798">
      <c r="A6798" s="4"/>
      <c r="B6798" s="4"/>
      <c r="C6798" s="4"/>
      <c r="D6798" s="4"/>
      <c r="E6798" s="4"/>
      <c r="F6798" s="4"/>
      <c r="G6798" s="4"/>
    </row>
    <row r="6799">
      <c r="A6799" s="4"/>
      <c r="B6799" s="4"/>
      <c r="C6799" s="4"/>
      <c r="D6799" s="13"/>
      <c r="E6799" s="13"/>
      <c r="F6799" s="4"/>
      <c r="G6799" s="4"/>
    </row>
    <row r="6800">
      <c r="A6800" s="4"/>
      <c r="B6800" s="4"/>
      <c r="C6800" s="4"/>
      <c r="D6800" s="13"/>
      <c r="E6800" s="13"/>
      <c r="F6800" s="4"/>
      <c r="G6800" s="4"/>
    </row>
    <row r="6801">
      <c r="A6801" s="4"/>
      <c r="B6801" s="4"/>
      <c r="C6801" s="4"/>
      <c r="D6801" s="4"/>
      <c r="E6801" s="4"/>
      <c r="F6801" s="4"/>
      <c r="G6801" s="4"/>
    </row>
    <row r="6802">
      <c r="A6802" s="4"/>
      <c r="B6802" s="4"/>
      <c r="C6802" s="4"/>
      <c r="D6802" s="4"/>
      <c r="E6802" s="4"/>
      <c r="F6802" s="4"/>
      <c r="G6802" s="4"/>
    </row>
    <row r="6803">
      <c r="A6803" s="4"/>
      <c r="B6803" s="4"/>
      <c r="C6803" s="4"/>
      <c r="D6803" s="4"/>
      <c r="E6803" s="13"/>
      <c r="F6803" s="4"/>
      <c r="G6803" s="4"/>
    </row>
    <row r="6804">
      <c r="A6804" s="4"/>
      <c r="B6804" s="4"/>
      <c r="C6804" s="4"/>
      <c r="D6804" s="4"/>
      <c r="E6804" s="4"/>
      <c r="F6804" s="4"/>
      <c r="G6804" s="4"/>
    </row>
    <row r="6805">
      <c r="A6805" s="4"/>
      <c r="B6805" s="4"/>
      <c r="C6805" s="4"/>
      <c r="D6805" s="4"/>
      <c r="E6805" s="13"/>
      <c r="F6805" s="4"/>
      <c r="G6805" s="4"/>
    </row>
    <row r="6806">
      <c r="A6806" s="4"/>
      <c r="B6806" s="4"/>
      <c r="C6806" s="4"/>
      <c r="D6806" s="13"/>
      <c r="E6806" s="13"/>
      <c r="F6806" s="4"/>
      <c r="G6806" s="4"/>
    </row>
    <row r="6807">
      <c r="A6807" s="4"/>
      <c r="B6807" s="4"/>
      <c r="C6807" s="4"/>
      <c r="D6807" s="4"/>
      <c r="E6807" s="4"/>
      <c r="F6807" s="4"/>
      <c r="G6807" s="4"/>
    </row>
    <row r="6808">
      <c r="A6808" s="4"/>
      <c r="B6808" s="4"/>
      <c r="C6808" s="4"/>
      <c r="D6808" s="4"/>
      <c r="E6808" s="13"/>
      <c r="F6808" s="4"/>
      <c r="G6808" s="4"/>
    </row>
    <row r="6809">
      <c r="A6809" s="4"/>
      <c r="B6809" s="4"/>
      <c r="C6809" s="4"/>
      <c r="D6809" s="4"/>
      <c r="E6809" s="4"/>
      <c r="F6809" s="4"/>
      <c r="G6809" s="4"/>
    </row>
    <row r="6810">
      <c r="A6810" s="4"/>
      <c r="B6810" s="4"/>
      <c r="C6810" s="4"/>
      <c r="D6810" s="4"/>
      <c r="E6810" s="4"/>
      <c r="F6810" s="4"/>
      <c r="G6810" s="4"/>
    </row>
    <row r="6811">
      <c r="A6811" s="4"/>
      <c r="B6811" s="4"/>
      <c r="C6811" s="4"/>
      <c r="D6811" s="4"/>
      <c r="E6811" s="4"/>
      <c r="F6811" s="4"/>
      <c r="G6811" s="4"/>
    </row>
    <row r="6812">
      <c r="A6812" s="4"/>
      <c r="B6812" s="4"/>
      <c r="C6812" s="4"/>
      <c r="D6812" s="4"/>
      <c r="E6812" s="4"/>
      <c r="F6812" s="4"/>
      <c r="G6812" s="4"/>
    </row>
    <row r="6813">
      <c r="A6813" s="4"/>
      <c r="B6813" s="4"/>
      <c r="C6813" s="4"/>
      <c r="D6813" s="4"/>
      <c r="E6813" s="13"/>
      <c r="F6813" s="4"/>
      <c r="G6813" s="4"/>
    </row>
    <row r="6814">
      <c r="A6814" s="4"/>
      <c r="B6814" s="4"/>
      <c r="C6814" s="4"/>
      <c r="D6814" s="4"/>
      <c r="E6814" s="4"/>
      <c r="F6814" s="4"/>
      <c r="G6814" s="4"/>
    </row>
    <row r="6815">
      <c r="A6815" s="4"/>
      <c r="B6815" s="4"/>
      <c r="C6815" s="4"/>
      <c r="D6815" s="4"/>
      <c r="E6815" s="4"/>
      <c r="F6815" s="4"/>
      <c r="G6815" s="4"/>
    </row>
    <row r="6816">
      <c r="A6816" s="4"/>
      <c r="B6816" s="4"/>
      <c r="C6816" s="4"/>
      <c r="D6816" s="4"/>
      <c r="E6816" s="4"/>
      <c r="F6816" s="4"/>
      <c r="G6816" s="4"/>
    </row>
    <row r="6817">
      <c r="A6817" s="4"/>
      <c r="B6817" s="4"/>
      <c r="C6817" s="4"/>
      <c r="D6817" s="4"/>
      <c r="E6817" s="4"/>
      <c r="F6817" s="4"/>
      <c r="G6817" s="4"/>
    </row>
    <row r="6818">
      <c r="A6818" s="4"/>
      <c r="B6818" s="4"/>
      <c r="C6818" s="4"/>
      <c r="D6818" s="4"/>
      <c r="E6818" s="13"/>
      <c r="F6818" s="4"/>
      <c r="G6818" s="4"/>
    </row>
    <row r="6819">
      <c r="A6819" s="4"/>
      <c r="B6819" s="4"/>
      <c r="C6819" s="4"/>
      <c r="D6819" s="4"/>
      <c r="E6819" s="4"/>
      <c r="F6819" s="4"/>
      <c r="G6819" s="4"/>
    </row>
    <row r="6820">
      <c r="A6820" s="4"/>
      <c r="B6820" s="4"/>
      <c r="C6820" s="4"/>
      <c r="D6820" s="4"/>
      <c r="E6820" s="4"/>
      <c r="F6820" s="4"/>
      <c r="G6820" s="4"/>
    </row>
    <row r="6821">
      <c r="A6821" s="4"/>
      <c r="B6821" s="4"/>
      <c r="C6821" s="4"/>
      <c r="D6821" s="4"/>
      <c r="E6821" s="13"/>
      <c r="F6821" s="4"/>
      <c r="G6821" s="4"/>
    </row>
    <row r="6822">
      <c r="A6822" s="4"/>
      <c r="B6822" s="4"/>
      <c r="C6822" s="4"/>
      <c r="D6822" s="4"/>
      <c r="E6822" s="4"/>
      <c r="F6822" s="4"/>
      <c r="G6822" s="4"/>
    </row>
    <row r="6823">
      <c r="A6823" s="4"/>
      <c r="B6823" s="4"/>
      <c r="C6823" s="4"/>
      <c r="D6823" s="4"/>
      <c r="E6823" s="4"/>
      <c r="F6823" s="4"/>
      <c r="G6823" s="4"/>
    </row>
    <row r="6824">
      <c r="A6824" s="4"/>
      <c r="B6824" s="4"/>
      <c r="C6824" s="4"/>
      <c r="D6824" s="4"/>
      <c r="E6824" s="4"/>
      <c r="F6824" s="4"/>
      <c r="G6824" s="4"/>
    </row>
    <row r="6825">
      <c r="A6825" s="4"/>
      <c r="B6825" s="4"/>
      <c r="C6825" s="4"/>
      <c r="D6825" s="4"/>
      <c r="E6825" s="4"/>
      <c r="F6825" s="4"/>
      <c r="G6825" s="4"/>
    </row>
    <row r="6826">
      <c r="A6826" s="4"/>
      <c r="B6826" s="4"/>
      <c r="C6826" s="4"/>
      <c r="D6826" s="4"/>
      <c r="E6826" s="4"/>
      <c r="F6826" s="4"/>
      <c r="G6826" s="4"/>
    </row>
    <row r="6827">
      <c r="A6827" s="4"/>
      <c r="B6827" s="4"/>
      <c r="C6827" s="4"/>
      <c r="D6827" s="4"/>
      <c r="E6827" s="4"/>
      <c r="F6827" s="4"/>
      <c r="G6827" s="4"/>
    </row>
    <row r="6828">
      <c r="A6828" s="4"/>
      <c r="B6828" s="4"/>
      <c r="C6828" s="4"/>
      <c r="D6828" s="4"/>
      <c r="E6828" s="4"/>
      <c r="F6828" s="4"/>
      <c r="G6828" s="4"/>
    </row>
    <row r="6829">
      <c r="A6829" s="4"/>
      <c r="B6829" s="4"/>
      <c r="C6829" s="4"/>
      <c r="D6829" s="4"/>
      <c r="E6829" s="13"/>
      <c r="F6829" s="4"/>
      <c r="G6829" s="4"/>
    </row>
    <row r="6830">
      <c r="A6830" s="4"/>
      <c r="B6830" s="4"/>
      <c r="C6830" s="4"/>
      <c r="D6830" s="4"/>
      <c r="E6830" s="4"/>
      <c r="F6830" s="4"/>
      <c r="G6830" s="4"/>
    </row>
    <row r="6831">
      <c r="A6831" s="4"/>
      <c r="B6831" s="4"/>
      <c r="C6831" s="4"/>
      <c r="D6831" s="4"/>
      <c r="E6831" s="4"/>
      <c r="F6831" s="4"/>
      <c r="G6831" s="4"/>
    </row>
    <row r="6832">
      <c r="A6832" s="4"/>
      <c r="B6832" s="4"/>
      <c r="C6832" s="4"/>
      <c r="D6832" s="4"/>
      <c r="E6832" s="4"/>
      <c r="F6832" s="4"/>
      <c r="G6832" s="4"/>
    </row>
    <row r="6833">
      <c r="A6833" s="4"/>
      <c r="B6833" s="4"/>
      <c r="C6833" s="4"/>
      <c r="D6833" s="4"/>
      <c r="E6833" s="4"/>
      <c r="F6833" s="4"/>
      <c r="G6833" s="4"/>
    </row>
    <row r="6834">
      <c r="A6834" s="4"/>
      <c r="B6834" s="4"/>
      <c r="C6834" s="4"/>
      <c r="D6834" s="4"/>
      <c r="E6834" s="4"/>
      <c r="F6834" s="4"/>
      <c r="G6834" s="4"/>
    </row>
    <row r="6835">
      <c r="A6835" s="4"/>
      <c r="B6835" s="4"/>
      <c r="C6835" s="4"/>
      <c r="D6835" s="13"/>
      <c r="E6835" s="4"/>
      <c r="F6835" s="4"/>
      <c r="G6835" s="4"/>
    </row>
    <row r="6836">
      <c r="A6836" s="4"/>
      <c r="B6836" s="4"/>
      <c r="C6836" s="4"/>
      <c r="D6836" s="4"/>
      <c r="E6836" s="4"/>
      <c r="F6836" s="4"/>
      <c r="G6836" s="4"/>
    </row>
    <row r="6837">
      <c r="A6837" s="4"/>
      <c r="B6837" s="4"/>
      <c r="C6837" s="4"/>
      <c r="D6837" s="4"/>
      <c r="E6837" s="4"/>
      <c r="F6837" s="4"/>
      <c r="G6837" s="4"/>
    </row>
    <row r="6838">
      <c r="A6838" s="4"/>
      <c r="B6838" s="4"/>
      <c r="C6838" s="4"/>
      <c r="D6838" s="4"/>
      <c r="E6838" s="4"/>
      <c r="F6838" s="4"/>
      <c r="G6838" s="4"/>
    </row>
    <row r="6839">
      <c r="A6839" s="4"/>
      <c r="B6839" s="4"/>
      <c r="C6839" s="4"/>
      <c r="D6839" s="4"/>
      <c r="E6839" s="4"/>
      <c r="F6839" s="4"/>
      <c r="G6839" s="4"/>
    </row>
    <row r="6840">
      <c r="A6840" s="4"/>
      <c r="B6840" s="4"/>
      <c r="C6840" s="4"/>
      <c r="D6840" s="4"/>
      <c r="E6840" s="4"/>
      <c r="F6840" s="4"/>
      <c r="G6840" s="4"/>
    </row>
    <row r="6841">
      <c r="A6841" s="4"/>
      <c r="B6841" s="4"/>
      <c r="C6841" s="4"/>
      <c r="D6841" s="4"/>
      <c r="E6841" s="4"/>
      <c r="F6841" s="4"/>
      <c r="G6841" s="4"/>
    </row>
    <row r="6842">
      <c r="A6842" s="4"/>
      <c r="B6842" s="4"/>
      <c r="C6842" s="4"/>
      <c r="D6842" s="4"/>
      <c r="E6842" s="4"/>
      <c r="F6842" s="4"/>
      <c r="G6842" s="4"/>
    </row>
    <row r="6843">
      <c r="A6843" s="4"/>
      <c r="B6843" s="4"/>
      <c r="C6843" s="4"/>
      <c r="D6843" s="4"/>
      <c r="E6843" s="4"/>
      <c r="F6843" s="4"/>
      <c r="G6843" s="4"/>
    </row>
    <row r="6844">
      <c r="A6844" s="4"/>
      <c r="B6844" s="4"/>
      <c r="C6844" s="4"/>
      <c r="D6844" s="4"/>
      <c r="E6844" s="4"/>
      <c r="F6844" s="4"/>
      <c r="G6844" s="4"/>
    </row>
    <row r="6845">
      <c r="A6845" s="4"/>
      <c r="B6845" s="4"/>
      <c r="C6845" s="4"/>
      <c r="D6845" s="4"/>
      <c r="E6845" s="4"/>
      <c r="F6845" s="4"/>
      <c r="G6845" s="4"/>
    </row>
    <row r="6846">
      <c r="A6846" s="4"/>
      <c r="B6846" s="4"/>
      <c r="C6846" s="4"/>
      <c r="D6846" s="4"/>
      <c r="E6846" s="4"/>
      <c r="F6846" s="4"/>
      <c r="G6846" s="4"/>
    </row>
    <row r="6847">
      <c r="A6847" s="4"/>
      <c r="B6847" s="4"/>
      <c r="C6847" s="4"/>
      <c r="D6847" s="4"/>
      <c r="E6847" s="13"/>
      <c r="F6847" s="4"/>
      <c r="G6847" s="4"/>
    </row>
    <row r="6848">
      <c r="A6848" s="4"/>
      <c r="B6848" s="4"/>
      <c r="C6848" s="4"/>
      <c r="D6848" s="4"/>
      <c r="E6848" s="13"/>
      <c r="F6848" s="4"/>
      <c r="G6848" s="4"/>
    </row>
    <row r="6849">
      <c r="A6849" s="4"/>
      <c r="B6849" s="4"/>
      <c r="C6849" s="4"/>
      <c r="D6849" s="4"/>
      <c r="E6849" s="4"/>
      <c r="F6849" s="4"/>
      <c r="G6849" s="4"/>
    </row>
    <row r="6850">
      <c r="A6850" s="4"/>
      <c r="B6850" s="4"/>
      <c r="C6850" s="4"/>
      <c r="D6850" s="4"/>
      <c r="E6850" s="4"/>
      <c r="F6850" s="4"/>
      <c r="G6850" s="4"/>
    </row>
    <row r="6851">
      <c r="A6851" s="4"/>
      <c r="B6851" s="4"/>
      <c r="C6851" s="4"/>
      <c r="D6851" s="13"/>
      <c r="E6851" s="4"/>
      <c r="F6851" s="4"/>
      <c r="G6851" s="4"/>
    </row>
    <row r="6852">
      <c r="A6852" s="4"/>
      <c r="B6852" s="4"/>
      <c r="C6852" s="4"/>
      <c r="D6852" s="4"/>
      <c r="E6852" s="4"/>
      <c r="F6852" s="4"/>
      <c r="G6852" s="4"/>
    </row>
    <row r="6853">
      <c r="A6853" s="4"/>
      <c r="B6853" s="4"/>
      <c r="C6853" s="4"/>
      <c r="D6853" s="13"/>
      <c r="E6853" s="13"/>
      <c r="F6853" s="4"/>
      <c r="G6853" s="4"/>
    </row>
    <row r="6854">
      <c r="A6854" s="4"/>
      <c r="B6854" s="4"/>
      <c r="C6854" s="4"/>
      <c r="D6854" s="4"/>
      <c r="E6854" s="4"/>
      <c r="F6854" s="4"/>
      <c r="G6854" s="4"/>
    </row>
    <row r="6855">
      <c r="A6855" s="4"/>
      <c r="B6855" s="4"/>
      <c r="C6855" s="4"/>
      <c r="D6855" s="4"/>
      <c r="E6855" s="4"/>
      <c r="F6855" s="4"/>
      <c r="G6855" s="4"/>
    </row>
    <row r="6856">
      <c r="A6856" s="4"/>
      <c r="B6856" s="4"/>
      <c r="C6856" s="4"/>
      <c r="D6856" s="4"/>
      <c r="E6856" s="4"/>
      <c r="F6856" s="4"/>
      <c r="G6856" s="4"/>
    </row>
    <row r="6857">
      <c r="A6857" s="4"/>
      <c r="B6857" s="4"/>
      <c r="C6857" s="4"/>
      <c r="D6857" s="4"/>
      <c r="E6857" s="4"/>
      <c r="F6857" s="4"/>
      <c r="G6857" s="4"/>
    </row>
    <row r="6858">
      <c r="A6858" s="4"/>
      <c r="B6858" s="4"/>
      <c r="C6858" s="4"/>
      <c r="D6858" s="4"/>
      <c r="E6858" s="4"/>
      <c r="F6858" s="4"/>
      <c r="G6858" s="4"/>
    </row>
    <row r="6859">
      <c r="A6859" s="4"/>
      <c r="B6859" s="4"/>
      <c r="C6859" s="4"/>
      <c r="D6859" s="4"/>
      <c r="E6859" s="4"/>
      <c r="F6859" s="4"/>
      <c r="G6859" s="4"/>
    </row>
    <row r="6860">
      <c r="A6860" s="4"/>
      <c r="B6860" s="4"/>
      <c r="C6860" s="4"/>
      <c r="D6860" s="4"/>
      <c r="E6860" s="4"/>
      <c r="F6860" s="4"/>
      <c r="G6860" s="4"/>
    </row>
    <row r="6861">
      <c r="A6861" s="4"/>
      <c r="B6861" s="4"/>
      <c r="C6861" s="4"/>
      <c r="D6861" s="4"/>
      <c r="E6861" s="4"/>
      <c r="F6861" s="4"/>
      <c r="G6861" s="4"/>
    </row>
    <row r="6862">
      <c r="A6862" s="4"/>
      <c r="B6862" s="4"/>
      <c r="C6862" s="4"/>
      <c r="D6862" s="4"/>
      <c r="E6862" s="4"/>
      <c r="F6862" s="4"/>
      <c r="G6862" s="4"/>
    </row>
    <row r="6863">
      <c r="A6863" s="4"/>
      <c r="B6863" s="4"/>
      <c r="C6863" s="4"/>
      <c r="D6863" s="4"/>
      <c r="E6863" s="13"/>
      <c r="F6863" s="4"/>
      <c r="G6863" s="4"/>
    </row>
    <row r="6864">
      <c r="A6864" s="4"/>
      <c r="B6864" s="4"/>
      <c r="C6864" s="4"/>
      <c r="D6864" s="4"/>
      <c r="E6864" s="4"/>
      <c r="F6864" s="4"/>
      <c r="G6864" s="4"/>
    </row>
    <row r="6865">
      <c r="A6865" s="4"/>
      <c r="B6865" s="4"/>
      <c r="C6865" s="4"/>
      <c r="D6865" s="4"/>
      <c r="E6865" s="4"/>
      <c r="F6865" s="4"/>
      <c r="G6865" s="4"/>
    </row>
    <row r="6866">
      <c r="A6866" s="4"/>
      <c r="B6866" s="4"/>
      <c r="C6866" s="4"/>
      <c r="D6866" s="4"/>
      <c r="E6866" s="13"/>
      <c r="F6866" s="4"/>
      <c r="G6866" s="4"/>
    </row>
    <row r="6867">
      <c r="A6867" s="4"/>
      <c r="B6867" s="4"/>
      <c r="C6867" s="4"/>
      <c r="D6867" s="4"/>
      <c r="E6867" s="4"/>
      <c r="F6867" s="4"/>
      <c r="G6867" s="4"/>
    </row>
    <row r="6868">
      <c r="A6868" s="4"/>
      <c r="B6868" s="4"/>
      <c r="C6868" s="4"/>
      <c r="D6868" s="4"/>
      <c r="E6868" s="4"/>
      <c r="F6868" s="4"/>
      <c r="G6868" s="4"/>
    </row>
    <row r="6869">
      <c r="A6869" s="4"/>
      <c r="B6869" s="4"/>
      <c r="C6869" s="4"/>
      <c r="D6869" s="4"/>
      <c r="E6869" s="4"/>
      <c r="F6869" s="4"/>
      <c r="G6869" s="4"/>
    </row>
    <row r="6870">
      <c r="A6870" s="4"/>
      <c r="B6870" s="4"/>
      <c r="C6870" s="4"/>
      <c r="D6870" s="4"/>
      <c r="E6870" s="4"/>
      <c r="F6870" s="4"/>
      <c r="G6870" s="4"/>
    </row>
    <row r="6871">
      <c r="A6871" s="4"/>
      <c r="B6871" s="4"/>
      <c r="C6871" s="4"/>
      <c r="D6871" s="4"/>
      <c r="E6871" s="4"/>
      <c r="F6871" s="4"/>
      <c r="G6871" s="4"/>
    </row>
    <row r="6872">
      <c r="A6872" s="4"/>
      <c r="B6872" s="4"/>
      <c r="C6872" s="4"/>
      <c r="D6872" s="4"/>
      <c r="E6872" s="4"/>
      <c r="F6872" s="4"/>
      <c r="G6872" s="4"/>
    </row>
    <row r="6873">
      <c r="A6873" s="4"/>
      <c r="B6873" s="4"/>
      <c r="C6873" s="4"/>
      <c r="D6873" s="4"/>
      <c r="E6873" s="4"/>
      <c r="F6873" s="4"/>
      <c r="G6873" s="4"/>
    </row>
    <row r="6874">
      <c r="A6874" s="4"/>
      <c r="B6874" s="4"/>
      <c r="C6874" s="4"/>
      <c r="D6874" s="4"/>
      <c r="E6874" s="4"/>
      <c r="F6874" s="4"/>
      <c r="G6874" s="4"/>
    </row>
    <row r="6875">
      <c r="A6875" s="4"/>
      <c r="B6875" s="4"/>
      <c r="C6875" s="4"/>
      <c r="D6875" s="4"/>
      <c r="E6875" s="4"/>
      <c r="F6875" s="4"/>
      <c r="G6875" s="4"/>
    </row>
    <row r="6876">
      <c r="A6876" s="4"/>
      <c r="B6876" s="4"/>
      <c r="C6876" s="4"/>
      <c r="D6876" s="4"/>
      <c r="E6876" s="4"/>
      <c r="F6876" s="4"/>
      <c r="G6876" s="4"/>
    </row>
    <row r="6877">
      <c r="A6877" s="4"/>
      <c r="B6877" s="4"/>
      <c r="C6877" s="4"/>
      <c r="D6877" s="4"/>
      <c r="E6877" s="13"/>
      <c r="F6877" s="4"/>
      <c r="G6877" s="4"/>
    </row>
    <row r="6878">
      <c r="A6878" s="4"/>
      <c r="B6878" s="4"/>
      <c r="C6878" s="4"/>
      <c r="D6878" s="4"/>
      <c r="E6878" s="4"/>
      <c r="F6878" s="4"/>
      <c r="G6878" s="4"/>
    </row>
    <row r="6879">
      <c r="A6879" s="4"/>
      <c r="B6879" s="4"/>
      <c r="C6879" s="4"/>
      <c r="D6879" s="4"/>
      <c r="E6879" s="4"/>
      <c r="F6879" s="4"/>
      <c r="G6879" s="4"/>
    </row>
    <row r="6880">
      <c r="A6880" s="4"/>
      <c r="B6880" s="4"/>
      <c r="C6880" s="4"/>
      <c r="D6880" s="4"/>
      <c r="E6880" s="4"/>
      <c r="F6880" s="4"/>
      <c r="G6880" s="4"/>
    </row>
    <row r="6881">
      <c r="A6881" s="4"/>
      <c r="B6881" s="4"/>
      <c r="C6881" s="4"/>
      <c r="D6881" s="4"/>
      <c r="E6881" s="13"/>
      <c r="F6881" s="4"/>
      <c r="G6881" s="4"/>
    </row>
    <row r="6882">
      <c r="A6882" s="4"/>
      <c r="B6882" s="4"/>
      <c r="C6882" s="4"/>
      <c r="D6882" s="4"/>
      <c r="E6882" s="4"/>
      <c r="F6882" s="4"/>
      <c r="G6882" s="4"/>
    </row>
    <row r="6883">
      <c r="A6883" s="4"/>
      <c r="B6883" s="4"/>
      <c r="C6883" s="4"/>
      <c r="D6883" s="4"/>
      <c r="E6883" s="13"/>
      <c r="F6883" s="4"/>
      <c r="G6883" s="4"/>
    </row>
    <row r="6884">
      <c r="A6884" s="4"/>
      <c r="B6884" s="4"/>
      <c r="C6884" s="4"/>
      <c r="D6884" s="4"/>
      <c r="E6884" s="4"/>
      <c r="F6884" s="4"/>
      <c r="G6884" s="4"/>
    </row>
    <row r="6885">
      <c r="A6885" s="4"/>
      <c r="B6885" s="4"/>
      <c r="C6885" s="4"/>
      <c r="D6885" s="4"/>
      <c r="E6885" s="4"/>
      <c r="F6885" s="4"/>
      <c r="G6885" s="4"/>
    </row>
    <row r="6886">
      <c r="A6886" s="4"/>
      <c r="B6886" s="4"/>
      <c r="C6886" s="4"/>
      <c r="D6886" s="4"/>
      <c r="E6886" s="4"/>
      <c r="F6886" s="4"/>
      <c r="G6886" s="4"/>
    </row>
    <row r="6887">
      <c r="A6887" s="4"/>
      <c r="B6887" s="4"/>
      <c r="C6887" s="4"/>
      <c r="D6887" s="4"/>
      <c r="E6887" s="13"/>
      <c r="F6887" s="4"/>
      <c r="G6887" s="4"/>
    </row>
    <row r="6888">
      <c r="A6888" s="4"/>
      <c r="B6888" s="4"/>
      <c r="C6888" s="4"/>
      <c r="D6888" s="4"/>
      <c r="E6888" s="4"/>
      <c r="F6888" s="4"/>
      <c r="G6888" s="4"/>
    </row>
    <row r="6889">
      <c r="A6889" s="4"/>
      <c r="B6889" s="4"/>
      <c r="C6889" s="4"/>
      <c r="D6889" s="4"/>
      <c r="E6889" s="4"/>
      <c r="F6889" s="4"/>
      <c r="G6889" s="4"/>
    </row>
    <row r="6890">
      <c r="A6890" s="4"/>
      <c r="B6890" s="4"/>
      <c r="C6890" s="4"/>
      <c r="D6890" s="4"/>
      <c r="E6890" s="4"/>
      <c r="F6890" s="4"/>
      <c r="G6890" s="4"/>
    </row>
    <row r="6891">
      <c r="A6891" s="4"/>
      <c r="B6891" s="4"/>
      <c r="C6891" s="4"/>
      <c r="D6891" s="4"/>
      <c r="E6891" s="4"/>
      <c r="F6891" s="4"/>
      <c r="G6891" s="4"/>
    </row>
    <row r="6892">
      <c r="A6892" s="4"/>
      <c r="B6892" s="4"/>
      <c r="C6892" s="4"/>
      <c r="D6892" s="4"/>
      <c r="E6892" s="4"/>
      <c r="F6892" s="4"/>
      <c r="G6892" s="4"/>
    </row>
    <row r="6893">
      <c r="A6893" s="4"/>
      <c r="B6893" s="4"/>
      <c r="C6893" s="4"/>
      <c r="D6893" s="4"/>
      <c r="E6893" s="4"/>
      <c r="F6893" s="4"/>
      <c r="G6893" s="4"/>
    </row>
    <row r="6894">
      <c r="A6894" s="4"/>
      <c r="B6894" s="4"/>
      <c r="C6894" s="4"/>
      <c r="D6894" s="4"/>
      <c r="E6894" s="4"/>
      <c r="F6894" s="4"/>
      <c r="G6894" s="4"/>
    </row>
    <row r="6895">
      <c r="A6895" s="4"/>
      <c r="B6895" s="4"/>
      <c r="C6895" s="4"/>
      <c r="D6895" s="4"/>
      <c r="E6895" s="4"/>
      <c r="F6895" s="4"/>
      <c r="G6895" s="4"/>
    </row>
    <row r="6896">
      <c r="A6896" s="4"/>
      <c r="B6896" s="4"/>
      <c r="C6896" s="4"/>
      <c r="D6896" s="4"/>
      <c r="E6896" s="4"/>
      <c r="F6896" s="4"/>
      <c r="G6896" s="4"/>
    </row>
    <row r="6897">
      <c r="A6897" s="4"/>
      <c r="B6897" s="4"/>
      <c r="C6897" s="4"/>
      <c r="D6897" s="4"/>
      <c r="E6897" s="4"/>
      <c r="F6897" s="4"/>
      <c r="G6897" s="4"/>
    </row>
    <row r="6898">
      <c r="A6898" s="4"/>
      <c r="B6898" s="4"/>
      <c r="C6898" s="4"/>
      <c r="D6898" s="4"/>
      <c r="E6898" s="4"/>
      <c r="F6898" s="4"/>
      <c r="G6898" s="4"/>
    </row>
    <row r="6899">
      <c r="A6899" s="4"/>
      <c r="B6899" s="4"/>
      <c r="C6899" s="4"/>
      <c r="D6899" s="4"/>
      <c r="E6899" s="4"/>
      <c r="F6899" s="4"/>
      <c r="G6899" s="4"/>
    </row>
    <row r="6900">
      <c r="A6900" s="4"/>
      <c r="B6900" s="4"/>
      <c r="C6900" s="4"/>
      <c r="D6900" s="4"/>
      <c r="E6900" s="13"/>
      <c r="F6900" s="4"/>
      <c r="G6900" s="4"/>
    </row>
    <row r="6901">
      <c r="A6901" s="4"/>
      <c r="B6901" s="4"/>
      <c r="C6901" s="4"/>
      <c r="D6901" s="4"/>
      <c r="E6901" s="4"/>
      <c r="F6901" s="4"/>
      <c r="G6901" s="4"/>
    </row>
    <row r="6902">
      <c r="A6902" s="4"/>
      <c r="B6902" s="4"/>
      <c r="C6902" s="4"/>
      <c r="D6902" s="4"/>
      <c r="E6902" s="4"/>
      <c r="F6902" s="4"/>
      <c r="G6902" s="4"/>
    </row>
    <row r="6903">
      <c r="A6903" s="4"/>
      <c r="B6903" s="4"/>
      <c r="C6903" s="4"/>
      <c r="D6903" s="4"/>
      <c r="E6903" s="13"/>
      <c r="F6903" s="4"/>
      <c r="G6903" s="4"/>
    </row>
    <row r="6904">
      <c r="A6904" s="4"/>
      <c r="B6904" s="4"/>
      <c r="C6904" s="4"/>
      <c r="D6904" s="4"/>
      <c r="E6904" s="4"/>
      <c r="F6904" s="4"/>
      <c r="G6904" s="4"/>
    </row>
    <row r="6905">
      <c r="A6905" s="4"/>
      <c r="B6905" s="4"/>
      <c r="C6905" s="4"/>
      <c r="D6905" s="4"/>
      <c r="E6905" s="4"/>
      <c r="F6905" s="4"/>
      <c r="G6905" s="4"/>
    </row>
    <row r="6906">
      <c r="A6906" s="4"/>
      <c r="B6906" s="4"/>
      <c r="C6906" s="4"/>
      <c r="D6906" s="4"/>
      <c r="E6906" s="4"/>
      <c r="F6906" s="4"/>
      <c r="G6906" s="4"/>
    </row>
    <row r="6907">
      <c r="A6907" s="4"/>
      <c r="B6907" s="4"/>
      <c r="C6907" s="4"/>
      <c r="D6907" s="4"/>
      <c r="E6907" s="4"/>
      <c r="F6907" s="4"/>
      <c r="G6907" s="4"/>
    </row>
    <row r="6908">
      <c r="A6908" s="4"/>
      <c r="B6908" s="4"/>
      <c r="C6908" s="4"/>
      <c r="D6908" s="4"/>
      <c r="E6908" s="13"/>
      <c r="F6908" s="4"/>
      <c r="G6908" s="4"/>
    </row>
    <row r="6909">
      <c r="A6909" s="4"/>
      <c r="B6909" s="4"/>
      <c r="C6909" s="4"/>
      <c r="D6909" s="4"/>
      <c r="E6909" s="4"/>
      <c r="F6909" s="4"/>
      <c r="G6909" s="4"/>
    </row>
    <row r="6910">
      <c r="A6910" s="4"/>
      <c r="B6910" s="4"/>
      <c r="C6910" s="4"/>
      <c r="D6910" s="4"/>
      <c r="E6910" s="4"/>
      <c r="F6910" s="4"/>
      <c r="G6910" s="4"/>
    </row>
    <row r="6911">
      <c r="A6911" s="4"/>
      <c r="B6911" s="4"/>
      <c r="C6911" s="4"/>
      <c r="D6911" s="4"/>
      <c r="E6911" s="4"/>
      <c r="F6911" s="4"/>
      <c r="G6911" s="4"/>
    </row>
    <row r="6912">
      <c r="A6912" s="4"/>
      <c r="B6912" s="4"/>
      <c r="C6912" s="4"/>
      <c r="D6912" s="4"/>
      <c r="E6912" s="13"/>
      <c r="F6912" s="4"/>
      <c r="G6912" s="4"/>
    </row>
    <row r="6913">
      <c r="A6913" s="4"/>
      <c r="B6913" s="4"/>
      <c r="C6913" s="4"/>
      <c r="D6913" s="13"/>
      <c r="E6913" s="13"/>
      <c r="F6913" s="4"/>
      <c r="G6913" s="4"/>
    </row>
    <row r="6914">
      <c r="A6914" s="4"/>
      <c r="B6914" s="4"/>
      <c r="C6914" s="4"/>
      <c r="D6914" s="4"/>
      <c r="E6914" s="4"/>
      <c r="F6914" s="4"/>
      <c r="G6914" s="4"/>
    </row>
    <row r="6915">
      <c r="A6915" s="4"/>
      <c r="B6915" s="4"/>
      <c r="C6915" s="4"/>
      <c r="D6915" s="4"/>
      <c r="E6915" s="4"/>
      <c r="F6915" s="4"/>
      <c r="G6915" s="4"/>
    </row>
    <row r="6916">
      <c r="A6916" s="4"/>
      <c r="B6916" s="4"/>
      <c r="C6916" s="4"/>
      <c r="D6916" s="4"/>
      <c r="E6916" s="4"/>
      <c r="F6916" s="4"/>
      <c r="G6916" s="4"/>
    </row>
    <row r="6917">
      <c r="A6917" s="4"/>
      <c r="B6917" s="4"/>
      <c r="C6917" s="4"/>
      <c r="D6917" s="4"/>
      <c r="E6917" s="4"/>
      <c r="F6917" s="4"/>
      <c r="G6917" s="4"/>
    </row>
    <row r="6918">
      <c r="A6918" s="4"/>
      <c r="B6918" s="4"/>
      <c r="C6918" s="4"/>
      <c r="D6918" s="4"/>
      <c r="E6918" s="4"/>
      <c r="F6918" s="4"/>
      <c r="G6918" s="4"/>
    </row>
    <row r="6919">
      <c r="A6919" s="4"/>
      <c r="B6919" s="4"/>
      <c r="C6919" s="4"/>
      <c r="D6919" s="4"/>
      <c r="E6919" s="4"/>
      <c r="F6919" s="4"/>
      <c r="G6919" s="4"/>
    </row>
    <row r="6920">
      <c r="A6920" s="4"/>
      <c r="B6920" s="4"/>
      <c r="C6920" s="4"/>
      <c r="D6920" s="4"/>
      <c r="E6920" s="4"/>
      <c r="F6920" s="4"/>
      <c r="G6920" s="4"/>
    </row>
    <row r="6921">
      <c r="A6921" s="4"/>
      <c r="B6921" s="4"/>
      <c r="C6921" s="4"/>
      <c r="D6921" s="4"/>
      <c r="E6921" s="4"/>
      <c r="F6921" s="4"/>
      <c r="G6921" s="4"/>
    </row>
    <row r="6922">
      <c r="A6922" s="4"/>
      <c r="B6922" s="4"/>
      <c r="C6922" s="4"/>
      <c r="D6922" s="4"/>
      <c r="E6922" s="4"/>
      <c r="F6922" s="4"/>
      <c r="G6922" s="4"/>
    </row>
    <row r="6923">
      <c r="A6923" s="4"/>
      <c r="B6923" s="4"/>
      <c r="C6923" s="4"/>
      <c r="D6923" s="4"/>
      <c r="E6923" s="4"/>
      <c r="F6923" s="4"/>
      <c r="G6923" s="4"/>
    </row>
    <row r="6924">
      <c r="A6924" s="4"/>
      <c r="B6924" s="4"/>
      <c r="C6924" s="4"/>
      <c r="D6924" s="4"/>
      <c r="E6924" s="13"/>
      <c r="F6924" s="4"/>
      <c r="G6924" s="4"/>
    </row>
    <row r="6925">
      <c r="A6925" s="4"/>
      <c r="B6925" s="4"/>
      <c r="C6925" s="4"/>
      <c r="D6925" s="13"/>
      <c r="E6925" s="4"/>
      <c r="F6925" s="4"/>
      <c r="G6925" s="4"/>
    </row>
    <row r="6926">
      <c r="A6926" s="4"/>
      <c r="B6926" s="4"/>
      <c r="C6926" s="4"/>
      <c r="D6926" s="4"/>
      <c r="E6926" s="4"/>
      <c r="F6926" s="4"/>
      <c r="G6926" s="4"/>
    </row>
    <row r="6927">
      <c r="A6927" s="4"/>
      <c r="B6927" s="4"/>
      <c r="C6927" s="4"/>
      <c r="D6927" s="4"/>
      <c r="E6927" s="4"/>
      <c r="F6927" s="4"/>
      <c r="G6927" s="4"/>
    </row>
    <row r="6928">
      <c r="A6928" s="4"/>
      <c r="B6928" s="4"/>
      <c r="C6928" s="4"/>
      <c r="D6928" s="4"/>
      <c r="E6928" s="13"/>
      <c r="F6928" s="4"/>
      <c r="G6928" s="4"/>
    </row>
    <row r="6929">
      <c r="A6929" s="4"/>
      <c r="B6929" s="4"/>
      <c r="C6929" s="4"/>
      <c r="D6929" s="4"/>
      <c r="E6929" s="4"/>
      <c r="F6929" s="4"/>
      <c r="G6929" s="4"/>
    </row>
    <row r="6930">
      <c r="A6930" s="4"/>
      <c r="B6930" s="4"/>
      <c r="C6930" s="4"/>
      <c r="D6930" s="4"/>
      <c r="E6930" s="4"/>
      <c r="F6930" s="4"/>
      <c r="G6930" s="4"/>
    </row>
    <row r="6931">
      <c r="A6931" s="4"/>
      <c r="B6931" s="4"/>
      <c r="C6931" s="4"/>
      <c r="D6931" s="4"/>
      <c r="E6931" s="4"/>
      <c r="F6931" s="4"/>
      <c r="G6931" s="4"/>
    </row>
    <row r="6932">
      <c r="A6932" s="4"/>
      <c r="B6932" s="4"/>
      <c r="C6932" s="4"/>
      <c r="D6932" s="4"/>
      <c r="E6932" s="13"/>
      <c r="F6932" s="4"/>
      <c r="G6932" s="4"/>
    </row>
    <row r="6933">
      <c r="A6933" s="4"/>
      <c r="B6933" s="4"/>
      <c r="C6933" s="4"/>
      <c r="D6933" s="13"/>
      <c r="E6933" s="13"/>
      <c r="F6933" s="4"/>
      <c r="G6933" s="4"/>
    </row>
    <row r="6934">
      <c r="A6934" s="4"/>
      <c r="B6934" s="4"/>
      <c r="C6934" s="4"/>
      <c r="D6934" s="4"/>
      <c r="E6934" s="4"/>
      <c r="F6934" s="4"/>
      <c r="G6934" s="4"/>
    </row>
    <row r="6935">
      <c r="A6935" s="4"/>
      <c r="B6935" s="4"/>
      <c r="C6935" s="4"/>
      <c r="D6935" s="4"/>
      <c r="E6935" s="4"/>
      <c r="F6935" s="4"/>
      <c r="G6935" s="4"/>
    </row>
    <row r="6936">
      <c r="A6936" s="4"/>
      <c r="B6936" s="4"/>
      <c r="C6936" s="4"/>
      <c r="D6936" s="4"/>
      <c r="E6936" s="4"/>
      <c r="F6936" s="4"/>
      <c r="G6936" s="4"/>
    </row>
    <row r="6937">
      <c r="A6937" s="4"/>
      <c r="B6937" s="4"/>
      <c r="C6937" s="4"/>
      <c r="D6937" s="4"/>
      <c r="E6937" s="4"/>
      <c r="F6937" s="4"/>
      <c r="G6937" s="4"/>
    </row>
    <row r="6938">
      <c r="A6938" s="4"/>
      <c r="B6938" s="4"/>
      <c r="C6938" s="4"/>
      <c r="D6938" s="4"/>
      <c r="E6938" s="4"/>
      <c r="F6938" s="4"/>
      <c r="G6938" s="4"/>
    </row>
    <row r="6939">
      <c r="A6939" s="4"/>
      <c r="B6939" s="4"/>
      <c r="C6939" s="4"/>
      <c r="D6939" s="4"/>
      <c r="E6939" s="13"/>
      <c r="F6939" s="4"/>
      <c r="G6939" s="4"/>
    </row>
    <row r="6940">
      <c r="A6940" s="4"/>
      <c r="B6940" s="4"/>
      <c r="C6940" s="4"/>
      <c r="D6940" s="4"/>
      <c r="E6940" s="4"/>
      <c r="F6940" s="4"/>
      <c r="G6940" s="4"/>
    </row>
    <row r="6941">
      <c r="A6941" s="4"/>
      <c r="B6941" s="4"/>
      <c r="C6941" s="4"/>
      <c r="D6941" s="4"/>
      <c r="E6941" s="13"/>
      <c r="F6941" s="4"/>
      <c r="G6941" s="4"/>
    </row>
    <row r="6942">
      <c r="A6942" s="4"/>
      <c r="B6942" s="4"/>
      <c r="C6942" s="4"/>
      <c r="D6942" s="4"/>
      <c r="E6942" s="4"/>
      <c r="F6942" s="4"/>
      <c r="G6942" s="4"/>
    </row>
    <row r="6943">
      <c r="A6943" s="4"/>
      <c r="B6943" s="4"/>
      <c r="C6943" s="4"/>
      <c r="D6943" s="4"/>
      <c r="E6943" s="4"/>
      <c r="F6943" s="4"/>
      <c r="G6943" s="4"/>
    </row>
    <row r="6944">
      <c r="A6944" s="4"/>
      <c r="B6944" s="4"/>
      <c r="C6944" s="4"/>
      <c r="D6944" s="4"/>
      <c r="E6944" s="4"/>
      <c r="F6944" s="4"/>
      <c r="G6944" s="4"/>
    </row>
    <row r="6945">
      <c r="A6945" s="4"/>
      <c r="B6945" s="4"/>
      <c r="C6945" s="4"/>
      <c r="D6945" s="4"/>
      <c r="E6945" s="4"/>
      <c r="F6945" s="4"/>
      <c r="G6945" s="4"/>
    </row>
    <row r="6946">
      <c r="A6946" s="4"/>
      <c r="B6946" s="4"/>
      <c r="C6946" s="4"/>
      <c r="D6946" s="4"/>
      <c r="E6946" s="4"/>
      <c r="F6946" s="4"/>
      <c r="G6946" s="4"/>
    </row>
    <row r="6947">
      <c r="A6947" s="4"/>
      <c r="B6947" s="4"/>
      <c r="C6947" s="4"/>
      <c r="D6947" s="4"/>
      <c r="E6947" s="13"/>
      <c r="F6947" s="4"/>
      <c r="G6947" s="4"/>
    </row>
    <row r="6948">
      <c r="A6948" s="4"/>
      <c r="B6948" s="4"/>
      <c r="C6948" s="4"/>
      <c r="D6948" s="4"/>
      <c r="E6948" s="4"/>
      <c r="F6948" s="4"/>
      <c r="G6948" s="4"/>
    </row>
    <row r="6949">
      <c r="A6949" s="4"/>
      <c r="B6949" s="4"/>
      <c r="C6949" s="4"/>
      <c r="D6949" s="4"/>
      <c r="E6949" s="4"/>
      <c r="F6949" s="4"/>
      <c r="G6949" s="4"/>
    </row>
    <row r="6950">
      <c r="A6950" s="4"/>
      <c r="B6950" s="4"/>
      <c r="C6950" s="4"/>
      <c r="D6950" s="4"/>
      <c r="E6950" s="4"/>
      <c r="F6950" s="4"/>
      <c r="G6950" s="4"/>
    </row>
    <row r="6951">
      <c r="A6951" s="4"/>
      <c r="B6951" s="4"/>
      <c r="C6951" s="4"/>
      <c r="D6951" s="4"/>
      <c r="E6951" s="4"/>
      <c r="F6951" s="4"/>
      <c r="G6951" s="4"/>
    </row>
    <row r="6952">
      <c r="A6952" s="4"/>
      <c r="B6952" s="4"/>
      <c r="C6952" s="4"/>
      <c r="D6952" s="4"/>
      <c r="E6952" s="4"/>
      <c r="F6952" s="4"/>
      <c r="G6952" s="4"/>
    </row>
    <row r="6953">
      <c r="A6953" s="4"/>
      <c r="B6953" s="4"/>
      <c r="C6953" s="4"/>
      <c r="D6953" s="4"/>
      <c r="E6953" s="4"/>
      <c r="F6953" s="4"/>
      <c r="G6953" s="4"/>
    </row>
    <row r="6954">
      <c r="A6954" s="4"/>
      <c r="B6954" s="4"/>
      <c r="C6954" s="4"/>
      <c r="D6954" s="4"/>
      <c r="E6954" s="4"/>
      <c r="F6954" s="4"/>
      <c r="G6954" s="4"/>
    </row>
    <row r="6955">
      <c r="A6955" s="4"/>
      <c r="B6955" s="4"/>
      <c r="C6955" s="4"/>
      <c r="D6955" s="4"/>
      <c r="E6955" s="13"/>
      <c r="F6955" s="4"/>
      <c r="G6955" s="4"/>
    </row>
    <row r="6956">
      <c r="A6956" s="4"/>
      <c r="B6956" s="4"/>
      <c r="C6956" s="4"/>
      <c r="D6956" s="13"/>
      <c r="E6956" s="4"/>
      <c r="F6956" s="4"/>
      <c r="G6956" s="4"/>
    </row>
    <row r="6957">
      <c r="A6957" s="4"/>
      <c r="B6957" s="4"/>
      <c r="C6957" s="4"/>
      <c r="D6957" s="4"/>
      <c r="E6957" s="4"/>
      <c r="F6957" s="4"/>
      <c r="G6957" s="4"/>
    </row>
    <row r="6958">
      <c r="A6958" s="4"/>
      <c r="B6958" s="4"/>
      <c r="C6958" s="4"/>
      <c r="D6958" s="4"/>
      <c r="E6958" s="4"/>
      <c r="F6958" s="4"/>
      <c r="G6958" s="4"/>
    </row>
    <row r="6959">
      <c r="A6959" s="4"/>
      <c r="B6959" s="4"/>
      <c r="C6959" s="4"/>
      <c r="D6959" s="4"/>
      <c r="E6959" s="4"/>
      <c r="F6959" s="4"/>
      <c r="G6959" s="4"/>
    </row>
    <row r="6960">
      <c r="A6960" s="4"/>
      <c r="B6960" s="4"/>
      <c r="C6960" s="4"/>
      <c r="D6960" s="4"/>
      <c r="E6960" s="4"/>
      <c r="F6960" s="4"/>
      <c r="G6960" s="4"/>
    </row>
    <row r="6961">
      <c r="A6961" s="4"/>
      <c r="B6961" s="4"/>
      <c r="C6961" s="4"/>
      <c r="D6961" s="4"/>
      <c r="E6961" s="13"/>
      <c r="F6961" s="4"/>
      <c r="G6961" s="4"/>
    </row>
    <row r="6962">
      <c r="A6962" s="4"/>
      <c r="B6962" s="4"/>
      <c r="C6962" s="4"/>
      <c r="D6962" s="4"/>
      <c r="E6962" s="13"/>
      <c r="F6962" s="4"/>
      <c r="G6962" s="4"/>
    </row>
    <row r="6963">
      <c r="A6963" s="4"/>
      <c r="B6963" s="4"/>
      <c r="C6963" s="4"/>
      <c r="D6963" s="4"/>
      <c r="E6963" s="4"/>
      <c r="F6963" s="4"/>
      <c r="G6963" s="4"/>
    </row>
    <row r="6964">
      <c r="A6964" s="4"/>
      <c r="B6964" s="4"/>
      <c r="C6964" s="4"/>
      <c r="D6964" s="4"/>
      <c r="E6964" s="4"/>
      <c r="F6964" s="4"/>
      <c r="G6964" s="4"/>
    </row>
    <row r="6965">
      <c r="A6965" s="4"/>
      <c r="B6965" s="4"/>
      <c r="C6965" s="4"/>
      <c r="D6965" s="4"/>
      <c r="E6965" s="4"/>
      <c r="F6965" s="4"/>
      <c r="G6965" s="4"/>
    </row>
    <row r="6966">
      <c r="A6966" s="4"/>
      <c r="B6966" s="4"/>
      <c r="C6966" s="4"/>
      <c r="D6966" s="4"/>
      <c r="E6966" s="4"/>
      <c r="F6966" s="4"/>
      <c r="G6966" s="4"/>
    </row>
    <row r="6967">
      <c r="A6967" s="4"/>
      <c r="B6967" s="4"/>
      <c r="C6967" s="4"/>
      <c r="D6967" s="4"/>
      <c r="E6967" s="4"/>
      <c r="F6967" s="4"/>
      <c r="G6967" s="4"/>
    </row>
    <row r="6968">
      <c r="A6968" s="4"/>
      <c r="B6968" s="4"/>
      <c r="C6968" s="4"/>
      <c r="D6968" s="4"/>
      <c r="E6968" s="4"/>
      <c r="F6968" s="4"/>
      <c r="G6968" s="4"/>
    </row>
    <row r="6969">
      <c r="A6969" s="4"/>
      <c r="B6969" s="4"/>
      <c r="C6969" s="4"/>
      <c r="D6969" s="4"/>
      <c r="E6969" s="4"/>
      <c r="F6969" s="4"/>
      <c r="G6969" s="4"/>
    </row>
    <row r="6970">
      <c r="A6970" s="4"/>
      <c r="B6970" s="4"/>
      <c r="C6970" s="4"/>
      <c r="D6970" s="4"/>
      <c r="E6970" s="4"/>
      <c r="F6970" s="4"/>
      <c r="G6970" s="4"/>
    </row>
    <row r="6971">
      <c r="A6971" s="4"/>
      <c r="B6971" s="4"/>
      <c r="C6971" s="4"/>
      <c r="D6971" s="4"/>
      <c r="E6971" s="4"/>
      <c r="F6971" s="4"/>
      <c r="G6971" s="4"/>
    </row>
    <row r="6972">
      <c r="A6972" s="4"/>
      <c r="B6972" s="4"/>
      <c r="C6972" s="4"/>
      <c r="D6972" s="4"/>
      <c r="E6972" s="13"/>
      <c r="F6972" s="4"/>
      <c r="G6972" s="4"/>
    </row>
    <row r="6973">
      <c r="A6973" s="4"/>
      <c r="B6973" s="4"/>
      <c r="C6973" s="4"/>
      <c r="D6973" s="4"/>
      <c r="E6973" s="4"/>
      <c r="F6973" s="4"/>
      <c r="G6973" s="4"/>
    </row>
    <row r="6974">
      <c r="A6974" s="4"/>
      <c r="B6974" s="4"/>
      <c r="C6974" s="4"/>
      <c r="D6974" s="4"/>
      <c r="E6974" s="4"/>
      <c r="F6974" s="4"/>
      <c r="G6974" s="4"/>
    </row>
    <row r="6975">
      <c r="A6975" s="4"/>
      <c r="B6975" s="4"/>
      <c r="C6975" s="4"/>
      <c r="D6975" s="4"/>
      <c r="E6975" s="4"/>
      <c r="F6975" s="4"/>
      <c r="G6975" s="4"/>
    </row>
    <row r="6976">
      <c r="A6976" s="4"/>
      <c r="B6976" s="4"/>
      <c r="C6976" s="4"/>
      <c r="D6976" s="4"/>
      <c r="E6976" s="4"/>
      <c r="F6976" s="4"/>
      <c r="G6976" s="4"/>
    </row>
    <row r="6977">
      <c r="A6977" s="4"/>
      <c r="B6977" s="4"/>
      <c r="C6977" s="4"/>
      <c r="D6977" s="4"/>
      <c r="E6977" s="4"/>
      <c r="F6977" s="4"/>
      <c r="G6977" s="4"/>
    </row>
    <row r="6978">
      <c r="A6978" s="4"/>
      <c r="B6978" s="4"/>
      <c r="C6978" s="4"/>
      <c r="D6978" s="4"/>
      <c r="E6978" s="4"/>
      <c r="F6978" s="4"/>
      <c r="G6978" s="4"/>
    </row>
    <row r="6979">
      <c r="A6979" s="4"/>
      <c r="B6979" s="4"/>
      <c r="C6979" s="4"/>
      <c r="D6979" s="4"/>
      <c r="E6979" s="13"/>
      <c r="F6979" s="4"/>
      <c r="G6979" s="4"/>
    </row>
    <row r="6980">
      <c r="A6980" s="4"/>
      <c r="B6980" s="4"/>
      <c r="C6980" s="4"/>
      <c r="D6980" s="4"/>
      <c r="E6980" s="4"/>
      <c r="F6980" s="4"/>
      <c r="G6980" s="4"/>
    </row>
    <row r="6981">
      <c r="A6981" s="4"/>
      <c r="B6981" s="4"/>
      <c r="C6981" s="4"/>
      <c r="D6981" s="4"/>
      <c r="E6981" s="4"/>
      <c r="F6981" s="4"/>
      <c r="G6981" s="4"/>
    </row>
    <row r="6982">
      <c r="A6982" s="4"/>
      <c r="B6982" s="4"/>
      <c r="C6982" s="4"/>
      <c r="D6982" s="4"/>
      <c r="E6982" s="4"/>
      <c r="F6982" s="4"/>
      <c r="G6982" s="4"/>
    </row>
    <row r="6983">
      <c r="A6983" s="4"/>
      <c r="B6983" s="4"/>
      <c r="C6983" s="4"/>
      <c r="D6983" s="4"/>
      <c r="E6983" s="4"/>
      <c r="F6983" s="4"/>
      <c r="G6983" s="4"/>
    </row>
    <row r="6984">
      <c r="A6984" s="4"/>
      <c r="B6984" s="4"/>
      <c r="C6984" s="4"/>
      <c r="D6984" s="4"/>
      <c r="E6984" s="4"/>
      <c r="F6984" s="4"/>
      <c r="G6984" s="4"/>
    </row>
    <row r="6985">
      <c r="A6985" s="4"/>
      <c r="B6985" s="4"/>
      <c r="C6985" s="4"/>
      <c r="D6985" s="4"/>
      <c r="E6985" s="4"/>
      <c r="F6985" s="4"/>
      <c r="G6985" s="4"/>
    </row>
    <row r="6986">
      <c r="A6986" s="4"/>
      <c r="B6986" s="4"/>
      <c r="C6986" s="4"/>
      <c r="D6986" s="4"/>
      <c r="E6986" s="4"/>
      <c r="F6986" s="4"/>
      <c r="G6986" s="4"/>
    </row>
    <row r="6987">
      <c r="A6987" s="4"/>
      <c r="B6987" s="4"/>
      <c r="C6987" s="4"/>
      <c r="D6987" s="4"/>
      <c r="E6987" s="4"/>
      <c r="F6987" s="4"/>
      <c r="G6987" s="4"/>
    </row>
    <row r="6988">
      <c r="A6988" s="4"/>
      <c r="B6988" s="4"/>
      <c r="C6988" s="4"/>
      <c r="D6988" s="4"/>
      <c r="E6988" s="4"/>
      <c r="F6988" s="4"/>
      <c r="G6988" s="4"/>
    </row>
    <row r="6989">
      <c r="A6989" s="4"/>
      <c r="B6989" s="4"/>
      <c r="C6989" s="4"/>
      <c r="D6989" s="4"/>
      <c r="E6989" s="4"/>
      <c r="F6989" s="4"/>
      <c r="G6989" s="4"/>
    </row>
    <row r="6990">
      <c r="A6990" s="4"/>
      <c r="B6990" s="4"/>
      <c r="C6990" s="4"/>
      <c r="D6990" s="4"/>
      <c r="E6990" s="4"/>
      <c r="F6990" s="4"/>
      <c r="G6990" s="4"/>
    </row>
    <row r="6991">
      <c r="A6991" s="4"/>
      <c r="B6991" s="4"/>
      <c r="C6991" s="4"/>
      <c r="D6991" s="4"/>
      <c r="E6991" s="4"/>
      <c r="F6991" s="4"/>
      <c r="G6991" s="4"/>
    </row>
    <row r="6992">
      <c r="A6992" s="4"/>
      <c r="B6992" s="4"/>
      <c r="C6992" s="4"/>
      <c r="D6992" s="4"/>
      <c r="E6992" s="4"/>
      <c r="F6992" s="4"/>
      <c r="G6992" s="4"/>
    </row>
    <row r="6993">
      <c r="A6993" s="4"/>
      <c r="B6993" s="4"/>
      <c r="C6993" s="4"/>
      <c r="D6993" s="4"/>
      <c r="E6993" s="4"/>
      <c r="F6993" s="4"/>
      <c r="G6993" s="4"/>
    </row>
    <row r="6994">
      <c r="A6994" s="4"/>
      <c r="B6994" s="4"/>
      <c r="C6994" s="4"/>
      <c r="D6994" s="4"/>
      <c r="E6994" s="4"/>
      <c r="F6994" s="4"/>
      <c r="G6994" s="4"/>
    </row>
    <row r="6995">
      <c r="A6995" s="4"/>
      <c r="B6995" s="4"/>
      <c r="C6995" s="4"/>
      <c r="D6995" s="4"/>
      <c r="E6995" s="4"/>
      <c r="F6995" s="4"/>
      <c r="G6995" s="4"/>
    </row>
    <row r="6996">
      <c r="A6996" s="4"/>
      <c r="B6996" s="4"/>
      <c r="C6996" s="4"/>
      <c r="D6996" s="4"/>
      <c r="E6996" s="4"/>
      <c r="F6996" s="4"/>
      <c r="G6996" s="4"/>
    </row>
    <row r="6997">
      <c r="A6997" s="4"/>
      <c r="B6997" s="4"/>
      <c r="C6997" s="4"/>
      <c r="D6997" s="4"/>
      <c r="E6997" s="4"/>
      <c r="F6997" s="4"/>
      <c r="G6997" s="4"/>
    </row>
    <row r="6998">
      <c r="A6998" s="4"/>
      <c r="B6998" s="4"/>
      <c r="C6998" s="4"/>
      <c r="D6998" s="4"/>
      <c r="E6998" s="13"/>
      <c r="F6998" s="4"/>
      <c r="G6998" s="4"/>
    </row>
    <row r="6999">
      <c r="A6999" s="4"/>
      <c r="B6999" s="4"/>
      <c r="C6999" s="4"/>
      <c r="D6999" s="4"/>
      <c r="E6999" s="4"/>
      <c r="F6999" s="4"/>
      <c r="G6999" s="4"/>
    </row>
    <row r="7000">
      <c r="A7000" s="4"/>
      <c r="B7000" s="4"/>
      <c r="C7000" s="4"/>
      <c r="D7000" s="4"/>
      <c r="E7000" s="4"/>
      <c r="F7000" s="4"/>
      <c r="G7000" s="4"/>
    </row>
    <row r="7001">
      <c r="A7001" s="4"/>
      <c r="B7001" s="4"/>
      <c r="C7001" s="4"/>
      <c r="D7001" s="4"/>
      <c r="E7001" s="4"/>
      <c r="F7001" s="4"/>
      <c r="G7001" s="4"/>
    </row>
    <row r="7002">
      <c r="A7002" s="4"/>
      <c r="B7002" s="4"/>
      <c r="C7002" s="4"/>
      <c r="D7002" s="4"/>
      <c r="E7002" s="4"/>
      <c r="F7002" s="4"/>
      <c r="G7002" s="4"/>
    </row>
    <row r="7003">
      <c r="A7003" s="4"/>
      <c r="B7003" s="4"/>
      <c r="C7003" s="4"/>
      <c r="D7003" s="4"/>
      <c r="E7003" s="4"/>
      <c r="F7003" s="4"/>
      <c r="G7003" s="4"/>
    </row>
    <row r="7004">
      <c r="A7004" s="4"/>
      <c r="B7004" s="4"/>
      <c r="C7004" s="4"/>
      <c r="D7004" s="4"/>
      <c r="E7004" s="4"/>
      <c r="F7004" s="4"/>
      <c r="G7004" s="4"/>
    </row>
    <row r="7005">
      <c r="A7005" s="4"/>
      <c r="B7005" s="4"/>
      <c r="C7005" s="4"/>
      <c r="D7005" s="4"/>
      <c r="E7005" s="4"/>
      <c r="F7005" s="4"/>
      <c r="G7005" s="4"/>
    </row>
    <row r="7006">
      <c r="A7006" s="4"/>
      <c r="B7006" s="4"/>
      <c r="C7006" s="4"/>
      <c r="D7006" s="4"/>
      <c r="E7006" s="4"/>
      <c r="F7006" s="4"/>
      <c r="G7006" s="4"/>
    </row>
    <row r="7007">
      <c r="A7007" s="4"/>
      <c r="B7007" s="4"/>
      <c r="C7007" s="4"/>
      <c r="D7007" s="4"/>
      <c r="E7007" s="4"/>
      <c r="F7007" s="4"/>
      <c r="G7007" s="4"/>
    </row>
    <row r="7008">
      <c r="A7008" s="4"/>
      <c r="B7008" s="4"/>
      <c r="C7008" s="4"/>
      <c r="D7008" s="4"/>
      <c r="E7008" s="4"/>
      <c r="F7008" s="4"/>
      <c r="G7008" s="4"/>
    </row>
    <row r="7009">
      <c r="A7009" s="4"/>
      <c r="B7009" s="4"/>
      <c r="C7009" s="4"/>
      <c r="D7009" s="4"/>
      <c r="E7009" s="13"/>
      <c r="F7009" s="4"/>
      <c r="G7009" s="4"/>
    </row>
    <row r="7010">
      <c r="A7010" s="4"/>
      <c r="B7010" s="4"/>
      <c r="C7010" s="4"/>
      <c r="D7010" s="4"/>
      <c r="E7010" s="4"/>
      <c r="F7010" s="4"/>
      <c r="G7010" s="4"/>
    </row>
    <row r="7011">
      <c r="A7011" s="4"/>
      <c r="B7011" s="4"/>
      <c r="C7011" s="4"/>
      <c r="D7011" s="13"/>
      <c r="E7011" s="4"/>
      <c r="F7011" s="4"/>
      <c r="G7011" s="4"/>
    </row>
    <row r="7012">
      <c r="A7012" s="4"/>
      <c r="B7012" s="4"/>
      <c r="C7012" s="4"/>
      <c r="D7012" s="4"/>
      <c r="E7012" s="13"/>
      <c r="F7012" s="4"/>
      <c r="G7012" s="4"/>
    </row>
    <row r="7013">
      <c r="A7013" s="4"/>
      <c r="B7013" s="4"/>
      <c r="C7013" s="4"/>
      <c r="D7013" s="4"/>
      <c r="E7013" s="4"/>
      <c r="F7013" s="4"/>
      <c r="G7013" s="4"/>
    </row>
    <row r="7014">
      <c r="A7014" s="4"/>
      <c r="B7014" s="4"/>
      <c r="C7014" s="4"/>
      <c r="D7014" s="4"/>
      <c r="E7014" s="13"/>
      <c r="F7014" s="4"/>
      <c r="G7014" s="4"/>
    </row>
    <row r="7015">
      <c r="A7015" s="4"/>
      <c r="B7015" s="4"/>
      <c r="C7015" s="4"/>
      <c r="D7015" s="4"/>
      <c r="E7015" s="4"/>
      <c r="F7015" s="4"/>
      <c r="G7015" s="4"/>
    </row>
    <row r="7016">
      <c r="A7016" s="4"/>
      <c r="B7016" s="4"/>
      <c r="C7016" s="4"/>
      <c r="D7016" s="4"/>
      <c r="E7016" s="4"/>
      <c r="F7016" s="4"/>
      <c r="G7016" s="4"/>
    </row>
    <row r="7017">
      <c r="A7017" s="4"/>
      <c r="B7017" s="4"/>
      <c r="C7017" s="4"/>
      <c r="D7017" s="4"/>
      <c r="E7017" s="4"/>
      <c r="F7017" s="4"/>
      <c r="G7017" s="4"/>
    </row>
    <row r="7018">
      <c r="A7018" s="4"/>
      <c r="B7018" s="4"/>
      <c r="C7018" s="4"/>
      <c r="D7018" s="4"/>
      <c r="E7018" s="4"/>
      <c r="F7018" s="4"/>
      <c r="G7018" s="4"/>
    </row>
    <row r="7019">
      <c r="A7019" s="4"/>
      <c r="B7019" s="4"/>
      <c r="C7019" s="4"/>
      <c r="D7019" s="4"/>
      <c r="E7019" s="4"/>
      <c r="F7019" s="4"/>
      <c r="G7019" s="4"/>
    </row>
    <row r="7020">
      <c r="A7020" s="4"/>
      <c r="B7020" s="4"/>
      <c r="C7020" s="4"/>
      <c r="D7020" s="4"/>
      <c r="E7020" s="13"/>
      <c r="F7020" s="4"/>
      <c r="G7020" s="4"/>
    </row>
    <row r="7021">
      <c r="A7021" s="4"/>
      <c r="B7021" s="4"/>
      <c r="C7021" s="4"/>
      <c r="D7021" s="4"/>
      <c r="E7021" s="4"/>
      <c r="F7021" s="4"/>
      <c r="G7021" s="4"/>
    </row>
    <row r="7022">
      <c r="A7022" s="4"/>
      <c r="B7022" s="4"/>
      <c r="C7022" s="4"/>
      <c r="D7022" s="4"/>
      <c r="E7022" s="13"/>
      <c r="F7022" s="4"/>
      <c r="G7022" s="4"/>
    </row>
    <row r="7023">
      <c r="A7023" s="4"/>
      <c r="B7023" s="4"/>
      <c r="C7023" s="4"/>
      <c r="D7023" s="13"/>
      <c r="E7023" s="13"/>
      <c r="F7023" s="4"/>
      <c r="G7023" s="4"/>
    </row>
    <row r="7024">
      <c r="A7024" s="4"/>
      <c r="B7024" s="4"/>
      <c r="C7024" s="4"/>
      <c r="D7024" s="4"/>
      <c r="E7024" s="4"/>
      <c r="F7024" s="4"/>
      <c r="G7024" s="4"/>
    </row>
    <row r="7025">
      <c r="A7025" s="4"/>
      <c r="B7025" s="4"/>
      <c r="C7025" s="4"/>
      <c r="D7025" s="4"/>
      <c r="E7025" s="4"/>
      <c r="F7025" s="4"/>
      <c r="G7025" s="4"/>
    </row>
    <row r="7026">
      <c r="A7026" s="4"/>
      <c r="B7026" s="4"/>
      <c r="C7026" s="4"/>
      <c r="D7026" s="4"/>
      <c r="E7026" s="13"/>
      <c r="F7026" s="4"/>
      <c r="G7026" s="4"/>
    </row>
    <row r="7027">
      <c r="A7027" s="4"/>
      <c r="B7027" s="4"/>
      <c r="C7027" s="4"/>
      <c r="D7027" s="4"/>
      <c r="E7027" s="4"/>
      <c r="F7027" s="4"/>
      <c r="G7027" s="4"/>
    </row>
    <row r="7028">
      <c r="A7028" s="4"/>
      <c r="B7028" s="4"/>
      <c r="C7028" s="4"/>
      <c r="D7028" s="4"/>
      <c r="E7028" s="4"/>
      <c r="F7028" s="4"/>
      <c r="G7028" s="4"/>
    </row>
    <row r="7029">
      <c r="A7029" s="4"/>
      <c r="B7029" s="4"/>
      <c r="C7029" s="4"/>
      <c r="D7029" s="4"/>
      <c r="E7029" s="4"/>
      <c r="F7029" s="4"/>
      <c r="G7029" s="4"/>
    </row>
    <row r="7030">
      <c r="A7030" s="4"/>
      <c r="B7030" s="4"/>
      <c r="C7030" s="4"/>
      <c r="D7030" s="4"/>
      <c r="E7030" s="4"/>
      <c r="F7030" s="4"/>
      <c r="G7030" s="4"/>
    </row>
    <row r="7031">
      <c r="A7031" s="4"/>
      <c r="B7031" s="4"/>
      <c r="C7031" s="4"/>
      <c r="D7031" s="4"/>
      <c r="E7031" s="4"/>
      <c r="F7031" s="4"/>
      <c r="G7031" s="4"/>
    </row>
    <row r="7032">
      <c r="A7032" s="4"/>
      <c r="B7032" s="4"/>
      <c r="C7032" s="4"/>
      <c r="D7032" s="4"/>
      <c r="E7032" s="13"/>
      <c r="F7032" s="4"/>
      <c r="G7032" s="4"/>
    </row>
    <row r="7033">
      <c r="A7033" s="4"/>
      <c r="B7033" s="4"/>
      <c r="C7033" s="4"/>
      <c r="D7033" s="13"/>
      <c r="E7033" s="13"/>
      <c r="F7033" s="4"/>
      <c r="G7033" s="4"/>
    </row>
    <row r="7034">
      <c r="A7034" s="4"/>
      <c r="B7034" s="4"/>
      <c r="C7034" s="4"/>
      <c r="D7034" s="4"/>
      <c r="E7034" s="4"/>
      <c r="F7034" s="4"/>
      <c r="G7034" s="4"/>
    </row>
    <row r="7035">
      <c r="A7035" s="4"/>
      <c r="B7035" s="4"/>
      <c r="C7035" s="4"/>
      <c r="D7035" s="4"/>
      <c r="E7035" s="4"/>
      <c r="F7035" s="4"/>
      <c r="G7035" s="4"/>
    </row>
    <row r="7036">
      <c r="A7036" s="4"/>
      <c r="B7036" s="4"/>
      <c r="C7036" s="4"/>
      <c r="D7036" s="4"/>
      <c r="E7036" s="4"/>
      <c r="F7036" s="4"/>
      <c r="G7036" s="4"/>
    </row>
    <row r="7037">
      <c r="A7037" s="4"/>
      <c r="B7037" s="4"/>
      <c r="C7037" s="4"/>
      <c r="D7037" s="4"/>
      <c r="E7037" s="4"/>
      <c r="F7037" s="4"/>
      <c r="G7037" s="4"/>
    </row>
    <row r="7038">
      <c r="A7038" s="4"/>
      <c r="B7038" s="4"/>
      <c r="C7038" s="4"/>
      <c r="D7038" s="4"/>
      <c r="E7038" s="4"/>
      <c r="F7038" s="4"/>
      <c r="G7038" s="4"/>
    </row>
    <row r="7039">
      <c r="A7039" s="4"/>
      <c r="B7039" s="4"/>
      <c r="C7039" s="4"/>
      <c r="D7039" s="4"/>
      <c r="E7039" s="13"/>
      <c r="F7039" s="4"/>
      <c r="G7039" s="4"/>
    </row>
    <row r="7040">
      <c r="A7040" s="4"/>
      <c r="B7040" s="4"/>
      <c r="C7040" s="4"/>
      <c r="D7040" s="4"/>
      <c r="E7040" s="4"/>
      <c r="F7040" s="4"/>
      <c r="G7040" s="4"/>
    </row>
    <row r="7041">
      <c r="A7041" s="4"/>
      <c r="B7041" s="4"/>
      <c r="C7041" s="4"/>
      <c r="D7041" s="4"/>
      <c r="E7041" s="4"/>
      <c r="F7041" s="4"/>
      <c r="G7041" s="4"/>
    </row>
    <row r="7042">
      <c r="A7042" s="4"/>
      <c r="B7042" s="4"/>
      <c r="C7042" s="4"/>
      <c r="D7042" s="4"/>
      <c r="E7042" s="13"/>
      <c r="F7042" s="4"/>
      <c r="G7042" s="4"/>
    </row>
    <row r="7043">
      <c r="A7043" s="4"/>
      <c r="B7043" s="4"/>
      <c r="C7043" s="4"/>
      <c r="D7043" s="4"/>
      <c r="E7043" s="4"/>
      <c r="F7043" s="4"/>
      <c r="G7043" s="4"/>
    </row>
    <row r="7044">
      <c r="A7044" s="4"/>
      <c r="B7044" s="4"/>
      <c r="C7044" s="4"/>
      <c r="D7044" s="4"/>
      <c r="E7044" s="4"/>
      <c r="F7044" s="4"/>
      <c r="G7044" s="4"/>
    </row>
    <row r="7045">
      <c r="A7045" s="4"/>
      <c r="B7045" s="4"/>
      <c r="C7045" s="4"/>
      <c r="D7045" s="4"/>
      <c r="E7045" s="4"/>
      <c r="F7045" s="4"/>
      <c r="G7045" s="4"/>
    </row>
    <row r="7046">
      <c r="A7046" s="4"/>
      <c r="B7046" s="4"/>
      <c r="C7046" s="4"/>
      <c r="D7046" s="4"/>
      <c r="E7046" s="4"/>
      <c r="F7046" s="4"/>
      <c r="G7046" s="4"/>
    </row>
    <row r="7047">
      <c r="A7047" s="4"/>
      <c r="B7047" s="4"/>
      <c r="C7047" s="4"/>
      <c r="D7047" s="4"/>
      <c r="E7047" s="4"/>
      <c r="F7047" s="4"/>
      <c r="G7047" s="4"/>
    </row>
    <row r="7048">
      <c r="A7048" s="4"/>
      <c r="B7048" s="4"/>
      <c r="C7048" s="4"/>
      <c r="D7048" s="4"/>
      <c r="E7048" s="4"/>
      <c r="F7048" s="4"/>
      <c r="G7048" s="4"/>
    </row>
    <row r="7049">
      <c r="A7049" s="4"/>
      <c r="B7049" s="4"/>
      <c r="C7049" s="4"/>
      <c r="D7049" s="4"/>
      <c r="E7049" s="13"/>
      <c r="F7049" s="4"/>
      <c r="G7049" s="4"/>
    </row>
    <row r="7050">
      <c r="A7050" s="4"/>
      <c r="B7050" s="4"/>
      <c r="C7050" s="4"/>
      <c r="D7050" s="4"/>
      <c r="E7050" s="4"/>
      <c r="F7050" s="4"/>
      <c r="G7050" s="4"/>
    </row>
    <row r="7051">
      <c r="A7051" s="4"/>
      <c r="B7051" s="4"/>
      <c r="C7051" s="4"/>
      <c r="D7051" s="4"/>
      <c r="E7051" s="4"/>
      <c r="F7051" s="4"/>
      <c r="G7051" s="4"/>
    </row>
    <row r="7052">
      <c r="A7052" s="4"/>
      <c r="B7052" s="4"/>
      <c r="C7052" s="4"/>
      <c r="D7052" s="4"/>
      <c r="E7052" s="13"/>
      <c r="F7052" s="4"/>
      <c r="G7052" s="4"/>
    </row>
    <row r="7053">
      <c r="A7053" s="4"/>
      <c r="B7053" s="4"/>
      <c r="C7053" s="4"/>
      <c r="D7053" s="4"/>
      <c r="E7053" s="4"/>
      <c r="F7053" s="4"/>
      <c r="G7053" s="4"/>
    </row>
    <row r="7054">
      <c r="A7054" s="4"/>
      <c r="B7054" s="4"/>
      <c r="C7054" s="4"/>
      <c r="D7054" s="4"/>
      <c r="E7054" s="4"/>
      <c r="F7054" s="4"/>
      <c r="G7054" s="4"/>
    </row>
    <row r="7055">
      <c r="A7055" s="4"/>
      <c r="B7055" s="4"/>
      <c r="C7055" s="4"/>
      <c r="D7055" s="4"/>
      <c r="E7055" s="4"/>
      <c r="F7055" s="4"/>
      <c r="G7055" s="4"/>
    </row>
    <row r="7056">
      <c r="A7056" s="4"/>
      <c r="B7056" s="4"/>
      <c r="C7056" s="4"/>
      <c r="D7056" s="4"/>
      <c r="E7056" s="4"/>
      <c r="F7056" s="4"/>
      <c r="G7056" s="4"/>
    </row>
    <row r="7057">
      <c r="A7057" s="4"/>
      <c r="B7057" s="4"/>
      <c r="C7057" s="4"/>
      <c r="D7057" s="4"/>
      <c r="E7057" s="4"/>
      <c r="F7057" s="4"/>
      <c r="G7057" s="4"/>
    </row>
    <row r="7058">
      <c r="A7058" s="4"/>
      <c r="B7058" s="4"/>
      <c r="C7058" s="4"/>
      <c r="D7058" s="4"/>
      <c r="E7058" s="4"/>
      <c r="F7058" s="4"/>
      <c r="G7058" s="4"/>
    </row>
    <row r="7059">
      <c r="A7059" s="4"/>
      <c r="B7059" s="4"/>
      <c r="C7059" s="4"/>
      <c r="D7059" s="4"/>
      <c r="E7059" s="13"/>
      <c r="F7059" s="4"/>
      <c r="G7059" s="4"/>
    </row>
    <row r="7060">
      <c r="A7060" s="4"/>
      <c r="B7060" s="4"/>
      <c r="C7060" s="4"/>
      <c r="D7060" s="4"/>
      <c r="E7060" s="4"/>
      <c r="F7060" s="4"/>
      <c r="G7060" s="4"/>
    </row>
    <row r="7061">
      <c r="A7061" s="4"/>
      <c r="B7061" s="4"/>
      <c r="C7061" s="4"/>
      <c r="D7061" s="4"/>
      <c r="E7061" s="4"/>
      <c r="F7061" s="4"/>
      <c r="G7061" s="4"/>
    </row>
    <row r="7062">
      <c r="A7062" s="4"/>
      <c r="B7062" s="4"/>
      <c r="C7062" s="4"/>
      <c r="D7062" s="4"/>
      <c r="E7062" s="4"/>
      <c r="F7062" s="4"/>
      <c r="G7062" s="4"/>
    </row>
    <row r="7063">
      <c r="A7063" s="4"/>
      <c r="B7063" s="4"/>
      <c r="C7063" s="4"/>
      <c r="D7063" s="4"/>
      <c r="E7063" s="13"/>
      <c r="F7063" s="4"/>
      <c r="G7063" s="4"/>
    </row>
    <row r="7064">
      <c r="A7064" s="4"/>
      <c r="B7064" s="4"/>
      <c r="C7064" s="4"/>
      <c r="D7064" s="4"/>
      <c r="E7064" s="4"/>
      <c r="F7064" s="4"/>
      <c r="G7064" s="4"/>
    </row>
    <row r="7065">
      <c r="A7065" s="4"/>
      <c r="B7065" s="4"/>
      <c r="C7065" s="4"/>
      <c r="D7065" s="4"/>
      <c r="E7065" s="4"/>
      <c r="F7065" s="4"/>
      <c r="G7065" s="4"/>
    </row>
    <row r="7066">
      <c r="A7066" s="4"/>
      <c r="B7066" s="4"/>
      <c r="C7066" s="4"/>
      <c r="D7066" s="4"/>
      <c r="E7066" s="4"/>
      <c r="F7066" s="4"/>
      <c r="G7066" s="4"/>
    </row>
    <row r="7067">
      <c r="A7067" s="4"/>
      <c r="B7067" s="4"/>
      <c r="C7067" s="4"/>
      <c r="D7067" s="4"/>
      <c r="E7067" s="4"/>
      <c r="F7067" s="4"/>
      <c r="G7067" s="4"/>
    </row>
    <row r="7068">
      <c r="A7068" s="4"/>
      <c r="B7068" s="4"/>
      <c r="C7068" s="4"/>
      <c r="D7068" s="4"/>
      <c r="E7068" s="4"/>
      <c r="F7068" s="4"/>
      <c r="G7068" s="4"/>
    </row>
    <row r="7069">
      <c r="A7069" s="4"/>
      <c r="B7069" s="4"/>
      <c r="C7069" s="4"/>
      <c r="D7069" s="4"/>
      <c r="E7069" s="4"/>
      <c r="F7069" s="4"/>
      <c r="G7069" s="4"/>
    </row>
    <row r="7070">
      <c r="A7070" s="4"/>
      <c r="B7070" s="4"/>
      <c r="C7070" s="4"/>
      <c r="D7070" s="4"/>
      <c r="E7070" s="13"/>
      <c r="F7070" s="4"/>
      <c r="G7070" s="4"/>
    </row>
    <row r="7071">
      <c r="A7071" s="4"/>
      <c r="B7071" s="4"/>
      <c r="C7071" s="4"/>
      <c r="D7071" s="4"/>
      <c r="E7071" s="4"/>
      <c r="F7071" s="4"/>
      <c r="G7071" s="4"/>
    </row>
    <row r="7072">
      <c r="A7072" s="4"/>
      <c r="B7072" s="4"/>
      <c r="C7072" s="4"/>
      <c r="D7072" s="4"/>
      <c r="E7072" s="4"/>
      <c r="F7072" s="4"/>
      <c r="G7072" s="4"/>
    </row>
    <row r="7073">
      <c r="A7073" s="4"/>
      <c r="B7073" s="4"/>
      <c r="C7073" s="4"/>
      <c r="D7073" s="4"/>
      <c r="E7073" s="4"/>
      <c r="F7073" s="4"/>
      <c r="G7073" s="4"/>
    </row>
    <row r="7074">
      <c r="A7074" s="4"/>
      <c r="B7074" s="4"/>
      <c r="C7074" s="4"/>
      <c r="D7074" s="4"/>
      <c r="E7074" s="13"/>
      <c r="F7074" s="4"/>
      <c r="G7074" s="4"/>
    </row>
    <row r="7075">
      <c r="A7075" s="4"/>
      <c r="B7075" s="4"/>
      <c r="C7075" s="4"/>
      <c r="D7075" s="4"/>
      <c r="E7075" s="4"/>
      <c r="F7075" s="4"/>
      <c r="G7075" s="4"/>
    </row>
    <row r="7076">
      <c r="A7076" s="4"/>
      <c r="B7076" s="4"/>
      <c r="C7076" s="4"/>
      <c r="D7076" s="4"/>
      <c r="E7076" s="13"/>
      <c r="F7076" s="4"/>
      <c r="G7076" s="4"/>
    </row>
    <row r="7077">
      <c r="A7077" s="4"/>
      <c r="B7077" s="4"/>
      <c r="C7077" s="4"/>
      <c r="D7077" s="4"/>
      <c r="E7077" s="4"/>
      <c r="F7077" s="4"/>
      <c r="G7077" s="4"/>
    </row>
    <row r="7078">
      <c r="A7078" s="4"/>
      <c r="B7078" s="4"/>
      <c r="C7078" s="4"/>
      <c r="D7078" s="4"/>
      <c r="E7078" s="4"/>
      <c r="F7078" s="4"/>
      <c r="G7078" s="4"/>
    </row>
    <row r="7079">
      <c r="A7079" s="4"/>
      <c r="B7079" s="4"/>
      <c r="C7079" s="4"/>
      <c r="D7079" s="4"/>
      <c r="E7079" s="4"/>
      <c r="F7079" s="4"/>
      <c r="G7079" s="4"/>
    </row>
    <row r="7080">
      <c r="A7080" s="4"/>
      <c r="B7080" s="4"/>
      <c r="C7080" s="4"/>
      <c r="D7080" s="4"/>
      <c r="E7080" s="4"/>
      <c r="F7080" s="4"/>
      <c r="G7080" s="4"/>
    </row>
    <row r="7081">
      <c r="A7081" s="4"/>
      <c r="B7081" s="4"/>
      <c r="C7081" s="4"/>
      <c r="D7081" s="4"/>
      <c r="E7081" s="4"/>
      <c r="F7081" s="4"/>
      <c r="G7081" s="4"/>
    </row>
    <row r="7082">
      <c r="A7082" s="4"/>
      <c r="B7082" s="4"/>
      <c r="C7082" s="4"/>
      <c r="D7082" s="4"/>
      <c r="E7082" s="4"/>
      <c r="F7082" s="4"/>
      <c r="G7082" s="4"/>
    </row>
    <row r="7083">
      <c r="A7083" s="4"/>
      <c r="B7083" s="4"/>
      <c r="C7083" s="4"/>
      <c r="D7083" s="4"/>
      <c r="E7083" s="4"/>
      <c r="F7083" s="4"/>
      <c r="G7083" s="4"/>
    </row>
    <row r="7084">
      <c r="A7084" s="4"/>
      <c r="B7084" s="4"/>
      <c r="C7084" s="4"/>
      <c r="D7084" s="4"/>
      <c r="E7084" s="4"/>
      <c r="F7084" s="4"/>
      <c r="G7084" s="4"/>
    </row>
    <row r="7085">
      <c r="A7085" s="4"/>
      <c r="B7085" s="4"/>
      <c r="C7085" s="4"/>
      <c r="D7085" s="4"/>
      <c r="E7085" s="13"/>
      <c r="F7085" s="4"/>
      <c r="G7085" s="4"/>
    </row>
    <row r="7086">
      <c r="A7086" s="4"/>
      <c r="B7086" s="4"/>
      <c r="C7086" s="4"/>
      <c r="D7086" s="4"/>
      <c r="E7086" s="4"/>
      <c r="F7086" s="4"/>
      <c r="G7086" s="4"/>
    </row>
    <row r="7087">
      <c r="A7087" s="4"/>
      <c r="B7087" s="4"/>
      <c r="C7087" s="4"/>
      <c r="D7087" s="4"/>
      <c r="E7087" s="13"/>
      <c r="F7087" s="4"/>
      <c r="G7087" s="4"/>
    </row>
    <row r="7088">
      <c r="A7088" s="4"/>
      <c r="B7088" s="4"/>
      <c r="C7088" s="4"/>
      <c r="D7088" s="4"/>
      <c r="E7088" s="4"/>
      <c r="F7088" s="4"/>
      <c r="G7088" s="4"/>
    </row>
    <row r="7089">
      <c r="A7089" s="4"/>
      <c r="B7089" s="4"/>
      <c r="C7089" s="4"/>
      <c r="D7089" s="4"/>
      <c r="E7089" s="4"/>
      <c r="F7089" s="4"/>
      <c r="G7089" s="4"/>
    </row>
    <row r="7090">
      <c r="A7090" s="4"/>
      <c r="B7090" s="4"/>
      <c r="C7090" s="4"/>
      <c r="D7090" s="4"/>
      <c r="E7090" s="4"/>
      <c r="F7090" s="4"/>
      <c r="G7090" s="4"/>
    </row>
    <row r="7091">
      <c r="A7091" s="4"/>
      <c r="B7091" s="4"/>
      <c r="C7091" s="4"/>
      <c r="D7091" s="4"/>
      <c r="E7091" s="13"/>
      <c r="F7091" s="4"/>
      <c r="G7091" s="4"/>
    </row>
    <row r="7092">
      <c r="A7092" s="4"/>
      <c r="B7092" s="4"/>
      <c r="C7092" s="4"/>
      <c r="D7092" s="4"/>
      <c r="E7092" s="4"/>
      <c r="F7092" s="4"/>
      <c r="G7092" s="4"/>
    </row>
    <row r="7093">
      <c r="A7093" s="4"/>
      <c r="B7093" s="4"/>
      <c r="C7093" s="4"/>
      <c r="D7093" s="4"/>
      <c r="E7093" s="4"/>
      <c r="F7093" s="4"/>
      <c r="G7093" s="4"/>
    </row>
    <row r="7094">
      <c r="A7094" s="4"/>
      <c r="B7094" s="4"/>
      <c r="C7094" s="4"/>
      <c r="D7094" s="4"/>
      <c r="E7094" s="4"/>
      <c r="F7094" s="4"/>
      <c r="G7094" s="4"/>
    </row>
    <row r="7095">
      <c r="A7095" s="4"/>
      <c r="B7095" s="4"/>
      <c r="C7095" s="4"/>
      <c r="D7095" s="4"/>
      <c r="E7095" s="4"/>
      <c r="F7095" s="4"/>
      <c r="G7095" s="4"/>
    </row>
    <row r="7096">
      <c r="A7096" s="4"/>
      <c r="B7096" s="4"/>
      <c r="C7096" s="4"/>
      <c r="D7096" s="4"/>
      <c r="E7096" s="4"/>
      <c r="F7096" s="4"/>
      <c r="G7096" s="4"/>
    </row>
    <row r="7097">
      <c r="A7097" s="4"/>
      <c r="B7097" s="4"/>
      <c r="C7097" s="4"/>
      <c r="D7097" s="4"/>
      <c r="E7097" s="4"/>
      <c r="F7097" s="4"/>
      <c r="G7097" s="4"/>
    </row>
    <row r="7098">
      <c r="A7098" s="4"/>
      <c r="B7098" s="4"/>
      <c r="C7098" s="4"/>
      <c r="D7098" s="4"/>
      <c r="E7098" s="13"/>
      <c r="F7098" s="4"/>
      <c r="G7098" s="4"/>
    </row>
    <row r="7099">
      <c r="A7099" s="4"/>
      <c r="B7099" s="4"/>
      <c r="C7099" s="4"/>
      <c r="D7099" s="4"/>
      <c r="E7099" s="4"/>
      <c r="F7099" s="4"/>
      <c r="G7099" s="4"/>
    </row>
    <row r="7100">
      <c r="A7100" s="4"/>
      <c r="B7100" s="4"/>
      <c r="C7100" s="4"/>
      <c r="D7100" s="4"/>
      <c r="E7100" s="4"/>
      <c r="F7100" s="4"/>
      <c r="G7100" s="4"/>
    </row>
    <row r="7101">
      <c r="A7101" s="4"/>
      <c r="B7101" s="4"/>
      <c r="C7101" s="4"/>
      <c r="D7101" s="4"/>
      <c r="E7101" s="13"/>
      <c r="F7101" s="4"/>
      <c r="G7101" s="4"/>
    </row>
    <row r="7102">
      <c r="A7102" s="4"/>
      <c r="B7102" s="4"/>
      <c r="C7102" s="4"/>
      <c r="D7102" s="4"/>
      <c r="E7102" s="4"/>
      <c r="F7102" s="4"/>
      <c r="G7102" s="4"/>
    </row>
    <row r="7103">
      <c r="A7103" s="4"/>
      <c r="B7103" s="4"/>
      <c r="C7103" s="4"/>
      <c r="D7103" s="4"/>
      <c r="E7103" s="4"/>
      <c r="F7103" s="4"/>
      <c r="G7103" s="4"/>
    </row>
    <row r="7104">
      <c r="A7104" s="4"/>
      <c r="B7104" s="4"/>
      <c r="C7104" s="4"/>
      <c r="D7104" s="4"/>
      <c r="E7104" s="13"/>
      <c r="F7104" s="4"/>
      <c r="G7104" s="4"/>
    </row>
    <row r="7105">
      <c r="A7105" s="4"/>
      <c r="B7105" s="4"/>
      <c r="C7105" s="4"/>
      <c r="D7105" s="4"/>
      <c r="E7105" s="4"/>
      <c r="F7105" s="4"/>
      <c r="G7105" s="4"/>
    </row>
    <row r="7106">
      <c r="A7106" s="4"/>
      <c r="B7106" s="4"/>
      <c r="C7106" s="4"/>
      <c r="D7106" s="4"/>
      <c r="E7106" s="13"/>
      <c r="F7106" s="4"/>
      <c r="G7106" s="4"/>
    </row>
    <row r="7107">
      <c r="A7107" s="4"/>
      <c r="B7107" s="4"/>
      <c r="C7107" s="4"/>
      <c r="D7107" s="4"/>
      <c r="E7107" s="4"/>
      <c r="F7107" s="4"/>
      <c r="G7107" s="4"/>
    </row>
    <row r="7108">
      <c r="A7108" s="4"/>
      <c r="B7108" s="4"/>
      <c r="C7108" s="4"/>
      <c r="D7108" s="4"/>
      <c r="E7108" s="4"/>
      <c r="F7108" s="4"/>
      <c r="G7108" s="4"/>
    </row>
    <row r="7109">
      <c r="A7109" s="4"/>
      <c r="B7109" s="4"/>
      <c r="C7109" s="4"/>
      <c r="D7109" s="4"/>
      <c r="E7109" s="4"/>
      <c r="F7109" s="4"/>
      <c r="G7109" s="4"/>
    </row>
    <row r="7110">
      <c r="A7110" s="4"/>
      <c r="B7110" s="4"/>
      <c r="C7110" s="4"/>
      <c r="D7110" s="4"/>
      <c r="E7110" s="4"/>
      <c r="F7110" s="4"/>
      <c r="G7110" s="4"/>
    </row>
    <row r="7111">
      <c r="A7111" s="4"/>
      <c r="B7111" s="4"/>
      <c r="C7111" s="4"/>
      <c r="D7111" s="4"/>
      <c r="E7111" s="4"/>
      <c r="F7111" s="4"/>
      <c r="G7111" s="4"/>
    </row>
    <row r="7112">
      <c r="A7112" s="4"/>
      <c r="B7112" s="4"/>
      <c r="C7112" s="4"/>
      <c r="D7112" s="4"/>
      <c r="E7112" s="4"/>
      <c r="F7112" s="4"/>
      <c r="G7112" s="4"/>
    </row>
    <row r="7113">
      <c r="A7113" s="4"/>
      <c r="B7113" s="4"/>
      <c r="C7113" s="4"/>
      <c r="D7113" s="4"/>
      <c r="E7113" s="13"/>
      <c r="F7113" s="4"/>
      <c r="G7113" s="4"/>
    </row>
    <row r="7114">
      <c r="A7114" s="4"/>
      <c r="B7114" s="4"/>
      <c r="C7114" s="4"/>
      <c r="D7114" s="4"/>
      <c r="E7114" s="4"/>
      <c r="F7114" s="4"/>
      <c r="G7114" s="4"/>
    </row>
    <row r="7115">
      <c r="A7115" s="4"/>
      <c r="B7115" s="4"/>
      <c r="C7115" s="4"/>
      <c r="D7115" s="4"/>
      <c r="E7115" s="4"/>
      <c r="F7115" s="4"/>
      <c r="G7115" s="4"/>
    </row>
    <row r="7116">
      <c r="A7116" s="4"/>
      <c r="B7116" s="4"/>
      <c r="C7116" s="4"/>
      <c r="D7116" s="4"/>
      <c r="E7116" s="13"/>
      <c r="F7116" s="4"/>
      <c r="G7116" s="4"/>
    </row>
    <row r="7117">
      <c r="A7117" s="4"/>
      <c r="B7117" s="4"/>
      <c r="C7117" s="4"/>
      <c r="D7117" s="4"/>
      <c r="E7117" s="4"/>
      <c r="F7117" s="4"/>
      <c r="G7117" s="4"/>
    </row>
    <row r="7118">
      <c r="A7118" s="4"/>
      <c r="B7118" s="4"/>
      <c r="C7118" s="4"/>
      <c r="D7118" s="4"/>
      <c r="E7118" s="4"/>
      <c r="F7118" s="4"/>
      <c r="G7118" s="4"/>
    </row>
    <row r="7119">
      <c r="A7119" s="4"/>
      <c r="B7119" s="4"/>
      <c r="C7119" s="4"/>
      <c r="D7119" s="4"/>
      <c r="E7119" s="4"/>
      <c r="F7119" s="4"/>
      <c r="G7119" s="4"/>
    </row>
    <row r="7120">
      <c r="A7120" s="4"/>
      <c r="B7120" s="4"/>
      <c r="C7120" s="4"/>
      <c r="D7120" s="4"/>
      <c r="E7120" s="4"/>
      <c r="F7120" s="4"/>
      <c r="G7120" s="4"/>
    </row>
    <row r="7121">
      <c r="A7121" s="4"/>
      <c r="B7121" s="4"/>
      <c r="C7121" s="4"/>
      <c r="D7121" s="4"/>
      <c r="E7121" s="4"/>
      <c r="F7121" s="4"/>
      <c r="G7121" s="4"/>
    </row>
    <row r="7122">
      <c r="A7122" s="4"/>
      <c r="B7122" s="4"/>
      <c r="C7122" s="4"/>
      <c r="D7122" s="4"/>
      <c r="E7122" s="4"/>
      <c r="F7122" s="4"/>
      <c r="G7122" s="4"/>
    </row>
    <row r="7123">
      <c r="A7123" s="4"/>
      <c r="B7123" s="4"/>
      <c r="C7123" s="4"/>
      <c r="D7123" s="4"/>
      <c r="E7123" s="4"/>
      <c r="F7123" s="4"/>
      <c r="G7123" s="4"/>
    </row>
    <row r="7124">
      <c r="A7124" s="4"/>
      <c r="B7124" s="4"/>
      <c r="C7124" s="4"/>
      <c r="D7124" s="4"/>
      <c r="E7124" s="13"/>
      <c r="F7124" s="4"/>
      <c r="G7124" s="4"/>
    </row>
    <row r="7125">
      <c r="A7125" s="4"/>
      <c r="B7125" s="4"/>
      <c r="C7125" s="4"/>
      <c r="D7125" s="4"/>
      <c r="E7125" s="13"/>
      <c r="F7125" s="4"/>
      <c r="G7125" s="4"/>
    </row>
    <row r="7126">
      <c r="A7126" s="4"/>
      <c r="B7126" s="4"/>
      <c r="C7126" s="4"/>
      <c r="D7126" s="4"/>
      <c r="E7126" s="4"/>
      <c r="F7126" s="4"/>
      <c r="G7126" s="4"/>
    </row>
    <row r="7127">
      <c r="A7127" s="4"/>
      <c r="B7127" s="4"/>
      <c r="C7127" s="4"/>
      <c r="D7127" s="4"/>
      <c r="E7127" s="4"/>
      <c r="F7127" s="4"/>
      <c r="G7127" s="4"/>
    </row>
    <row r="7128">
      <c r="A7128" s="4"/>
      <c r="B7128" s="4"/>
      <c r="C7128" s="4"/>
      <c r="D7128" s="4"/>
      <c r="E7128" s="13"/>
      <c r="F7128" s="4"/>
      <c r="G7128" s="4"/>
    </row>
    <row r="7129">
      <c r="A7129" s="4"/>
      <c r="B7129" s="4"/>
      <c r="C7129" s="4"/>
      <c r="D7129" s="4"/>
      <c r="E7129" s="4"/>
      <c r="F7129" s="4"/>
      <c r="G7129" s="4"/>
    </row>
    <row r="7130">
      <c r="A7130" s="4"/>
      <c r="B7130" s="4"/>
      <c r="C7130" s="4"/>
      <c r="D7130" s="4"/>
      <c r="E7130" s="4"/>
      <c r="F7130" s="4"/>
      <c r="G7130" s="4"/>
    </row>
    <row r="7131">
      <c r="A7131" s="4"/>
      <c r="B7131" s="4"/>
      <c r="C7131" s="4"/>
      <c r="D7131" s="4"/>
      <c r="E7131" s="4"/>
      <c r="F7131" s="4"/>
      <c r="G7131" s="4"/>
    </row>
    <row r="7132">
      <c r="A7132" s="4"/>
      <c r="B7132" s="4"/>
      <c r="C7132" s="4"/>
      <c r="D7132" s="13"/>
      <c r="E7132" s="13"/>
      <c r="F7132" s="4"/>
      <c r="G7132" s="4"/>
    </row>
    <row r="7133">
      <c r="A7133" s="4"/>
      <c r="B7133" s="4"/>
      <c r="C7133" s="4"/>
      <c r="D7133" s="4"/>
      <c r="E7133" s="4"/>
      <c r="F7133" s="4"/>
      <c r="G7133" s="4"/>
    </row>
    <row r="7134">
      <c r="A7134" s="4"/>
      <c r="B7134" s="4"/>
      <c r="C7134" s="4"/>
      <c r="D7134" s="4"/>
      <c r="E7134" s="13"/>
      <c r="F7134" s="4"/>
      <c r="G7134" s="4"/>
    </row>
    <row r="7135">
      <c r="A7135" s="4"/>
      <c r="B7135" s="4"/>
      <c r="C7135" s="4"/>
      <c r="D7135" s="4"/>
      <c r="E7135" s="4"/>
      <c r="F7135" s="4"/>
      <c r="G7135" s="4"/>
    </row>
    <row r="7136">
      <c r="A7136" s="4"/>
      <c r="B7136" s="4"/>
      <c r="C7136" s="4"/>
      <c r="D7136" s="4"/>
      <c r="E7136" s="13"/>
      <c r="F7136" s="4"/>
      <c r="G7136" s="4"/>
    </row>
    <row r="7137">
      <c r="A7137" s="4"/>
      <c r="B7137" s="4"/>
      <c r="C7137" s="4"/>
      <c r="D7137" s="13"/>
      <c r="E7137" s="13"/>
      <c r="F7137" s="4"/>
      <c r="G7137" s="4"/>
    </row>
    <row r="7138">
      <c r="A7138" s="4"/>
      <c r="B7138" s="4"/>
      <c r="C7138" s="4"/>
      <c r="D7138" s="4"/>
      <c r="E7138" s="4"/>
      <c r="F7138" s="4"/>
      <c r="G7138" s="4"/>
    </row>
    <row r="7139">
      <c r="A7139" s="4"/>
      <c r="B7139" s="4"/>
      <c r="C7139" s="4"/>
      <c r="D7139" s="4"/>
      <c r="E7139" s="4"/>
      <c r="F7139" s="4"/>
      <c r="G7139" s="4"/>
    </row>
    <row r="7140">
      <c r="A7140" s="4"/>
      <c r="B7140" s="4"/>
      <c r="C7140" s="4"/>
      <c r="D7140" s="4"/>
      <c r="E7140" s="4"/>
      <c r="F7140" s="4"/>
      <c r="G7140" s="4"/>
    </row>
    <row r="7141">
      <c r="A7141" s="4"/>
      <c r="B7141" s="4"/>
      <c r="C7141" s="4"/>
      <c r="D7141" s="4"/>
      <c r="E7141" s="4"/>
      <c r="F7141" s="4"/>
      <c r="G7141" s="4"/>
    </row>
    <row r="7142">
      <c r="A7142" s="4"/>
      <c r="B7142" s="4"/>
      <c r="C7142" s="4"/>
      <c r="D7142" s="4"/>
      <c r="E7142" s="4"/>
      <c r="F7142" s="4"/>
      <c r="G7142" s="4"/>
    </row>
    <row r="7143">
      <c r="A7143" s="4"/>
      <c r="B7143" s="4"/>
      <c r="C7143" s="4"/>
      <c r="D7143" s="4"/>
      <c r="E7143" s="4"/>
      <c r="F7143" s="4"/>
      <c r="G7143" s="4"/>
    </row>
    <row r="7144">
      <c r="A7144" s="4"/>
      <c r="B7144" s="4"/>
      <c r="C7144" s="4"/>
      <c r="D7144" s="4"/>
      <c r="E7144" s="13"/>
      <c r="F7144" s="4"/>
      <c r="G7144" s="4"/>
    </row>
    <row r="7145">
      <c r="A7145" s="4"/>
      <c r="B7145" s="4"/>
      <c r="C7145" s="4"/>
      <c r="D7145" s="4"/>
      <c r="E7145" s="4"/>
      <c r="F7145" s="4"/>
      <c r="G7145" s="4"/>
    </row>
    <row r="7146">
      <c r="A7146" s="4"/>
      <c r="B7146" s="4"/>
      <c r="C7146" s="4"/>
      <c r="D7146" s="4"/>
      <c r="E7146" s="4"/>
      <c r="F7146" s="4"/>
      <c r="G7146" s="4"/>
    </row>
    <row r="7147">
      <c r="A7147" s="4"/>
      <c r="B7147" s="4"/>
      <c r="C7147" s="4"/>
      <c r="D7147" s="4"/>
      <c r="E7147" s="13"/>
      <c r="F7147" s="4"/>
      <c r="G7147" s="4"/>
    </row>
    <row r="7148">
      <c r="A7148" s="4"/>
      <c r="B7148" s="4"/>
      <c r="C7148" s="4"/>
      <c r="D7148" s="4"/>
      <c r="E7148" s="4"/>
      <c r="F7148" s="4"/>
      <c r="G7148" s="4"/>
    </row>
    <row r="7149">
      <c r="A7149" s="4"/>
      <c r="B7149" s="4"/>
      <c r="C7149" s="4"/>
      <c r="D7149" s="4"/>
      <c r="E7149" s="13"/>
      <c r="F7149" s="4"/>
      <c r="G7149" s="4"/>
    </row>
    <row r="7150">
      <c r="A7150" s="4"/>
      <c r="B7150" s="4"/>
      <c r="C7150" s="4"/>
      <c r="D7150" s="13"/>
      <c r="E7150" s="13"/>
      <c r="F7150" s="4"/>
      <c r="G7150" s="4"/>
    </row>
    <row r="7151">
      <c r="A7151" s="4"/>
      <c r="B7151" s="4"/>
      <c r="C7151" s="4"/>
      <c r="D7151" s="4"/>
      <c r="E7151" s="4"/>
      <c r="F7151" s="4"/>
      <c r="G7151" s="4"/>
    </row>
    <row r="7152">
      <c r="A7152" s="4"/>
      <c r="B7152" s="4"/>
      <c r="C7152" s="4"/>
      <c r="D7152" s="4"/>
      <c r="E7152" s="4"/>
      <c r="F7152" s="4"/>
      <c r="G7152" s="4"/>
    </row>
    <row r="7153">
      <c r="A7153" s="4"/>
      <c r="B7153" s="4"/>
      <c r="C7153" s="4"/>
      <c r="D7153" s="4"/>
      <c r="E7153" s="4"/>
      <c r="F7153" s="4"/>
      <c r="G7153" s="4"/>
    </row>
    <row r="7154">
      <c r="A7154" s="4"/>
      <c r="B7154" s="4"/>
      <c r="C7154" s="4"/>
      <c r="D7154" s="4"/>
      <c r="E7154" s="4"/>
      <c r="F7154" s="4"/>
      <c r="G7154" s="4"/>
    </row>
    <row r="7155">
      <c r="A7155" s="4"/>
      <c r="B7155" s="4"/>
      <c r="C7155" s="4"/>
      <c r="D7155" s="4"/>
      <c r="E7155" s="4"/>
      <c r="F7155" s="4"/>
      <c r="G7155" s="4"/>
    </row>
    <row r="7156">
      <c r="A7156" s="4"/>
      <c r="B7156" s="4"/>
      <c r="C7156" s="4"/>
      <c r="D7156" s="4"/>
      <c r="E7156" s="13"/>
      <c r="F7156" s="4"/>
      <c r="G7156" s="4"/>
    </row>
    <row r="7157">
      <c r="A7157" s="4"/>
      <c r="B7157" s="4"/>
      <c r="C7157" s="4"/>
      <c r="D7157" s="4"/>
      <c r="E7157" s="4"/>
      <c r="F7157" s="4"/>
      <c r="G7157" s="4"/>
    </row>
    <row r="7158">
      <c r="A7158" s="4"/>
      <c r="B7158" s="4"/>
      <c r="C7158" s="4"/>
      <c r="D7158" s="4"/>
      <c r="E7158" s="4"/>
      <c r="F7158" s="4"/>
      <c r="G7158" s="4"/>
    </row>
    <row r="7159">
      <c r="A7159" s="4"/>
      <c r="B7159" s="4"/>
      <c r="C7159" s="4"/>
      <c r="D7159" s="4"/>
      <c r="E7159" s="13"/>
      <c r="F7159" s="4"/>
      <c r="G7159" s="4"/>
    </row>
    <row r="7160">
      <c r="A7160" s="4"/>
      <c r="B7160" s="4"/>
      <c r="C7160" s="4"/>
      <c r="D7160" s="13"/>
      <c r="E7160" s="13"/>
      <c r="F7160" s="4"/>
      <c r="G7160" s="4"/>
    </row>
    <row r="7161">
      <c r="A7161" s="4"/>
      <c r="B7161" s="4"/>
      <c r="C7161" s="4"/>
      <c r="D7161" s="4"/>
      <c r="E7161" s="4"/>
      <c r="F7161" s="4"/>
      <c r="G7161" s="4"/>
    </row>
    <row r="7162">
      <c r="A7162" s="4"/>
      <c r="B7162" s="4"/>
      <c r="C7162" s="4"/>
      <c r="D7162" s="4"/>
      <c r="E7162" s="4"/>
      <c r="F7162" s="4"/>
      <c r="G7162" s="4"/>
    </row>
    <row r="7163">
      <c r="A7163" s="4"/>
      <c r="B7163" s="4"/>
      <c r="C7163" s="4"/>
      <c r="D7163" s="4"/>
      <c r="E7163" s="4"/>
      <c r="F7163" s="4"/>
      <c r="G7163" s="4"/>
    </row>
    <row r="7164">
      <c r="A7164" s="4"/>
      <c r="B7164" s="4"/>
      <c r="C7164" s="4"/>
      <c r="D7164" s="4"/>
      <c r="E7164" s="4"/>
      <c r="F7164" s="4"/>
      <c r="G7164" s="4"/>
    </row>
    <row r="7165">
      <c r="A7165" s="4"/>
      <c r="B7165" s="4"/>
      <c r="C7165" s="4"/>
      <c r="D7165" s="4"/>
      <c r="E7165" s="4"/>
      <c r="F7165" s="4"/>
      <c r="G7165" s="4"/>
    </row>
    <row r="7166">
      <c r="A7166" s="4"/>
      <c r="B7166" s="4"/>
      <c r="C7166" s="4"/>
      <c r="D7166" s="4"/>
      <c r="E7166" s="4"/>
      <c r="F7166" s="4"/>
      <c r="G7166" s="4"/>
    </row>
    <row r="7167">
      <c r="A7167" s="4"/>
      <c r="B7167" s="4"/>
      <c r="C7167" s="4"/>
      <c r="D7167" s="4"/>
      <c r="E7167" s="13"/>
      <c r="F7167" s="4"/>
      <c r="G7167" s="4"/>
    </row>
    <row r="7168">
      <c r="A7168" s="4"/>
      <c r="B7168" s="4"/>
      <c r="C7168" s="4"/>
      <c r="D7168" s="4"/>
      <c r="E7168" s="4"/>
      <c r="F7168" s="4"/>
      <c r="G7168" s="4"/>
    </row>
    <row r="7169">
      <c r="A7169" s="4"/>
      <c r="B7169" s="4"/>
      <c r="C7169" s="4"/>
      <c r="D7169" s="4"/>
      <c r="E7169" s="13"/>
      <c r="F7169" s="4"/>
      <c r="G7169" s="4"/>
    </row>
    <row r="7170">
      <c r="A7170" s="4"/>
      <c r="B7170" s="4"/>
      <c r="C7170" s="4"/>
      <c r="D7170" s="4"/>
      <c r="E7170" s="4"/>
      <c r="F7170" s="4"/>
      <c r="G7170" s="4"/>
    </row>
    <row r="7171">
      <c r="A7171" s="4"/>
      <c r="B7171" s="4"/>
      <c r="C7171" s="4"/>
      <c r="D7171" s="4"/>
      <c r="E7171" s="4"/>
      <c r="F7171" s="4"/>
      <c r="G7171" s="4"/>
    </row>
    <row r="7172">
      <c r="A7172" s="4"/>
      <c r="B7172" s="4"/>
      <c r="C7172" s="4"/>
      <c r="D7172" s="4"/>
      <c r="E7172" s="4"/>
      <c r="F7172" s="4"/>
      <c r="G7172" s="4"/>
    </row>
    <row r="7173">
      <c r="A7173" s="4"/>
      <c r="B7173" s="4"/>
      <c r="C7173" s="4"/>
      <c r="D7173" s="4"/>
      <c r="E7173" s="4"/>
      <c r="F7173" s="4"/>
      <c r="G7173" s="4"/>
    </row>
    <row r="7174">
      <c r="A7174" s="4"/>
      <c r="B7174" s="4"/>
      <c r="C7174" s="4"/>
      <c r="D7174" s="4"/>
      <c r="E7174" s="4"/>
      <c r="F7174" s="4"/>
      <c r="G7174" s="4"/>
    </row>
    <row r="7175">
      <c r="A7175" s="4"/>
      <c r="B7175" s="4"/>
      <c r="C7175" s="4"/>
      <c r="D7175" s="4"/>
      <c r="E7175" s="4"/>
      <c r="F7175" s="4"/>
      <c r="G7175" s="4"/>
    </row>
    <row r="7176">
      <c r="A7176" s="4"/>
      <c r="B7176" s="4"/>
      <c r="C7176" s="4"/>
      <c r="D7176" s="4"/>
      <c r="E7176" s="4"/>
      <c r="F7176" s="4"/>
      <c r="G7176" s="4"/>
    </row>
    <row r="7177">
      <c r="A7177" s="4"/>
      <c r="B7177" s="4"/>
      <c r="C7177" s="4"/>
      <c r="D7177" s="4"/>
      <c r="E7177" s="4"/>
      <c r="F7177" s="4"/>
      <c r="G7177" s="4"/>
    </row>
    <row r="7178">
      <c r="A7178" s="4"/>
      <c r="B7178" s="4"/>
      <c r="C7178" s="4"/>
      <c r="D7178" s="4"/>
      <c r="E7178" s="13"/>
      <c r="F7178" s="4"/>
      <c r="G7178" s="4"/>
    </row>
    <row r="7179">
      <c r="A7179" s="4"/>
      <c r="B7179" s="4"/>
      <c r="C7179" s="4"/>
      <c r="D7179" s="4"/>
      <c r="E7179" s="4"/>
      <c r="F7179" s="4"/>
      <c r="G7179" s="4"/>
    </row>
    <row r="7180">
      <c r="A7180" s="4"/>
      <c r="B7180" s="4"/>
      <c r="C7180" s="4"/>
      <c r="D7180" s="4"/>
      <c r="E7180" s="4"/>
      <c r="F7180" s="4"/>
      <c r="G7180" s="4"/>
    </row>
    <row r="7181">
      <c r="A7181" s="4"/>
      <c r="B7181" s="4"/>
      <c r="C7181" s="4"/>
      <c r="D7181" s="4"/>
      <c r="E7181" s="13"/>
      <c r="F7181" s="4"/>
      <c r="G7181" s="4"/>
    </row>
    <row r="7182">
      <c r="A7182" s="4"/>
      <c r="B7182" s="4"/>
      <c r="C7182" s="4"/>
      <c r="D7182" s="4"/>
      <c r="E7182" s="4"/>
      <c r="F7182" s="4"/>
      <c r="G7182" s="4"/>
    </row>
    <row r="7183">
      <c r="A7183" s="4"/>
      <c r="B7183" s="4"/>
      <c r="C7183" s="4"/>
      <c r="D7183" s="4"/>
      <c r="E7183" s="4"/>
      <c r="F7183" s="4"/>
      <c r="G7183" s="4"/>
    </row>
    <row r="7184">
      <c r="A7184" s="4"/>
      <c r="B7184" s="4"/>
      <c r="C7184" s="4"/>
      <c r="D7184" s="4"/>
      <c r="E7184" s="4"/>
      <c r="F7184" s="4"/>
      <c r="G7184" s="4"/>
    </row>
    <row r="7185">
      <c r="A7185" s="4"/>
      <c r="B7185" s="4"/>
      <c r="C7185" s="4"/>
      <c r="D7185" s="4"/>
      <c r="E7185" s="4"/>
      <c r="F7185" s="4"/>
      <c r="G7185" s="4"/>
    </row>
    <row r="7186">
      <c r="A7186" s="4"/>
      <c r="B7186" s="4"/>
      <c r="C7186" s="4"/>
      <c r="D7186" s="4"/>
      <c r="E7186" s="4"/>
      <c r="F7186" s="4"/>
      <c r="G7186" s="4"/>
    </row>
    <row r="7187">
      <c r="A7187" s="4"/>
      <c r="B7187" s="4"/>
      <c r="C7187" s="4"/>
      <c r="D7187" s="4"/>
      <c r="E7187" s="4"/>
      <c r="F7187" s="4"/>
      <c r="G7187" s="4"/>
    </row>
    <row r="7188">
      <c r="A7188" s="4"/>
      <c r="B7188" s="4"/>
      <c r="C7188" s="4"/>
      <c r="D7188" s="4"/>
      <c r="E7188" s="13"/>
      <c r="F7188" s="4"/>
      <c r="G7188" s="4"/>
    </row>
    <row r="7189">
      <c r="A7189" s="4"/>
      <c r="B7189" s="4"/>
      <c r="C7189" s="4"/>
      <c r="D7189" s="4"/>
      <c r="E7189" s="13"/>
      <c r="F7189" s="4"/>
      <c r="G7189" s="4"/>
    </row>
    <row r="7190">
      <c r="A7190" s="4"/>
      <c r="B7190" s="4"/>
      <c r="C7190" s="4"/>
      <c r="D7190" s="4"/>
      <c r="E7190" s="4"/>
      <c r="F7190" s="4"/>
      <c r="G7190" s="4"/>
    </row>
    <row r="7191">
      <c r="A7191" s="4"/>
      <c r="B7191" s="4"/>
      <c r="C7191" s="4"/>
      <c r="D7191" s="4"/>
      <c r="E7191" s="4"/>
      <c r="F7191" s="4"/>
      <c r="G7191" s="4"/>
    </row>
    <row r="7192">
      <c r="A7192" s="4"/>
      <c r="B7192" s="4"/>
      <c r="C7192" s="4"/>
      <c r="D7192" s="4"/>
      <c r="E7192" s="4"/>
      <c r="F7192" s="4"/>
      <c r="G7192" s="4"/>
    </row>
    <row r="7193">
      <c r="A7193" s="4"/>
      <c r="B7193" s="4"/>
      <c r="C7193" s="4"/>
      <c r="D7193" s="4"/>
      <c r="E7193" s="4"/>
      <c r="F7193" s="4"/>
      <c r="G7193" s="4"/>
    </row>
    <row r="7194">
      <c r="A7194" s="4"/>
      <c r="B7194" s="4"/>
      <c r="C7194" s="4"/>
      <c r="D7194" s="4"/>
      <c r="E7194" s="4"/>
      <c r="F7194" s="4"/>
      <c r="G7194" s="4"/>
    </row>
    <row r="7195">
      <c r="A7195" s="4"/>
      <c r="B7195" s="4"/>
      <c r="C7195" s="4"/>
      <c r="D7195" s="4"/>
      <c r="E7195" s="4"/>
      <c r="F7195" s="4"/>
      <c r="G7195" s="4"/>
    </row>
    <row r="7196">
      <c r="A7196" s="4"/>
      <c r="B7196" s="4"/>
      <c r="C7196" s="4"/>
      <c r="D7196" s="4"/>
      <c r="E7196" s="4"/>
      <c r="F7196" s="4"/>
      <c r="G7196" s="4"/>
    </row>
    <row r="7197">
      <c r="A7197" s="4"/>
      <c r="B7197" s="4"/>
      <c r="C7197" s="4"/>
      <c r="D7197" s="4"/>
      <c r="E7197" s="13"/>
      <c r="F7197" s="4"/>
      <c r="G7197" s="4"/>
    </row>
    <row r="7198">
      <c r="A7198" s="4"/>
      <c r="B7198" s="4"/>
      <c r="C7198" s="4"/>
      <c r="D7198" s="4"/>
      <c r="E7198" s="4"/>
      <c r="F7198" s="4"/>
      <c r="G7198" s="4"/>
    </row>
    <row r="7199">
      <c r="A7199" s="4"/>
      <c r="B7199" s="4"/>
      <c r="C7199" s="4"/>
      <c r="D7199" s="4"/>
      <c r="E7199" s="4"/>
      <c r="F7199" s="4"/>
      <c r="G7199" s="4"/>
    </row>
    <row r="7200">
      <c r="A7200" s="4"/>
      <c r="B7200" s="4"/>
      <c r="C7200" s="4"/>
      <c r="D7200" s="4"/>
      <c r="E7200" s="13"/>
      <c r="F7200" s="4"/>
      <c r="G7200" s="4"/>
    </row>
    <row r="7201">
      <c r="A7201" s="4"/>
      <c r="B7201" s="4"/>
      <c r="C7201" s="4"/>
      <c r="D7201" s="4"/>
      <c r="E7201" s="4"/>
      <c r="F7201" s="4"/>
      <c r="G7201" s="4"/>
    </row>
    <row r="7202">
      <c r="A7202" s="4"/>
      <c r="B7202" s="4"/>
      <c r="C7202" s="4"/>
      <c r="D7202" s="13"/>
      <c r="E7202" s="13"/>
      <c r="F7202" s="4"/>
      <c r="G7202" s="4"/>
    </row>
    <row r="7203">
      <c r="A7203" s="4"/>
      <c r="B7203" s="4"/>
      <c r="C7203" s="4"/>
      <c r="D7203" s="4"/>
      <c r="E7203" s="4"/>
      <c r="F7203" s="4"/>
      <c r="G7203" s="4"/>
    </row>
    <row r="7204">
      <c r="A7204" s="4"/>
      <c r="B7204" s="4"/>
      <c r="C7204" s="4"/>
      <c r="D7204" s="4"/>
      <c r="E7204" s="4"/>
      <c r="F7204" s="4"/>
      <c r="G7204" s="4"/>
    </row>
    <row r="7205">
      <c r="A7205" s="4"/>
      <c r="B7205" s="4"/>
      <c r="C7205" s="4"/>
      <c r="D7205" s="13"/>
      <c r="E7205" s="4"/>
      <c r="F7205" s="4"/>
      <c r="G7205" s="4"/>
    </row>
    <row r="7206">
      <c r="A7206" s="4"/>
      <c r="B7206" s="4"/>
      <c r="C7206" s="4"/>
      <c r="D7206" s="4"/>
      <c r="E7206" s="4"/>
      <c r="F7206" s="4"/>
      <c r="G7206" s="4"/>
    </row>
    <row r="7207">
      <c r="A7207" s="4"/>
      <c r="B7207" s="4"/>
      <c r="C7207" s="4"/>
      <c r="D7207" s="4"/>
      <c r="E7207" s="13"/>
      <c r="F7207" s="4"/>
      <c r="G7207" s="4"/>
    </row>
    <row r="7208">
      <c r="A7208" s="4"/>
      <c r="B7208" s="4"/>
      <c r="C7208" s="4"/>
      <c r="D7208" s="4"/>
      <c r="E7208" s="4"/>
      <c r="F7208" s="4"/>
      <c r="G7208" s="4"/>
    </row>
    <row r="7209">
      <c r="A7209" s="4"/>
      <c r="B7209" s="4"/>
      <c r="C7209" s="4"/>
      <c r="D7209" s="4"/>
      <c r="E7209" s="4"/>
      <c r="F7209" s="4"/>
      <c r="G7209" s="4"/>
    </row>
    <row r="7210">
      <c r="A7210" s="4"/>
      <c r="B7210" s="4"/>
      <c r="C7210" s="4"/>
      <c r="D7210" s="4"/>
      <c r="E7210" s="4"/>
      <c r="F7210" s="4"/>
      <c r="G7210" s="4"/>
    </row>
    <row r="7211">
      <c r="A7211" s="4"/>
      <c r="B7211" s="4"/>
      <c r="C7211" s="4"/>
      <c r="D7211" s="4"/>
      <c r="E7211" s="4"/>
      <c r="F7211" s="4"/>
      <c r="G7211" s="4"/>
    </row>
    <row r="7212">
      <c r="A7212" s="4"/>
      <c r="B7212" s="4"/>
      <c r="C7212" s="4"/>
      <c r="D7212" s="4"/>
      <c r="E7212" s="4"/>
      <c r="F7212" s="4"/>
      <c r="G7212" s="4"/>
    </row>
    <row r="7213">
      <c r="A7213" s="4"/>
      <c r="B7213" s="4"/>
      <c r="C7213" s="4"/>
      <c r="D7213" s="4"/>
      <c r="E7213" s="4"/>
      <c r="F7213" s="4"/>
      <c r="G7213" s="4"/>
    </row>
    <row r="7214">
      <c r="A7214" s="4"/>
      <c r="B7214" s="4"/>
      <c r="C7214" s="4"/>
      <c r="D7214" s="4"/>
      <c r="E7214" s="4"/>
      <c r="F7214" s="4"/>
      <c r="G7214" s="4"/>
    </row>
    <row r="7215">
      <c r="A7215" s="4"/>
      <c r="B7215" s="4"/>
      <c r="C7215" s="4"/>
      <c r="D7215" s="4"/>
      <c r="E7215" s="13"/>
      <c r="F7215" s="4"/>
      <c r="G7215" s="4"/>
    </row>
    <row r="7216">
      <c r="A7216" s="4"/>
      <c r="B7216" s="4"/>
      <c r="C7216" s="4"/>
      <c r="D7216" s="4"/>
      <c r="E7216" s="4"/>
      <c r="F7216" s="4"/>
      <c r="G7216" s="4"/>
    </row>
    <row r="7217">
      <c r="A7217" s="4"/>
      <c r="B7217" s="4"/>
      <c r="C7217" s="4"/>
      <c r="D7217" s="4"/>
      <c r="E7217" s="13"/>
      <c r="F7217" s="4"/>
      <c r="G7217" s="4"/>
    </row>
    <row r="7218">
      <c r="A7218" s="4"/>
      <c r="B7218" s="4"/>
      <c r="C7218" s="4"/>
      <c r="D7218" s="4"/>
      <c r="E7218" s="4"/>
      <c r="F7218" s="4"/>
      <c r="G7218" s="4"/>
    </row>
    <row r="7219">
      <c r="A7219" s="4"/>
      <c r="B7219" s="4"/>
      <c r="C7219" s="4"/>
      <c r="D7219" s="4"/>
      <c r="E7219" s="4"/>
      <c r="F7219" s="4"/>
      <c r="G7219" s="4"/>
    </row>
    <row r="7220">
      <c r="A7220" s="4"/>
      <c r="B7220" s="4"/>
      <c r="C7220" s="4"/>
      <c r="D7220" s="4"/>
      <c r="E7220" s="4"/>
      <c r="F7220" s="4"/>
      <c r="G7220" s="4"/>
    </row>
    <row r="7221">
      <c r="A7221" s="4"/>
      <c r="B7221" s="4"/>
      <c r="C7221" s="4"/>
      <c r="D7221" s="4"/>
      <c r="E7221" s="4"/>
      <c r="F7221" s="4"/>
      <c r="G7221" s="4"/>
    </row>
    <row r="7222">
      <c r="A7222" s="4"/>
      <c r="B7222" s="4"/>
      <c r="C7222" s="4"/>
      <c r="D7222" s="4"/>
      <c r="E7222" s="4"/>
      <c r="F7222" s="4"/>
      <c r="G7222" s="4"/>
    </row>
    <row r="7223">
      <c r="A7223" s="4"/>
      <c r="B7223" s="4"/>
      <c r="C7223" s="4"/>
      <c r="D7223" s="4"/>
      <c r="E7223" s="4"/>
      <c r="F7223" s="4"/>
      <c r="G7223" s="4"/>
    </row>
    <row r="7224">
      <c r="A7224" s="4"/>
      <c r="B7224" s="4"/>
      <c r="C7224" s="4"/>
      <c r="D7224" s="4"/>
      <c r="E7224" s="4"/>
      <c r="F7224" s="4"/>
      <c r="G7224" s="4"/>
    </row>
    <row r="7225">
      <c r="A7225" s="4"/>
      <c r="B7225" s="4"/>
      <c r="C7225" s="4"/>
      <c r="D7225" s="4"/>
      <c r="E7225" s="4"/>
      <c r="F7225" s="4"/>
      <c r="G7225" s="4"/>
    </row>
    <row r="7226">
      <c r="A7226" s="4"/>
      <c r="B7226" s="4"/>
      <c r="C7226" s="4"/>
      <c r="D7226" s="4"/>
      <c r="E7226" s="4"/>
      <c r="F7226" s="4"/>
      <c r="G7226" s="4"/>
    </row>
    <row r="7227">
      <c r="A7227" s="4"/>
      <c r="B7227" s="4"/>
      <c r="C7227" s="4"/>
      <c r="D7227" s="4"/>
      <c r="E7227" s="4"/>
      <c r="F7227" s="4"/>
      <c r="G7227" s="4"/>
    </row>
    <row r="7228">
      <c r="A7228" s="4"/>
      <c r="B7228" s="4"/>
      <c r="C7228" s="4"/>
      <c r="D7228" s="4"/>
      <c r="E7228" s="13"/>
      <c r="F7228" s="4"/>
      <c r="G7228" s="4"/>
    </row>
    <row r="7229">
      <c r="A7229" s="4"/>
      <c r="B7229" s="4"/>
      <c r="C7229" s="4"/>
      <c r="D7229" s="13"/>
      <c r="E7229" s="4"/>
      <c r="F7229" s="4"/>
      <c r="G7229" s="4"/>
    </row>
    <row r="7230">
      <c r="A7230" s="4"/>
      <c r="B7230" s="4"/>
      <c r="C7230" s="4"/>
      <c r="D7230" s="4"/>
      <c r="E7230" s="4"/>
      <c r="F7230" s="4"/>
      <c r="G7230" s="4"/>
    </row>
    <row r="7231">
      <c r="A7231" s="4"/>
      <c r="B7231" s="4"/>
      <c r="C7231" s="4"/>
      <c r="D7231" s="4"/>
      <c r="E7231" s="13"/>
      <c r="F7231" s="4"/>
      <c r="G7231" s="4"/>
    </row>
    <row r="7232">
      <c r="A7232" s="4"/>
      <c r="B7232" s="4"/>
      <c r="C7232" s="4"/>
      <c r="D7232" s="4"/>
      <c r="E7232" s="4"/>
      <c r="F7232" s="4"/>
      <c r="G7232" s="4"/>
    </row>
    <row r="7233">
      <c r="A7233" s="4"/>
      <c r="B7233" s="4"/>
      <c r="C7233" s="4"/>
      <c r="D7233" s="4"/>
      <c r="E7233" s="4"/>
      <c r="F7233" s="4"/>
      <c r="G7233" s="4"/>
    </row>
    <row r="7234">
      <c r="A7234" s="4"/>
      <c r="B7234" s="4"/>
      <c r="C7234" s="4"/>
      <c r="D7234" s="13"/>
      <c r="E7234" s="4"/>
      <c r="F7234" s="4"/>
      <c r="G7234" s="4"/>
    </row>
    <row r="7235">
      <c r="A7235" s="4"/>
      <c r="B7235" s="4"/>
      <c r="C7235" s="4"/>
      <c r="D7235" s="4"/>
      <c r="E7235" s="4"/>
      <c r="F7235" s="4"/>
      <c r="G7235" s="4"/>
    </row>
    <row r="7236">
      <c r="A7236" s="4"/>
      <c r="B7236" s="4"/>
      <c r="C7236" s="4"/>
      <c r="D7236" s="4"/>
      <c r="E7236" s="4"/>
      <c r="F7236" s="4"/>
      <c r="G7236" s="4"/>
    </row>
    <row r="7237">
      <c r="A7237" s="4"/>
      <c r="B7237" s="4"/>
      <c r="C7237" s="4"/>
      <c r="D7237" s="4"/>
      <c r="E7237" s="13"/>
      <c r="F7237" s="4"/>
      <c r="G7237" s="4"/>
    </row>
    <row r="7238">
      <c r="A7238" s="4"/>
      <c r="B7238" s="4"/>
      <c r="C7238" s="4"/>
      <c r="D7238" s="4"/>
      <c r="E7238" s="4"/>
      <c r="F7238" s="4"/>
      <c r="G7238" s="4"/>
    </row>
    <row r="7239">
      <c r="A7239" s="4"/>
      <c r="B7239" s="4"/>
      <c r="C7239" s="4"/>
      <c r="D7239" s="4"/>
      <c r="E7239" s="13"/>
      <c r="F7239" s="4"/>
      <c r="G7239" s="4"/>
    </row>
    <row r="7240">
      <c r="A7240" s="4"/>
      <c r="B7240" s="4"/>
      <c r="C7240" s="4"/>
      <c r="D7240" s="4"/>
      <c r="E7240" s="4"/>
      <c r="F7240" s="4"/>
      <c r="G7240" s="4"/>
    </row>
    <row r="7241">
      <c r="A7241" s="4"/>
      <c r="B7241" s="4"/>
      <c r="C7241" s="4"/>
      <c r="D7241" s="4"/>
      <c r="E7241" s="4"/>
      <c r="F7241" s="4"/>
      <c r="G7241" s="4"/>
    </row>
    <row r="7242">
      <c r="A7242" s="4"/>
      <c r="B7242" s="4"/>
      <c r="C7242" s="4"/>
      <c r="D7242" s="4"/>
      <c r="E7242" s="4"/>
      <c r="F7242" s="4"/>
      <c r="G7242" s="4"/>
    </row>
    <row r="7243">
      <c r="A7243" s="4"/>
      <c r="B7243" s="4"/>
      <c r="C7243" s="4"/>
      <c r="D7243" s="4"/>
      <c r="E7243" s="4"/>
      <c r="F7243" s="4"/>
      <c r="G7243" s="4"/>
    </row>
    <row r="7244">
      <c r="A7244" s="4"/>
      <c r="B7244" s="4"/>
      <c r="C7244" s="4"/>
      <c r="D7244" s="4"/>
      <c r="E7244" s="4"/>
      <c r="F7244" s="4"/>
      <c r="G7244" s="4"/>
    </row>
    <row r="7245">
      <c r="A7245" s="4"/>
      <c r="B7245" s="4"/>
      <c r="C7245" s="4"/>
      <c r="D7245" s="4"/>
      <c r="E7245" s="4"/>
      <c r="F7245" s="4"/>
      <c r="G7245" s="4"/>
    </row>
    <row r="7246">
      <c r="A7246" s="4"/>
      <c r="B7246" s="4"/>
      <c r="C7246" s="4"/>
      <c r="D7246" s="4"/>
      <c r="E7246" s="4"/>
      <c r="F7246" s="4"/>
      <c r="G7246" s="4"/>
    </row>
    <row r="7247">
      <c r="A7247" s="4"/>
      <c r="B7247" s="4"/>
      <c r="C7247" s="4"/>
      <c r="D7247" s="4"/>
      <c r="E7247" s="4"/>
      <c r="F7247" s="4"/>
      <c r="G7247" s="4"/>
    </row>
    <row r="7248">
      <c r="A7248" s="4"/>
      <c r="B7248" s="4"/>
      <c r="C7248" s="4"/>
      <c r="D7248" s="4"/>
      <c r="E7248" s="4"/>
      <c r="F7248" s="4"/>
      <c r="G7248" s="4"/>
    </row>
    <row r="7249">
      <c r="A7249" s="4"/>
      <c r="B7249" s="4"/>
      <c r="C7249" s="4"/>
      <c r="D7249" s="4"/>
      <c r="E7249" s="4"/>
      <c r="F7249" s="4"/>
      <c r="G7249" s="4"/>
    </row>
    <row r="7250">
      <c r="A7250" s="4"/>
      <c r="B7250" s="4"/>
      <c r="C7250" s="4"/>
      <c r="D7250" s="4"/>
      <c r="E7250" s="4"/>
      <c r="F7250" s="4"/>
      <c r="G7250" s="4"/>
    </row>
    <row r="7251">
      <c r="A7251" s="4"/>
      <c r="B7251" s="4"/>
      <c r="C7251" s="4"/>
      <c r="D7251" s="4"/>
      <c r="E7251" s="13"/>
      <c r="F7251" s="4"/>
      <c r="G7251" s="4"/>
    </row>
    <row r="7252">
      <c r="A7252" s="4"/>
      <c r="B7252" s="4"/>
      <c r="C7252" s="4"/>
      <c r="D7252" s="4"/>
      <c r="E7252" s="4"/>
      <c r="F7252" s="4"/>
      <c r="G7252" s="4"/>
    </row>
    <row r="7253">
      <c r="A7253" s="4"/>
      <c r="B7253" s="4"/>
      <c r="C7253" s="4"/>
      <c r="D7253" s="4"/>
      <c r="E7253" s="13"/>
      <c r="F7253" s="4"/>
      <c r="G7253" s="4"/>
    </row>
    <row r="7254">
      <c r="A7254" s="4"/>
      <c r="B7254" s="4"/>
      <c r="C7254" s="4"/>
      <c r="D7254" s="4"/>
      <c r="E7254" s="4"/>
      <c r="F7254" s="4"/>
      <c r="G7254" s="4"/>
    </row>
    <row r="7255">
      <c r="A7255" s="4"/>
      <c r="B7255" s="4"/>
      <c r="C7255" s="4"/>
      <c r="D7255" s="4"/>
      <c r="E7255" s="4"/>
      <c r="F7255" s="4"/>
      <c r="G7255" s="4"/>
    </row>
    <row r="7256">
      <c r="A7256" s="4"/>
      <c r="B7256" s="4"/>
      <c r="C7256" s="4"/>
      <c r="D7256" s="4"/>
      <c r="E7256" s="4"/>
      <c r="F7256" s="4"/>
      <c r="G7256" s="4"/>
    </row>
    <row r="7257">
      <c r="A7257" s="4"/>
      <c r="B7257" s="4"/>
      <c r="C7257" s="4"/>
      <c r="D7257" s="4"/>
      <c r="E7257" s="4"/>
      <c r="F7257" s="4"/>
      <c r="G7257" s="4"/>
    </row>
    <row r="7258">
      <c r="A7258" s="4"/>
      <c r="B7258" s="4"/>
      <c r="C7258" s="4"/>
      <c r="D7258" s="4"/>
      <c r="E7258" s="4"/>
      <c r="F7258" s="4"/>
      <c r="G7258" s="4"/>
    </row>
    <row r="7259">
      <c r="A7259" s="4"/>
      <c r="B7259" s="4"/>
      <c r="C7259" s="4"/>
      <c r="D7259" s="4"/>
      <c r="E7259" s="4"/>
      <c r="F7259" s="4"/>
      <c r="G7259" s="4"/>
    </row>
    <row r="7260">
      <c r="A7260" s="4"/>
      <c r="B7260" s="4"/>
      <c r="C7260" s="4"/>
      <c r="D7260" s="4"/>
      <c r="E7260" s="4"/>
      <c r="F7260" s="4"/>
      <c r="G7260" s="4"/>
    </row>
    <row r="7261">
      <c r="A7261" s="4"/>
      <c r="B7261" s="4"/>
      <c r="C7261" s="4"/>
      <c r="D7261" s="4"/>
      <c r="E7261" s="4"/>
      <c r="F7261" s="4"/>
      <c r="G7261" s="4"/>
    </row>
    <row r="7262">
      <c r="A7262" s="4"/>
      <c r="B7262" s="4"/>
      <c r="C7262" s="4"/>
      <c r="D7262" s="4"/>
      <c r="E7262" s="4"/>
      <c r="F7262" s="4"/>
      <c r="G7262" s="4"/>
    </row>
    <row r="7263">
      <c r="A7263" s="4"/>
      <c r="B7263" s="4"/>
      <c r="C7263" s="4"/>
      <c r="D7263" s="4"/>
      <c r="E7263" s="4"/>
      <c r="F7263" s="4"/>
      <c r="G7263" s="4"/>
    </row>
    <row r="7264">
      <c r="A7264" s="4"/>
      <c r="B7264" s="4"/>
      <c r="C7264" s="4"/>
      <c r="D7264" s="4"/>
      <c r="E7264" s="4"/>
      <c r="F7264" s="4"/>
      <c r="G7264" s="4"/>
    </row>
    <row r="7265">
      <c r="A7265" s="4"/>
      <c r="B7265" s="4"/>
      <c r="C7265" s="4"/>
      <c r="D7265" s="4"/>
      <c r="E7265" s="13"/>
      <c r="F7265" s="4"/>
      <c r="G7265" s="4"/>
    </row>
    <row r="7266">
      <c r="A7266" s="4"/>
      <c r="B7266" s="4"/>
      <c r="C7266" s="4"/>
      <c r="D7266" s="4"/>
      <c r="E7266" s="4"/>
      <c r="F7266" s="4"/>
      <c r="G7266" s="4"/>
    </row>
    <row r="7267">
      <c r="A7267" s="4"/>
      <c r="B7267" s="4"/>
      <c r="C7267" s="4"/>
      <c r="D7267" s="4"/>
      <c r="E7267" s="4"/>
      <c r="F7267" s="4"/>
      <c r="G7267" s="4"/>
    </row>
    <row r="7268">
      <c r="A7268" s="4"/>
      <c r="B7268" s="4"/>
      <c r="C7268" s="4"/>
      <c r="D7268" s="4"/>
      <c r="E7268" s="4"/>
      <c r="F7268" s="4"/>
      <c r="G7268" s="4"/>
    </row>
    <row r="7269">
      <c r="A7269" s="4"/>
      <c r="B7269" s="4"/>
      <c r="C7269" s="4"/>
      <c r="D7269" s="4"/>
      <c r="E7269" s="4"/>
      <c r="F7269" s="4"/>
      <c r="G7269" s="4"/>
    </row>
    <row r="7270">
      <c r="A7270" s="4"/>
      <c r="B7270" s="4"/>
      <c r="C7270" s="4"/>
      <c r="D7270" s="4"/>
      <c r="E7270" s="4"/>
      <c r="F7270" s="4"/>
      <c r="G7270" s="4"/>
    </row>
    <row r="7271">
      <c r="A7271" s="4"/>
      <c r="B7271" s="4"/>
      <c r="C7271" s="4"/>
      <c r="D7271" s="4"/>
      <c r="E7271" s="4"/>
      <c r="F7271" s="4"/>
      <c r="G7271" s="4"/>
    </row>
    <row r="7272">
      <c r="A7272" s="4"/>
      <c r="B7272" s="4"/>
      <c r="C7272" s="4"/>
      <c r="D7272" s="4"/>
      <c r="E7272" s="4"/>
      <c r="F7272" s="4"/>
      <c r="G7272" s="4"/>
    </row>
    <row r="7273">
      <c r="A7273" s="4"/>
      <c r="B7273" s="4"/>
      <c r="C7273" s="4"/>
      <c r="D7273" s="4"/>
      <c r="E7273" s="4"/>
      <c r="F7273" s="4"/>
      <c r="G7273" s="4"/>
    </row>
    <row r="7274">
      <c r="A7274" s="4"/>
      <c r="B7274" s="4"/>
      <c r="C7274" s="4"/>
      <c r="D7274" s="4"/>
      <c r="E7274" s="4"/>
      <c r="F7274" s="4"/>
      <c r="G7274" s="4"/>
    </row>
    <row r="7275">
      <c r="A7275" s="4"/>
      <c r="B7275" s="4"/>
      <c r="C7275" s="4"/>
      <c r="D7275" s="4"/>
      <c r="E7275" s="4"/>
      <c r="F7275" s="4"/>
      <c r="G7275" s="4"/>
    </row>
    <row r="7276">
      <c r="A7276" s="4"/>
      <c r="B7276" s="4"/>
      <c r="C7276" s="4"/>
      <c r="D7276" s="4"/>
      <c r="E7276" s="4"/>
      <c r="F7276" s="4"/>
      <c r="G7276" s="4"/>
    </row>
    <row r="7277">
      <c r="A7277" s="4"/>
      <c r="B7277" s="4"/>
      <c r="C7277" s="4"/>
      <c r="D7277" s="4"/>
      <c r="E7277" s="4"/>
      <c r="F7277" s="4"/>
      <c r="G7277" s="4"/>
    </row>
    <row r="7278">
      <c r="A7278" s="4"/>
      <c r="B7278" s="4"/>
      <c r="C7278" s="4"/>
      <c r="D7278" s="4"/>
      <c r="E7278" s="4"/>
      <c r="F7278" s="4"/>
      <c r="G7278" s="4"/>
    </row>
    <row r="7279">
      <c r="A7279" s="4"/>
      <c r="B7279" s="4"/>
      <c r="C7279" s="4"/>
      <c r="D7279" s="4"/>
      <c r="E7279" s="13"/>
      <c r="F7279" s="4"/>
      <c r="G7279" s="4"/>
    </row>
    <row r="7280">
      <c r="A7280" s="4"/>
      <c r="B7280" s="4"/>
      <c r="C7280" s="4"/>
      <c r="D7280" s="4"/>
      <c r="E7280" s="4"/>
      <c r="F7280" s="4"/>
      <c r="G7280" s="4"/>
    </row>
    <row r="7281">
      <c r="A7281" s="4"/>
      <c r="B7281" s="4"/>
      <c r="C7281" s="4"/>
      <c r="D7281" s="4"/>
      <c r="E7281" s="13"/>
      <c r="F7281" s="4"/>
      <c r="G7281" s="4"/>
    </row>
    <row r="7282">
      <c r="A7282" s="4"/>
      <c r="B7282" s="4"/>
      <c r="C7282" s="4"/>
      <c r="D7282" s="4"/>
      <c r="E7282" s="4"/>
      <c r="F7282" s="4"/>
      <c r="G7282" s="4"/>
    </row>
    <row r="7283">
      <c r="A7283" s="4"/>
      <c r="B7283" s="4"/>
      <c r="C7283" s="4"/>
      <c r="D7283" s="4"/>
      <c r="E7283" s="4"/>
      <c r="F7283" s="4"/>
      <c r="G7283" s="4"/>
    </row>
    <row r="7284">
      <c r="A7284" s="4"/>
      <c r="B7284" s="4"/>
      <c r="C7284" s="4"/>
      <c r="D7284" s="4"/>
      <c r="E7284" s="4"/>
      <c r="F7284" s="4"/>
      <c r="G7284" s="4"/>
    </row>
    <row r="7285">
      <c r="A7285" s="4"/>
      <c r="B7285" s="4"/>
      <c r="C7285" s="4"/>
      <c r="D7285" s="4"/>
      <c r="E7285" s="4"/>
      <c r="F7285" s="4"/>
      <c r="G7285" s="4"/>
    </row>
    <row r="7286">
      <c r="A7286" s="4"/>
      <c r="B7286" s="4"/>
      <c r="C7286" s="4"/>
      <c r="D7286" s="4"/>
      <c r="E7286" s="4"/>
      <c r="F7286" s="4"/>
      <c r="G7286" s="4"/>
    </row>
    <row r="7287">
      <c r="A7287" s="4"/>
      <c r="B7287" s="4"/>
      <c r="C7287" s="4"/>
      <c r="D7287" s="4"/>
      <c r="E7287" s="4"/>
      <c r="F7287" s="4"/>
      <c r="G7287" s="4"/>
    </row>
    <row r="7288">
      <c r="A7288" s="4"/>
      <c r="B7288" s="4"/>
      <c r="C7288" s="4"/>
      <c r="D7288" s="4"/>
      <c r="E7288" s="4"/>
      <c r="F7288" s="4"/>
      <c r="G7288" s="4"/>
    </row>
    <row r="7289">
      <c r="A7289" s="4"/>
      <c r="B7289" s="4"/>
      <c r="C7289" s="4"/>
      <c r="D7289" s="4"/>
      <c r="E7289" s="4"/>
      <c r="F7289" s="4"/>
      <c r="G7289" s="4"/>
    </row>
    <row r="7290">
      <c r="A7290" s="4"/>
      <c r="B7290" s="4"/>
      <c r="C7290" s="4"/>
      <c r="D7290" s="4"/>
      <c r="E7290" s="4"/>
      <c r="F7290" s="4"/>
      <c r="G7290" s="4"/>
    </row>
    <row r="7291">
      <c r="A7291" s="4"/>
      <c r="B7291" s="4"/>
      <c r="C7291" s="4"/>
      <c r="D7291" s="4"/>
      <c r="E7291" s="13"/>
      <c r="F7291" s="4"/>
      <c r="G7291" s="4"/>
    </row>
    <row r="7292">
      <c r="A7292" s="4"/>
      <c r="B7292" s="4"/>
      <c r="C7292" s="4"/>
      <c r="D7292" s="4"/>
      <c r="E7292" s="4"/>
      <c r="F7292" s="4"/>
      <c r="G7292" s="4"/>
    </row>
    <row r="7293">
      <c r="A7293" s="4"/>
      <c r="B7293" s="4"/>
      <c r="C7293" s="4"/>
      <c r="D7293" s="13"/>
      <c r="E7293" s="4"/>
      <c r="F7293" s="4"/>
      <c r="G7293" s="4"/>
    </row>
    <row r="7294">
      <c r="A7294" s="4"/>
      <c r="B7294" s="4"/>
      <c r="C7294" s="4"/>
      <c r="D7294" s="4"/>
      <c r="E7294" s="4"/>
      <c r="F7294" s="4"/>
      <c r="G7294" s="4"/>
    </row>
    <row r="7295">
      <c r="A7295" s="4"/>
      <c r="B7295" s="4"/>
      <c r="C7295" s="4"/>
      <c r="D7295" s="4"/>
      <c r="E7295" s="13"/>
      <c r="F7295" s="4"/>
      <c r="G7295" s="4"/>
    </row>
    <row r="7296">
      <c r="A7296" s="4"/>
      <c r="B7296" s="4"/>
      <c r="C7296" s="4"/>
      <c r="D7296" s="4"/>
      <c r="E7296" s="4"/>
      <c r="F7296" s="4"/>
      <c r="G7296" s="4"/>
    </row>
    <row r="7297">
      <c r="A7297" s="4"/>
      <c r="B7297" s="4"/>
      <c r="C7297" s="4"/>
      <c r="D7297" s="4"/>
      <c r="E7297" s="13"/>
      <c r="F7297" s="4"/>
      <c r="G7297" s="4"/>
    </row>
    <row r="7298">
      <c r="A7298" s="4"/>
      <c r="B7298" s="4"/>
      <c r="C7298" s="4"/>
      <c r="D7298" s="4"/>
      <c r="E7298" s="4"/>
      <c r="F7298" s="4"/>
      <c r="G7298" s="4"/>
    </row>
    <row r="7299">
      <c r="A7299" s="4"/>
      <c r="B7299" s="4"/>
      <c r="C7299" s="4"/>
      <c r="D7299" s="4"/>
      <c r="E7299" s="4"/>
      <c r="F7299" s="4"/>
      <c r="G7299" s="4"/>
    </row>
    <row r="7300">
      <c r="A7300" s="4"/>
      <c r="B7300" s="4"/>
      <c r="C7300" s="4"/>
      <c r="D7300" s="4"/>
      <c r="E7300" s="13"/>
      <c r="F7300" s="4"/>
      <c r="G7300" s="4"/>
    </row>
    <row r="7301">
      <c r="A7301" s="4"/>
      <c r="B7301" s="4"/>
      <c r="C7301" s="4"/>
      <c r="D7301" s="13"/>
      <c r="E7301" s="13"/>
      <c r="F7301" s="4"/>
      <c r="G7301" s="4"/>
    </row>
    <row r="7302">
      <c r="A7302" s="4"/>
      <c r="B7302" s="4"/>
      <c r="C7302" s="4"/>
      <c r="D7302" s="4"/>
      <c r="E7302" s="4"/>
      <c r="F7302" s="4"/>
      <c r="G7302" s="4"/>
    </row>
    <row r="7303">
      <c r="A7303" s="4"/>
      <c r="B7303" s="4"/>
      <c r="C7303" s="4"/>
      <c r="D7303" s="4"/>
      <c r="E7303" s="4"/>
      <c r="F7303" s="4"/>
      <c r="G7303" s="4"/>
    </row>
    <row r="7304">
      <c r="A7304" s="4"/>
      <c r="B7304" s="4"/>
      <c r="C7304" s="4"/>
      <c r="D7304" s="4"/>
      <c r="E7304" s="4"/>
      <c r="F7304" s="4"/>
      <c r="G7304" s="4"/>
    </row>
    <row r="7305">
      <c r="A7305" s="4"/>
      <c r="B7305" s="4"/>
      <c r="C7305" s="4"/>
      <c r="D7305" s="4"/>
      <c r="E7305" s="4"/>
      <c r="F7305" s="4"/>
      <c r="G7305" s="4"/>
    </row>
    <row r="7306">
      <c r="A7306" s="4"/>
      <c r="B7306" s="4"/>
      <c r="C7306" s="4"/>
      <c r="D7306" s="4"/>
      <c r="E7306" s="4"/>
      <c r="F7306" s="4"/>
      <c r="G7306" s="4"/>
    </row>
    <row r="7307">
      <c r="A7307" s="4"/>
      <c r="B7307" s="4"/>
      <c r="C7307" s="4"/>
      <c r="D7307" s="4"/>
      <c r="E7307" s="4"/>
      <c r="F7307" s="4"/>
      <c r="G7307" s="4"/>
    </row>
    <row r="7308">
      <c r="A7308" s="4"/>
      <c r="B7308" s="4"/>
      <c r="C7308" s="4"/>
      <c r="D7308" s="4"/>
      <c r="E7308" s="4"/>
      <c r="F7308" s="4"/>
      <c r="G7308" s="4"/>
    </row>
    <row r="7309">
      <c r="A7309" s="4"/>
      <c r="B7309" s="4"/>
      <c r="C7309" s="4"/>
      <c r="D7309" s="4"/>
      <c r="E7309" s="4"/>
      <c r="F7309" s="4"/>
      <c r="G7309" s="4"/>
    </row>
    <row r="7310">
      <c r="A7310" s="4"/>
      <c r="B7310" s="4"/>
      <c r="C7310" s="4"/>
      <c r="D7310" s="4"/>
      <c r="E7310" s="4"/>
      <c r="F7310" s="4"/>
      <c r="G7310" s="4"/>
    </row>
    <row r="7311">
      <c r="A7311" s="4"/>
      <c r="B7311" s="4"/>
      <c r="C7311" s="4"/>
      <c r="D7311" s="4"/>
      <c r="E7311" s="13"/>
      <c r="F7311" s="4"/>
      <c r="G7311" s="4"/>
    </row>
    <row r="7312">
      <c r="A7312" s="4"/>
      <c r="B7312" s="4"/>
      <c r="C7312" s="4"/>
      <c r="D7312" s="4"/>
      <c r="E7312" s="4"/>
      <c r="F7312" s="4"/>
      <c r="G7312" s="4"/>
    </row>
    <row r="7313">
      <c r="A7313" s="4"/>
      <c r="B7313" s="4"/>
      <c r="C7313" s="4"/>
      <c r="D7313" s="4"/>
      <c r="E7313" s="4"/>
      <c r="F7313" s="4"/>
      <c r="G7313" s="4"/>
    </row>
    <row r="7314">
      <c r="A7314" s="4"/>
      <c r="B7314" s="4"/>
      <c r="C7314" s="4"/>
      <c r="D7314" s="4"/>
      <c r="E7314" s="13"/>
      <c r="F7314" s="4"/>
      <c r="G7314" s="4"/>
    </row>
    <row r="7315">
      <c r="A7315" s="4"/>
      <c r="B7315" s="4"/>
      <c r="C7315" s="4"/>
      <c r="D7315" s="4"/>
      <c r="E7315" s="4"/>
      <c r="F7315" s="4"/>
      <c r="G7315" s="4"/>
    </row>
    <row r="7316">
      <c r="A7316" s="4"/>
      <c r="B7316" s="4"/>
      <c r="C7316" s="4"/>
      <c r="D7316" s="4"/>
      <c r="E7316" s="4"/>
      <c r="F7316" s="4"/>
      <c r="G7316" s="4"/>
    </row>
    <row r="7317">
      <c r="A7317" s="4"/>
      <c r="B7317" s="4"/>
      <c r="C7317" s="4"/>
      <c r="D7317" s="4"/>
      <c r="E7317" s="4"/>
      <c r="F7317" s="4"/>
      <c r="G7317" s="4"/>
    </row>
    <row r="7318">
      <c r="A7318" s="4"/>
      <c r="B7318" s="4"/>
      <c r="C7318" s="4"/>
      <c r="D7318" s="4"/>
      <c r="E7318" s="4"/>
      <c r="F7318" s="4"/>
      <c r="G7318" s="4"/>
    </row>
    <row r="7319">
      <c r="A7319" s="4"/>
      <c r="B7319" s="4"/>
      <c r="C7319" s="4"/>
      <c r="D7319" s="4"/>
      <c r="E7319" s="4"/>
      <c r="F7319" s="4"/>
      <c r="G7319" s="4"/>
    </row>
    <row r="7320">
      <c r="A7320" s="4"/>
      <c r="B7320" s="4"/>
      <c r="C7320" s="4"/>
      <c r="D7320" s="4"/>
      <c r="E7320" s="4"/>
      <c r="F7320" s="4"/>
      <c r="G7320" s="4"/>
    </row>
    <row r="7321">
      <c r="A7321" s="4"/>
      <c r="B7321" s="4"/>
      <c r="C7321" s="4"/>
      <c r="D7321" s="4"/>
      <c r="E7321" s="4"/>
      <c r="F7321" s="4"/>
      <c r="G7321" s="4"/>
    </row>
    <row r="7322">
      <c r="A7322" s="4"/>
      <c r="B7322" s="4"/>
      <c r="C7322" s="4"/>
      <c r="D7322" s="4"/>
      <c r="E7322" s="13"/>
      <c r="F7322" s="4"/>
      <c r="G7322" s="4"/>
    </row>
    <row r="7323">
      <c r="A7323" s="4"/>
      <c r="B7323" s="4"/>
      <c r="C7323" s="4"/>
      <c r="D7323" s="4"/>
      <c r="E7323" s="4"/>
      <c r="F7323" s="4"/>
      <c r="G7323" s="4"/>
    </row>
    <row r="7324">
      <c r="A7324" s="4"/>
      <c r="B7324" s="4"/>
      <c r="C7324" s="4"/>
      <c r="D7324" s="4"/>
      <c r="E7324" s="13"/>
      <c r="F7324" s="4"/>
      <c r="G7324" s="4"/>
    </row>
    <row r="7325">
      <c r="A7325" s="4"/>
      <c r="B7325" s="4"/>
      <c r="C7325" s="4"/>
      <c r="D7325" s="4"/>
      <c r="E7325" s="4"/>
      <c r="F7325" s="4"/>
      <c r="G7325" s="4"/>
    </row>
    <row r="7326">
      <c r="A7326" s="4"/>
      <c r="B7326" s="4"/>
      <c r="C7326" s="4"/>
      <c r="D7326" s="4"/>
      <c r="E7326" s="4"/>
      <c r="F7326" s="4"/>
      <c r="G7326" s="4"/>
    </row>
    <row r="7327">
      <c r="A7327" s="4"/>
      <c r="B7327" s="4"/>
      <c r="C7327" s="4"/>
      <c r="D7327" s="4"/>
      <c r="E7327" s="4"/>
      <c r="F7327" s="4"/>
      <c r="G7327" s="4"/>
    </row>
    <row r="7328">
      <c r="A7328" s="4"/>
      <c r="B7328" s="4"/>
      <c r="C7328" s="4"/>
      <c r="D7328" s="4"/>
      <c r="E7328" s="4"/>
      <c r="F7328" s="4"/>
      <c r="G7328" s="4"/>
    </row>
    <row r="7329">
      <c r="A7329" s="4"/>
      <c r="B7329" s="4"/>
      <c r="C7329" s="4"/>
      <c r="D7329" s="4"/>
      <c r="E7329" s="4"/>
      <c r="F7329" s="4"/>
      <c r="G7329" s="4"/>
    </row>
    <row r="7330">
      <c r="A7330" s="4"/>
      <c r="B7330" s="4"/>
      <c r="C7330" s="4"/>
      <c r="D7330" s="4"/>
      <c r="E7330" s="4"/>
      <c r="F7330" s="4"/>
      <c r="G7330" s="4"/>
    </row>
    <row r="7331">
      <c r="A7331" s="4"/>
      <c r="B7331" s="4"/>
      <c r="C7331" s="4"/>
      <c r="D7331" s="4"/>
      <c r="E7331" s="4"/>
      <c r="F7331" s="4"/>
      <c r="G7331" s="4"/>
    </row>
    <row r="7332">
      <c r="A7332" s="4"/>
      <c r="B7332" s="4"/>
      <c r="C7332" s="4"/>
      <c r="D7332" s="4"/>
      <c r="E7332" s="4"/>
      <c r="F7332" s="4"/>
      <c r="G7332" s="4"/>
    </row>
    <row r="7333">
      <c r="A7333" s="4"/>
      <c r="B7333" s="4"/>
      <c r="C7333" s="4"/>
      <c r="D7333" s="4"/>
      <c r="E7333" s="13"/>
      <c r="F7333" s="4"/>
      <c r="G7333" s="4"/>
    </row>
    <row r="7334">
      <c r="A7334" s="4"/>
      <c r="B7334" s="4"/>
      <c r="C7334" s="4"/>
      <c r="D7334" s="4"/>
      <c r="E7334" s="4"/>
      <c r="F7334" s="4"/>
      <c r="G7334" s="4"/>
    </row>
    <row r="7335">
      <c r="A7335" s="4"/>
      <c r="B7335" s="4"/>
      <c r="C7335" s="4"/>
      <c r="D7335" s="13"/>
      <c r="E7335" s="13"/>
      <c r="F7335" s="4"/>
      <c r="G7335" s="4"/>
    </row>
    <row r="7336">
      <c r="A7336" s="4"/>
      <c r="B7336" s="4"/>
      <c r="C7336" s="4"/>
      <c r="D7336" s="4"/>
      <c r="E7336" s="4"/>
      <c r="F7336" s="4"/>
      <c r="G7336" s="4"/>
    </row>
    <row r="7337">
      <c r="A7337" s="4"/>
      <c r="B7337" s="4"/>
      <c r="C7337" s="4"/>
      <c r="D7337" s="4"/>
      <c r="E7337" s="4"/>
      <c r="F7337" s="4"/>
      <c r="G7337" s="4"/>
    </row>
    <row r="7338">
      <c r="A7338" s="4"/>
      <c r="B7338" s="4"/>
      <c r="C7338" s="4"/>
      <c r="D7338" s="4"/>
      <c r="E7338" s="4"/>
      <c r="F7338" s="4"/>
      <c r="G7338" s="4"/>
    </row>
    <row r="7339">
      <c r="A7339" s="4"/>
      <c r="B7339" s="4"/>
      <c r="C7339" s="4"/>
      <c r="D7339" s="4"/>
      <c r="E7339" s="4"/>
      <c r="F7339" s="4"/>
      <c r="G7339" s="4"/>
    </row>
    <row r="7340">
      <c r="A7340" s="4"/>
      <c r="B7340" s="4"/>
      <c r="C7340" s="4"/>
      <c r="D7340" s="4"/>
      <c r="E7340" s="13"/>
      <c r="F7340" s="4"/>
      <c r="G7340" s="4"/>
    </row>
    <row r="7341">
      <c r="A7341" s="4"/>
      <c r="B7341" s="4"/>
      <c r="C7341" s="4"/>
      <c r="D7341" s="4"/>
      <c r="E7341" s="4"/>
      <c r="F7341" s="4"/>
      <c r="G7341" s="4"/>
    </row>
    <row r="7342">
      <c r="A7342" s="4"/>
      <c r="B7342" s="4"/>
      <c r="C7342" s="4"/>
      <c r="D7342" s="4"/>
      <c r="E7342" s="4"/>
      <c r="F7342" s="4"/>
      <c r="G7342" s="4"/>
    </row>
    <row r="7343">
      <c r="A7343" s="4"/>
      <c r="B7343" s="4"/>
      <c r="C7343" s="4"/>
      <c r="D7343" s="4"/>
      <c r="E7343" s="4"/>
      <c r="F7343" s="4"/>
      <c r="G7343" s="4"/>
    </row>
    <row r="7344">
      <c r="A7344" s="4"/>
      <c r="B7344" s="4"/>
      <c r="C7344" s="4"/>
      <c r="D7344" s="4"/>
      <c r="E7344" s="4"/>
      <c r="F7344" s="4"/>
      <c r="G7344" s="4"/>
    </row>
    <row r="7345">
      <c r="A7345" s="4"/>
      <c r="B7345" s="4"/>
      <c r="C7345" s="4"/>
      <c r="D7345" s="4"/>
      <c r="E7345" s="4"/>
      <c r="F7345" s="4"/>
      <c r="G7345" s="4"/>
    </row>
    <row r="7346">
      <c r="A7346" s="4"/>
      <c r="B7346" s="4"/>
      <c r="C7346" s="4"/>
      <c r="D7346" s="4"/>
      <c r="E7346" s="4"/>
      <c r="F7346" s="4"/>
      <c r="G7346" s="4"/>
    </row>
    <row r="7347">
      <c r="A7347" s="4"/>
      <c r="B7347" s="4"/>
      <c r="C7347" s="4"/>
      <c r="D7347" s="4"/>
      <c r="E7347" s="13"/>
      <c r="F7347" s="4"/>
      <c r="G7347" s="4"/>
    </row>
    <row r="7348">
      <c r="A7348" s="4"/>
      <c r="B7348" s="4"/>
      <c r="C7348" s="4"/>
      <c r="D7348" s="4"/>
      <c r="E7348" s="4"/>
      <c r="F7348" s="4"/>
      <c r="G7348" s="4"/>
    </row>
    <row r="7349">
      <c r="A7349" s="4"/>
      <c r="B7349" s="4"/>
      <c r="C7349" s="4"/>
      <c r="D7349" s="4"/>
      <c r="E7349" s="4"/>
      <c r="F7349" s="4"/>
      <c r="G7349" s="4"/>
    </row>
    <row r="7350">
      <c r="A7350" s="4"/>
      <c r="B7350" s="4"/>
      <c r="C7350" s="4"/>
      <c r="D7350" s="4"/>
      <c r="E7350" s="4"/>
      <c r="F7350" s="4"/>
      <c r="G7350" s="4"/>
    </row>
    <row r="7351">
      <c r="A7351" s="4"/>
      <c r="B7351" s="4"/>
      <c r="C7351" s="4"/>
      <c r="D7351" s="4"/>
      <c r="E7351" s="4"/>
      <c r="F7351" s="4"/>
      <c r="G7351" s="4"/>
    </row>
    <row r="7352">
      <c r="A7352" s="4"/>
      <c r="B7352" s="4"/>
      <c r="C7352" s="4"/>
      <c r="D7352" s="4"/>
      <c r="E7352" s="4"/>
      <c r="F7352" s="4"/>
      <c r="G7352" s="4"/>
    </row>
    <row r="7353">
      <c r="A7353" s="4"/>
      <c r="B7353" s="4"/>
      <c r="C7353" s="4"/>
      <c r="D7353" s="4"/>
      <c r="E7353" s="4"/>
      <c r="F7353" s="4"/>
      <c r="G7353" s="4"/>
    </row>
    <row r="7354">
      <c r="A7354" s="4"/>
      <c r="B7354" s="4"/>
      <c r="C7354" s="4"/>
      <c r="D7354" s="4"/>
      <c r="E7354" s="4"/>
      <c r="F7354" s="4"/>
      <c r="G7354" s="4"/>
    </row>
    <row r="7355">
      <c r="A7355" s="4"/>
      <c r="B7355" s="4"/>
      <c r="C7355" s="4"/>
      <c r="D7355" s="4"/>
      <c r="E7355" s="4"/>
      <c r="F7355" s="4"/>
      <c r="G7355" s="4"/>
    </row>
    <row r="7356">
      <c r="A7356" s="4"/>
      <c r="B7356" s="4"/>
      <c r="C7356" s="4"/>
      <c r="D7356" s="4"/>
      <c r="E7356" s="4"/>
      <c r="F7356" s="4"/>
      <c r="G7356" s="4"/>
    </row>
    <row r="7357">
      <c r="A7357" s="4"/>
      <c r="B7357" s="4"/>
      <c r="C7357" s="4"/>
      <c r="D7357" s="4"/>
      <c r="E7357" s="4"/>
      <c r="F7357" s="4"/>
      <c r="G7357" s="4"/>
    </row>
    <row r="7358">
      <c r="A7358" s="4"/>
      <c r="B7358" s="4"/>
      <c r="C7358" s="4"/>
      <c r="D7358" s="4"/>
      <c r="E7358" s="4"/>
      <c r="F7358" s="4"/>
      <c r="G7358" s="4"/>
    </row>
    <row r="7359">
      <c r="A7359" s="4"/>
      <c r="B7359" s="4"/>
      <c r="C7359" s="4"/>
      <c r="D7359" s="4"/>
      <c r="E7359" s="4"/>
      <c r="F7359" s="4"/>
      <c r="G7359" s="4"/>
    </row>
    <row r="7360">
      <c r="A7360" s="4"/>
      <c r="B7360" s="4"/>
      <c r="C7360" s="4"/>
      <c r="D7360" s="4"/>
      <c r="E7360" s="13"/>
      <c r="F7360" s="4"/>
      <c r="G7360" s="4"/>
    </row>
    <row r="7361">
      <c r="A7361" s="4"/>
      <c r="B7361" s="4"/>
      <c r="C7361" s="4"/>
      <c r="D7361" s="4"/>
      <c r="E7361" s="4"/>
      <c r="F7361" s="4"/>
      <c r="G7361" s="4"/>
    </row>
    <row r="7362">
      <c r="A7362" s="4"/>
      <c r="B7362" s="4"/>
      <c r="C7362" s="4"/>
      <c r="D7362" s="4"/>
      <c r="E7362" s="4"/>
      <c r="F7362" s="4"/>
      <c r="G7362" s="4"/>
    </row>
    <row r="7363">
      <c r="A7363" s="4"/>
      <c r="B7363" s="4"/>
      <c r="C7363" s="4"/>
      <c r="D7363" s="4"/>
      <c r="E7363" s="4"/>
      <c r="F7363" s="4"/>
      <c r="G7363" s="4"/>
    </row>
    <row r="7364">
      <c r="A7364" s="4"/>
      <c r="B7364" s="4"/>
      <c r="C7364" s="4"/>
      <c r="D7364" s="4"/>
      <c r="E7364" s="13"/>
      <c r="F7364" s="4"/>
      <c r="G7364" s="4"/>
    </row>
    <row r="7365">
      <c r="A7365" s="4"/>
      <c r="B7365" s="4"/>
      <c r="C7365" s="4"/>
      <c r="D7365" s="13"/>
      <c r="E7365" s="13"/>
      <c r="F7365" s="4"/>
      <c r="G7365" s="4"/>
    </row>
    <row r="7366">
      <c r="A7366" s="4"/>
      <c r="B7366" s="4"/>
      <c r="C7366" s="4"/>
      <c r="D7366" s="4"/>
      <c r="E7366" s="4"/>
      <c r="F7366" s="4"/>
      <c r="G7366" s="4"/>
    </row>
    <row r="7367">
      <c r="A7367" s="4"/>
      <c r="B7367" s="4"/>
      <c r="C7367" s="4"/>
      <c r="D7367" s="4"/>
      <c r="E7367" s="4"/>
      <c r="F7367" s="4"/>
      <c r="G7367" s="4"/>
    </row>
    <row r="7368">
      <c r="A7368" s="4"/>
      <c r="B7368" s="4"/>
      <c r="C7368" s="4"/>
      <c r="D7368" s="4"/>
      <c r="E7368" s="4"/>
      <c r="F7368" s="4"/>
      <c r="G7368" s="4"/>
    </row>
    <row r="7369">
      <c r="A7369" s="4"/>
      <c r="B7369" s="4"/>
      <c r="C7369" s="4"/>
      <c r="D7369" s="4"/>
      <c r="E7369" s="4"/>
      <c r="F7369" s="4"/>
      <c r="G7369" s="4"/>
    </row>
    <row r="7370">
      <c r="A7370" s="4"/>
      <c r="B7370" s="4"/>
      <c r="C7370" s="4"/>
      <c r="D7370" s="4"/>
      <c r="E7370" s="4"/>
      <c r="F7370" s="4"/>
      <c r="G7370" s="4"/>
    </row>
    <row r="7371">
      <c r="A7371" s="4"/>
      <c r="B7371" s="4"/>
      <c r="C7371" s="4"/>
      <c r="D7371" s="4"/>
      <c r="E7371" s="4"/>
      <c r="F7371" s="4"/>
      <c r="G7371" s="4"/>
    </row>
    <row r="7372">
      <c r="A7372" s="4"/>
      <c r="B7372" s="4"/>
      <c r="C7372" s="4"/>
      <c r="D7372" s="4"/>
      <c r="E7372" s="4"/>
      <c r="F7372" s="4"/>
      <c r="G7372" s="4"/>
    </row>
    <row r="7373">
      <c r="A7373" s="4"/>
      <c r="B7373" s="4"/>
      <c r="C7373" s="4"/>
      <c r="D7373" s="4"/>
      <c r="E7373" s="4"/>
      <c r="F7373" s="4"/>
      <c r="G7373" s="4"/>
    </row>
    <row r="7374">
      <c r="A7374" s="4"/>
      <c r="B7374" s="4"/>
      <c r="C7374" s="4"/>
      <c r="D7374" s="4"/>
      <c r="E7374" s="4"/>
      <c r="F7374" s="4"/>
      <c r="G7374" s="4"/>
    </row>
    <row r="7375">
      <c r="A7375" s="4"/>
      <c r="B7375" s="4"/>
      <c r="C7375" s="4"/>
      <c r="D7375" s="4"/>
      <c r="E7375" s="4"/>
      <c r="F7375" s="4"/>
      <c r="G7375" s="4"/>
    </row>
    <row r="7376">
      <c r="A7376" s="4"/>
      <c r="B7376" s="4"/>
      <c r="C7376" s="4"/>
      <c r="D7376" s="4"/>
      <c r="E7376" s="4"/>
      <c r="F7376" s="4"/>
      <c r="G7376" s="4"/>
    </row>
    <row r="7377">
      <c r="A7377" s="4"/>
      <c r="B7377" s="4"/>
      <c r="C7377" s="4"/>
      <c r="D7377" s="4"/>
      <c r="E7377" s="4"/>
      <c r="F7377" s="4"/>
      <c r="G7377" s="4"/>
    </row>
    <row r="7378">
      <c r="A7378" s="4"/>
      <c r="B7378" s="4"/>
      <c r="C7378" s="4"/>
      <c r="D7378" s="4"/>
      <c r="E7378" s="4"/>
      <c r="F7378" s="4"/>
      <c r="G7378" s="4"/>
    </row>
    <row r="7379">
      <c r="A7379" s="4"/>
      <c r="B7379" s="4"/>
      <c r="C7379" s="4"/>
      <c r="D7379" s="4"/>
      <c r="E7379" s="4"/>
      <c r="F7379" s="4"/>
      <c r="G7379" s="4"/>
    </row>
    <row r="7380">
      <c r="A7380" s="4"/>
      <c r="B7380" s="4"/>
      <c r="C7380" s="4"/>
      <c r="D7380" s="4"/>
      <c r="E7380" s="4"/>
      <c r="F7380" s="4"/>
      <c r="G7380" s="4"/>
    </row>
    <row r="7381">
      <c r="A7381" s="4"/>
      <c r="B7381" s="4"/>
      <c r="C7381" s="4"/>
      <c r="D7381" s="13"/>
      <c r="E7381" s="13"/>
      <c r="F7381" s="4"/>
      <c r="G7381" s="4"/>
    </row>
    <row r="7382">
      <c r="A7382" s="4"/>
      <c r="B7382" s="4"/>
      <c r="C7382" s="4"/>
      <c r="D7382" s="13"/>
      <c r="E7382" s="13"/>
      <c r="F7382" s="4"/>
      <c r="G7382" s="4"/>
    </row>
    <row r="7383">
      <c r="A7383" s="4"/>
      <c r="B7383" s="4"/>
      <c r="C7383" s="4"/>
      <c r="D7383" s="13"/>
      <c r="E7383" s="13"/>
      <c r="F7383" s="4"/>
      <c r="G7383" s="4"/>
    </row>
    <row r="7384">
      <c r="A7384" s="4"/>
      <c r="B7384" s="4"/>
      <c r="C7384" s="4"/>
      <c r="D7384" s="4"/>
      <c r="E7384" s="4"/>
      <c r="F7384" s="4"/>
      <c r="G7384" s="4"/>
    </row>
    <row r="7385">
      <c r="A7385" s="4"/>
      <c r="B7385" s="4"/>
      <c r="C7385" s="4"/>
      <c r="D7385" s="4"/>
      <c r="E7385" s="4"/>
      <c r="F7385" s="4"/>
      <c r="G7385" s="4"/>
    </row>
    <row r="7386">
      <c r="A7386" s="4"/>
      <c r="B7386" s="4"/>
      <c r="C7386" s="4"/>
      <c r="D7386" s="4"/>
      <c r="E7386" s="4"/>
      <c r="F7386" s="4"/>
      <c r="G7386" s="4"/>
    </row>
    <row r="7387">
      <c r="A7387" s="4"/>
      <c r="B7387" s="4"/>
      <c r="C7387" s="4"/>
      <c r="D7387" s="4"/>
      <c r="E7387" s="13"/>
      <c r="F7387" s="4"/>
      <c r="G7387" s="4"/>
    </row>
    <row r="7388">
      <c r="A7388" s="4"/>
      <c r="B7388" s="4"/>
      <c r="C7388" s="4"/>
      <c r="D7388" s="4"/>
      <c r="E7388" s="4"/>
      <c r="F7388" s="4"/>
      <c r="G7388" s="4"/>
    </row>
    <row r="7389">
      <c r="A7389" s="4"/>
      <c r="B7389" s="4"/>
      <c r="C7389" s="4"/>
      <c r="D7389" s="4"/>
      <c r="E7389" s="4"/>
      <c r="F7389" s="4"/>
      <c r="G7389" s="4"/>
    </row>
    <row r="7390">
      <c r="A7390" s="4"/>
      <c r="B7390" s="4"/>
      <c r="C7390" s="4"/>
      <c r="D7390" s="4"/>
      <c r="E7390" s="13"/>
      <c r="F7390" s="4"/>
      <c r="G7390" s="4"/>
    </row>
    <row r="7391">
      <c r="A7391" s="4"/>
      <c r="B7391" s="4"/>
      <c r="C7391" s="4"/>
      <c r="D7391" s="4"/>
      <c r="E7391" s="13"/>
      <c r="F7391" s="4"/>
      <c r="G7391" s="4"/>
    </row>
    <row r="7392">
      <c r="A7392" s="4"/>
      <c r="B7392" s="4"/>
      <c r="C7392" s="4"/>
      <c r="D7392" s="4"/>
      <c r="E7392" s="4"/>
      <c r="F7392" s="4"/>
      <c r="G7392" s="4"/>
    </row>
    <row r="7393">
      <c r="A7393" s="4"/>
      <c r="B7393" s="4"/>
      <c r="C7393" s="4"/>
      <c r="D7393" s="4"/>
      <c r="E7393" s="4"/>
      <c r="F7393" s="4"/>
      <c r="G7393" s="4"/>
    </row>
    <row r="7394">
      <c r="A7394" s="4"/>
      <c r="B7394" s="4"/>
      <c r="C7394" s="4"/>
      <c r="D7394" s="4"/>
      <c r="E7394" s="4"/>
      <c r="F7394" s="4"/>
      <c r="G7394" s="4"/>
    </row>
    <row r="7395">
      <c r="A7395" s="4"/>
      <c r="B7395" s="4"/>
      <c r="C7395" s="4"/>
      <c r="D7395" s="4"/>
      <c r="E7395" s="4"/>
      <c r="F7395" s="4"/>
      <c r="G7395" s="4"/>
    </row>
    <row r="7396">
      <c r="A7396" s="4"/>
      <c r="B7396" s="4"/>
      <c r="C7396" s="4"/>
      <c r="D7396" s="4"/>
      <c r="E7396" s="4"/>
      <c r="F7396" s="4"/>
      <c r="G7396" s="4"/>
    </row>
    <row r="7397">
      <c r="A7397" s="4"/>
      <c r="B7397" s="4"/>
      <c r="C7397" s="4"/>
      <c r="D7397" s="4"/>
      <c r="E7397" s="4"/>
      <c r="F7397" s="4"/>
      <c r="G7397" s="4"/>
    </row>
    <row r="7398">
      <c r="A7398" s="4"/>
      <c r="B7398" s="4"/>
      <c r="C7398" s="4"/>
      <c r="D7398" s="4"/>
      <c r="E7398" s="13"/>
      <c r="F7398" s="4"/>
      <c r="G7398" s="4"/>
    </row>
    <row r="7399">
      <c r="A7399" s="4"/>
      <c r="B7399" s="4"/>
      <c r="C7399" s="4"/>
      <c r="D7399" s="4"/>
      <c r="E7399" s="4"/>
      <c r="F7399" s="4"/>
      <c r="G7399" s="4"/>
    </row>
    <row r="7400">
      <c r="A7400" s="4"/>
      <c r="B7400" s="4"/>
      <c r="C7400" s="4"/>
      <c r="D7400" s="4"/>
      <c r="E7400" s="13"/>
      <c r="F7400" s="4"/>
      <c r="G7400" s="4"/>
    </row>
    <row r="7401">
      <c r="A7401" s="4"/>
      <c r="B7401" s="4"/>
      <c r="C7401" s="4"/>
      <c r="D7401" s="4"/>
      <c r="E7401" s="4"/>
      <c r="F7401" s="4"/>
      <c r="G7401" s="4"/>
    </row>
    <row r="7402">
      <c r="A7402" s="4"/>
      <c r="B7402" s="4"/>
      <c r="C7402" s="4"/>
      <c r="D7402" s="4"/>
      <c r="E7402" s="4"/>
      <c r="F7402" s="4"/>
      <c r="G7402" s="4"/>
    </row>
    <row r="7403">
      <c r="A7403" s="4"/>
      <c r="B7403" s="4"/>
      <c r="C7403" s="4"/>
      <c r="D7403" s="4"/>
      <c r="E7403" s="4"/>
      <c r="F7403" s="4"/>
      <c r="G7403" s="4"/>
    </row>
    <row r="7404">
      <c r="A7404" s="4"/>
      <c r="B7404" s="4"/>
      <c r="C7404" s="4"/>
      <c r="D7404" s="4"/>
      <c r="E7404" s="4"/>
      <c r="F7404" s="4"/>
      <c r="G7404" s="4"/>
    </row>
    <row r="7405">
      <c r="A7405" s="4"/>
      <c r="B7405" s="4"/>
      <c r="C7405" s="4"/>
      <c r="D7405" s="4"/>
      <c r="E7405" s="13"/>
      <c r="F7405" s="4"/>
      <c r="G7405" s="4"/>
    </row>
    <row r="7406">
      <c r="A7406" s="4"/>
      <c r="B7406" s="4"/>
      <c r="C7406" s="4"/>
      <c r="D7406" s="4"/>
      <c r="E7406" s="4"/>
      <c r="F7406" s="4"/>
      <c r="G7406" s="4"/>
    </row>
    <row r="7407">
      <c r="A7407" s="4"/>
      <c r="B7407" s="4"/>
      <c r="C7407" s="4"/>
      <c r="D7407" s="13"/>
      <c r="E7407" s="13"/>
      <c r="F7407" s="4"/>
      <c r="G7407" s="4"/>
    </row>
    <row r="7408">
      <c r="A7408" s="4"/>
      <c r="B7408" s="4"/>
      <c r="C7408" s="4"/>
      <c r="D7408" s="4"/>
      <c r="E7408" s="4"/>
      <c r="F7408" s="4"/>
      <c r="G7408" s="4"/>
    </row>
    <row r="7409">
      <c r="A7409" s="4"/>
      <c r="B7409" s="4"/>
      <c r="C7409" s="4"/>
      <c r="D7409" s="4"/>
      <c r="E7409" s="4"/>
      <c r="F7409" s="4"/>
      <c r="G7409" s="4"/>
    </row>
    <row r="7410">
      <c r="A7410" s="4"/>
      <c r="B7410" s="4"/>
      <c r="C7410" s="4"/>
      <c r="D7410" s="4"/>
      <c r="E7410" s="4"/>
      <c r="F7410" s="4"/>
      <c r="G7410" s="4"/>
    </row>
    <row r="7411">
      <c r="A7411" s="4"/>
      <c r="B7411" s="4"/>
      <c r="C7411" s="4"/>
      <c r="D7411" s="4"/>
      <c r="E7411" s="4"/>
      <c r="F7411" s="4"/>
      <c r="G7411" s="4"/>
    </row>
    <row r="7412">
      <c r="A7412" s="4"/>
      <c r="B7412" s="4"/>
      <c r="C7412" s="4"/>
      <c r="D7412" s="4"/>
      <c r="E7412" s="13"/>
      <c r="F7412" s="4"/>
      <c r="G7412" s="4"/>
    </row>
    <row r="7413">
      <c r="A7413" s="4"/>
      <c r="B7413" s="4"/>
      <c r="C7413" s="4"/>
      <c r="D7413" s="4"/>
      <c r="E7413" s="4"/>
      <c r="F7413" s="4"/>
      <c r="G7413" s="4"/>
    </row>
    <row r="7414">
      <c r="A7414" s="4"/>
      <c r="B7414" s="4"/>
      <c r="C7414" s="4"/>
      <c r="D7414" s="4"/>
      <c r="E7414" s="4"/>
      <c r="F7414" s="4"/>
      <c r="G7414" s="4"/>
    </row>
    <row r="7415">
      <c r="A7415" s="4"/>
      <c r="B7415" s="4"/>
      <c r="C7415" s="4"/>
      <c r="D7415" s="4"/>
      <c r="E7415" s="4"/>
      <c r="F7415" s="4"/>
      <c r="G7415" s="4"/>
    </row>
    <row r="7416">
      <c r="A7416" s="4"/>
      <c r="B7416" s="4"/>
      <c r="C7416" s="4"/>
      <c r="D7416" s="4"/>
      <c r="E7416" s="4"/>
      <c r="F7416" s="4"/>
      <c r="G7416" s="4"/>
    </row>
    <row r="7417">
      <c r="A7417" s="4"/>
      <c r="B7417" s="4"/>
      <c r="C7417" s="4"/>
      <c r="D7417" s="4"/>
      <c r="E7417" s="4"/>
      <c r="F7417" s="4"/>
      <c r="G7417" s="4"/>
    </row>
    <row r="7418">
      <c r="A7418" s="4"/>
      <c r="B7418" s="4"/>
      <c r="C7418" s="4"/>
      <c r="D7418" s="4"/>
      <c r="E7418" s="4"/>
      <c r="F7418" s="4"/>
      <c r="G7418" s="4"/>
    </row>
    <row r="7419">
      <c r="A7419" s="4"/>
      <c r="B7419" s="4"/>
      <c r="C7419" s="4"/>
      <c r="D7419" s="4"/>
      <c r="E7419" s="13"/>
      <c r="F7419" s="4"/>
      <c r="G7419" s="4"/>
    </row>
    <row r="7420">
      <c r="A7420" s="4"/>
      <c r="B7420" s="4"/>
      <c r="C7420" s="4"/>
      <c r="D7420" s="4"/>
      <c r="E7420" s="13"/>
      <c r="F7420" s="4"/>
      <c r="G7420" s="4"/>
    </row>
    <row r="7421">
      <c r="A7421" s="4"/>
      <c r="B7421" s="4"/>
      <c r="C7421" s="4"/>
      <c r="D7421" s="4"/>
      <c r="E7421" s="4"/>
      <c r="F7421" s="4"/>
      <c r="G7421" s="4"/>
    </row>
    <row r="7422">
      <c r="A7422" s="4"/>
      <c r="B7422" s="4"/>
      <c r="C7422" s="4"/>
      <c r="D7422" s="4"/>
      <c r="E7422" s="4"/>
      <c r="F7422" s="4"/>
      <c r="G7422" s="4"/>
    </row>
    <row r="7423">
      <c r="A7423" s="4"/>
      <c r="B7423" s="4"/>
      <c r="C7423" s="4"/>
      <c r="D7423" s="4"/>
      <c r="E7423" s="4"/>
      <c r="F7423" s="4"/>
      <c r="G7423" s="4"/>
    </row>
    <row r="7424">
      <c r="A7424" s="4"/>
      <c r="B7424" s="4"/>
      <c r="C7424" s="4"/>
      <c r="D7424" s="4"/>
      <c r="E7424" s="4"/>
      <c r="F7424" s="4"/>
      <c r="G7424" s="4"/>
    </row>
    <row r="7425">
      <c r="A7425" s="4"/>
      <c r="B7425" s="4"/>
      <c r="C7425" s="4"/>
      <c r="D7425" s="4"/>
      <c r="E7425" s="4"/>
      <c r="F7425" s="4"/>
      <c r="G7425" s="4"/>
    </row>
    <row r="7426">
      <c r="A7426" s="4"/>
      <c r="B7426" s="4"/>
      <c r="C7426" s="4"/>
      <c r="D7426" s="4"/>
      <c r="E7426" s="4"/>
      <c r="F7426" s="4"/>
      <c r="G7426" s="4"/>
    </row>
    <row r="7427">
      <c r="A7427" s="4"/>
      <c r="B7427" s="4"/>
      <c r="C7427" s="4"/>
      <c r="D7427" s="4"/>
      <c r="E7427" s="4"/>
      <c r="F7427" s="4"/>
      <c r="G7427" s="4"/>
    </row>
    <row r="7428">
      <c r="A7428" s="4"/>
      <c r="B7428" s="4"/>
      <c r="C7428" s="4"/>
      <c r="D7428" s="4"/>
      <c r="E7428" s="13"/>
      <c r="F7428" s="4"/>
      <c r="G7428" s="4"/>
    </row>
    <row r="7429">
      <c r="A7429" s="4"/>
      <c r="B7429" s="4"/>
      <c r="C7429" s="4"/>
      <c r="D7429" s="4"/>
      <c r="E7429" s="4"/>
      <c r="F7429" s="4"/>
      <c r="G7429" s="4"/>
    </row>
    <row r="7430">
      <c r="A7430" s="4"/>
      <c r="B7430" s="4"/>
      <c r="C7430" s="4"/>
      <c r="D7430" s="4"/>
      <c r="E7430" s="4"/>
      <c r="F7430" s="4"/>
      <c r="G7430" s="4"/>
    </row>
    <row r="7431">
      <c r="A7431" s="4"/>
      <c r="B7431" s="4"/>
      <c r="C7431" s="4"/>
      <c r="D7431" s="4"/>
      <c r="E7431" s="13"/>
      <c r="F7431" s="4"/>
      <c r="G7431" s="4"/>
    </row>
    <row r="7432">
      <c r="A7432" s="4"/>
      <c r="B7432" s="4"/>
      <c r="C7432" s="4"/>
      <c r="D7432" s="4"/>
      <c r="E7432" s="4"/>
      <c r="F7432" s="4"/>
      <c r="G7432" s="4"/>
    </row>
    <row r="7433">
      <c r="A7433" s="4"/>
      <c r="B7433" s="4"/>
      <c r="C7433" s="4"/>
      <c r="D7433" s="13"/>
      <c r="E7433" s="13"/>
      <c r="F7433" s="4"/>
      <c r="G7433" s="4"/>
    </row>
    <row r="7434">
      <c r="A7434" s="4"/>
      <c r="B7434" s="4"/>
      <c r="C7434" s="4"/>
      <c r="D7434" s="4"/>
      <c r="E7434" s="4"/>
      <c r="F7434" s="4"/>
      <c r="G7434" s="4"/>
    </row>
    <row r="7435">
      <c r="A7435" s="4"/>
      <c r="B7435" s="4"/>
      <c r="C7435" s="4"/>
      <c r="D7435" s="4"/>
      <c r="E7435" s="4"/>
      <c r="F7435" s="4"/>
      <c r="G7435" s="4"/>
    </row>
    <row r="7436">
      <c r="A7436" s="4"/>
      <c r="B7436" s="4"/>
      <c r="C7436" s="4"/>
      <c r="D7436" s="4"/>
      <c r="E7436" s="4"/>
      <c r="F7436" s="4"/>
      <c r="G7436" s="4"/>
    </row>
    <row r="7437">
      <c r="A7437" s="4"/>
      <c r="B7437" s="4"/>
      <c r="C7437" s="4"/>
      <c r="D7437" s="4"/>
      <c r="E7437" s="4"/>
      <c r="F7437" s="4"/>
      <c r="G7437" s="4"/>
    </row>
    <row r="7438">
      <c r="A7438" s="4"/>
      <c r="B7438" s="4"/>
      <c r="C7438" s="4"/>
      <c r="D7438" s="4"/>
      <c r="E7438" s="4"/>
      <c r="F7438" s="4"/>
      <c r="G7438" s="4"/>
    </row>
    <row r="7439">
      <c r="A7439" s="4"/>
      <c r="B7439" s="4"/>
      <c r="C7439" s="4"/>
      <c r="D7439" s="4"/>
      <c r="E7439" s="4"/>
      <c r="F7439" s="4"/>
      <c r="G7439" s="4"/>
    </row>
    <row r="7440">
      <c r="A7440" s="4"/>
      <c r="B7440" s="4"/>
      <c r="C7440" s="4"/>
      <c r="D7440" s="4"/>
      <c r="E7440" s="13"/>
      <c r="F7440" s="4"/>
      <c r="G7440" s="4"/>
    </row>
    <row r="7441">
      <c r="A7441" s="4"/>
      <c r="B7441" s="4"/>
      <c r="C7441" s="4"/>
      <c r="D7441" s="4"/>
      <c r="E7441" s="4"/>
      <c r="F7441" s="4"/>
      <c r="G7441" s="4"/>
    </row>
    <row r="7442">
      <c r="A7442" s="4"/>
      <c r="B7442" s="4"/>
      <c r="C7442" s="4"/>
      <c r="D7442" s="4"/>
      <c r="E7442" s="4"/>
      <c r="F7442" s="4"/>
      <c r="G7442" s="4"/>
    </row>
    <row r="7443">
      <c r="A7443" s="4"/>
      <c r="B7443" s="4"/>
      <c r="C7443" s="4"/>
      <c r="D7443" s="4"/>
      <c r="E7443" s="13"/>
      <c r="F7443" s="4"/>
      <c r="G7443" s="4"/>
    </row>
    <row r="7444">
      <c r="A7444" s="4"/>
      <c r="B7444" s="4"/>
      <c r="C7444" s="4"/>
      <c r="D7444" s="4"/>
      <c r="E7444" s="4"/>
      <c r="F7444" s="4"/>
      <c r="G7444" s="4"/>
    </row>
    <row r="7445">
      <c r="A7445" s="4"/>
      <c r="B7445" s="4"/>
      <c r="C7445" s="4"/>
      <c r="D7445" s="4"/>
      <c r="E7445" s="4"/>
      <c r="F7445" s="4"/>
      <c r="G7445" s="4"/>
    </row>
    <row r="7446">
      <c r="A7446" s="4"/>
      <c r="B7446" s="4"/>
      <c r="C7446" s="4"/>
      <c r="D7446" s="4"/>
      <c r="E7446" s="4"/>
      <c r="F7446" s="4"/>
      <c r="G7446" s="4"/>
    </row>
    <row r="7447">
      <c r="A7447" s="4"/>
      <c r="B7447" s="4"/>
      <c r="C7447" s="4"/>
      <c r="D7447" s="4"/>
      <c r="E7447" s="4"/>
      <c r="F7447" s="4"/>
      <c r="G7447" s="4"/>
    </row>
    <row r="7448">
      <c r="A7448" s="4"/>
      <c r="B7448" s="4"/>
      <c r="C7448" s="4"/>
      <c r="D7448" s="4"/>
      <c r="E7448" s="4"/>
      <c r="F7448" s="4"/>
      <c r="G7448" s="4"/>
    </row>
    <row r="7449">
      <c r="A7449" s="4"/>
      <c r="B7449" s="4"/>
      <c r="C7449" s="4"/>
      <c r="D7449" s="4"/>
      <c r="E7449" s="4"/>
      <c r="F7449" s="4"/>
      <c r="G7449" s="4"/>
    </row>
    <row r="7450">
      <c r="A7450" s="4"/>
      <c r="B7450" s="4"/>
      <c r="C7450" s="4"/>
      <c r="D7450" s="4"/>
      <c r="E7450" s="4"/>
      <c r="F7450" s="4"/>
      <c r="G7450" s="4"/>
    </row>
    <row r="7451">
      <c r="A7451" s="4"/>
      <c r="B7451" s="4"/>
      <c r="C7451" s="4"/>
      <c r="D7451" s="4"/>
      <c r="E7451" s="4"/>
      <c r="F7451" s="4"/>
      <c r="G7451" s="4"/>
    </row>
    <row r="7452">
      <c r="A7452" s="4"/>
      <c r="B7452" s="4"/>
      <c r="C7452" s="4"/>
      <c r="D7452" s="4"/>
      <c r="E7452" s="4"/>
      <c r="F7452" s="4"/>
      <c r="G7452" s="4"/>
    </row>
    <row r="7453">
      <c r="A7453" s="4"/>
      <c r="B7453" s="4"/>
      <c r="C7453" s="4"/>
      <c r="D7453" s="4"/>
      <c r="E7453" s="4"/>
      <c r="F7453" s="4"/>
      <c r="G7453" s="4"/>
    </row>
    <row r="7454">
      <c r="A7454" s="4"/>
      <c r="B7454" s="4"/>
      <c r="C7454" s="4"/>
      <c r="D7454" s="4"/>
      <c r="E7454" s="4"/>
      <c r="F7454" s="4"/>
      <c r="G7454" s="4"/>
    </row>
    <row r="7455">
      <c r="A7455" s="4"/>
      <c r="B7455" s="4"/>
      <c r="C7455" s="4"/>
      <c r="D7455" s="4"/>
      <c r="E7455" s="4"/>
      <c r="F7455" s="4"/>
      <c r="G7455" s="4"/>
    </row>
    <row r="7456">
      <c r="A7456" s="4"/>
      <c r="B7456" s="4"/>
      <c r="C7456" s="4"/>
      <c r="D7456" s="4"/>
      <c r="E7456" s="4"/>
      <c r="F7456" s="4"/>
      <c r="G7456" s="4"/>
    </row>
    <row r="7457">
      <c r="A7457" s="4"/>
      <c r="B7457" s="4"/>
      <c r="C7457" s="4"/>
      <c r="D7457" s="4"/>
      <c r="E7457" s="4"/>
      <c r="F7457" s="4"/>
      <c r="G7457" s="4"/>
    </row>
    <row r="7458">
      <c r="A7458" s="4"/>
      <c r="B7458" s="4"/>
      <c r="C7458" s="4"/>
      <c r="D7458" s="4"/>
      <c r="E7458" s="13"/>
      <c r="F7458" s="4"/>
      <c r="G7458" s="4"/>
    </row>
    <row r="7459">
      <c r="A7459" s="4"/>
      <c r="B7459" s="4"/>
      <c r="C7459" s="4"/>
      <c r="D7459" s="4"/>
      <c r="E7459" s="4"/>
      <c r="F7459" s="4"/>
      <c r="G7459" s="4"/>
    </row>
    <row r="7460">
      <c r="A7460" s="4"/>
      <c r="B7460" s="4"/>
      <c r="C7460" s="4"/>
      <c r="D7460" s="4"/>
      <c r="E7460" s="4"/>
      <c r="F7460" s="4"/>
      <c r="G7460" s="4"/>
    </row>
    <row r="7461">
      <c r="A7461" s="4"/>
      <c r="B7461" s="4"/>
      <c r="C7461" s="4"/>
      <c r="D7461" s="4"/>
      <c r="E7461" s="4"/>
      <c r="F7461" s="4"/>
      <c r="G7461" s="4"/>
    </row>
    <row r="7462">
      <c r="A7462" s="4"/>
      <c r="B7462" s="4"/>
      <c r="C7462" s="4"/>
      <c r="D7462" s="4"/>
      <c r="E7462" s="4"/>
      <c r="F7462" s="4"/>
      <c r="G7462" s="4"/>
    </row>
    <row r="7463">
      <c r="A7463" s="4"/>
      <c r="B7463" s="4"/>
      <c r="C7463" s="4"/>
      <c r="D7463" s="4"/>
      <c r="E7463" s="4"/>
      <c r="F7463" s="4"/>
      <c r="G7463" s="4"/>
    </row>
    <row r="7464">
      <c r="A7464" s="4"/>
      <c r="B7464" s="4"/>
      <c r="C7464" s="4"/>
      <c r="D7464" s="4"/>
      <c r="E7464" s="13"/>
      <c r="F7464" s="4"/>
      <c r="G7464" s="4"/>
    </row>
    <row r="7465">
      <c r="A7465" s="4"/>
      <c r="B7465" s="4"/>
      <c r="C7465" s="4"/>
      <c r="D7465" s="4"/>
      <c r="E7465" s="4"/>
      <c r="F7465" s="4"/>
      <c r="G7465" s="4"/>
    </row>
    <row r="7466">
      <c r="A7466" s="4"/>
      <c r="B7466" s="4"/>
      <c r="C7466" s="4"/>
      <c r="D7466" s="4"/>
      <c r="E7466" s="13"/>
      <c r="F7466" s="4"/>
      <c r="G7466" s="4"/>
    </row>
    <row r="7467">
      <c r="A7467" s="4"/>
      <c r="B7467" s="4"/>
      <c r="C7467" s="4"/>
      <c r="D7467" s="4"/>
      <c r="E7467" s="4"/>
      <c r="F7467" s="4"/>
      <c r="G7467" s="4"/>
    </row>
    <row r="7468">
      <c r="A7468" s="4"/>
      <c r="B7468" s="4"/>
      <c r="C7468" s="4"/>
      <c r="D7468" s="4"/>
      <c r="E7468" s="4"/>
      <c r="F7468" s="4"/>
      <c r="G7468" s="4"/>
    </row>
    <row r="7469">
      <c r="A7469" s="4"/>
      <c r="B7469" s="4"/>
      <c r="C7469" s="4"/>
      <c r="D7469" s="4"/>
      <c r="E7469" s="4"/>
      <c r="F7469" s="4"/>
      <c r="G7469" s="4"/>
    </row>
    <row r="7470">
      <c r="A7470" s="4"/>
      <c r="B7470" s="4"/>
      <c r="C7470" s="4"/>
      <c r="D7470" s="4"/>
      <c r="E7470" s="4"/>
      <c r="F7470" s="4"/>
      <c r="G7470" s="4"/>
    </row>
    <row r="7471">
      <c r="A7471" s="4"/>
      <c r="B7471" s="4"/>
      <c r="C7471" s="4"/>
      <c r="D7471" s="4"/>
      <c r="E7471" s="4"/>
      <c r="F7471" s="4"/>
      <c r="G7471" s="4"/>
    </row>
    <row r="7472">
      <c r="A7472" s="4"/>
      <c r="B7472" s="4"/>
      <c r="C7472" s="4"/>
      <c r="D7472" s="4"/>
      <c r="E7472" s="4"/>
      <c r="F7472" s="4"/>
      <c r="G7472" s="4"/>
    </row>
    <row r="7473">
      <c r="A7473" s="4"/>
      <c r="B7473" s="4"/>
      <c r="C7473" s="4"/>
      <c r="D7473" s="4"/>
      <c r="E7473" s="4"/>
      <c r="F7473" s="4"/>
      <c r="G7473" s="4"/>
    </row>
    <row r="7474">
      <c r="A7474" s="4"/>
      <c r="B7474" s="4"/>
      <c r="C7474" s="4"/>
      <c r="D7474" s="4"/>
      <c r="E7474" s="4"/>
      <c r="F7474" s="4"/>
      <c r="G7474" s="4"/>
    </row>
    <row r="7475">
      <c r="A7475" s="4"/>
      <c r="B7475" s="4"/>
      <c r="C7475" s="4"/>
      <c r="D7475" s="4"/>
      <c r="E7475" s="4"/>
      <c r="F7475" s="4"/>
      <c r="G7475" s="4"/>
    </row>
    <row r="7476">
      <c r="A7476" s="4"/>
      <c r="B7476" s="4"/>
      <c r="C7476" s="4"/>
      <c r="D7476" s="4"/>
      <c r="E7476" s="4"/>
      <c r="F7476" s="4"/>
      <c r="G7476" s="4"/>
    </row>
    <row r="7477">
      <c r="A7477" s="4"/>
      <c r="B7477" s="4"/>
      <c r="C7477" s="4"/>
      <c r="D7477" s="4"/>
      <c r="E7477" s="13"/>
      <c r="F7477" s="4"/>
      <c r="G7477" s="4"/>
    </row>
    <row r="7478">
      <c r="A7478" s="4"/>
      <c r="B7478" s="4"/>
      <c r="C7478" s="4"/>
      <c r="D7478" s="13"/>
      <c r="E7478" s="4"/>
      <c r="F7478" s="4"/>
      <c r="G7478" s="4"/>
    </row>
    <row r="7479">
      <c r="A7479" s="4"/>
      <c r="B7479" s="4"/>
      <c r="C7479" s="4"/>
      <c r="D7479" s="4"/>
      <c r="E7479" s="4"/>
      <c r="F7479" s="4"/>
      <c r="G7479" s="4"/>
    </row>
    <row r="7480">
      <c r="A7480" s="4"/>
      <c r="B7480" s="4"/>
      <c r="C7480" s="4"/>
      <c r="D7480" s="4"/>
      <c r="E7480" s="4"/>
      <c r="F7480" s="4"/>
      <c r="G7480" s="4"/>
    </row>
    <row r="7481">
      <c r="A7481" s="4"/>
      <c r="B7481" s="4"/>
      <c r="C7481" s="4"/>
      <c r="D7481" s="4"/>
      <c r="E7481" s="13"/>
      <c r="F7481" s="4"/>
      <c r="G7481" s="4"/>
    </row>
    <row r="7482">
      <c r="A7482" s="4"/>
      <c r="B7482" s="4"/>
      <c r="C7482" s="4"/>
      <c r="D7482" s="4"/>
      <c r="E7482" s="4"/>
      <c r="F7482" s="4"/>
      <c r="G7482" s="4"/>
    </row>
    <row r="7483">
      <c r="A7483" s="4"/>
      <c r="B7483" s="4"/>
      <c r="C7483" s="4"/>
      <c r="D7483" s="13"/>
      <c r="E7483" s="13"/>
      <c r="F7483" s="4"/>
      <c r="G7483" s="4"/>
    </row>
    <row r="7484">
      <c r="A7484" s="4"/>
      <c r="B7484" s="4"/>
      <c r="C7484" s="4"/>
      <c r="D7484" s="13"/>
      <c r="E7484" s="4"/>
      <c r="F7484" s="4"/>
      <c r="G7484" s="4"/>
    </row>
    <row r="7485">
      <c r="A7485" s="4"/>
      <c r="B7485" s="4"/>
      <c r="C7485" s="4"/>
      <c r="D7485" s="4"/>
      <c r="E7485" s="4"/>
      <c r="F7485" s="4"/>
      <c r="G7485" s="4"/>
    </row>
    <row r="7486">
      <c r="A7486" s="4"/>
      <c r="B7486" s="4"/>
      <c r="C7486" s="4"/>
      <c r="D7486" s="4"/>
      <c r="E7486" s="13"/>
      <c r="F7486" s="4"/>
      <c r="G7486" s="4"/>
    </row>
    <row r="7487">
      <c r="A7487" s="4"/>
      <c r="B7487" s="4"/>
      <c r="C7487" s="4"/>
      <c r="D7487" s="4"/>
      <c r="E7487" s="4"/>
      <c r="F7487" s="4"/>
      <c r="G7487" s="4"/>
    </row>
    <row r="7488">
      <c r="A7488" s="4"/>
      <c r="B7488" s="4"/>
      <c r="C7488" s="4"/>
      <c r="D7488" s="4"/>
      <c r="E7488" s="4"/>
      <c r="F7488" s="4"/>
      <c r="G7488" s="4"/>
    </row>
    <row r="7489">
      <c r="A7489" s="4"/>
      <c r="B7489" s="4"/>
      <c r="C7489" s="4"/>
      <c r="D7489" s="4"/>
      <c r="E7489" s="4"/>
      <c r="F7489" s="4"/>
      <c r="G7489" s="4"/>
    </row>
    <row r="7490">
      <c r="A7490" s="4"/>
      <c r="B7490" s="4"/>
      <c r="C7490" s="4"/>
      <c r="D7490" s="4"/>
      <c r="E7490" s="4"/>
      <c r="F7490" s="4"/>
      <c r="G7490" s="4"/>
    </row>
    <row r="7491">
      <c r="A7491" s="4"/>
      <c r="B7491" s="4"/>
      <c r="C7491" s="4"/>
      <c r="D7491" s="4"/>
      <c r="E7491" s="4"/>
      <c r="F7491" s="4"/>
      <c r="G7491" s="4"/>
    </row>
    <row r="7492">
      <c r="A7492" s="4"/>
      <c r="B7492" s="4"/>
      <c r="C7492" s="4"/>
      <c r="D7492" s="4"/>
      <c r="E7492" s="4"/>
      <c r="F7492" s="4"/>
      <c r="G7492" s="4"/>
    </row>
    <row r="7493">
      <c r="A7493" s="4"/>
      <c r="B7493" s="4"/>
      <c r="C7493" s="4"/>
      <c r="D7493" s="4"/>
      <c r="E7493" s="4"/>
      <c r="F7493" s="4"/>
      <c r="G7493" s="4"/>
    </row>
    <row r="7494">
      <c r="A7494" s="4"/>
      <c r="B7494" s="4"/>
      <c r="C7494" s="4"/>
      <c r="D7494" s="4"/>
      <c r="E7494" s="4"/>
      <c r="F7494" s="4"/>
      <c r="G7494" s="4"/>
    </row>
    <row r="7495">
      <c r="A7495" s="4"/>
      <c r="B7495" s="4"/>
      <c r="C7495" s="4"/>
      <c r="D7495" s="4"/>
      <c r="E7495" s="13"/>
      <c r="F7495" s="4"/>
      <c r="G7495" s="4"/>
    </row>
    <row r="7496">
      <c r="A7496" s="4"/>
      <c r="B7496" s="4"/>
      <c r="C7496" s="4"/>
      <c r="D7496" s="4"/>
      <c r="E7496" s="4"/>
      <c r="F7496" s="4"/>
      <c r="G7496" s="4"/>
    </row>
    <row r="7497">
      <c r="A7497" s="4"/>
      <c r="B7497" s="4"/>
      <c r="C7497" s="4"/>
      <c r="D7497" s="4"/>
      <c r="E7497" s="13"/>
      <c r="F7497" s="4"/>
      <c r="G7497" s="4"/>
    </row>
    <row r="7498">
      <c r="A7498" s="4"/>
      <c r="B7498" s="4"/>
      <c r="C7498" s="4"/>
      <c r="D7498" s="4"/>
      <c r="E7498" s="4"/>
      <c r="F7498" s="4"/>
      <c r="G7498" s="4"/>
    </row>
    <row r="7499">
      <c r="A7499" s="4"/>
      <c r="B7499" s="4"/>
      <c r="C7499" s="4"/>
      <c r="D7499" s="4"/>
      <c r="E7499" s="4"/>
      <c r="F7499" s="4"/>
      <c r="G7499" s="4"/>
    </row>
    <row r="7500">
      <c r="A7500" s="4"/>
      <c r="B7500" s="4"/>
      <c r="C7500" s="4"/>
      <c r="D7500" s="4"/>
      <c r="E7500" s="4"/>
      <c r="F7500" s="4"/>
      <c r="G7500" s="4"/>
    </row>
    <row r="7501">
      <c r="A7501" s="4"/>
      <c r="B7501" s="4"/>
      <c r="C7501" s="4"/>
      <c r="D7501" s="4"/>
      <c r="E7501" s="4"/>
      <c r="F7501" s="4"/>
      <c r="G7501" s="4"/>
    </row>
    <row r="7502">
      <c r="A7502" s="4"/>
      <c r="B7502" s="4"/>
      <c r="C7502" s="4"/>
      <c r="D7502" s="4"/>
      <c r="E7502" s="4"/>
      <c r="F7502" s="4"/>
      <c r="G7502" s="4"/>
    </row>
    <row r="7503">
      <c r="A7503" s="4"/>
      <c r="B7503" s="4"/>
      <c r="C7503" s="4"/>
      <c r="D7503" s="4"/>
      <c r="E7503" s="4"/>
      <c r="F7503" s="4"/>
      <c r="G7503" s="4"/>
    </row>
    <row r="7504">
      <c r="A7504" s="4"/>
      <c r="B7504" s="4"/>
      <c r="C7504" s="4"/>
      <c r="D7504" s="4"/>
      <c r="E7504" s="4"/>
      <c r="F7504" s="4"/>
      <c r="G7504" s="4"/>
    </row>
    <row r="7505">
      <c r="A7505" s="4"/>
      <c r="B7505" s="4"/>
      <c r="C7505" s="4"/>
      <c r="D7505" s="4"/>
      <c r="E7505" s="4"/>
      <c r="F7505" s="4"/>
      <c r="G7505" s="4"/>
    </row>
    <row r="7506">
      <c r="A7506" s="4"/>
      <c r="B7506" s="4"/>
      <c r="C7506" s="4"/>
      <c r="D7506" s="4"/>
      <c r="E7506" s="4"/>
      <c r="F7506" s="4"/>
      <c r="G7506" s="4"/>
    </row>
    <row r="7507">
      <c r="A7507" s="4"/>
      <c r="B7507" s="4"/>
      <c r="C7507" s="4"/>
      <c r="D7507" s="4"/>
      <c r="E7507" s="4"/>
      <c r="F7507" s="4"/>
      <c r="G7507" s="4"/>
    </row>
    <row r="7508">
      <c r="A7508" s="4"/>
      <c r="B7508" s="4"/>
      <c r="C7508" s="4"/>
      <c r="D7508" s="4"/>
      <c r="E7508" s="13"/>
      <c r="F7508" s="4"/>
      <c r="G7508" s="4"/>
    </row>
    <row r="7509">
      <c r="A7509" s="4"/>
      <c r="B7509" s="4"/>
      <c r="C7509" s="4"/>
      <c r="D7509" s="4"/>
      <c r="E7509" s="4"/>
      <c r="F7509" s="4"/>
      <c r="G7509" s="4"/>
    </row>
    <row r="7510">
      <c r="A7510" s="4"/>
      <c r="B7510" s="4"/>
      <c r="C7510" s="4"/>
      <c r="D7510" s="4"/>
      <c r="E7510" s="4"/>
      <c r="F7510" s="4"/>
      <c r="G7510" s="4"/>
    </row>
    <row r="7511">
      <c r="A7511" s="4"/>
      <c r="B7511" s="4"/>
      <c r="C7511" s="4"/>
      <c r="D7511" s="13"/>
      <c r="E7511" s="4"/>
      <c r="F7511" s="4"/>
      <c r="G7511" s="4"/>
    </row>
    <row r="7512">
      <c r="A7512" s="4"/>
      <c r="B7512" s="4"/>
      <c r="C7512" s="4"/>
      <c r="D7512" s="4"/>
      <c r="E7512" s="4"/>
      <c r="F7512" s="4"/>
      <c r="G7512" s="4"/>
    </row>
    <row r="7513">
      <c r="A7513" s="4"/>
      <c r="B7513" s="4"/>
      <c r="C7513" s="4"/>
      <c r="D7513" s="4"/>
      <c r="E7513" s="4"/>
      <c r="F7513" s="4"/>
      <c r="G7513" s="4"/>
    </row>
    <row r="7514">
      <c r="A7514" s="4"/>
      <c r="B7514" s="4"/>
      <c r="C7514" s="4"/>
      <c r="D7514" s="4"/>
      <c r="E7514" s="4"/>
      <c r="F7514" s="4"/>
      <c r="G7514" s="4"/>
    </row>
    <row r="7515">
      <c r="A7515" s="4"/>
      <c r="B7515" s="4"/>
      <c r="C7515" s="4"/>
      <c r="D7515" s="4"/>
      <c r="E7515" s="4"/>
      <c r="F7515" s="4"/>
      <c r="G7515" s="4"/>
    </row>
    <row r="7516">
      <c r="A7516" s="4"/>
      <c r="B7516" s="4"/>
      <c r="C7516" s="4"/>
      <c r="D7516" s="4"/>
      <c r="E7516" s="4"/>
      <c r="F7516" s="4"/>
      <c r="G7516" s="4"/>
    </row>
    <row r="7517">
      <c r="A7517" s="4"/>
      <c r="B7517" s="4"/>
      <c r="C7517" s="4"/>
      <c r="D7517" s="4"/>
      <c r="E7517" s="4"/>
      <c r="F7517" s="4"/>
      <c r="G7517" s="4"/>
    </row>
    <row r="7518">
      <c r="A7518" s="4"/>
      <c r="B7518" s="4"/>
      <c r="C7518" s="4"/>
      <c r="D7518" s="4"/>
      <c r="E7518" s="4"/>
      <c r="F7518" s="4"/>
      <c r="G7518" s="4"/>
    </row>
    <row r="7519">
      <c r="A7519" s="4"/>
      <c r="B7519" s="4"/>
      <c r="C7519" s="4"/>
      <c r="D7519" s="4"/>
      <c r="E7519" s="4"/>
      <c r="F7519" s="4"/>
      <c r="G7519" s="4"/>
    </row>
    <row r="7520">
      <c r="A7520" s="4"/>
      <c r="B7520" s="4"/>
      <c r="C7520" s="4"/>
      <c r="D7520" s="4"/>
      <c r="E7520" s="4"/>
      <c r="F7520" s="4"/>
      <c r="G7520" s="4"/>
    </row>
    <row r="7521">
      <c r="A7521" s="4"/>
      <c r="B7521" s="4"/>
      <c r="C7521" s="4"/>
      <c r="D7521" s="4"/>
      <c r="E7521" s="4"/>
      <c r="F7521" s="4"/>
      <c r="G7521" s="4"/>
    </row>
    <row r="7522">
      <c r="A7522" s="4"/>
      <c r="B7522" s="4"/>
      <c r="C7522" s="4"/>
      <c r="D7522" s="4"/>
      <c r="E7522" s="4"/>
      <c r="F7522" s="4"/>
      <c r="G7522" s="4"/>
    </row>
    <row r="7523">
      <c r="A7523" s="4"/>
      <c r="B7523" s="4"/>
      <c r="C7523" s="4"/>
      <c r="D7523" s="4"/>
      <c r="E7523" s="4"/>
      <c r="F7523" s="4"/>
      <c r="G7523" s="4"/>
    </row>
    <row r="7524">
      <c r="A7524" s="4"/>
      <c r="B7524" s="4"/>
      <c r="C7524" s="4"/>
      <c r="D7524" s="4"/>
      <c r="E7524" s="4"/>
      <c r="F7524" s="4"/>
      <c r="G7524" s="4"/>
    </row>
    <row r="7525">
      <c r="A7525" s="4"/>
      <c r="B7525" s="4"/>
      <c r="C7525" s="4"/>
      <c r="D7525" s="4"/>
      <c r="E7525" s="4"/>
      <c r="F7525" s="4"/>
      <c r="G7525" s="4"/>
    </row>
    <row r="7526">
      <c r="A7526" s="4"/>
      <c r="B7526" s="4"/>
      <c r="C7526" s="4"/>
      <c r="D7526" s="4"/>
      <c r="E7526" s="4"/>
      <c r="F7526" s="4"/>
      <c r="G7526" s="4"/>
    </row>
    <row r="7527">
      <c r="A7527" s="4"/>
      <c r="B7527" s="4"/>
      <c r="C7527" s="4"/>
      <c r="D7527" s="4"/>
      <c r="E7527" s="13"/>
      <c r="F7527" s="4"/>
      <c r="G7527" s="4"/>
    </row>
    <row r="7528">
      <c r="A7528" s="4"/>
      <c r="B7528" s="4"/>
      <c r="C7528" s="4"/>
      <c r="D7528" s="4"/>
      <c r="E7528" s="4"/>
      <c r="F7528" s="4"/>
      <c r="G7528" s="4"/>
    </row>
    <row r="7529">
      <c r="A7529" s="4"/>
      <c r="B7529" s="4"/>
      <c r="C7529" s="4"/>
      <c r="D7529" s="4"/>
      <c r="E7529" s="4"/>
      <c r="F7529" s="4"/>
      <c r="G7529" s="4"/>
    </row>
    <row r="7530">
      <c r="A7530" s="4"/>
      <c r="B7530" s="4"/>
      <c r="C7530" s="4"/>
      <c r="D7530" s="4"/>
      <c r="E7530" s="4"/>
      <c r="F7530" s="4"/>
      <c r="G7530" s="4"/>
    </row>
    <row r="7531">
      <c r="A7531" s="4"/>
      <c r="B7531" s="4"/>
      <c r="C7531" s="4"/>
      <c r="D7531" s="4"/>
      <c r="E7531" s="4"/>
      <c r="F7531" s="4"/>
      <c r="G7531" s="4"/>
    </row>
    <row r="7532">
      <c r="A7532" s="4"/>
      <c r="B7532" s="4"/>
      <c r="C7532" s="4"/>
      <c r="D7532" s="4"/>
      <c r="E7532" s="13"/>
      <c r="F7532" s="4"/>
      <c r="G7532" s="4"/>
    </row>
    <row r="7533">
      <c r="A7533" s="4"/>
      <c r="B7533" s="4"/>
      <c r="C7533" s="4"/>
      <c r="D7533" s="13"/>
      <c r="E7533" s="13"/>
      <c r="F7533" s="4"/>
      <c r="G7533" s="4"/>
    </row>
    <row r="7534">
      <c r="A7534" s="4"/>
      <c r="B7534" s="4"/>
      <c r="C7534" s="4"/>
      <c r="D7534" s="4"/>
      <c r="E7534" s="4"/>
      <c r="F7534" s="4"/>
      <c r="G7534" s="4"/>
    </row>
    <row r="7535">
      <c r="A7535" s="4"/>
      <c r="B7535" s="4"/>
      <c r="C7535" s="4"/>
      <c r="D7535" s="4"/>
      <c r="E7535" s="4"/>
      <c r="F7535" s="4"/>
      <c r="G7535" s="4"/>
    </row>
    <row r="7536">
      <c r="A7536" s="4"/>
      <c r="B7536" s="4"/>
      <c r="C7536" s="4"/>
      <c r="D7536" s="4"/>
      <c r="E7536" s="4"/>
      <c r="F7536" s="4"/>
      <c r="G7536" s="4"/>
    </row>
    <row r="7537">
      <c r="A7537" s="4"/>
      <c r="B7537" s="4"/>
      <c r="C7537" s="4"/>
      <c r="D7537" s="4"/>
      <c r="E7537" s="4"/>
      <c r="F7537" s="4"/>
      <c r="G7537" s="4"/>
    </row>
    <row r="7538">
      <c r="A7538" s="4"/>
      <c r="B7538" s="4"/>
      <c r="C7538" s="4"/>
      <c r="D7538" s="4"/>
      <c r="E7538" s="4"/>
      <c r="F7538" s="4"/>
      <c r="G7538" s="4"/>
    </row>
    <row r="7539">
      <c r="A7539" s="4"/>
      <c r="B7539" s="4"/>
      <c r="C7539" s="4"/>
      <c r="D7539" s="4"/>
      <c r="E7539" s="4"/>
      <c r="F7539" s="4"/>
      <c r="G7539" s="4"/>
    </row>
    <row r="7540">
      <c r="A7540" s="4"/>
      <c r="B7540" s="4"/>
      <c r="C7540" s="4"/>
      <c r="D7540" s="4"/>
      <c r="E7540" s="4"/>
      <c r="F7540" s="4"/>
      <c r="G7540" s="4"/>
    </row>
    <row r="7541">
      <c r="A7541" s="4"/>
      <c r="B7541" s="4"/>
      <c r="C7541" s="4"/>
      <c r="D7541" s="4"/>
      <c r="E7541" s="4"/>
      <c r="F7541" s="4"/>
      <c r="G7541" s="4"/>
    </row>
    <row r="7542">
      <c r="A7542" s="4"/>
      <c r="B7542" s="4"/>
      <c r="C7542" s="4"/>
      <c r="D7542" s="4"/>
      <c r="E7542" s="4"/>
      <c r="F7542" s="4"/>
      <c r="G7542" s="4"/>
    </row>
    <row r="7543">
      <c r="A7543" s="4"/>
      <c r="B7543" s="4"/>
      <c r="C7543" s="4"/>
      <c r="D7543" s="4"/>
      <c r="E7543" s="4"/>
      <c r="F7543" s="4"/>
      <c r="G7543" s="4"/>
    </row>
    <row r="7544">
      <c r="A7544" s="4"/>
      <c r="B7544" s="4"/>
      <c r="C7544" s="4"/>
      <c r="D7544" s="4"/>
      <c r="E7544" s="4"/>
      <c r="F7544" s="4"/>
      <c r="G7544" s="4"/>
    </row>
    <row r="7545">
      <c r="A7545" s="4"/>
      <c r="B7545" s="4"/>
      <c r="C7545" s="4"/>
      <c r="D7545" s="4"/>
      <c r="E7545" s="4"/>
      <c r="F7545" s="4"/>
      <c r="G7545" s="4"/>
    </row>
    <row r="7546">
      <c r="A7546" s="4"/>
      <c r="B7546" s="4"/>
      <c r="C7546" s="4"/>
      <c r="D7546" s="4"/>
      <c r="E7546" s="4"/>
      <c r="F7546" s="4"/>
      <c r="G7546" s="4"/>
    </row>
    <row r="7547">
      <c r="A7547" s="4"/>
      <c r="B7547" s="4"/>
      <c r="C7547" s="4"/>
      <c r="D7547" s="4"/>
      <c r="E7547" s="4"/>
      <c r="F7547" s="4"/>
      <c r="G7547" s="4"/>
    </row>
    <row r="7548">
      <c r="A7548" s="4"/>
      <c r="B7548" s="4"/>
      <c r="C7548" s="4"/>
      <c r="D7548" s="4"/>
      <c r="E7548" s="4"/>
      <c r="F7548" s="4"/>
      <c r="G7548" s="4"/>
    </row>
    <row r="7549">
      <c r="A7549" s="4"/>
      <c r="B7549" s="4"/>
      <c r="C7549" s="4"/>
      <c r="D7549" s="4"/>
      <c r="E7549" s="4"/>
      <c r="F7549" s="4"/>
      <c r="G7549" s="4"/>
    </row>
    <row r="7550">
      <c r="A7550" s="4"/>
      <c r="B7550" s="4"/>
      <c r="C7550" s="4"/>
      <c r="D7550" s="4"/>
      <c r="E7550" s="4"/>
      <c r="F7550" s="4"/>
      <c r="G7550" s="4"/>
    </row>
    <row r="7551">
      <c r="A7551" s="4"/>
      <c r="B7551" s="4"/>
      <c r="C7551" s="4"/>
      <c r="D7551" s="4"/>
      <c r="E7551" s="4"/>
      <c r="F7551" s="4"/>
      <c r="G7551" s="4"/>
    </row>
    <row r="7552">
      <c r="A7552" s="4"/>
      <c r="B7552" s="4"/>
      <c r="C7552" s="4"/>
      <c r="D7552" s="4"/>
      <c r="E7552" s="13"/>
      <c r="F7552" s="4"/>
      <c r="G7552" s="4"/>
    </row>
    <row r="7553">
      <c r="A7553" s="4"/>
      <c r="B7553" s="4"/>
      <c r="C7553" s="4"/>
      <c r="D7553" s="4"/>
      <c r="E7553" s="4"/>
      <c r="F7553" s="4"/>
      <c r="G7553" s="4"/>
    </row>
    <row r="7554">
      <c r="A7554" s="4"/>
      <c r="B7554" s="4"/>
      <c r="C7554" s="4"/>
      <c r="D7554" s="4"/>
      <c r="E7554" s="13"/>
      <c r="F7554" s="4"/>
      <c r="G7554" s="4"/>
    </row>
    <row r="7555">
      <c r="A7555" s="4"/>
      <c r="B7555" s="4"/>
      <c r="C7555" s="4"/>
      <c r="D7555" s="13"/>
      <c r="E7555" s="13"/>
      <c r="F7555" s="4"/>
      <c r="G7555" s="4"/>
    </row>
    <row r="7556">
      <c r="A7556" s="4"/>
      <c r="B7556" s="4"/>
      <c r="C7556" s="4"/>
      <c r="D7556" s="4"/>
      <c r="E7556" s="4"/>
      <c r="F7556" s="4"/>
      <c r="G7556" s="4"/>
    </row>
    <row r="7557">
      <c r="A7557" s="4"/>
      <c r="B7557" s="4"/>
      <c r="C7557" s="4"/>
      <c r="D7557" s="4"/>
      <c r="E7557" s="4"/>
      <c r="F7557" s="4"/>
      <c r="G7557" s="4"/>
    </row>
    <row r="7558">
      <c r="A7558" s="4"/>
      <c r="B7558" s="4"/>
      <c r="C7558" s="4"/>
      <c r="D7558" s="13"/>
      <c r="E7558" s="13"/>
      <c r="F7558" s="4"/>
      <c r="G7558" s="4"/>
    </row>
    <row r="7559">
      <c r="A7559" s="4"/>
      <c r="B7559" s="4"/>
      <c r="C7559" s="4"/>
      <c r="D7559" s="4"/>
      <c r="E7559" s="4"/>
      <c r="F7559" s="4"/>
      <c r="G7559" s="4"/>
    </row>
    <row r="7560">
      <c r="A7560" s="4"/>
      <c r="B7560" s="4"/>
      <c r="C7560" s="4"/>
      <c r="D7560" s="4"/>
      <c r="E7560" s="4"/>
      <c r="F7560" s="4"/>
      <c r="G7560" s="4"/>
    </row>
    <row r="7561">
      <c r="A7561" s="4"/>
      <c r="B7561" s="4"/>
      <c r="C7561" s="4"/>
      <c r="D7561" s="4"/>
      <c r="E7561" s="4"/>
      <c r="F7561" s="4"/>
      <c r="G7561" s="4"/>
    </row>
    <row r="7562">
      <c r="A7562" s="4"/>
      <c r="B7562" s="4"/>
      <c r="C7562" s="4"/>
      <c r="D7562" s="4"/>
      <c r="E7562" s="4"/>
      <c r="F7562" s="4"/>
      <c r="G7562" s="4"/>
    </row>
    <row r="7563">
      <c r="A7563" s="4"/>
      <c r="B7563" s="4"/>
      <c r="C7563" s="4"/>
      <c r="D7563" s="4"/>
      <c r="E7563" s="4"/>
      <c r="F7563" s="4"/>
      <c r="G7563" s="4"/>
    </row>
    <row r="7564">
      <c r="A7564" s="4"/>
      <c r="B7564" s="4"/>
      <c r="C7564" s="4"/>
      <c r="D7564" s="4"/>
      <c r="E7564" s="4"/>
      <c r="F7564" s="4"/>
      <c r="G7564" s="4"/>
    </row>
    <row r="7565">
      <c r="A7565" s="4"/>
      <c r="B7565" s="4"/>
      <c r="C7565" s="4"/>
      <c r="D7565" s="4"/>
      <c r="E7565" s="4"/>
      <c r="F7565" s="4"/>
      <c r="G7565" s="4"/>
    </row>
    <row r="7566">
      <c r="A7566" s="4"/>
      <c r="B7566" s="4"/>
      <c r="C7566" s="4"/>
      <c r="D7566" s="4"/>
      <c r="E7566" s="4"/>
      <c r="F7566" s="4"/>
      <c r="G7566" s="4"/>
    </row>
    <row r="7567">
      <c r="A7567" s="4"/>
      <c r="B7567" s="4"/>
      <c r="C7567" s="4"/>
      <c r="D7567" s="4"/>
      <c r="E7567" s="4"/>
      <c r="F7567" s="4"/>
      <c r="G7567" s="4"/>
    </row>
    <row r="7568">
      <c r="A7568" s="4"/>
      <c r="B7568" s="4"/>
      <c r="C7568" s="4"/>
      <c r="D7568" s="4"/>
      <c r="E7568" s="4"/>
      <c r="F7568" s="4"/>
      <c r="G7568" s="4"/>
    </row>
    <row r="7569">
      <c r="A7569" s="4"/>
      <c r="B7569" s="4"/>
      <c r="C7569" s="4"/>
      <c r="D7569" s="4"/>
      <c r="E7569" s="4"/>
      <c r="F7569" s="4"/>
      <c r="G7569" s="4"/>
    </row>
    <row r="7570">
      <c r="A7570" s="4"/>
      <c r="B7570" s="4"/>
      <c r="C7570" s="4"/>
      <c r="D7570" s="4"/>
      <c r="E7570" s="4"/>
      <c r="F7570" s="4"/>
      <c r="G7570" s="4"/>
    </row>
    <row r="7571">
      <c r="A7571" s="4"/>
      <c r="B7571" s="4"/>
      <c r="C7571" s="4"/>
      <c r="D7571" s="4"/>
      <c r="E7571" s="4"/>
      <c r="F7571" s="4"/>
      <c r="G7571" s="4"/>
    </row>
    <row r="7572">
      <c r="A7572" s="4"/>
      <c r="B7572" s="4"/>
      <c r="C7572" s="4"/>
      <c r="D7572" s="13"/>
      <c r="E7572" s="13"/>
      <c r="F7572" s="4"/>
      <c r="G7572" s="4"/>
    </row>
    <row r="7573">
      <c r="A7573" s="4"/>
      <c r="B7573" s="4"/>
      <c r="C7573" s="4"/>
      <c r="D7573" s="4"/>
      <c r="E7573" s="4"/>
      <c r="F7573" s="4"/>
      <c r="G7573" s="4"/>
    </row>
    <row r="7574">
      <c r="A7574" s="4"/>
      <c r="B7574" s="4"/>
      <c r="C7574" s="4"/>
      <c r="D7574" s="4"/>
      <c r="E7574" s="4"/>
      <c r="F7574" s="4"/>
      <c r="G7574" s="4"/>
    </row>
    <row r="7575">
      <c r="A7575" s="4"/>
      <c r="B7575" s="4"/>
      <c r="C7575" s="4"/>
      <c r="D7575" s="4"/>
      <c r="E7575" s="4"/>
      <c r="F7575" s="4"/>
      <c r="G7575" s="4"/>
    </row>
    <row r="7576">
      <c r="A7576" s="4"/>
      <c r="B7576" s="4"/>
      <c r="C7576" s="4"/>
      <c r="D7576" s="4"/>
      <c r="E7576" s="4"/>
      <c r="F7576" s="4"/>
      <c r="G7576" s="4"/>
    </row>
    <row r="7577">
      <c r="A7577" s="4"/>
      <c r="B7577" s="4"/>
      <c r="C7577" s="4"/>
      <c r="D7577" s="13"/>
      <c r="E7577" s="13"/>
      <c r="F7577" s="4"/>
      <c r="G7577" s="4"/>
    </row>
    <row r="7578">
      <c r="A7578" s="4"/>
      <c r="B7578" s="4"/>
      <c r="C7578" s="4"/>
      <c r="D7578" s="4"/>
      <c r="E7578" s="4"/>
      <c r="F7578" s="4"/>
      <c r="G7578" s="4"/>
    </row>
    <row r="7579">
      <c r="A7579" s="4"/>
      <c r="B7579" s="4"/>
      <c r="C7579" s="4"/>
      <c r="D7579" s="4"/>
      <c r="E7579" s="4"/>
      <c r="F7579" s="4"/>
      <c r="G7579" s="4"/>
    </row>
    <row r="7580">
      <c r="A7580" s="4"/>
      <c r="B7580" s="4"/>
      <c r="C7580" s="4"/>
      <c r="D7580" s="4"/>
      <c r="E7580" s="4"/>
      <c r="F7580" s="4"/>
      <c r="G7580" s="4"/>
    </row>
    <row r="7581">
      <c r="A7581" s="4"/>
      <c r="B7581" s="4"/>
      <c r="C7581" s="4"/>
      <c r="D7581" s="13"/>
      <c r="E7581" s="13"/>
      <c r="F7581" s="4"/>
      <c r="G7581" s="4"/>
    </row>
    <row r="7582">
      <c r="A7582" s="4"/>
      <c r="B7582" s="4"/>
      <c r="C7582" s="4"/>
      <c r="D7582" s="4"/>
      <c r="E7582" s="4"/>
      <c r="F7582" s="4"/>
      <c r="G7582" s="4"/>
    </row>
    <row r="7583">
      <c r="A7583" s="4"/>
      <c r="B7583" s="4"/>
      <c r="C7583" s="4"/>
      <c r="D7583" s="13"/>
      <c r="E7583" s="13"/>
      <c r="F7583" s="4"/>
      <c r="G7583" s="4"/>
    </row>
    <row r="7584">
      <c r="A7584" s="4"/>
      <c r="B7584" s="4"/>
      <c r="C7584" s="4"/>
      <c r="D7584" s="4"/>
      <c r="E7584" s="13"/>
      <c r="F7584" s="4"/>
      <c r="G7584" s="4"/>
    </row>
    <row r="7585">
      <c r="A7585" s="4"/>
      <c r="B7585" s="4"/>
      <c r="C7585" s="4"/>
      <c r="D7585" s="4"/>
      <c r="E7585" s="13"/>
      <c r="F7585" s="4"/>
      <c r="G7585" s="4"/>
    </row>
    <row r="7586">
      <c r="A7586" s="4"/>
      <c r="B7586" s="4"/>
      <c r="C7586" s="4"/>
      <c r="D7586" s="4"/>
      <c r="E7586" s="4"/>
      <c r="F7586" s="4"/>
      <c r="G7586" s="4"/>
    </row>
    <row r="7587">
      <c r="A7587" s="4"/>
      <c r="B7587" s="4"/>
      <c r="C7587" s="4"/>
      <c r="D7587" s="4"/>
      <c r="E7587" s="4"/>
      <c r="F7587" s="4"/>
      <c r="G7587" s="4"/>
    </row>
    <row r="7588">
      <c r="A7588" s="4"/>
      <c r="B7588" s="4"/>
      <c r="C7588" s="4"/>
      <c r="D7588" s="4"/>
      <c r="E7588" s="13"/>
      <c r="F7588" s="4"/>
      <c r="G7588" s="4"/>
    </row>
    <row r="7589">
      <c r="A7589" s="4"/>
      <c r="B7589" s="4"/>
      <c r="C7589" s="4"/>
      <c r="D7589" s="4"/>
      <c r="E7589" s="4"/>
      <c r="F7589" s="4"/>
      <c r="G7589" s="4"/>
    </row>
    <row r="7590">
      <c r="A7590" s="4"/>
      <c r="B7590" s="4"/>
      <c r="C7590" s="4"/>
      <c r="D7590" s="4"/>
      <c r="E7590" s="4"/>
      <c r="F7590" s="4"/>
      <c r="G7590" s="4"/>
    </row>
    <row r="7591">
      <c r="A7591" s="4"/>
      <c r="B7591" s="4"/>
      <c r="C7591" s="4"/>
      <c r="D7591" s="4"/>
      <c r="E7591" s="4"/>
      <c r="F7591" s="4"/>
      <c r="G7591" s="4"/>
    </row>
    <row r="7592">
      <c r="A7592" s="4"/>
      <c r="B7592" s="4"/>
      <c r="C7592" s="4"/>
      <c r="D7592" s="4"/>
      <c r="E7592" s="4"/>
      <c r="F7592" s="4"/>
      <c r="G7592" s="4"/>
    </row>
    <row r="7593">
      <c r="A7593" s="4"/>
      <c r="B7593" s="4"/>
      <c r="C7593" s="4"/>
      <c r="D7593" s="4"/>
      <c r="E7593" s="4"/>
      <c r="F7593" s="4"/>
      <c r="G7593" s="4"/>
    </row>
    <row r="7594">
      <c r="A7594" s="4"/>
      <c r="B7594" s="4"/>
      <c r="C7594" s="4"/>
      <c r="D7594" s="4"/>
      <c r="E7594" s="4"/>
      <c r="F7594" s="4"/>
      <c r="G7594" s="4"/>
    </row>
    <row r="7595">
      <c r="A7595" s="4"/>
      <c r="B7595" s="4"/>
      <c r="C7595" s="4"/>
      <c r="D7595" s="4"/>
      <c r="E7595" s="13"/>
      <c r="F7595" s="4"/>
      <c r="G7595" s="4"/>
    </row>
    <row r="7596">
      <c r="A7596" s="4"/>
      <c r="B7596" s="4"/>
      <c r="C7596" s="4"/>
      <c r="D7596" s="4"/>
      <c r="E7596" s="4"/>
      <c r="F7596" s="4"/>
      <c r="G7596" s="4"/>
    </row>
    <row r="7597">
      <c r="A7597" s="4"/>
      <c r="B7597" s="4"/>
      <c r="C7597" s="4"/>
      <c r="D7597" s="4"/>
      <c r="E7597" s="4"/>
      <c r="F7597" s="4"/>
      <c r="G7597" s="4"/>
    </row>
    <row r="7598">
      <c r="A7598" s="4"/>
      <c r="B7598" s="4"/>
      <c r="C7598" s="4"/>
      <c r="D7598" s="4"/>
      <c r="E7598" s="13"/>
      <c r="F7598" s="4"/>
      <c r="G7598" s="4"/>
    </row>
    <row r="7599">
      <c r="A7599" s="4"/>
      <c r="B7599" s="4"/>
      <c r="C7599" s="4"/>
      <c r="D7599" s="4"/>
      <c r="E7599" s="4"/>
      <c r="F7599" s="4"/>
      <c r="G7599" s="4"/>
    </row>
    <row r="7600">
      <c r="A7600" s="4"/>
      <c r="B7600" s="4"/>
      <c r="C7600" s="4"/>
      <c r="D7600" s="4"/>
      <c r="E7600" s="4"/>
      <c r="F7600" s="4"/>
      <c r="G7600" s="4"/>
    </row>
    <row r="7601">
      <c r="A7601" s="4"/>
      <c r="B7601" s="4"/>
      <c r="C7601" s="4"/>
      <c r="D7601" s="4"/>
      <c r="E7601" s="4"/>
      <c r="F7601" s="4"/>
      <c r="G7601" s="4"/>
    </row>
    <row r="7602">
      <c r="A7602" s="4"/>
      <c r="B7602" s="4"/>
      <c r="C7602" s="4"/>
      <c r="D7602" s="4"/>
      <c r="E7602" s="4"/>
      <c r="F7602" s="4"/>
      <c r="G7602" s="4"/>
    </row>
    <row r="7603">
      <c r="A7603" s="4"/>
      <c r="B7603" s="4"/>
      <c r="C7603" s="4"/>
      <c r="D7603" s="4"/>
      <c r="E7603" s="4"/>
      <c r="F7603" s="4"/>
      <c r="G7603" s="4"/>
    </row>
    <row r="7604">
      <c r="A7604" s="4"/>
      <c r="B7604" s="4"/>
      <c r="C7604" s="4"/>
      <c r="D7604" s="4"/>
      <c r="E7604" s="4"/>
      <c r="F7604" s="4"/>
      <c r="G7604" s="4"/>
    </row>
    <row r="7605">
      <c r="A7605" s="4"/>
      <c r="B7605" s="4"/>
      <c r="C7605" s="4"/>
      <c r="D7605" s="4"/>
      <c r="E7605" s="4"/>
      <c r="F7605" s="4"/>
      <c r="G7605" s="4"/>
    </row>
    <row r="7606">
      <c r="A7606" s="4"/>
      <c r="B7606" s="4"/>
      <c r="C7606" s="4"/>
      <c r="D7606" s="4"/>
      <c r="E7606" s="4"/>
      <c r="F7606" s="4"/>
      <c r="G7606" s="4"/>
    </row>
    <row r="7607">
      <c r="A7607" s="4"/>
      <c r="B7607" s="4"/>
      <c r="C7607" s="4"/>
      <c r="D7607" s="4"/>
      <c r="E7607" s="13"/>
      <c r="F7607" s="4"/>
      <c r="G7607" s="4"/>
    </row>
    <row r="7608">
      <c r="A7608" s="4"/>
      <c r="B7608" s="4"/>
      <c r="C7608" s="4"/>
      <c r="D7608" s="13"/>
      <c r="E7608" s="13"/>
      <c r="F7608" s="4"/>
      <c r="G7608" s="4"/>
    </row>
    <row r="7609">
      <c r="A7609" s="4"/>
      <c r="B7609" s="4"/>
      <c r="C7609" s="4"/>
      <c r="D7609" s="4"/>
      <c r="E7609" s="4"/>
      <c r="F7609" s="4"/>
      <c r="G7609" s="4"/>
    </row>
    <row r="7610">
      <c r="A7610" s="4"/>
      <c r="B7610" s="4"/>
      <c r="C7610" s="4"/>
      <c r="D7610" s="4"/>
      <c r="E7610" s="4"/>
      <c r="F7610" s="4"/>
      <c r="G7610" s="4"/>
    </row>
    <row r="7611">
      <c r="A7611" s="4"/>
      <c r="B7611" s="4"/>
      <c r="C7611" s="4"/>
      <c r="D7611" s="4"/>
      <c r="E7611" s="4"/>
      <c r="F7611" s="4"/>
      <c r="G7611" s="4"/>
    </row>
    <row r="7612">
      <c r="A7612" s="4"/>
      <c r="B7612" s="4"/>
      <c r="C7612" s="4"/>
      <c r="D7612" s="4"/>
      <c r="E7612" s="4"/>
      <c r="F7612" s="4"/>
      <c r="G7612" s="4"/>
    </row>
    <row r="7613">
      <c r="A7613" s="4"/>
      <c r="B7613" s="4"/>
      <c r="C7613" s="4"/>
      <c r="D7613" s="4"/>
      <c r="E7613" s="4"/>
      <c r="F7613" s="4"/>
      <c r="G7613" s="4"/>
    </row>
    <row r="7614">
      <c r="A7614" s="4"/>
      <c r="B7614" s="4"/>
      <c r="C7614" s="4"/>
      <c r="D7614" s="4"/>
      <c r="E7614" s="13"/>
      <c r="F7614" s="4"/>
      <c r="G7614" s="4"/>
    </row>
    <row r="7615">
      <c r="A7615" s="4"/>
      <c r="B7615" s="4"/>
      <c r="C7615" s="4"/>
      <c r="D7615" s="4"/>
      <c r="E7615" s="13"/>
      <c r="F7615" s="4"/>
      <c r="G7615" s="4"/>
    </row>
    <row r="7616">
      <c r="A7616" s="4"/>
      <c r="B7616" s="4"/>
      <c r="C7616" s="4"/>
      <c r="D7616" s="4"/>
      <c r="E7616" s="4"/>
      <c r="F7616" s="4"/>
      <c r="G7616" s="4"/>
    </row>
    <row r="7617">
      <c r="A7617" s="4"/>
      <c r="B7617" s="4"/>
      <c r="C7617" s="4"/>
      <c r="D7617" s="4"/>
      <c r="E7617" s="4"/>
      <c r="F7617" s="4"/>
      <c r="G7617" s="4"/>
    </row>
    <row r="7618">
      <c r="A7618" s="4"/>
      <c r="B7618" s="4"/>
      <c r="C7618" s="4"/>
      <c r="D7618" s="4"/>
      <c r="E7618" s="4"/>
      <c r="F7618" s="4"/>
      <c r="G7618" s="4"/>
    </row>
    <row r="7619">
      <c r="A7619" s="4"/>
      <c r="B7619" s="4"/>
      <c r="C7619" s="4"/>
      <c r="D7619" s="4"/>
      <c r="E7619" s="4"/>
      <c r="F7619" s="4"/>
      <c r="G7619" s="4"/>
    </row>
    <row r="7620">
      <c r="A7620" s="4"/>
      <c r="B7620" s="4"/>
      <c r="C7620" s="4"/>
      <c r="D7620" s="4"/>
      <c r="E7620" s="4"/>
      <c r="F7620" s="4"/>
      <c r="G7620" s="4"/>
    </row>
    <row r="7621">
      <c r="A7621" s="4"/>
      <c r="B7621" s="4"/>
      <c r="C7621" s="4"/>
      <c r="D7621" s="4"/>
      <c r="E7621" s="4"/>
      <c r="F7621" s="4"/>
      <c r="G7621" s="4"/>
    </row>
    <row r="7622">
      <c r="A7622" s="4"/>
      <c r="B7622" s="4"/>
      <c r="C7622" s="4"/>
      <c r="D7622" s="13"/>
      <c r="E7622" s="13"/>
      <c r="F7622" s="4"/>
      <c r="G7622" s="4"/>
    </row>
    <row r="7623">
      <c r="A7623" s="4"/>
      <c r="B7623" s="4"/>
      <c r="C7623" s="4"/>
      <c r="D7623" s="13"/>
      <c r="E7623" s="13"/>
      <c r="F7623" s="4"/>
      <c r="G7623" s="4"/>
    </row>
    <row r="7624">
      <c r="A7624" s="4"/>
      <c r="B7624" s="4"/>
      <c r="C7624" s="4"/>
      <c r="D7624" s="4"/>
      <c r="E7624" s="13"/>
      <c r="F7624" s="4"/>
      <c r="G7624" s="4"/>
    </row>
    <row r="7625">
      <c r="A7625" s="4"/>
      <c r="B7625" s="4"/>
      <c r="C7625" s="4"/>
      <c r="D7625" s="4"/>
      <c r="E7625" s="4"/>
      <c r="F7625" s="4"/>
      <c r="G7625" s="4"/>
    </row>
    <row r="7626">
      <c r="A7626" s="4"/>
      <c r="B7626" s="4"/>
      <c r="C7626" s="4"/>
      <c r="D7626" s="4"/>
      <c r="E7626" s="13"/>
      <c r="F7626" s="4"/>
      <c r="G7626" s="4"/>
    </row>
    <row r="7627">
      <c r="A7627" s="4"/>
      <c r="B7627" s="4"/>
      <c r="C7627" s="4"/>
      <c r="D7627" s="4"/>
      <c r="E7627" s="4"/>
      <c r="F7627" s="4"/>
      <c r="G7627" s="4"/>
    </row>
    <row r="7628">
      <c r="A7628" s="4"/>
      <c r="B7628" s="4"/>
      <c r="C7628" s="4"/>
      <c r="D7628" s="4"/>
      <c r="E7628" s="4"/>
      <c r="F7628" s="4"/>
      <c r="G7628" s="4"/>
    </row>
    <row r="7629">
      <c r="A7629" s="4"/>
      <c r="B7629" s="4"/>
      <c r="C7629" s="4"/>
      <c r="D7629" s="4"/>
      <c r="E7629" s="4"/>
      <c r="F7629" s="4"/>
      <c r="G7629" s="4"/>
    </row>
    <row r="7630">
      <c r="A7630" s="4"/>
      <c r="B7630" s="4"/>
      <c r="C7630" s="4"/>
      <c r="D7630" s="4"/>
      <c r="E7630" s="13"/>
      <c r="F7630" s="4"/>
      <c r="G7630" s="4"/>
    </row>
    <row r="7631">
      <c r="A7631" s="4"/>
      <c r="B7631" s="4"/>
      <c r="C7631" s="4"/>
      <c r="D7631" s="13"/>
      <c r="E7631" s="4"/>
      <c r="F7631" s="4"/>
      <c r="G7631" s="4"/>
    </row>
    <row r="7632">
      <c r="A7632" s="4"/>
      <c r="B7632" s="4"/>
      <c r="C7632" s="4"/>
      <c r="D7632" s="4"/>
      <c r="E7632" s="4"/>
      <c r="F7632" s="4"/>
      <c r="G7632" s="4"/>
    </row>
    <row r="7633">
      <c r="A7633" s="4"/>
      <c r="B7633" s="4"/>
      <c r="C7633" s="4"/>
      <c r="D7633" s="4"/>
      <c r="E7633" s="4"/>
      <c r="F7633" s="4"/>
      <c r="G7633" s="4"/>
    </row>
    <row r="7634">
      <c r="A7634" s="4"/>
      <c r="B7634" s="4"/>
      <c r="C7634" s="4"/>
      <c r="D7634" s="4"/>
      <c r="E7634" s="13"/>
      <c r="F7634" s="4"/>
      <c r="G7634" s="4"/>
    </row>
    <row r="7635">
      <c r="A7635" s="4"/>
      <c r="B7635" s="4"/>
      <c r="C7635" s="4"/>
      <c r="D7635" s="4"/>
      <c r="E7635" s="4"/>
      <c r="F7635" s="4"/>
      <c r="G7635" s="4"/>
    </row>
    <row r="7636">
      <c r="A7636" s="4"/>
      <c r="B7636" s="4"/>
      <c r="C7636" s="4"/>
      <c r="D7636" s="4"/>
      <c r="E7636" s="4"/>
      <c r="F7636" s="4"/>
      <c r="G7636" s="4"/>
    </row>
    <row r="7637">
      <c r="A7637" s="4"/>
      <c r="B7637" s="4"/>
      <c r="C7637" s="4"/>
      <c r="D7637" s="4"/>
      <c r="E7637" s="4"/>
      <c r="F7637" s="4"/>
      <c r="G7637" s="4"/>
    </row>
    <row r="7638">
      <c r="A7638" s="4"/>
      <c r="B7638" s="4"/>
      <c r="C7638" s="4"/>
      <c r="D7638" s="13"/>
      <c r="E7638" s="13"/>
      <c r="F7638" s="4"/>
      <c r="G7638" s="4"/>
    </row>
    <row r="7639">
      <c r="A7639" s="4"/>
      <c r="B7639" s="4"/>
      <c r="C7639" s="4"/>
      <c r="D7639" s="4"/>
      <c r="E7639" s="13"/>
      <c r="F7639" s="4"/>
      <c r="G7639" s="4"/>
    </row>
    <row r="7640">
      <c r="A7640" s="4"/>
      <c r="B7640" s="4"/>
      <c r="C7640" s="4"/>
      <c r="D7640" s="4"/>
      <c r="E7640" s="13"/>
      <c r="F7640" s="4"/>
      <c r="G7640" s="4"/>
    </row>
    <row r="7641">
      <c r="A7641" s="4"/>
      <c r="B7641" s="4"/>
      <c r="C7641" s="4"/>
      <c r="D7641" s="4"/>
      <c r="E7641" s="4"/>
      <c r="F7641" s="4"/>
      <c r="G7641" s="4"/>
    </row>
    <row r="7642">
      <c r="A7642" s="4"/>
      <c r="B7642" s="4"/>
      <c r="C7642" s="4"/>
      <c r="D7642" s="4"/>
      <c r="E7642" s="13"/>
      <c r="F7642" s="4"/>
      <c r="G7642" s="4"/>
    </row>
    <row r="7643">
      <c r="A7643" s="4"/>
      <c r="B7643" s="4"/>
      <c r="C7643" s="4"/>
      <c r="D7643" s="4"/>
      <c r="E7643" s="4"/>
      <c r="F7643" s="4"/>
      <c r="G7643" s="4"/>
    </row>
    <row r="7644">
      <c r="A7644" s="4"/>
      <c r="B7644" s="4"/>
      <c r="C7644" s="4"/>
      <c r="D7644" s="13"/>
      <c r="E7644" s="13"/>
      <c r="F7644" s="4"/>
      <c r="G7644" s="4"/>
    </row>
    <row r="7645">
      <c r="A7645" s="4"/>
      <c r="B7645" s="4"/>
      <c r="C7645" s="4"/>
      <c r="D7645" s="13"/>
      <c r="E7645" s="13"/>
      <c r="F7645" s="4"/>
      <c r="G7645" s="4"/>
    </row>
    <row r="7646">
      <c r="A7646" s="4"/>
      <c r="B7646" s="4"/>
      <c r="C7646" s="4"/>
      <c r="D7646" s="13"/>
      <c r="E7646" s="13"/>
      <c r="F7646" s="4"/>
      <c r="G7646" s="4"/>
    </row>
    <row r="7647">
      <c r="A7647" s="4"/>
      <c r="B7647" s="4"/>
      <c r="C7647" s="4"/>
      <c r="D7647" s="13"/>
      <c r="E7647" s="13"/>
      <c r="F7647" s="4"/>
      <c r="G7647" s="4"/>
    </row>
    <row r="7648">
      <c r="A7648" s="4"/>
      <c r="B7648" s="4"/>
      <c r="C7648" s="4"/>
      <c r="D7648" s="4"/>
      <c r="E7648" s="13"/>
      <c r="F7648" s="4"/>
      <c r="G7648" s="4"/>
    </row>
    <row r="7649">
      <c r="A7649" s="4"/>
      <c r="B7649" s="4"/>
      <c r="C7649" s="4"/>
      <c r="D7649" s="4"/>
      <c r="E7649" s="4"/>
      <c r="F7649" s="4"/>
      <c r="G7649" s="4"/>
    </row>
    <row r="7650">
      <c r="A7650" s="4"/>
      <c r="B7650" s="4"/>
      <c r="C7650" s="4"/>
      <c r="D7650" s="4"/>
      <c r="E7650" s="4"/>
      <c r="F7650" s="4"/>
      <c r="G7650" s="4"/>
    </row>
    <row r="7651">
      <c r="A7651" s="4"/>
      <c r="B7651" s="4"/>
      <c r="C7651" s="4"/>
      <c r="D7651" s="4"/>
      <c r="E7651" s="13"/>
      <c r="F7651" s="4"/>
      <c r="G7651" s="4"/>
    </row>
    <row r="7652">
      <c r="A7652" s="4"/>
      <c r="B7652" s="4"/>
      <c r="C7652" s="4"/>
      <c r="D7652" s="4"/>
      <c r="E7652" s="4"/>
      <c r="F7652" s="4"/>
      <c r="G7652" s="4"/>
    </row>
    <row r="7653">
      <c r="A7653" s="4"/>
      <c r="B7653" s="4"/>
      <c r="C7653" s="4"/>
      <c r="D7653" s="4"/>
      <c r="E7653" s="13"/>
      <c r="F7653" s="4"/>
      <c r="G7653" s="4"/>
    </row>
    <row r="7654">
      <c r="A7654" s="4"/>
      <c r="B7654" s="4"/>
      <c r="C7654" s="4"/>
      <c r="D7654" s="4"/>
      <c r="E7654" s="4"/>
      <c r="F7654" s="4"/>
      <c r="G7654" s="4"/>
    </row>
    <row r="7655">
      <c r="A7655" s="4"/>
      <c r="B7655" s="4"/>
      <c r="C7655" s="4"/>
      <c r="D7655" s="4"/>
      <c r="E7655" s="13"/>
      <c r="F7655" s="4"/>
      <c r="G7655" s="4"/>
    </row>
    <row r="7656">
      <c r="A7656" s="4"/>
      <c r="B7656" s="4"/>
      <c r="C7656" s="4"/>
      <c r="D7656" s="4"/>
      <c r="E7656" s="4"/>
      <c r="F7656" s="4"/>
      <c r="G7656" s="4"/>
    </row>
    <row r="7657">
      <c r="A7657" s="4"/>
      <c r="B7657" s="4"/>
      <c r="C7657" s="4"/>
      <c r="D7657" s="4"/>
      <c r="E7657" s="4"/>
      <c r="F7657" s="4"/>
      <c r="G7657" s="4"/>
    </row>
    <row r="7658">
      <c r="A7658" s="4"/>
      <c r="B7658" s="4"/>
      <c r="C7658" s="4"/>
      <c r="D7658" s="4"/>
      <c r="E7658" s="4"/>
      <c r="F7658" s="4"/>
      <c r="G7658" s="4"/>
    </row>
    <row r="7659">
      <c r="A7659" s="4"/>
      <c r="B7659" s="4"/>
      <c r="C7659" s="4"/>
      <c r="D7659" s="4"/>
      <c r="E7659" s="4"/>
      <c r="F7659" s="4"/>
      <c r="G7659" s="4"/>
    </row>
    <row r="7660">
      <c r="A7660" s="4"/>
      <c r="B7660" s="4"/>
      <c r="C7660" s="4"/>
      <c r="D7660" s="4"/>
      <c r="E7660" s="4"/>
      <c r="F7660" s="4"/>
      <c r="G7660" s="4"/>
    </row>
    <row r="7661">
      <c r="A7661" s="4"/>
      <c r="B7661" s="4"/>
      <c r="C7661" s="4"/>
      <c r="D7661" s="4"/>
      <c r="E7661" s="13"/>
      <c r="F7661" s="4"/>
      <c r="G7661" s="4"/>
    </row>
    <row r="7662">
      <c r="A7662" s="4"/>
      <c r="B7662" s="4"/>
      <c r="C7662" s="4"/>
      <c r="D7662" s="4"/>
      <c r="E7662" s="4"/>
      <c r="F7662" s="4"/>
      <c r="G7662" s="4"/>
    </row>
    <row r="7663">
      <c r="A7663" s="4"/>
      <c r="B7663" s="4"/>
      <c r="C7663" s="4"/>
      <c r="D7663" s="4"/>
      <c r="E7663" s="4"/>
      <c r="F7663" s="4"/>
      <c r="G7663" s="4"/>
    </row>
    <row r="7664">
      <c r="A7664" s="4"/>
      <c r="B7664" s="4"/>
      <c r="C7664" s="4"/>
      <c r="D7664" s="4"/>
      <c r="E7664" s="4"/>
      <c r="F7664" s="4"/>
      <c r="G7664" s="4"/>
    </row>
    <row r="7665">
      <c r="A7665" s="4"/>
      <c r="B7665" s="4"/>
      <c r="C7665" s="4"/>
      <c r="D7665" s="4"/>
      <c r="E7665" s="13"/>
      <c r="F7665" s="4"/>
      <c r="G7665" s="4"/>
    </row>
    <row r="7666">
      <c r="A7666" s="4"/>
      <c r="B7666" s="4"/>
      <c r="C7666" s="4"/>
      <c r="D7666" s="4"/>
      <c r="E7666" s="4"/>
      <c r="F7666" s="4"/>
      <c r="G7666" s="4"/>
    </row>
    <row r="7667">
      <c r="A7667" s="4"/>
      <c r="B7667" s="4"/>
      <c r="C7667" s="4"/>
      <c r="D7667" s="4"/>
      <c r="E7667" s="13"/>
      <c r="F7667" s="4"/>
      <c r="G7667" s="4"/>
    </row>
    <row r="7668">
      <c r="A7668" s="4"/>
      <c r="B7668" s="4"/>
      <c r="C7668" s="4"/>
      <c r="D7668" s="4"/>
      <c r="E7668" s="4"/>
      <c r="F7668" s="4"/>
      <c r="G7668" s="4"/>
    </row>
    <row r="7669">
      <c r="A7669" s="4"/>
      <c r="B7669" s="4"/>
      <c r="C7669" s="4"/>
      <c r="D7669" s="4"/>
      <c r="E7669" s="4"/>
      <c r="F7669" s="4"/>
      <c r="G7669" s="4"/>
    </row>
    <row r="7670">
      <c r="A7670" s="4"/>
      <c r="B7670" s="4"/>
      <c r="C7670" s="4"/>
      <c r="D7670" s="4"/>
      <c r="E7670" s="4"/>
      <c r="F7670" s="4"/>
      <c r="G7670" s="4"/>
    </row>
    <row r="7671">
      <c r="A7671" s="4"/>
      <c r="B7671" s="4"/>
      <c r="C7671" s="4"/>
      <c r="D7671" s="4"/>
      <c r="E7671" s="4"/>
      <c r="F7671" s="4"/>
      <c r="G7671" s="4"/>
    </row>
    <row r="7672">
      <c r="A7672" s="4"/>
      <c r="B7672" s="4"/>
      <c r="C7672" s="4"/>
      <c r="D7672" s="4"/>
      <c r="E7672" s="4"/>
      <c r="F7672" s="4"/>
      <c r="G7672" s="4"/>
    </row>
    <row r="7673">
      <c r="A7673" s="4"/>
      <c r="B7673" s="4"/>
      <c r="C7673" s="4"/>
      <c r="D7673" s="4"/>
      <c r="E7673" s="4"/>
      <c r="F7673" s="4"/>
      <c r="G7673" s="4"/>
    </row>
    <row r="7674">
      <c r="A7674" s="4"/>
      <c r="B7674" s="4"/>
      <c r="C7674" s="4"/>
      <c r="D7674" s="4"/>
      <c r="E7674" s="4"/>
      <c r="F7674" s="4"/>
      <c r="G7674" s="4"/>
    </row>
    <row r="7675">
      <c r="A7675" s="4"/>
      <c r="B7675" s="4"/>
      <c r="C7675" s="4"/>
      <c r="D7675" s="13"/>
      <c r="E7675" s="13"/>
      <c r="F7675" s="4"/>
      <c r="G7675" s="4"/>
    </row>
    <row r="7676">
      <c r="A7676" s="4"/>
      <c r="B7676" s="4"/>
      <c r="C7676" s="4"/>
      <c r="D7676" s="4"/>
      <c r="E7676" s="4"/>
      <c r="F7676" s="4"/>
      <c r="G7676" s="4"/>
    </row>
    <row r="7677">
      <c r="A7677" s="4"/>
      <c r="B7677" s="4"/>
      <c r="C7677" s="4"/>
      <c r="D7677" s="4"/>
      <c r="E7677" s="4"/>
      <c r="F7677" s="4"/>
      <c r="G7677" s="4"/>
    </row>
    <row r="7678">
      <c r="A7678" s="4"/>
      <c r="B7678" s="4"/>
      <c r="C7678" s="4"/>
      <c r="D7678" s="13"/>
      <c r="E7678" s="13"/>
      <c r="F7678" s="4"/>
      <c r="G7678" s="4"/>
    </row>
    <row r="7679">
      <c r="A7679" s="4"/>
      <c r="B7679" s="4"/>
      <c r="C7679" s="4"/>
      <c r="D7679" s="4"/>
      <c r="E7679" s="4"/>
      <c r="F7679" s="4"/>
      <c r="G7679" s="4"/>
    </row>
    <row r="7680">
      <c r="A7680" s="4"/>
      <c r="B7680" s="4"/>
      <c r="C7680" s="4"/>
      <c r="D7680" s="4"/>
      <c r="E7680" s="13"/>
      <c r="F7680" s="4"/>
      <c r="G7680" s="4"/>
    </row>
    <row r="7681">
      <c r="A7681" s="4"/>
      <c r="B7681" s="4"/>
      <c r="C7681" s="4"/>
      <c r="D7681" s="4"/>
      <c r="E7681" s="4"/>
      <c r="F7681" s="4"/>
      <c r="G7681" s="4"/>
    </row>
    <row r="7682">
      <c r="A7682" s="4"/>
      <c r="B7682" s="4"/>
      <c r="C7682" s="4"/>
      <c r="D7682" s="4"/>
      <c r="E7682" s="4"/>
      <c r="F7682" s="4"/>
      <c r="G7682" s="4"/>
    </row>
    <row r="7683">
      <c r="A7683" s="4"/>
      <c r="B7683" s="4"/>
      <c r="C7683" s="4"/>
      <c r="D7683" s="4"/>
      <c r="E7683" s="4"/>
      <c r="F7683" s="4"/>
      <c r="G7683" s="4"/>
    </row>
    <row r="7684">
      <c r="A7684" s="4"/>
      <c r="B7684" s="4"/>
      <c r="C7684" s="4"/>
      <c r="D7684" s="4"/>
      <c r="E7684" s="4"/>
      <c r="F7684" s="4"/>
      <c r="G7684" s="4"/>
    </row>
    <row r="7685">
      <c r="A7685" s="4"/>
      <c r="B7685" s="4"/>
      <c r="C7685" s="4"/>
      <c r="D7685" s="4"/>
      <c r="E7685" s="13"/>
      <c r="F7685" s="4"/>
      <c r="G7685" s="4"/>
    </row>
    <row r="7686">
      <c r="A7686" s="4"/>
      <c r="B7686" s="4"/>
      <c r="C7686" s="4"/>
      <c r="D7686" s="4"/>
      <c r="E7686" s="4"/>
      <c r="F7686" s="4"/>
      <c r="G7686" s="4"/>
    </row>
    <row r="7687">
      <c r="A7687" s="4"/>
      <c r="B7687" s="4"/>
      <c r="C7687" s="4"/>
      <c r="D7687" s="4"/>
      <c r="E7687" s="4"/>
      <c r="F7687" s="4"/>
      <c r="G7687" s="4"/>
    </row>
    <row r="7688">
      <c r="A7688" s="4"/>
      <c r="B7688" s="4"/>
      <c r="C7688" s="4"/>
      <c r="D7688" s="4"/>
      <c r="E7688" s="4"/>
      <c r="F7688" s="4"/>
      <c r="G7688" s="4"/>
    </row>
    <row r="7689">
      <c r="A7689" s="4"/>
      <c r="B7689" s="4"/>
      <c r="C7689" s="4"/>
      <c r="D7689" s="4"/>
      <c r="E7689" s="13"/>
      <c r="F7689" s="4"/>
      <c r="G7689" s="4"/>
    </row>
    <row r="7690">
      <c r="A7690" s="4"/>
      <c r="B7690" s="4"/>
      <c r="C7690" s="4"/>
      <c r="D7690" s="4"/>
      <c r="E7690" s="13"/>
      <c r="F7690" s="4"/>
      <c r="G7690" s="4"/>
    </row>
    <row r="7691">
      <c r="A7691" s="4"/>
      <c r="B7691" s="4"/>
      <c r="C7691" s="4"/>
      <c r="D7691" s="4"/>
      <c r="E7691" s="4"/>
      <c r="F7691" s="4"/>
      <c r="G7691" s="4"/>
    </row>
    <row r="7692">
      <c r="A7692" s="4"/>
      <c r="B7692" s="4"/>
      <c r="C7692" s="4"/>
      <c r="D7692" s="13"/>
      <c r="E7692" s="4"/>
      <c r="F7692" s="4"/>
      <c r="G7692" s="4"/>
    </row>
    <row r="7693">
      <c r="A7693" s="4"/>
      <c r="B7693" s="4"/>
      <c r="C7693" s="4"/>
      <c r="D7693" s="13"/>
      <c r="E7693" s="4"/>
      <c r="F7693" s="4"/>
      <c r="G7693" s="4"/>
    </row>
    <row r="7694">
      <c r="A7694" s="4"/>
      <c r="B7694" s="4"/>
      <c r="C7694" s="4"/>
      <c r="D7694" s="13"/>
      <c r="E7694" s="4"/>
      <c r="F7694" s="4"/>
      <c r="G7694" s="4"/>
    </row>
    <row r="7695">
      <c r="A7695" s="4"/>
      <c r="B7695" s="4"/>
      <c r="C7695" s="4"/>
      <c r="D7695" s="4"/>
      <c r="E7695" s="4"/>
      <c r="F7695" s="4"/>
      <c r="G7695" s="4"/>
    </row>
    <row r="7696">
      <c r="A7696" s="4"/>
      <c r="B7696" s="4"/>
      <c r="C7696" s="4"/>
      <c r="D7696" s="4"/>
      <c r="E7696" s="13"/>
      <c r="F7696" s="4"/>
      <c r="G7696" s="4"/>
    </row>
    <row r="7697">
      <c r="A7697" s="4"/>
      <c r="B7697" s="4"/>
      <c r="C7697" s="4"/>
      <c r="D7697" s="13"/>
      <c r="E7697" s="13"/>
      <c r="F7697" s="4"/>
      <c r="G7697" s="4"/>
    </row>
    <row r="7698">
      <c r="A7698" s="4"/>
      <c r="B7698" s="4"/>
      <c r="C7698" s="4"/>
      <c r="D7698" s="4"/>
      <c r="E7698" s="4"/>
      <c r="F7698" s="4"/>
      <c r="G7698" s="4"/>
    </row>
    <row r="7699">
      <c r="A7699" s="4"/>
      <c r="B7699" s="4"/>
      <c r="C7699" s="4"/>
      <c r="D7699" s="13"/>
      <c r="E7699" s="13"/>
      <c r="F7699" s="4"/>
      <c r="G7699" s="4"/>
    </row>
    <row r="7700">
      <c r="A7700" s="4"/>
      <c r="B7700" s="4"/>
      <c r="C7700" s="4"/>
      <c r="D7700" s="4"/>
      <c r="E7700" s="4"/>
      <c r="F7700" s="4"/>
      <c r="G7700" s="4"/>
    </row>
    <row r="7701">
      <c r="A7701" s="4"/>
      <c r="B7701" s="4"/>
      <c r="C7701" s="4"/>
      <c r="D7701" s="13"/>
      <c r="E7701" s="13"/>
      <c r="F7701" s="4"/>
      <c r="G7701" s="4"/>
    </row>
    <row r="7702">
      <c r="A7702" s="4"/>
      <c r="B7702" s="4"/>
      <c r="C7702" s="4"/>
      <c r="D7702" s="4"/>
      <c r="E7702" s="4"/>
      <c r="F7702" s="4"/>
      <c r="G7702" s="4"/>
    </row>
    <row r="7703">
      <c r="A7703" s="4"/>
      <c r="B7703" s="4"/>
      <c r="C7703" s="4"/>
      <c r="D7703" s="13"/>
      <c r="E7703" s="13"/>
      <c r="F7703" s="4"/>
      <c r="G7703" s="4"/>
    </row>
    <row r="7704">
      <c r="A7704" s="4"/>
      <c r="B7704" s="4"/>
      <c r="C7704" s="4"/>
      <c r="D7704" s="4"/>
      <c r="E7704" s="4"/>
      <c r="F7704" s="4"/>
      <c r="G7704" s="4"/>
    </row>
    <row r="7705">
      <c r="A7705" s="4"/>
      <c r="B7705" s="4"/>
      <c r="C7705" s="4"/>
      <c r="D7705" s="13"/>
      <c r="E7705" s="13"/>
      <c r="F7705" s="4"/>
      <c r="G7705" s="4"/>
    </row>
    <row r="7706">
      <c r="A7706" s="4"/>
      <c r="B7706" s="4"/>
      <c r="C7706" s="4"/>
      <c r="D7706" s="13"/>
      <c r="E7706" s="13"/>
      <c r="F7706" s="4"/>
      <c r="G7706" s="4"/>
    </row>
    <row r="7707">
      <c r="A7707" s="4"/>
      <c r="B7707" s="4"/>
      <c r="C7707" s="4"/>
      <c r="D7707" s="13"/>
      <c r="E7707" s="13"/>
      <c r="F7707" s="4"/>
      <c r="G7707" s="4"/>
    </row>
    <row r="7708">
      <c r="A7708" s="4"/>
      <c r="B7708" s="4"/>
      <c r="C7708" s="4"/>
      <c r="D7708" s="4"/>
      <c r="E7708" s="4"/>
      <c r="F7708" s="4"/>
      <c r="G7708" s="4"/>
    </row>
    <row r="7709">
      <c r="A7709" s="4"/>
      <c r="B7709" s="4"/>
      <c r="C7709" s="4"/>
      <c r="D7709" s="13"/>
      <c r="E7709" s="13"/>
      <c r="F7709" s="4"/>
      <c r="G7709" s="4"/>
    </row>
    <row r="7710">
      <c r="A7710" s="4"/>
      <c r="B7710" s="4"/>
      <c r="C7710" s="4"/>
      <c r="D7710" s="4"/>
      <c r="E7710" s="4"/>
      <c r="F7710" s="4"/>
      <c r="G7710" s="4"/>
    </row>
    <row r="7711">
      <c r="A7711" s="4"/>
      <c r="B7711" s="4"/>
      <c r="C7711" s="4"/>
      <c r="D7711" s="4"/>
      <c r="E7711" s="4"/>
      <c r="F7711" s="4"/>
      <c r="G7711" s="4"/>
    </row>
    <row r="7712">
      <c r="A7712" s="4"/>
      <c r="B7712" s="4"/>
      <c r="C7712" s="4"/>
      <c r="D7712" s="13"/>
      <c r="E7712" s="13"/>
      <c r="F7712" s="4"/>
      <c r="G7712" s="4"/>
    </row>
    <row r="7713">
      <c r="A7713" s="4"/>
      <c r="B7713" s="4"/>
      <c r="C7713" s="4"/>
      <c r="D7713" s="4"/>
      <c r="E7713" s="4"/>
      <c r="F7713" s="4"/>
      <c r="G7713" s="4"/>
    </row>
    <row r="7714">
      <c r="A7714" s="4"/>
      <c r="B7714" s="4"/>
      <c r="C7714" s="4"/>
      <c r="D7714" s="4"/>
      <c r="E7714" s="4"/>
      <c r="F7714" s="4"/>
      <c r="G7714" s="4"/>
    </row>
    <row r="7715">
      <c r="A7715" s="4"/>
      <c r="B7715" s="4"/>
      <c r="C7715" s="4"/>
      <c r="D7715" s="13"/>
      <c r="E7715" s="13"/>
      <c r="F7715" s="4"/>
      <c r="G7715" s="4"/>
    </row>
    <row r="7716">
      <c r="A7716" s="4"/>
      <c r="B7716" s="4"/>
      <c r="C7716" s="4"/>
      <c r="D7716" s="4"/>
      <c r="E7716" s="4"/>
      <c r="F7716" s="4"/>
      <c r="G7716" s="4"/>
    </row>
    <row r="7717">
      <c r="A7717" s="4"/>
      <c r="B7717" s="4"/>
      <c r="C7717" s="4"/>
      <c r="D7717" s="13"/>
      <c r="E7717" s="13"/>
      <c r="F7717" s="4"/>
      <c r="G7717" s="4"/>
    </row>
    <row r="7718">
      <c r="A7718" s="4"/>
      <c r="B7718" s="4"/>
      <c r="C7718" s="4"/>
      <c r="D7718" s="4"/>
      <c r="E7718" s="4"/>
      <c r="F7718" s="4"/>
      <c r="G7718" s="4"/>
    </row>
    <row r="7719">
      <c r="A7719" s="4"/>
      <c r="B7719" s="4"/>
      <c r="C7719" s="4"/>
      <c r="D7719" s="13"/>
      <c r="E7719" s="13"/>
      <c r="F7719" s="4"/>
      <c r="G7719" s="4"/>
    </row>
    <row r="7720">
      <c r="A7720" s="4"/>
      <c r="B7720" s="4"/>
      <c r="C7720" s="4"/>
      <c r="D7720" s="13"/>
      <c r="E7720" s="13"/>
      <c r="F7720" s="4"/>
      <c r="G7720" s="4"/>
    </row>
    <row r="7721">
      <c r="A7721" s="4"/>
      <c r="B7721" s="4"/>
      <c r="C7721" s="4"/>
      <c r="D7721" s="13"/>
      <c r="E7721" s="13"/>
      <c r="F7721" s="4"/>
      <c r="G7721" s="4"/>
    </row>
    <row r="7722">
      <c r="A7722" s="4"/>
      <c r="B7722" s="4"/>
      <c r="C7722" s="4"/>
      <c r="D7722" s="4"/>
      <c r="E7722" s="4"/>
      <c r="F7722" s="4"/>
      <c r="G7722" s="4"/>
    </row>
    <row r="7723">
      <c r="A7723" s="4"/>
      <c r="B7723" s="4"/>
      <c r="C7723" s="4"/>
      <c r="D7723" s="4"/>
      <c r="E7723" s="4"/>
      <c r="F7723" s="4"/>
      <c r="G7723" s="4"/>
    </row>
    <row r="7724">
      <c r="A7724" s="4"/>
      <c r="B7724" s="4"/>
      <c r="C7724" s="4"/>
      <c r="D7724" s="4"/>
      <c r="E7724" s="4"/>
      <c r="F7724" s="4"/>
      <c r="G7724" s="4"/>
    </row>
    <row r="7725">
      <c r="A7725" s="4"/>
      <c r="B7725" s="4"/>
      <c r="C7725" s="4"/>
      <c r="D7725" s="4"/>
      <c r="E7725" s="4"/>
      <c r="F7725" s="4"/>
      <c r="G7725" s="4"/>
    </row>
    <row r="7726">
      <c r="A7726" s="4"/>
      <c r="B7726" s="4"/>
      <c r="C7726" s="4"/>
      <c r="D7726" s="4"/>
      <c r="E7726" s="13"/>
      <c r="F7726" s="4"/>
      <c r="G7726" s="4"/>
    </row>
    <row r="7727">
      <c r="A7727" s="4"/>
      <c r="B7727" s="4"/>
      <c r="C7727" s="4"/>
      <c r="D7727" s="4"/>
      <c r="E7727" s="4"/>
      <c r="F7727" s="4"/>
      <c r="G7727" s="4"/>
    </row>
    <row r="7728">
      <c r="A7728" s="4"/>
      <c r="B7728" s="4"/>
      <c r="C7728" s="4"/>
      <c r="D7728" s="4"/>
      <c r="E7728" s="13"/>
      <c r="F7728" s="4"/>
      <c r="G7728" s="4"/>
    </row>
    <row r="7729">
      <c r="A7729" s="4"/>
      <c r="B7729" s="4"/>
      <c r="C7729" s="4"/>
      <c r="D7729" s="4"/>
      <c r="E7729" s="4"/>
      <c r="F7729" s="4"/>
      <c r="G7729" s="4"/>
    </row>
    <row r="7730">
      <c r="A7730" s="4"/>
      <c r="B7730" s="4"/>
      <c r="C7730" s="4"/>
      <c r="D7730" s="4"/>
      <c r="E7730" s="13"/>
      <c r="F7730" s="4"/>
      <c r="G7730" s="4"/>
    </row>
    <row r="7731">
      <c r="A7731" s="4"/>
      <c r="B7731" s="4"/>
      <c r="C7731" s="4"/>
      <c r="D7731" s="4"/>
      <c r="E7731" s="13"/>
      <c r="F7731" s="4"/>
      <c r="G7731" s="4"/>
    </row>
    <row r="7732">
      <c r="A7732" s="4"/>
      <c r="B7732" s="4"/>
      <c r="C7732" s="4"/>
      <c r="D7732" s="4"/>
      <c r="E7732" s="4"/>
      <c r="F7732" s="4"/>
      <c r="G7732" s="4"/>
    </row>
    <row r="7733">
      <c r="A7733" s="4"/>
      <c r="B7733" s="4"/>
      <c r="C7733" s="4"/>
      <c r="D7733" s="4"/>
      <c r="E7733" s="4"/>
      <c r="F7733" s="4"/>
      <c r="G7733" s="4"/>
    </row>
    <row r="7734">
      <c r="A7734" s="4"/>
      <c r="B7734" s="4"/>
      <c r="C7734" s="4"/>
      <c r="D7734" s="4"/>
      <c r="E7734" s="13"/>
      <c r="F7734" s="4"/>
      <c r="G7734" s="4"/>
    </row>
    <row r="7735">
      <c r="A7735" s="4"/>
      <c r="B7735" s="4"/>
      <c r="C7735" s="4"/>
      <c r="D7735" s="4"/>
      <c r="E7735" s="4"/>
      <c r="F7735" s="4"/>
      <c r="G7735" s="4"/>
    </row>
    <row r="7736">
      <c r="A7736" s="4"/>
      <c r="B7736" s="4"/>
      <c r="C7736" s="4"/>
      <c r="D7736" s="4"/>
      <c r="E7736" s="4"/>
      <c r="F7736" s="4"/>
      <c r="G7736" s="4"/>
    </row>
    <row r="7737">
      <c r="A7737" s="4"/>
      <c r="B7737" s="4"/>
      <c r="C7737" s="4"/>
      <c r="D7737" s="4"/>
      <c r="E7737" s="13"/>
      <c r="F7737" s="4"/>
      <c r="G7737" s="4"/>
    </row>
    <row r="7738">
      <c r="A7738" s="4"/>
      <c r="B7738" s="4"/>
      <c r="C7738" s="4"/>
      <c r="D7738" s="4"/>
      <c r="E7738" s="4"/>
      <c r="F7738" s="4"/>
      <c r="G7738" s="4"/>
    </row>
    <row r="7739">
      <c r="A7739" s="4"/>
      <c r="B7739" s="4"/>
      <c r="C7739" s="4"/>
      <c r="D7739" s="4"/>
      <c r="E7739" s="13"/>
      <c r="F7739" s="4"/>
      <c r="G7739" s="4"/>
    </row>
    <row r="7740">
      <c r="A7740" s="4"/>
      <c r="B7740" s="4"/>
      <c r="C7740" s="4"/>
      <c r="D7740" s="4"/>
      <c r="E7740" s="13"/>
      <c r="F7740" s="4"/>
      <c r="G7740" s="4"/>
    </row>
    <row r="7741">
      <c r="A7741" s="4"/>
      <c r="B7741" s="4"/>
      <c r="C7741" s="4"/>
      <c r="D7741" s="4"/>
      <c r="E7741" s="4"/>
      <c r="F7741" s="4"/>
      <c r="G7741" s="4"/>
    </row>
    <row r="7742">
      <c r="A7742" s="4"/>
      <c r="B7742" s="4"/>
      <c r="C7742" s="4"/>
      <c r="D7742" s="4"/>
      <c r="E7742" s="4"/>
      <c r="F7742" s="4"/>
      <c r="G7742" s="4"/>
    </row>
    <row r="7743">
      <c r="A7743" s="4"/>
      <c r="B7743" s="4"/>
      <c r="C7743" s="4"/>
      <c r="D7743" s="4"/>
      <c r="E7743" s="13"/>
      <c r="F7743" s="4"/>
      <c r="G7743" s="4"/>
    </row>
    <row r="7744">
      <c r="A7744" s="4"/>
      <c r="B7744" s="4"/>
      <c r="C7744" s="4"/>
      <c r="D7744" s="4"/>
      <c r="E7744" s="4"/>
      <c r="F7744" s="4"/>
      <c r="G7744" s="4"/>
    </row>
    <row r="7745">
      <c r="A7745" s="4"/>
      <c r="B7745" s="4"/>
      <c r="C7745" s="4"/>
      <c r="D7745" s="4"/>
      <c r="E7745" s="13"/>
      <c r="F7745" s="4"/>
      <c r="G7745" s="4"/>
    </row>
    <row r="7746">
      <c r="A7746" s="4"/>
      <c r="B7746" s="4"/>
      <c r="C7746" s="4"/>
      <c r="D7746" s="4"/>
      <c r="E7746" s="4"/>
      <c r="F7746" s="4"/>
      <c r="G7746" s="4"/>
    </row>
    <row r="7747">
      <c r="A7747" s="4"/>
      <c r="B7747" s="4"/>
      <c r="C7747" s="4"/>
      <c r="D7747" s="13"/>
      <c r="E7747" s="13"/>
      <c r="F7747" s="4"/>
      <c r="G7747" s="4"/>
    </row>
    <row r="7748">
      <c r="A7748" s="4"/>
      <c r="B7748" s="4"/>
      <c r="C7748" s="4"/>
      <c r="D7748" s="4"/>
      <c r="E7748" s="4"/>
      <c r="F7748" s="4"/>
      <c r="G7748" s="4"/>
    </row>
    <row r="7749">
      <c r="A7749" s="4"/>
      <c r="B7749" s="4"/>
      <c r="C7749" s="4"/>
      <c r="D7749" s="4"/>
      <c r="E7749" s="4"/>
      <c r="F7749" s="4"/>
      <c r="G7749" s="4"/>
    </row>
    <row r="7750">
      <c r="A7750" s="4"/>
      <c r="B7750" s="4"/>
      <c r="C7750" s="4"/>
      <c r="D7750" s="13"/>
      <c r="E7750" s="13"/>
      <c r="F7750" s="4"/>
      <c r="G7750" s="4"/>
    </row>
    <row r="7751">
      <c r="A7751" s="4"/>
      <c r="B7751" s="4"/>
      <c r="C7751" s="4"/>
      <c r="D7751" s="4"/>
      <c r="E7751" s="4"/>
      <c r="F7751" s="4"/>
      <c r="G7751" s="4"/>
    </row>
    <row r="7752">
      <c r="A7752" s="4"/>
      <c r="B7752" s="4"/>
      <c r="C7752" s="4"/>
      <c r="D7752" s="4"/>
      <c r="E7752" s="4"/>
      <c r="F7752" s="4"/>
      <c r="G7752" s="4"/>
    </row>
    <row r="7753">
      <c r="A7753" s="4"/>
      <c r="B7753" s="4"/>
      <c r="C7753" s="4"/>
      <c r="D7753" s="4"/>
      <c r="E7753" s="4"/>
      <c r="F7753" s="4"/>
      <c r="G7753" s="4"/>
    </row>
    <row r="7754">
      <c r="A7754" s="4"/>
      <c r="B7754" s="4"/>
      <c r="C7754" s="4"/>
      <c r="D7754" s="4"/>
      <c r="E7754" s="4"/>
      <c r="F7754" s="4"/>
      <c r="G7754" s="4"/>
    </row>
    <row r="7755">
      <c r="A7755" s="4"/>
      <c r="B7755" s="4"/>
      <c r="C7755" s="4"/>
      <c r="D7755" s="4"/>
      <c r="E7755" s="4"/>
      <c r="F7755" s="4"/>
      <c r="G7755" s="4"/>
    </row>
    <row r="7756">
      <c r="A7756" s="4"/>
      <c r="B7756" s="4"/>
      <c r="C7756" s="4"/>
      <c r="D7756" s="4"/>
      <c r="E7756" s="13"/>
      <c r="F7756" s="4"/>
      <c r="G7756" s="4"/>
    </row>
    <row r="7757">
      <c r="A7757" s="4"/>
      <c r="B7757" s="4"/>
      <c r="C7757" s="4"/>
      <c r="D7757" s="13"/>
      <c r="E7757" s="13"/>
      <c r="F7757" s="4"/>
      <c r="G7757" s="4"/>
    </row>
    <row r="7758">
      <c r="A7758" s="4"/>
      <c r="B7758" s="4"/>
      <c r="C7758" s="4"/>
      <c r="D7758" s="13"/>
      <c r="E7758" s="13"/>
      <c r="F7758" s="4"/>
      <c r="G7758" s="4"/>
    </row>
    <row r="7759">
      <c r="A7759" s="4"/>
      <c r="B7759" s="4"/>
      <c r="C7759" s="4"/>
      <c r="D7759" s="4"/>
      <c r="E7759" s="4"/>
      <c r="F7759" s="4"/>
      <c r="G7759" s="4"/>
    </row>
    <row r="7760">
      <c r="A7760" s="4"/>
      <c r="B7760" s="4"/>
      <c r="C7760" s="4"/>
      <c r="D7760" s="4"/>
      <c r="E7760" s="4"/>
      <c r="F7760" s="4"/>
      <c r="G7760" s="4"/>
    </row>
    <row r="7761">
      <c r="A7761" s="4"/>
      <c r="B7761" s="4"/>
      <c r="C7761" s="4"/>
      <c r="D7761" s="4"/>
      <c r="E7761" s="13"/>
      <c r="F7761" s="4"/>
      <c r="G7761" s="4"/>
    </row>
    <row r="7762">
      <c r="A7762" s="4"/>
      <c r="B7762" s="4"/>
      <c r="C7762" s="4"/>
      <c r="D7762" s="4"/>
      <c r="E7762" s="4"/>
      <c r="F7762" s="4"/>
      <c r="G7762" s="4"/>
    </row>
    <row r="7763">
      <c r="A7763" s="4"/>
      <c r="B7763" s="4"/>
      <c r="C7763" s="4"/>
      <c r="D7763" s="13"/>
      <c r="E7763" s="13"/>
      <c r="F7763" s="4"/>
      <c r="G7763" s="4"/>
    </row>
    <row r="7764">
      <c r="A7764" s="4"/>
      <c r="B7764" s="4"/>
      <c r="C7764" s="4"/>
      <c r="D7764" s="4"/>
      <c r="E7764" s="4"/>
      <c r="F7764" s="4"/>
      <c r="G7764" s="4"/>
    </row>
    <row r="7765">
      <c r="A7765" s="4"/>
      <c r="B7765" s="4"/>
      <c r="C7765" s="4"/>
      <c r="D7765" s="4"/>
      <c r="E7765" s="4"/>
      <c r="F7765" s="4"/>
      <c r="G7765" s="4"/>
    </row>
    <row r="7766">
      <c r="A7766" s="4"/>
      <c r="B7766" s="4"/>
      <c r="C7766" s="4"/>
      <c r="D7766" s="4"/>
      <c r="E7766" s="4"/>
      <c r="F7766" s="4"/>
      <c r="G7766" s="4"/>
    </row>
    <row r="7767">
      <c r="A7767" s="4"/>
      <c r="B7767" s="4"/>
      <c r="C7767" s="4"/>
      <c r="D7767" s="4"/>
      <c r="E7767" s="4"/>
      <c r="F7767" s="4"/>
      <c r="G7767" s="4"/>
    </row>
    <row r="7768">
      <c r="A7768" s="4"/>
      <c r="B7768" s="4"/>
      <c r="C7768" s="4"/>
      <c r="D7768" s="4"/>
      <c r="E7768" s="4"/>
      <c r="F7768" s="4"/>
      <c r="G7768" s="4"/>
    </row>
    <row r="7769">
      <c r="A7769" s="4"/>
      <c r="B7769" s="4"/>
      <c r="C7769" s="4"/>
      <c r="D7769" s="4"/>
      <c r="E7769" s="13"/>
      <c r="F7769" s="4"/>
      <c r="G7769" s="4"/>
    </row>
    <row r="7770">
      <c r="A7770" s="4"/>
      <c r="B7770" s="4"/>
      <c r="C7770" s="4"/>
      <c r="D7770" s="4"/>
      <c r="E7770" s="4"/>
      <c r="F7770" s="4"/>
      <c r="G7770" s="4"/>
    </row>
    <row r="7771">
      <c r="A7771" s="4"/>
      <c r="B7771" s="4"/>
      <c r="C7771" s="4"/>
      <c r="D7771" s="4"/>
      <c r="E7771" s="4"/>
      <c r="F7771" s="4"/>
      <c r="G7771" s="4"/>
    </row>
    <row r="7772">
      <c r="A7772" s="4"/>
      <c r="B7772" s="4"/>
      <c r="C7772" s="4"/>
      <c r="D7772" s="4"/>
      <c r="E7772" s="4"/>
      <c r="F7772" s="4"/>
      <c r="G7772" s="4"/>
    </row>
    <row r="7773">
      <c r="A7773" s="4"/>
      <c r="B7773" s="4"/>
      <c r="C7773" s="4"/>
      <c r="D7773" s="4"/>
      <c r="E7773" s="13"/>
      <c r="F7773" s="4"/>
      <c r="G7773" s="4"/>
    </row>
    <row r="7774">
      <c r="A7774" s="4"/>
      <c r="B7774" s="4"/>
      <c r="C7774" s="4"/>
      <c r="D7774" s="4"/>
      <c r="E7774" s="4"/>
      <c r="F7774" s="4"/>
      <c r="G7774" s="4"/>
    </row>
    <row r="7775">
      <c r="A7775" s="4"/>
      <c r="B7775" s="4"/>
      <c r="C7775" s="4"/>
      <c r="D7775" s="4"/>
      <c r="E7775" s="13"/>
      <c r="F7775" s="4"/>
      <c r="G7775" s="4"/>
    </row>
    <row r="7776">
      <c r="A7776" s="4"/>
      <c r="B7776" s="4"/>
      <c r="C7776" s="4"/>
      <c r="D7776" s="4"/>
      <c r="E7776" s="4"/>
      <c r="F7776" s="4"/>
      <c r="G7776" s="4"/>
    </row>
    <row r="7777">
      <c r="A7777" s="4"/>
      <c r="B7777" s="4"/>
      <c r="C7777" s="4"/>
      <c r="D7777" s="4"/>
      <c r="E7777" s="4"/>
      <c r="F7777" s="4"/>
      <c r="G7777" s="4"/>
    </row>
    <row r="7778">
      <c r="A7778" s="4"/>
      <c r="B7778" s="4"/>
      <c r="C7778" s="4"/>
      <c r="D7778" s="4"/>
      <c r="E7778" s="4"/>
      <c r="F7778" s="4"/>
      <c r="G7778" s="4"/>
    </row>
    <row r="7779">
      <c r="A7779" s="4"/>
      <c r="B7779" s="4"/>
      <c r="C7779" s="4"/>
      <c r="D7779" s="4"/>
      <c r="E7779" s="4"/>
      <c r="F7779" s="4"/>
      <c r="G7779" s="4"/>
    </row>
    <row r="7780">
      <c r="A7780" s="4"/>
      <c r="B7780" s="4"/>
      <c r="C7780" s="4"/>
      <c r="D7780" s="4"/>
      <c r="E7780" s="4"/>
      <c r="F7780" s="4"/>
      <c r="G7780" s="4"/>
    </row>
    <row r="7781">
      <c r="A7781" s="4"/>
      <c r="B7781" s="4"/>
      <c r="C7781" s="4"/>
      <c r="D7781" s="4"/>
      <c r="E7781" s="4"/>
      <c r="F7781" s="4"/>
      <c r="G7781" s="4"/>
    </row>
    <row r="7782">
      <c r="A7782" s="4"/>
      <c r="B7782" s="4"/>
      <c r="C7782" s="4"/>
      <c r="D7782" s="4"/>
      <c r="E7782" s="4"/>
      <c r="F7782" s="4"/>
      <c r="G7782" s="4"/>
    </row>
    <row r="7783">
      <c r="A7783" s="4"/>
      <c r="B7783" s="4"/>
      <c r="C7783" s="4"/>
      <c r="D7783" s="4"/>
      <c r="E7783" s="13"/>
      <c r="F7783" s="4"/>
      <c r="G7783" s="4"/>
    </row>
    <row r="7784">
      <c r="A7784" s="4"/>
      <c r="B7784" s="4"/>
      <c r="C7784" s="4"/>
      <c r="D7784" s="4"/>
      <c r="E7784" s="13"/>
      <c r="F7784" s="4"/>
      <c r="G7784" s="4"/>
    </row>
    <row r="7785">
      <c r="A7785" s="4"/>
      <c r="B7785" s="4"/>
      <c r="C7785" s="4"/>
      <c r="D7785" s="4"/>
      <c r="E7785" s="13"/>
      <c r="F7785" s="4"/>
      <c r="G7785" s="4"/>
    </row>
    <row r="7786">
      <c r="A7786" s="4"/>
      <c r="B7786" s="4"/>
      <c r="C7786" s="4"/>
      <c r="D7786" s="4"/>
      <c r="E7786" s="4"/>
      <c r="F7786" s="4"/>
      <c r="G7786" s="4"/>
    </row>
    <row r="7787">
      <c r="A7787" s="4"/>
      <c r="B7787" s="4"/>
      <c r="C7787" s="4"/>
      <c r="D7787" s="4"/>
      <c r="E7787" s="4"/>
      <c r="F7787" s="4"/>
      <c r="G7787" s="4"/>
    </row>
    <row r="7788">
      <c r="A7788" s="4"/>
      <c r="B7788" s="4"/>
      <c r="C7788" s="4"/>
      <c r="D7788" s="4"/>
      <c r="E7788" s="13"/>
      <c r="F7788" s="4"/>
      <c r="G7788" s="4"/>
    </row>
    <row r="7789">
      <c r="A7789" s="4"/>
      <c r="B7789" s="4"/>
      <c r="C7789" s="4"/>
      <c r="D7789" s="4"/>
      <c r="E7789" s="4"/>
      <c r="F7789" s="4"/>
      <c r="G7789" s="4"/>
    </row>
    <row r="7790">
      <c r="A7790" s="4"/>
      <c r="B7790" s="4"/>
      <c r="C7790" s="4"/>
      <c r="D7790" s="4"/>
      <c r="E7790" s="13"/>
      <c r="F7790" s="4"/>
      <c r="G7790" s="4"/>
    </row>
    <row r="7791">
      <c r="A7791" s="4"/>
      <c r="B7791" s="4"/>
      <c r="C7791" s="4"/>
      <c r="D7791" s="4"/>
      <c r="E7791" s="4"/>
      <c r="F7791" s="4"/>
      <c r="G7791" s="4"/>
    </row>
    <row r="7792">
      <c r="A7792" s="4"/>
      <c r="B7792" s="4"/>
      <c r="C7792" s="4"/>
      <c r="D7792" s="4"/>
      <c r="E7792" s="13"/>
      <c r="F7792" s="4"/>
      <c r="G7792" s="4"/>
    </row>
    <row r="7793">
      <c r="A7793" s="4"/>
      <c r="B7793" s="4"/>
      <c r="C7793" s="4"/>
      <c r="D7793" s="4"/>
      <c r="E7793" s="4"/>
      <c r="F7793" s="4"/>
      <c r="G7793" s="4"/>
    </row>
    <row r="7794">
      <c r="A7794" s="4"/>
      <c r="B7794" s="4"/>
      <c r="C7794" s="4"/>
      <c r="D7794" s="4"/>
      <c r="E7794" s="13"/>
      <c r="F7794" s="4"/>
      <c r="G7794" s="4"/>
    </row>
    <row r="7795">
      <c r="A7795" s="4"/>
      <c r="B7795" s="4"/>
      <c r="C7795" s="4"/>
      <c r="D7795" s="4"/>
      <c r="E7795" s="4"/>
      <c r="F7795" s="4"/>
      <c r="G7795" s="4"/>
    </row>
    <row r="7796">
      <c r="A7796" s="4"/>
      <c r="B7796" s="4"/>
      <c r="C7796" s="4"/>
      <c r="D7796" s="4"/>
      <c r="E7796" s="13"/>
      <c r="F7796" s="4"/>
      <c r="G7796" s="4"/>
    </row>
    <row r="7797">
      <c r="A7797" s="4"/>
      <c r="B7797" s="4"/>
      <c r="C7797" s="4"/>
      <c r="D7797" s="4"/>
      <c r="E7797" s="4"/>
      <c r="F7797" s="4"/>
      <c r="G7797" s="4"/>
    </row>
    <row r="7798">
      <c r="A7798" s="4"/>
      <c r="B7798" s="4"/>
      <c r="C7798" s="4"/>
      <c r="D7798" s="4"/>
      <c r="E7798" s="4"/>
      <c r="F7798" s="4"/>
      <c r="G7798" s="4"/>
    </row>
    <row r="7799">
      <c r="A7799" s="4"/>
      <c r="B7799" s="4"/>
      <c r="C7799" s="4"/>
      <c r="D7799" s="4"/>
      <c r="E7799" s="13"/>
      <c r="F7799" s="4"/>
      <c r="G7799" s="4"/>
    </row>
    <row r="7800">
      <c r="A7800" s="4"/>
      <c r="B7800" s="4"/>
      <c r="C7800" s="4"/>
      <c r="D7800" s="4"/>
      <c r="E7800" s="13"/>
      <c r="F7800" s="4"/>
      <c r="G7800" s="4"/>
    </row>
    <row r="7801">
      <c r="A7801" s="4"/>
      <c r="B7801" s="4"/>
      <c r="C7801" s="4"/>
      <c r="D7801" s="4"/>
      <c r="E7801" s="4"/>
      <c r="F7801" s="4"/>
      <c r="G7801" s="4"/>
    </row>
    <row r="7802">
      <c r="A7802" s="4"/>
      <c r="B7802" s="4"/>
      <c r="C7802" s="4"/>
      <c r="D7802" s="4"/>
      <c r="E7802" s="4"/>
      <c r="F7802" s="4"/>
      <c r="G7802" s="4"/>
    </row>
    <row r="7803">
      <c r="A7803" s="4"/>
      <c r="B7803" s="4"/>
      <c r="C7803" s="4"/>
      <c r="D7803" s="4"/>
      <c r="E7803" s="4"/>
      <c r="F7803" s="4"/>
      <c r="G7803" s="4"/>
    </row>
    <row r="7804">
      <c r="A7804" s="4"/>
      <c r="B7804" s="4"/>
      <c r="C7804" s="4"/>
      <c r="D7804" s="4"/>
      <c r="E7804" s="4"/>
      <c r="F7804" s="4"/>
      <c r="G7804" s="4"/>
    </row>
    <row r="7805">
      <c r="A7805" s="4"/>
      <c r="B7805" s="4"/>
      <c r="C7805" s="4"/>
      <c r="D7805" s="4"/>
      <c r="E7805" s="4"/>
      <c r="F7805" s="4"/>
      <c r="G7805" s="4"/>
    </row>
    <row r="7806">
      <c r="A7806" s="4"/>
      <c r="B7806" s="4"/>
      <c r="C7806" s="4"/>
      <c r="D7806" s="4"/>
      <c r="E7806" s="4"/>
      <c r="F7806" s="4"/>
      <c r="G7806" s="4"/>
    </row>
    <row r="7807">
      <c r="A7807" s="4"/>
      <c r="B7807" s="4"/>
      <c r="C7807" s="4"/>
      <c r="D7807" s="4"/>
      <c r="E7807" s="4"/>
      <c r="F7807" s="4"/>
      <c r="G7807" s="4"/>
    </row>
    <row r="7808">
      <c r="A7808" s="4"/>
      <c r="B7808" s="4"/>
      <c r="C7808" s="4"/>
      <c r="D7808" s="4"/>
      <c r="E7808" s="4"/>
      <c r="F7808" s="4"/>
      <c r="G7808" s="4"/>
    </row>
    <row r="7809">
      <c r="A7809" s="4"/>
      <c r="B7809" s="4"/>
      <c r="C7809" s="4"/>
      <c r="D7809" s="4"/>
      <c r="E7809" s="4"/>
      <c r="F7809" s="4"/>
      <c r="G7809" s="4"/>
    </row>
    <row r="7810">
      <c r="A7810" s="4"/>
      <c r="B7810" s="4"/>
      <c r="C7810" s="4"/>
      <c r="D7810" s="4"/>
      <c r="E7810" s="13"/>
      <c r="F7810" s="4"/>
      <c r="G7810" s="4"/>
    </row>
    <row r="7811">
      <c r="A7811" s="4"/>
      <c r="B7811" s="4"/>
      <c r="C7811" s="4"/>
      <c r="D7811" s="4"/>
      <c r="E7811" s="4"/>
      <c r="F7811" s="4"/>
      <c r="G7811" s="4"/>
    </row>
    <row r="7812">
      <c r="A7812" s="4"/>
      <c r="B7812" s="4"/>
      <c r="C7812" s="4"/>
      <c r="D7812" s="4"/>
      <c r="E7812" s="4"/>
      <c r="F7812" s="4"/>
      <c r="G7812" s="4"/>
    </row>
    <row r="7813">
      <c r="A7813" s="4"/>
      <c r="B7813" s="4"/>
      <c r="C7813" s="4"/>
      <c r="D7813" s="4"/>
      <c r="E7813" s="4"/>
      <c r="F7813" s="4"/>
      <c r="G7813" s="4"/>
    </row>
    <row r="7814">
      <c r="A7814" s="4"/>
      <c r="B7814" s="4"/>
      <c r="C7814" s="4"/>
      <c r="D7814" s="4"/>
      <c r="E7814" s="4"/>
      <c r="F7814" s="4"/>
      <c r="G7814" s="4"/>
    </row>
    <row r="7815">
      <c r="A7815" s="4"/>
      <c r="B7815" s="4"/>
      <c r="C7815" s="4"/>
      <c r="D7815" s="4"/>
      <c r="E7815" s="4"/>
      <c r="F7815" s="4"/>
      <c r="G7815" s="4"/>
    </row>
    <row r="7816">
      <c r="A7816" s="4"/>
      <c r="B7816" s="4"/>
      <c r="C7816" s="4"/>
      <c r="D7816" s="4"/>
      <c r="E7816" s="4"/>
      <c r="F7816" s="4"/>
      <c r="G7816" s="4"/>
    </row>
    <row r="7817">
      <c r="A7817" s="4"/>
      <c r="B7817" s="4"/>
      <c r="C7817" s="4"/>
      <c r="D7817" s="4"/>
      <c r="E7817" s="4"/>
      <c r="F7817" s="4"/>
      <c r="G7817" s="4"/>
    </row>
    <row r="7818">
      <c r="A7818" s="4"/>
      <c r="B7818" s="4"/>
      <c r="C7818" s="4"/>
      <c r="D7818" s="4"/>
      <c r="E7818" s="4"/>
      <c r="F7818" s="4"/>
      <c r="G7818" s="4"/>
    </row>
    <row r="7819">
      <c r="A7819" s="4"/>
      <c r="B7819" s="4"/>
      <c r="C7819" s="4"/>
      <c r="D7819" s="4"/>
      <c r="E7819" s="4"/>
      <c r="F7819" s="4"/>
      <c r="G7819" s="4"/>
    </row>
    <row r="7820">
      <c r="A7820" s="4"/>
      <c r="B7820" s="4"/>
      <c r="C7820" s="4"/>
      <c r="D7820" s="4"/>
      <c r="E7820" s="13"/>
      <c r="F7820" s="4"/>
      <c r="G7820" s="4"/>
    </row>
    <row r="7821">
      <c r="A7821" s="4"/>
      <c r="B7821" s="4"/>
      <c r="C7821" s="4"/>
      <c r="D7821" s="4"/>
      <c r="E7821" s="4"/>
      <c r="F7821" s="4"/>
      <c r="G7821" s="4"/>
    </row>
    <row r="7822">
      <c r="A7822" s="4"/>
      <c r="B7822" s="4"/>
      <c r="C7822" s="4"/>
      <c r="D7822" s="4"/>
      <c r="E7822" s="4"/>
      <c r="F7822" s="4"/>
      <c r="G7822" s="4"/>
    </row>
    <row r="7823">
      <c r="A7823" s="4"/>
      <c r="B7823" s="4"/>
      <c r="C7823" s="4"/>
      <c r="D7823" s="4"/>
      <c r="E7823" s="4"/>
      <c r="F7823" s="4"/>
      <c r="G7823" s="4"/>
    </row>
    <row r="7824">
      <c r="A7824" s="4"/>
      <c r="B7824" s="4"/>
      <c r="C7824" s="4"/>
      <c r="D7824" s="4"/>
      <c r="E7824" s="4"/>
      <c r="F7824" s="4"/>
      <c r="G7824" s="4"/>
    </row>
    <row r="7825">
      <c r="A7825" s="4"/>
      <c r="B7825" s="4"/>
      <c r="C7825" s="4"/>
      <c r="D7825" s="4"/>
      <c r="E7825" s="4"/>
      <c r="F7825" s="4"/>
      <c r="G7825" s="4"/>
    </row>
    <row r="7826">
      <c r="A7826" s="4"/>
      <c r="B7826" s="4"/>
      <c r="C7826" s="4"/>
      <c r="D7826" s="4"/>
      <c r="E7826" s="4"/>
      <c r="F7826" s="4"/>
      <c r="G7826" s="4"/>
    </row>
    <row r="7827">
      <c r="A7827" s="4"/>
      <c r="B7827" s="4"/>
      <c r="C7827" s="4"/>
      <c r="D7827" s="4"/>
      <c r="E7827" s="4"/>
      <c r="F7827" s="4"/>
      <c r="G7827" s="4"/>
    </row>
    <row r="7828">
      <c r="A7828" s="4"/>
      <c r="B7828" s="4"/>
      <c r="C7828" s="4"/>
      <c r="D7828" s="4"/>
      <c r="E7828" s="4"/>
      <c r="F7828" s="4"/>
      <c r="G7828" s="4"/>
    </row>
    <row r="7829">
      <c r="A7829" s="4"/>
      <c r="B7829" s="4"/>
      <c r="C7829" s="4"/>
      <c r="D7829" s="4"/>
      <c r="E7829" s="4"/>
      <c r="F7829" s="4"/>
      <c r="G7829" s="4"/>
    </row>
    <row r="7830">
      <c r="A7830" s="4"/>
      <c r="B7830" s="4"/>
      <c r="C7830" s="4"/>
      <c r="D7830" s="4"/>
      <c r="E7830" s="13"/>
      <c r="F7830" s="4"/>
      <c r="G7830" s="4"/>
    </row>
    <row r="7831">
      <c r="A7831" s="4"/>
      <c r="B7831" s="4"/>
      <c r="C7831" s="4"/>
      <c r="D7831" s="4"/>
      <c r="E7831" s="4"/>
      <c r="F7831" s="4"/>
      <c r="G7831" s="4"/>
    </row>
    <row r="7832">
      <c r="A7832" s="4"/>
      <c r="B7832" s="4"/>
      <c r="C7832" s="4"/>
      <c r="D7832" s="4"/>
      <c r="E7832" s="4"/>
      <c r="F7832" s="4"/>
      <c r="G7832" s="4"/>
    </row>
    <row r="7833">
      <c r="A7833" s="4"/>
      <c r="B7833" s="4"/>
      <c r="C7833" s="4"/>
      <c r="D7833" s="4"/>
      <c r="E7833" s="13"/>
      <c r="F7833" s="4"/>
      <c r="G7833" s="4"/>
    </row>
    <row r="7834">
      <c r="A7834" s="4"/>
      <c r="B7834" s="4"/>
      <c r="C7834" s="4"/>
      <c r="D7834" s="4"/>
      <c r="E7834" s="13"/>
      <c r="F7834" s="4"/>
      <c r="G7834" s="4"/>
    </row>
    <row r="7835">
      <c r="A7835" s="4"/>
      <c r="B7835" s="4"/>
      <c r="C7835" s="4"/>
      <c r="D7835" s="4"/>
      <c r="E7835" s="13"/>
      <c r="F7835" s="4"/>
      <c r="G7835" s="4"/>
    </row>
    <row r="7836">
      <c r="A7836" s="4"/>
      <c r="B7836" s="4"/>
      <c r="C7836" s="4"/>
      <c r="D7836" s="4"/>
      <c r="E7836" s="4"/>
      <c r="F7836" s="4"/>
      <c r="G7836" s="4"/>
    </row>
    <row r="7837">
      <c r="A7837" s="4"/>
      <c r="B7837" s="4"/>
      <c r="C7837" s="4"/>
      <c r="D7837" s="4"/>
      <c r="E7837" s="4"/>
      <c r="F7837" s="4"/>
      <c r="G7837" s="4"/>
    </row>
    <row r="7838">
      <c r="A7838" s="4"/>
      <c r="B7838" s="4"/>
      <c r="C7838" s="4"/>
      <c r="D7838" s="4"/>
      <c r="E7838" s="4"/>
      <c r="F7838" s="4"/>
      <c r="G7838" s="4"/>
    </row>
    <row r="7839">
      <c r="A7839" s="4"/>
      <c r="B7839" s="4"/>
      <c r="C7839" s="4"/>
      <c r="D7839" s="4"/>
      <c r="E7839" s="13"/>
      <c r="F7839" s="4"/>
      <c r="G7839" s="4"/>
    </row>
    <row r="7840">
      <c r="A7840" s="4"/>
      <c r="B7840" s="4"/>
      <c r="C7840" s="4"/>
      <c r="D7840" s="4"/>
      <c r="E7840" s="13"/>
      <c r="F7840" s="4"/>
      <c r="G7840" s="4"/>
    </row>
    <row r="7841">
      <c r="A7841" s="4"/>
      <c r="B7841" s="4"/>
      <c r="C7841" s="4"/>
      <c r="D7841" s="4"/>
      <c r="E7841" s="4"/>
      <c r="F7841" s="4"/>
      <c r="G7841" s="4"/>
    </row>
    <row r="7842">
      <c r="A7842" s="4"/>
      <c r="B7842" s="4"/>
      <c r="C7842" s="4"/>
      <c r="D7842" s="4"/>
      <c r="E7842" s="13"/>
      <c r="F7842" s="4"/>
      <c r="G7842" s="4"/>
    </row>
    <row r="7843">
      <c r="A7843" s="4"/>
      <c r="B7843" s="4"/>
      <c r="C7843" s="4"/>
      <c r="D7843" s="4"/>
      <c r="E7843" s="4"/>
      <c r="F7843" s="4"/>
      <c r="G7843" s="4"/>
    </row>
    <row r="7844">
      <c r="A7844" s="4"/>
      <c r="B7844" s="4"/>
      <c r="C7844" s="4"/>
      <c r="D7844" s="4"/>
      <c r="E7844" s="4"/>
      <c r="F7844" s="4"/>
      <c r="G7844" s="4"/>
    </row>
    <row r="7845">
      <c r="A7845" s="4"/>
      <c r="B7845" s="4"/>
      <c r="C7845" s="4"/>
      <c r="D7845" s="4"/>
      <c r="E7845" s="4"/>
      <c r="F7845" s="4"/>
      <c r="G7845" s="4"/>
    </row>
    <row r="7846">
      <c r="A7846" s="4"/>
      <c r="B7846" s="4"/>
      <c r="C7846" s="4"/>
      <c r="D7846" s="4"/>
      <c r="E7846" s="4"/>
      <c r="F7846" s="4"/>
      <c r="G7846" s="4"/>
    </row>
    <row r="7847">
      <c r="A7847" s="4"/>
      <c r="B7847" s="4"/>
      <c r="C7847" s="4"/>
      <c r="D7847" s="4"/>
      <c r="E7847" s="4"/>
      <c r="F7847" s="4"/>
      <c r="G7847" s="4"/>
    </row>
    <row r="7848">
      <c r="A7848" s="4"/>
      <c r="B7848" s="4"/>
      <c r="C7848" s="4"/>
      <c r="D7848" s="4"/>
      <c r="E7848" s="4"/>
      <c r="F7848" s="4"/>
      <c r="G7848" s="4"/>
    </row>
    <row r="7849">
      <c r="A7849" s="4"/>
      <c r="B7849" s="4"/>
      <c r="C7849" s="4"/>
      <c r="D7849" s="4"/>
      <c r="E7849" s="13"/>
      <c r="F7849" s="4"/>
      <c r="G7849" s="4"/>
    </row>
    <row r="7850">
      <c r="A7850" s="4"/>
      <c r="B7850" s="4"/>
      <c r="C7850" s="4"/>
      <c r="D7850" s="4"/>
      <c r="E7850" s="13"/>
      <c r="F7850" s="4"/>
      <c r="G7850" s="4"/>
    </row>
    <row r="7851">
      <c r="A7851" s="4"/>
      <c r="B7851" s="4"/>
      <c r="C7851" s="4"/>
      <c r="D7851" s="4"/>
      <c r="E7851" s="4"/>
      <c r="F7851" s="4"/>
      <c r="G7851" s="4"/>
    </row>
    <row r="7852">
      <c r="A7852" s="4"/>
      <c r="B7852" s="4"/>
      <c r="C7852" s="4"/>
      <c r="D7852" s="4"/>
      <c r="E7852" s="4"/>
      <c r="F7852" s="4"/>
      <c r="G7852" s="4"/>
    </row>
    <row r="7853">
      <c r="A7853" s="4"/>
      <c r="B7853" s="4"/>
      <c r="C7853" s="4"/>
      <c r="D7853" s="13"/>
      <c r="E7853" s="13"/>
      <c r="F7853" s="4"/>
      <c r="G7853" s="4"/>
    </row>
    <row r="7854">
      <c r="A7854" s="4"/>
      <c r="B7854" s="4"/>
      <c r="C7854" s="4"/>
      <c r="D7854" s="4"/>
      <c r="E7854" s="13"/>
      <c r="F7854" s="4"/>
      <c r="G7854" s="4"/>
    </row>
    <row r="7855">
      <c r="A7855" s="4"/>
      <c r="B7855" s="4"/>
      <c r="C7855" s="4"/>
      <c r="D7855" s="4"/>
      <c r="E7855" s="4"/>
      <c r="F7855" s="4"/>
      <c r="G7855" s="4"/>
    </row>
    <row r="7856">
      <c r="A7856" s="4"/>
      <c r="B7856" s="4"/>
      <c r="C7856" s="4"/>
      <c r="D7856" s="4"/>
      <c r="E7856" s="4"/>
      <c r="F7856" s="4"/>
      <c r="G7856" s="4"/>
    </row>
    <row r="7857">
      <c r="A7857" s="4"/>
      <c r="B7857" s="4"/>
      <c r="C7857" s="4"/>
      <c r="D7857" s="4"/>
      <c r="E7857" s="13"/>
      <c r="F7857" s="4"/>
      <c r="G7857" s="4"/>
    </row>
    <row r="7858">
      <c r="A7858" s="4"/>
      <c r="B7858" s="4"/>
      <c r="C7858" s="4"/>
      <c r="D7858" s="4"/>
      <c r="E7858" s="4"/>
      <c r="F7858" s="4"/>
      <c r="G7858" s="4"/>
    </row>
    <row r="7859">
      <c r="A7859" s="4"/>
      <c r="B7859" s="4"/>
      <c r="C7859" s="4"/>
      <c r="D7859" s="4"/>
      <c r="E7859" s="4"/>
      <c r="F7859" s="4"/>
      <c r="G7859" s="4"/>
    </row>
    <row r="7860">
      <c r="A7860" s="4"/>
      <c r="B7860" s="4"/>
      <c r="C7860" s="4"/>
      <c r="D7860" s="4"/>
      <c r="E7860" s="4"/>
      <c r="F7860" s="4"/>
      <c r="G7860" s="4"/>
    </row>
    <row r="7861">
      <c r="A7861" s="4"/>
      <c r="B7861" s="4"/>
      <c r="C7861" s="4"/>
      <c r="D7861" s="4"/>
      <c r="E7861" s="4"/>
      <c r="F7861" s="4"/>
      <c r="G7861" s="4"/>
    </row>
    <row r="7862">
      <c r="A7862" s="4"/>
      <c r="B7862" s="4"/>
      <c r="C7862" s="4"/>
      <c r="D7862" s="4"/>
      <c r="E7862" s="4"/>
      <c r="F7862" s="4"/>
      <c r="G7862" s="4"/>
    </row>
    <row r="7863">
      <c r="A7863" s="4"/>
      <c r="B7863" s="4"/>
      <c r="C7863" s="4"/>
      <c r="D7863" s="4"/>
      <c r="E7863" s="4"/>
      <c r="F7863" s="4"/>
      <c r="G7863" s="4"/>
    </row>
    <row r="7864">
      <c r="A7864" s="4"/>
      <c r="B7864" s="4"/>
      <c r="C7864" s="4"/>
      <c r="D7864" s="4"/>
      <c r="E7864" s="13"/>
      <c r="F7864" s="4"/>
      <c r="G7864" s="4"/>
    </row>
    <row r="7865">
      <c r="A7865" s="4"/>
      <c r="B7865" s="4"/>
      <c r="C7865" s="4"/>
      <c r="D7865" s="13"/>
      <c r="E7865" s="13"/>
      <c r="F7865" s="4"/>
      <c r="G7865" s="4"/>
    </row>
    <row r="7866">
      <c r="A7866" s="4"/>
      <c r="B7866" s="4"/>
      <c r="C7866" s="4"/>
      <c r="D7866" s="4"/>
      <c r="E7866" s="4"/>
      <c r="F7866" s="4"/>
      <c r="G7866" s="4"/>
    </row>
    <row r="7867">
      <c r="A7867" s="4"/>
      <c r="B7867" s="4"/>
      <c r="C7867" s="4"/>
      <c r="D7867" s="4"/>
      <c r="E7867" s="13"/>
      <c r="F7867" s="4"/>
      <c r="G7867" s="4"/>
    </row>
    <row r="7868">
      <c r="A7868" s="4"/>
      <c r="B7868" s="4"/>
      <c r="C7868" s="4"/>
      <c r="D7868" s="4"/>
      <c r="E7868" s="4"/>
      <c r="F7868" s="4"/>
      <c r="G7868" s="4"/>
    </row>
    <row r="7869">
      <c r="A7869" s="4"/>
      <c r="B7869" s="4"/>
      <c r="C7869" s="4"/>
      <c r="D7869" s="4"/>
      <c r="E7869" s="4"/>
      <c r="F7869" s="4"/>
      <c r="G7869" s="4"/>
    </row>
    <row r="7870">
      <c r="A7870" s="4"/>
      <c r="B7870" s="4"/>
      <c r="C7870" s="4"/>
      <c r="D7870" s="4"/>
      <c r="E7870" s="13"/>
      <c r="F7870" s="4"/>
      <c r="G7870" s="4"/>
    </row>
    <row r="7871">
      <c r="A7871" s="4"/>
      <c r="B7871" s="4"/>
      <c r="C7871" s="4"/>
      <c r="D7871" s="4"/>
      <c r="E7871" s="4"/>
      <c r="F7871" s="4"/>
      <c r="G7871" s="4"/>
    </row>
    <row r="7872">
      <c r="A7872" s="4"/>
      <c r="B7872" s="4"/>
      <c r="C7872" s="4"/>
      <c r="D7872" s="4"/>
      <c r="E7872" s="4"/>
      <c r="F7872" s="4"/>
      <c r="G7872" s="4"/>
    </row>
    <row r="7873">
      <c r="A7873" s="4"/>
      <c r="B7873" s="4"/>
      <c r="C7873" s="4"/>
      <c r="D7873" s="4"/>
      <c r="E7873" s="4"/>
      <c r="F7873" s="4"/>
      <c r="G7873" s="4"/>
    </row>
    <row r="7874">
      <c r="A7874" s="4"/>
      <c r="B7874" s="4"/>
      <c r="C7874" s="4"/>
      <c r="D7874" s="4"/>
      <c r="E7874" s="4"/>
      <c r="F7874" s="4"/>
      <c r="G7874" s="4"/>
    </row>
    <row r="7875">
      <c r="A7875" s="4"/>
      <c r="B7875" s="4"/>
      <c r="C7875" s="4"/>
      <c r="D7875" s="4"/>
      <c r="E7875" s="13"/>
      <c r="F7875" s="4"/>
      <c r="G7875" s="4"/>
    </row>
    <row r="7876">
      <c r="A7876" s="4"/>
      <c r="B7876" s="4"/>
      <c r="C7876" s="4"/>
      <c r="D7876" s="4"/>
      <c r="E7876" s="4"/>
      <c r="F7876" s="4"/>
      <c r="G7876" s="4"/>
    </row>
    <row r="7877">
      <c r="A7877" s="4"/>
      <c r="B7877" s="4"/>
      <c r="C7877" s="4"/>
      <c r="D7877" s="4"/>
      <c r="E7877" s="13"/>
      <c r="F7877" s="4"/>
      <c r="G7877" s="4"/>
    </row>
    <row r="7878">
      <c r="A7878" s="4"/>
      <c r="B7878" s="4"/>
      <c r="C7878" s="4"/>
      <c r="D7878" s="4"/>
      <c r="E7878" s="4"/>
      <c r="F7878" s="4"/>
      <c r="G7878" s="4"/>
    </row>
    <row r="7879">
      <c r="A7879" s="4"/>
      <c r="B7879" s="4"/>
      <c r="C7879" s="4"/>
      <c r="D7879" s="4"/>
      <c r="E7879" s="4"/>
      <c r="F7879" s="4"/>
      <c r="G7879" s="4"/>
    </row>
    <row r="7880">
      <c r="A7880" s="4"/>
      <c r="B7880" s="4"/>
      <c r="C7880" s="4"/>
      <c r="D7880" s="4"/>
      <c r="E7880" s="4"/>
      <c r="F7880" s="4"/>
      <c r="G7880" s="4"/>
    </row>
    <row r="7881">
      <c r="A7881" s="4"/>
      <c r="B7881" s="4"/>
      <c r="C7881" s="4"/>
      <c r="D7881" s="4"/>
      <c r="E7881" s="13"/>
      <c r="F7881" s="4"/>
      <c r="G7881" s="4"/>
    </row>
    <row r="7882">
      <c r="A7882" s="4"/>
      <c r="B7882" s="4"/>
      <c r="C7882" s="4"/>
      <c r="D7882" s="4"/>
      <c r="E7882" s="4"/>
      <c r="F7882" s="4"/>
      <c r="G7882" s="4"/>
    </row>
    <row r="7883">
      <c r="A7883" s="4"/>
      <c r="B7883" s="4"/>
      <c r="C7883" s="4"/>
      <c r="D7883" s="4"/>
      <c r="E7883" s="13"/>
      <c r="F7883" s="4"/>
      <c r="G7883" s="4"/>
    </row>
    <row r="7884">
      <c r="A7884" s="4"/>
      <c r="B7884" s="4"/>
      <c r="C7884" s="4"/>
      <c r="D7884" s="4"/>
      <c r="E7884" s="4"/>
      <c r="F7884" s="4"/>
      <c r="G7884" s="4"/>
    </row>
    <row r="7885">
      <c r="A7885" s="4"/>
      <c r="B7885" s="4"/>
      <c r="C7885" s="4"/>
      <c r="D7885" s="4"/>
      <c r="E7885" s="13"/>
      <c r="F7885" s="4"/>
      <c r="G7885" s="4"/>
    </row>
    <row r="7886">
      <c r="A7886" s="4"/>
      <c r="B7886" s="4"/>
      <c r="C7886" s="4"/>
      <c r="D7886" s="4"/>
      <c r="E7886" s="4"/>
      <c r="F7886" s="4"/>
      <c r="G7886" s="4"/>
    </row>
    <row r="7887">
      <c r="A7887" s="4"/>
      <c r="B7887" s="4"/>
      <c r="C7887" s="4"/>
      <c r="D7887" s="4"/>
      <c r="E7887" s="4"/>
      <c r="F7887" s="4"/>
      <c r="G7887" s="4"/>
    </row>
    <row r="7888">
      <c r="A7888" s="4"/>
      <c r="B7888" s="4"/>
      <c r="C7888" s="4"/>
      <c r="D7888" s="4"/>
      <c r="E7888" s="4"/>
      <c r="F7888" s="4"/>
      <c r="G7888" s="4"/>
    </row>
    <row r="7889">
      <c r="A7889" s="4"/>
      <c r="B7889" s="4"/>
      <c r="C7889" s="4"/>
      <c r="D7889" s="4"/>
      <c r="E7889" s="4"/>
      <c r="F7889" s="4"/>
      <c r="G7889" s="4"/>
    </row>
    <row r="7890">
      <c r="A7890" s="4"/>
      <c r="B7890" s="4"/>
      <c r="C7890" s="4"/>
      <c r="D7890" s="4"/>
      <c r="E7890" s="13"/>
      <c r="F7890" s="4"/>
      <c r="G7890" s="4"/>
    </row>
    <row r="7891">
      <c r="A7891" s="4"/>
      <c r="B7891" s="4"/>
      <c r="C7891" s="4"/>
      <c r="D7891" s="4"/>
      <c r="E7891" s="13"/>
      <c r="F7891" s="4"/>
      <c r="G7891" s="4"/>
    </row>
    <row r="7892">
      <c r="A7892" s="4"/>
      <c r="B7892" s="4"/>
      <c r="C7892" s="4"/>
      <c r="D7892" s="4"/>
      <c r="E7892" s="4"/>
      <c r="F7892" s="4"/>
      <c r="G7892" s="4"/>
    </row>
    <row r="7893">
      <c r="A7893" s="4"/>
      <c r="B7893" s="4"/>
      <c r="C7893" s="4"/>
      <c r="D7893" s="4"/>
      <c r="E7893" s="13"/>
      <c r="F7893" s="4"/>
      <c r="G7893" s="4"/>
    </row>
    <row r="7894">
      <c r="A7894" s="4"/>
      <c r="B7894" s="4"/>
      <c r="C7894" s="4"/>
      <c r="D7894" s="4"/>
      <c r="E7894" s="13"/>
      <c r="F7894" s="4"/>
      <c r="G7894" s="4"/>
    </row>
    <row r="7895">
      <c r="A7895" s="4"/>
      <c r="B7895" s="4"/>
      <c r="C7895" s="4"/>
      <c r="D7895" s="4"/>
      <c r="E7895" s="4"/>
      <c r="F7895" s="4"/>
      <c r="G7895" s="4"/>
    </row>
    <row r="7896">
      <c r="A7896" s="4"/>
      <c r="B7896" s="4"/>
      <c r="C7896" s="4"/>
      <c r="D7896" s="4"/>
      <c r="E7896" s="4"/>
      <c r="F7896" s="4"/>
      <c r="G7896" s="4"/>
    </row>
    <row r="7897">
      <c r="A7897" s="4"/>
      <c r="B7897" s="4"/>
      <c r="C7897" s="4"/>
      <c r="D7897" s="4"/>
      <c r="E7897" s="4"/>
      <c r="F7897" s="4"/>
      <c r="G7897" s="4"/>
    </row>
    <row r="7898">
      <c r="A7898" s="4"/>
      <c r="B7898" s="4"/>
      <c r="C7898" s="4"/>
      <c r="D7898" s="4"/>
      <c r="E7898" s="4"/>
      <c r="F7898" s="4"/>
      <c r="G7898" s="4"/>
    </row>
    <row r="7899">
      <c r="A7899" s="4"/>
      <c r="B7899" s="4"/>
      <c r="C7899" s="4"/>
      <c r="D7899" s="4"/>
      <c r="E7899" s="13"/>
      <c r="F7899" s="4"/>
      <c r="G7899" s="4"/>
    </row>
    <row r="7900">
      <c r="A7900" s="4"/>
      <c r="B7900" s="4"/>
      <c r="C7900" s="4"/>
      <c r="D7900" s="4"/>
      <c r="E7900" s="4"/>
      <c r="F7900" s="4"/>
      <c r="G7900" s="4"/>
    </row>
    <row r="7901">
      <c r="A7901" s="4"/>
      <c r="B7901" s="4"/>
      <c r="C7901" s="4"/>
      <c r="D7901" s="4"/>
      <c r="E7901" s="4"/>
      <c r="F7901" s="4"/>
      <c r="G7901" s="4"/>
    </row>
    <row r="7902">
      <c r="A7902" s="4"/>
      <c r="B7902" s="4"/>
      <c r="C7902" s="4"/>
      <c r="D7902" s="4"/>
      <c r="E7902" s="4"/>
      <c r="F7902" s="4"/>
      <c r="G7902" s="4"/>
    </row>
    <row r="7903">
      <c r="A7903" s="4"/>
      <c r="B7903" s="4"/>
      <c r="C7903" s="4"/>
      <c r="D7903" s="4"/>
      <c r="E7903" s="13"/>
      <c r="F7903" s="4"/>
      <c r="G7903" s="4"/>
    </row>
    <row r="7904">
      <c r="A7904" s="4"/>
      <c r="B7904" s="4"/>
      <c r="C7904" s="4"/>
      <c r="D7904" s="4"/>
      <c r="E7904" s="13"/>
      <c r="F7904" s="4"/>
      <c r="G7904" s="4"/>
    </row>
    <row r="7905">
      <c r="A7905" s="4"/>
      <c r="B7905" s="4"/>
      <c r="C7905" s="4"/>
      <c r="D7905" s="4"/>
      <c r="E7905" s="4"/>
      <c r="F7905" s="4"/>
      <c r="G7905" s="4"/>
    </row>
    <row r="7906">
      <c r="A7906" s="4"/>
      <c r="B7906" s="4"/>
      <c r="C7906" s="4"/>
      <c r="D7906" s="4"/>
      <c r="E7906" s="13"/>
      <c r="F7906" s="4"/>
      <c r="G7906" s="4"/>
    </row>
    <row r="7907">
      <c r="A7907" s="4"/>
      <c r="B7907" s="4"/>
      <c r="C7907" s="4"/>
      <c r="D7907" s="4"/>
      <c r="E7907" s="4"/>
      <c r="F7907" s="4"/>
      <c r="G7907" s="4"/>
    </row>
    <row r="7908">
      <c r="A7908" s="4"/>
      <c r="B7908" s="4"/>
      <c r="C7908" s="4"/>
      <c r="D7908" s="4"/>
      <c r="E7908" s="4"/>
      <c r="F7908" s="4"/>
      <c r="G7908" s="4"/>
    </row>
    <row r="7909">
      <c r="A7909" s="4"/>
      <c r="B7909" s="4"/>
      <c r="C7909" s="4"/>
      <c r="D7909" s="4"/>
      <c r="E7909" s="13"/>
      <c r="F7909" s="4"/>
      <c r="G7909" s="4"/>
    </row>
    <row r="7910">
      <c r="A7910" s="4"/>
      <c r="B7910" s="4"/>
      <c r="C7910" s="4"/>
      <c r="D7910" s="4"/>
      <c r="E7910" s="13"/>
      <c r="F7910" s="4"/>
      <c r="G7910" s="4"/>
    </row>
    <row r="7911">
      <c r="A7911" s="4"/>
      <c r="B7911" s="4"/>
      <c r="C7911" s="4"/>
      <c r="D7911" s="4"/>
      <c r="E7911" s="4"/>
      <c r="F7911" s="4"/>
      <c r="G7911" s="4"/>
    </row>
    <row r="7912">
      <c r="A7912" s="4"/>
      <c r="B7912" s="4"/>
      <c r="C7912" s="4"/>
      <c r="D7912" s="4"/>
      <c r="E7912" s="4"/>
      <c r="F7912" s="4"/>
      <c r="G7912" s="4"/>
    </row>
    <row r="7913">
      <c r="A7913" s="4"/>
      <c r="B7913" s="4"/>
      <c r="C7913" s="4"/>
      <c r="D7913" s="4"/>
      <c r="E7913" s="13"/>
      <c r="F7913" s="4"/>
      <c r="G7913" s="4"/>
    </row>
    <row r="7914">
      <c r="A7914" s="4"/>
      <c r="B7914" s="4"/>
      <c r="C7914" s="4"/>
      <c r="D7914" s="13"/>
      <c r="E7914" s="13"/>
      <c r="F7914" s="4"/>
      <c r="G7914" s="4"/>
    </row>
    <row r="7915">
      <c r="A7915" s="4"/>
      <c r="B7915" s="4"/>
      <c r="C7915" s="4"/>
      <c r="D7915" s="4"/>
      <c r="E7915" s="4"/>
      <c r="F7915" s="4"/>
      <c r="G7915" s="4"/>
    </row>
    <row r="7916">
      <c r="A7916" s="4"/>
      <c r="B7916" s="4"/>
      <c r="C7916" s="4"/>
      <c r="D7916" s="4"/>
      <c r="E7916" s="4"/>
      <c r="F7916" s="4"/>
      <c r="G7916" s="4"/>
    </row>
    <row r="7917">
      <c r="A7917" s="4"/>
      <c r="B7917" s="4"/>
      <c r="C7917" s="4"/>
      <c r="D7917" s="4"/>
      <c r="E7917" s="13"/>
      <c r="F7917" s="4"/>
      <c r="G7917" s="4"/>
    </row>
    <row r="7918">
      <c r="A7918" s="4"/>
      <c r="B7918" s="4"/>
      <c r="C7918" s="4"/>
      <c r="D7918" s="4"/>
      <c r="E7918" s="4"/>
      <c r="F7918" s="4"/>
      <c r="G7918" s="4"/>
    </row>
    <row r="7919">
      <c r="A7919" s="4"/>
      <c r="B7919" s="4"/>
      <c r="C7919" s="4"/>
      <c r="D7919" s="4"/>
      <c r="E7919" s="4"/>
      <c r="F7919" s="4"/>
      <c r="G7919" s="4"/>
    </row>
    <row r="7920">
      <c r="A7920" s="4"/>
      <c r="B7920" s="4"/>
      <c r="C7920" s="4"/>
      <c r="D7920" s="4"/>
      <c r="E7920" s="4"/>
      <c r="F7920" s="4"/>
      <c r="G7920" s="4"/>
    </row>
    <row r="7921">
      <c r="A7921" s="4"/>
      <c r="B7921" s="4"/>
      <c r="C7921" s="4"/>
      <c r="D7921" s="4"/>
      <c r="E7921" s="4"/>
      <c r="F7921" s="4"/>
      <c r="G7921" s="4"/>
    </row>
    <row r="7922">
      <c r="A7922" s="4"/>
      <c r="B7922" s="4"/>
      <c r="C7922" s="4"/>
      <c r="D7922" s="4"/>
      <c r="E7922" s="4"/>
      <c r="F7922" s="4"/>
      <c r="G7922" s="4"/>
    </row>
    <row r="7923">
      <c r="A7923" s="4"/>
      <c r="B7923" s="4"/>
      <c r="C7923" s="4"/>
      <c r="D7923" s="4"/>
      <c r="E7923" s="4"/>
      <c r="F7923" s="4"/>
      <c r="G7923" s="4"/>
    </row>
    <row r="7924">
      <c r="A7924" s="4"/>
      <c r="B7924" s="4"/>
      <c r="C7924" s="4"/>
      <c r="D7924" s="4"/>
      <c r="E7924" s="13"/>
      <c r="F7924" s="4"/>
      <c r="G7924" s="4"/>
    </row>
    <row r="7925">
      <c r="A7925" s="4"/>
      <c r="B7925" s="4"/>
      <c r="C7925" s="4"/>
      <c r="D7925" s="4"/>
      <c r="E7925" s="4"/>
      <c r="F7925" s="4"/>
      <c r="G7925" s="4"/>
    </row>
    <row r="7926">
      <c r="A7926" s="4"/>
      <c r="B7926" s="4"/>
      <c r="C7926" s="4"/>
      <c r="D7926" s="4"/>
      <c r="E7926" s="13"/>
      <c r="F7926" s="4"/>
      <c r="G7926" s="4"/>
    </row>
    <row r="7927">
      <c r="A7927" s="4"/>
      <c r="B7927" s="4"/>
      <c r="C7927" s="4"/>
      <c r="D7927" s="4"/>
      <c r="E7927" s="4"/>
      <c r="F7927" s="4"/>
      <c r="G7927" s="4"/>
    </row>
    <row r="7928">
      <c r="A7928" s="4"/>
      <c r="B7928" s="4"/>
      <c r="C7928" s="4"/>
      <c r="D7928" s="4"/>
      <c r="E7928" s="13"/>
      <c r="F7928" s="4"/>
      <c r="G7928" s="4"/>
    </row>
    <row r="7929">
      <c r="A7929" s="4"/>
      <c r="B7929" s="4"/>
      <c r="C7929" s="4"/>
      <c r="D7929" s="4"/>
      <c r="E7929" s="4"/>
      <c r="F7929" s="4"/>
      <c r="G7929" s="4"/>
    </row>
    <row r="7930">
      <c r="A7930" s="4"/>
      <c r="B7930" s="4"/>
      <c r="C7930" s="4"/>
      <c r="D7930" s="4"/>
      <c r="E7930" s="4"/>
      <c r="F7930" s="4"/>
      <c r="G7930" s="4"/>
    </row>
    <row r="7931">
      <c r="A7931" s="4"/>
      <c r="B7931" s="4"/>
      <c r="C7931" s="4"/>
      <c r="D7931" s="4"/>
      <c r="E7931" s="4"/>
      <c r="F7931" s="4"/>
      <c r="G7931" s="4"/>
    </row>
    <row r="7932">
      <c r="A7932" s="4"/>
      <c r="B7932" s="4"/>
      <c r="C7932" s="4"/>
      <c r="D7932" s="4"/>
      <c r="E7932" s="4"/>
      <c r="F7932" s="4"/>
      <c r="G7932" s="4"/>
    </row>
    <row r="7933">
      <c r="A7933" s="4"/>
      <c r="B7933" s="4"/>
      <c r="C7933" s="4"/>
      <c r="D7933" s="4"/>
      <c r="E7933" s="4"/>
      <c r="F7933" s="4"/>
      <c r="G7933" s="4"/>
    </row>
    <row r="7934">
      <c r="A7934" s="4"/>
      <c r="B7934" s="4"/>
      <c r="C7934" s="4"/>
      <c r="D7934" s="4"/>
      <c r="E7934" s="13"/>
      <c r="F7934" s="4"/>
      <c r="G7934" s="4"/>
    </row>
    <row r="7935">
      <c r="A7935" s="4"/>
      <c r="B7935" s="4"/>
      <c r="C7935" s="4"/>
      <c r="D7935" s="4"/>
      <c r="E7935" s="4"/>
      <c r="F7935" s="4"/>
      <c r="G7935" s="4"/>
    </row>
    <row r="7936">
      <c r="A7936" s="4"/>
      <c r="B7936" s="4"/>
      <c r="C7936" s="4"/>
      <c r="D7936" s="4"/>
      <c r="E7936" s="13"/>
      <c r="F7936" s="4"/>
      <c r="G7936" s="4"/>
    </row>
    <row r="7937">
      <c r="A7937" s="4"/>
      <c r="B7937" s="4"/>
      <c r="C7937" s="4"/>
      <c r="D7937" s="4"/>
      <c r="E7937" s="4"/>
      <c r="F7937" s="4"/>
      <c r="G7937" s="4"/>
    </row>
    <row r="7938">
      <c r="A7938" s="4"/>
      <c r="B7938" s="4"/>
      <c r="C7938" s="4"/>
      <c r="D7938" s="4"/>
      <c r="E7938" s="4"/>
      <c r="F7938" s="4"/>
      <c r="G7938" s="4"/>
    </row>
    <row r="7939">
      <c r="A7939" s="4"/>
      <c r="B7939" s="4"/>
      <c r="C7939" s="4"/>
      <c r="D7939" s="4"/>
      <c r="E7939" s="4"/>
      <c r="F7939" s="4"/>
      <c r="G7939" s="4"/>
    </row>
    <row r="7940">
      <c r="A7940" s="4"/>
      <c r="B7940" s="4"/>
      <c r="C7940" s="4"/>
      <c r="D7940" s="4"/>
      <c r="E7940" s="4"/>
      <c r="F7940" s="4"/>
      <c r="G7940" s="4"/>
    </row>
    <row r="7941">
      <c r="A7941" s="4"/>
      <c r="B7941" s="4"/>
      <c r="C7941" s="4"/>
      <c r="D7941" s="4"/>
      <c r="E7941" s="4"/>
      <c r="F7941" s="4"/>
      <c r="G7941" s="4"/>
    </row>
    <row r="7942">
      <c r="A7942" s="4"/>
      <c r="B7942" s="4"/>
      <c r="C7942" s="4"/>
      <c r="D7942" s="4"/>
      <c r="E7942" s="4"/>
      <c r="F7942" s="4"/>
      <c r="G7942" s="4"/>
    </row>
    <row r="7943">
      <c r="A7943" s="4"/>
      <c r="B7943" s="4"/>
      <c r="C7943" s="4"/>
      <c r="D7943" s="4"/>
      <c r="E7943" s="13"/>
      <c r="F7943" s="4"/>
      <c r="G7943" s="4"/>
    </row>
    <row r="7944">
      <c r="A7944" s="4"/>
      <c r="B7944" s="4"/>
      <c r="C7944" s="4"/>
      <c r="D7944" s="4"/>
      <c r="E7944" s="13"/>
      <c r="F7944" s="4"/>
      <c r="G7944" s="4"/>
    </row>
    <row r="7945">
      <c r="A7945" s="4"/>
      <c r="B7945" s="4"/>
      <c r="C7945" s="4"/>
      <c r="D7945" s="4"/>
      <c r="E7945" s="4"/>
      <c r="F7945" s="4"/>
      <c r="G7945" s="4"/>
    </row>
    <row r="7946">
      <c r="A7946" s="4"/>
      <c r="B7946" s="4"/>
      <c r="C7946" s="4"/>
      <c r="D7946" s="4"/>
      <c r="E7946" s="4"/>
      <c r="F7946" s="4"/>
      <c r="G7946" s="4"/>
    </row>
    <row r="7947">
      <c r="A7947" s="4"/>
      <c r="B7947" s="4"/>
      <c r="C7947" s="4"/>
      <c r="D7947" s="4"/>
      <c r="E7947" s="4"/>
      <c r="F7947" s="4"/>
      <c r="G7947" s="4"/>
    </row>
    <row r="7948">
      <c r="A7948" s="4"/>
      <c r="B7948" s="4"/>
      <c r="C7948" s="4"/>
      <c r="D7948" s="4"/>
      <c r="E7948" s="4"/>
      <c r="F7948" s="4"/>
      <c r="G7948" s="4"/>
    </row>
    <row r="7949">
      <c r="A7949" s="4"/>
      <c r="B7949" s="4"/>
      <c r="C7949" s="4"/>
      <c r="D7949" s="4"/>
      <c r="E7949" s="4"/>
      <c r="F7949" s="4"/>
      <c r="G7949" s="4"/>
    </row>
    <row r="7950">
      <c r="A7950" s="4"/>
      <c r="B7950" s="4"/>
      <c r="C7950" s="4"/>
      <c r="D7950" s="4"/>
      <c r="E7950" s="4"/>
      <c r="F7950" s="4"/>
      <c r="G7950" s="4"/>
    </row>
    <row r="7951">
      <c r="A7951" s="4"/>
      <c r="B7951" s="4"/>
      <c r="C7951" s="4"/>
      <c r="D7951" s="13"/>
      <c r="E7951" s="13"/>
      <c r="F7951" s="4"/>
      <c r="G7951" s="4"/>
    </row>
    <row r="7952">
      <c r="A7952" s="4"/>
      <c r="B7952" s="4"/>
      <c r="C7952" s="4"/>
      <c r="D7952" s="13"/>
      <c r="E7952" s="13"/>
      <c r="F7952" s="4"/>
      <c r="G7952" s="4"/>
    </row>
    <row r="7953">
      <c r="A7953" s="4"/>
      <c r="B7953" s="4"/>
      <c r="C7953" s="4"/>
      <c r="D7953" s="13"/>
      <c r="E7953" s="13"/>
      <c r="F7953" s="4"/>
      <c r="G7953" s="4"/>
    </row>
    <row r="7954">
      <c r="A7954" s="4"/>
      <c r="B7954" s="4"/>
      <c r="C7954" s="4"/>
      <c r="D7954" s="4"/>
      <c r="E7954" s="4"/>
      <c r="F7954" s="4"/>
      <c r="G7954" s="4"/>
    </row>
    <row r="7955">
      <c r="A7955" s="4"/>
      <c r="B7955" s="4"/>
      <c r="C7955" s="4"/>
      <c r="D7955" s="4"/>
      <c r="E7955" s="4"/>
      <c r="F7955" s="4"/>
      <c r="G7955" s="4"/>
    </row>
    <row r="7956">
      <c r="A7956" s="4"/>
      <c r="B7956" s="4"/>
      <c r="C7956" s="4"/>
      <c r="D7956" s="13"/>
      <c r="E7956" s="13"/>
      <c r="F7956" s="4"/>
      <c r="G7956" s="4"/>
    </row>
    <row r="7957">
      <c r="A7957" s="4"/>
      <c r="B7957" s="4"/>
      <c r="C7957" s="4"/>
      <c r="D7957" s="4"/>
      <c r="E7957" s="4"/>
      <c r="F7957" s="4"/>
      <c r="G7957" s="4"/>
    </row>
    <row r="7958">
      <c r="A7958" s="4"/>
      <c r="B7958" s="4"/>
      <c r="C7958" s="4"/>
      <c r="D7958" s="13"/>
      <c r="E7958" s="13"/>
      <c r="F7958" s="4"/>
      <c r="G7958" s="4"/>
    </row>
    <row r="7959">
      <c r="A7959" s="4"/>
      <c r="B7959" s="4"/>
      <c r="C7959" s="4"/>
      <c r="D7959" s="4"/>
      <c r="E7959" s="4"/>
      <c r="F7959" s="4"/>
      <c r="G7959" s="4"/>
    </row>
    <row r="7960">
      <c r="A7960" s="4"/>
      <c r="B7960" s="4"/>
      <c r="C7960" s="4"/>
      <c r="D7960" s="4"/>
      <c r="E7960" s="13"/>
      <c r="F7960" s="4"/>
      <c r="G7960" s="4"/>
    </row>
    <row r="7961">
      <c r="A7961" s="4"/>
      <c r="B7961" s="4"/>
      <c r="C7961" s="4"/>
      <c r="D7961" s="4"/>
      <c r="E7961" s="13"/>
      <c r="F7961" s="4"/>
      <c r="G7961" s="4"/>
    </row>
    <row r="7962">
      <c r="A7962" s="4"/>
      <c r="B7962" s="4"/>
      <c r="C7962" s="4"/>
      <c r="D7962" s="4"/>
      <c r="E7962" s="4"/>
      <c r="F7962" s="4"/>
      <c r="G7962" s="4"/>
    </row>
    <row r="7963">
      <c r="A7963" s="4"/>
      <c r="B7963" s="4"/>
      <c r="C7963" s="4"/>
      <c r="D7963" s="4"/>
      <c r="E7963" s="4"/>
      <c r="F7963" s="4"/>
      <c r="G7963" s="4"/>
    </row>
    <row r="7964">
      <c r="A7964" s="4"/>
      <c r="B7964" s="4"/>
      <c r="C7964" s="4"/>
      <c r="D7964" s="4"/>
      <c r="E7964" s="4"/>
      <c r="F7964" s="4"/>
      <c r="G7964" s="4"/>
    </row>
    <row r="7965">
      <c r="A7965" s="4"/>
      <c r="B7965" s="4"/>
      <c r="C7965" s="4"/>
      <c r="D7965" s="4"/>
      <c r="E7965" s="4"/>
      <c r="F7965" s="4"/>
      <c r="G7965" s="4"/>
    </row>
    <row r="7966">
      <c r="A7966" s="4"/>
      <c r="B7966" s="4"/>
      <c r="C7966" s="4"/>
      <c r="D7966" s="4"/>
      <c r="E7966" s="4"/>
      <c r="F7966" s="4"/>
      <c r="G7966" s="4"/>
    </row>
    <row r="7967">
      <c r="A7967" s="4"/>
      <c r="B7967" s="4"/>
      <c r="C7967" s="4"/>
      <c r="D7967" s="4"/>
      <c r="E7967" s="4"/>
      <c r="F7967" s="4"/>
      <c r="G7967" s="4"/>
    </row>
    <row r="7968">
      <c r="A7968" s="4"/>
      <c r="B7968" s="4"/>
      <c r="C7968" s="4"/>
      <c r="D7968" s="4"/>
      <c r="E7968" s="4"/>
      <c r="F7968" s="4"/>
      <c r="G7968" s="4"/>
    </row>
    <row r="7969">
      <c r="A7969" s="4"/>
      <c r="B7969" s="4"/>
      <c r="C7969" s="4"/>
      <c r="D7969" s="4"/>
      <c r="E7969" s="13"/>
      <c r="F7969" s="4"/>
      <c r="G7969" s="4"/>
    </row>
    <row r="7970">
      <c r="A7970" s="4"/>
      <c r="B7970" s="4"/>
      <c r="C7970" s="4"/>
      <c r="D7970" s="4"/>
      <c r="E7970" s="4"/>
      <c r="F7970" s="4"/>
      <c r="G7970" s="4"/>
    </row>
    <row r="7971">
      <c r="A7971" s="4"/>
      <c r="B7971" s="4"/>
      <c r="C7971" s="4"/>
      <c r="D7971" s="13"/>
      <c r="E7971" s="13"/>
      <c r="F7971" s="4"/>
      <c r="G7971" s="4"/>
    </row>
    <row r="7972">
      <c r="A7972" s="4"/>
      <c r="B7972" s="4"/>
      <c r="C7972" s="4"/>
      <c r="D7972" s="4"/>
      <c r="E7972" s="13"/>
      <c r="F7972" s="4"/>
      <c r="G7972" s="4"/>
    </row>
    <row r="7973">
      <c r="A7973" s="4"/>
      <c r="B7973" s="4"/>
      <c r="C7973" s="4"/>
      <c r="D7973" s="4"/>
      <c r="E7973" s="4"/>
      <c r="F7973" s="4"/>
      <c r="G7973" s="4"/>
    </row>
    <row r="7974">
      <c r="A7974" s="4"/>
      <c r="B7974" s="4"/>
      <c r="C7974" s="4"/>
      <c r="D7974" s="4"/>
      <c r="E7974" s="4"/>
      <c r="F7974" s="4"/>
      <c r="G7974" s="4"/>
    </row>
    <row r="7975">
      <c r="A7975" s="4"/>
      <c r="B7975" s="4"/>
      <c r="C7975" s="4"/>
      <c r="D7975" s="4"/>
      <c r="E7975" s="4"/>
      <c r="F7975" s="4"/>
      <c r="G7975" s="4"/>
    </row>
    <row r="7976">
      <c r="A7976" s="4"/>
      <c r="B7976" s="4"/>
      <c r="C7976" s="4"/>
      <c r="D7976" s="13"/>
      <c r="E7976" s="13"/>
      <c r="F7976" s="4"/>
      <c r="G7976" s="4"/>
    </row>
    <row r="7977">
      <c r="A7977" s="4"/>
      <c r="B7977" s="4"/>
      <c r="C7977" s="4"/>
      <c r="D7977" s="13"/>
      <c r="E7977" s="13"/>
      <c r="F7977" s="4"/>
      <c r="G7977" s="4"/>
    </row>
    <row r="7978">
      <c r="A7978" s="4"/>
      <c r="B7978" s="4"/>
      <c r="C7978" s="4"/>
      <c r="D7978" s="13"/>
      <c r="E7978" s="13"/>
      <c r="F7978" s="4"/>
      <c r="G7978" s="4"/>
    </row>
    <row r="7979">
      <c r="A7979" s="4"/>
      <c r="B7979" s="4"/>
      <c r="C7979" s="4"/>
      <c r="D7979" s="13"/>
      <c r="E7979" s="13"/>
      <c r="F7979" s="4"/>
      <c r="G7979" s="4"/>
    </row>
    <row r="7980">
      <c r="A7980" s="4"/>
      <c r="B7980" s="4"/>
      <c r="C7980" s="4"/>
      <c r="D7980" s="4"/>
      <c r="E7980" s="13"/>
      <c r="F7980" s="4"/>
      <c r="G7980" s="4"/>
    </row>
    <row r="7981">
      <c r="A7981" s="4"/>
      <c r="B7981" s="4"/>
      <c r="C7981" s="4"/>
      <c r="D7981" s="4"/>
      <c r="E7981" s="13"/>
      <c r="F7981" s="4"/>
      <c r="G7981" s="4"/>
    </row>
    <row r="7982">
      <c r="A7982" s="4"/>
      <c r="B7982" s="4"/>
      <c r="C7982" s="4"/>
      <c r="D7982" s="4"/>
      <c r="E7982" s="4"/>
      <c r="F7982" s="4"/>
      <c r="G7982" s="4"/>
    </row>
    <row r="7983">
      <c r="A7983" s="4"/>
      <c r="B7983" s="4"/>
      <c r="C7983" s="4"/>
      <c r="D7983" s="4"/>
      <c r="E7983" s="4"/>
      <c r="F7983" s="4"/>
      <c r="G7983" s="4"/>
    </row>
    <row r="7984">
      <c r="A7984" s="4"/>
      <c r="B7984" s="4"/>
      <c r="C7984" s="4"/>
      <c r="D7984" s="4"/>
      <c r="E7984" s="4"/>
      <c r="F7984" s="4"/>
      <c r="G7984" s="4"/>
    </row>
    <row r="7985">
      <c r="A7985" s="4"/>
      <c r="B7985" s="4"/>
      <c r="C7985" s="4"/>
      <c r="D7985" s="4"/>
      <c r="E7985" s="13"/>
      <c r="F7985" s="4"/>
      <c r="G7985" s="4"/>
    </row>
    <row r="7986">
      <c r="A7986" s="4"/>
      <c r="B7986" s="4"/>
      <c r="C7986" s="4"/>
      <c r="D7986" s="4"/>
      <c r="E7986" s="13"/>
      <c r="F7986" s="4"/>
      <c r="G7986" s="4"/>
    </row>
    <row r="7987">
      <c r="A7987" s="4"/>
      <c r="B7987" s="4"/>
      <c r="C7987" s="4"/>
      <c r="D7987" s="4"/>
      <c r="E7987" s="4"/>
      <c r="F7987" s="4"/>
      <c r="G7987" s="4"/>
    </row>
    <row r="7988">
      <c r="A7988" s="4"/>
      <c r="B7988" s="4"/>
      <c r="C7988" s="4"/>
      <c r="D7988" s="4"/>
      <c r="E7988" s="4"/>
      <c r="F7988" s="4"/>
      <c r="G7988" s="4"/>
    </row>
    <row r="7989">
      <c r="A7989" s="4"/>
      <c r="B7989" s="4"/>
      <c r="C7989" s="4"/>
      <c r="D7989" s="4"/>
      <c r="E7989" s="4"/>
      <c r="F7989" s="4"/>
      <c r="G7989" s="4"/>
    </row>
    <row r="7990">
      <c r="A7990" s="4"/>
      <c r="B7990" s="4"/>
      <c r="C7990" s="4"/>
      <c r="D7990" s="4"/>
      <c r="E7990" s="4"/>
      <c r="F7990" s="4"/>
      <c r="G7990" s="4"/>
    </row>
    <row r="7991">
      <c r="A7991" s="4"/>
      <c r="B7991" s="4"/>
      <c r="C7991" s="4"/>
      <c r="D7991" s="4"/>
      <c r="E7991" s="4"/>
      <c r="F7991" s="4"/>
      <c r="G7991" s="4"/>
    </row>
    <row r="7992">
      <c r="A7992" s="4"/>
      <c r="B7992" s="4"/>
      <c r="C7992" s="4"/>
      <c r="D7992" s="4"/>
      <c r="E7992" s="13"/>
      <c r="F7992" s="4"/>
      <c r="G7992" s="4"/>
    </row>
    <row r="7993">
      <c r="A7993" s="4"/>
      <c r="B7993" s="4"/>
      <c r="C7993" s="4"/>
      <c r="D7993" s="13"/>
      <c r="E7993" s="13"/>
      <c r="F7993" s="4"/>
      <c r="G7993" s="4"/>
    </row>
    <row r="7994">
      <c r="A7994" s="4"/>
      <c r="B7994" s="4"/>
      <c r="C7994" s="4"/>
      <c r="D7994" s="4"/>
      <c r="E7994" s="4"/>
      <c r="F7994" s="4"/>
      <c r="G7994" s="4"/>
    </row>
    <row r="7995">
      <c r="A7995" s="4"/>
      <c r="B7995" s="4"/>
      <c r="C7995" s="4"/>
      <c r="D7995" s="4"/>
      <c r="E7995" s="13"/>
      <c r="F7995" s="4"/>
      <c r="G7995" s="4"/>
    </row>
    <row r="7996">
      <c r="A7996" s="4"/>
      <c r="B7996" s="4"/>
      <c r="C7996" s="4"/>
      <c r="D7996" s="4"/>
      <c r="E7996" s="4"/>
      <c r="F7996" s="4"/>
      <c r="G7996" s="4"/>
    </row>
    <row r="7997">
      <c r="A7997" s="4"/>
      <c r="B7997" s="4"/>
      <c r="C7997" s="4"/>
      <c r="D7997" s="4"/>
      <c r="E7997" s="13"/>
      <c r="F7997" s="4"/>
      <c r="G7997" s="4"/>
    </row>
    <row r="7998">
      <c r="A7998" s="4"/>
      <c r="B7998" s="4"/>
      <c r="C7998" s="4"/>
      <c r="D7998" s="4"/>
      <c r="E7998" s="4"/>
      <c r="F7998" s="4"/>
      <c r="G7998" s="4"/>
    </row>
    <row r="7999">
      <c r="A7999" s="4"/>
      <c r="B7999" s="4"/>
      <c r="C7999" s="4"/>
      <c r="D7999" s="4"/>
      <c r="E7999" s="13"/>
      <c r="F7999" s="4"/>
      <c r="G7999" s="4"/>
    </row>
    <row r="8000">
      <c r="A8000" s="4"/>
      <c r="B8000" s="4"/>
      <c r="C8000" s="4"/>
      <c r="D8000" s="4"/>
      <c r="E8000" s="13"/>
      <c r="F8000" s="4"/>
      <c r="G8000" s="4"/>
    </row>
    <row r="8001">
      <c r="A8001" s="4"/>
      <c r="B8001" s="4"/>
      <c r="C8001" s="4"/>
      <c r="D8001" s="4"/>
      <c r="E8001" s="4"/>
      <c r="F8001" s="4"/>
      <c r="G8001" s="4"/>
    </row>
    <row r="8002">
      <c r="A8002" s="4"/>
      <c r="B8002" s="4"/>
      <c r="C8002" s="4"/>
      <c r="D8002" s="4"/>
      <c r="E8002" s="4"/>
      <c r="F8002" s="4"/>
      <c r="G8002" s="4"/>
    </row>
    <row r="8003">
      <c r="A8003" s="4"/>
      <c r="B8003" s="4"/>
      <c r="C8003" s="4"/>
      <c r="D8003" s="4"/>
      <c r="E8003" s="13"/>
      <c r="F8003" s="4"/>
      <c r="G8003" s="4"/>
    </row>
    <row r="8004">
      <c r="A8004" s="4"/>
      <c r="B8004" s="4"/>
      <c r="C8004" s="4"/>
      <c r="D8004" s="4"/>
      <c r="E8004" s="13"/>
      <c r="F8004" s="4"/>
      <c r="G8004" s="4"/>
    </row>
    <row r="8005">
      <c r="A8005" s="4"/>
      <c r="B8005" s="4"/>
      <c r="C8005" s="4"/>
      <c r="D8005" s="13"/>
      <c r="E8005" s="13"/>
      <c r="F8005" s="4"/>
      <c r="G8005" s="4"/>
    </row>
    <row r="8006">
      <c r="A8006" s="4"/>
      <c r="B8006" s="4"/>
      <c r="C8006" s="4"/>
      <c r="D8006" s="4"/>
      <c r="E8006" s="4"/>
      <c r="F8006" s="4"/>
      <c r="G8006" s="4"/>
    </row>
    <row r="8007">
      <c r="A8007" s="4"/>
      <c r="B8007" s="4"/>
      <c r="C8007" s="4"/>
      <c r="D8007" s="4"/>
      <c r="E8007" s="4"/>
      <c r="F8007" s="4"/>
      <c r="G8007" s="4"/>
    </row>
    <row r="8008">
      <c r="A8008" s="4"/>
      <c r="B8008" s="4"/>
      <c r="C8008" s="4"/>
      <c r="D8008" s="4"/>
      <c r="E8008" s="4"/>
      <c r="F8008" s="4"/>
      <c r="G8008" s="4"/>
    </row>
    <row r="8009">
      <c r="A8009" s="4"/>
      <c r="B8009" s="4"/>
      <c r="C8009" s="4"/>
      <c r="D8009" s="4"/>
      <c r="E8009" s="4"/>
      <c r="F8009" s="4"/>
      <c r="G8009" s="4"/>
    </row>
    <row r="8010">
      <c r="A8010" s="4"/>
      <c r="B8010" s="4"/>
      <c r="C8010" s="4"/>
      <c r="D8010" s="13"/>
      <c r="E8010" s="13"/>
      <c r="F8010" s="4"/>
      <c r="G8010" s="4"/>
    </row>
    <row r="8011">
      <c r="A8011" s="4"/>
      <c r="B8011" s="4"/>
      <c r="C8011" s="4"/>
      <c r="D8011" s="4"/>
      <c r="E8011" s="13"/>
      <c r="F8011" s="4"/>
      <c r="G8011" s="4"/>
    </row>
    <row r="8012">
      <c r="A8012" s="4"/>
      <c r="B8012" s="4"/>
      <c r="C8012" s="4"/>
      <c r="D8012" s="13"/>
      <c r="E8012" s="13"/>
      <c r="F8012" s="4"/>
      <c r="G8012" s="4"/>
    </row>
    <row r="8013">
      <c r="A8013" s="4"/>
      <c r="B8013" s="4"/>
      <c r="C8013" s="4"/>
      <c r="D8013" s="4"/>
      <c r="E8013" s="4"/>
      <c r="F8013" s="4"/>
      <c r="G8013" s="4"/>
    </row>
    <row r="8014">
      <c r="A8014" s="4"/>
      <c r="B8014" s="4"/>
      <c r="C8014" s="4"/>
      <c r="D8014" s="4"/>
      <c r="E8014" s="4"/>
      <c r="F8014" s="4"/>
      <c r="G8014" s="4"/>
    </row>
    <row r="8015">
      <c r="A8015" s="4"/>
      <c r="B8015" s="4"/>
      <c r="C8015" s="4"/>
      <c r="D8015" s="4"/>
      <c r="E8015" s="13"/>
      <c r="F8015" s="4"/>
      <c r="G8015" s="4"/>
    </row>
    <row r="8016">
      <c r="A8016" s="4"/>
      <c r="B8016" s="4"/>
      <c r="C8016" s="4"/>
      <c r="D8016" s="4"/>
      <c r="E8016" s="4"/>
      <c r="F8016" s="4"/>
      <c r="G8016" s="4"/>
    </row>
    <row r="8017">
      <c r="A8017" s="4"/>
      <c r="B8017" s="4"/>
      <c r="C8017" s="4"/>
      <c r="D8017" s="4"/>
      <c r="E8017" s="13"/>
      <c r="F8017" s="4"/>
      <c r="G8017" s="4"/>
    </row>
    <row r="8018">
      <c r="A8018" s="4"/>
      <c r="B8018" s="4"/>
      <c r="C8018" s="4"/>
      <c r="D8018" s="13"/>
      <c r="E8018" s="4"/>
      <c r="F8018" s="4"/>
      <c r="G8018" s="4"/>
    </row>
    <row r="8019">
      <c r="A8019" s="4"/>
      <c r="B8019" s="4"/>
      <c r="C8019" s="4"/>
      <c r="D8019" s="4"/>
      <c r="E8019" s="13"/>
      <c r="F8019" s="4"/>
      <c r="G8019" s="4"/>
    </row>
    <row r="8020">
      <c r="A8020" s="4"/>
      <c r="B8020" s="4"/>
      <c r="C8020" s="4"/>
      <c r="D8020" s="4"/>
      <c r="E8020" s="4"/>
      <c r="F8020" s="4"/>
      <c r="G8020" s="4"/>
    </row>
    <row r="8021">
      <c r="A8021" s="4"/>
      <c r="B8021" s="4"/>
      <c r="C8021" s="4"/>
      <c r="D8021" s="13"/>
      <c r="E8021" s="13"/>
      <c r="F8021" s="4"/>
      <c r="G8021" s="4"/>
    </row>
    <row r="8022">
      <c r="A8022" s="4"/>
      <c r="B8022" s="4"/>
      <c r="C8022" s="4"/>
      <c r="D8022" s="4"/>
      <c r="E8022" s="4"/>
      <c r="F8022" s="4"/>
      <c r="G8022" s="4"/>
    </row>
    <row r="8023">
      <c r="A8023" s="4"/>
      <c r="B8023" s="4"/>
      <c r="C8023" s="4"/>
      <c r="D8023" s="4"/>
      <c r="E8023" s="4"/>
      <c r="F8023" s="4"/>
      <c r="G8023" s="4"/>
    </row>
    <row r="8024">
      <c r="A8024" s="4"/>
      <c r="B8024" s="4"/>
      <c r="C8024" s="4"/>
      <c r="D8024" s="4"/>
      <c r="E8024" s="4"/>
      <c r="F8024" s="4"/>
      <c r="G8024" s="4"/>
    </row>
    <row r="8025">
      <c r="A8025" s="4"/>
      <c r="B8025" s="4"/>
      <c r="C8025" s="4"/>
      <c r="D8025" s="4"/>
      <c r="E8025" s="4"/>
      <c r="F8025" s="4"/>
      <c r="G8025" s="4"/>
    </row>
    <row r="8026">
      <c r="A8026" s="4"/>
      <c r="B8026" s="4"/>
      <c r="C8026" s="4"/>
      <c r="D8026" s="4"/>
      <c r="E8026" s="4"/>
      <c r="F8026" s="4"/>
      <c r="G8026" s="4"/>
    </row>
    <row r="8027">
      <c r="A8027" s="4"/>
      <c r="B8027" s="4"/>
      <c r="C8027" s="4"/>
      <c r="D8027" s="4"/>
      <c r="E8027" s="13"/>
      <c r="F8027" s="4"/>
      <c r="G8027" s="4"/>
    </row>
    <row r="8028">
      <c r="A8028" s="4"/>
      <c r="B8028" s="4"/>
      <c r="C8028" s="4"/>
      <c r="D8028" s="4"/>
      <c r="E8028" s="13"/>
      <c r="F8028" s="4"/>
      <c r="G8028" s="4"/>
    </row>
    <row r="8029">
      <c r="A8029" s="4"/>
      <c r="B8029" s="4"/>
      <c r="C8029" s="4"/>
      <c r="D8029" s="4"/>
      <c r="E8029" s="4"/>
      <c r="F8029" s="4"/>
      <c r="G8029" s="4"/>
    </row>
    <row r="8030">
      <c r="A8030" s="4"/>
      <c r="B8030" s="4"/>
      <c r="C8030" s="4"/>
      <c r="D8030" s="4"/>
      <c r="E8030" s="4"/>
      <c r="F8030" s="4"/>
      <c r="G8030" s="4"/>
    </row>
    <row r="8031">
      <c r="A8031" s="4"/>
      <c r="B8031" s="4"/>
      <c r="C8031" s="4"/>
      <c r="D8031" s="4"/>
      <c r="E8031" s="4"/>
      <c r="F8031" s="4"/>
      <c r="G8031" s="4"/>
    </row>
    <row r="8032">
      <c r="A8032" s="4"/>
      <c r="B8032" s="4"/>
      <c r="C8032" s="4"/>
      <c r="D8032" s="4"/>
      <c r="E8032" s="4"/>
      <c r="F8032" s="4"/>
      <c r="G8032" s="4"/>
    </row>
    <row r="8033">
      <c r="A8033" s="4"/>
      <c r="B8033" s="4"/>
      <c r="C8033" s="4"/>
      <c r="D8033" s="13"/>
      <c r="E8033" s="13"/>
      <c r="F8033" s="4"/>
      <c r="G8033" s="4"/>
    </row>
    <row r="8034">
      <c r="A8034" s="4"/>
      <c r="B8034" s="4"/>
      <c r="C8034" s="4"/>
      <c r="D8034" s="4"/>
      <c r="E8034" s="4"/>
      <c r="F8034" s="4"/>
      <c r="G8034" s="4"/>
    </row>
    <row r="8035">
      <c r="A8035" s="4"/>
      <c r="B8035" s="4"/>
      <c r="C8035" s="4"/>
      <c r="D8035" s="13"/>
      <c r="E8035" s="13"/>
      <c r="F8035" s="4"/>
      <c r="G8035" s="4"/>
    </row>
    <row r="8036">
      <c r="A8036" s="4"/>
      <c r="B8036" s="4"/>
      <c r="C8036" s="4"/>
      <c r="D8036" s="4"/>
      <c r="E8036" s="4"/>
      <c r="F8036" s="4"/>
      <c r="G8036" s="4"/>
    </row>
    <row r="8037">
      <c r="A8037" s="4"/>
      <c r="B8037" s="4"/>
      <c r="C8037" s="4"/>
      <c r="D8037" s="13"/>
      <c r="E8037" s="13"/>
      <c r="F8037" s="4"/>
      <c r="G8037" s="4"/>
    </row>
    <row r="8038">
      <c r="A8038" s="4"/>
      <c r="B8038" s="4"/>
      <c r="C8038" s="4"/>
      <c r="D8038" s="13"/>
      <c r="E8038" s="13"/>
      <c r="F8038" s="4"/>
      <c r="G8038" s="4"/>
    </row>
    <row r="8039">
      <c r="A8039" s="4"/>
      <c r="B8039" s="4"/>
      <c r="C8039" s="4"/>
      <c r="D8039" s="4"/>
      <c r="E8039" s="4"/>
      <c r="F8039" s="4"/>
      <c r="G8039" s="4"/>
    </row>
    <row r="8040">
      <c r="A8040" s="4"/>
      <c r="B8040" s="4"/>
      <c r="C8040" s="4"/>
      <c r="D8040" s="13"/>
      <c r="E8040" s="13"/>
      <c r="F8040" s="4"/>
      <c r="G8040" s="4"/>
    </row>
    <row r="8041">
      <c r="A8041" s="4"/>
      <c r="B8041" s="4"/>
      <c r="C8041" s="4"/>
      <c r="D8041" s="4"/>
      <c r="E8041" s="4"/>
      <c r="F8041" s="4"/>
      <c r="G8041" s="4"/>
    </row>
    <row r="8042">
      <c r="A8042" s="4"/>
      <c r="B8042" s="4"/>
      <c r="C8042" s="4"/>
      <c r="D8042" s="4"/>
      <c r="E8042" s="13"/>
      <c r="F8042" s="4"/>
      <c r="G8042" s="4"/>
    </row>
    <row r="8043">
      <c r="A8043" s="4"/>
      <c r="B8043" s="4"/>
      <c r="C8043" s="4"/>
      <c r="D8043" s="4"/>
      <c r="E8043" s="4"/>
      <c r="F8043" s="4"/>
      <c r="G8043" s="4"/>
    </row>
    <row r="8044">
      <c r="A8044" s="4"/>
      <c r="B8044" s="4"/>
      <c r="C8044" s="4"/>
      <c r="D8044" s="13"/>
      <c r="E8044" s="13"/>
      <c r="F8044" s="4"/>
      <c r="G8044" s="4"/>
    </row>
    <row r="8045">
      <c r="A8045" s="4"/>
      <c r="B8045" s="4"/>
      <c r="C8045" s="4"/>
      <c r="D8045" s="4"/>
      <c r="E8045" s="13"/>
      <c r="F8045" s="4"/>
      <c r="G8045" s="4"/>
    </row>
    <row r="8046">
      <c r="A8046" s="4"/>
      <c r="B8046" s="4"/>
      <c r="C8046" s="4"/>
      <c r="D8046" s="4"/>
      <c r="E8046" s="4"/>
      <c r="F8046" s="4"/>
      <c r="G8046" s="4"/>
    </row>
    <row r="8047">
      <c r="A8047" s="4"/>
      <c r="B8047" s="4"/>
      <c r="C8047" s="4"/>
      <c r="D8047" s="4"/>
      <c r="E8047" s="4"/>
      <c r="F8047" s="4"/>
      <c r="G8047" s="4"/>
    </row>
    <row r="8048">
      <c r="A8048" s="4"/>
      <c r="B8048" s="4"/>
      <c r="C8048" s="4"/>
      <c r="D8048" s="4"/>
      <c r="E8048" s="4"/>
      <c r="F8048" s="4"/>
      <c r="G8048" s="4"/>
    </row>
    <row r="8049">
      <c r="A8049" s="4"/>
      <c r="B8049" s="4"/>
      <c r="C8049" s="4"/>
      <c r="D8049" s="4"/>
      <c r="E8049" s="4"/>
      <c r="F8049" s="4"/>
      <c r="G8049" s="4"/>
    </row>
    <row r="8050">
      <c r="A8050" s="4"/>
      <c r="B8050" s="4"/>
      <c r="C8050" s="4"/>
      <c r="D8050" s="4"/>
      <c r="E8050" s="4"/>
      <c r="F8050" s="4"/>
      <c r="G8050" s="4"/>
    </row>
    <row r="8051">
      <c r="A8051" s="4"/>
      <c r="B8051" s="4"/>
      <c r="C8051" s="4"/>
      <c r="D8051" s="4"/>
      <c r="E8051" s="13"/>
      <c r="F8051" s="4"/>
      <c r="G8051" s="4"/>
    </row>
    <row r="8052">
      <c r="A8052" s="4"/>
      <c r="B8052" s="4"/>
      <c r="C8052" s="4"/>
      <c r="D8052" s="4"/>
      <c r="E8052" s="13"/>
      <c r="F8052" s="4"/>
      <c r="G8052" s="4"/>
    </row>
    <row r="8053">
      <c r="A8053" s="4"/>
      <c r="B8053" s="4"/>
      <c r="C8053" s="4"/>
      <c r="D8053" s="4"/>
      <c r="E8053" s="4"/>
      <c r="F8053" s="4"/>
      <c r="G8053" s="4"/>
    </row>
    <row r="8054">
      <c r="A8054" s="4"/>
      <c r="B8054" s="4"/>
      <c r="C8054" s="4"/>
      <c r="D8054" s="4"/>
      <c r="E8054" s="13"/>
      <c r="F8054" s="4"/>
      <c r="G8054" s="4"/>
    </row>
    <row r="8055">
      <c r="A8055" s="4"/>
      <c r="B8055" s="4"/>
      <c r="C8055" s="4"/>
      <c r="D8055" s="4"/>
      <c r="E8055" s="4"/>
      <c r="F8055" s="4"/>
      <c r="G8055" s="4"/>
    </row>
    <row r="8056">
      <c r="A8056" s="4"/>
      <c r="B8056" s="4"/>
      <c r="C8056" s="4"/>
      <c r="D8056" s="4"/>
      <c r="E8056" s="13"/>
      <c r="F8056" s="4"/>
      <c r="G8056" s="4"/>
    </row>
    <row r="8057">
      <c r="A8057" s="4"/>
      <c r="B8057" s="4"/>
      <c r="C8057" s="4"/>
      <c r="D8057" s="4"/>
      <c r="E8057" s="4"/>
      <c r="F8057" s="4"/>
      <c r="G8057" s="4"/>
    </row>
    <row r="8058">
      <c r="A8058" s="4"/>
      <c r="B8058" s="4"/>
      <c r="C8058" s="4"/>
      <c r="D8058" s="4"/>
      <c r="E8058" s="4"/>
      <c r="F8058" s="4"/>
      <c r="G8058" s="4"/>
    </row>
    <row r="8059">
      <c r="A8059" s="4"/>
      <c r="B8059" s="4"/>
      <c r="C8059" s="4"/>
      <c r="D8059" s="4"/>
      <c r="E8059" s="4"/>
      <c r="F8059" s="4"/>
      <c r="G8059" s="4"/>
    </row>
    <row r="8060">
      <c r="A8060" s="4"/>
      <c r="B8060" s="4"/>
      <c r="C8060" s="4"/>
      <c r="D8060" s="4"/>
      <c r="E8060" s="4"/>
      <c r="F8060" s="4"/>
      <c r="G8060" s="4"/>
    </row>
    <row r="8061">
      <c r="A8061" s="4"/>
      <c r="B8061" s="4"/>
      <c r="C8061" s="4"/>
      <c r="D8061" s="13"/>
      <c r="E8061" s="13"/>
      <c r="F8061" s="4"/>
      <c r="G8061" s="4"/>
    </row>
    <row r="8062">
      <c r="A8062" s="4"/>
      <c r="B8062" s="4"/>
      <c r="C8062" s="4"/>
      <c r="D8062" s="4"/>
      <c r="E8062" s="4"/>
      <c r="F8062" s="4"/>
      <c r="G8062" s="4"/>
    </row>
    <row r="8063">
      <c r="A8063" s="4"/>
      <c r="B8063" s="4"/>
      <c r="C8063" s="4"/>
      <c r="D8063" s="4"/>
      <c r="E8063" s="4"/>
      <c r="F8063" s="4"/>
      <c r="G8063" s="4"/>
    </row>
    <row r="8064">
      <c r="A8064" s="4"/>
      <c r="B8064" s="4"/>
      <c r="C8064" s="4"/>
      <c r="D8064" s="4"/>
      <c r="E8064" s="4"/>
      <c r="F8064" s="4"/>
      <c r="G8064" s="4"/>
    </row>
    <row r="8065">
      <c r="A8065" s="4"/>
      <c r="B8065" s="4"/>
      <c r="C8065" s="4"/>
      <c r="D8065" s="4"/>
      <c r="E8065" s="4"/>
      <c r="F8065" s="4"/>
      <c r="G8065" s="4"/>
    </row>
    <row r="8066">
      <c r="A8066" s="4"/>
      <c r="B8066" s="4"/>
      <c r="C8066" s="4"/>
      <c r="D8066" s="4"/>
      <c r="E8066" s="4"/>
      <c r="F8066" s="4"/>
      <c r="G8066" s="4"/>
    </row>
    <row r="8067">
      <c r="A8067" s="4"/>
      <c r="B8067" s="4"/>
      <c r="C8067" s="4"/>
      <c r="D8067" s="4"/>
      <c r="E8067" s="13"/>
      <c r="F8067" s="4"/>
      <c r="G8067" s="4"/>
    </row>
    <row r="8068">
      <c r="A8068" s="4"/>
      <c r="B8068" s="4"/>
      <c r="C8068" s="4"/>
      <c r="D8068" s="4"/>
      <c r="E8068" s="4"/>
      <c r="F8068" s="4"/>
      <c r="G8068" s="4"/>
    </row>
    <row r="8069">
      <c r="A8069" s="4"/>
      <c r="B8069" s="4"/>
      <c r="C8069" s="4"/>
      <c r="D8069" s="4"/>
      <c r="E8069" s="4"/>
      <c r="F8069" s="4"/>
      <c r="G8069" s="4"/>
    </row>
    <row r="8070">
      <c r="A8070" s="4"/>
      <c r="B8070" s="4"/>
      <c r="C8070" s="4"/>
      <c r="D8070" s="4"/>
      <c r="E8070" s="4"/>
      <c r="F8070" s="4"/>
      <c r="G8070" s="4"/>
    </row>
    <row r="8071">
      <c r="A8071" s="4"/>
      <c r="B8071" s="4"/>
      <c r="C8071" s="4"/>
      <c r="D8071" s="4"/>
      <c r="E8071" s="13"/>
      <c r="F8071" s="4"/>
      <c r="G8071" s="4"/>
    </row>
    <row r="8072">
      <c r="A8072" s="4"/>
      <c r="B8072" s="4"/>
      <c r="C8072" s="4"/>
      <c r="D8072" s="4"/>
      <c r="E8072" s="4"/>
      <c r="F8072" s="4"/>
      <c r="G8072" s="4"/>
    </row>
    <row r="8073">
      <c r="A8073" s="4"/>
      <c r="B8073" s="4"/>
      <c r="C8073" s="4"/>
      <c r="D8073" s="4"/>
      <c r="E8073" s="4"/>
      <c r="F8073" s="4"/>
      <c r="G8073" s="4"/>
    </row>
    <row r="8074">
      <c r="A8074" s="4"/>
      <c r="B8074" s="4"/>
      <c r="C8074" s="4"/>
      <c r="D8074" s="4"/>
      <c r="E8074" s="4"/>
      <c r="F8074" s="4"/>
      <c r="G8074" s="4"/>
    </row>
    <row r="8075">
      <c r="A8075" s="4"/>
      <c r="B8075" s="4"/>
      <c r="C8075" s="4"/>
      <c r="D8075" s="13"/>
      <c r="E8075" s="13"/>
      <c r="F8075" s="4"/>
      <c r="G8075" s="4"/>
    </row>
    <row r="8076">
      <c r="A8076" s="4"/>
      <c r="B8076" s="4"/>
      <c r="C8076" s="4"/>
      <c r="D8076" s="4"/>
      <c r="E8076" s="4"/>
      <c r="F8076" s="4"/>
      <c r="G8076" s="4"/>
    </row>
    <row r="8077">
      <c r="A8077" s="4"/>
      <c r="B8077" s="4"/>
      <c r="C8077" s="4"/>
      <c r="D8077" s="4"/>
      <c r="E8077" s="13"/>
      <c r="F8077" s="4"/>
      <c r="G8077" s="4"/>
    </row>
    <row r="8078">
      <c r="A8078" s="4"/>
      <c r="B8078" s="4"/>
      <c r="C8078" s="4"/>
      <c r="D8078" s="4"/>
      <c r="E8078" s="4"/>
      <c r="F8078" s="4"/>
      <c r="G8078" s="4"/>
    </row>
    <row r="8079">
      <c r="A8079" s="4"/>
      <c r="B8079" s="4"/>
      <c r="C8079" s="4"/>
      <c r="D8079" s="4"/>
      <c r="E8079" s="4"/>
      <c r="F8079" s="4"/>
      <c r="G8079" s="4"/>
    </row>
    <row r="8080">
      <c r="A8080" s="4"/>
      <c r="B8080" s="4"/>
      <c r="C8080" s="4"/>
      <c r="D8080" s="4"/>
      <c r="E8080" s="4"/>
      <c r="F8080" s="4"/>
      <c r="G8080" s="4"/>
    </row>
    <row r="8081">
      <c r="A8081" s="4"/>
      <c r="B8081" s="4"/>
      <c r="C8081" s="4"/>
      <c r="D8081" s="13"/>
      <c r="E8081" s="4"/>
      <c r="F8081" s="4"/>
      <c r="G8081" s="4"/>
    </row>
    <row r="8082">
      <c r="A8082" s="4"/>
      <c r="B8082" s="4"/>
      <c r="C8082" s="4"/>
      <c r="D8082" s="4"/>
      <c r="E8082" s="4"/>
      <c r="F8082" s="4"/>
      <c r="G8082" s="4"/>
    </row>
    <row r="8083">
      <c r="A8083" s="4"/>
      <c r="B8083" s="4"/>
      <c r="C8083" s="4"/>
      <c r="D8083" s="13"/>
      <c r="E8083" s="13"/>
      <c r="F8083" s="4"/>
      <c r="G8083" s="4"/>
    </row>
    <row r="8084">
      <c r="A8084" s="4"/>
      <c r="B8084" s="4"/>
      <c r="C8084" s="4"/>
      <c r="D8084" s="4"/>
      <c r="E8084" s="13"/>
      <c r="F8084" s="4"/>
      <c r="G8084" s="4"/>
    </row>
    <row r="8085">
      <c r="A8085" s="4"/>
      <c r="B8085" s="4"/>
      <c r="C8085" s="4"/>
      <c r="D8085" s="13"/>
      <c r="E8085" s="13"/>
      <c r="F8085" s="4"/>
      <c r="G8085" s="4"/>
    </row>
    <row r="8086">
      <c r="A8086" s="4"/>
      <c r="B8086" s="4"/>
      <c r="C8086" s="4"/>
      <c r="D8086" s="13"/>
      <c r="E8086" s="13"/>
      <c r="F8086" s="4"/>
      <c r="G8086" s="4"/>
    </row>
    <row r="8087">
      <c r="A8087" s="4"/>
      <c r="B8087" s="4"/>
      <c r="C8087" s="4"/>
      <c r="D8087" s="4"/>
      <c r="E8087" s="4"/>
      <c r="F8087" s="4"/>
      <c r="G8087" s="4"/>
    </row>
    <row r="8088">
      <c r="A8088" s="4"/>
      <c r="B8088" s="4"/>
      <c r="C8088" s="4"/>
      <c r="D8088" s="13"/>
      <c r="E8088" s="13"/>
      <c r="F8088" s="4"/>
      <c r="G8088" s="4"/>
    </row>
    <row r="8089">
      <c r="A8089" s="4"/>
      <c r="B8089" s="4"/>
      <c r="C8089" s="4"/>
      <c r="D8089" s="4"/>
      <c r="E8089" s="4"/>
      <c r="F8089" s="4"/>
      <c r="G8089" s="4"/>
    </row>
    <row r="8090">
      <c r="A8090" s="4"/>
      <c r="B8090" s="4"/>
      <c r="C8090" s="4"/>
      <c r="D8090" s="13"/>
      <c r="E8090" s="13"/>
      <c r="F8090" s="4"/>
      <c r="G8090" s="4"/>
    </row>
    <row r="8091">
      <c r="A8091" s="4"/>
      <c r="B8091" s="4"/>
      <c r="C8091" s="4"/>
      <c r="D8091" s="4"/>
      <c r="E8091" s="4"/>
      <c r="F8091" s="4"/>
      <c r="G8091" s="4"/>
    </row>
    <row r="8092">
      <c r="A8092" s="4"/>
      <c r="B8092" s="4"/>
      <c r="C8092" s="4"/>
      <c r="D8092" s="4"/>
      <c r="E8092" s="4"/>
      <c r="F8092" s="4"/>
      <c r="G8092" s="4"/>
    </row>
    <row r="8093">
      <c r="A8093" s="4"/>
      <c r="B8093" s="4"/>
      <c r="C8093" s="4"/>
      <c r="D8093" s="4"/>
      <c r="E8093" s="4"/>
      <c r="F8093" s="4"/>
      <c r="G8093" s="4"/>
    </row>
    <row r="8094">
      <c r="A8094" s="4"/>
      <c r="B8094" s="4"/>
      <c r="C8094" s="4"/>
      <c r="D8094" s="13"/>
      <c r="E8094" s="13"/>
      <c r="F8094" s="4"/>
      <c r="G8094" s="4"/>
    </row>
    <row r="8095">
      <c r="A8095" s="4"/>
      <c r="B8095" s="4"/>
      <c r="C8095" s="4"/>
      <c r="D8095" s="13"/>
      <c r="E8095" s="13"/>
      <c r="F8095" s="4"/>
      <c r="G8095" s="4"/>
    </row>
    <row r="8096">
      <c r="A8096" s="4"/>
      <c r="B8096" s="4"/>
      <c r="C8096" s="4"/>
      <c r="D8096" s="13"/>
      <c r="E8096" s="13"/>
      <c r="F8096" s="4"/>
      <c r="G8096" s="4"/>
    </row>
    <row r="8097">
      <c r="A8097" s="4"/>
      <c r="B8097" s="4"/>
      <c r="C8097" s="4"/>
      <c r="D8097" s="13"/>
      <c r="E8097" s="13"/>
      <c r="F8097" s="4"/>
      <c r="G8097" s="4"/>
    </row>
    <row r="8098">
      <c r="A8098" s="4"/>
      <c r="B8098" s="4"/>
      <c r="C8098" s="4"/>
      <c r="D8098" s="13"/>
      <c r="E8098" s="13"/>
      <c r="F8098" s="4"/>
      <c r="G8098" s="4"/>
    </row>
    <row r="8099">
      <c r="A8099" s="4"/>
      <c r="B8099" s="4"/>
      <c r="C8099" s="4"/>
      <c r="D8099" s="13"/>
      <c r="E8099" s="13"/>
      <c r="F8099" s="4"/>
      <c r="G8099" s="4"/>
    </row>
    <row r="8100">
      <c r="A8100" s="4"/>
      <c r="B8100" s="4"/>
      <c r="C8100" s="4"/>
      <c r="D8100" s="4"/>
      <c r="E8100" s="13"/>
      <c r="F8100" s="4"/>
      <c r="G8100" s="4"/>
    </row>
    <row r="8101">
      <c r="A8101" s="4"/>
      <c r="B8101" s="4"/>
      <c r="C8101" s="4"/>
      <c r="D8101" s="4"/>
      <c r="E8101" s="4"/>
      <c r="F8101" s="4"/>
      <c r="G8101" s="4"/>
    </row>
    <row r="8102">
      <c r="A8102" s="4"/>
      <c r="B8102" s="4"/>
      <c r="C8102" s="4"/>
      <c r="D8102" s="4"/>
      <c r="E8102" s="4"/>
      <c r="F8102" s="4"/>
      <c r="G8102" s="4"/>
    </row>
    <row r="8103">
      <c r="A8103" s="4"/>
      <c r="B8103" s="4"/>
      <c r="C8103" s="4"/>
      <c r="D8103" s="13"/>
      <c r="E8103" s="13"/>
      <c r="F8103" s="4"/>
      <c r="G8103" s="4"/>
    </row>
    <row r="8104">
      <c r="A8104" s="4"/>
      <c r="B8104" s="4"/>
      <c r="C8104" s="4"/>
      <c r="D8104" s="4"/>
      <c r="E8104" s="4"/>
      <c r="F8104" s="4"/>
      <c r="G8104" s="4"/>
    </row>
    <row r="8105">
      <c r="A8105" s="4"/>
      <c r="B8105" s="4"/>
      <c r="C8105" s="4"/>
      <c r="D8105" s="4"/>
      <c r="E8105" s="4"/>
      <c r="F8105" s="4"/>
      <c r="G8105" s="4"/>
    </row>
    <row r="8106">
      <c r="A8106" s="4"/>
      <c r="B8106" s="4"/>
      <c r="C8106" s="4"/>
      <c r="D8106" s="4"/>
      <c r="E8106" s="4"/>
      <c r="F8106" s="4"/>
      <c r="G8106" s="4"/>
    </row>
    <row r="8107">
      <c r="A8107" s="4"/>
      <c r="B8107" s="4"/>
      <c r="C8107" s="4"/>
      <c r="D8107" s="4"/>
      <c r="E8107" s="4"/>
      <c r="F8107" s="4"/>
      <c r="G8107" s="4"/>
    </row>
    <row r="8108">
      <c r="A8108" s="4"/>
      <c r="B8108" s="4"/>
      <c r="C8108" s="4"/>
      <c r="D8108" s="13"/>
      <c r="E8108" s="13"/>
      <c r="F8108" s="4"/>
      <c r="G8108" s="4"/>
    </row>
    <row r="8109">
      <c r="A8109" s="4"/>
      <c r="B8109" s="4"/>
      <c r="C8109" s="4"/>
      <c r="D8109" s="4"/>
      <c r="E8109" s="4"/>
      <c r="F8109" s="4"/>
      <c r="G8109" s="4"/>
    </row>
    <row r="8110">
      <c r="A8110" s="4"/>
      <c r="B8110" s="4"/>
      <c r="C8110" s="4"/>
      <c r="D8110" s="4"/>
      <c r="E8110" s="13"/>
      <c r="F8110" s="4"/>
      <c r="G8110" s="4"/>
    </row>
    <row r="8111">
      <c r="A8111" s="4"/>
      <c r="B8111" s="4"/>
      <c r="C8111" s="4"/>
      <c r="D8111" s="4"/>
      <c r="E8111" s="4"/>
      <c r="F8111" s="4"/>
      <c r="G8111" s="4"/>
    </row>
    <row r="8112">
      <c r="A8112" s="4"/>
      <c r="B8112" s="4"/>
      <c r="C8112" s="4"/>
      <c r="D8112" s="13"/>
      <c r="E8112" s="13"/>
      <c r="F8112" s="4"/>
      <c r="G8112" s="4"/>
    </row>
    <row r="8113">
      <c r="A8113" s="4"/>
      <c r="B8113" s="4"/>
      <c r="C8113" s="4"/>
      <c r="D8113" s="13"/>
      <c r="E8113" s="13"/>
      <c r="F8113" s="4"/>
      <c r="G8113" s="4"/>
    </row>
    <row r="8114">
      <c r="A8114" s="4"/>
      <c r="B8114" s="4"/>
      <c r="C8114" s="4"/>
      <c r="D8114" s="4"/>
      <c r="E8114" s="4"/>
      <c r="F8114" s="4"/>
      <c r="G8114" s="4"/>
    </row>
    <row r="8115">
      <c r="A8115" s="4"/>
      <c r="B8115" s="4"/>
      <c r="C8115" s="4"/>
      <c r="D8115" s="4"/>
      <c r="E8115" s="4"/>
      <c r="F8115" s="4"/>
      <c r="G8115" s="4"/>
    </row>
    <row r="8116">
      <c r="A8116" s="4"/>
      <c r="B8116" s="4"/>
      <c r="C8116" s="4"/>
      <c r="D8116" s="4"/>
      <c r="E8116" s="4"/>
      <c r="F8116" s="4"/>
      <c r="G8116" s="4"/>
    </row>
    <row r="8117">
      <c r="A8117" s="4"/>
      <c r="B8117" s="4"/>
      <c r="C8117" s="4"/>
      <c r="D8117" s="4"/>
      <c r="E8117" s="4"/>
      <c r="F8117" s="4"/>
      <c r="G8117" s="4"/>
    </row>
    <row r="8118">
      <c r="A8118" s="4"/>
      <c r="B8118" s="4"/>
      <c r="C8118" s="4"/>
      <c r="D8118" s="4"/>
      <c r="E8118" s="13"/>
      <c r="F8118" s="4"/>
      <c r="G8118" s="4"/>
    </row>
    <row r="8119">
      <c r="A8119" s="4"/>
      <c r="B8119" s="4"/>
      <c r="C8119" s="4"/>
      <c r="D8119" s="4"/>
      <c r="E8119" s="4"/>
      <c r="F8119" s="4"/>
      <c r="G8119" s="4"/>
    </row>
    <row r="8120">
      <c r="A8120" s="4"/>
      <c r="B8120" s="4"/>
      <c r="C8120" s="4"/>
      <c r="D8120" s="4"/>
      <c r="E8120" s="13"/>
      <c r="F8120" s="4"/>
      <c r="G8120" s="4"/>
    </row>
    <row r="8121">
      <c r="A8121" s="4"/>
      <c r="B8121" s="4"/>
      <c r="C8121" s="4"/>
      <c r="D8121" s="4"/>
      <c r="E8121" s="4"/>
      <c r="F8121" s="4"/>
      <c r="G8121" s="4"/>
    </row>
    <row r="8122">
      <c r="A8122" s="4"/>
      <c r="B8122" s="4"/>
      <c r="C8122" s="4"/>
      <c r="D8122" s="4"/>
      <c r="E8122" s="4"/>
      <c r="F8122" s="4"/>
      <c r="G8122" s="4"/>
    </row>
    <row r="8123">
      <c r="A8123" s="4"/>
      <c r="B8123" s="4"/>
      <c r="C8123" s="4"/>
      <c r="D8123" s="4"/>
      <c r="E8123" s="4"/>
      <c r="F8123" s="4"/>
      <c r="G8123" s="4"/>
    </row>
    <row r="8124">
      <c r="A8124" s="4"/>
      <c r="B8124" s="4"/>
      <c r="C8124" s="4"/>
      <c r="D8124" s="4"/>
      <c r="E8124" s="13"/>
      <c r="F8124" s="4"/>
      <c r="G8124" s="4"/>
    </row>
    <row r="8125">
      <c r="A8125" s="4"/>
      <c r="B8125" s="4"/>
      <c r="C8125" s="4"/>
      <c r="D8125" s="4"/>
      <c r="E8125" s="4"/>
      <c r="F8125" s="4"/>
      <c r="G8125" s="4"/>
    </row>
    <row r="8126">
      <c r="A8126" s="4"/>
      <c r="B8126" s="4"/>
      <c r="C8126" s="4"/>
      <c r="D8126" s="4"/>
      <c r="E8126" s="4"/>
      <c r="F8126" s="4"/>
      <c r="G8126" s="4"/>
    </row>
    <row r="8127">
      <c r="A8127" s="4"/>
      <c r="B8127" s="4"/>
      <c r="C8127" s="4"/>
      <c r="D8127" s="4"/>
      <c r="E8127" s="4"/>
      <c r="F8127" s="4"/>
      <c r="G8127" s="4"/>
    </row>
    <row r="8128">
      <c r="A8128" s="4"/>
      <c r="B8128" s="4"/>
      <c r="C8128" s="4"/>
      <c r="D8128" s="13"/>
      <c r="E8128" s="13"/>
      <c r="F8128" s="4"/>
      <c r="G8128" s="4"/>
    </row>
    <row r="8129">
      <c r="A8129" s="4"/>
      <c r="B8129" s="4"/>
      <c r="C8129" s="4"/>
      <c r="D8129" s="4"/>
      <c r="E8129" s="4"/>
      <c r="F8129" s="4"/>
      <c r="G8129" s="4"/>
    </row>
    <row r="8130">
      <c r="A8130" s="4"/>
      <c r="B8130" s="4"/>
      <c r="C8130" s="4"/>
      <c r="D8130" s="13"/>
      <c r="E8130" s="13"/>
      <c r="F8130" s="4"/>
      <c r="G8130" s="4"/>
    </row>
    <row r="8131">
      <c r="A8131" s="4"/>
      <c r="B8131" s="4"/>
      <c r="C8131" s="4"/>
      <c r="D8131" s="13"/>
      <c r="E8131" s="13"/>
      <c r="F8131" s="4"/>
      <c r="G8131" s="4"/>
    </row>
    <row r="8132">
      <c r="A8132" s="4"/>
      <c r="B8132" s="4"/>
      <c r="C8132" s="4"/>
      <c r="D8132" s="13"/>
      <c r="E8132" s="13"/>
      <c r="F8132" s="4"/>
      <c r="G8132" s="4"/>
    </row>
    <row r="8133">
      <c r="A8133" s="4"/>
      <c r="B8133" s="4"/>
      <c r="C8133" s="4"/>
      <c r="D8133" s="4"/>
      <c r="E8133" s="4"/>
      <c r="F8133" s="4"/>
      <c r="G8133" s="4"/>
    </row>
    <row r="8134">
      <c r="A8134" s="4"/>
      <c r="B8134" s="4"/>
      <c r="C8134" s="4"/>
      <c r="D8134" s="13"/>
      <c r="E8134" s="13"/>
      <c r="F8134" s="4"/>
      <c r="G8134" s="4"/>
    </row>
    <row r="8135">
      <c r="A8135" s="4"/>
      <c r="B8135" s="4"/>
      <c r="C8135" s="4"/>
      <c r="D8135" s="13"/>
      <c r="E8135" s="13"/>
      <c r="F8135" s="4"/>
      <c r="G8135" s="4"/>
    </row>
    <row r="8136">
      <c r="A8136" s="4"/>
      <c r="B8136" s="4"/>
      <c r="C8136" s="4"/>
      <c r="D8136" s="4"/>
      <c r="E8136" s="4"/>
      <c r="F8136" s="4"/>
      <c r="G8136" s="4"/>
    </row>
    <row r="8137">
      <c r="A8137" s="4"/>
      <c r="B8137" s="4"/>
      <c r="C8137" s="4"/>
      <c r="D8137" s="4"/>
      <c r="E8137" s="13"/>
      <c r="F8137" s="4"/>
      <c r="G8137" s="4"/>
    </row>
    <row r="8138">
      <c r="A8138" s="4"/>
      <c r="B8138" s="4"/>
      <c r="C8138" s="4"/>
      <c r="D8138" s="4"/>
      <c r="E8138" s="4"/>
      <c r="F8138" s="4"/>
      <c r="G8138" s="4"/>
    </row>
    <row r="8139">
      <c r="A8139" s="4"/>
      <c r="B8139" s="4"/>
      <c r="C8139" s="4"/>
      <c r="D8139" s="4"/>
      <c r="E8139" s="13"/>
      <c r="F8139" s="4"/>
      <c r="G8139" s="4"/>
    </row>
    <row r="8140">
      <c r="A8140" s="4"/>
      <c r="B8140" s="4"/>
      <c r="C8140" s="4"/>
      <c r="D8140" s="4"/>
      <c r="E8140" s="4"/>
      <c r="F8140" s="4"/>
      <c r="G8140" s="4"/>
    </row>
    <row r="8141">
      <c r="A8141" s="4"/>
      <c r="B8141" s="4"/>
      <c r="C8141" s="4"/>
      <c r="D8141" s="4"/>
      <c r="E8141" s="4"/>
      <c r="F8141" s="4"/>
      <c r="G8141" s="4"/>
    </row>
    <row r="8142">
      <c r="A8142" s="4"/>
      <c r="B8142" s="4"/>
      <c r="C8142" s="4"/>
      <c r="D8142" s="4"/>
      <c r="E8142" s="13"/>
      <c r="F8142" s="4"/>
      <c r="G8142" s="4"/>
    </row>
    <row r="8143">
      <c r="A8143" s="4"/>
      <c r="B8143" s="4"/>
      <c r="C8143" s="4"/>
      <c r="D8143" s="4"/>
      <c r="E8143" s="4"/>
      <c r="F8143" s="4"/>
      <c r="G8143" s="4"/>
    </row>
    <row r="8144">
      <c r="A8144" s="4"/>
      <c r="B8144" s="4"/>
      <c r="C8144" s="4"/>
      <c r="D8144" s="4"/>
      <c r="E8144" s="4"/>
      <c r="F8144" s="4"/>
      <c r="G8144" s="4"/>
    </row>
    <row r="8145">
      <c r="A8145" s="4"/>
      <c r="B8145" s="4"/>
      <c r="C8145" s="4"/>
      <c r="D8145" s="4"/>
      <c r="E8145" s="4"/>
      <c r="F8145" s="4"/>
      <c r="G8145" s="4"/>
    </row>
    <row r="8146">
      <c r="A8146" s="4"/>
      <c r="B8146" s="4"/>
      <c r="C8146" s="4"/>
      <c r="D8146" s="4"/>
      <c r="E8146" s="4"/>
      <c r="F8146" s="4"/>
      <c r="G8146" s="4"/>
    </row>
    <row r="8147">
      <c r="A8147" s="4"/>
      <c r="B8147" s="4"/>
      <c r="C8147" s="4"/>
      <c r="D8147" s="4"/>
      <c r="E8147" s="4"/>
      <c r="F8147" s="4"/>
      <c r="G8147" s="4"/>
    </row>
    <row r="8148">
      <c r="A8148" s="4"/>
      <c r="B8148" s="4"/>
      <c r="C8148" s="4"/>
      <c r="D8148" s="4"/>
      <c r="E8148" s="4"/>
      <c r="F8148" s="4"/>
      <c r="G8148" s="4"/>
    </row>
    <row r="8149">
      <c r="A8149" s="4"/>
      <c r="B8149" s="4"/>
      <c r="C8149" s="4"/>
      <c r="D8149" s="4"/>
      <c r="E8149" s="4"/>
      <c r="F8149" s="4"/>
      <c r="G8149" s="4"/>
    </row>
    <row r="8150">
      <c r="A8150" s="4"/>
      <c r="B8150" s="4"/>
      <c r="C8150" s="4"/>
      <c r="D8150" s="4"/>
      <c r="E8150" s="4"/>
      <c r="F8150" s="4"/>
      <c r="G8150" s="4"/>
    </row>
    <row r="8151">
      <c r="A8151" s="4"/>
      <c r="B8151" s="4"/>
      <c r="C8151" s="4"/>
      <c r="D8151" s="4"/>
      <c r="E8151" s="13"/>
      <c r="F8151" s="4"/>
      <c r="G8151" s="4"/>
    </row>
    <row r="8152">
      <c r="A8152" s="4"/>
      <c r="B8152" s="4"/>
      <c r="C8152" s="4"/>
      <c r="D8152" s="4"/>
      <c r="E8152" s="13"/>
      <c r="F8152" s="4"/>
      <c r="G8152" s="4"/>
    </row>
    <row r="8153">
      <c r="A8153" s="4"/>
      <c r="B8153" s="4"/>
      <c r="C8153" s="4"/>
      <c r="D8153" s="4"/>
      <c r="E8153" s="4"/>
      <c r="F8153" s="4"/>
      <c r="G8153" s="4"/>
    </row>
    <row r="8154">
      <c r="A8154" s="4"/>
      <c r="B8154" s="4"/>
      <c r="C8154" s="4"/>
      <c r="D8154" s="4"/>
      <c r="E8154" s="13"/>
      <c r="F8154" s="4"/>
      <c r="G8154" s="4"/>
    </row>
    <row r="8155">
      <c r="A8155" s="4"/>
      <c r="B8155" s="4"/>
      <c r="C8155" s="4"/>
      <c r="D8155" s="4"/>
      <c r="E8155" s="4"/>
      <c r="F8155" s="4"/>
      <c r="G8155" s="4"/>
    </row>
    <row r="8156">
      <c r="A8156" s="4"/>
      <c r="B8156" s="4"/>
      <c r="C8156" s="4"/>
      <c r="D8156" s="4"/>
      <c r="E8156" s="4"/>
      <c r="F8156" s="4"/>
      <c r="G8156" s="4"/>
    </row>
    <row r="8157">
      <c r="A8157" s="4"/>
      <c r="B8157" s="4"/>
      <c r="C8157" s="4"/>
      <c r="D8157" s="4"/>
      <c r="E8157" s="4"/>
      <c r="F8157" s="4"/>
      <c r="G8157" s="4"/>
    </row>
    <row r="8158">
      <c r="A8158" s="4"/>
      <c r="B8158" s="4"/>
      <c r="C8158" s="4"/>
      <c r="D8158" s="4"/>
      <c r="E8158" s="4"/>
      <c r="F8158" s="4"/>
      <c r="G8158" s="4"/>
    </row>
    <row r="8159">
      <c r="A8159" s="4"/>
      <c r="B8159" s="4"/>
      <c r="C8159" s="4"/>
      <c r="D8159" s="4"/>
      <c r="E8159" s="4"/>
      <c r="F8159" s="4"/>
      <c r="G8159" s="4"/>
    </row>
    <row r="8160">
      <c r="A8160" s="4"/>
      <c r="B8160" s="4"/>
      <c r="C8160" s="4"/>
      <c r="D8160" s="4"/>
      <c r="E8160" s="13"/>
      <c r="F8160" s="4"/>
      <c r="G8160" s="4"/>
    </row>
    <row r="8161">
      <c r="A8161" s="4"/>
      <c r="B8161" s="4"/>
      <c r="C8161" s="4"/>
      <c r="D8161" s="4"/>
      <c r="E8161" s="13"/>
      <c r="F8161" s="4"/>
      <c r="G8161" s="4"/>
    </row>
    <row r="8162">
      <c r="A8162" s="4"/>
      <c r="B8162" s="4"/>
      <c r="C8162" s="4"/>
      <c r="D8162" s="4"/>
      <c r="E8162" s="4"/>
      <c r="F8162" s="4"/>
      <c r="G8162" s="4"/>
    </row>
    <row r="8163">
      <c r="A8163" s="4"/>
      <c r="B8163" s="4"/>
      <c r="C8163" s="4"/>
      <c r="D8163" s="4"/>
      <c r="E8163" s="4"/>
      <c r="F8163" s="4"/>
      <c r="G8163" s="4"/>
    </row>
    <row r="8164">
      <c r="A8164" s="4"/>
      <c r="B8164" s="4"/>
      <c r="C8164" s="4"/>
      <c r="D8164" s="4"/>
      <c r="E8164" s="13"/>
      <c r="F8164" s="4"/>
      <c r="G8164" s="4"/>
    </row>
    <row r="8165">
      <c r="A8165" s="4"/>
      <c r="B8165" s="4"/>
      <c r="C8165" s="4"/>
      <c r="D8165" s="4"/>
      <c r="E8165" s="4"/>
      <c r="F8165" s="4"/>
      <c r="G8165" s="4"/>
    </row>
    <row r="8166">
      <c r="A8166" s="4"/>
      <c r="B8166" s="4"/>
      <c r="C8166" s="4"/>
      <c r="D8166" s="4"/>
      <c r="E8166" s="4"/>
      <c r="F8166" s="4"/>
      <c r="G8166" s="4"/>
    </row>
    <row r="8167">
      <c r="A8167" s="4"/>
      <c r="B8167" s="4"/>
      <c r="C8167" s="4"/>
      <c r="D8167" s="4"/>
      <c r="E8167" s="4"/>
      <c r="F8167" s="4"/>
      <c r="G8167" s="4"/>
    </row>
    <row r="8168">
      <c r="A8168" s="4"/>
      <c r="B8168" s="4"/>
      <c r="C8168" s="4"/>
      <c r="D8168" s="4"/>
      <c r="E8168" s="4"/>
      <c r="F8168" s="4"/>
      <c r="G8168" s="4"/>
    </row>
    <row r="8169">
      <c r="A8169" s="4"/>
      <c r="B8169" s="4"/>
      <c r="C8169" s="4"/>
      <c r="D8169" s="4"/>
      <c r="E8169" s="4"/>
      <c r="F8169" s="4"/>
      <c r="G8169" s="4"/>
    </row>
    <row r="8170">
      <c r="A8170" s="4"/>
      <c r="B8170" s="4"/>
      <c r="C8170" s="4"/>
      <c r="D8170" s="4"/>
      <c r="E8170" s="13"/>
      <c r="F8170" s="4"/>
      <c r="G8170" s="4"/>
    </row>
    <row r="8171">
      <c r="A8171" s="4"/>
      <c r="B8171" s="4"/>
      <c r="C8171" s="4"/>
      <c r="D8171" s="4"/>
      <c r="E8171" s="4"/>
      <c r="F8171" s="4"/>
      <c r="G8171" s="4"/>
    </row>
    <row r="8172">
      <c r="A8172" s="4"/>
      <c r="B8172" s="4"/>
      <c r="C8172" s="4"/>
      <c r="D8172" s="4"/>
      <c r="E8172" s="4"/>
      <c r="F8172" s="4"/>
      <c r="G8172" s="4"/>
    </row>
    <row r="8173">
      <c r="A8173" s="4"/>
      <c r="B8173" s="4"/>
      <c r="C8173" s="4"/>
      <c r="D8173" s="4"/>
      <c r="E8173" s="13"/>
      <c r="F8173" s="4"/>
      <c r="G8173" s="4"/>
    </row>
    <row r="8174">
      <c r="A8174" s="4"/>
      <c r="B8174" s="4"/>
      <c r="C8174" s="4"/>
      <c r="D8174" s="4"/>
      <c r="E8174" s="4"/>
      <c r="F8174" s="4"/>
      <c r="G8174" s="4"/>
    </row>
    <row r="8175">
      <c r="A8175" s="4"/>
      <c r="B8175" s="4"/>
      <c r="C8175" s="4"/>
      <c r="D8175" s="13"/>
      <c r="E8175" s="13"/>
      <c r="F8175" s="4"/>
      <c r="G8175" s="4"/>
    </row>
    <row r="8176">
      <c r="A8176" s="4"/>
      <c r="B8176" s="4"/>
      <c r="C8176" s="4"/>
      <c r="D8176" s="4"/>
      <c r="E8176" s="4"/>
      <c r="F8176" s="4"/>
      <c r="G8176" s="4"/>
    </row>
    <row r="8177">
      <c r="A8177" s="4"/>
      <c r="B8177" s="4"/>
      <c r="C8177" s="4"/>
      <c r="D8177" s="4"/>
      <c r="E8177" s="4"/>
      <c r="F8177" s="4"/>
      <c r="G8177" s="4"/>
    </row>
    <row r="8178">
      <c r="A8178" s="4"/>
      <c r="B8178" s="4"/>
      <c r="C8178" s="4"/>
      <c r="D8178" s="13"/>
      <c r="E8178" s="13"/>
      <c r="F8178" s="4"/>
      <c r="G8178" s="4"/>
    </row>
    <row r="8179">
      <c r="A8179" s="4"/>
      <c r="B8179" s="4"/>
      <c r="C8179" s="4"/>
      <c r="D8179" s="4"/>
      <c r="E8179" s="4"/>
      <c r="F8179" s="4"/>
      <c r="G8179" s="4"/>
    </row>
    <row r="8180">
      <c r="A8180" s="4"/>
      <c r="B8180" s="4"/>
      <c r="C8180" s="4"/>
      <c r="D8180" s="4"/>
      <c r="E8180" s="4"/>
      <c r="F8180" s="4"/>
      <c r="G8180" s="4"/>
    </row>
    <row r="8181">
      <c r="A8181" s="4"/>
      <c r="B8181" s="4"/>
      <c r="C8181" s="4"/>
      <c r="D8181" s="4"/>
      <c r="E8181" s="4"/>
      <c r="F8181" s="4"/>
      <c r="G8181" s="4"/>
    </row>
    <row r="8182">
      <c r="A8182" s="4"/>
      <c r="B8182" s="4"/>
      <c r="C8182" s="4"/>
      <c r="D8182" s="4"/>
      <c r="E8182" s="4"/>
      <c r="F8182" s="4"/>
      <c r="G8182" s="4"/>
    </row>
    <row r="8183">
      <c r="A8183" s="4"/>
      <c r="B8183" s="4"/>
      <c r="C8183" s="4"/>
      <c r="D8183" s="4"/>
      <c r="E8183" s="4"/>
      <c r="F8183" s="4"/>
      <c r="G8183" s="4"/>
    </row>
    <row r="8184">
      <c r="A8184" s="4"/>
      <c r="B8184" s="4"/>
      <c r="C8184" s="4"/>
      <c r="D8184" s="4"/>
      <c r="E8184" s="4"/>
      <c r="F8184" s="4"/>
      <c r="G8184" s="4"/>
    </row>
    <row r="8185">
      <c r="A8185" s="4"/>
      <c r="B8185" s="4"/>
      <c r="C8185" s="4"/>
      <c r="D8185" s="4"/>
      <c r="E8185" s="13"/>
      <c r="F8185" s="4"/>
      <c r="G8185" s="4"/>
    </row>
    <row r="8186">
      <c r="A8186" s="4"/>
      <c r="B8186" s="4"/>
      <c r="C8186" s="4"/>
      <c r="D8186" s="4"/>
      <c r="E8186" s="13"/>
      <c r="F8186" s="4"/>
      <c r="G8186" s="4"/>
    </row>
    <row r="8187">
      <c r="A8187" s="4"/>
      <c r="B8187" s="4"/>
      <c r="C8187" s="4"/>
      <c r="D8187" s="4"/>
      <c r="E8187" s="13"/>
      <c r="F8187" s="4"/>
      <c r="G8187" s="4"/>
    </row>
    <row r="8188">
      <c r="A8188" s="4"/>
      <c r="B8188" s="4"/>
      <c r="C8188" s="4"/>
      <c r="D8188" s="4"/>
      <c r="E8188" s="4"/>
      <c r="F8188" s="4"/>
      <c r="G8188" s="4"/>
    </row>
    <row r="8189">
      <c r="A8189" s="4"/>
      <c r="B8189" s="4"/>
      <c r="C8189" s="4"/>
      <c r="D8189" s="4"/>
      <c r="E8189" s="4"/>
      <c r="F8189" s="4"/>
      <c r="G8189" s="4"/>
    </row>
    <row r="8190">
      <c r="A8190" s="4"/>
      <c r="B8190" s="4"/>
      <c r="C8190" s="4"/>
      <c r="D8190" s="4"/>
      <c r="E8190" s="4"/>
      <c r="F8190" s="4"/>
      <c r="G8190" s="4"/>
    </row>
    <row r="8191">
      <c r="A8191" s="4"/>
      <c r="B8191" s="4"/>
      <c r="C8191" s="4"/>
      <c r="D8191" s="13"/>
      <c r="E8191" s="13"/>
      <c r="F8191" s="4"/>
      <c r="G8191" s="4"/>
    </row>
    <row r="8192">
      <c r="A8192" s="4"/>
      <c r="B8192" s="4"/>
      <c r="C8192" s="4"/>
      <c r="D8192" s="4"/>
      <c r="E8192" s="4"/>
      <c r="F8192" s="4"/>
      <c r="G8192" s="4"/>
    </row>
    <row r="8193">
      <c r="A8193" s="4"/>
      <c r="B8193" s="4"/>
      <c r="C8193" s="4"/>
      <c r="D8193" s="4"/>
      <c r="E8193" s="4"/>
      <c r="F8193" s="4"/>
      <c r="G8193" s="4"/>
    </row>
    <row r="8194">
      <c r="A8194" s="4"/>
      <c r="B8194" s="4"/>
      <c r="C8194" s="4"/>
      <c r="D8194" s="4"/>
      <c r="E8194" s="4"/>
      <c r="F8194" s="4"/>
      <c r="G8194" s="4"/>
    </row>
    <row r="8195">
      <c r="A8195" s="4"/>
      <c r="B8195" s="4"/>
      <c r="C8195" s="4"/>
      <c r="D8195" s="13"/>
      <c r="E8195" s="13"/>
      <c r="F8195" s="4"/>
      <c r="G8195" s="4"/>
    </row>
    <row r="8196">
      <c r="A8196" s="4"/>
      <c r="B8196" s="4"/>
      <c r="C8196" s="4"/>
      <c r="D8196" s="4"/>
      <c r="E8196" s="4"/>
      <c r="F8196" s="4"/>
      <c r="G8196" s="4"/>
    </row>
    <row r="8197">
      <c r="A8197" s="4"/>
      <c r="B8197" s="4"/>
      <c r="C8197" s="4"/>
      <c r="D8197" s="13"/>
      <c r="E8197" s="4"/>
      <c r="F8197" s="4"/>
      <c r="G8197" s="4"/>
    </row>
    <row r="8198">
      <c r="A8198" s="4"/>
      <c r="B8198" s="4"/>
      <c r="C8198" s="4"/>
      <c r="D8198" s="4"/>
      <c r="E8198" s="4"/>
      <c r="F8198" s="4"/>
      <c r="G8198" s="4"/>
    </row>
    <row r="8199">
      <c r="A8199" s="4"/>
      <c r="B8199" s="4"/>
      <c r="C8199" s="4"/>
      <c r="D8199" s="4"/>
      <c r="E8199" s="13"/>
      <c r="F8199" s="4"/>
      <c r="G8199" s="4"/>
    </row>
    <row r="8200">
      <c r="A8200" s="4"/>
      <c r="B8200" s="4"/>
      <c r="C8200" s="4"/>
      <c r="D8200" s="4"/>
      <c r="E8200" s="4"/>
      <c r="F8200" s="4"/>
      <c r="G8200" s="4"/>
    </row>
    <row r="8201">
      <c r="A8201" s="4"/>
      <c r="B8201" s="4"/>
      <c r="C8201" s="4"/>
      <c r="D8201" s="4"/>
      <c r="E8201" s="4"/>
      <c r="F8201" s="4"/>
      <c r="G8201" s="4"/>
    </row>
    <row r="8202">
      <c r="A8202" s="4"/>
      <c r="B8202" s="4"/>
      <c r="C8202" s="4"/>
      <c r="D8202" s="4"/>
      <c r="E8202" s="4"/>
      <c r="F8202" s="4"/>
      <c r="G8202" s="4"/>
    </row>
    <row r="8203">
      <c r="A8203" s="4"/>
      <c r="B8203" s="4"/>
      <c r="C8203" s="4"/>
      <c r="D8203" s="4"/>
      <c r="E8203" s="4"/>
      <c r="F8203" s="4"/>
      <c r="G8203" s="4"/>
    </row>
    <row r="8204">
      <c r="A8204" s="4"/>
      <c r="B8204" s="4"/>
      <c r="C8204" s="4"/>
      <c r="D8204" s="13"/>
      <c r="E8204" s="13"/>
      <c r="F8204" s="4"/>
      <c r="G8204" s="4"/>
    </row>
    <row r="8205">
      <c r="A8205" s="4"/>
      <c r="B8205" s="4"/>
      <c r="C8205" s="4"/>
      <c r="D8205" s="4"/>
      <c r="E8205" s="4"/>
      <c r="F8205" s="4"/>
      <c r="G8205" s="4"/>
    </row>
    <row r="8206">
      <c r="A8206" s="4"/>
      <c r="B8206" s="4"/>
      <c r="C8206" s="4"/>
      <c r="D8206" s="13"/>
      <c r="E8206" s="13"/>
      <c r="F8206" s="4"/>
      <c r="G8206" s="4"/>
    </row>
    <row r="8207">
      <c r="A8207" s="4"/>
      <c r="B8207" s="4"/>
      <c r="C8207" s="4"/>
      <c r="D8207" s="13"/>
      <c r="E8207" s="13"/>
      <c r="F8207" s="4"/>
      <c r="G8207" s="4"/>
    </row>
    <row r="8208">
      <c r="A8208" s="4"/>
      <c r="B8208" s="4"/>
      <c r="C8208" s="4"/>
      <c r="D8208" s="13"/>
      <c r="E8208" s="13"/>
      <c r="F8208" s="4"/>
      <c r="G8208" s="4"/>
    </row>
    <row r="8209">
      <c r="A8209" s="4"/>
      <c r="B8209" s="4"/>
      <c r="C8209" s="4"/>
      <c r="D8209" s="4"/>
      <c r="E8209" s="4"/>
      <c r="F8209" s="4"/>
      <c r="G8209" s="4"/>
    </row>
    <row r="8210">
      <c r="A8210" s="4"/>
      <c r="B8210" s="4"/>
      <c r="C8210" s="4"/>
      <c r="D8210" s="13"/>
      <c r="E8210" s="13"/>
      <c r="F8210" s="4"/>
      <c r="G8210" s="4"/>
    </row>
    <row r="8211">
      <c r="A8211" s="4"/>
      <c r="B8211" s="4"/>
      <c r="C8211" s="4"/>
      <c r="D8211" s="13"/>
      <c r="E8211" s="13"/>
      <c r="F8211" s="4"/>
      <c r="G8211" s="4"/>
    </row>
    <row r="8212">
      <c r="A8212" s="4"/>
      <c r="B8212" s="4"/>
      <c r="C8212" s="4"/>
      <c r="D8212" s="13"/>
      <c r="E8212" s="13"/>
      <c r="F8212" s="4"/>
      <c r="G8212" s="4"/>
    </row>
    <row r="8213">
      <c r="A8213" s="4"/>
      <c r="B8213" s="4"/>
      <c r="C8213" s="4"/>
      <c r="D8213" s="13"/>
      <c r="E8213" s="13"/>
      <c r="F8213" s="4"/>
      <c r="G8213" s="4"/>
    </row>
    <row r="8214">
      <c r="A8214" s="4"/>
      <c r="B8214" s="4"/>
      <c r="C8214" s="4"/>
      <c r="D8214" s="4"/>
      <c r="E8214" s="4"/>
      <c r="F8214" s="4"/>
      <c r="G8214" s="4"/>
    </row>
    <row r="8215">
      <c r="A8215" s="4"/>
      <c r="B8215" s="4"/>
      <c r="C8215" s="4"/>
      <c r="D8215" s="4"/>
      <c r="E8215" s="13"/>
      <c r="F8215" s="4"/>
      <c r="G8215" s="4"/>
    </row>
    <row r="8216">
      <c r="A8216" s="4"/>
      <c r="B8216" s="4"/>
      <c r="C8216" s="4"/>
      <c r="D8216" s="4"/>
      <c r="E8216" s="13"/>
      <c r="F8216" s="4"/>
      <c r="G8216" s="4"/>
    </row>
    <row r="8217">
      <c r="A8217" s="4"/>
      <c r="B8217" s="4"/>
      <c r="C8217" s="4"/>
      <c r="D8217" s="4"/>
      <c r="E8217" s="4"/>
      <c r="F8217" s="4"/>
      <c r="G8217" s="4"/>
    </row>
    <row r="8218">
      <c r="A8218" s="4"/>
      <c r="B8218" s="4"/>
      <c r="C8218" s="4"/>
      <c r="D8218" s="4"/>
      <c r="E8218" s="4"/>
      <c r="F8218" s="4"/>
      <c r="G8218" s="4"/>
    </row>
    <row r="8219">
      <c r="A8219" s="4"/>
      <c r="B8219" s="4"/>
      <c r="C8219" s="4"/>
      <c r="D8219" s="4"/>
      <c r="E8219" s="4"/>
      <c r="F8219" s="4"/>
      <c r="G8219" s="4"/>
    </row>
    <row r="8220">
      <c r="A8220" s="4"/>
      <c r="B8220" s="4"/>
      <c r="C8220" s="4"/>
      <c r="D8220" s="4"/>
      <c r="E8220" s="4"/>
      <c r="F8220" s="4"/>
      <c r="G8220" s="4"/>
    </row>
    <row r="8221">
      <c r="A8221" s="4"/>
      <c r="B8221" s="4"/>
      <c r="C8221" s="4"/>
      <c r="D8221" s="4"/>
      <c r="E8221" s="4"/>
      <c r="F8221" s="4"/>
      <c r="G8221" s="4"/>
    </row>
    <row r="8222">
      <c r="A8222" s="4"/>
      <c r="B8222" s="4"/>
      <c r="C8222" s="4"/>
      <c r="D8222" s="4"/>
      <c r="E8222" s="4"/>
      <c r="F8222" s="4"/>
      <c r="G8222" s="4"/>
    </row>
    <row r="8223">
      <c r="A8223" s="4"/>
      <c r="B8223" s="4"/>
      <c r="C8223" s="4"/>
      <c r="D8223" s="4"/>
      <c r="E8223" s="13"/>
      <c r="F8223" s="4"/>
      <c r="G8223" s="4"/>
    </row>
    <row r="8224">
      <c r="A8224" s="4"/>
      <c r="B8224" s="4"/>
      <c r="C8224" s="4"/>
      <c r="D8224" s="4"/>
      <c r="E8224" s="13"/>
      <c r="F8224" s="4"/>
      <c r="G8224" s="4"/>
    </row>
    <row r="8225">
      <c r="A8225" s="4"/>
      <c r="B8225" s="4"/>
      <c r="C8225" s="4"/>
      <c r="D8225" s="4"/>
      <c r="E8225" s="4"/>
      <c r="F8225" s="4"/>
      <c r="G8225" s="4"/>
    </row>
    <row r="8226">
      <c r="A8226" s="4"/>
      <c r="B8226" s="4"/>
      <c r="C8226" s="4"/>
      <c r="D8226" s="4"/>
      <c r="E8226" s="4"/>
      <c r="F8226" s="4"/>
      <c r="G8226" s="4"/>
    </row>
    <row r="8227">
      <c r="A8227" s="4"/>
      <c r="B8227" s="4"/>
      <c r="C8227" s="4"/>
      <c r="D8227" s="4"/>
      <c r="E8227" s="4"/>
      <c r="F8227" s="4"/>
      <c r="G8227" s="4"/>
    </row>
    <row r="8228">
      <c r="A8228" s="4"/>
      <c r="B8228" s="4"/>
      <c r="C8228" s="4"/>
      <c r="D8228" s="4"/>
      <c r="E8228" s="13"/>
      <c r="F8228" s="4"/>
      <c r="G8228" s="4"/>
    </row>
    <row r="8229">
      <c r="A8229" s="4"/>
      <c r="B8229" s="4"/>
      <c r="C8229" s="4"/>
      <c r="D8229" s="4"/>
      <c r="E8229" s="4"/>
      <c r="F8229" s="4"/>
      <c r="G8229" s="4"/>
    </row>
    <row r="8230">
      <c r="A8230" s="4"/>
      <c r="B8230" s="4"/>
      <c r="C8230" s="4"/>
      <c r="D8230" s="4"/>
      <c r="E8230" s="13"/>
      <c r="F8230" s="4"/>
      <c r="G8230" s="4"/>
    </row>
    <row r="8231">
      <c r="A8231" s="4"/>
      <c r="B8231" s="4"/>
      <c r="C8231" s="4"/>
      <c r="D8231" s="4"/>
      <c r="E8231" s="13"/>
      <c r="F8231" s="4"/>
      <c r="G8231" s="4"/>
    </row>
    <row r="8232">
      <c r="A8232" s="4"/>
      <c r="B8232" s="4"/>
      <c r="C8232" s="4"/>
      <c r="D8232" s="4"/>
      <c r="E8232" s="4"/>
      <c r="F8232" s="4"/>
      <c r="G8232" s="4"/>
    </row>
    <row r="8233">
      <c r="A8233" s="4"/>
      <c r="B8233" s="4"/>
      <c r="C8233" s="4"/>
      <c r="D8233" s="4"/>
      <c r="E8233" s="4"/>
      <c r="F8233" s="4"/>
      <c r="G8233" s="4"/>
    </row>
    <row r="8234">
      <c r="A8234" s="4"/>
      <c r="B8234" s="4"/>
      <c r="C8234" s="4"/>
      <c r="D8234" s="4"/>
      <c r="E8234" s="4"/>
      <c r="F8234" s="4"/>
      <c r="G8234" s="4"/>
    </row>
    <row r="8235">
      <c r="A8235" s="4"/>
      <c r="B8235" s="4"/>
      <c r="C8235" s="4"/>
      <c r="D8235" s="4"/>
      <c r="E8235" s="13"/>
      <c r="F8235" s="4"/>
      <c r="G8235" s="4"/>
    </row>
    <row r="8236">
      <c r="A8236" s="4"/>
      <c r="B8236" s="4"/>
      <c r="C8236" s="4"/>
      <c r="D8236" s="4"/>
      <c r="E8236" s="4"/>
      <c r="F8236" s="4"/>
      <c r="G8236" s="4"/>
    </row>
    <row r="8237">
      <c r="A8237" s="4"/>
      <c r="B8237" s="4"/>
      <c r="C8237" s="4"/>
      <c r="D8237" s="4"/>
      <c r="E8237" s="13"/>
      <c r="F8237" s="4"/>
      <c r="G8237" s="4"/>
    </row>
    <row r="8238">
      <c r="A8238" s="4"/>
      <c r="B8238" s="4"/>
      <c r="C8238" s="4"/>
      <c r="D8238" s="4"/>
      <c r="E8238" s="4"/>
      <c r="F8238" s="4"/>
      <c r="G8238" s="4"/>
    </row>
    <row r="8239">
      <c r="A8239" s="4"/>
      <c r="B8239" s="4"/>
      <c r="C8239" s="4"/>
      <c r="D8239" s="4"/>
      <c r="E8239" s="13"/>
      <c r="F8239" s="4"/>
      <c r="G8239" s="4"/>
    </row>
    <row r="8240">
      <c r="A8240" s="4"/>
      <c r="B8240" s="4"/>
      <c r="C8240" s="4"/>
      <c r="D8240" s="4"/>
      <c r="E8240" s="4"/>
      <c r="F8240" s="4"/>
      <c r="G8240" s="4"/>
    </row>
    <row r="8241">
      <c r="A8241" s="4"/>
      <c r="B8241" s="4"/>
      <c r="C8241" s="4"/>
      <c r="D8241" s="4"/>
      <c r="E8241" s="4"/>
      <c r="F8241" s="4"/>
      <c r="G8241" s="4"/>
    </row>
    <row r="8242">
      <c r="A8242" s="4"/>
      <c r="B8242" s="4"/>
      <c r="C8242" s="4"/>
      <c r="D8242" s="4"/>
      <c r="E8242" s="4"/>
      <c r="F8242" s="4"/>
      <c r="G8242" s="4"/>
    </row>
    <row r="8243">
      <c r="A8243" s="4"/>
      <c r="B8243" s="4"/>
      <c r="C8243" s="4"/>
      <c r="D8243" s="4"/>
      <c r="E8243" s="4"/>
      <c r="F8243" s="4"/>
      <c r="G8243" s="4"/>
    </row>
    <row r="8244">
      <c r="A8244" s="4"/>
      <c r="B8244" s="4"/>
      <c r="C8244" s="4"/>
      <c r="D8244" s="4"/>
      <c r="E8244" s="4"/>
      <c r="F8244" s="4"/>
      <c r="G8244" s="4"/>
    </row>
    <row r="8245">
      <c r="A8245" s="4"/>
      <c r="B8245" s="4"/>
      <c r="C8245" s="4"/>
      <c r="D8245" s="4"/>
      <c r="E8245" s="4"/>
      <c r="F8245" s="4"/>
      <c r="G8245" s="4"/>
    </row>
    <row r="8246">
      <c r="A8246" s="4"/>
      <c r="B8246" s="4"/>
      <c r="C8246" s="4"/>
      <c r="D8246" s="13"/>
      <c r="E8246" s="13"/>
      <c r="F8246" s="4"/>
      <c r="G8246" s="4"/>
    </row>
    <row r="8247">
      <c r="A8247" s="4"/>
      <c r="B8247" s="4"/>
      <c r="C8247" s="4"/>
      <c r="D8247" s="13"/>
      <c r="E8247" s="4"/>
      <c r="F8247" s="4"/>
      <c r="G8247" s="4"/>
    </row>
    <row r="8248">
      <c r="A8248" s="4"/>
      <c r="B8248" s="4"/>
      <c r="C8248" s="4"/>
      <c r="D8248" s="4"/>
      <c r="E8248" s="13"/>
      <c r="F8248" s="4"/>
      <c r="G8248" s="4"/>
    </row>
    <row r="8249">
      <c r="A8249" s="4"/>
      <c r="B8249" s="4"/>
      <c r="C8249" s="4"/>
      <c r="D8249" s="13"/>
      <c r="E8249" s="13"/>
      <c r="F8249" s="4"/>
      <c r="G8249" s="4"/>
    </row>
    <row r="8250">
      <c r="A8250" s="4"/>
      <c r="B8250" s="4"/>
      <c r="C8250" s="4"/>
      <c r="D8250" s="4"/>
      <c r="E8250" s="4"/>
      <c r="F8250" s="4"/>
      <c r="G8250" s="4"/>
    </row>
    <row r="8251">
      <c r="A8251" s="4"/>
      <c r="B8251" s="4"/>
      <c r="C8251" s="4"/>
      <c r="D8251" s="4"/>
      <c r="E8251" s="13"/>
      <c r="F8251" s="4"/>
      <c r="G8251" s="4"/>
    </row>
    <row r="8252">
      <c r="A8252" s="4"/>
      <c r="B8252" s="4"/>
      <c r="C8252" s="4"/>
      <c r="D8252" s="4"/>
      <c r="E8252" s="4"/>
      <c r="F8252" s="4"/>
      <c r="G8252" s="4"/>
    </row>
    <row r="8253">
      <c r="A8253" s="4"/>
      <c r="B8253" s="4"/>
      <c r="C8253" s="4"/>
      <c r="D8253" s="4"/>
      <c r="E8253" s="4"/>
      <c r="F8253" s="4"/>
      <c r="G8253" s="4"/>
    </row>
    <row r="8254">
      <c r="A8254" s="4"/>
      <c r="B8254" s="4"/>
      <c r="C8254" s="4"/>
      <c r="D8254" s="4"/>
      <c r="E8254" s="4"/>
      <c r="F8254" s="4"/>
      <c r="G8254" s="4"/>
    </row>
    <row r="8255">
      <c r="A8255" s="4"/>
      <c r="B8255" s="4"/>
      <c r="C8255" s="4"/>
      <c r="D8255" s="4"/>
      <c r="E8255" s="4"/>
      <c r="F8255" s="4"/>
      <c r="G8255" s="4"/>
    </row>
    <row r="8256">
      <c r="A8256" s="4"/>
      <c r="B8256" s="4"/>
      <c r="C8256" s="4"/>
      <c r="D8256" s="4"/>
      <c r="E8256" s="4"/>
      <c r="F8256" s="4"/>
      <c r="G8256" s="4"/>
    </row>
    <row r="8257">
      <c r="A8257" s="4"/>
      <c r="B8257" s="4"/>
      <c r="C8257" s="4"/>
      <c r="D8257" s="4"/>
      <c r="E8257" s="13"/>
      <c r="F8257" s="4"/>
      <c r="G8257" s="4"/>
    </row>
    <row r="8258">
      <c r="A8258" s="4"/>
      <c r="B8258" s="4"/>
      <c r="C8258" s="4"/>
      <c r="D8258" s="4"/>
      <c r="E8258" s="4"/>
      <c r="F8258" s="4"/>
      <c r="G8258" s="4"/>
    </row>
    <row r="8259">
      <c r="A8259" s="4"/>
      <c r="B8259" s="4"/>
      <c r="C8259" s="4"/>
      <c r="D8259" s="4"/>
      <c r="E8259" s="13"/>
      <c r="F8259" s="4"/>
      <c r="G8259" s="4"/>
    </row>
    <row r="8260">
      <c r="A8260" s="4"/>
      <c r="B8260" s="4"/>
      <c r="C8260" s="4"/>
      <c r="D8260" s="4"/>
      <c r="E8260" s="4"/>
      <c r="F8260" s="4"/>
      <c r="G8260" s="4"/>
    </row>
    <row r="8261">
      <c r="A8261" s="4"/>
      <c r="B8261" s="4"/>
      <c r="C8261" s="4"/>
      <c r="D8261" s="4"/>
      <c r="E8261" s="4"/>
      <c r="F8261" s="4"/>
      <c r="G8261" s="4"/>
    </row>
    <row r="8262">
      <c r="A8262" s="4"/>
      <c r="B8262" s="4"/>
      <c r="C8262" s="4"/>
      <c r="D8262" s="4"/>
      <c r="E8262" s="4"/>
      <c r="F8262" s="4"/>
      <c r="G8262" s="4"/>
    </row>
    <row r="8263">
      <c r="A8263" s="4"/>
      <c r="B8263" s="4"/>
      <c r="C8263" s="4"/>
      <c r="D8263" s="4"/>
      <c r="E8263" s="13"/>
      <c r="F8263" s="4"/>
      <c r="G8263" s="4"/>
    </row>
    <row r="8264">
      <c r="A8264" s="4"/>
      <c r="B8264" s="4"/>
      <c r="C8264" s="4"/>
      <c r="D8264" s="4"/>
      <c r="E8264" s="4"/>
      <c r="F8264" s="4"/>
      <c r="G8264" s="4"/>
    </row>
    <row r="8265">
      <c r="A8265" s="4"/>
      <c r="B8265" s="4"/>
      <c r="C8265" s="4"/>
      <c r="D8265" s="4"/>
      <c r="E8265" s="4"/>
      <c r="F8265" s="4"/>
      <c r="G8265" s="4"/>
    </row>
    <row r="8266">
      <c r="A8266" s="4"/>
      <c r="B8266" s="4"/>
      <c r="C8266" s="4"/>
      <c r="D8266" s="4"/>
      <c r="E8266" s="4"/>
      <c r="F8266" s="4"/>
      <c r="G8266" s="4"/>
    </row>
    <row r="8267">
      <c r="A8267" s="4"/>
      <c r="B8267" s="4"/>
      <c r="C8267" s="4"/>
      <c r="D8267" s="4"/>
      <c r="E8267" s="4"/>
      <c r="F8267" s="4"/>
      <c r="G8267" s="4"/>
    </row>
    <row r="8268">
      <c r="A8268" s="4"/>
      <c r="B8268" s="4"/>
      <c r="C8268" s="4"/>
      <c r="D8268" s="4"/>
      <c r="E8268" s="4"/>
      <c r="F8268" s="4"/>
      <c r="G8268" s="4"/>
    </row>
    <row r="8269">
      <c r="A8269" s="4"/>
      <c r="B8269" s="4"/>
      <c r="C8269" s="4"/>
      <c r="D8269" s="4"/>
      <c r="E8269" s="4"/>
      <c r="F8269" s="4"/>
      <c r="G8269" s="4"/>
    </row>
    <row r="8270">
      <c r="A8270" s="4"/>
      <c r="B8270" s="4"/>
      <c r="C8270" s="4"/>
      <c r="D8270" s="4"/>
      <c r="E8270" s="4"/>
      <c r="F8270" s="4"/>
      <c r="G8270" s="4"/>
    </row>
    <row r="8271">
      <c r="A8271" s="4"/>
      <c r="B8271" s="4"/>
      <c r="C8271" s="4"/>
      <c r="D8271" s="4"/>
      <c r="E8271" s="4"/>
      <c r="F8271" s="4"/>
      <c r="G8271" s="4"/>
    </row>
    <row r="8272">
      <c r="A8272" s="4"/>
      <c r="B8272" s="4"/>
      <c r="C8272" s="4"/>
      <c r="D8272" s="4"/>
      <c r="E8272" s="4"/>
      <c r="F8272" s="4"/>
      <c r="G8272" s="4"/>
    </row>
    <row r="8273">
      <c r="A8273" s="4"/>
      <c r="B8273" s="4"/>
      <c r="C8273" s="4"/>
      <c r="D8273" s="4"/>
      <c r="E8273" s="4"/>
      <c r="F8273" s="4"/>
      <c r="G8273" s="4"/>
    </row>
    <row r="8274">
      <c r="A8274" s="4"/>
      <c r="B8274" s="4"/>
      <c r="C8274" s="4"/>
      <c r="D8274" s="4"/>
      <c r="E8274" s="13"/>
      <c r="F8274" s="4"/>
      <c r="G8274" s="4"/>
    </row>
    <row r="8275">
      <c r="A8275" s="4"/>
      <c r="B8275" s="4"/>
      <c r="C8275" s="4"/>
      <c r="D8275" s="4"/>
      <c r="E8275" s="4"/>
      <c r="F8275" s="4"/>
      <c r="G8275" s="4"/>
    </row>
    <row r="8276">
      <c r="A8276" s="4"/>
      <c r="B8276" s="4"/>
      <c r="C8276" s="4"/>
      <c r="D8276" s="4"/>
      <c r="E8276" s="4"/>
      <c r="F8276" s="4"/>
      <c r="G8276" s="4"/>
    </row>
    <row r="8277">
      <c r="A8277" s="4"/>
      <c r="B8277" s="4"/>
      <c r="C8277" s="4"/>
      <c r="D8277" s="4"/>
      <c r="E8277" s="4"/>
      <c r="F8277" s="4"/>
      <c r="G8277" s="4"/>
    </row>
    <row r="8278">
      <c r="A8278" s="4"/>
      <c r="B8278" s="4"/>
      <c r="C8278" s="4"/>
      <c r="D8278" s="4"/>
      <c r="E8278" s="4"/>
      <c r="F8278" s="4"/>
      <c r="G8278" s="4"/>
    </row>
    <row r="8279">
      <c r="A8279" s="4"/>
      <c r="B8279" s="4"/>
      <c r="C8279" s="4"/>
      <c r="D8279" s="4"/>
      <c r="E8279" s="4"/>
      <c r="F8279" s="4"/>
      <c r="G8279" s="4"/>
    </row>
    <row r="8280">
      <c r="A8280" s="4"/>
      <c r="B8280" s="4"/>
      <c r="C8280" s="4"/>
      <c r="D8280" s="4"/>
      <c r="E8280" s="13"/>
      <c r="F8280" s="4"/>
      <c r="G8280" s="4"/>
    </row>
    <row r="8281">
      <c r="A8281" s="4"/>
      <c r="B8281" s="4"/>
      <c r="C8281" s="4"/>
      <c r="D8281" s="4"/>
      <c r="E8281" s="4"/>
      <c r="F8281" s="4"/>
      <c r="G8281" s="4"/>
    </row>
    <row r="8282">
      <c r="A8282" s="4"/>
      <c r="B8282" s="4"/>
      <c r="C8282" s="4"/>
      <c r="D8282" s="4"/>
      <c r="E8282" s="13"/>
      <c r="F8282" s="4"/>
      <c r="G8282" s="4"/>
    </row>
    <row r="8283">
      <c r="A8283" s="4"/>
      <c r="B8283" s="4"/>
      <c r="C8283" s="4"/>
      <c r="D8283" s="4"/>
      <c r="E8283" s="4"/>
      <c r="F8283" s="4"/>
      <c r="G8283" s="4"/>
    </row>
    <row r="8284">
      <c r="A8284" s="4"/>
      <c r="B8284" s="4"/>
      <c r="C8284" s="4"/>
      <c r="D8284" s="4"/>
      <c r="E8284" s="4"/>
      <c r="F8284" s="4"/>
      <c r="G8284" s="4"/>
    </row>
    <row r="8285">
      <c r="A8285" s="4"/>
      <c r="B8285" s="4"/>
      <c r="C8285" s="4"/>
      <c r="D8285" s="13"/>
      <c r="E8285" s="13"/>
      <c r="F8285" s="4"/>
      <c r="G8285" s="4"/>
    </row>
    <row r="8286">
      <c r="A8286" s="4"/>
      <c r="B8286" s="4"/>
      <c r="C8286" s="4"/>
      <c r="D8286" s="4"/>
      <c r="E8286" s="4"/>
      <c r="F8286" s="4"/>
      <c r="G8286" s="4"/>
    </row>
    <row r="8287">
      <c r="A8287" s="4"/>
      <c r="B8287" s="4"/>
      <c r="C8287" s="4"/>
      <c r="D8287" s="4"/>
      <c r="E8287" s="4"/>
      <c r="F8287" s="4"/>
      <c r="G8287" s="4"/>
    </row>
    <row r="8288">
      <c r="A8288" s="4"/>
      <c r="B8288" s="4"/>
      <c r="C8288" s="4"/>
      <c r="D8288" s="13"/>
      <c r="E8288" s="4"/>
      <c r="F8288" s="4"/>
      <c r="G8288" s="4"/>
    </row>
    <row r="8289">
      <c r="A8289" s="4"/>
      <c r="B8289" s="4"/>
      <c r="C8289" s="4"/>
      <c r="D8289" s="13"/>
      <c r="E8289" s="4"/>
      <c r="F8289" s="4"/>
      <c r="G8289" s="4"/>
    </row>
    <row r="8290">
      <c r="A8290" s="4"/>
      <c r="B8290" s="4"/>
      <c r="C8290" s="4"/>
      <c r="D8290" s="4"/>
      <c r="E8290" s="4"/>
      <c r="F8290" s="4"/>
      <c r="G8290" s="4"/>
    </row>
    <row r="8291">
      <c r="A8291" s="4"/>
      <c r="B8291" s="4"/>
      <c r="C8291" s="4"/>
      <c r="D8291" s="4"/>
      <c r="E8291" s="4"/>
      <c r="F8291" s="4"/>
      <c r="G8291" s="4"/>
    </row>
    <row r="8292">
      <c r="A8292" s="4"/>
      <c r="B8292" s="4"/>
      <c r="C8292" s="4"/>
      <c r="D8292" s="13"/>
      <c r="E8292" s="13"/>
      <c r="F8292" s="4"/>
      <c r="G8292" s="4"/>
    </row>
    <row r="8293">
      <c r="A8293" s="4"/>
      <c r="B8293" s="4"/>
      <c r="C8293" s="4"/>
      <c r="D8293" s="4"/>
      <c r="E8293" s="4"/>
      <c r="F8293" s="4"/>
      <c r="G8293" s="4"/>
    </row>
    <row r="8294">
      <c r="A8294" s="4"/>
      <c r="B8294" s="4"/>
      <c r="C8294" s="4"/>
      <c r="D8294" s="4"/>
      <c r="E8294" s="4"/>
      <c r="F8294" s="4"/>
      <c r="G8294" s="4"/>
    </row>
    <row r="8295">
      <c r="A8295" s="4"/>
      <c r="B8295" s="4"/>
      <c r="C8295" s="4"/>
      <c r="D8295" s="4"/>
      <c r="E8295" s="4"/>
      <c r="F8295" s="4"/>
      <c r="G8295" s="4"/>
    </row>
    <row r="8296">
      <c r="A8296" s="4"/>
      <c r="B8296" s="4"/>
      <c r="C8296" s="4"/>
      <c r="D8296" s="4"/>
      <c r="E8296" s="4"/>
      <c r="F8296" s="4"/>
      <c r="G8296" s="4"/>
    </row>
    <row r="8297">
      <c r="A8297" s="4"/>
      <c r="B8297" s="4"/>
      <c r="C8297" s="4"/>
      <c r="D8297" s="4"/>
      <c r="E8297" s="4"/>
      <c r="F8297" s="4"/>
      <c r="G8297" s="4"/>
    </row>
    <row r="8298">
      <c r="A8298" s="4"/>
      <c r="B8298" s="4"/>
      <c r="C8298" s="4"/>
      <c r="D8298" s="4"/>
      <c r="E8298" s="4"/>
      <c r="F8298" s="4"/>
      <c r="G8298" s="4"/>
    </row>
    <row r="8299">
      <c r="A8299" s="4"/>
      <c r="B8299" s="4"/>
      <c r="C8299" s="4"/>
      <c r="D8299" s="4"/>
      <c r="E8299" s="4"/>
      <c r="F8299" s="4"/>
      <c r="G8299" s="4"/>
    </row>
    <row r="8300">
      <c r="A8300" s="4"/>
      <c r="B8300" s="4"/>
      <c r="C8300" s="4"/>
      <c r="D8300" s="4"/>
      <c r="E8300" s="13"/>
      <c r="F8300" s="4"/>
      <c r="G8300" s="4"/>
    </row>
    <row r="8301">
      <c r="A8301" s="4"/>
      <c r="B8301" s="4"/>
      <c r="C8301" s="4"/>
      <c r="D8301" s="4"/>
      <c r="E8301" s="13"/>
      <c r="F8301" s="4"/>
      <c r="G8301" s="4"/>
    </row>
    <row r="8302">
      <c r="A8302" s="4"/>
      <c r="B8302" s="4"/>
      <c r="C8302" s="4"/>
      <c r="D8302" s="4"/>
      <c r="E8302" s="4"/>
      <c r="F8302" s="4"/>
      <c r="G8302" s="4"/>
    </row>
    <row r="8303">
      <c r="A8303" s="4"/>
      <c r="B8303" s="4"/>
      <c r="C8303" s="4"/>
      <c r="D8303" s="4"/>
      <c r="E8303" s="4"/>
      <c r="F8303" s="4"/>
      <c r="G8303" s="4"/>
    </row>
    <row r="8304">
      <c r="A8304" s="4"/>
      <c r="B8304" s="4"/>
      <c r="C8304" s="4"/>
      <c r="D8304" s="13"/>
      <c r="E8304" s="13"/>
      <c r="F8304" s="4"/>
      <c r="G8304" s="4"/>
    </row>
    <row r="8305">
      <c r="A8305" s="4"/>
      <c r="B8305" s="4"/>
      <c r="C8305" s="4"/>
      <c r="D8305" s="13"/>
      <c r="E8305" s="13"/>
      <c r="F8305" s="4"/>
      <c r="G8305" s="4"/>
    </row>
    <row r="8306">
      <c r="A8306" s="4"/>
      <c r="B8306" s="4"/>
      <c r="C8306" s="4"/>
      <c r="D8306" s="13"/>
      <c r="E8306" s="13"/>
      <c r="F8306" s="4"/>
      <c r="G8306" s="4"/>
    </row>
    <row r="8307">
      <c r="A8307" s="4"/>
      <c r="B8307" s="4"/>
      <c r="C8307" s="4"/>
      <c r="D8307" s="4"/>
      <c r="E8307" s="4"/>
      <c r="F8307" s="4"/>
      <c r="G8307" s="4"/>
    </row>
    <row r="8308">
      <c r="A8308" s="4"/>
      <c r="B8308" s="4"/>
      <c r="C8308" s="4"/>
      <c r="D8308" s="4"/>
      <c r="E8308" s="4"/>
      <c r="F8308" s="4"/>
      <c r="G8308" s="4"/>
    </row>
    <row r="8309">
      <c r="A8309" s="4"/>
      <c r="B8309" s="4"/>
      <c r="C8309" s="4"/>
      <c r="D8309" s="4"/>
      <c r="E8309" s="4"/>
      <c r="F8309" s="4"/>
      <c r="G8309" s="4"/>
    </row>
    <row r="8310">
      <c r="A8310" s="4"/>
      <c r="B8310" s="4"/>
      <c r="C8310" s="4"/>
      <c r="D8310" s="4"/>
      <c r="E8310" s="4"/>
      <c r="F8310" s="4"/>
      <c r="G8310" s="4"/>
    </row>
    <row r="8311">
      <c r="A8311" s="4"/>
      <c r="B8311" s="4"/>
      <c r="C8311" s="4"/>
      <c r="D8311" s="4"/>
      <c r="E8311" s="4"/>
      <c r="F8311" s="4"/>
      <c r="G8311" s="4"/>
    </row>
    <row r="8312">
      <c r="A8312" s="4"/>
      <c r="B8312" s="4"/>
      <c r="C8312" s="4"/>
      <c r="D8312" s="4"/>
      <c r="E8312" s="4"/>
      <c r="F8312" s="4"/>
      <c r="G8312" s="4"/>
    </row>
    <row r="8313">
      <c r="A8313" s="4"/>
      <c r="B8313" s="4"/>
      <c r="C8313" s="4"/>
      <c r="D8313" s="4"/>
      <c r="E8313" s="13"/>
      <c r="F8313" s="4"/>
      <c r="G8313" s="4"/>
    </row>
    <row r="8314">
      <c r="A8314" s="4"/>
      <c r="B8314" s="4"/>
      <c r="C8314" s="4"/>
      <c r="D8314" s="4"/>
      <c r="E8314" s="4"/>
      <c r="F8314" s="4"/>
      <c r="G8314" s="4"/>
    </row>
    <row r="8315">
      <c r="A8315" s="4"/>
      <c r="B8315" s="4"/>
      <c r="C8315" s="4"/>
      <c r="D8315" s="4"/>
      <c r="E8315" s="13"/>
      <c r="F8315" s="4"/>
      <c r="G8315" s="4"/>
    </row>
    <row r="8316">
      <c r="A8316" s="4"/>
      <c r="B8316" s="4"/>
      <c r="C8316" s="4"/>
      <c r="D8316" s="4"/>
      <c r="E8316" s="4"/>
      <c r="F8316" s="4"/>
      <c r="G8316" s="4"/>
    </row>
    <row r="8317">
      <c r="A8317" s="4"/>
      <c r="B8317" s="4"/>
      <c r="C8317" s="4"/>
      <c r="D8317" s="4"/>
      <c r="E8317" s="4"/>
      <c r="F8317" s="4"/>
      <c r="G8317" s="4"/>
    </row>
    <row r="8318">
      <c r="A8318" s="4"/>
      <c r="B8318" s="4"/>
      <c r="C8318" s="4"/>
      <c r="D8318" s="4"/>
      <c r="E8318" s="4"/>
      <c r="F8318" s="4"/>
      <c r="G8318" s="4"/>
    </row>
    <row r="8319">
      <c r="A8319" s="4"/>
      <c r="B8319" s="4"/>
      <c r="C8319" s="4"/>
      <c r="D8319" s="4"/>
      <c r="E8319" s="4"/>
      <c r="F8319" s="4"/>
      <c r="G8319" s="4"/>
    </row>
    <row r="8320">
      <c r="A8320" s="4"/>
      <c r="B8320" s="4"/>
      <c r="C8320" s="4"/>
      <c r="D8320" s="4"/>
      <c r="E8320" s="4"/>
      <c r="F8320" s="4"/>
      <c r="G8320" s="4"/>
    </row>
    <row r="8321">
      <c r="A8321" s="4"/>
      <c r="B8321" s="4"/>
      <c r="C8321" s="4"/>
      <c r="D8321" s="4"/>
      <c r="E8321" s="4"/>
      <c r="F8321" s="4"/>
      <c r="G8321" s="4"/>
    </row>
    <row r="8322">
      <c r="A8322" s="4"/>
      <c r="B8322" s="4"/>
      <c r="C8322" s="4"/>
      <c r="D8322" s="4"/>
      <c r="E8322" s="4"/>
      <c r="F8322" s="4"/>
      <c r="G8322" s="4"/>
    </row>
    <row r="8323">
      <c r="A8323" s="4"/>
      <c r="B8323" s="4"/>
      <c r="C8323" s="4"/>
      <c r="D8323" s="4"/>
      <c r="E8323" s="4"/>
      <c r="F8323" s="4"/>
      <c r="G8323" s="4"/>
    </row>
    <row r="8324">
      <c r="A8324" s="4"/>
      <c r="B8324" s="4"/>
      <c r="C8324" s="4"/>
      <c r="D8324" s="4"/>
      <c r="E8324" s="4"/>
      <c r="F8324" s="4"/>
      <c r="G8324" s="4"/>
    </row>
    <row r="8325">
      <c r="A8325" s="4"/>
      <c r="B8325" s="4"/>
      <c r="C8325" s="4"/>
      <c r="D8325" s="4"/>
      <c r="E8325" s="13"/>
      <c r="F8325" s="4"/>
      <c r="G8325" s="4"/>
    </row>
    <row r="8326">
      <c r="A8326" s="4"/>
      <c r="B8326" s="4"/>
      <c r="C8326" s="4"/>
      <c r="D8326" s="4"/>
      <c r="E8326" s="13"/>
      <c r="F8326" s="4"/>
      <c r="G8326" s="4"/>
    </row>
    <row r="8327">
      <c r="A8327" s="4"/>
      <c r="B8327" s="4"/>
      <c r="C8327" s="4"/>
      <c r="D8327" s="4"/>
      <c r="E8327" s="4"/>
      <c r="F8327" s="4"/>
      <c r="G8327" s="4"/>
    </row>
    <row r="8328">
      <c r="A8328" s="4"/>
      <c r="B8328" s="4"/>
      <c r="C8328" s="4"/>
      <c r="D8328" s="4"/>
      <c r="E8328" s="4"/>
      <c r="F8328" s="4"/>
      <c r="G8328" s="4"/>
    </row>
    <row r="8329">
      <c r="A8329" s="4"/>
      <c r="B8329" s="4"/>
      <c r="C8329" s="4"/>
      <c r="D8329" s="4"/>
      <c r="E8329" s="4"/>
      <c r="F8329" s="4"/>
      <c r="G8329" s="4"/>
    </row>
    <row r="8330">
      <c r="A8330" s="4"/>
      <c r="B8330" s="4"/>
      <c r="C8330" s="4"/>
      <c r="D8330" s="13"/>
      <c r="E8330" s="4"/>
      <c r="F8330" s="4"/>
      <c r="G8330" s="4"/>
    </row>
    <row r="8331">
      <c r="A8331" s="4"/>
      <c r="B8331" s="4"/>
      <c r="C8331" s="4"/>
      <c r="D8331" s="13"/>
      <c r="E8331" s="13"/>
      <c r="F8331" s="4"/>
      <c r="G8331" s="4"/>
    </row>
    <row r="8332">
      <c r="A8332" s="4"/>
      <c r="B8332" s="4"/>
      <c r="C8332" s="4"/>
      <c r="D8332" s="4"/>
      <c r="E8332" s="4"/>
      <c r="F8332" s="4"/>
      <c r="G8332" s="4"/>
    </row>
    <row r="8333">
      <c r="A8333" s="4"/>
      <c r="B8333" s="4"/>
      <c r="C8333" s="4"/>
      <c r="D8333" s="4"/>
      <c r="E8333" s="13"/>
      <c r="F8333" s="4"/>
      <c r="G8333" s="4"/>
    </row>
    <row r="8334">
      <c r="A8334" s="4"/>
      <c r="B8334" s="4"/>
      <c r="C8334" s="4"/>
      <c r="D8334" s="4"/>
      <c r="E8334" s="4"/>
      <c r="F8334" s="4"/>
      <c r="G8334" s="4"/>
    </row>
    <row r="8335">
      <c r="A8335" s="4"/>
      <c r="B8335" s="4"/>
      <c r="C8335" s="4"/>
      <c r="D8335" s="4"/>
      <c r="E8335" s="13"/>
      <c r="F8335" s="4"/>
      <c r="G8335" s="4"/>
    </row>
    <row r="8336">
      <c r="A8336" s="4"/>
      <c r="B8336" s="4"/>
      <c r="C8336" s="4"/>
      <c r="D8336" s="4"/>
      <c r="E8336" s="4"/>
      <c r="F8336" s="4"/>
      <c r="G8336" s="4"/>
    </row>
    <row r="8337">
      <c r="A8337" s="4"/>
      <c r="B8337" s="4"/>
      <c r="C8337" s="4"/>
      <c r="D8337" s="4"/>
      <c r="E8337" s="4"/>
      <c r="F8337" s="4"/>
      <c r="G8337" s="4"/>
    </row>
    <row r="8338">
      <c r="A8338" s="4"/>
      <c r="B8338" s="4"/>
      <c r="C8338" s="4"/>
      <c r="D8338" s="4"/>
      <c r="E8338" s="13"/>
      <c r="F8338" s="4"/>
      <c r="G8338" s="4"/>
    </row>
    <row r="8339">
      <c r="A8339" s="4"/>
      <c r="B8339" s="4"/>
      <c r="C8339" s="4"/>
      <c r="D8339" s="4"/>
      <c r="E8339" s="4"/>
      <c r="F8339" s="4"/>
      <c r="G8339" s="4"/>
    </row>
    <row r="8340">
      <c r="A8340" s="4"/>
      <c r="B8340" s="4"/>
      <c r="C8340" s="4"/>
      <c r="D8340" s="4"/>
      <c r="E8340" s="13"/>
      <c r="F8340" s="4"/>
      <c r="G8340" s="4"/>
    </row>
    <row r="8341">
      <c r="A8341" s="4"/>
      <c r="B8341" s="4"/>
      <c r="C8341" s="4"/>
      <c r="D8341" s="4"/>
      <c r="E8341" s="4"/>
      <c r="F8341" s="4"/>
      <c r="G8341" s="4"/>
    </row>
    <row r="8342">
      <c r="A8342" s="4"/>
      <c r="B8342" s="4"/>
      <c r="C8342" s="4"/>
      <c r="D8342" s="4"/>
      <c r="E8342" s="13"/>
      <c r="F8342" s="4"/>
      <c r="G8342" s="4"/>
    </row>
    <row r="8343">
      <c r="A8343" s="4"/>
      <c r="B8343" s="4"/>
      <c r="C8343" s="4"/>
      <c r="D8343" s="4"/>
      <c r="E8343" s="13"/>
      <c r="F8343" s="4"/>
      <c r="G8343" s="4"/>
    </row>
    <row r="8344">
      <c r="A8344" s="4"/>
      <c r="B8344" s="4"/>
      <c r="C8344" s="4"/>
      <c r="D8344" s="4"/>
      <c r="E8344" s="4"/>
      <c r="F8344" s="4"/>
      <c r="G8344" s="4"/>
    </row>
    <row r="8345">
      <c r="A8345" s="4"/>
      <c r="B8345" s="4"/>
      <c r="C8345" s="4"/>
      <c r="D8345" s="4"/>
      <c r="E8345" s="13"/>
      <c r="F8345" s="4"/>
      <c r="G8345" s="4"/>
    </row>
    <row r="8346">
      <c r="A8346" s="4"/>
      <c r="B8346" s="4"/>
      <c r="C8346" s="4"/>
      <c r="D8346" s="4"/>
      <c r="E8346" s="4"/>
      <c r="F8346" s="4"/>
      <c r="G8346" s="4"/>
    </row>
    <row r="8347">
      <c r="A8347" s="4"/>
      <c r="B8347" s="4"/>
      <c r="C8347" s="4"/>
      <c r="D8347" s="4"/>
      <c r="E8347" s="4"/>
      <c r="F8347" s="4"/>
      <c r="G8347" s="4"/>
    </row>
    <row r="8348">
      <c r="A8348" s="4"/>
      <c r="B8348" s="4"/>
      <c r="C8348" s="4"/>
      <c r="D8348" s="13"/>
      <c r="E8348" s="13"/>
      <c r="F8348" s="4"/>
      <c r="G8348" s="4"/>
    </row>
    <row r="8349">
      <c r="A8349" s="4"/>
      <c r="B8349" s="4"/>
      <c r="C8349" s="4"/>
      <c r="D8349" s="4"/>
      <c r="E8349" s="13"/>
      <c r="F8349" s="4"/>
      <c r="G8349" s="4"/>
    </row>
    <row r="8350">
      <c r="A8350" s="4"/>
      <c r="B8350" s="4"/>
      <c r="C8350" s="4"/>
      <c r="D8350" s="4"/>
      <c r="E8350" s="4"/>
      <c r="F8350" s="4"/>
      <c r="G8350" s="4"/>
    </row>
    <row r="8351">
      <c r="A8351" s="4"/>
      <c r="B8351" s="4"/>
      <c r="C8351" s="4"/>
      <c r="D8351" s="4"/>
      <c r="E8351" s="13"/>
      <c r="F8351" s="4"/>
      <c r="G8351" s="4"/>
    </row>
    <row r="8352">
      <c r="A8352" s="4"/>
      <c r="B8352" s="4"/>
      <c r="C8352" s="4"/>
      <c r="D8352" s="13"/>
      <c r="E8352" s="13"/>
      <c r="F8352" s="4"/>
      <c r="G8352" s="4"/>
    </row>
    <row r="8353">
      <c r="A8353" s="4"/>
      <c r="B8353" s="4"/>
      <c r="C8353" s="4"/>
      <c r="D8353" s="13"/>
      <c r="E8353" s="13"/>
      <c r="F8353" s="4"/>
      <c r="G8353" s="4"/>
    </row>
    <row r="8354">
      <c r="A8354" s="4"/>
      <c r="B8354" s="4"/>
      <c r="C8354" s="4"/>
      <c r="D8354" s="4"/>
      <c r="E8354" s="4"/>
      <c r="F8354" s="4"/>
      <c r="G8354" s="4"/>
    </row>
    <row r="8355">
      <c r="A8355" s="4"/>
      <c r="B8355" s="4"/>
      <c r="C8355" s="4"/>
      <c r="D8355" s="13"/>
      <c r="E8355" s="13"/>
      <c r="F8355" s="4"/>
      <c r="G8355" s="4"/>
    </row>
    <row r="8356">
      <c r="A8356" s="4"/>
      <c r="B8356" s="4"/>
      <c r="C8356" s="4"/>
      <c r="D8356" s="4"/>
      <c r="E8356" s="4"/>
      <c r="F8356" s="4"/>
      <c r="G8356" s="4"/>
    </row>
    <row r="8357">
      <c r="A8357" s="4"/>
      <c r="B8357" s="4"/>
      <c r="C8357" s="4"/>
      <c r="D8357" s="13"/>
      <c r="E8357" s="13"/>
      <c r="F8357" s="4"/>
      <c r="G8357" s="4"/>
    </row>
    <row r="8358">
      <c r="A8358" s="4"/>
      <c r="B8358" s="4"/>
      <c r="C8358" s="4"/>
      <c r="D8358" s="4"/>
      <c r="E8358" s="13"/>
      <c r="F8358" s="4"/>
      <c r="G8358" s="4"/>
    </row>
    <row r="8359">
      <c r="A8359" s="4"/>
      <c r="B8359" s="4"/>
      <c r="C8359" s="4"/>
      <c r="D8359" s="4"/>
      <c r="E8359" s="4"/>
      <c r="F8359" s="4"/>
      <c r="G8359" s="4"/>
    </row>
    <row r="8360">
      <c r="A8360" s="4"/>
      <c r="B8360" s="4"/>
      <c r="C8360" s="4"/>
      <c r="D8360" s="4"/>
      <c r="E8360" s="4"/>
      <c r="F8360" s="4"/>
      <c r="G8360" s="4"/>
    </row>
    <row r="8361">
      <c r="A8361" s="4"/>
      <c r="B8361" s="4"/>
      <c r="C8361" s="4"/>
      <c r="D8361" s="4"/>
      <c r="E8361" s="13"/>
      <c r="F8361" s="4"/>
      <c r="G8361" s="4"/>
    </row>
    <row r="8362">
      <c r="A8362" s="4"/>
      <c r="B8362" s="4"/>
      <c r="C8362" s="4"/>
      <c r="D8362" s="4"/>
      <c r="E8362" s="13"/>
      <c r="F8362" s="4"/>
      <c r="G8362" s="4"/>
    </row>
    <row r="8363">
      <c r="A8363" s="4"/>
      <c r="B8363" s="4"/>
      <c r="C8363" s="4"/>
      <c r="D8363" s="4"/>
      <c r="E8363" s="4"/>
      <c r="F8363" s="4"/>
      <c r="G8363" s="4"/>
    </row>
    <row r="8364">
      <c r="A8364" s="4"/>
      <c r="B8364" s="4"/>
      <c r="C8364" s="4"/>
      <c r="D8364" s="4"/>
      <c r="E8364" s="4"/>
      <c r="F8364" s="4"/>
      <c r="G8364" s="4"/>
    </row>
    <row r="8365">
      <c r="A8365" s="4"/>
      <c r="B8365" s="4"/>
      <c r="C8365" s="4"/>
      <c r="D8365" s="4"/>
      <c r="E8365" s="13"/>
      <c r="F8365" s="4"/>
      <c r="G8365" s="4"/>
    </row>
    <row r="8366">
      <c r="A8366" s="4"/>
      <c r="B8366" s="4"/>
      <c r="C8366" s="4"/>
      <c r="D8366" s="4"/>
      <c r="E8366" s="4"/>
      <c r="F8366" s="4"/>
      <c r="G8366" s="4"/>
    </row>
    <row r="8367">
      <c r="A8367" s="4"/>
      <c r="B8367" s="4"/>
      <c r="C8367" s="4"/>
      <c r="D8367" s="4"/>
      <c r="E8367" s="4"/>
      <c r="F8367" s="4"/>
      <c r="G8367" s="4"/>
    </row>
    <row r="8368">
      <c r="A8368" s="4"/>
      <c r="B8368" s="4"/>
      <c r="C8368" s="4"/>
      <c r="D8368" s="4"/>
      <c r="E8368" s="13"/>
      <c r="F8368" s="4"/>
      <c r="G8368" s="4"/>
    </row>
    <row r="8369">
      <c r="A8369" s="4"/>
      <c r="B8369" s="4"/>
      <c r="C8369" s="4"/>
      <c r="D8369" s="4"/>
      <c r="E8369" s="13"/>
      <c r="F8369" s="4"/>
      <c r="G8369" s="4"/>
    </row>
    <row r="8370">
      <c r="A8370" s="4"/>
      <c r="B8370" s="4"/>
      <c r="C8370" s="4"/>
      <c r="D8370" s="4"/>
      <c r="E8370" s="4"/>
      <c r="F8370" s="4"/>
      <c r="G8370" s="4"/>
    </row>
    <row r="8371">
      <c r="A8371" s="4"/>
      <c r="B8371" s="4"/>
      <c r="C8371" s="4"/>
      <c r="D8371" s="4"/>
      <c r="E8371" s="4"/>
      <c r="F8371" s="4"/>
      <c r="G8371" s="4"/>
    </row>
    <row r="8372">
      <c r="A8372" s="4"/>
      <c r="B8372" s="4"/>
      <c r="C8372" s="4"/>
      <c r="D8372" s="4"/>
      <c r="E8372" s="13"/>
      <c r="F8372" s="4"/>
      <c r="G8372" s="4"/>
    </row>
    <row r="8373">
      <c r="A8373" s="4"/>
      <c r="B8373" s="4"/>
      <c r="C8373" s="4"/>
      <c r="D8373" s="4"/>
      <c r="E8373" s="13"/>
      <c r="F8373" s="4"/>
      <c r="G8373" s="4"/>
    </row>
    <row r="8374">
      <c r="A8374" s="4"/>
      <c r="B8374" s="4"/>
      <c r="C8374" s="4"/>
      <c r="D8374" s="4"/>
      <c r="E8374" s="4"/>
      <c r="F8374" s="4"/>
      <c r="G8374" s="4"/>
    </row>
    <row r="8375">
      <c r="A8375" s="4"/>
      <c r="B8375" s="4"/>
      <c r="C8375" s="4"/>
      <c r="D8375" s="4"/>
      <c r="E8375" s="13"/>
      <c r="F8375" s="4"/>
      <c r="G8375" s="4"/>
    </row>
    <row r="8376">
      <c r="A8376" s="4"/>
      <c r="B8376" s="4"/>
      <c r="C8376" s="4"/>
      <c r="D8376" s="4"/>
      <c r="E8376" s="4"/>
      <c r="F8376" s="4"/>
      <c r="G8376" s="4"/>
    </row>
    <row r="8377">
      <c r="A8377" s="4"/>
      <c r="B8377" s="4"/>
      <c r="C8377" s="4"/>
      <c r="D8377" s="4"/>
      <c r="E8377" s="4"/>
      <c r="F8377" s="4"/>
      <c r="G8377" s="4"/>
    </row>
    <row r="8378">
      <c r="A8378" s="4"/>
      <c r="B8378" s="4"/>
      <c r="C8378" s="4"/>
      <c r="D8378" s="13"/>
      <c r="E8378" s="13"/>
      <c r="F8378" s="4"/>
      <c r="G8378" s="4"/>
    </row>
    <row r="8379">
      <c r="A8379" s="4"/>
      <c r="B8379" s="4"/>
      <c r="C8379" s="4"/>
      <c r="D8379" s="13"/>
      <c r="E8379" s="13"/>
      <c r="F8379" s="4"/>
      <c r="G8379" s="4"/>
    </row>
    <row r="8380">
      <c r="A8380" s="4"/>
      <c r="B8380" s="4"/>
      <c r="C8380" s="4"/>
      <c r="D8380" s="4"/>
      <c r="E8380" s="13"/>
      <c r="F8380" s="4"/>
      <c r="G8380" s="4"/>
    </row>
    <row r="8381">
      <c r="A8381" s="4"/>
      <c r="B8381" s="4"/>
      <c r="C8381" s="4"/>
      <c r="D8381" s="4"/>
      <c r="E8381" s="13"/>
      <c r="F8381" s="4"/>
      <c r="G8381" s="4"/>
    </row>
    <row r="8382">
      <c r="A8382" s="4"/>
      <c r="B8382" s="4"/>
      <c r="C8382" s="4"/>
      <c r="D8382" s="4"/>
      <c r="E8382" s="4"/>
      <c r="F8382" s="4"/>
      <c r="G8382" s="4"/>
    </row>
    <row r="8383">
      <c r="A8383" s="4"/>
      <c r="B8383" s="4"/>
      <c r="C8383" s="4"/>
      <c r="D8383" s="4"/>
      <c r="E8383" s="13"/>
      <c r="F8383" s="4"/>
      <c r="G8383" s="4"/>
    </row>
    <row r="8384">
      <c r="A8384" s="4"/>
      <c r="B8384" s="4"/>
      <c r="C8384" s="4"/>
      <c r="D8384" s="4"/>
      <c r="E8384" s="13"/>
      <c r="F8384" s="4"/>
      <c r="G8384" s="4"/>
    </row>
    <row r="8385">
      <c r="A8385" s="4"/>
      <c r="B8385" s="4"/>
      <c r="C8385" s="4"/>
      <c r="D8385" s="4"/>
      <c r="E8385" s="4"/>
      <c r="F8385" s="4"/>
      <c r="G8385" s="4"/>
    </row>
    <row r="8386">
      <c r="A8386" s="4"/>
      <c r="B8386" s="4"/>
      <c r="C8386" s="4"/>
      <c r="D8386" s="13"/>
      <c r="E8386" s="13"/>
      <c r="F8386" s="4"/>
      <c r="G8386" s="4"/>
    </row>
    <row r="8387">
      <c r="A8387" s="4"/>
      <c r="B8387" s="4"/>
      <c r="C8387" s="4"/>
      <c r="D8387" s="13"/>
      <c r="E8387" s="13"/>
      <c r="F8387" s="4"/>
      <c r="G8387" s="4"/>
    </row>
    <row r="8388">
      <c r="A8388" s="4"/>
      <c r="B8388" s="4"/>
      <c r="C8388" s="4"/>
      <c r="D8388" s="4"/>
      <c r="E8388" s="4"/>
      <c r="F8388" s="4"/>
      <c r="G8388" s="4"/>
    </row>
    <row r="8389">
      <c r="A8389" s="4"/>
      <c r="B8389" s="4"/>
      <c r="C8389" s="4"/>
      <c r="D8389" s="4"/>
      <c r="E8389" s="4"/>
      <c r="F8389" s="4"/>
      <c r="G8389" s="4"/>
    </row>
    <row r="8390">
      <c r="A8390" s="4"/>
      <c r="B8390" s="4"/>
      <c r="C8390" s="4"/>
      <c r="D8390" s="13"/>
      <c r="E8390" s="13"/>
      <c r="F8390" s="4"/>
      <c r="G8390" s="4"/>
    </row>
    <row r="8391">
      <c r="A8391" s="4"/>
      <c r="B8391" s="4"/>
      <c r="C8391" s="4"/>
      <c r="D8391" s="13"/>
      <c r="E8391" s="13"/>
      <c r="F8391" s="4"/>
      <c r="G8391" s="4"/>
    </row>
    <row r="8392">
      <c r="A8392" s="4"/>
      <c r="B8392" s="4"/>
      <c r="C8392" s="4"/>
      <c r="D8392" s="4"/>
      <c r="E8392" s="4"/>
      <c r="F8392" s="4"/>
      <c r="G8392" s="4"/>
    </row>
    <row r="8393">
      <c r="A8393" s="4"/>
      <c r="B8393" s="4"/>
      <c r="C8393" s="4"/>
      <c r="D8393" s="4"/>
      <c r="E8393" s="4"/>
      <c r="F8393" s="4"/>
      <c r="G8393" s="4"/>
    </row>
    <row r="8394">
      <c r="A8394" s="4"/>
      <c r="B8394" s="4"/>
      <c r="C8394" s="4"/>
      <c r="D8394" s="4"/>
      <c r="E8394" s="13"/>
      <c r="F8394" s="4"/>
      <c r="G8394" s="4"/>
    </row>
    <row r="8395">
      <c r="A8395" s="4"/>
      <c r="B8395" s="4"/>
      <c r="C8395" s="4"/>
      <c r="D8395" s="4"/>
      <c r="E8395" s="4"/>
      <c r="F8395" s="4"/>
      <c r="G8395" s="4"/>
    </row>
    <row r="8396">
      <c r="A8396" s="4"/>
      <c r="B8396" s="4"/>
      <c r="C8396" s="4"/>
      <c r="D8396" s="4"/>
      <c r="E8396" s="4"/>
      <c r="F8396" s="4"/>
      <c r="G8396" s="4"/>
    </row>
    <row r="8397">
      <c r="A8397" s="4"/>
      <c r="B8397" s="4"/>
      <c r="C8397" s="4"/>
      <c r="D8397" s="13"/>
      <c r="E8397" s="13"/>
      <c r="F8397" s="4"/>
      <c r="G8397" s="4"/>
    </row>
    <row r="8398">
      <c r="A8398" s="4"/>
      <c r="B8398" s="4"/>
      <c r="C8398" s="4"/>
      <c r="D8398" s="4"/>
      <c r="E8398" s="13"/>
      <c r="F8398" s="4"/>
      <c r="G8398" s="4"/>
    </row>
    <row r="8399">
      <c r="A8399" s="4"/>
      <c r="B8399" s="4"/>
      <c r="C8399" s="4"/>
      <c r="D8399" s="4"/>
      <c r="E8399" s="4"/>
      <c r="F8399" s="4"/>
      <c r="G8399" s="4"/>
    </row>
    <row r="8400">
      <c r="A8400" s="4"/>
      <c r="B8400" s="4"/>
      <c r="C8400" s="4"/>
      <c r="D8400" s="4"/>
      <c r="E8400" s="13"/>
      <c r="F8400" s="4"/>
      <c r="G8400" s="4"/>
    </row>
    <row r="8401">
      <c r="A8401" s="4"/>
      <c r="B8401" s="4"/>
      <c r="C8401" s="4"/>
      <c r="D8401" s="4"/>
      <c r="E8401" s="4"/>
      <c r="F8401" s="4"/>
      <c r="G8401" s="4"/>
    </row>
    <row r="8402">
      <c r="A8402" s="4"/>
      <c r="B8402" s="4"/>
      <c r="C8402" s="4"/>
      <c r="D8402" s="4"/>
      <c r="E8402" s="4"/>
      <c r="F8402" s="4"/>
      <c r="G8402" s="4"/>
    </row>
    <row r="8403">
      <c r="A8403" s="4"/>
      <c r="B8403" s="4"/>
      <c r="C8403" s="4"/>
      <c r="D8403" s="4"/>
      <c r="E8403" s="13"/>
      <c r="F8403" s="4"/>
      <c r="G8403" s="4"/>
    </row>
    <row r="8404">
      <c r="A8404" s="4"/>
      <c r="B8404" s="4"/>
      <c r="C8404" s="4"/>
      <c r="D8404" s="13"/>
      <c r="E8404" s="13"/>
      <c r="F8404" s="4"/>
      <c r="G8404" s="4"/>
    </row>
    <row r="8405">
      <c r="A8405" s="4"/>
      <c r="B8405" s="4"/>
      <c r="C8405" s="4"/>
      <c r="D8405" s="4"/>
      <c r="E8405" s="4"/>
      <c r="F8405" s="4"/>
      <c r="G8405" s="4"/>
    </row>
    <row r="8406">
      <c r="A8406" s="4"/>
      <c r="B8406" s="4"/>
      <c r="C8406" s="4"/>
      <c r="D8406" s="4"/>
      <c r="E8406" s="13"/>
      <c r="F8406" s="4"/>
      <c r="G8406" s="4"/>
    </row>
    <row r="8407">
      <c r="A8407" s="4"/>
      <c r="B8407" s="4"/>
      <c r="C8407" s="4"/>
      <c r="D8407" s="4"/>
      <c r="E8407" s="13"/>
      <c r="F8407" s="4"/>
      <c r="G8407" s="4"/>
    </row>
    <row r="8408">
      <c r="A8408" s="4"/>
      <c r="B8408" s="4"/>
      <c r="C8408" s="4"/>
      <c r="D8408" s="4"/>
      <c r="E8408" s="4"/>
      <c r="F8408" s="4"/>
      <c r="G8408" s="4"/>
    </row>
    <row r="8409">
      <c r="A8409" s="4"/>
      <c r="B8409" s="4"/>
      <c r="C8409" s="4"/>
      <c r="D8409" s="4"/>
      <c r="E8409" s="4"/>
      <c r="F8409" s="4"/>
      <c r="G8409" s="4"/>
    </row>
    <row r="8410">
      <c r="A8410" s="4"/>
      <c r="B8410" s="4"/>
      <c r="C8410" s="4"/>
      <c r="D8410" s="4"/>
      <c r="E8410" s="4"/>
      <c r="F8410" s="4"/>
      <c r="G8410" s="4"/>
    </row>
    <row r="8411">
      <c r="A8411" s="4"/>
      <c r="B8411" s="4"/>
      <c r="C8411" s="4"/>
      <c r="D8411" s="4"/>
      <c r="E8411" s="4"/>
      <c r="F8411" s="4"/>
      <c r="G8411" s="4"/>
    </row>
    <row r="8412">
      <c r="A8412" s="4"/>
      <c r="B8412" s="4"/>
      <c r="C8412" s="4"/>
      <c r="D8412" s="4"/>
      <c r="E8412" s="4"/>
      <c r="F8412" s="4"/>
      <c r="G8412" s="4"/>
    </row>
    <row r="8413">
      <c r="A8413" s="4"/>
      <c r="B8413" s="4"/>
      <c r="C8413" s="4"/>
      <c r="D8413" s="4"/>
      <c r="E8413" s="4"/>
      <c r="F8413" s="4"/>
      <c r="G8413" s="4"/>
    </row>
    <row r="8414">
      <c r="A8414" s="4"/>
      <c r="B8414" s="4"/>
      <c r="C8414" s="4"/>
      <c r="D8414" s="4"/>
      <c r="E8414" s="13"/>
      <c r="F8414" s="4"/>
      <c r="G8414" s="4"/>
    </row>
    <row r="8415">
      <c r="A8415" s="4"/>
      <c r="B8415" s="4"/>
      <c r="C8415" s="4"/>
      <c r="D8415" s="4"/>
      <c r="E8415" s="13"/>
      <c r="F8415" s="4"/>
      <c r="G8415" s="4"/>
    </row>
    <row r="8416">
      <c r="A8416" s="4"/>
      <c r="B8416" s="4"/>
      <c r="C8416" s="4"/>
      <c r="D8416" s="4"/>
      <c r="E8416" s="4"/>
      <c r="F8416" s="4"/>
      <c r="G8416" s="4"/>
    </row>
    <row r="8417">
      <c r="A8417" s="4"/>
      <c r="B8417" s="4"/>
      <c r="C8417" s="4"/>
      <c r="D8417" s="4"/>
      <c r="E8417" s="13"/>
      <c r="F8417" s="4"/>
      <c r="G8417" s="4"/>
    </row>
    <row r="8418">
      <c r="A8418" s="4"/>
      <c r="B8418" s="4"/>
      <c r="C8418" s="4"/>
      <c r="D8418" s="4"/>
      <c r="E8418" s="4"/>
      <c r="F8418" s="4"/>
      <c r="G8418" s="4"/>
    </row>
    <row r="8419">
      <c r="A8419" s="4"/>
      <c r="B8419" s="4"/>
      <c r="C8419" s="4"/>
      <c r="D8419" s="4"/>
      <c r="E8419" s="4"/>
      <c r="F8419" s="4"/>
      <c r="G8419" s="4"/>
    </row>
    <row r="8420">
      <c r="A8420" s="4"/>
      <c r="B8420" s="4"/>
      <c r="C8420" s="4"/>
      <c r="D8420" s="4"/>
      <c r="E8420" s="4"/>
      <c r="F8420" s="4"/>
      <c r="G8420" s="4"/>
    </row>
    <row r="8421">
      <c r="A8421" s="4"/>
      <c r="B8421" s="4"/>
      <c r="C8421" s="4"/>
      <c r="D8421" s="4"/>
      <c r="E8421" s="4"/>
      <c r="F8421" s="4"/>
      <c r="G8421" s="4"/>
    </row>
    <row r="8422">
      <c r="A8422" s="4"/>
      <c r="B8422" s="4"/>
      <c r="C8422" s="4"/>
      <c r="D8422" s="4"/>
      <c r="E8422" s="4"/>
      <c r="F8422" s="4"/>
      <c r="G8422" s="4"/>
    </row>
    <row r="8423">
      <c r="A8423" s="4"/>
      <c r="B8423" s="4"/>
      <c r="C8423" s="4"/>
      <c r="D8423" s="4"/>
      <c r="E8423" s="4"/>
      <c r="F8423" s="4"/>
      <c r="G8423" s="4"/>
    </row>
    <row r="8424">
      <c r="A8424" s="4"/>
      <c r="B8424" s="4"/>
      <c r="C8424" s="4"/>
      <c r="D8424" s="4"/>
      <c r="E8424" s="4"/>
      <c r="F8424" s="4"/>
      <c r="G8424" s="4"/>
    </row>
    <row r="8425">
      <c r="A8425" s="4"/>
      <c r="B8425" s="4"/>
      <c r="C8425" s="4"/>
      <c r="D8425" s="4"/>
      <c r="E8425" s="4"/>
      <c r="F8425" s="4"/>
      <c r="G8425" s="4"/>
    </row>
    <row r="8426">
      <c r="A8426" s="4"/>
      <c r="B8426" s="4"/>
      <c r="C8426" s="4"/>
      <c r="D8426" s="4"/>
      <c r="E8426" s="4"/>
      <c r="F8426" s="4"/>
      <c r="G8426" s="4"/>
    </row>
    <row r="8427">
      <c r="A8427" s="4"/>
      <c r="B8427" s="4"/>
      <c r="C8427" s="4"/>
      <c r="D8427" s="4"/>
      <c r="E8427" s="4"/>
      <c r="F8427" s="4"/>
      <c r="G8427" s="4"/>
    </row>
    <row r="8428">
      <c r="A8428" s="4"/>
      <c r="B8428" s="4"/>
      <c r="C8428" s="4"/>
      <c r="D8428" s="4"/>
      <c r="E8428" s="4"/>
      <c r="F8428" s="4"/>
      <c r="G8428" s="4"/>
    </row>
    <row r="8429">
      <c r="A8429" s="4"/>
      <c r="B8429" s="4"/>
      <c r="C8429" s="4"/>
      <c r="D8429" s="4"/>
      <c r="E8429" s="4"/>
      <c r="F8429" s="4"/>
      <c r="G8429" s="4"/>
    </row>
    <row r="8430">
      <c r="A8430" s="4"/>
      <c r="B8430" s="4"/>
      <c r="C8430" s="4"/>
      <c r="D8430" s="4"/>
      <c r="E8430" s="13"/>
      <c r="F8430" s="4"/>
      <c r="G8430" s="4"/>
    </row>
    <row r="8431">
      <c r="A8431" s="4"/>
      <c r="B8431" s="4"/>
      <c r="C8431" s="4"/>
      <c r="D8431" s="4"/>
      <c r="E8431" s="13"/>
      <c r="F8431" s="4"/>
      <c r="G8431" s="4"/>
    </row>
    <row r="8432">
      <c r="A8432" s="4"/>
      <c r="B8432" s="4"/>
      <c r="C8432" s="4"/>
      <c r="D8432" s="4"/>
      <c r="E8432" s="4"/>
      <c r="F8432" s="4"/>
      <c r="G8432" s="4"/>
    </row>
    <row r="8433">
      <c r="A8433" s="4"/>
      <c r="B8433" s="4"/>
      <c r="C8433" s="4"/>
      <c r="D8433" s="4"/>
      <c r="E8433" s="4"/>
      <c r="F8433" s="4"/>
      <c r="G8433" s="4"/>
    </row>
    <row r="8434">
      <c r="A8434" s="4"/>
      <c r="B8434" s="4"/>
      <c r="C8434" s="4"/>
      <c r="D8434" s="4"/>
      <c r="E8434" s="4"/>
      <c r="F8434" s="4"/>
      <c r="G8434" s="4"/>
    </row>
    <row r="8435">
      <c r="A8435" s="4"/>
      <c r="B8435" s="4"/>
      <c r="C8435" s="4"/>
      <c r="D8435" s="4"/>
      <c r="E8435" s="4"/>
      <c r="F8435" s="4"/>
      <c r="G8435" s="4"/>
    </row>
    <row r="8436">
      <c r="A8436" s="4"/>
      <c r="B8436" s="4"/>
      <c r="C8436" s="4"/>
      <c r="D8436" s="13"/>
      <c r="E8436" s="13"/>
      <c r="F8436" s="4"/>
      <c r="G8436" s="4"/>
    </row>
    <row r="8437">
      <c r="A8437" s="4"/>
      <c r="B8437" s="4"/>
      <c r="C8437" s="4"/>
      <c r="D8437" s="13"/>
      <c r="E8437" s="13"/>
      <c r="F8437" s="4"/>
      <c r="G8437" s="4"/>
    </row>
    <row r="8438">
      <c r="A8438" s="4"/>
      <c r="B8438" s="4"/>
      <c r="C8438" s="4"/>
      <c r="D8438" s="4"/>
      <c r="E8438" s="4"/>
      <c r="F8438" s="4"/>
      <c r="G8438" s="4"/>
    </row>
    <row r="8439">
      <c r="A8439" s="4"/>
      <c r="B8439" s="4"/>
      <c r="C8439" s="4"/>
      <c r="D8439" s="13"/>
      <c r="E8439" s="13"/>
      <c r="F8439" s="4"/>
      <c r="G8439" s="4"/>
    </row>
    <row r="8440">
      <c r="A8440" s="4"/>
      <c r="B8440" s="4"/>
      <c r="C8440" s="4"/>
      <c r="D8440" s="4"/>
      <c r="E8440" s="4"/>
      <c r="F8440" s="4"/>
      <c r="G8440" s="4"/>
    </row>
    <row r="8441">
      <c r="A8441" s="4"/>
      <c r="B8441" s="4"/>
      <c r="C8441" s="4"/>
      <c r="D8441" s="4"/>
      <c r="E8441" s="4"/>
      <c r="F8441" s="4"/>
      <c r="G8441" s="4"/>
    </row>
    <row r="8442">
      <c r="A8442" s="4"/>
      <c r="B8442" s="4"/>
      <c r="C8442" s="4"/>
      <c r="D8442" s="4"/>
      <c r="E8442" s="4"/>
      <c r="F8442" s="4"/>
      <c r="G8442" s="4"/>
    </row>
    <row r="8443">
      <c r="A8443" s="4"/>
      <c r="B8443" s="4"/>
      <c r="C8443" s="4"/>
      <c r="D8443" s="4"/>
      <c r="E8443" s="4"/>
      <c r="F8443" s="4"/>
      <c r="G8443" s="4"/>
    </row>
    <row r="8444">
      <c r="A8444" s="4"/>
      <c r="B8444" s="4"/>
      <c r="C8444" s="4"/>
      <c r="D8444" s="13"/>
      <c r="E8444" s="13"/>
      <c r="F8444" s="4"/>
      <c r="G8444" s="4"/>
    </row>
    <row r="8445">
      <c r="A8445" s="4"/>
      <c r="B8445" s="4"/>
      <c r="C8445" s="4"/>
      <c r="D8445" s="4"/>
      <c r="E8445" s="4"/>
      <c r="F8445" s="4"/>
      <c r="G8445" s="4"/>
    </row>
    <row r="8446">
      <c r="A8446" s="4"/>
      <c r="B8446" s="4"/>
      <c r="C8446" s="4"/>
      <c r="D8446" s="13"/>
      <c r="E8446" s="13"/>
      <c r="F8446" s="4"/>
      <c r="G8446" s="4"/>
    </row>
    <row r="8447">
      <c r="A8447" s="4"/>
      <c r="B8447" s="4"/>
      <c r="C8447" s="4"/>
      <c r="D8447" s="4"/>
      <c r="E8447" s="13"/>
      <c r="F8447" s="4"/>
      <c r="G8447" s="4"/>
    </row>
    <row r="8448">
      <c r="A8448" s="4"/>
      <c r="B8448" s="4"/>
      <c r="C8448" s="4"/>
      <c r="D8448" s="4"/>
      <c r="E8448" s="4"/>
      <c r="F8448" s="4"/>
      <c r="G8448" s="4"/>
    </row>
    <row r="8449">
      <c r="A8449" s="4"/>
      <c r="B8449" s="4"/>
      <c r="C8449" s="4"/>
      <c r="D8449" s="13"/>
      <c r="E8449" s="13"/>
      <c r="F8449" s="4"/>
      <c r="G8449" s="4"/>
    </row>
    <row r="8450">
      <c r="A8450" s="4"/>
      <c r="B8450" s="4"/>
      <c r="C8450" s="4"/>
      <c r="D8450" s="4"/>
      <c r="E8450" s="4"/>
      <c r="F8450" s="4"/>
      <c r="G8450" s="4"/>
    </row>
    <row r="8451">
      <c r="A8451" s="4"/>
      <c r="B8451" s="4"/>
      <c r="C8451" s="4"/>
      <c r="D8451" s="13"/>
      <c r="E8451" s="13"/>
      <c r="F8451" s="4"/>
      <c r="G8451" s="4"/>
    </row>
    <row r="8452">
      <c r="A8452" s="4"/>
      <c r="B8452" s="4"/>
      <c r="C8452" s="4"/>
      <c r="D8452" s="4"/>
      <c r="E8452" s="4"/>
      <c r="F8452" s="4"/>
      <c r="G8452" s="4"/>
    </row>
    <row r="8453">
      <c r="A8453" s="4"/>
      <c r="B8453" s="4"/>
      <c r="C8453" s="4"/>
      <c r="D8453" s="13"/>
      <c r="E8453" s="13"/>
      <c r="F8453" s="4"/>
      <c r="G8453" s="4"/>
    </row>
    <row r="8454">
      <c r="A8454" s="4"/>
      <c r="B8454" s="4"/>
      <c r="C8454" s="4"/>
      <c r="D8454" s="4"/>
      <c r="E8454" s="4"/>
      <c r="F8454" s="4"/>
      <c r="G8454" s="4"/>
    </row>
    <row r="8455">
      <c r="A8455" s="4"/>
      <c r="B8455" s="4"/>
      <c r="C8455" s="4"/>
      <c r="D8455" s="13"/>
      <c r="E8455" s="13"/>
      <c r="F8455" s="4"/>
      <c r="G8455" s="4"/>
    </row>
    <row r="8456">
      <c r="A8456" s="4"/>
      <c r="B8456" s="4"/>
      <c r="C8456" s="4"/>
      <c r="D8456" s="4"/>
      <c r="E8456" s="4"/>
      <c r="F8456" s="4"/>
      <c r="G8456" s="4"/>
    </row>
    <row r="8457">
      <c r="A8457" s="4"/>
      <c r="B8457" s="4"/>
      <c r="C8457" s="4"/>
      <c r="D8457" s="4"/>
      <c r="E8457" s="13"/>
      <c r="F8457" s="4"/>
      <c r="G8457" s="4"/>
    </row>
    <row r="8458">
      <c r="A8458" s="4"/>
      <c r="B8458" s="4"/>
      <c r="C8458" s="4"/>
      <c r="D8458" s="4"/>
      <c r="E8458" s="4"/>
      <c r="F8458" s="4"/>
      <c r="G8458" s="4"/>
    </row>
    <row r="8459">
      <c r="A8459" s="4"/>
      <c r="B8459" s="4"/>
      <c r="C8459" s="4"/>
      <c r="D8459" s="4"/>
      <c r="E8459" s="13"/>
      <c r="F8459" s="4"/>
      <c r="G8459" s="4"/>
    </row>
    <row r="8460">
      <c r="A8460" s="4"/>
      <c r="B8460" s="4"/>
      <c r="C8460" s="4"/>
      <c r="D8460" s="13"/>
      <c r="E8460" s="13"/>
      <c r="F8460" s="4"/>
      <c r="G8460" s="4"/>
    </row>
    <row r="8461">
      <c r="A8461" s="4"/>
      <c r="B8461" s="4"/>
      <c r="C8461" s="4"/>
      <c r="D8461" s="4"/>
      <c r="E8461" s="4"/>
      <c r="F8461" s="4"/>
      <c r="G8461" s="4"/>
    </row>
    <row r="8462">
      <c r="A8462" s="4"/>
      <c r="B8462" s="4"/>
      <c r="C8462" s="4"/>
      <c r="D8462" s="4"/>
      <c r="E8462" s="13"/>
      <c r="F8462" s="4"/>
      <c r="G8462" s="4"/>
    </row>
    <row r="8463">
      <c r="A8463" s="4"/>
      <c r="B8463" s="4"/>
      <c r="C8463" s="4"/>
      <c r="D8463" s="4"/>
      <c r="E8463" s="4"/>
      <c r="F8463" s="4"/>
      <c r="G8463" s="4"/>
    </row>
    <row r="8464">
      <c r="A8464" s="4"/>
      <c r="B8464" s="4"/>
      <c r="C8464" s="4"/>
      <c r="D8464" s="4"/>
      <c r="E8464" s="4"/>
      <c r="F8464" s="4"/>
      <c r="G8464" s="4"/>
    </row>
    <row r="8465">
      <c r="A8465" s="4"/>
      <c r="B8465" s="4"/>
      <c r="C8465" s="4"/>
      <c r="D8465" s="4"/>
      <c r="E8465" s="4"/>
      <c r="F8465" s="4"/>
      <c r="G8465" s="4"/>
    </row>
    <row r="8466">
      <c r="A8466" s="4"/>
      <c r="B8466" s="4"/>
      <c r="C8466" s="4"/>
      <c r="D8466" s="13"/>
      <c r="E8466" s="13"/>
      <c r="F8466" s="4"/>
      <c r="G8466" s="4"/>
    </row>
    <row r="8467">
      <c r="A8467" s="4"/>
      <c r="B8467" s="4"/>
      <c r="C8467" s="4"/>
      <c r="D8467" s="4"/>
      <c r="E8467" s="13"/>
      <c r="F8467" s="4"/>
      <c r="G8467" s="4"/>
    </row>
    <row r="8468">
      <c r="A8468" s="4"/>
      <c r="B8468" s="4"/>
      <c r="C8468" s="4"/>
      <c r="D8468" s="4"/>
      <c r="E8468" s="13"/>
      <c r="F8468" s="4"/>
      <c r="G8468" s="4"/>
    </row>
    <row r="8469">
      <c r="A8469" s="4"/>
      <c r="B8469" s="4"/>
      <c r="C8469" s="4"/>
      <c r="D8469" s="4"/>
      <c r="E8469" s="4"/>
      <c r="F8469" s="4"/>
      <c r="G8469" s="4"/>
    </row>
    <row r="8470">
      <c r="A8470" s="4"/>
      <c r="B8470" s="4"/>
      <c r="C8470" s="4"/>
      <c r="D8470" s="4"/>
      <c r="E8470" s="4"/>
      <c r="F8470" s="4"/>
      <c r="G8470" s="4"/>
    </row>
    <row r="8471">
      <c r="A8471" s="4"/>
      <c r="B8471" s="4"/>
      <c r="C8471" s="4"/>
      <c r="D8471" s="13"/>
      <c r="E8471" s="4"/>
      <c r="F8471" s="4"/>
      <c r="G8471" s="4"/>
    </row>
    <row r="8472">
      <c r="A8472" s="4"/>
      <c r="B8472" s="4"/>
      <c r="C8472" s="4"/>
      <c r="D8472" s="4"/>
      <c r="E8472" s="4"/>
      <c r="F8472" s="4"/>
      <c r="G8472" s="4"/>
    </row>
    <row r="8473">
      <c r="A8473" s="4"/>
      <c r="B8473" s="4"/>
      <c r="C8473" s="4"/>
      <c r="D8473" s="4"/>
      <c r="E8473" s="4"/>
      <c r="F8473" s="4"/>
      <c r="G8473" s="4"/>
    </row>
    <row r="8474">
      <c r="A8474" s="4"/>
      <c r="B8474" s="4"/>
      <c r="C8474" s="4"/>
      <c r="D8474" s="13"/>
      <c r="E8474" s="13"/>
      <c r="F8474" s="4"/>
      <c r="G8474" s="4"/>
    </row>
    <row r="8475">
      <c r="A8475" s="4"/>
      <c r="B8475" s="4"/>
      <c r="C8475" s="4"/>
      <c r="D8475" s="4"/>
      <c r="E8475" s="13"/>
      <c r="F8475" s="4"/>
      <c r="G8475" s="4"/>
    </row>
    <row r="8476">
      <c r="A8476" s="4"/>
      <c r="B8476" s="4"/>
      <c r="C8476" s="4"/>
      <c r="D8476" s="4"/>
      <c r="E8476" s="4"/>
      <c r="F8476" s="4"/>
      <c r="G8476" s="4"/>
    </row>
    <row r="8477">
      <c r="A8477" s="4"/>
      <c r="B8477" s="4"/>
      <c r="C8477" s="4"/>
      <c r="D8477" s="4"/>
      <c r="E8477" s="13"/>
      <c r="F8477" s="4"/>
      <c r="G8477" s="4"/>
    </row>
    <row r="8478">
      <c r="A8478" s="4"/>
      <c r="B8478" s="4"/>
      <c r="C8478" s="4"/>
      <c r="D8478" s="4"/>
      <c r="E8478" s="4"/>
      <c r="F8478" s="4"/>
      <c r="G8478" s="4"/>
    </row>
    <row r="8479">
      <c r="A8479" s="4"/>
      <c r="B8479" s="4"/>
      <c r="C8479" s="4"/>
      <c r="D8479" s="4"/>
      <c r="E8479" s="4"/>
      <c r="F8479" s="4"/>
      <c r="G8479" s="4"/>
    </row>
    <row r="8480">
      <c r="A8480" s="4"/>
      <c r="B8480" s="4"/>
      <c r="C8480" s="4"/>
      <c r="D8480" s="4"/>
      <c r="E8480" s="4"/>
      <c r="F8480" s="4"/>
      <c r="G8480" s="4"/>
    </row>
    <row r="8481">
      <c r="A8481" s="4"/>
      <c r="B8481" s="4"/>
      <c r="C8481" s="4"/>
      <c r="D8481" s="4"/>
      <c r="E8481" s="4"/>
      <c r="F8481" s="4"/>
      <c r="G8481" s="4"/>
    </row>
    <row r="8482">
      <c r="A8482" s="4"/>
      <c r="B8482" s="4"/>
      <c r="C8482" s="4"/>
      <c r="D8482" s="4"/>
      <c r="E8482" s="4"/>
      <c r="F8482" s="4"/>
      <c r="G8482" s="4"/>
    </row>
    <row r="8483">
      <c r="A8483" s="4"/>
      <c r="B8483" s="4"/>
      <c r="C8483" s="4"/>
      <c r="D8483" s="4"/>
      <c r="E8483" s="13"/>
      <c r="F8483" s="4"/>
      <c r="G8483" s="4"/>
    </row>
    <row r="8484">
      <c r="A8484" s="4"/>
      <c r="B8484" s="4"/>
      <c r="C8484" s="4"/>
      <c r="D8484" s="4"/>
      <c r="E8484" s="4"/>
      <c r="F8484" s="4"/>
      <c r="G8484" s="4"/>
    </row>
    <row r="8485">
      <c r="A8485" s="4"/>
      <c r="B8485" s="4"/>
      <c r="C8485" s="4"/>
      <c r="D8485" s="4"/>
      <c r="E8485" s="4"/>
      <c r="F8485" s="4"/>
      <c r="G8485" s="4"/>
    </row>
    <row r="8486">
      <c r="A8486" s="4"/>
      <c r="B8486" s="4"/>
      <c r="C8486" s="4"/>
      <c r="D8486" s="4"/>
      <c r="E8486" s="13"/>
      <c r="F8486" s="4"/>
      <c r="G8486" s="4"/>
    </row>
    <row r="8487">
      <c r="A8487" s="4"/>
      <c r="B8487" s="4"/>
      <c r="C8487" s="4"/>
      <c r="D8487" s="4"/>
      <c r="E8487" s="4"/>
      <c r="F8487" s="4"/>
      <c r="G8487" s="4"/>
    </row>
    <row r="8488">
      <c r="A8488" s="4"/>
      <c r="B8488" s="4"/>
      <c r="C8488" s="4"/>
      <c r="D8488" s="4"/>
      <c r="E8488" s="4"/>
      <c r="F8488" s="4"/>
      <c r="G8488" s="4"/>
    </row>
    <row r="8489">
      <c r="A8489" s="4"/>
      <c r="B8489" s="4"/>
      <c r="C8489" s="4"/>
      <c r="D8489" s="4"/>
      <c r="E8489" s="13"/>
      <c r="F8489" s="4"/>
      <c r="G8489" s="4"/>
    </row>
    <row r="8490">
      <c r="A8490" s="4"/>
      <c r="B8490" s="4"/>
      <c r="C8490" s="4"/>
      <c r="D8490" s="4"/>
      <c r="E8490" s="4"/>
      <c r="F8490" s="4"/>
      <c r="G8490" s="4"/>
    </row>
    <row r="8491">
      <c r="A8491" s="4"/>
      <c r="B8491" s="4"/>
      <c r="C8491" s="4"/>
      <c r="D8491" s="4"/>
      <c r="E8491" s="13"/>
      <c r="F8491" s="4"/>
      <c r="G8491" s="4"/>
    </row>
    <row r="8492">
      <c r="A8492" s="4"/>
      <c r="B8492" s="4"/>
      <c r="C8492" s="4"/>
      <c r="D8492" s="4"/>
      <c r="E8492" s="4"/>
      <c r="F8492" s="4"/>
      <c r="G8492" s="4"/>
    </row>
    <row r="8493">
      <c r="A8493" s="4"/>
      <c r="B8493" s="4"/>
      <c r="C8493" s="4"/>
      <c r="D8493" s="4"/>
      <c r="E8493" s="13"/>
      <c r="F8493" s="4"/>
      <c r="G8493" s="4"/>
    </row>
    <row r="8494">
      <c r="A8494" s="4"/>
      <c r="B8494" s="4"/>
      <c r="C8494" s="4"/>
      <c r="D8494" s="13"/>
      <c r="E8494" s="13"/>
      <c r="F8494" s="4"/>
      <c r="G8494" s="4"/>
    </row>
    <row r="8495">
      <c r="A8495" s="4"/>
      <c r="B8495" s="4"/>
      <c r="C8495" s="4"/>
      <c r="D8495" s="4"/>
      <c r="E8495" s="13"/>
      <c r="F8495" s="4"/>
      <c r="G8495" s="4"/>
    </row>
    <row r="8496">
      <c r="A8496" s="4"/>
      <c r="B8496" s="4"/>
      <c r="C8496" s="4"/>
      <c r="D8496" s="4"/>
      <c r="E8496" s="13"/>
      <c r="F8496" s="4"/>
      <c r="G8496" s="4"/>
    </row>
    <row r="8497">
      <c r="A8497" s="4"/>
      <c r="B8497" s="4"/>
      <c r="C8497" s="4"/>
      <c r="D8497" s="4"/>
      <c r="E8497" s="4"/>
      <c r="F8497" s="4"/>
      <c r="G8497" s="4"/>
    </row>
    <row r="8498">
      <c r="A8498" s="4"/>
      <c r="B8498" s="4"/>
      <c r="C8498" s="4"/>
      <c r="D8498" s="4"/>
      <c r="E8498" s="4"/>
      <c r="F8498" s="4"/>
      <c r="G8498" s="4"/>
    </row>
    <row r="8499">
      <c r="A8499" s="4"/>
      <c r="B8499" s="4"/>
      <c r="C8499" s="4"/>
      <c r="D8499" s="4"/>
      <c r="E8499" s="4"/>
      <c r="F8499" s="4"/>
      <c r="G8499" s="4"/>
    </row>
    <row r="8500">
      <c r="A8500" s="4"/>
      <c r="B8500" s="4"/>
      <c r="C8500" s="4"/>
      <c r="D8500" s="13"/>
      <c r="E8500" s="4"/>
      <c r="F8500" s="4"/>
      <c r="G8500" s="4"/>
    </row>
    <row r="8501">
      <c r="A8501" s="4"/>
      <c r="B8501" s="4"/>
      <c r="C8501" s="4"/>
      <c r="D8501" s="4"/>
      <c r="E8501" s="4"/>
      <c r="F8501" s="4"/>
      <c r="G8501" s="4"/>
    </row>
    <row r="8502">
      <c r="A8502" s="4"/>
      <c r="B8502" s="4"/>
      <c r="C8502" s="4"/>
      <c r="D8502" s="4"/>
      <c r="E8502" s="13"/>
      <c r="F8502" s="4"/>
      <c r="G8502" s="4"/>
    </row>
    <row r="8503">
      <c r="A8503" s="4"/>
      <c r="B8503" s="4"/>
      <c r="C8503" s="4"/>
      <c r="D8503" s="13"/>
      <c r="E8503" s="4"/>
      <c r="F8503" s="4"/>
      <c r="G8503" s="4"/>
    </row>
    <row r="8504">
      <c r="A8504" s="4"/>
      <c r="B8504" s="4"/>
      <c r="C8504" s="4"/>
      <c r="D8504" s="4"/>
      <c r="E8504" s="13"/>
      <c r="F8504" s="4"/>
      <c r="G8504" s="4"/>
    </row>
    <row r="8505">
      <c r="A8505" s="4"/>
      <c r="B8505" s="4"/>
      <c r="C8505" s="4"/>
      <c r="D8505" s="4"/>
      <c r="E8505" s="4"/>
      <c r="F8505" s="4"/>
      <c r="G8505" s="4"/>
    </row>
    <row r="8506">
      <c r="A8506" s="4"/>
      <c r="B8506" s="4"/>
      <c r="C8506" s="4"/>
      <c r="D8506" s="4"/>
      <c r="E8506" s="13"/>
      <c r="F8506" s="4"/>
      <c r="G8506" s="4"/>
    </row>
    <row r="8507">
      <c r="A8507" s="4"/>
      <c r="B8507" s="4"/>
      <c r="C8507" s="4"/>
      <c r="D8507" s="4"/>
      <c r="E8507" s="4"/>
      <c r="F8507" s="4"/>
      <c r="G8507" s="4"/>
    </row>
    <row r="8508">
      <c r="A8508" s="4"/>
      <c r="B8508" s="4"/>
      <c r="C8508" s="4"/>
      <c r="D8508" s="4"/>
      <c r="E8508" s="4"/>
      <c r="F8508" s="4"/>
      <c r="G8508" s="4"/>
    </row>
    <row r="8509">
      <c r="A8509" s="4"/>
      <c r="B8509" s="4"/>
      <c r="C8509" s="4"/>
      <c r="D8509" s="4"/>
      <c r="E8509" s="13"/>
      <c r="F8509" s="4"/>
      <c r="G8509" s="4"/>
    </row>
    <row r="8510">
      <c r="A8510" s="4"/>
      <c r="B8510" s="4"/>
      <c r="C8510" s="4"/>
      <c r="D8510" s="4"/>
      <c r="E8510" s="4"/>
      <c r="F8510" s="4"/>
      <c r="G8510" s="4"/>
    </row>
    <row r="8511">
      <c r="A8511" s="4"/>
      <c r="B8511" s="4"/>
      <c r="C8511" s="4"/>
      <c r="D8511" s="4"/>
      <c r="E8511" s="13"/>
      <c r="F8511" s="4"/>
      <c r="G8511" s="4"/>
    </row>
    <row r="8512">
      <c r="A8512" s="4"/>
      <c r="B8512" s="4"/>
      <c r="C8512" s="4"/>
      <c r="D8512" s="4"/>
      <c r="E8512" s="4"/>
      <c r="F8512" s="4"/>
      <c r="G8512" s="4"/>
    </row>
    <row r="8513">
      <c r="A8513" s="4"/>
      <c r="B8513" s="4"/>
      <c r="C8513" s="4"/>
      <c r="D8513" s="4"/>
      <c r="E8513" s="4"/>
      <c r="F8513" s="4"/>
      <c r="G8513" s="4"/>
    </row>
    <row r="8514">
      <c r="A8514" s="4"/>
      <c r="B8514" s="4"/>
      <c r="C8514" s="4"/>
      <c r="D8514" s="4"/>
      <c r="E8514" s="4"/>
      <c r="F8514" s="4"/>
      <c r="G8514" s="4"/>
    </row>
    <row r="8515">
      <c r="A8515" s="4"/>
      <c r="B8515" s="4"/>
      <c r="C8515" s="4"/>
      <c r="D8515" s="13"/>
      <c r="E8515" s="4"/>
      <c r="F8515" s="4"/>
      <c r="G8515" s="4"/>
    </row>
    <row r="8516">
      <c r="A8516" s="4"/>
      <c r="B8516" s="4"/>
      <c r="C8516" s="4"/>
      <c r="D8516" s="13"/>
      <c r="E8516" s="13"/>
      <c r="F8516" s="4"/>
      <c r="G8516" s="4"/>
    </row>
    <row r="8517">
      <c r="A8517" s="4"/>
      <c r="B8517" s="4"/>
      <c r="C8517" s="4"/>
      <c r="D8517" s="13"/>
      <c r="E8517" s="13"/>
      <c r="F8517" s="4"/>
      <c r="G8517" s="4"/>
    </row>
    <row r="8518">
      <c r="A8518" s="4"/>
      <c r="B8518" s="4"/>
      <c r="C8518" s="4"/>
      <c r="D8518" s="13"/>
      <c r="E8518" s="13"/>
      <c r="F8518" s="4"/>
      <c r="G8518" s="4"/>
    </row>
    <row r="8519">
      <c r="A8519" s="4"/>
      <c r="B8519" s="4"/>
      <c r="C8519" s="4"/>
      <c r="D8519" s="13"/>
      <c r="E8519" s="13"/>
      <c r="F8519" s="4"/>
      <c r="G8519" s="4"/>
    </row>
    <row r="8520">
      <c r="A8520" s="4"/>
      <c r="B8520" s="4"/>
      <c r="C8520" s="4"/>
      <c r="D8520" s="4"/>
      <c r="E8520" s="4"/>
      <c r="F8520" s="4"/>
      <c r="G8520" s="4"/>
    </row>
    <row r="8521">
      <c r="A8521" s="4"/>
      <c r="B8521" s="4"/>
      <c r="C8521" s="4"/>
      <c r="D8521" s="4"/>
      <c r="E8521" s="4"/>
      <c r="F8521" s="4"/>
      <c r="G8521" s="4"/>
    </row>
    <row r="8522">
      <c r="A8522" s="4"/>
      <c r="B8522" s="4"/>
      <c r="C8522" s="4"/>
      <c r="D8522" s="4"/>
      <c r="E8522" s="13"/>
      <c r="F8522" s="4"/>
      <c r="G8522" s="4"/>
    </row>
    <row r="8523">
      <c r="A8523" s="4"/>
      <c r="B8523" s="4"/>
      <c r="C8523" s="4"/>
      <c r="D8523" s="4"/>
      <c r="E8523" s="4"/>
      <c r="F8523" s="4"/>
      <c r="G8523" s="4"/>
    </row>
    <row r="8524">
      <c r="A8524" s="4"/>
      <c r="B8524" s="4"/>
      <c r="C8524" s="4"/>
      <c r="D8524" s="4"/>
      <c r="E8524" s="4"/>
      <c r="F8524" s="4"/>
      <c r="G8524" s="4"/>
    </row>
    <row r="8525">
      <c r="A8525" s="4"/>
      <c r="B8525" s="4"/>
      <c r="C8525" s="4"/>
      <c r="D8525" s="13"/>
      <c r="E8525" s="4"/>
      <c r="F8525" s="4"/>
      <c r="G8525" s="4"/>
    </row>
    <row r="8526">
      <c r="A8526" s="4"/>
      <c r="B8526" s="4"/>
      <c r="C8526" s="4"/>
      <c r="D8526" s="4"/>
      <c r="E8526" s="4"/>
      <c r="F8526" s="4"/>
      <c r="G8526" s="4"/>
    </row>
    <row r="8527">
      <c r="A8527" s="4"/>
      <c r="B8527" s="4"/>
      <c r="C8527" s="4"/>
      <c r="D8527" s="4"/>
      <c r="E8527" s="13"/>
      <c r="F8527" s="4"/>
      <c r="G8527" s="4"/>
    </row>
    <row r="8528">
      <c r="A8528" s="4"/>
      <c r="B8528" s="4"/>
      <c r="C8528" s="4"/>
      <c r="D8528" s="4"/>
      <c r="E8528" s="4"/>
      <c r="F8528" s="4"/>
      <c r="G8528" s="4"/>
    </row>
    <row r="8529">
      <c r="A8529" s="4"/>
      <c r="B8529" s="4"/>
      <c r="C8529" s="4"/>
      <c r="D8529" s="4"/>
      <c r="E8529" s="4"/>
      <c r="F8529" s="4"/>
      <c r="G8529" s="4"/>
    </row>
    <row r="8530">
      <c r="A8530" s="4"/>
      <c r="B8530" s="4"/>
      <c r="C8530" s="4"/>
      <c r="D8530" s="13"/>
      <c r="E8530" s="13"/>
      <c r="F8530" s="4"/>
      <c r="G8530" s="4"/>
    </row>
    <row r="8531">
      <c r="A8531" s="4"/>
      <c r="B8531" s="4"/>
      <c r="C8531" s="4"/>
      <c r="D8531" s="4"/>
      <c r="E8531" s="4"/>
      <c r="F8531" s="4"/>
      <c r="G8531" s="4"/>
    </row>
    <row r="8532">
      <c r="A8532" s="4"/>
      <c r="B8532" s="4"/>
      <c r="C8532" s="4"/>
      <c r="D8532" s="13"/>
      <c r="E8532" s="13"/>
      <c r="F8532" s="4"/>
      <c r="G8532" s="4"/>
    </row>
    <row r="8533">
      <c r="A8533" s="4"/>
      <c r="B8533" s="4"/>
      <c r="C8533" s="4"/>
      <c r="D8533" s="4"/>
      <c r="E8533" s="4"/>
      <c r="F8533" s="4"/>
      <c r="G8533" s="4"/>
    </row>
    <row r="8534">
      <c r="A8534" s="4"/>
      <c r="B8534" s="4"/>
      <c r="C8534" s="4"/>
      <c r="D8534" s="4"/>
      <c r="E8534" s="4"/>
      <c r="F8534" s="4"/>
      <c r="G8534" s="4"/>
    </row>
    <row r="8535">
      <c r="A8535" s="4"/>
      <c r="B8535" s="4"/>
      <c r="C8535" s="4"/>
      <c r="D8535" s="4"/>
      <c r="E8535" s="13"/>
      <c r="F8535" s="4"/>
      <c r="G8535" s="4"/>
    </row>
    <row r="8536">
      <c r="A8536" s="4"/>
      <c r="B8536" s="4"/>
      <c r="C8536" s="4"/>
      <c r="D8536" s="4"/>
      <c r="E8536" s="4"/>
      <c r="F8536" s="4"/>
      <c r="G8536" s="4"/>
    </row>
    <row r="8537">
      <c r="A8537" s="4"/>
      <c r="B8537" s="4"/>
      <c r="C8537" s="4"/>
      <c r="D8537" s="4"/>
      <c r="E8537" s="13"/>
      <c r="F8537" s="4"/>
      <c r="G8537" s="4"/>
    </row>
    <row r="8538">
      <c r="A8538" s="4"/>
      <c r="B8538" s="4"/>
      <c r="C8538" s="4"/>
      <c r="D8538" s="4"/>
      <c r="E8538" s="4"/>
      <c r="F8538" s="4"/>
      <c r="G8538" s="4"/>
    </row>
    <row r="8539">
      <c r="A8539" s="4"/>
      <c r="B8539" s="4"/>
      <c r="C8539" s="4"/>
      <c r="D8539" s="4"/>
      <c r="E8539" s="4"/>
      <c r="F8539" s="4"/>
      <c r="G8539" s="4"/>
    </row>
    <row r="8540">
      <c r="A8540" s="4"/>
      <c r="B8540" s="4"/>
      <c r="C8540" s="4"/>
      <c r="D8540" s="4"/>
      <c r="E8540" s="4"/>
      <c r="F8540" s="4"/>
      <c r="G8540" s="4"/>
    </row>
    <row r="8541">
      <c r="A8541" s="4"/>
      <c r="B8541" s="4"/>
      <c r="C8541" s="4"/>
      <c r="D8541" s="4"/>
      <c r="E8541" s="4"/>
      <c r="F8541" s="4"/>
      <c r="G8541" s="4"/>
    </row>
    <row r="8542">
      <c r="A8542" s="4"/>
      <c r="B8542" s="4"/>
      <c r="C8542" s="4"/>
      <c r="D8542" s="4"/>
      <c r="E8542" s="4"/>
      <c r="F8542" s="4"/>
      <c r="G8542" s="4"/>
    </row>
    <row r="8543">
      <c r="A8543" s="4"/>
      <c r="B8543" s="4"/>
      <c r="C8543" s="4"/>
      <c r="D8543" s="4"/>
      <c r="E8543" s="13"/>
      <c r="F8543" s="4"/>
      <c r="G8543" s="4"/>
    </row>
    <row r="8544">
      <c r="A8544" s="4"/>
      <c r="B8544" s="4"/>
      <c r="C8544" s="4"/>
      <c r="D8544" s="4"/>
      <c r="E8544" s="13"/>
      <c r="F8544" s="4"/>
      <c r="G8544" s="4"/>
    </row>
    <row r="8545">
      <c r="A8545" s="4"/>
      <c r="B8545" s="4"/>
      <c r="C8545" s="4"/>
      <c r="D8545" s="4"/>
      <c r="E8545" s="4"/>
      <c r="F8545" s="4"/>
      <c r="G8545" s="4"/>
    </row>
    <row r="8546">
      <c r="A8546" s="4"/>
      <c r="B8546" s="4"/>
      <c r="C8546" s="4"/>
      <c r="D8546" s="4"/>
      <c r="E8546" s="4"/>
      <c r="F8546" s="4"/>
      <c r="G8546" s="4"/>
    </row>
    <row r="8547">
      <c r="A8547" s="4"/>
      <c r="B8547" s="4"/>
      <c r="C8547" s="4"/>
      <c r="D8547" s="4"/>
      <c r="E8547" s="4"/>
      <c r="F8547" s="4"/>
      <c r="G8547" s="4"/>
    </row>
    <row r="8548">
      <c r="A8548" s="4"/>
      <c r="B8548" s="4"/>
      <c r="C8548" s="4"/>
      <c r="D8548" s="4"/>
      <c r="E8548" s="13"/>
      <c r="F8548" s="4"/>
      <c r="G8548" s="4"/>
    </row>
    <row r="8549">
      <c r="A8549" s="4"/>
      <c r="B8549" s="4"/>
      <c r="C8549" s="4"/>
      <c r="D8549" s="4"/>
      <c r="E8549" s="4"/>
      <c r="F8549" s="4"/>
      <c r="G8549" s="4"/>
    </row>
    <row r="8550">
      <c r="A8550" s="4"/>
      <c r="B8550" s="4"/>
      <c r="C8550" s="4"/>
      <c r="D8550" s="4"/>
      <c r="E8550" s="4"/>
      <c r="F8550" s="4"/>
      <c r="G8550" s="4"/>
    </row>
    <row r="8551">
      <c r="A8551" s="4"/>
      <c r="B8551" s="4"/>
      <c r="C8551" s="4"/>
      <c r="D8551" s="4"/>
      <c r="E8551" s="13"/>
      <c r="F8551" s="4"/>
      <c r="G8551" s="4"/>
    </row>
    <row r="8552">
      <c r="A8552" s="4"/>
      <c r="B8552" s="4"/>
      <c r="C8552" s="4"/>
      <c r="D8552" s="13"/>
      <c r="E8552" s="13"/>
      <c r="F8552" s="4"/>
      <c r="G8552" s="4"/>
    </row>
    <row r="8553">
      <c r="A8553" s="4"/>
      <c r="B8553" s="4"/>
      <c r="C8553" s="4"/>
      <c r="D8553" s="4"/>
      <c r="E8553" s="4"/>
      <c r="F8553" s="4"/>
      <c r="G8553" s="4"/>
    </row>
    <row r="8554">
      <c r="A8554" s="4"/>
      <c r="B8554" s="4"/>
      <c r="C8554" s="4"/>
      <c r="D8554" s="4"/>
      <c r="E8554" s="4"/>
      <c r="F8554" s="4"/>
      <c r="G8554" s="4"/>
    </row>
    <row r="8555">
      <c r="A8555" s="4"/>
      <c r="B8555" s="4"/>
      <c r="C8555" s="4"/>
      <c r="D8555" s="4"/>
      <c r="E8555" s="13"/>
      <c r="F8555" s="4"/>
      <c r="G8555" s="4"/>
    </row>
    <row r="8556">
      <c r="A8556" s="4"/>
      <c r="B8556" s="4"/>
      <c r="C8556" s="4"/>
      <c r="D8556" s="4"/>
      <c r="E8556" s="4"/>
      <c r="F8556" s="4"/>
      <c r="G8556" s="4"/>
    </row>
    <row r="8557">
      <c r="A8557" s="4"/>
      <c r="B8557" s="4"/>
      <c r="C8557" s="4"/>
      <c r="D8557" s="4"/>
      <c r="E8557" s="13"/>
      <c r="F8557" s="4"/>
      <c r="G8557" s="4"/>
    </row>
    <row r="8558">
      <c r="A8558" s="4"/>
      <c r="B8558" s="4"/>
      <c r="C8558" s="4"/>
      <c r="D8558" s="13"/>
      <c r="E8558" s="13"/>
      <c r="F8558" s="4"/>
      <c r="G8558" s="4"/>
    </row>
    <row r="8559">
      <c r="A8559" s="4"/>
      <c r="B8559" s="4"/>
      <c r="C8559" s="4"/>
      <c r="D8559" s="4"/>
      <c r="E8559" s="4"/>
      <c r="F8559" s="4"/>
      <c r="G8559" s="4"/>
    </row>
    <row r="8560">
      <c r="A8560" s="4"/>
      <c r="B8560" s="4"/>
      <c r="C8560" s="4"/>
      <c r="D8560" s="13"/>
      <c r="E8560" s="13"/>
      <c r="F8560" s="4"/>
      <c r="G8560" s="4"/>
    </row>
    <row r="8561">
      <c r="A8561" s="4"/>
      <c r="B8561" s="4"/>
      <c r="C8561" s="4"/>
      <c r="D8561" s="4"/>
      <c r="E8561" s="4"/>
      <c r="F8561" s="4"/>
      <c r="G8561" s="4"/>
    </row>
    <row r="8562">
      <c r="A8562" s="4"/>
      <c r="B8562" s="4"/>
      <c r="C8562" s="4"/>
      <c r="D8562" s="4"/>
      <c r="E8562" s="4"/>
      <c r="F8562" s="4"/>
      <c r="G8562" s="4"/>
    </row>
    <row r="8563">
      <c r="A8563" s="4"/>
      <c r="B8563" s="4"/>
      <c r="C8563" s="4"/>
      <c r="D8563" s="4"/>
      <c r="E8563" s="13"/>
      <c r="F8563" s="4"/>
      <c r="G8563" s="4"/>
    </row>
    <row r="8564">
      <c r="A8564" s="4"/>
      <c r="B8564" s="4"/>
      <c r="C8564" s="4"/>
      <c r="D8564" s="4"/>
      <c r="E8564" s="13"/>
      <c r="F8564" s="4"/>
      <c r="G8564" s="4"/>
    </row>
    <row r="8565">
      <c r="A8565" s="4"/>
      <c r="B8565" s="4"/>
      <c r="C8565" s="4"/>
      <c r="D8565" s="4"/>
      <c r="E8565" s="13"/>
      <c r="F8565" s="4"/>
      <c r="G8565" s="4"/>
    </row>
    <row r="8566">
      <c r="A8566" s="4"/>
      <c r="B8566" s="4"/>
      <c r="C8566" s="4"/>
      <c r="D8566" s="4"/>
      <c r="E8566" s="4"/>
      <c r="F8566" s="4"/>
      <c r="G8566" s="4"/>
    </row>
    <row r="8567">
      <c r="A8567" s="4"/>
      <c r="B8567" s="4"/>
      <c r="C8567" s="4"/>
      <c r="D8567" s="4"/>
      <c r="E8567" s="13"/>
      <c r="F8567" s="4"/>
      <c r="G8567" s="4"/>
    </row>
    <row r="8568">
      <c r="A8568" s="4"/>
      <c r="B8568" s="4"/>
      <c r="C8568" s="4"/>
      <c r="D8568" s="4"/>
      <c r="E8568" s="4"/>
      <c r="F8568" s="4"/>
      <c r="G8568" s="4"/>
    </row>
    <row r="8569">
      <c r="A8569" s="4"/>
      <c r="B8569" s="4"/>
      <c r="C8569" s="4"/>
      <c r="D8569" s="4"/>
      <c r="E8569" s="13"/>
      <c r="F8569" s="4"/>
      <c r="G8569" s="4"/>
    </row>
    <row r="8570">
      <c r="A8570" s="4"/>
      <c r="B8570" s="4"/>
      <c r="C8570" s="4"/>
      <c r="D8570" s="4"/>
      <c r="E8570" s="4"/>
      <c r="F8570" s="4"/>
      <c r="G8570" s="4"/>
    </row>
    <row r="8571">
      <c r="A8571" s="4"/>
      <c r="B8571" s="4"/>
      <c r="C8571" s="4"/>
      <c r="D8571" s="4"/>
      <c r="E8571" s="13"/>
      <c r="F8571" s="4"/>
      <c r="G8571" s="4"/>
    </row>
    <row r="8572">
      <c r="A8572" s="4"/>
      <c r="B8572" s="4"/>
      <c r="C8572" s="4"/>
      <c r="D8572" s="4"/>
      <c r="E8572" s="4"/>
      <c r="F8572" s="4"/>
      <c r="G8572" s="4"/>
    </row>
    <row r="8573">
      <c r="A8573" s="4"/>
      <c r="B8573" s="4"/>
      <c r="C8573" s="4"/>
      <c r="D8573" s="4"/>
      <c r="E8573" s="4"/>
      <c r="F8573" s="4"/>
      <c r="G8573" s="4"/>
    </row>
    <row r="8574">
      <c r="A8574" s="4"/>
      <c r="B8574" s="4"/>
      <c r="C8574" s="4"/>
      <c r="D8574" s="4"/>
      <c r="E8574" s="4"/>
      <c r="F8574" s="4"/>
      <c r="G8574" s="4"/>
    </row>
    <row r="8575">
      <c r="A8575" s="4"/>
      <c r="B8575" s="4"/>
      <c r="C8575" s="4"/>
      <c r="D8575" s="4"/>
      <c r="E8575" s="13"/>
      <c r="F8575" s="4"/>
      <c r="G8575" s="4"/>
    </row>
    <row r="8576">
      <c r="A8576" s="4"/>
      <c r="B8576" s="4"/>
      <c r="C8576" s="4"/>
      <c r="D8576" s="13"/>
      <c r="E8576" s="13"/>
      <c r="F8576" s="4"/>
      <c r="G8576" s="4"/>
    </row>
    <row r="8577">
      <c r="A8577" s="4"/>
      <c r="B8577" s="4"/>
      <c r="C8577" s="4"/>
      <c r="D8577" s="4"/>
      <c r="E8577" s="4"/>
      <c r="F8577" s="4"/>
      <c r="G8577" s="4"/>
    </row>
    <row r="8578">
      <c r="A8578" s="4"/>
      <c r="B8578" s="4"/>
      <c r="C8578" s="4"/>
      <c r="D8578" s="13"/>
      <c r="E8578" s="13"/>
      <c r="F8578" s="4"/>
      <c r="G8578" s="4"/>
    </row>
    <row r="8579">
      <c r="A8579" s="4"/>
      <c r="B8579" s="4"/>
      <c r="C8579" s="4"/>
      <c r="D8579" s="13"/>
      <c r="E8579" s="13"/>
      <c r="F8579" s="4"/>
      <c r="G8579" s="4"/>
    </row>
    <row r="8580">
      <c r="A8580" s="4"/>
      <c r="B8580" s="4"/>
      <c r="C8580" s="4"/>
      <c r="D8580" s="4"/>
      <c r="E8580" s="4"/>
      <c r="F8580" s="4"/>
      <c r="G8580" s="4"/>
    </row>
    <row r="8581">
      <c r="A8581" s="4"/>
      <c r="B8581" s="4"/>
      <c r="C8581" s="4"/>
      <c r="D8581" s="4"/>
      <c r="E8581" s="4"/>
      <c r="F8581" s="4"/>
      <c r="G8581" s="4"/>
    </row>
    <row r="8582">
      <c r="A8582" s="4"/>
      <c r="B8582" s="4"/>
      <c r="C8582" s="4"/>
      <c r="D8582" s="4"/>
      <c r="E8582" s="13"/>
      <c r="F8582" s="4"/>
      <c r="G8582" s="4"/>
    </row>
    <row r="8583">
      <c r="A8583" s="4"/>
      <c r="B8583" s="4"/>
      <c r="C8583" s="4"/>
      <c r="D8583" s="4"/>
      <c r="E8583" s="4"/>
      <c r="F8583" s="4"/>
      <c r="G8583" s="4"/>
    </row>
    <row r="8584">
      <c r="A8584" s="4"/>
      <c r="B8584" s="4"/>
      <c r="C8584" s="4"/>
      <c r="D8584" s="4"/>
      <c r="E8584" s="4"/>
      <c r="F8584" s="4"/>
      <c r="G8584" s="4"/>
    </row>
    <row r="8585">
      <c r="A8585" s="4"/>
      <c r="B8585" s="4"/>
      <c r="C8585" s="4"/>
      <c r="D8585" s="4"/>
      <c r="E8585" s="4"/>
      <c r="F8585" s="4"/>
      <c r="G8585" s="4"/>
    </row>
    <row r="8586">
      <c r="A8586" s="4"/>
      <c r="B8586" s="4"/>
      <c r="C8586" s="4"/>
      <c r="D8586" s="4"/>
      <c r="E8586" s="13"/>
      <c r="F8586" s="4"/>
      <c r="G8586" s="4"/>
    </row>
    <row r="8587">
      <c r="A8587" s="4"/>
      <c r="B8587" s="4"/>
      <c r="C8587" s="4"/>
      <c r="D8587" s="13"/>
      <c r="E8587" s="13"/>
      <c r="F8587" s="4"/>
      <c r="G8587" s="4"/>
    </row>
    <row r="8588">
      <c r="A8588" s="4"/>
      <c r="B8588" s="4"/>
      <c r="C8588" s="4"/>
      <c r="D8588" s="13"/>
      <c r="E8588" s="13"/>
      <c r="F8588" s="4"/>
      <c r="G8588" s="4"/>
    </row>
    <row r="8589">
      <c r="A8589" s="4"/>
      <c r="B8589" s="4"/>
      <c r="C8589" s="4"/>
      <c r="D8589" s="4"/>
      <c r="E8589" s="4"/>
      <c r="F8589" s="4"/>
      <c r="G8589" s="4"/>
    </row>
    <row r="8590">
      <c r="A8590" s="4"/>
      <c r="B8590" s="4"/>
      <c r="C8590" s="4"/>
      <c r="D8590" s="4"/>
      <c r="E8590" s="4"/>
      <c r="F8590" s="4"/>
      <c r="G8590" s="4"/>
    </row>
    <row r="8591">
      <c r="A8591" s="4"/>
      <c r="B8591" s="4"/>
      <c r="C8591" s="4"/>
      <c r="D8591" s="4"/>
      <c r="E8591" s="13"/>
      <c r="F8591" s="4"/>
      <c r="G8591" s="4"/>
    </row>
    <row r="8592">
      <c r="A8592" s="4"/>
      <c r="B8592" s="4"/>
      <c r="C8592" s="4"/>
      <c r="D8592" s="4"/>
      <c r="E8592" s="4"/>
      <c r="F8592" s="4"/>
      <c r="G8592" s="4"/>
    </row>
    <row r="8593">
      <c r="A8593" s="4"/>
      <c r="B8593" s="4"/>
      <c r="C8593" s="4"/>
      <c r="D8593" s="4"/>
      <c r="E8593" s="13"/>
      <c r="F8593" s="4"/>
      <c r="G8593" s="4"/>
    </row>
    <row r="8594">
      <c r="A8594" s="4"/>
      <c r="B8594" s="4"/>
      <c r="C8594" s="4"/>
      <c r="D8594" s="4"/>
      <c r="E8594" s="4"/>
      <c r="F8594" s="4"/>
      <c r="G8594" s="4"/>
    </row>
    <row r="8595">
      <c r="A8595" s="4"/>
      <c r="B8595" s="4"/>
      <c r="C8595" s="4"/>
      <c r="D8595" s="4"/>
      <c r="E8595" s="4"/>
      <c r="F8595" s="4"/>
      <c r="G8595" s="4"/>
    </row>
    <row r="8596">
      <c r="A8596" s="4"/>
      <c r="B8596" s="4"/>
      <c r="C8596" s="4"/>
      <c r="D8596" s="4"/>
      <c r="E8596" s="13"/>
      <c r="F8596" s="4"/>
      <c r="G8596" s="4"/>
    </row>
    <row r="8597">
      <c r="A8597" s="4"/>
      <c r="B8597" s="4"/>
      <c r="C8597" s="4"/>
      <c r="D8597" s="4"/>
      <c r="E8597" s="4"/>
      <c r="F8597" s="4"/>
      <c r="G8597" s="4"/>
    </row>
    <row r="8598">
      <c r="A8598" s="4"/>
      <c r="B8598" s="4"/>
      <c r="C8598" s="4"/>
      <c r="D8598" s="4"/>
      <c r="E8598" s="4"/>
      <c r="F8598" s="4"/>
      <c r="G8598" s="4"/>
    </row>
    <row r="8599">
      <c r="A8599" s="4"/>
      <c r="B8599" s="4"/>
      <c r="C8599" s="4"/>
      <c r="D8599" s="4"/>
      <c r="E8599" s="4"/>
      <c r="F8599" s="4"/>
      <c r="G8599" s="4"/>
    </row>
    <row r="8600">
      <c r="A8600" s="4"/>
      <c r="B8600" s="4"/>
      <c r="C8600" s="4"/>
      <c r="D8600" s="4"/>
      <c r="E8600" s="4"/>
      <c r="F8600" s="4"/>
      <c r="G8600" s="4"/>
    </row>
    <row r="8601">
      <c r="A8601" s="4"/>
      <c r="B8601" s="4"/>
      <c r="C8601" s="4"/>
      <c r="D8601" s="4"/>
      <c r="E8601" s="4"/>
      <c r="F8601" s="4"/>
      <c r="G8601" s="4"/>
    </row>
    <row r="8602">
      <c r="A8602" s="4"/>
      <c r="B8602" s="4"/>
      <c r="C8602" s="4"/>
      <c r="D8602" s="4"/>
      <c r="E8602" s="4"/>
      <c r="F8602" s="4"/>
      <c r="G8602" s="4"/>
    </row>
    <row r="8603">
      <c r="A8603" s="4"/>
      <c r="B8603" s="4"/>
      <c r="C8603" s="4"/>
      <c r="D8603" s="4"/>
      <c r="E8603" s="4"/>
      <c r="F8603" s="4"/>
      <c r="G8603" s="4"/>
    </row>
    <row r="8604">
      <c r="A8604" s="4"/>
      <c r="B8604" s="4"/>
      <c r="C8604" s="4"/>
      <c r="D8604" s="4"/>
      <c r="E8604" s="13"/>
      <c r="F8604" s="4"/>
      <c r="G8604" s="4"/>
    </row>
    <row r="8605">
      <c r="A8605" s="4"/>
      <c r="B8605" s="4"/>
      <c r="C8605" s="4"/>
      <c r="D8605" s="4"/>
      <c r="E8605" s="4"/>
      <c r="F8605" s="4"/>
      <c r="G8605" s="4"/>
    </row>
    <row r="8606">
      <c r="A8606" s="4"/>
      <c r="B8606" s="4"/>
      <c r="C8606" s="4"/>
      <c r="D8606" s="4"/>
      <c r="E8606" s="4"/>
      <c r="F8606" s="4"/>
      <c r="G8606" s="4"/>
    </row>
    <row r="8607">
      <c r="A8607" s="4"/>
      <c r="B8607" s="4"/>
      <c r="C8607" s="4"/>
      <c r="D8607" s="4"/>
      <c r="E8607" s="13"/>
      <c r="F8607" s="4"/>
      <c r="G8607" s="4"/>
    </row>
    <row r="8608">
      <c r="A8608" s="4"/>
      <c r="B8608" s="4"/>
      <c r="C8608" s="4"/>
      <c r="D8608" s="4"/>
      <c r="E8608" s="4"/>
      <c r="F8608" s="4"/>
      <c r="G8608" s="4"/>
    </row>
    <row r="8609">
      <c r="A8609" s="4"/>
      <c r="B8609" s="4"/>
      <c r="C8609" s="4"/>
      <c r="D8609" s="4"/>
      <c r="E8609" s="4"/>
      <c r="F8609" s="4"/>
      <c r="G8609" s="4"/>
    </row>
    <row r="8610">
      <c r="A8610" s="4"/>
      <c r="B8610" s="4"/>
      <c r="C8610" s="4"/>
      <c r="D8610" s="4"/>
      <c r="E8610" s="4"/>
      <c r="F8610" s="4"/>
      <c r="G8610" s="4"/>
    </row>
    <row r="8611">
      <c r="A8611" s="4"/>
      <c r="B8611" s="4"/>
      <c r="C8611" s="4"/>
      <c r="D8611" s="4"/>
      <c r="E8611" s="4"/>
      <c r="F8611" s="4"/>
      <c r="G8611" s="4"/>
    </row>
    <row r="8612">
      <c r="A8612" s="4"/>
      <c r="B8612" s="4"/>
      <c r="C8612" s="4"/>
      <c r="D8612" s="4"/>
      <c r="E8612" s="4"/>
      <c r="F8612" s="4"/>
      <c r="G8612" s="4"/>
    </row>
    <row r="8613">
      <c r="A8613" s="4"/>
      <c r="B8613" s="4"/>
      <c r="C8613" s="4"/>
      <c r="D8613" s="4"/>
      <c r="E8613" s="13"/>
      <c r="F8613" s="4"/>
      <c r="G8613" s="4"/>
    </row>
    <row r="8614">
      <c r="A8614" s="4"/>
      <c r="B8614" s="4"/>
      <c r="C8614" s="4"/>
      <c r="D8614" s="4"/>
      <c r="E8614" s="13"/>
      <c r="F8614" s="4"/>
      <c r="G8614" s="4"/>
    </row>
    <row r="8615">
      <c r="A8615" s="4"/>
      <c r="B8615" s="4"/>
      <c r="C8615" s="4"/>
      <c r="D8615" s="4"/>
      <c r="E8615" s="4"/>
      <c r="F8615" s="4"/>
      <c r="G8615" s="4"/>
    </row>
    <row r="8616">
      <c r="A8616" s="4"/>
      <c r="B8616" s="4"/>
      <c r="C8616" s="4"/>
      <c r="D8616" s="4"/>
      <c r="E8616" s="13"/>
      <c r="F8616" s="4"/>
      <c r="G8616" s="4"/>
    </row>
    <row r="8617">
      <c r="A8617" s="4"/>
      <c r="B8617" s="4"/>
      <c r="C8617" s="4"/>
      <c r="D8617" s="13"/>
      <c r="E8617" s="13"/>
      <c r="F8617" s="4"/>
      <c r="G8617" s="4"/>
    </row>
    <row r="8618">
      <c r="A8618" s="4"/>
      <c r="B8618" s="4"/>
      <c r="C8618" s="4"/>
      <c r="D8618" s="4"/>
      <c r="E8618" s="4"/>
      <c r="F8618" s="4"/>
      <c r="G8618" s="4"/>
    </row>
    <row r="8619">
      <c r="A8619" s="4"/>
      <c r="B8619" s="4"/>
      <c r="C8619" s="4"/>
      <c r="D8619" s="4"/>
      <c r="E8619" s="4"/>
      <c r="F8619" s="4"/>
      <c r="G8619" s="4"/>
    </row>
    <row r="8620">
      <c r="A8620" s="4"/>
      <c r="B8620" s="4"/>
      <c r="C8620" s="4"/>
      <c r="D8620" s="13"/>
      <c r="E8620" s="13"/>
      <c r="F8620" s="4"/>
      <c r="G8620" s="4"/>
    </row>
    <row r="8621">
      <c r="A8621" s="4"/>
      <c r="B8621" s="4"/>
      <c r="C8621" s="4"/>
      <c r="D8621" s="4"/>
      <c r="E8621" s="4"/>
      <c r="F8621" s="4"/>
      <c r="G8621" s="4"/>
    </row>
    <row r="8622">
      <c r="A8622" s="4"/>
      <c r="B8622" s="4"/>
      <c r="C8622" s="4"/>
      <c r="D8622" s="4"/>
      <c r="E8622" s="13"/>
      <c r="F8622" s="4"/>
      <c r="G8622" s="4"/>
    </row>
    <row r="8623">
      <c r="A8623" s="4"/>
      <c r="B8623" s="4"/>
      <c r="C8623" s="4"/>
      <c r="D8623" s="4"/>
      <c r="E8623" s="4"/>
      <c r="F8623" s="4"/>
      <c r="G8623" s="4"/>
    </row>
    <row r="8624">
      <c r="A8624" s="4"/>
      <c r="B8624" s="4"/>
      <c r="C8624" s="4"/>
      <c r="D8624" s="4"/>
      <c r="E8624" s="13"/>
      <c r="F8624" s="4"/>
      <c r="G8624" s="4"/>
    </row>
    <row r="8625">
      <c r="A8625" s="4"/>
      <c r="B8625" s="4"/>
      <c r="C8625" s="4"/>
      <c r="D8625" s="4"/>
      <c r="E8625" s="13"/>
      <c r="F8625" s="4"/>
      <c r="G8625" s="4"/>
    </row>
    <row r="8626">
      <c r="A8626" s="4"/>
      <c r="B8626" s="4"/>
      <c r="C8626" s="4"/>
      <c r="D8626" s="4"/>
      <c r="E8626" s="4"/>
      <c r="F8626" s="4"/>
      <c r="G8626" s="4"/>
    </row>
    <row r="8627">
      <c r="A8627" s="4"/>
      <c r="B8627" s="4"/>
      <c r="C8627" s="4"/>
      <c r="D8627" s="4"/>
      <c r="E8627" s="4"/>
      <c r="F8627" s="4"/>
      <c r="G8627" s="4"/>
    </row>
    <row r="8628">
      <c r="A8628" s="4"/>
      <c r="B8628" s="4"/>
      <c r="C8628" s="4"/>
      <c r="D8628" s="4"/>
      <c r="E8628" s="13"/>
      <c r="F8628" s="4"/>
      <c r="G8628" s="4"/>
    </row>
    <row r="8629">
      <c r="A8629" s="4"/>
      <c r="B8629" s="4"/>
      <c r="C8629" s="4"/>
      <c r="D8629" s="4"/>
      <c r="E8629" s="4"/>
      <c r="F8629" s="4"/>
      <c r="G8629" s="4"/>
    </row>
    <row r="8630">
      <c r="A8630" s="4"/>
      <c r="B8630" s="4"/>
      <c r="C8630" s="4"/>
      <c r="D8630" s="4"/>
      <c r="E8630" s="4"/>
      <c r="F8630" s="4"/>
      <c r="G8630" s="4"/>
    </row>
    <row r="8631">
      <c r="A8631" s="4"/>
      <c r="B8631" s="4"/>
      <c r="C8631" s="4"/>
      <c r="D8631" s="4"/>
      <c r="E8631" s="4"/>
      <c r="F8631" s="4"/>
      <c r="G8631" s="4"/>
    </row>
    <row r="8632">
      <c r="A8632" s="4"/>
      <c r="B8632" s="4"/>
      <c r="C8632" s="4"/>
      <c r="D8632" s="4"/>
      <c r="E8632" s="4"/>
      <c r="F8632" s="4"/>
      <c r="G8632" s="4"/>
    </row>
    <row r="8633">
      <c r="A8633" s="4"/>
      <c r="B8633" s="4"/>
      <c r="C8633" s="4"/>
      <c r="D8633" s="4"/>
      <c r="E8633" s="4"/>
      <c r="F8633" s="4"/>
      <c r="G8633" s="4"/>
    </row>
    <row r="8634">
      <c r="A8634" s="4"/>
      <c r="B8634" s="4"/>
      <c r="C8634" s="4"/>
      <c r="D8634" s="4"/>
      <c r="E8634" s="13"/>
      <c r="F8634" s="4"/>
      <c r="G8634" s="4"/>
    </row>
    <row r="8635">
      <c r="A8635" s="4"/>
      <c r="B8635" s="4"/>
      <c r="C8635" s="4"/>
      <c r="D8635" s="4"/>
      <c r="E8635" s="13"/>
      <c r="F8635" s="4"/>
      <c r="G8635" s="4"/>
    </row>
    <row r="8636">
      <c r="A8636" s="4"/>
      <c r="B8636" s="4"/>
      <c r="C8636" s="4"/>
      <c r="D8636" s="4"/>
      <c r="E8636" s="4"/>
      <c r="F8636" s="4"/>
      <c r="G8636" s="4"/>
    </row>
    <row r="8637">
      <c r="A8637" s="4"/>
      <c r="B8637" s="4"/>
      <c r="C8637" s="4"/>
      <c r="D8637" s="4"/>
      <c r="E8637" s="4"/>
      <c r="F8637" s="4"/>
      <c r="G8637" s="4"/>
    </row>
    <row r="8638">
      <c r="A8638" s="4"/>
      <c r="B8638" s="4"/>
      <c r="C8638" s="4"/>
      <c r="D8638" s="4"/>
      <c r="E8638" s="13"/>
      <c r="F8638" s="4"/>
      <c r="G8638" s="4"/>
    </row>
    <row r="8639">
      <c r="A8639" s="4"/>
      <c r="B8639" s="4"/>
      <c r="C8639" s="4"/>
      <c r="D8639" s="4"/>
      <c r="E8639" s="4"/>
      <c r="F8639" s="4"/>
      <c r="G8639" s="4"/>
    </row>
    <row r="8640">
      <c r="A8640" s="4"/>
      <c r="B8640" s="4"/>
      <c r="C8640" s="4"/>
      <c r="D8640" s="4"/>
      <c r="E8640" s="4"/>
      <c r="F8640" s="4"/>
      <c r="G8640" s="4"/>
    </row>
    <row r="8641">
      <c r="A8641" s="4"/>
      <c r="B8641" s="4"/>
      <c r="C8641" s="4"/>
      <c r="D8641" s="13"/>
      <c r="E8641" s="13"/>
      <c r="F8641" s="4"/>
      <c r="G8641" s="4"/>
    </row>
    <row r="8642">
      <c r="A8642" s="4"/>
      <c r="B8642" s="4"/>
      <c r="C8642" s="4"/>
      <c r="D8642" s="4"/>
      <c r="E8642" s="13"/>
      <c r="F8642" s="4"/>
      <c r="G8642" s="4"/>
    </row>
    <row r="8643">
      <c r="A8643" s="4"/>
      <c r="B8643" s="4"/>
      <c r="C8643" s="4"/>
      <c r="D8643" s="4"/>
      <c r="E8643" s="4"/>
      <c r="F8643" s="4"/>
      <c r="G8643" s="4"/>
    </row>
    <row r="8644">
      <c r="A8644" s="4"/>
      <c r="B8644" s="4"/>
      <c r="C8644" s="4"/>
      <c r="D8644" s="4"/>
      <c r="E8644" s="13"/>
      <c r="F8644" s="4"/>
      <c r="G8644" s="4"/>
    </row>
    <row r="8645">
      <c r="A8645" s="4"/>
      <c r="B8645" s="4"/>
      <c r="C8645" s="4"/>
      <c r="D8645" s="4"/>
      <c r="E8645" s="4"/>
      <c r="F8645" s="4"/>
      <c r="G8645" s="4"/>
    </row>
    <row r="8646">
      <c r="A8646" s="4"/>
      <c r="B8646" s="4"/>
      <c r="C8646" s="4"/>
      <c r="D8646" s="4"/>
      <c r="E8646" s="13"/>
      <c r="F8646" s="4"/>
      <c r="G8646" s="4"/>
    </row>
    <row r="8647">
      <c r="A8647" s="4"/>
      <c r="B8647" s="4"/>
      <c r="C8647" s="4"/>
      <c r="D8647" s="4"/>
      <c r="E8647" s="4"/>
      <c r="F8647" s="4"/>
      <c r="G8647" s="4"/>
    </row>
    <row r="8648">
      <c r="A8648" s="4"/>
      <c r="B8648" s="4"/>
      <c r="C8648" s="4"/>
      <c r="D8648" s="4"/>
      <c r="E8648" s="13"/>
      <c r="F8648" s="4"/>
      <c r="G8648" s="4"/>
    </row>
    <row r="8649">
      <c r="A8649" s="4"/>
      <c r="B8649" s="4"/>
      <c r="C8649" s="4"/>
      <c r="D8649" s="4"/>
      <c r="E8649" s="13"/>
      <c r="F8649" s="4"/>
      <c r="G8649" s="4"/>
    </row>
    <row r="8650">
      <c r="A8650" s="4"/>
      <c r="B8650" s="4"/>
      <c r="C8650" s="4"/>
      <c r="D8650" s="4"/>
      <c r="E8650" s="4"/>
      <c r="F8650" s="4"/>
      <c r="G8650" s="4"/>
    </row>
    <row r="8651">
      <c r="A8651" s="4"/>
      <c r="B8651" s="4"/>
      <c r="C8651" s="4"/>
      <c r="D8651" s="4"/>
      <c r="E8651" s="4"/>
      <c r="F8651" s="4"/>
      <c r="G8651" s="4"/>
    </row>
    <row r="8652">
      <c r="A8652" s="4"/>
      <c r="B8652" s="4"/>
      <c r="C8652" s="4"/>
      <c r="D8652" s="13"/>
      <c r="E8652" s="13"/>
      <c r="F8652" s="4"/>
      <c r="G8652" s="4"/>
    </row>
    <row r="8653">
      <c r="A8653" s="4"/>
      <c r="B8653" s="4"/>
      <c r="C8653" s="4"/>
      <c r="D8653" s="13"/>
      <c r="E8653" s="13"/>
      <c r="F8653" s="4"/>
      <c r="G8653" s="4"/>
    </row>
    <row r="8654">
      <c r="A8654" s="4"/>
      <c r="B8654" s="4"/>
      <c r="C8654" s="4"/>
      <c r="D8654" s="13"/>
      <c r="E8654" s="13"/>
      <c r="F8654" s="4"/>
      <c r="G8654" s="4"/>
    </row>
    <row r="8655">
      <c r="A8655" s="4"/>
      <c r="B8655" s="4"/>
      <c r="C8655" s="4"/>
      <c r="D8655" s="4"/>
      <c r="E8655" s="13"/>
      <c r="F8655" s="4"/>
      <c r="G8655" s="4"/>
    </row>
    <row r="8656">
      <c r="A8656" s="4"/>
      <c r="B8656" s="4"/>
      <c r="C8656" s="4"/>
      <c r="D8656" s="4"/>
      <c r="E8656" s="4"/>
      <c r="F8656" s="4"/>
      <c r="G8656" s="4"/>
    </row>
    <row r="8657">
      <c r="A8657" s="4"/>
      <c r="B8657" s="4"/>
      <c r="C8657" s="4"/>
      <c r="D8657" s="4"/>
      <c r="E8657" s="4"/>
      <c r="F8657" s="4"/>
      <c r="G8657" s="4"/>
    </row>
    <row r="8658">
      <c r="A8658" s="4"/>
      <c r="B8658" s="4"/>
      <c r="C8658" s="4"/>
      <c r="D8658" s="4"/>
      <c r="E8658" s="13"/>
      <c r="F8658" s="4"/>
      <c r="G8658" s="4"/>
    </row>
    <row r="8659">
      <c r="A8659" s="4"/>
      <c r="B8659" s="4"/>
      <c r="C8659" s="4"/>
      <c r="D8659" s="4"/>
      <c r="E8659" s="4"/>
      <c r="F8659" s="4"/>
      <c r="G8659" s="4"/>
    </row>
    <row r="8660">
      <c r="A8660" s="4"/>
      <c r="B8660" s="4"/>
      <c r="C8660" s="4"/>
      <c r="D8660" s="4"/>
      <c r="E8660" s="13"/>
      <c r="F8660" s="4"/>
      <c r="G8660" s="4"/>
    </row>
    <row r="8661">
      <c r="A8661" s="4"/>
      <c r="B8661" s="4"/>
      <c r="C8661" s="4"/>
      <c r="D8661" s="4"/>
      <c r="E8661" s="4"/>
      <c r="F8661" s="4"/>
      <c r="G8661" s="4"/>
    </row>
    <row r="8662">
      <c r="A8662" s="4"/>
      <c r="B8662" s="4"/>
      <c r="C8662" s="4"/>
      <c r="D8662" s="4"/>
      <c r="E8662" s="4"/>
      <c r="F8662" s="4"/>
      <c r="G8662" s="4"/>
    </row>
    <row r="8663">
      <c r="A8663" s="4"/>
      <c r="B8663" s="4"/>
      <c r="C8663" s="4"/>
      <c r="D8663" s="4"/>
      <c r="E8663" s="13"/>
      <c r="F8663" s="4"/>
      <c r="G8663" s="4"/>
    </row>
    <row r="8664">
      <c r="A8664" s="4"/>
      <c r="B8664" s="4"/>
      <c r="C8664" s="4"/>
      <c r="D8664" s="4"/>
      <c r="E8664" s="4"/>
      <c r="F8664" s="4"/>
      <c r="G8664" s="4"/>
    </row>
    <row r="8665">
      <c r="A8665" s="4"/>
      <c r="B8665" s="4"/>
      <c r="C8665" s="4"/>
      <c r="D8665" s="4"/>
      <c r="E8665" s="4"/>
      <c r="F8665" s="4"/>
      <c r="G8665" s="4"/>
    </row>
    <row r="8666">
      <c r="A8666" s="4"/>
      <c r="B8666" s="4"/>
      <c r="C8666" s="4"/>
      <c r="D8666" s="4"/>
      <c r="E8666" s="4"/>
      <c r="F8666" s="4"/>
      <c r="G8666" s="4"/>
    </row>
    <row r="8667">
      <c r="A8667" s="4"/>
      <c r="B8667" s="4"/>
      <c r="C8667" s="4"/>
      <c r="D8667" s="13"/>
      <c r="E8667" s="13"/>
      <c r="F8667" s="4"/>
      <c r="G8667" s="4"/>
    </row>
    <row r="8668">
      <c r="A8668" s="4"/>
      <c r="B8668" s="4"/>
      <c r="C8668" s="4"/>
      <c r="D8668" s="4"/>
      <c r="E8668" s="4"/>
      <c r="F8668" s="4"/>
      <c r="G8668" s="4"/>
    </row>
    <row r="8669">
      <c r="A8669" s="4"/>
      <c r="B8669" s="4"/>
      <c r="C8669" s="4"/>
      <c r="D8669" s="4"/>
      <c r="E8669" s="13"/>
      <c r="F8669" s="4"/>
      <c r="G8669" s="4"/>
    </row>
    <row r="8670">
      <c r="A8670" s="4"/>
      <c r="B8670" s="4"/>
      <c r="C8670" s="4"/>
      <c r="D8670" s="13"/>
      <c r="E8670" s="13"/>
      <c r="F8670" s="4"/>
      <c r="G8670" s="4"/>
    </row>
    <row r="8671">
      <c r="A8671" s="4"/>
      <c r="B8671" s="4"/>
      <c r="C8671" s="4"/>
      <c r="D8671" s="4"/>
      <c r="E8671" s="4"/>
      <c r="F8671" s="4"/>
      <c r="G8671" s="4"/>
    </row>
    <row r="8672">
      <c r="A8672" s="4"/>
      <c r="B8672" s="4"/>
      <c r="C8672" s="4"/>
      <c r="D8672" s="4"/>
      <c r="E8672" s="4"/>
      <c r="F8672" s="4"/>
      <c r="G8672" s="4"/>
    </row>
    <row r="8673">
      <c r="A8673" s="4"/>
      <c r="B8673" s="4"/>
      <c r="C8673" s="4"/>
      <c r="D8673" s="4"/>
      <c r="E8673" s="4"/>
      <c r="F8673" s="4"/>
      <c r="G8673" s="4"/>
    </row>
    <row r="8674">
      <c r="A8674" s="4"/>
      <c r="B8674" s="4"/>
      <c r="C8674" s="4"/>
      <c r="D8674" s="4"/>
      <c r="E8674" s="4"/>
      <c r="F8674" s="4"/>
      <c r="G8674" s="4"/>
    </row>
    <row r="8675">
      <c r="A8675" s="4"/>
      <c r="B8675" s="4"/>
      <c r="C8675" s="4"/>
      <c r="D8675" s="4"/>
      <c r="E8675" s="4"/>
      <c r="F8675" s="4"/>
      <c r="G8675" s="4"/>
    </row>
    <row r="8676">
      <c r="A8676" s="4"/>
      <c r="B8676" s="4"/>
      <c r="C8676" s="4"/>
      <c r="D8676" s="4"/>
      <c r="E8676" s="13"/>
      <c r="F8676" s="4"/>
      <c r="G8676" s="4"/>
    </row>
    <row r="8677">
      <c r="A8677" s="4"/>
      <c r="B8677" s="4"/>
      <c r="C8677" s="4"/>
      <c r="D8677" s="4"/>
      <c r="E8677" s="13"/>
      <c r="F8677" s="4"/>
      <c r="G8677" s="4"/>
    </row>
    <row r="8678">
      <c r="A8678" s="4"/>
      <c r="B8678" s="4"/>
      <c r="C8678" s="4"/>
      <c r="D8678" s="13"/>
      <c r="E8678" s="13"/>
      <c r="F8678" s="4"/>
      <c r="G8678" s="4"/>
    </row>
    <row r="8679">
      <c r="A8679" s="4"/>
      <c r="B8679" s="4"/>
      <c r="C8679" s="4"/>
      <c r="D8679" s="4"/>
      <c r="E8679" s="4"/>
      <c r="F8679" s="4"/>
      <c r="G8679" s="4"/>
    </row>
    <row r="8680">
      <c r="A8680" s="4"/>
      <c r="B8680" s="4"/>
      <c r="C8680" s="4"/>
      <c r="D8680" s="13"/>
      <c r="E8680" s="13"/>
      <c r="F8680" s="4"/>
      <c r="G8680" s="4"/>
    </row>
    <row r="8681">
      <c r="A8681" s="4"/>
      <c r="B8681" s="4"/>
      <c r="C8681" s="4"/>
      <c r="D8681" s="4"/>
      <c r="E8681" s="4"/>
      <c r="F8681" s="4"/>
      <c r="G8681" s="4"/>
    </row>
    <row r="8682">
      <c r="A8682" s="4"/>
      <c r="B8682" s="4"/>
      <c r="C8682" s="4"/>
      <c r="D8682" s="4"/>
      <c r="E8682" s="4"/>
      <c r="F8682" s="4"/>
      <c r="G8682" s="4"/>
    </row>
    <row r="8683">
      <c r="A8683" s="4"/>
      <c r="B8683" s="4"/>
      <c r="C8683" s="4"/>
      <c r="D8683" s="13"/>
      <c r="E8683" s="13"/>
      <c r="F8683" s="4"/>
      <c r="G8683" s="4"/>
    </row>
    <row r="8684">
      <c r="A8684" s="4"/>
      <c r="B8684" s="4"/>
      <c r="C8684" s="4"/>
      <c r="D8684" s="4"/>
      <c r="E8684" s="4"/>
      <c r="F8684" s="4"/>
      <c r="G8684" s="4"/>
    </row>
    <row r="8685">
      <c r="A8685" s="4"/>
      <c r="B8685" s="4"/>
      <c r="C8685" s="4"/>
      <c r="D8685" s="4"/>
      <c r="E8685" s="13"/>
      <c r="F8685" s="4"/>
      <c r="G8685" s="4"/>
    </row>
    <row r="8686">
      <c r="A8686" s="4"/>
      <c r="B8686" s="4"/>
      <c r="C8686" s="4"/>
      <c r="D8686" s="4"/>
      <c r="E8686" s="4"/>
      <c r="F8686" s="4"/>
      <c r="G8686" s="4"/>
    </row>
    <row r="8687">
      <c r="A8687" s="4"/>
      <c r="B8687" s="4"/>
      <c r="C8687" s="4"/>
      <c r="D8687" s="4"/>
      <c r="E8687" s="4"/>
      <c r="F8687" s="4"/>
      <c r="G8687" s="4"/>
    </row>
    <row r="8688">
      <c r="A8688" s="4"/>
      <c r="B8688" s="4"/>
      <c r="C8688" s="4"/>
      <c r="D8688" s="4"/>
      <c r="E8688" s="13"/>
      <c r="F8688" s="4"/>
      <c r="G8688" s="4"/>
    </row>
    <row r="8689">
      <c r="A8689" s="4"/>
      <c r="B8689" s="4"/>
      <c r="C8689" s="4"/>
      <c r="D8689" s="4"/>
      <c r="E8689" s="4"/>
      <c r="F8689" s="4"/>
      <c r="G8689" s="4"/>
    </row>
    <row r="8690">
      <c r="A8690" s="4"/>
      <c r="B8690" s="4"/>
      <c r="C8690" s="4"/>
      <c r="D8690" s="13"/>
      <c r="E8690" s="4"/>
      <c r="F8690" s="4"/>
      <c r="G8690" s="4"/>
    </row>
    <row r="8691">
      <c r="A8691" s="4"/>
      <c r="B8691" s="4"/>
      <c r="C8691" s="4"/>
      <c r="D8691" s="4"/>
      <c r="E8691" s="4"/>
      <c r="F8691" s="4"/>
      <c r="G8691" s="4"/>
    </row>
    <row r="8692">
      <c r="A8692" s="4"/>
      <c r="B8692" s="4"/>
      <c r="C8692" s="4"/>
      <c r="D8692" s="4"/>
      <c r="E8692" s="13"/>
      <c r="F8692" s="4"/>
      <c r="G8692" s="4"/>
    </row>
    <row r="8693">
      <c r="A8693" s="4"/>
      <c r="B8693" s="4"/>
      <c r="C8693" s="4"/>
      <c r="D8693" s="13"/>
      <c r="E8693" s="13"/>
      <c r="F8693" s="4"/>
      <c r="G8693" s="4"/>
    </row>
    <row r="8694">
      <c r="A8694" s="4"/>
      <c r="B8694" s="4"/>
      <c r="C8694" s="4"/>
      <c r="D8694" s="4"/>
      <c r="E8694" s="13"/>
      <c r="F8694" s="4"/>
      <c r="G8694" s="4"/>
    </row>
    <row r="8695">
      <c r="A8695" s="4"/>
      <c r="B8695" s="4"/>
      <c r="C8695" s="4"/>
      <c r="D8695" s="4"/>
      <c r="E8695" s="4"/>
      <c r="F8695" s="4"/>
      <c r="G8695" s="4"/>
    </row>
    <row r="8696">
      <c r="A8696" s="4"/>
      <c r="B8696" s="4"/>
      <c r="C8696" s="4"/>
      <c r="D8696" s="4"/>
      <c r="E8696" s="4"/>
      <c r="F8696" s="4"/>
      <c r="G8696" s="4"/>
    </row>
    <row r="8697">
      <c r="A8697" s="4"/>
      <c r="B8697" s="4"/>
      <c r="C8697" s="4"/>
      <c r="D8697" s="4"/>
      <c r="E8697" s="4"/>
      <c r="F8697" s="4"/>
      <c r="G8697" s="4"/>
    </row>
    <row r="8698">
      <c r="A8698" s="4"/>
      <c r="B8698" s="4"/>
      <c r="C8698" s="4"/>
      <c r="D8698" s="13"/>
      <c r="E8698" s="13"/>
      <c r="F8698" s="4"/>
      <c r="G8698" s="4"/>
    </row>
    <row r="8699">
      <c r="A8699" s="4"/>
      <c r="B8699" s="4"/>
      <c r="C8699" s="4"/>
      <c r="D8699" s="4"/>
      <c r="E8699" s="4"/>
      <c r="F8699" s="4"/>
      <c r="G8699" s="4"/>
    </row>
    <row r="8700">
      <c r="A8700" s="4"/>
      <c r="B8700" s="4"/>
      <c r="C8700" s="4"/>
      <c r="D8700" s="4"/>
      <c r="E8700" s="4"/>
      <c r="F8700" s="4"/>
      <c r="G8700" s="4"/>
    </row>
    <row r="8701">
      <c r="A8701" s="4"/>
      <c r="B8701" s="4"/>
      <c r="C8701" s="4"/>
      <c r="D8701" s="13"/>
      <c r="E8701" s="13"/>
      <c r="F8701" s="4"/>
      <c r="G8701" s="4"/>
    </row>
    <row r="8702">
      <c r="A8702" s="4"/>
      <c r="B8702" s="4"/>
      <c r="C8702" s="4"/>
      <c r="D8702" s="4"/>
      <c r="E8702" s="4"/>
      <c r="F8702" s="4"/>
      <c r="G8702" s="4"/>
    </row>
    <row r="8703">
      <c r="A8703" s="4"/>
      <c r="B8703" s="4"/>
      <c r="C8703" s="4"/>
      <c r="D8703" s="4"/>
      <c r="E8703" s="4"/>
      <c r="F8703" s="4"/>
      <c r="G8703" s="4"/>
    </row>
    <row r="8704">
      <c r="A8704" s="4"/>
      <c r="B8704" s="4"/>
      <c r="C8704" s="4"/>
      <c r="D8704" s="4"/>
      <c r="E8704" s="4"/>
      <c r="F8704" s="4"/>
      <c r="G8704" s="4"/>
    </row>
    <row r="8705">
      <c r="A8705" s="4"/>
      <c r="B8705" s="4"/>
      <c r="C8705" s="4"/>
      <c r="D8705" s="4"/>
      <c r="E8705" s="4"/>
      <c r="F8705" s="4"/>
      <c r="G8705" s="4"/>
    </row>
    <row r="8706">
      <c r="A8706" s="4"/>
      <c r="B8706" s="4"/>
      <c r="C8706" s="4"/>
      <c r="D8706" s="4"/>
      <c r="E8706" s="4"/>
      <c r="F8706" s="4"/>
      <c r="G8706" s="4"/>
    </row>
    <row r="8707">
      <c r="A8707" s="4"/>
      <c r="B8707" s="4"/>
      <c r="C8707" s="4"/>
      <c r="D8707" s="4"/>
      <c r="E8707" s="4"/>
      <c r="F8707" s="4"/>
      <c r="G8707" s="4"/>
    </row>
    <row r="8708">
      <c r="A8708" s="4"/>
      <c r="B8708" s="4"/>
      <c r="C8708" s="4"/>
      <c r="D8708" s="13"/>
      <c r="E8708" s="13"/>
      <c r="F8708" s="4"/>
      <c r="G8708" s="4"/>
    </row>
    <row r="8709">
      <c r="A8709" s="4"/>
      <c r="B8709" s="4"/>
      <c r="C8709" s="4"/>
      <c r="D8709" s="4"/>
      <c r="E8709" s="13"/>
      <c r="F8709" s="4"/>
      <c r="G8709" s="4"/>
    </row>
    <row r="8710">
      <c r="A8710" s="4"/>
      <c r="B8710" s="4"/>
      <c r="C8710" s="4"/>
      <c r="D8710" s="13"/>
      <c r="E8710" s="13"/>
      <c r="F8710" s="4"/>
      <c r="G8710" s="4"/>
    </row>
    <row r="8711">
      <c r="A8711" s="4"/>
      <c r="B8711" s="4"/>
      <c r="C8711" s="4"/>
      <c r="D8711" s="4"/>
      <c r="E8711" s="4"/>
      <c r="F8711" s="4"/>
      <c r="G8711" s="4"/>
    </row>
    <row r="8712">
      <c r="A8712" s="4"/>
      <c r="B8712" s="4"/>
      <c r="C8712" s="4"/>
      <c r="D8712" s="13"/>
      <c r="E8712" s="13"/>
      <c r="F8712" s="4"/>
      <c r="G8712" s="4"/>
    </row>
    <row r="8713">
      <c r="A8713" s="4"/>
      <c r="B8713" s="4"/>
      <c r="C8713" s="4"/>
      <c r="D8713" s="4"/>
      <c r="E8713" s="4"/>
      <c r="F8713" s="4"/>
      <c r="G8713" s="4"/>
    </row>
    <row r="8714">
      <c r="A8714" s="4"/>
      <c r="B8714" s="4"/>
      <c r="C8714" s="4"/>
      <c r="D8714" s="13"/>
      <c r="E8714" s="13"/>
      <c r="F8714" s="4"/>
      <c r="G8714" s="4"/>
    </row>
    <row r="8715">
      <c r="A8715" s="4"/>
      <c r="B8715" s="4"/>
      <c r="C8715" s="4"/>
      <c r="D8715" s="13"/>
      <c r="E8715" s="13"/>
      <c r="F8715" s="4"/>
      <c r="G8715" s="4"/>
    </row>
    <row r="8716">
      <c r="A8716" s="4"/>
      <c r="B8716" s="4"/>
      <c r="C8716" s="4"/>
      <c r="D8716" s="13"/>
      <c r="E8716" s="13"/>
      <c r="F8716" s="4"/>
      <c r="G8716" s="4"/>
    </row>
    <row r="8717">
      <c r="A8717" s="4"/>
      <c r="B8717" s="4"/>
      <c r="C8717" s="4"/>
      <c r="D8717" s="4"/>
      <c r="E8717" s="4"/>
      <c r="F8717" s="4"/>
      <c r="G8717" s="4"/>
    </row>
    <row r="8718">
      <c r="A8718" s="4"/>
      <c r="B8718" s="4"/>
      <c r="C8718" s="4"/>
      <c r="D8718" s="4"/>
      <c r="E8718" s="4"/>
      <c r="F8718" s="4"/>
      <c r="G8718" s="4"/>
    </row>
    <row r="8719">
      <c r="A8719" s="4"/>
      <c r="B8719" s="4"/>
      <c r="C8719" s="4"/>
      <c r="D8719" s="4"/>
      <c r="E8719" s="13"/>
      <c r="F8719" s="4"/>
      <c r="G8719" s="4"/>
    </row>
    <row r="8720">
      <c r="A8720" s="4"/>
      <c r="B8720" s="4"/>
      <c r="C8720" s="4"/>
      <c r="D8720" s="4"/>
      <c r="E8720" s="13"/>
      <c r="F8720" s="4"/>
      <c r="G8720" s="4"/>
    </row>
    <row r="8721">
      <c r="A8721" s="4"/>
      <c r="B8721" s="4"/>
      <c r="C8721" s="4"/>
      <c r="D8721" s="4"/>
      <c r="E8721" s="13"/>
      <c r="F8721" s="4"/>
      <c r="G8721" s="4"/>
    </row>
    <row r="8722">
      <c r="A8722" s="4"/>
      <c r="B8722" s="4"/>
      <c r="C8722" s="4"/>
      <c r="D8722" s="4"/>
      <c r="E8722" s="4"/>
      <c r="F8722" s="4"/>
      <c r="G8722" s="4"/>
    </row>
    <row r="8723">
      <c r="A8723" s="4"/>
      <c r="B8723" s="4"/>
      <c r="C8723" s="4"/>
      <c r="D8723" s="4"/>
      <c r="E8723" s="4"/>
      <c r="F8723" s="4"/>
      <c r="G8723" s="4"/>
    </row>
    <row r="8724">
      <c r="A8724" s="4"/>
      <c r="B8724" s="4"/>
      <c r="C8724" s="4"/>
      <c r="D8724" s="4"/>
      <c r="E8724" s="13"/>
      <c r="F8724" s="4"/>
      <c r="G8724" s="4"/>
    </row>
    <row r="8725">
      <c r="A8725" s="4"/>
      <c r="B8725" s="4"/>
      <c r="C8725" s="4"/>
      <c r="D8725" s="4"/>
      <c r="E8725" s="4"/>
      <c r="F8725" s="4"/>
      <c r="G8725" s="4"/>
    </row>
    <row r="8726">
      <c r="A8726" s="4"/>
      <c r="B8726" s="4"/>
      <c r="C8726" s="4"/>
      <c r="D8726" s="4"/>
      <c r="E8726" s="4"/>
      <c r="F8726" s="4"/>
      <c r="G8726" s="4"/>
    </row>
    <row r="8727">
      <c r="A8727" s="4"/>
      <c r="B8727" s="4"/>
      <c r="C8727" s="4"/>
      <c r="D8727" s="4"/>
      <c r="E8727" s="13"/>
      <c r="F8727" s="4"/>
      <c r="G8727" s="4"/>
    </row>
    <row r="8728">
      <c r="A8728" s="4"/>
      <c r="B8728" s="4"/>
      <c r="C8728" s="4"/>
      <c r="D8728" s="4"/>
      <c r="E8728" s="13"/>
      <c r="F8728" s="4"/>
      <c r="G8728" s="4"/>
    </row>
    <row r="8729">
      <c r="A8729" s="4"/>
      <c r="B8729" s="4"/>
      <c r="C8729" s="4"/>
      <c r="D8729" s="4"/>
      <c r="E8729" s="13"/>
      <c r="F8729" s="4"/>
      <c r="G8729" s="4"/>
    </row>
    <row r="8730">
      <c r="A8730" s="4"/>
      <c r="B8730" s="4"/>
      <c r="C8730" s="4"/>
      <c r="D8730" s="4"/>
      <c r="E8730" s="4"/>
      <c r="F8730" s="4"/>
      <c r="G8730" s="4"/>
    </row>
    <row r="8731">
      <c r="A8731" s="4"/>
      <c r="B8731" s="4"/>
      <c r="C8731" s="4"/>
      <c r="D8731" s="4"/>
      <c r="E8731" s="4"/>
      <c r="F8731" s="4"/>
      <c r="G8731" s="4"/>
    </row>
    <row r="8732">
      <c r="A8732" s="4"/>
      <c r="B8732" s="4"/>
      <c r="C8732" s="4"/>
      <c r="D8732" s="4"/>
      <c r="E8732" s="13"/>
      <c r="F8732" s="4"/>
      <c r="G8732" s="4"/>
    </row>
    <row r="8733">
      <c r="A8733" s="4"/>
      <c r="B8733" s="4"/>
      <c r="C8733" s="4"/>
      <c r="D8733" s="4"/>
      <c r="E8733" s="13"/>
      <c r="F8733" s="4"/>
      <c r="G8733" s="4"/>
    </row>
    <row r="8734">
      <c r="A8734" s="4"/>
      <c r="B8734" s="4"/>
      <c r="C8734" s="4"/>
      <c r="D8734" s="4"/>
      <c r="E8734" s="4"/>
      <c r="F8734" s="4"/>
      <c r="G8734" s="4"/>
    </row>
    <row r="8735">
      <c r="A8735" s="4"/>
      <c r="B8735" s="4"/>
      <c r="C8735" s="4"/>
      <c r="D8735" s="4"/>
      <c r="E8735" s="4"/>
      <c r="F8735" s="4"/>
      <c r="G8735" s="4"/>
    </row>
    <row r="8736">
      <c r="A8736" s="4"/>
      <c r="B8736" s="4"/>
      <c r="C8736" s="4"/>
      <c r="D8736" s="4"/>
      <c r="E8736" s="13"/>
      <c r="F8736" s="4"/>
      <c r="G8736" s="4"/>
    </row>
    <row r="8737">
      <c r="A8737" s="4"/>
      <c r="B8737" s="4"/>
      <c r="C8737" s="4"/>
      <c r="D8737" s="4"/>
      <c r="E8737" s="4"/>
      <c r="F8737" s="4"/>
      <c r="G8737" s="4"/>
    </row>
    <row r="8738">
      <c r="A8738" s="4"/>
      <c r="B8738" s="4"/>
      <c r="C8738" s="4"/>
      <c r="D8738" s="4"/>
      <c r="E8738" s="4"/>
      <c r="F8738" s="4"/>
      <c r="G8738" s="4"/>
    </row>
    <row r="8739">
      <c r="A8739" s="4"/>
      <c r="B8739" s="4"/>
      <c r="C8739" s="4"/>
      <c r="D8739" s="4"/>
      <c r="E8739" s="13"/>
      <c r="F8739" s="4"/>
      <c r="G8739" s="4"/>
    </row>
    <row r="8740">
      <c r="A8740" s="4"/>
      <c r="B8740" s="4"/>
      <c r="C8740" s="4"/>
      <c r="D8740" s="4"/>
      <c r="E8740" s="13"/>
      <c r="F8740" s="4"/>
      <c r="G8740" s="4"/>
    </row>
    <row r="8741">
      <c r="A8741" s="4"/>
      <c r="B8741" s="4"/>
      <c r="C8741" s="4"/>
      <c r="D8741" s="4"/>
      <c r="E8741" s="4"/>
      <c r="F8741" s="4"/>
      <c r="G8741" s="4"/>
    </row>
    <row r="8742">
      <c r="A8742" s="4"/>
      <c r="B8742" s="4"/>
      <c r="C8742" s="4"/>
      <c r="D8742" s="4"/>
      <c r="E8742" s="13"/>
      <c r="F8742" s="4"/>
      <c r="G8742" s="4"/>
    </row>
    <row r="8743">
      <c r="A8743" s="4"/>
      <c r="B8743" s="4"/>
      <c r="C8743" s="4"/>
      <c r="D8743" s="4"/>
      <c r="E8743" s="4"/>
      <c r="F8743" s="4"/>
      <c r="G8743" s="4"/>
    </row>
    <row r="8744">
      <c r="A8744" s="4"/>
      <c r="B8744" s="4"/>
      <c r="C8744" s="4"/>
      <c r="D8744" s="4"/>
      <c r="E8744" s="13"/>
      <c r="F8744" s="4"/>
      <c r="G8744" s="4"/>
    </row>
    <row r="8745">
      <c r="A8745" s="4"/>
      <c r="B8745" s="4"/>
      <c r="C8745" s="4"/>
      <c r="D8745" s="4"/>
      <c r="E8745" s="4"/>
      <c r="F8745" s="4"/>
      <c r="G8745" s="4"/>
    </row>
    <row r="8746">
      <c r="A8746" s="4"/>
      <c r="B8746" s="4"/>
      <c r="C8746" s="4"/>
      <c r="D8746" s="4"/>
      <c r="E8746" s="13"/>
      <c r="F8746" s="4"/>
      <c r="G8746" s="4"/>
    </row>
    <row r="8747">
      <c r="A8747" s="4"/>
      <c r="B8747" s="4"/>
      <c r="C8747" s="4"/>
      <c r="D8747" s="4"/>
      <c r="E8747" s="4"/>
      <c r="F8747" s="4"/>
      <c r="G8747" s="4"/>
    </row>
    <row r="8748">
      <c r="A8748" s="4"/>
      <c r="B8748" s="4"/>
      <c r="C8748" s="4"/>
      <c r="D8748" s="13"/>
      <c r="E8748" s="13"/>
      <c r="F8748" s="4"/>
      <c r="G8748" s="4"/>
    </row>
    <row r="8749">
      <c r="A8749" s="4"/>
      <c r="B8749" s="4"/>
      <c r="C8749" s="4"/>
      <c r="D8749" s="4"/>
      <c r="E8749" s="13"/>
      <c r="F8749" s="4"/>
      <c r="G8749" s="4"/>
    </row>
    <row r="8750">
      <c r="A8750" s="4"/>
      <c r="B8750" s="4"/>
      <c r="C8750" s="4"/>
      <c r="D8750" s="4"/>
      <c r="E8750" s="13"/>
      <c r="F8750" s="4"/>
      <c r="G8750" s="4"/>
    </row>
    <row r="8751">
      <c r="A8751" s="4"/>
      <c r="B8751" s="4"/>
      <c r="C8751" s="4"/>
      <c r="D8751" s="4"/>
      <c r="E8751" s="4"/>
      <c r="F8751" s="4"/>
      <c r="G8751" s="4"/>
    </row>
    <row r="8752">
      <c r="A8752" s="4"/>
      <c r="B8752" s="4"/>
      <c r="C8752" s="4"/>
      <c r="D8752" s="4"/>
      <c r="E8752" s="4"/>
      <c r="F8752" s="4"/>
      <c r="G8752" s="4"/>
    </row>
    <row r="8753">
      <c r="A8753" s="4"/>
      <c r="B8753" s="4"/>
      <c r="C8753" s="4"/>
      <c r="D8753" s="4"/>
      <c r="E8753" s="4"/>
      <c r="F8753" s="4"/>
      <c r="G8753" s="4"/>
    </row>
    <row r="8754">
      <c r="A8754" s="4"/>
      <c r="B8754" s="4"/>
      <c r="C8754" s="4"/>
      <c r="D8754" s="13"/>
      <c r="E8754" s="13"/>
      <c r="F8754" s="4"/>
      <c r="G8754" s="4"/>
    </row>
    <row r="8755">
      <c r="A8755" s="4"/>
      <c r="B8755" s="4"/>
      <c r="C8755" s="4"/>
      <c r="D8755" s="4"/>
      <c r="E8755" s="4"/>
      <c r="F8755" s="4"/>
      <c r="G8755" s="4"/>
    </row>
    <row r="8756">
      <c r="A8756" s="4"/>
      <c r="B8756" s="4"/>
      <c r="C8756" s="4"/>
      <c r="D8756" s="4"/>
      <c r="E8756" s="13"/>
      <c r="F8756" s="4"/>
      <c r="G8756" s="4"/>
    </row>
    <row r="8757">
      <c r="A8757" s="4"/>
      <c r="B8757" s="4"/>
      <c r="C8757" s="4"/>
      <c r="D8757" s="4"/>
      <c r="E8757" s="13"/>
      <c r="F8757" s="4"/>
      <c r="G8757" s="4"/>
    </row>
    <row r="8758">
      <c r="A8758" s="4"/>
      <c r="B8758" s="4"/>
      <c r="C8758" s="4"/>
      <c r="D8758" s="4"/>
      <c r="E8758" s="4"/>
      <c r="F8758" s="4"/>
      <c r="G8758" s="4"/>
    </row>
    <row r="8759">
      <c r="A8759" s="4"/>
      <c r="B8759" s="4"/>
      <c r="C8759" s="4"/>
      <c r="D8759" s="4"/>
      <c r="E8759" s="4"/>
      <c r="F8759" s="4"/>
      <c r="G8759" s="4"/>
    </row>
    <row r="8760">
      <c r="A8760" s="4"/>
      <c r="B8760" s="4"/>
      <c r="C8760" s="4"/>
      <c r="D8760" s="4"/>
      <c r="E8760" s="4"/>
      <c r="F8760" s="4"/>
      <c r="G8760" s="4"/>
    </row>
    <row r="8761">
      <c r="A8761" s="4"/>
      <c r="B8761" s="4"/>
      <c r="C8761" s="4"/>
      <c r="D8761" s="4"/>
      <c r="E8761" s="13"/>
      <c r="F8761" s="4"/>
      <c r="G8761" s="4"/>
    </row>
    <row r="8762">
      <c r="A8762" s="4"/>
      <c r="B8762" s="4"/>
      <c r="C8762" s="4"/>
      <c r="D8762" s="4"/>
      <c r="E8762" s="4"/>
      <c r="F8762" s="4"/>
      <c r="G8762" s="4"/>
    </row>
    <row r="8763">
      <c r="A8763" s="4"/>
      <c r="B8763" s="4"/>
      <c r="C8763" s="4"/>
      <c r="D8763" s="4"/>
      <c r="E8763" s="4"/>
      <c r="F8763" s="4"/>
      <c r="G8763" s="4"/>
    </row>
    <row r="8764">
      <c r="A8764" s="4"/>
      <c r="B8764" s="4"/>
      <c r="C8764" s="4"/>
      <c r="D8764" s="4"/>
      <c r="E8764" s="4"/>
      <c r="F8764" s="4"/>
      <c r="G8764" s="4"/>
    </row>
    <row r="8765">
      <c r="A8765" s="4"/>
      <c r="B8765" s="4"/>
      <c r="C8765" s="4"/>
      <c r="D8765" s="4"/>
      <c r="E8765" s="13"/>
      <c r="F8765" s="4"/>
      <c r="G8765" s="4"/>
    </row>
    <row r="8766">
      <c r="A8766" s="4"/>
      <c r="B8766" s="4"/>
      <c r="C8766" s="4"/>
      <c r="D8766" s="4"/>
      <c r="E8766" s="4"/>
      <c r="F8766" s="4"/>
      <c r="G8766" s="4"/>
    </row>
    <row r="8767">
      <c r="A8767" s="4"/>
      <c r="B8767" s="4"/>
      <c r="C8767" s="4"/>
      <c r="D8767" s="4"/>
      <c r="E8767" s="4"/>
      <c r="F8767" s="4"/>
      <c r="G8767" s="4"/>
    </row>
    <row r="8768">
      <c r="A8768" s="4"/>
      <c r="B8768" s="4"/>
      <c r="C8768" s="4"/>
      <c r="D8768" s="4"/>
      <c r="E8768" s="13"/>
      <c r="F8768" s="4"/>
      <c r="G8768" s="4"/>
    </row>
    <row r="8769">
      <c r="A8769" s="4"/>
      <c r="B8769" s="4"/>
      <c r="C8769" s="4"/>
      <c r="D8769" s="4"/>
      <c r="E8769" s="4"/>
      <c r="F8769" s="4"/>
      <c r="G8769" s="4"/>
    </row>
    <row r="8770">
      <c r="A8770" s="4"/>
      <c r="B8770" s="4"/>
      <c r="C8770" s="4"/>
      <c r="D8770" s="4"/>
      <c r="E8770" s="4"/>
      <c r="F8770" s="4"/>
      <c r="G8770" s="4"/>
    </row>
    <row r="8771">
      <c r="A8771" s="4"/>
      <c r="B8771" s="4"/>
      <c r="C8771" s="4"/>
      <c r="D8771" s="4"/>
      <c r="E8771" s="4"/>
      <c r="F8771" s="4"/>
      <c r="G8771" s="4"/>
    </row>
    <row r="8772">
      <c r="A8772" s="4"/>
      <c r="B8772" s="4"/>
      <c r="C8772" s="4"/>
      <c r="D8772" s="4"/>
      <c r="E8772" s="4"/>
      <c r="F8772" s="4"/>
      <c r="G8772" s="4"/>
    </row>
    <row r="8773">
      <c r="A8773" s="4"/>
      <c r="B8773" s="4"/>
      <c r="C8773" s="4"/>
      <c r="D8773" s="4"/>
      <c r="E8773" s="13"/>
      <c r="F8773" s="4"/>
      <c r="G8773" s="4"/>
    </row>
    <row r="8774">
      <c r="A8774" s="4"/>
      <c r="B8774" s="4"/>
      <c r="C8774" s="4"/>
      <c r="D8774" s="13"/>
      <c r="E8774" s="13"/>
      <c r="F8774" s="4"/>
      <c r="G8774" s="4"/>
    </row>
    <row r="8775">
      <c r="A8775" s="4"/>
      <c r="B8775" s="4"/>
      <c r="C8775" s="4"/>
      <c r="D8775" s="4"/>
      <c r="E8775" s="13"/>
      <c r="F8775" s="4"/>
      <c r="G8775" s="4"/>
    </row>
    <row r="8776">
      <c r="A8776" s="4"/>
      <c r="B8776" s="4"/>
      <c r="C8776" s="4"/>
      <c r="D8776" s="4"/>
      <c r="E8776" s="4"/>
      <c r="F8776" s="4"/>
      <c r="G8776" s="4"/>
    </row>
    <row r="8777">
      <c r="A8777" s="4"/>
      <c r="B8777" s="4"/>
      <c r="C8777" s="4"/>
      <c r="D8777" s="4"/>
      <c r="E8777" s="4"/>
      <c r="F8777" s="4"/>
      <c r="G8777" s="4"/>
    </row>
    <row r="8778">
      <c r="A8778" s="4"/>
      <c r="B8778" s="4"/>
      <c r="C8778" s="4"/>
      <c r="D8778" s="4"/>
      <c r="E8778" s="13"/>
      <c r="F8778" s="4"/>
      <c r="G8778" s="4"/>
    </row>
    <row r="8779">
      <c r="A8779" s="4"/>
      <c r="B8779" s="4"/>
      <c r="C8779" s="4"/>
      <c r="D8779" s="13"/>
      <c r="E8779" s="13"/>
      <c r="F8779" s="4"/>
      <c r="G8779" s="4"/>
    </row>
    <row r="8780">
      <c r="A8780" s="4"/>
      <c r="B8780" s="4"/>
      <c r="C8780" s="4"/>
      <c r="D8780" s="4"/>
      <c r="E8780" s="13"/>
      <c r="F8780" s="4"/>
      <c r="G8780" s="4"/>
    </row>
    <row r="8781">
      <c r="A8781" s="4"/>
      <c r="B8781" s="4"/>
      <c r="C8781" s="4"/>
      <c r="D8781" s="4"/>
      <c r="E8781" s="4"/>
      <c r="F8781" s="4"/>
      <c r="G8781" s="4"/>
    </row>
    <row r="8782">
      <c r="A8782" s="4"/>
      <c r="B8782" s="4"/>
      <c r="C8782" s="4"/>
      <c r="D8782" s="4"/>
      <c r="E8782" s="13"/>
      <c r="F8782" s="4"/>
      <c r="G8782" s="4"/>
    </row>
    <row r="8783">
      <c r="A8783" s="4"/>
      <c r="B8783" s="4"/>
      <c r="C8783" s="4"/>
      <c r="D8783" s="4"/>
      <c r="E8783" s="4"/>
      <c r="F8783" s="4"/>
      <c r="G8783" s="4"/>
    </row>
    <row r="8784">
      <c r="A8784" s="4"/>
      <c r="B8784" s="4"/>
      <c r="C8784" s="4"/>
      <c r="D8784" s="13"/>
      <c r="E8784" s="13"/>
      <c r="F8784" s="4"/>
      <c r="G8784" s="4"/>
    </row>
    <row r="8785">
      <c r="A8785" s="4"/>
      <c r="B8785" s="4"/>
      <c r="C8785" s="4"/>
      <c r="D8785" s="13"/>
      <c r="E8785" s="13"/>
      <c r="F8785" s="4"/>
      <c r="G8785" s="4"/>
    </row>
    <row r="8786">
      <c r="A8786" s="4"/>
      <c r="B8786" s="4"/>
      <c r="C8786" s="4"/>
      <c r="D8786" s="4"/>
      <c r="E8786" s="4"/>
      <c r="F8786" s="4"/>
      <c r="G8786" s="4"/>
    </row>
    <row r="8787">
      <c r="A8787" s="4"/>
      <c r="B8787" s="4"/>
      <c r="C8787" s="4"/>
      <c r="D8787" s="4"/>
      <c r="E8787" s="4"/>
      <c r="F8787" s="4"/>
      <c r="G8787" s="4"/>
    </row>
    <row r="8788">
      <c r="A8788" s="4"/>
      <c r="B8788" s="4"/>
      <c r="C8788" s="4"/>
      <c r="D8788" s="4"/>
      <c r="E8788" s="13"/>
      <c r="F8788" s="4"/>
      <c r="G8788" s="4"/>
    </row>
    <row r="8789">
      <c r="A8789" s="4"/>
      <c r="B8789" s="4"/>
      <c r="C8789" s="4"/>
      <c r="D8789" s="4"/>
      <c r="E8789" s="4"/>
      <c r="F8789" s="4"/>
      <c r="G8789" s="4"/>
    </row>
    <row r="8790">
      <c r="A8790" s="4"/>
      <c r="B8790" s="4"/>
      <c r="C8790" s="4"/>
      <c r="D8790" s="4"/>
      <c r="E8790" s="4"/>
      <c r="F8790" s="4"/>
      <c r="G8790" s="4"/>
    </row>
    <row r="8791">
      <c r="A8791" s="4"/>
      <c r="B8791" s="4"/>
      <c r="C8791" s="4"/>
      <c r="D8791" s="13"/>
      <c r="E8791" s="13"/>
      <c r="F8791" s="4"/>
      <c r="G8791" s="4"/>
    </row>
    <row r="8792">
      <c r="A8792" s="4"/>
      <c r="B8792" s="4"/>
      <c r="C8792" s="4"/>
      <c r="D8792" s="13"/>
      <c r="E8792" s="13"/>
      <c r="F8792" s="4"/>
      <c r="G8792" s="4"/>
    </row>
    <row r="8793">
      <c r="A8793" s="4"/>
      <c r="B8793" s="4"/>
      <c r="C8793" s="4"/>
      <c r="D8793" s="13"/>
      <c r="E8793" s="13"/>
      <c r="F8793" s="4"/>
      <c r="G8793" s="4"/>
    </row>
    <row r="8794">
      <c r="A8794" s="4"/>
      <c r="B8794" s="4"/>
      <c r="C8794" s="4"/>
      <c r="D8794" s="13"/>
      <c r="E8794" s="13"/>
      <c r="F8794" s="4"/>
      <c r="G8794" s="4"/>
    </row>
    <row r="8795">
      <c r="A8795" s="4"/>
      <c r="B8795" s="4"/>
      <c r="C8795" s="4"/>
      <c r="D8795" s="13"/>
      <c r="E8795" s="13"/>
      <c r="F8795" s="4"/>
      <c r="G8795" s="4"/>
    </row>
    <row r="8796">
      <c r="A8796" s="4"/>
      <c r="B8796" s="4"/>
      <c r="C8796" s="4"/>
      <c r="D8796" s="4"/>
      <c r="E8796" s="4"/>
      <c r="F8796" s="4"/>
      <c r="G8796" s="4"/>
    </row>
    <row r="8797">
      <c r="A8797" s="4"/>
      <c r="B8797" s="4"/>
      <c r="C8797" s="4"/>
      <c r="D8797" s="4"/>
      <c r="E8797" s="13"/>
      <c r="F8797" s="4"/>
      <c r="G8797" s="4"/>
    </row>
    <row r="8798">
      <c r="A8798" s="4"/>
      <c r="B8798" s="4"/>
      <c r="C8798" s="4"/>
      <c r="D8798" s="4"/>
      <c r="E8798" s="4"/>
      <c r="F8798" s="4"/>
      <c r="G8798" s="4"/>
    </row>
    <row r="8799">
      <c r="A8799" s="4"/>
      <c r="B8799" s="4"/>
      <c r="C8799" s="4"/>
      <c r="D8799" s="4"/>
      <c r="E8799" s="4"/>
      <c r="F8799" s="4"/>
      <c r="G8799" s="4"/>
    </row>
    <row r="8800">
      <c r="A8800" s="4"/>
      <c r="B8800" s="4"/>
      <c r="C8800" s="4"/>
      <c r="D8800" s="4"/>
      <c r="E8800" s="13"/>
      <c r="F8800" s="4"/>
      <c r="G8800" s="4"/>
    </row>
    <row r="8801">
      <c r="A8801" s="4"/>
      <c r="B8801" s="4"/>
      <c r="C8801" s="4"/>
      <c r="D8801" s="13"/>
      <c r="E8801" s="13"/>
      <c r="F8801" s="4"/>
      <c r="G8801" s="4"/>
    </row>
    <row r="8802">
      <c r="A8802" s="4"/>
      <c r="B8802" s="4"/>
      <c r="C8802" s="4"/>
      <c r="D8802" s="4"/>
      <c r="E8802" s="4"/>
      <c r="F8802" s="4"/>
      <c r="G8802" s="4"/>
    </row>
    <row r="8803">
      <c r="A8803" s="4"/>
      <c r="B8803" s="4"/>
      <c r="C8803" s="4"/>
      <c r="D8803" s="4"/>
      <c r="E8803" s="13"/>
      <c r="F8803" s="4"/>
      <c r="G8803" s="4"/>
    </row>
    <row r="8804">
      <c r="A8804" s="4"/>
      <c r="B8804" s="4"/>
      <c r="C8804" s="4"/>
      <c r="D8804" s="4"/>
      <c r="E8804" s="4"/>
      <c r="F8804" s="4"/>
      <c r="G8804" s="4"/>
    </row>
    <row r="8805">
      <c r="A8805" s="4"/>
      <c r="B8805" s="4"/>
      <c r="C8805" s="4"/>
      <c r="D8805" s="4"/>
      <c r="E8805" s="4"/>
      <c r="F8805" s="4"/>
      <c r="G8805" s="4"/>
    </row>
    <row r="8806">
      <c r="A8806" s="4"/>
      <c r="B8806" s="4"/>
      <c r="C8806" s="4"/>
      <c r="D8806" s="13"/>
      <c r="E8806" s="4"/>
      <c r="F8806" s="4"/>
      <c r="G8806" s="4"/>
    </row>
    <row r="8807">
      <c r="A8807" s="4"/>
      <c r="B8807" s="4"/>
      <c r="C8807" s="4"/>
      <c r="D8807" s="4"/>
      <c r="E8807" s="4"/>
      <c r="F8807" s="4"/>
      <c r="G8807" s="4"/>
    </row>
    <row r="8808">
      <c r="A8808" s="4"/>
      <c r="B8808" s="4"/>
      <c r="C8808" s="4"/>
      <c r="D8808" s="4"/>
      <c r="E8808" s="4"/>
      <c r="F8808" s="4"/>
      <c r="G8808" s="4"/>
    </row>
    <row r="8809">
      <c r="A8809" s="4"/>
      <c r="B8809" s="4"/>
      <c r="C8809" s="4"/>
      <c r="D8809" s="4"/>
      <c r="E8809" s="13"/>
      <c r="F8809" s="4"/>
      <c r="G8809" s="4"/>
    </row>
    <row r="8810">
      <c r="A8810" s="4"/>
      <c r="B8810" s="4"/>
      <c r="C8810" s="4"/>
      <c r="D8810" s="4"/>
      <c r="E8810" s="13"/>
      <c r="F8810" s="4"/>
      <c r="G8810" s="4"/>
    </row>
    <row r="8811">
      <c r="A8811" s="4"/>
      <c r="B8811" s="4"/>
      <c r="C8811" s="4"/>
      <c r="D8811" s="4"/>
      <c r="E8811" s="4"/>
      <c r="F8811" s="4"/>
      <c r="G8811" s="4"/>
    </row>
    <row r="8812">
      <c r="A8812" s="4"/>
      <c r="B8812" s="4"/>
      <c r="C8812" s="4"/>
      <c r="D8812" s="4"/>
      <c r="E8812" s="4"/>
      <c r="F8812" s="4"/>
      <c r="G8812" s="4"/>
    </row>
    <row r="8813">
      <c r="A8813" s="4"/>
      <c r="B8813" s="4"/>
      <c r="C8813" s="4"/>
      <c r="D8813" s="4"/>
      <c r="E8813" s="4"/>
      <c r="F8813" s="4"/>
      <c r="G8813" s="4"/>
    </row>
    <row r="8814">
      <c r="A8814" s="4"/>
      <c r="B8814" s="4"/>
      <c r="C8814" s="4"/>
      <c r="D8814" s="4"/>
      <c r="E8814" s="4"/>
      <c r="F8814" s="4"/>
      <c r="G8814" s="4"/>
    </row>
    <row r="8815">
      <c r="A8815" s="4"/>
      <c r="B8815" s="4"/>
      <c r="C8815" s="4"/>
      <c r="D8815" s="4"/>
      <c r="E8815" s="13"/>
      <c r="F8815" s="4"/>
      <c r="G8815" s="4"/>
    </row>
    <row r="8816">
      <c r="A8816" s="4"/>
      <c r="B8816" s="4"/>
      <c r="C8816" s="4"/>
      <c r="D8816" s="4"/>
      <c r="E8816" s="4"/>
      <c r="F8816" s="4"/>
      <c r="G8816" s="4"/>
    </row>
    <row r="8817">
      <c r="A8817" s="4"/>
      <c r="B8817" s="4"/>
      <c r="C8817" s="4"/>
      <c r="D8817" s="4"/>
      <c r="E8817" s="4"/>
      <c r="F8817" s="4"/>
      <c r="G8817" s="4"/>
    </row>
    <row r="8818">
      <c r="A8818" s="4"/>
      <c r="B8818" s="4"/>
      <c r="C8818" s="4"/>
      <c r="D8818" s="4"/>
      <c r="E8818" s="13"/>
      <c r="F8818" s="4"/>
      <c r="G8818" s="4"/>
    </row>
    <row r="8819">
      <c r="A8819" s="4"/>
      <c r="B8819" s="4"/>
      <c r="C8819" s="4"/>
      <c r="D8819" s="4"/>
      <c r="E8819" s="4"/>
      <c r="F8819" s="4"/>
      <c r="G8819" s="4"/>
    </row>
    <row r="8820">
      <c r="A8820" s="4"/>
      <c r="B8820" s="4"/>
      <c r="C8820" s="4"/>
      <c r="D8820" s="4"/>
      <c r="E8820" s="4"/>
      <c r="F8820" s="4"/>
      <c r="G8820" s="4"/>
    </row>
    <row r="8821">
      <c r="A8821" s="4"/>
      <c r="B8821" s="4"/>
      <c r="C8821" s="4"/>
      <c r="D8821" s="13"/>
      <c r="E8821" s="13"/>
      <c r="F8821" s="4"/>
      <c r="G8821" s="4"/>
    </row>
    <row r="8822">
      <c r="A8822" s="4"/>
      <c r="B8822" s="4"/>
      <c r="C8822" s="4"/>
      <c r="D8822" s="13"/>
      <c r="E8822" s="13"/>
      <c r="F8822" s="4"/>
      <c r="G8822" s="4"/>
    </row>
    <row r="8823">
      <c r="A8823" s="4"/>
      <c r="B8823" s="4"/>
      <c r="C8823" s="4"/>
      <c r="D8823" s="13"/>
      <c r="E8823" s="13"/>
      <c r="F8823" s="4"/>
      <c r="G8823" s="4"/>
    </row>
    <row r="8824">
      <c r="A8824" s="4"/>
      <c r="B8824" s="4"/>
      <c r="C8824" s="4"/>
      <c r="D8824" s="13"/>
      <c r="E8824" s="13"/>
      <c r="F8824" s="4"/>
      <c r="G8824" s="4"/>
    </row>
    <row r="8825">
      <c r="A8825" s="4"/>
      <c r="B8825" s="4"/>
      <c r="C8825" s="4"/>
      <c r="D8825" s="13"/>
      <c r="E8825" s="13"/>
      <c r="F8825" s="4"/>
      <c r="G8825" s="4"/>
    </row>
    <row r="8826">
      <c r="A8826" s="4"/>
      <c r="B8826" s="4"/>
      <c r="C8826" s="4"/>
      <c r="D8826" s="13"/>
      <c r="E8826" s="13"/>
      <c r="F8826" s="4"/>
      <c r="G8826" s="4"/>
    </row>
    <row r="8827">
      <c r="A8827" s="4"/>
      <c r="B8827" s="4"/>
      <c r="C8827" s="4"/>
      <c r="D8827" s="13"/>
      <c r="E8827" s="13"/>
      <c r="F8827" s="4"/>
      <c r="G8827" s="4"/>
    </row>
    <row r="8828">
      <c r="A8828" s="4"/>
      <c r="B8828" s="4"/>
      <c r="C8828" s="4"/>
      <c r="D8828" s="13"/>
      <c r="E8828" s="13"/>
      <c r="F8828" s="4"/>
      <c r="G8828" s="4"/>
    </row>
    <row r="8829">
      <c r="A8829" s="4"/>
      <c r="B8829" s="4"/>
      <c r="C8829" s="4"/>
      <c r="D8829" s="13"/>
      <c r="E8829" s="13"/>
      <c r="F8829" s="4"/>
      <c r="G8829" s="4"/>
    </row>
    <row r="8830">
      <c r="A8830" s="4"/>
      <c r="B8830" s="4"/>
      <c r="C8830" s="4"/>
      <c r="D8830" s="4"/>
      <c r="E8830" s="4"/>
      <c r="F8830" s="4"/>
      <c r="G8830" s="4"/>
    </row>
    <row r="8831">
      <c r="A8831" s="4"/>
      <c r="B8831" s="4"/>
      <c r="C8831" s="4"/>
      <c r="D8831" s="4"/>
      <c r="E8831" s="4"/>
      <c r="F8831" s="4"/>
      <c r="G8831" s="4"/>
    </row>
    <row r="8832">
      <c r="A8832" s="4"/>
      <c r="B8832" s="4"/>
      <c r="C8832" s="4"/>
      <c r="D8832" s="4"/>
      <c r="E8832" s="4"/>
      <c r="F8832" s="4"/>
      <c r="G8832" s="4"/>
    </row>
    <row r="8833">
      <c r="A8833" s="4"/>
      <c r="B8833" s="4"/>
      <c r="C8833" s="4"/>
      <c r="D8833" s="4"/>
      <c r="E8833" s="4"/>
      <c r="F8833" s="4"/>
      <c r="G8833" s="4"/>
    </row>
    <row r="8834">
      <c r="A8834" s="4"/>
      <c r="B8834" s="4"/>
      <c r="C8834" s="4"/>
      <c r="D8834" s="4"/>
      <c r="E8834" s="4"/>
      <c r="F8834" s="4"/>
      <c r="G8834" s="4"/>
    </row>
    <row r="8835">
      <c r="A8835" s="4"/>
      <c r="B8835" s="4"/>
      <c r="C8835" s="4"/>
      <c r="D8835" s="4"/>
      <c r="E8835" s="4"/>
      <c r="F8835" s="4"/>
      <c r="G8835" s="4"/>
    </row>
    <row r="8836">
      <c r="A8836" s="4"/>
      <c r="B8836" s="4"/>
      <c r="C8836" s="4"/>
      <c r="D8836" s="4"/>
      <c r="E8836" s="13"/>
      <c r="F8836" s="4"/>
      <c r="G8836" s="4"/>
    </row>
    <row r="8837">
      <c r="A8837" s="4"/>
      <c r="B8837" s="4"/>
      <c r="C8837" s="4"/>
      <c r="D8837" s="4"/>
      <c r="E8837" s="13"/>
      <c r="F8837" s="4"/>
      <c r="G8837" s="4"/>
    </row>
    <row r="8838">
      <c r="A8838" s="4"/>
      <c r="B8838" s="4"/>
      <c r="C8838" s="4"/>
      <c r="D8838" s="4"/>
      <c r="E8838" s="13"/>
      <c r="F8838" s="4"/>
      <c r="G8838" s="4"/>
    </row>
    <row r="8839">
      <c r="A8839" s="4"/>
      <c r="B8839" s="4"/>
      <c r="C8839" s="4"/>
      <c r="D8839" s="4"/>
      <c r="E8839" s="4"/>
      <c r="F8839" s="4"/>
      <c r="G8839" s="4"/>
    </row>
    <row r="8840">
      <c r="A8840" s="4"/>
      <c r="B8840" s="4"/>
      <c r="C8840" s="4"/>
      <c r="D8840" s="4"/>
      <c r="E8840" s="4"/>
      <c r="F8840" s="4"/>
      <c r="G8840" s="4"/>
    </row>
    <row r="8841">
      <c r="A8841" s="4"/>
      <c r="B8841" s="4"/>
      <c r="C8841" s="4"/>
      <c r="D8841" s="4"/>
      <c r="E8841" s="13"/>
      <c r="F8841" s="4"/>
      <c r="G8841" s="4"/>
    </row>
    <row r="8842">
      <c r="A8842" s="4"/>
      <c r="B8842" s="4"/>
      <c r="C8842" s="4"/>
      <c r="D8842" s="4"/>
      <c r="E8842" s="4"/>
      <c r="F8842" s="4"/>
      <c r="G8842" s="4"/>
    </row>
    <row r="8843">
      <c r="A8843" s="4"/>
      <c r="B8843" s="4"/>
      <c r="C8843" s="4"/>
      <c r="D8843" s="4"/>
      <c r="E8843" s="4"/>
      <c r="F8843" s="4"/>
      <c r="G8843" s="4"/>
    </row>
    <row r="8844">
      <c r="A8844" s="4"/>
      <c r="B8844" s="4"/>
      <c r="C8844" s="4"/>
      <c r="D8844" s="4"/>
      <c r="E8844" s="4"/>
      <c r="F8844" s="4"/>
      <c r="G8844" s="4"/>
    </row>
    <row r="8845">
      <c r="A8845" s="4"/>
      <c r="B8845" s="4"/>
      <c r="C8845" s="4"/>
      <c r="D8845" s="4"/>
      <c r="E8845" s="4"/>
      <c r="F8845" s="4"/>
      <c r="G8845" s="4"/>
    </row>
    <row r="8846">
      <c r="A8846" s="4"/>
      <c r="B8846" s="4"/>
      <c r="C8846" s="4"/>
      <c r="D8846" s="4"/>
      <c r="E8846" s="4"/>
      <c r="F8846" s="4"/>
      <c r="G8846" s="4"/>
    </row>
    <row r="8847">
      <c r="A8847" s="4"/>
      <c r="B8847" s="4"/>
      <c r="C8847" s="4"/>
      <c r="D8847" s="4"/>
      <c r="E8847" s="4"/>
      <c r="F8847" s="4"/>
      <c r="G8847" s="4"/>
    </row>
    <row r="8848">
      <c r="A8848" s="4"/>
      <c r="B8848" s="4"/>
      <c r="C8848" s="4"/>
      <c r="D8848" s="4"/>
      <c r="E8848" s="4"/>
      <c r="F8848" s="4"/>
      <c r="G8848" s="4"/>
    </row>
    <row r="8849">
      <c r="A8849" s="4"/>
      <c r="B8849" s="4"/>
      <c r="C8849" s="4"/>
      <c r="D8849" s="4"/>
      <c r="E8849" s="13"/>
      <c r="F8849" s="4"/>
      <c r="G8849" s="4"/>
    </row>
    <row r="8850">
      <c r="A8850" s="4"/>
      <c r="B8850" s="4"/>
      <c r="C8850" s="4"/>
      <c r="D8850" s="4"/>
      <c r="E8850" s="13"/>
      <c r="F8850" s="4"/>
      <c r="G8850" s="4"/>
    </row>
    <row r="8851">
      <c r="A8851" s="4"/>
      <c r="B8851" s="4"/>
      <c r="C8851" s="4"/>
      <c r="D8851" s="4"/>
      <c r="E8851" s="4"/>
      <c r="F8851" s="4"/>
      <c r="G8851" s="4"/>
    </row>
    <row r="8852">
      <c r="A8852" s="4"/>
      <c r="B8852" s="4"/>
      <c r="C8852" s="4"/>
      <c r="D8852" s="4"/>
      <c r="E8852" s="4"/>
      <c r="F8852" s="4"/>
      <c r="G8852" s="4"/>
    </row>
    <row r="8853">
      <c r="A8853" s="4"/>
      <c r="B8853" s="4"/>
      <c r="C8853" s="4"/>
      <c r="D8853" s="13"/>
      <c r="E8853" s="13"/>
      <c r="F8853" s="4"/>
      <c r="G8853" s="4"/>
    </row>
    <row r="8854">
      <c r="A8854" s="4"/>
      <c r="B8854" s="4"/>
      <c r="C8854" s="4"/>
      <c r="D8854" s="13"/>
      <c r="E8854" s="13"/>
      <c r="F8854" s="4"/>
      <c r="G8854" s="4"/>
    </row>
    <row r="8855">
      <c r="A8855" s="4"/>
      <c r="B8855" s="4"/>
      <c r="C8855" s="4"/>
      <c r="D8855" s="4"/>
      <c r="E8855" s="13"/>
      <c r="F8855" s="4"/>
      <c r="G8855" s="4"/>
    </row>
    <row r="8856">
      <c r="A8856" s="4"/>
      <c r="B8856" s="4"/>
      <c r="C8856" s="4"/>
      <c r="D8856" s="4"/>
      <c r="E8856" s="4"/>
      <c r="F8856" s="4"/>
      <c r="G8856" s="4"/>
    </row>
    <row r="8857">
      <c r="A8857" s="4"/>
      <c r="B8857" s="4"/>
      <c r="C8857" s="4"/>
      <c r="D8857" s="4"/>
      <c r="E8857" s="4"/>
      <c r="F8857" s="4"/>
      <c r="G8857" s="4"/>
    </row>
    <row r="8858">
      <c r="A8858" s="4"/>
      <c r="B8858" s="4"/>
      <c r="C8858" s="4"/>
      <c r="D8858" s="4"/>
      <c r="E8858" s="4"/>
      <c r="F8858" s="4"/>
      <c r="G8858" s="4"/>
    </row>
    <row r="8859">
      <c r="A8859" s="4"/>
      <c r="B8859" s="4"/>
      <c r="C8859" s="4"/>
      <c r="D8859" s="4"/>
      <c r="E8859" s="13"/>
      <c r="F8859" s="4"/>
      <c r="G8859" s="4"/>
    </row>
    <row r="8860">
      <c r="A8860" s="4"/>
      <c r="B8860" s="4"/>
      <c r="C8860" s="4"/>
      <c r="D8860" s="4"/>
      <c r="E8860" s="4"/>
      <c r="F8860" s="4"/>
      <c r="G8860" s="4"/>
    </row>
    <row r="8861">
      <c r="A8861" s="4"/>
      <c r="B8861" s="4"/>
      <c r="C8861" s="4"/>
      <c r="D8861" s="4"/>
      <c r="E8861" s="13"/>
      <c r="F8861" s="4"/>
      <c r="G8861" s="4"/>
    </row>
    <row r="8862">
      <c r="A8862" s="4"/>
      <c r="B8862" s="4"/>
      <c r="C8862" s="4"/>
      <c r="D8862" s="4"/>
      <c r="E8862" s="13"/>
      <c r="F8862" s="4"/>
      <c r="G8862" s="4"/>
    </row>
    <row r="8863">
      <c r="A8863" s="4"/>
      <c r="B8863" s="4"/>
      <c r="C8863" s="4"/>
      <c r="D8863" s="4"/>
      <c r="E8863" s="4"/>
      <c r="F8863" s="4"/>
      <c r="G8863" s="4"/>
    </row>
    <row r="8864">
      <c r="A8864" s="4"/>
      <c r="B8864" s="4"/>
      <c r="C8864" s="4"/>
      <c r="D8864" s="4"/>
      <c r="E8864" s="4"/>
      <c r="F8864" s="4"/>
      <c r="G8864" s="4"/>
    </row>
    <row r="8865">
      <c r="A8865" s="4"/>
      <c r="B8865" s="4"/>
      <c r="C8865" s="4"/>
      <c r="D8865" s="4"/>
      <c r="E8865" s="4"/>
      <c r="F8865" s="4"/>
      <c r="G8865" s="4"/>
    </row>
    <row r="8866">
      <c r="A8866" s="4"/>
      <c r="B8866" s="4"/>
      <c r="C8866" s="4"/>
      <c r="D8866" s="13"/>
      <c r="E8866" s="13"/>
      <c r="F8866" s="4"/>
      <c r="G8866" s="4"/>
    </row>
    <row r="8867">
      <c r="A8867" s="4"/>
      <c r="B8867" s="4"/>
      <c r="C8867" s="4"/>
      <c r="D8867" s="13"/>
      <c r="E8867" s="13"/>
      <c r="F8867" s="4"/>
      <c r="G8867" s="4"/>
    </row>
    <row r="8868">
      <c r="A8868" s="4"/>
      <c r="B8868" s="4"/>
      <c r="C8868" s="4"/>
      <c r="D8868" s="4"/>
      <c r="E8868" s="4"/>
      <c r="F8868" s="4"/>
      <c r="G8868" s="4"/>
    </row>
    <row r="8869">
      <c r="A8869" s="4"/>
      <c r="B8869" s="4"/>
      <c r="C8869" s="4"/>
      <c r="D8869" s="4"/>
      <c r="E8869" s="13"/>
      <c r="F8869" s="4"/>
      <c r="G8869" s="4"/>
    </row>
    <row r="8870">
      <c r="A8870" s="4"/>
      <c r="B8870" s="4"/>
      <c r="C8870" s="4"/>
      <c r="D8870" s="4"/>
      <c r="E8870" s="13"/>
      <c r="F8870" s="4"/>
      <c r="G8870" s="4"/>
    </row>
    <row r="8871">
      <c r="A8871" s="4"/>
      <c r="B8871" s="4"/>
      <c r="C8871" s="4"/>
      <c r="D8871" s="4"/>
      <c r="E8871" s="4"/>
      <c r="F8871" s="4"/>
      <c r="G8871" s="4"/>
    </row>
    <row r="8872">
      <c r="A8872" s="4"/>
      <c r="B8872" s="4"/>
      <c r="C8872" s="4"/>
      <c r="D8872" s="4"/>
      <c r="E8872" s="13"/>
      <c r="F8872" s="4"/>
      <c r="G8872" s="4"/>
    </row>
    <row r="8873">
      <c r="A8873" s="4"/>
      <c r="B8873" s="4"/>
      <c r="C8873" s="4"/>
      <c r="D8873" s="4"/>
      <c r="E8873" s="4"/>
      <c r="F8873" s="4"/>
      <c r="G8873" s="4"/>
    </row>
    <row r="8874">
      <c r="A8874" s="4"/>
      <c r="B8874" s="4"/>
      <c r="C8874" s="4"/>
      <c r="D8874" s="13"/>
      <c r="E8874" s="13"/>
      <c r="F8874" s="4"/>
      <c r="G8874" s="4"/>
    </row>
    <row r="8875">
      <c r="A8875" s="4"/>
      <c r="B8875" s="4"/>
      <c r="C8875" s="4"/>
      <c r="D8875" s="13"/>
      <c r="E8875" s="13"/>
      <c r="F8875" s="4"/>
      <c r="G8875" s="4"/>
    </row>
    <row r="8876">
      <c r="A8876" s="4"/>
      <c r="B8876" s="4"/>
      <c r="C8876" s="4"/>
      <c r="D8876" s="4"/>
      <c r="E8876" s="4"/>
      <c r="F8876" s="4"/>
      <c r="G8876" s="4"/>
    </row>
    <row r="8877">
      <c r="A8877" s="4"/>
      <c r="B8877" s="4"/>
      <c r="C8877" s="4"/>
      <c r="D8877" s="13"/>
      <c r="E8877" s="13"/>
      <c r="F8877" s="4"/>
      <c r="G8877" s="4"/>
    </row>
    <row r="8878">
      <c r="A8878" s="4"/>
      <c r="B8878" s="4"/>
      <c r="C8878" s="4"/>
      <c r="D8878" s="13"/>
      <c r="E8878" s="13"/>
      <c r="F8878" s="4"/>
      <c r="G8878" s="4"/>
    </row>
    <row r="8879">
      <c r="A8879" s="4"/>
      <c r="B8879" s="4"/>
      <c r="C8879" s="4"/>
      <c r="D8879" s="4"/>
      <c r="E8879" s="4"/>
      <c r="F8879" s="4"/>
      <c r="G8879" s="4"/>
    </row>
    <row r="8880">
      <c r="A8880" s="4"/>
      <c r="B8880" s="4"/>
      <c r="C8880" s="4"/>
      <c r="D8880" s="4"/>
      <c r="E8880" s="4"/>
      <c r="F8880" s="4"/>
      <c r="G8880" s="4"/>
    </row>
    <row r="8881">
      <c r="A8881" s="4"/>
      <c r="B8881" s="4"/>
      <c r="C8881" s="4"/>
      <c r="D8881" s="4"/>
      <c r="E8881" s="13"/>
      <c r="F8881" s="4"/>
      <c r="G8881" s="4"/>
    </row>
    <row r="8882">
      <c r="A8882" s="4"/>
      <c r="B8882" s="4"/>
      <c r="C8882" s="4"/>
      <c r="D8882" s="4"/>
      <c r="E8882" s="4"/>
      <c r="F8882" s="4"/>
      <c r="G8882" s="4"/>
    </row>
    <row r="8883">
      <c r="A8883" s="4"/>
      <c r="B8883" s="4"/>
      <c r="C8883" s="4"/>
      <c r="D8883" s="4"/>
      <c r="E8883" s="4"/>
      <c r="F8883" s="4"/>
      <c r="G8883" s="4"/>
    </row>
    <row r="8884">
      <c r="A8884" s="4"/>
      <c r="B8884" s="4"/>
      <c r="C8884" s="4"/>
      <c r="D8884" s="4"/>
      <c r="E8884" s="13"/>
      <c r="F8884" s="4"/>
      <c r="G8884" s="4"/>
    </row>
    <row r="8885">
      <c r="A8885" s="4"/>
      <c r="B8885" s="4"/>
      <c r="C8885" s="4"/>
      <c r="D8885" s="4"/>
      <c r="E8885" s="4"/>
      <c r="F8885" s="4"/>
      <c r="G8885" s="4"/>
    </row>
    <row r="8886">
      <c r="A8886" s="4"/>
      <c r="B8886" s="4"/>
      <c r="C8886" s="4"/>
      <c r="D8886" s="4"/>
      <c r="E8886" s="4"/>
      <c r="F8886" s="4"/>
      <c r="G8886" s="4"/>
    </row>
    <row r="8887">
      <c r="A8887" s="4"/>
      <c r="B8887" s="4"/>
      <c r="C8887" s="4"/>
      <c r="D8887" s="4"/>
      <c r="E8887" s="13"/>
      <c r="F8887" s="4"/>
      <c r="G8887" s="4"/>
    </row>
    <row r="8888">
      <c r="A8888" s="4"/>
      <c r="B8888" s="4"/>
      <c r="C8888" s="4"/>
      <c r="D8888" s="4"/>
      <c r="E8888" s="4"/>
      <c r="F8888" s="4"/>
      <c r="G8888" s="4"/>
    </row>
    <row r="8889">
      <c r="A8889" s="4"/>
      <c r="B8889" s="4"/>
      <c r="C8889" s="4"/>
      <c r="D8889" s="13"/>
      <c r="E8889" s="13"/>
      <c r="F8889" s="4"/>
      <c r="G8889" s="4"/>
    </row>
    <row r="8890">
      <c r="A8890" s="4"/>
      <c r="B8890" s="4"/>
      <c r="C8890" s="4"/>
      <c r="D8890" s="13"/>
      <c r="E8890" s="13"/>
      <c r="F8890" s="4"/>
      <c r="G8890" s="4"/>
    </row>
    <row r="8891">
      <c r="A8891" s="4"/>
      <c r="B8891" s="4"/>
      <c r="C8891" s="4"/>
      <c r="D8891" s="13"/>
      <c r="E8891" s="13"/>
      <c r="F8891" s="4"/>
      <c r="G8891" s="4"/>
    </row>
    <row r="8892">
      <c r="A8892" s="4"/>
      <c r="B8892" s="4"/>
      <c r="C8892" s="4"/>
      <c r="D8892" s="4"/>
      <c r="E8892" s="4"/>
      <c r="F8892" s="4"/>
      <c r="G8892" s="4"/>
    </row>
    <row r="8893">
      <c r="A8893" s="4"/>
      <c r="B8893" s="4"/>
      <c r="C8893" s="4"/>
      <c r="D8893" s="13"/>
      <c r="E8893" s="13"/>
      <c r="F8893" s="4"/>
      <c r="G8893" s="4"/>
    </row>
    <row r="8894">
      <c r="A8894" s="4"/>
      <c r="B8894" s="4"/>
      <c r="C8894" s="4"/>
      <c r="D8894" s="4"/>
      <c r="E8894" s="4"/>
      <c r="F8894" s="4"/>
      <c r="G8894" s="4"/>
    </row>
    <row r="8895">
      <c r="A8895" s="4"/>
      <c r="B8895" s="4"/>
      <c r="C8895" s="4"/>
      <c r="D8895" s="4"/>
      <c r="E8895" s="4"/>
      <c r="F8895" s="4"/>
      <c r="G8895" s="4"/>
    </row>
    <row r="8896">
      <c r="A8896" s="4"/>
      <c r="B8896" s="4"/>
      <c r="C8896" s="4"/>
      <c r="D8896" s="4"/>
      <c r="E8896" s="4"/>
      <c r="F8896" s="4"/>
      <c r="G8896" s="4"/>
    </row>
    <row r="8897">
      <c r="A8897" s="4"/>
      <c r="B8897" s="4"/>
      <c r="C8897" s="4"/>
      <c r="D8897" s="4"/>
      <c r="E8897" s="13"/>
      <c r="F8897" s="4"/>
      <c r="G8897" s="4"/>
    </row>
    <row r="8898">
      <c r="A8898" s="4"/>
      <c r="B8898" s="4"/>
      <c r="C8898" s="4"/>
      <c r="D8898" s="4"/>
      <c r="E8898" s="4"/>
      <c r="F8898" s="4"/>
      <c r="G8898" s="4"/>
    </row>
    <row r="8899">
      <c r="A8899" s="4"/>
      <c r="B8899" s="4"/>
      <c r="C8899" s="4"/>
      <c r="D8899" s="4"/>
      <c r="E8899" s="13"/>
      <c r="F8899" s="4"/>
      <c r="G8899" s="4"/>
    </row>
    <row r="8900">
      <c r="A8900" s="4"/>
      <c r="B8900" s="4"/>
      <c r="C8900" s="4"/>
      <c r="D8900" s="4"/>
      <c r="E8900" s="4"/>
      <c r="F8900" s="4"/>
      <c r="G8900" s="4"/>
    </row>
    <row r="8901">
      <c r="A8901" s="4"/>
      <c r="B8901" s="4"/>
      <c r="C8901" s="4"/>
      <c r="D8901" s="4"/>
      <c r="E8901" s="4"/>
      <c r="F8901" s="4"/>
      <c r="G8901" s="4"/>
    </row>
    <row r="8902">
      <c r="A8902" s="4"/>
      <c r="B8902" s="4"/>
      <c r="C8902" s="4"/>
      <c r="D8902" s="4"/>
      <c r="E8902" s="13"/>
      <c r="F8902" s="4"/>
      <c r="G8902" s="4"/>
    </row>
    <row r="8903">
      <c r="A8903" s="4"/>
      <c r="B8903" s="4"/>
      <c r="C8903" s="4"/>
      <c r="D8903" s="4"/>
      <c r="E8903" s="4"/>
      <c r="F8903" s="4"/>
      <c r="G8903" s="4"/>
    </row>
    <row r="8904">
      <c r="A8904" s="4"/>
      <c r="B8904" s="4"/>
      <c r="C8904" s="4"/>
      <c r="D8904" s="4"/>
      <c r="E8904" s="4"/>
      <c r="F8904" s="4"/>
      <c r="G8904" s="4"/>
    </row>
    <row r="8905">
      <c r="A8905" s="4"/>
      <c r="B8905" s="4"/>
      <c r="C8905" s="4"/>
      <c r="D8905" s="4"/>
      <c r="E8905" s="13"/>
      <c r="F8905" s="4"/>
      <c r="G8905" s="4"/>
    </row>
    <row r="8906">
      <c r="A8906" s="4"/>
      <c r="B8906" s="4"/>
      <c r="C8906" s="4"/>
      <c r="D8906" s="4"/>
      <c r="E8906" s="4"/>
      <c r="F8906" s="4"/>
      <c r="G8906" s="4"/>
    </row>
    <row r="8907">
      <c r="A8907" s="4"/>
      <c r="B8907" s="4"/>
      <c r="C8907" s="4"/>
      <c r="D8907" s="4"/>
      <c r="E8907" s="4"/>
      <c r="F8907" s="4"/>
      <c r="G8907" s="4"/>
    </row>
    <row r="8908">
      <c r="A8908" s="4"/>
      <c r="B8908" s="4"/>
      <c r="C8908" s="4"/>
      <c r="D8908" s="4"/>
      <c r="E8908" s="4"/>
      <c r="F8908" s="4"/>
      <c r="G8908" s="4"/>
    </row>
    <row r="8909">
      <c r="A8909" s="4"/>
      <c r="B8909" s="4"/>
      <c r="C8909" s="4"/>
      <c r="D8909" s="4"/>
      <c r="E8909" s="4"/>
      <c r="F8909" s="4"/>
      <c r="G8909" s="4"/>
    </row>
    <row r="8910">
      <c r="A8910" s="4"/>
      <c r="B8910" s="4"/>
      <c r="C8910" s="4"/>
      <c r="D8910" s="4"/>
      <c r="E8910" s="4"/>
      <c r="F8910" s="4"/>
      <c r="G8910" s="4"/>
    </row>
    <row r="8911">
      <c r="A8911" s="4"/>
      <c r="B8911" s="4"/>
      <c r="C8911" s="4"/>
      <c r="D8911" s="4"/>
      <c r="E8911" s="13"/>
      <c r="F8911" s="4"/>
      <c r="G8911" s="4"/>
    </row>
    <row r="8912">
      <c r="A8912" s="4"/>
      <c r="B8912" s="4"/>
      <c r="C8912" s="4"/>
      <c r="D8912" s="4"/>
      <c r="E8912" s="13"/>
      <c r="F8912" s="4"/>
      <c r="G8912" s="4"/>
    </row>
    <row r="8913">
      <c r="A8913" s="4"/>
      <c r="B8913" s="4"/>
      <c r="C8913" s="4"/>
      <c r="D8913" s="4"/>
      <c r="E8913" s="4"/>
      <c r="F8913" s="4"/>
      <c r="G8913" s="4"/>
    </row>
    <row r="8914">
      <c r="A8914" s="4"/>
      <c r="B8914" s="4"/>
      <c r="C8914" s="4"/>
      <c r="D8914" s="4"/>
      <c r="E8914" s="4"/>
      <c r="F8914" s="4"/>
      <c r="G8914" s="4"/>
    </row>
    <row r="8915">
      <c r="A8915" s="4"/>
      <c r="B8915" s="4"/>
      <c r="C8915" s="4"/>
      <c r="D8915" s="4"/>
      <c r="E8915" s="13"/>
      <c r="F8915" s="4"/>
      <c r="G8915" s="4"/>
    </row>
    <row r="8916">
      <c r="A8916" s="4"/>
      <c r="B8916" s="4"/>
      <c r="C8916" s="4"/>
      <c r="D8916" s="4"/>
      <c r="E8916" s="13"/>
      <c r="F8916" s="4"/>
      <c r="G8916" s="4"/>
    </row>
    <row r="8917">
      <c r="A8917" s="4"/>
      <c r="B8917" s="4"/>
      <c r="C8917" s="4"/>
      <c r="D8917" s="4"/>
      <c r="E8917" s="4"/>
      <c r="F8917" s="4"/>
      <c r="G8917" s="4"/>
    </row>
    <row r="8918">
      <c r="A8918" s="4"/>
      <c r="B8918" s="4"/>
      <c r="C8918" s="4"/>
      <c r="D8918" s="4"/>
      <c r="E8918" s="4"/>
      <c r="F8918" s="4"/>
      <c r="G8918" s="4"/>
    </row>
    <row r="8919">
      <c r="A8919" s="4"/>
      <c r="B8919" s="4"/>
      <c r="C8919" s="4"/>
      <c r="D8919" s="4"/>
      <c r="E8919" s="4"/>
      <c r="F8919" s="4"/>
      <c r="G8919" s="4"/>
    </row>
    <row r="8920">
      <c r="A8920" s="4"/>
      <c r="B8920" s="4"/>
      <c r="C8920" s="4"/>
      <c r="D8920" s="4"/>
      <c r="E8920" s="13"/>
      <c r="F8920" s="4"/>
      <c r="G8920" s="4"/>
    </row>
    <row r="8921">
      <c r="A8921" s="4"/>
      <c r="B8921" s="4"/>
      <c r="C8921" s="4"/>
      <c r="D8921" s="4"/>
      <c r="E8921" s="4"/>
      <c r="F8921" s="4"/>
      <c r="G8921" s="4"/>
    </row>
    <row r="8922">
      <c r="A8922" s="4"/>
      <c r="B8922" s="4"/>
      <c r="C8922" s="4"/>
      <c r="D8922" s="4"/>
      <c r="E8922" s="13"/>
      <c r="F8922" s="4"/>
      <c r="G8922" s="4"/>
    </row>
    <row r="8923">
      <c r="A8923" s="4"/>
      <c r="B8923" s="4"/>
      <c r="C8923" s="4"/>
      <c r="D8923" s="4"/>
      <c r="E8923" s="13"/>
      <c r="F8923" s="4"/>
      <c r="G8923" s="4"/>
    </row>
    <row r="8924">
      <c r="A8924" s="4"/>
      <c r="B8924" s="4"/>
      <c r="C8924" s="4"/>
      <c r="D8924" s="4"/>
      <c r="E8924" s="4"/>
      <c r="F8924" s="4"/>
      <c r="G8924" s="4"/>
    </row>
    <row r="8925">
      <c r="A8925" s="4"/>
      <c r="B8925" s="4"/>
      <c r="C8925" s="4"/>
      <c r="D8925" s="4"/>
      <c r="E8925" s="4"/>
      <c r="F8925" s="4"/>
      <c r="G8925" s="4"/>
    </row>
    <row r="8926">
      <c r="A8926" s="4"/>
      <c r="B8926" s="4"/>
      <c r="C8926" s="4"/>
      <c r="D8926" s="4"/>
      <c r="E8926" s="13"/>
      <c r="F8926" s="4"/>
      <c r="G8926" s="4"/>
    </row>
    <row r="8927">
      <c r="A8927" s="4"/>
      <c r="B8927" s="4"/>
      <c r="C8927" s="4"/>
      <c r="D8927" s="4"/>
      <c r="E8927" s="4"/>
      <c r="F8927" s="4"/>
      <c r="G8927" s="4"/>
    </row>
    <row r="8928">
      <c r="A8928" s="4"/>
      <c r="B8928" s="4"/>
      <c r="C8928" s="4"/>
      <c r="D8928" s="4"/>
      <c r="E8928" s="4"/>
      <c r="F8928" s="4"/>
      <c r="G8928" s="4"/>
    </row>
    <row r="8929">
      <c r="A8929" s="4"/>
      <c r="B8929" s="4"/>
      <c r="C8929" s="4"/>
      <c r="D8929" s="4"/>
      <c r="E8929" s="13"/>
      <c r="F8929" s="4"/>
      <c r="G8929" s="4"/>
    </row>
    <row r="8930">
      <c r="A8930" s="4"/>
      <c r="B8930" s="4"/>
      <c r="C8930" s="4"/>
      <c r="D8930" s="4"/>
      <c r="E8930" s="4"/>
      <c r="F8930" s="4"/>
      <c r="G8930" s="4"/>
    </row>
    <row r="8931">
      <c r="A8931" s="4"/>
      <c r="B8931" s="4"/>
      <c r="C8931" s="4"/>
      <c r="D8931" s="4"/>
      <c r="E8931" s="13"/>
      <c r="F8931" s="4"/>
      <c r="G8931" s="4"/>
    </row>
    <row r="8932">
      <c r="A8932" s="4"/>
      <c r="B8932" s="4"/>
      <c r="C8932" s="4"/>
      <c r="D8932" s="4"/>
      <c r="E8932" s="4"/>
      <c r="F8932" s="4"/>
      <c r="G8932" s="4"/>
    </row>
    <row r="8933">
      <c r="A8933" s="4"/>
      <c r="B8933" s="4"/>
      <c r="C8933" s="4"/>
      <c r="D8933" s="4"/>
      <c r="E8933" s="4"/>
      <c r="F8933" s="4"/>
      <c r="G8933" s="4"/>
    </row>
    <row r="8934">
      <c r="A8934" s="4"/>
      <c r="B8934" s="4"/>
      <c r="C8934" s="4"/>
      <c r="D8934" s="13"/>
      <c r="E8934" s="13"/>
      <c r="F8934" s="4"/>
      <c r="G8934" s="4"/>
    </row>
    <row r="8935">
      <c r="A8935" s="4"/>
      <c r="B8935" s="4"/>
      <c r="C8935" s="4"/>
      <c r="D8935" s="13"/>
      <c r="E8935" s="13"/>
      <c r="F8935" s="4"/>
      <c r="G8935" s="4"/>
    </row>
    <row r="8936">
      <c r="A8936" s="4"/>
      <c r="B8936" s="4"/>
      <c r="C8936" s="4"/>
      <c r="D8936" s="4"/>
      <c r="E8936" s="13"/>
      <c r="F8936" s="4"/>
      <c r="G8936" s="4"/>
    </row>
    <row r="8937">
      <c r="A8937" s="4"/>
      <c r="B8937" s="4"/>
      <c r="C8937" s="4"/>
      <c r="D8937" s="4"/>
      <c r="E8937" s="4"/>
      <c r="F8937" s="4"/>
      <c r="G8937" s="4"/>
    </row>
    <row r="8938">
      <c r="A8938" s="4"/>
      <c r="B8938" s="4"/>
      <c r="C8938" s="4"/>
      <c r="D8938" s="13"/>
      <c r="E8938" s="13"/>
      <c r="F8938" s="4"/>
      <c r="G8938" s="4"/>
    </row>
    <row r="8939">
      <c r="A8939" s="4"/>
      <c r="B8939" s="4"/>
      <c r="C8939" s="4"/>
      <c r="D8939" s="13"/>
      <c r="E8939" s="13"/>
      <c r="F8939" s="4"/>
      <c r="G8939" s="4"/>
    </row>
    <row r="8940">
      <c r="A8940" s="4"/>
      <c r="B8940" s="4"/>
      <c r="C8940" s="4"/>
      <c r="D8940" s="4"/>
      <c r="E8940" s="13"/>
      <c r="F8940" s="4"/>
      <c r="G8940" s="4"/>
    </row>
    <row r="8941">
      <c r="A8941" s="4"/>
      <c r="B8941" s="4"/>
      <c r="C8941" s="4"/>
      <c r="D8941" s="4"/>
      <c r="E8941" s="4"/>
      <c r="F8941" s="4"/>
      <c r="G8941" s="4"/>
    </row>
    <row r="8942">
      <c r="A8942" s="4"/>
      <c r="B8942" s="4"/>
      <c r="C8942" s="4"/>
      <c r="D8942" s="4"/>
      <c r="E8942" s="13"/>
      <c r="F8942" s="4"/>
      <c r="G8942" s="4"/>
    </row>
    <row r="8943">
      <c r="A8943" s="4"/>
      <c r="B8943" s="4"/>
      <c r="C8943" s="4"/>
      <c r="D8943" s="4"/>
      <c r="E8943" s="4"/>
      <c r="F8943" s="4"/>
      <c r="G8943" s="4"/>
    </row>
    <row r="8944">
      <c r="A8944" s="4"/>
      <c r="B8944" s="4"/>
      <c r="C8944" s="4"/>
      <c r="D8944" s="4"/>
      <c r="E8944" s="13"/>
      <c r="F8944" s="4"/>
      <c r="G8944" s="4"/>
    </row>
    <row r="8945">
      <c r="A8945" s="4"/>
      <c r="B8945" s="4"/>
      <c r="C8945" s="4"/>
      <c r="D8945" s="4"/>
      <c r="E8945" s="13"/>
      <c r="F8945" s="4"/>
      <c r="G8945" s="4"/>
    </row>
    <row r="8946">
      <c r="A8946" s="4"/>
      <c r="B8946" s="4"/>
      <c r="C8946" s="4"/>
      <c r="D8946" s="4"/>
      <c r="E8946" s="13"/>
      <c r="F8946" s="4"/>
      <c r="G8946" s="4"/>
    </row>
    <row r="8947">
      <c r="A8947" s="4"/>
      <c r="B8947" s="4"/>
      <c r="C8947" s="4"/>
      <c r="D8947" s="4"/>
      <c r="E8947" s="4"/>
      <c r="F8947" s="4"/>
      <c r="G8947" s="4"/>
    </row>
    <row r="8948">
      <c r="A8948" s="4"/>
      <c r="B8948" s="4"/>
      <c r="C8948" s="4"/>
      <c r="D8948" s="4"/>
      <c r="E8948" s="4"/>
      <c r="F8948" s="4"/>
      <c r="G8948" s="4"/>
    </row>
    <row r="8949">
      <c r="A8949" s="4"/>
      <c r="B8949" s="4"/>
      <c r="C8949" s="4"/>
      <c r="D8949" s="4"/>
      <c r="E8949" s="4"/>
      <c r="F8949" s="4"/>
      <c r="G8949" s="4"/>
    </row>
    <row r="8950">
      <c r="A8950" s="4"/>
      <c r="B8950" s="4"/>
      <c r="C8950" s="4"/>
      <c r="D8950" s="4"/>
      <c r="E8950" s="4"/>
      <c r="F8950" s="4"/>
      <c r="G8950" s="4"/>
    </row>
    <row r="8951">
      <c r="A8951" s="4"/>
      <c r="B8951" s="4"/>
      <c r="C8951" s="4"/>
      <c r="D8951" s="4"/>
      <c r="E8951" s="4"/>
      <c r="F8951" s="4"/>
      <c r="G8951" s="4"/>
    </row>
    <row r="8952">
      <c r="A8952" s="4"/>
      <c r="B8952" s="4"/>
      <c r="C8952" s="4"/>
      <c r="D8952" s="4"/>
      <c r="E8952" s="13"/>
      <c r="F8952" s="4"/>
      <c r="G8952" s="4"/>
    </row>
    <row r="8953">
      <c r="A8953" s="4"/>
      <c r="B8953" s="4"/>
      <c r="C8953" s="4"/>
      <c r="D8953" s="4"/>
      <c r="E8953" s="13"/>
      <c r="F8953" s="4"/>
      <c r="G8953" s="4"/>
    </row>
    <row r="8954">
      <c r="A8954" s="4"/>
      <c r="B8954" s="4"/>
      <c r="C8954" s="4"/>
      <c r="D8954" s="4"/>
      <c r="E8954" s="4"/>
      <c r="F8954" s="4"/>
      <c r="G8954" s="4"/>
    </row>
    <row r="8955">
      <c r="A8955" s="4"/>
      <c r="B8955" s="4"/>
      <c r="C8955" s="4"/>
      <c r="D8955" s="4"/>
      <c r="E8955" s="4"/>
      <c r="F8955" s="4"/>
      <c r="G8955" s="4"/>
    </row>
    <row r="8956">
      <c r="A8956" s="4"/>
      <c r="B8956" s="4"/>
      <c r="C8956" s="4"/>
      <c r="D8956" s="4"/>
      <c r="E8956" s="13"/>
      <c r="F8956" s="4"/>
      <c r="G8956" s="4"/>
    </row>
    <row r="8957">
      <c r="A8957" s="4"/>
      <c r="B8957" s="4"/>
      <c r="C8957" s="4"/>
      <c r="D8957" s="4"/>
      <c r="E8957" s="4"/>
      <c r="F8957" s="4"/>
      <c r="G8957" s="4"/>
    </row>
    <row r="8958">
      <c r="A8958" s="4"/>
      <c r="B8958" s="4"/>
      <c r="C8958" s="4"/>
      <c r="D8958" s="4"/>
      <c r="E8958" s="4"/>
      <c r="F8958" s="4"/>
      <c r="G8958" s="4"/>
    </row>
    <row r="8959">
      <c r="A8959" s="4"/>
      <c r="B8959" s="4"/>
      <c r="C8959" s="4"/>
      <c r="D8959" s="4"/>
      <c r="E8959" s="13"/>
      <c r="F8959" s="4"/>
      <c r="G8959" s="4"/>
    </row>
    <row r="8960">
      <c r="A8960" s="4"/>
      <c r="B8960" s="4"/>
      <c r="C8960" s="4"/>
      <c r="D8960" s="4"/>
      <c r="E8960" s="13"/>
      <c r="F8960" s="4"/>
      <c r="G8960" s="4"/>
    </row>
    <row r="8961">
      <c r="A8961" s="4"/>
      <c r="B8961" s="4"/>
      <c r="C8961" s="4"/>
      <c r="D8961" s="4"/>
      <c r="E8961" s="4"/>
      <c r="F8961" s="4"/>
      <c r="G8961" s="4"/>
    </row>
    <row r="8962">
      <c r="A8962" s="4"/>
      <c r="B8962" s="4"/>
      <c r="C8962" s="4"/>
      <c r="D8962" s="4"/>
      <c r="E8962" s="4"/>
      <c r="F8962" s="4"/>
      <c r="G8962" s="4"/>
    </row>
    <row r="8963">
      <c r="A8963" s="4"/>
      <c r="B8963" s="4"/>
      <c r="C8963" s="4"/>
      <c r="D8963" s="4"/>
      <c r="E8963" s="4"/>
      <c r="F8963" s="4"/>
      <c r="G8963" s="4"/>
    </row>
    <row r="8964">
      <c r="A8964" s="4"/>
      <c r="B8964" s="4"/>
      <c r="C8964" s="4"/>
      <c r="D8964" s="13"/>
      <c r="E8964" s="13"/>
      <c r="F8964" s="4"/>
      <c r="G8964" s="4"/>
    </row>
    <row r="8965">
      <c r="A8965" s="4"/>
      <c r="B8965" s="4"/>
      <c r="C8965" s="4"/>
      <c r="D8965" s="4"/>
      <c r="E8965" s="4"/>
      <c r="F8965" s="4"/>
      <c r="G8965" s="4"/>
    </row>
    <row r="8966">
      <c r="A8966" s="4"/>
      <c r="B8966" s="4"/>
      <c r="C8966" s="4"/>
      <c r="D8966" s="4"/>
      <c r="E8966" s="4"/>
      <c r="F8966" s="4"/>
      <c r="G8966" s="4"/>
    </row>
    <row r="8967">
      <c r="A8967" s="4"/>
      <c r="B8967" s="4"/>
      <c r="C8967" s="4"/>
      <c r="D8967" s="4"/>
      <c r="E8967" s="13"/>
      <c r="F8967" s="4"/>
      <c r="G8967" s="4"/>
    </row>
    <row r="8968">
      <c r="A8968" s="4"/>
      <c r="B8968" s="4"/>
      <c r="C8968" s="4"/>
      <c r="D8968" s="4"/>
      <c r="E8968" s="4"/>
      <c r="F8968" s="4"/>
      <c r="G8968" s="4"/>
    </row>
    <row r="8969">
      <c r="A8969" s="4"/>
      <c r="B8969" s="4"/>
      <c r="C8969" s="4"/>
      <c r="D8969" s="4"/>
      <c r="E8969" s="4"/>
      <c r="F8969" s="4"/>
      <c r="G8969" s="4"/>
    </row>
    <row r="8970">
      <c r="A8970" s="4"/>
      <c r="B8970" s="4"/>
      <c r="C8970" s="4"/>
      <c r="D8970" s="4"/>
      <c r="E8970" s="13"/>
      <c r="F8970" s="4"/>
      <c r="G8970" s="4"/>
    </row>
    <row r="8971">
      <c r="A8971" s="4"/>
      <c r="B8971" s="4"/>
      <c r="C8971" s="4"/>
      <c r="D8971" s="4"/>
      <c r="E8971" s="13"/>
      <c r="F8971" s="4"/>
      <c r="G8971" s="4"/>
    </row>
    <row r="8972">
      <c r="A8972" s="4"/>
      <c r="B8972" s="4"/>
      <c r="C8972" s="4"/>
      <c r="D8972" s="4"/>
      <c r="E8972" s="13"/>
      <c r="F8972" s="4"/>
      <c r="G8972" s="4"/>
    </row>
    <row r="8973">
      <c r="A8973" s="4"/>
      <c r="B8973" s="4"/>
      <c r="C8973" s="4"/>
      <c r="D8973" s="4"/>
      <c r="E8973" s="4"/>
      <c r="F8973" s="4"/>
      <c r="G8973" s="4"/>
    </row>
    <row r="8974">
      <c r="A8974" s="4"/>
      <c r="B8974" s="4"/>
      <c r="C8974" s="4"/>
      <c r="D8974" s="4"/>
      <c r="E8974" s="4"/>
      <c r="F8974" s="4"/>
      <c r="G8974" s="4"/>
    </row>
    <row r="8975">
      <c r="A8975" s="4"/>
      <c r="B8975" s="4"/>
      <c r="C8975" s="4"/>
      <c r="D8975" s="4"/>
      <c r="E8975" s="4"/>
      <c r="F8975" s="4"/>
      <c r="G8975" s="4"/>
    </row>
    <row r="8976">
      <c r="A8976" s="4"/>
      <c r="B8976" s="4"/>
      <c r="C8976" s="4"/>
      <c r="D8976" s="4"/>
      <c r="E8976" s="4"/>
      <c r="F8976" s="4"/>
      <c r="G8976" s="4"/>
    </row>
    <row r="8977">
      <c r="A8977" s="4"/>
      <c r="B8977" s="4"/>
      <c r="C8977" s="4"/>
      <c r="D8977" s="4"/>
      <c r="E8977" s="4"/>
      <c r="F8977" s="4"/>
      <c r="G8977" s="4"/>
    </row>
    <row r="8978">
      <c r="A8978" s="4"/>
      <c r="B8978" s="4"/>
      <c r="C8978" s="4"/>
      <c r="D8978" s="4"/>
      <c r="E8978" s="4"/>
      <c r="F8978" s="4"/>
      <c r="G8978" s="4"/>
    </row>
    <row r="8979">
      <c r="A8979" s="4"/>
      <c r="B8979" s="4"/>
      <c r="C8979" s="4"/>
      <c r="D8979" s="4"/>
      <c r="E8979" s="13"/>
      <c r="F8979" s="4"/>
      <c r="G8979" s="4"/>
    </row>
    <row r="8980">
      <c r="A8980" s="4"/>
      <c r="B8980" s="4"/>
      <c r="C8980" s="4"/>
      <c r="D8980" s="4"/>
      <c r="E8980" s="4"/>
      <c r="F8980" s="4"/>
      <c r="G8980" s="4"/>
    </row>
    <row r="8981">
      <c r="A8981" s="4"/>
      <c r="B8981" s="4"/>
      <c r="C8981" s="4"/>
      <c r="D8981" s="4"/>
      <c r="E8981" s="13"/>
      <c r="F8981" s="4"/>
      <c r="G8981" s="4"/>
    </row>
    <row r="8982">
      <c r="A8982" s="4"/>
      <c r="B8982" s="4"/>
      <c r="C8982" s="4"/>
      <c r="D8982" s="4"/>
      <c r="E8982" s="4"/>
      <c r="F8982" s="4"/>
      <c r="G8982" s="4"/>
    </row>
    <row r="8983">
      <c r="A8983" s="4"/>
      <c r="B8983" s="4"/>
      <c r="C8983" s="4"/>
      <c r="D8983" s="4"/>
      <c r="E8983" s="4"/>
      <c r="F8983" s="4"/>
      <c r="G8983" s="4"/>
    </row>
    <row r="8984">
      <c r="A8984" s="4"/>
      <c r="B8984" s="4"/>
      <c r="C8984" s="4"/>
      <c r="D8984" s="4"/>
      <c r="E8984" s="4"/>
      <c r="F8984" s="4"/>
      <c r="G8984" s="4"/>
    </row>
    <row r="8985">
      <c r="A8985" s="4"/>
      <c r="B8985" s="4"/>
      <c r="C8985" s="4"/>
      <c r="D8985" s="4"/>
      <c r="E8985" s="13"/>
      <c r="F8985" s="4"/>
      <c r="G8985" s="4"/>
    </row>
    <row r="8986">
      <c r="A8986" s="4"/>
      <c r="B8986" s="4"/>
      <c r="C8986" s="4"/>
      <c r="D8986" s="4"/>
      <c r="E8986" s="4"/>
      <c r="F8986" s="4"/>
      <c r="G8986" s="4"/>
    </row>
    <row r="8987">
      <c r="A8987" s="4"/>
      <c r="B8987" s="4"/>
      <c r="C8987" s="4"/>
      <c r="D8987" s="4"/>
      <c r="E8987" s="4"/>
      <c r="F8987" s="4"/>
      <c r="G8987" s="4"/>
    </row>
    <row r="8988">
      <c r="A8988" s="4"/>
      <c r="B8988" s="4"/>
      <c r="C8988" s="4"/>
      <c r="D8988" s="4"/>
      <c r="E8988" s="4"/>
      <c r="F8988" s="4"/>
      <c r="G8988" s="4"/>
    </row>
    <row r="8989">
      <c r="A8989" s="4"/>
      <c r="B8989" s="4"/>
      <c r="C8989" s="4"/>
      <c r="D8989" s="4"/>
      <c r="E8989" s="4"/>
      <c r="F8989" s="4"/>
      <c r="G8989" s="4"/>
    </row>
    <row r="8990">
      <c r="A8990" s="4"/>
      <c r="B8990" s="4"/>
      <c r="C8990" s="4"/>
      <c r="D8990" s="4"/>
      <c r="E8990" s="4"/>
      <c r="F8990" s="4"/>
      <c r="G8990" s="4"/>
    </row>
    <row r="8991">
      <c r="A8991" s="4"/>
      <c r="B8991" s="4"/>
      <c r="C8991" s="4"/>
      <c r="D8991" s="4"/>
      <c r="E8991" s="4"/>
      <c r="F8991" s="4"/>
      <c r="G8991" s="4"/>
    </row>
    <row r="8992">
      <c r="A8992" s="4"/>
      <c r="B8992" s="4"/>
      <c r="C8992" s="4"/>
      <c r="D8992" s="4"/>
      <c r="E8992" s="4"/>
      <c r="F8992" s="4"/>
      <c r="G8992" s="4"/>
    </row>
    <row r="8993">
      <c r="A8993" s="4"/>
      <c r="B8993" s="4"/>
      <c r="C8993" s="4"/>
      <c r="D8993" s="4"/>
      <c r="E8993" s="13"/>
      <c r="F8993" s="4"/>
      <c r="G8993" s="4"/>
    </row>
    <row r="8994">
      <c r="A8994" s="4"/>
      <c r="B8994" s="4"/>
      <c r="C8994" s="4"/>
      <c r="D8994" s="4"/>
      <c r="E8994" s="13"/>
      <c r="F8994" s="4"/>
      <c r="G8994" s="4"/>
    </row>
    <row r="8995">
      <c r="A8995" s="4"/>
      <c r="B8995" s="4"/>
      <c r="C8995" s="4"/>
      <c r="D8995" s="4"/>
      <c r="E8995" s="4"/>
      <c r="F8995" s="4"/>
      <c r="G8995" s="4"/>
    </row>
    <row r="8996">
      <c r="A8996" s="4"/>
      <c r="B8996" s="4"/>
      <c r="C8996" s="4"/>
      <c r="D8996" s="13"/>
      <c r="E8996" s="13"/>
      <c r="F8996" s="4"/>
      <c r="G8996" s="4"/>
    </row>
    <row r="8997">
      <c r="A8997" s="4"/>
      <c r="B8997" s="4"/>
      <c r="C8997" s="4"/>
      <c r="D8997" s="4"/>
      <c r="E8997" s="4"/>
      <c r="F8997" s="4"/>
      <c r="G8997" s="4"/>
    </row>
    <row r="8998">
      <c r="A8998" s="4"/>
      <c r="B8998" s="4"/>
      <c r="C8998" s="4"/>
      <c r="D8998" s="4"/>
      <c r="E8998" s="4"/>
      <c r="F8998" s="4"/>
      <c r="G8998" s="4"/>
    </row>
    <row r="8999">
      <c r="A8999" s="4"/>
      <c r="B8999" s="4"/>
      <c r="C8999" s="4"/>
      <c r="D8999" s="13"/>
      <c r="E8999" s="13"/>
      <c r="F8999" s="4"/>
      <c r="G8999" s="4"/>
    </row>
    <row r="9000">
      <c r="A9000" s="4"/>
      <c r="B9000" s="4"/>
      <c r="C9000" s="4"/>
      <c r="D9000" s="4"/>
      <c r="E9000" s="13"/>
      <c r="F9000" s="4"/>
      <c r="G9000" s="4"/>
    </row>
    <row r="9001">
      <c r="A9001" s="4"/>
      <c r="B9001" s="4"/>
      <c r="C9001" s="4"/>
      <c r="D9001" s="4"/>
      <c r="E9001" s="4"/>
      <c r="F9001" s="4"/>
      <c r="G9001" s="4"/>
    </row>
    <row r="9002">
      <c r="A9002" s="4"/>
      <c r="B9002" s="4"/>
      <c r="C9002" s="4"/>
      <c r="D9002" s="4"/>
      <c r="E9002" s="4"/>
      <c r="F9002" s="4"/>
      <c r="G9002" s="4"/>
    </row>
    <row r="9003">
      <c r="A9003" s="4"/>
      <c r="B9003" s="4"/>
      <c r="C9003" s="4"/>
      <c r="D9003" s="13"/>
      <c r="E9003" s="4"/>
      <c r="F9003" s="4"/>
      <c r="G9003" s="4"/>
    </row>
    <row r="9004">
      <c r="A9004" s="4"/>
      <c r="B9004" s="4"/>
      <c r="C9004" s="4"/>
      <c r="D9004" s="4"/>
      <c r="E9004" s="4"/>
      <c r="F9004" s="4"/>
      <c r="G9004" s="4"/>
    </row>
    <row r="9005">
      <c r="A9005" s="4"/>
      <c r="B9005" s="4"/>
      <c r="C9005" s="4"/>
      <c r="D9005" s="4"/>
      <c r="E9005" s="4"/>
      <c r="F9005" s="4"/>
      <c r="G9005" s="4"/>
    </row>
    <row r="9006">
      <c r="A9006" s="4"/>
      <c r="B9006" s="4"/>
      <c r="C9006" s="4"/>
      <c r="D9006" s="13"/>
      <c r="E9006" s="13"/>
      <c r="F9006" s="4"/>
      <c r="G9006" s="4"/>
    </row>
    <row r="9007">
      <c r="A9007" s="4"/>
      <c r="B9007" s="4"/>
      <c r="C9007" s="4"/>
      <c r="D9007" s="13"/>
      <c r="E9007" s="13"/>
      <c r="F9007" s="4"/>
      <c r="G9007" s="4"/>
    </row>
    <row r="9008">
      <c r="A9008" s="4"/>
      <c r="B9008" s="4"/>
      <c r="C9008" s="4"/>
      <c r="D9008" s="4"/>
      <c r="E9008" s="4"/>
      <c r="F9008" s="4"/>
      <c r="G9008" s="4"/>
    </row>
    <row r="9009">
      <c r="A9009" s="4"/>
      <c r="B9009" s="4"/>
      <c r="C9009" s="4"/>
      <c r="D9009" s="13"/>
      <c r="E9009" s="13"/>
      <c r="F9009" s="4"/>
      <c r="G9009" s="4"/>
    </row>
    <row r="9010">
      <c r="A9010" s="4"/>
      <c r="B9010" s="4"/>
      <c r="C9010" s="4"/>
      <c r="D9010" s="13"/>
      <c r="E9010" s="13"/>
      <c r="F9010" s="4"/>
      <c r="G9010" s="4"/>
    </row>
    <row r="9011">
      <c r="A9011" s="4"/>
      <c r="B9011" s="4"/>
      <c r="C9011" s="4"/>
      <c r="D9011" s="4"/>
      <c r="E9011" s="4"/>
      <c r="F9011" s="4"/>
      <c r="G9011" s="4"/>
    </row>
    <row r="9012">
      <c r="A9012" s="4"/>
      <c r="B9012" s="4"/>
      <c r="C9012" s="4"/>
      <c r="D9012" s="4"/>
      <c r="E9012" s="4"/>
      <c r="F9012" s="4"/>
      <c r="G9012" s="4"/>
    </row>
    <row r="9013">
      <c r="A9013" s="4"/>
      <c r="B9013" s="4"/>
      <c r="C9013" s="4"/>
      <c r="D9013" s="4"/>
      <c r="E9013" s="4"/>
      <c r="F9013" s="4"/>
      <c r="G9013" s="4"/>
    </row>
    <row r="9014">
      <c r="A9014" s="4"/>
      <c r="B9014" s="4"/>
      <c r="C9014" s="4"/>
      <c r="D9014" s="4"/>
      <c r="E9014" s="4"/>
      <c r="F9014" s="4"/>
      <c r="G9014" s="4"/>
    </row>
    <row r="9015">
      <c r="A9015" s="4"/>
      <c r="B9015" s="4"/>
      <c r="C9015" s="4"/>
      <c r="D9015" s="4"/>
      <c r="E9015" s="13"/>
      <c r="F9015" s="4"/>
      <c r="G9015" s="4"/>
    </row>
    <row r="9016">
      <c r="A9016" s="4"/>
      <c r="B9016" s="4"/>
      <c r="C9016" s="4"/>
      <c r="D9016" s="4"/>
      <c r="E9016" s="4"/>
      <c r="F9016" s="4"/>
      <c r="G9016" s="4"/>
    </row>
    <row r="9017">
      <c r="A9017" s="4"/>
      <c r="B9017" s="4"/>
      <c r="C9017" s="4"/>
      <c r="D9017" s="4"/>
      <c r="E9017" s="13"/>
      <c r="F9017" s="4"/>
      <c r="G9017" s="4"/>
    </row>
    <row r="9018">
      <c r="A9018" s="4"/>
      <c r="B9018" s="4"/>
      <c r="C9018" s="4"/>
      <c r="D9018" s="4"/>
      <c r="E9018" s="4"/>
      <c r="F9018" s="4"/>
      <c r="G9018" s="4"/>
    </row>
    <row r="9019">
      <c r="A9019" s="4"/>
      <c r="B9019" s="4"/>
      <c r="C9019" s="4"/>
      <c r="D9019" s="4"/>
      <c r="E9019" s="4"/>
      <c r="F9019" s="4"/>
      <c r="G9019" s="4"/>
    </row>
    <row r="9020">
      <c r="A9020" s="4"/>
      <c r="B9020" s="4"/>
      <c r="C9020" s="4"/>
      <c r="D9020" s="4"/>
      <c r="E9020" s="13"/>
      <c r="F9020" s="4"/>
      <c r="G9020" s="4"/>
    </row>
    <row r="9021">
      <c r="A9021" s="4"/>
      <c r="B9021" s="4"/>
      <c r="C9021" s="4"/>
      <c r="D9021" s="4"/>
      <c r="E9021" s="13"/>
      <c r="F9021" s="4"/>
      <c r="G9021" s="4"/>
    </row>
    <row r="9022">
      <c r="A9022" s="4"/>
      <c r="B9022" s="4"/>
      <c r="C9022" s="4"/>
      <c r="D9022" s="4"/>
      <c r="E9022" s="4"/>
      <c r="F9022" s="4"/>
      <c r="G9022" s="4"/>
    </row>
    <row r="9023">
      <c r="A9023" s="4"/>
      <c r="B9023" s="4"/>
      <c r="C9023" s="4"/>
      <c r="D9023" s="4"/>
      <c r="E9023" s="4"/>
      <c r="F9023" s="4"/>
      <c r="G9023" s="4"/>
    </row>
    <row r="9024">
      <c r="A9024" s="4"/>
      <c r="B9024" s="4"/>
      <c r="C9024" s="4"/>
      <c r="D9024" s="13"/>
      <c r="E9024" s="13"/>
      <c r="F9024" s="4"/>
      <c r="G9024" s="4"/>
    </row>
    <row r="9025">
      <c r="A9025" s="4"/>
      <c r="B9025" s="4"/>
      <c r="C9025" s="4"/>
      <c r="D9025" s="4"/>
      <c r="E9025" s="4"/>
      <c r="F9025" s="4"/>
      <c r="G9025" s="4"/>
    </row>
    <row r="9026">
      <c r="A9026" s="4"/>
      <c r="B9026" s="4"/>
      <c r="C9026" s="4"/>
      <c r="D9026" s="4"/>
      <c r="E9026" s="4"/>
      <c r="F9026" s="4"/>
      <c r="G9026" s="4"/>
    </row>
    <row r="9027">
      <c r="A9027" s="4"/>
      <c r="B9027" s="4"/>
      <c r="C9027" s="4"/>
      <c r="D9027" s="4"/>
      <c r="E9027" s="4"/>
      <c r="F9027" s="4"/>
      <c r="G9027" s="4"/>
    </row>
    <row r="9028">
      <c r="A9028" s="4"/>
      <c r="B9028" s="4"/>
      <c r="C9028" s="4"/>
      <c r="D9028" s="4"/>
      <c r="E9028" s="4"/>
      <c r="F9028" s="4"/>
      <c r="G9028" s="4"/>
    </row>
    <row r="9029">
      <c r="A9029" s="4"/>
      <c r="B9029" s="4"/>
      <c r="C9029" s="4"/>
      <c r="D9029" s="4"/>
      <c r="E9029" s="4"/>
      <c r="F9029" s="4"/>
      <c r="G9029" s="4"/>
    </row>
    <row r="9030">
      <c r="A9030" s="4"/>
      <c r="B9030" s="4"/>
      <c r="C9030" s="4"/>
      <c r="D9030" s="4"/>
      <c r="E9030" s="13"/>
      <c r="F9030" s="4"/>
      <c r="G9030" s="4"/>
    </row>
    <row r="9031">
      <c r="A9031" s="4"/>
      <c r="B9031" s="4"/>
      <c r="C9031" s="4"/>
      <c r="D9031" s="4"/>
      <c r="E9031" s="13"/>
      <c r="F9031" s="4"/>
      <c r="G9031" s="4"/>
    </row>
    <row r="9032">
      <c r="A9032" s="4"/>
      <c r="B9032" s="4"/>
      <c r="C9032" s="4"/>
      <c r="D9032" s="4"/>
      <c r="E9032" s="4"/>
      <c r="F9032" s="4"/>
      <c r="G9032" s="4"/>
    </row>
    <row r="9033">
      <c r="A9033" s="4"/>
      <c r="B9033" s="4"/>
      <c r="C9033" s="4"/>
      <c r="D9033" s="4"/>
      <c r="E9033" s="4"/>
      <c r="F9033" s="4"/>
      <c r="G9033" s="4"/>
    </row>
    <row r="9034">
      <c r="A9034" s="4"/>
      <c r="B9034" s="4"/>
      <c r="C9034" s="4"/>
      <c r="D9034" s="4"/>
      <c r="E9034" s="13"/>
      <c r="F9034" s="4"/>
      <c r="G9034" s="4"/>
    </row>
    <row r="9035">
      <c r="A9035" s="4"/>
      <c r="B9035" s="4"/>
      <c r="C9035" s="4"/>
      <c r="D9035" s="4"/>
      <c r="E9035" s="13"/>
      <c r="F9035" s="4"/>
      <c r="G9035" s="4"/>
    </row>
    <row r="9036">
      <c r="A9036" s="4"/>
      <c r="B9036" s="4"/>
      <c r="C9036" s="4"/>
      <c r="D9036" s="4"/>
      <c r="E9036" s="4"/>
      <c r="F9036" s="4"/>
      <c r="G9036" s="4"/>
    </row>
    <row r="9037">
      <c r="A9037" s="4"/>
      <c r="B9037" s="4"/>
      <c r="C9037" s="4"/>
      <c r="D9037" s="4"/>
      <c r="E9037" s="4"/>
      <c r="F9037" s="4"/>
      <c r="G9037" s="4"/>
    </row>
    <row r="9038">
      <c r="A9038" s="4"/>
      <c r="B9038" s="4"/>
      <c r="C9038" s="4"/>
      <c r="D9038" s="4"/>
      <c r="E9038" s="4"/>
      <c r="F9038" s="4"/>
      <c r="G9038" s="4"/>
    </row>
    <row r="9039">
      <c r="A9039" s="4"/>
      <c r="B9039" s="4"/>
      <c r="C9039" s="4"/>
      <c r="D9039" s="4"/>
      <c r="E9039" s="4"/>
      <c r="F9039" s="4"/>
      <c r="G9039" s="4"/>
    </row>
    <row r="9040">
      <c r="A9040" s="4"/>
      <c r="B9040" s="4"/>
      <c r="C9040" s="4"/>
      <c r="D9040" s="4"/>
      <c r="E9040" s="4"/>
      <c r="F9040" s="4"/>
      <c r="G9040" s="4"/>
    </row>
    <row r="9041">
      <c r="A9041" s="4"/>
      <c r="B9041" s="4"/>
      <c r="C9041" s="4"/>
      <c r="D9041" s="4"/>
      <c r="E9041" s="4"/>
      <c r="F9041" s="4"/>
      <c r="G9041" s="4"/>
    </row>
    <row r="9042">
      <c r="A9042" s="4"/>
      <c r="B9042" s="4"/>
      <c r="C9042" s="4"/>
      <c r="D9042" s="4"/>
      <c r="E9042" s="13"/>
      <c r="F9042" s="4"/>
      <c r="G9042" s="4"/>
    </row>
    <row r="9043">
      <c r="A9043" s="4"/>
      <c r="B9043" s="4"/>
      <c r="C9043" s="4"/>
      <c r="D9043" s="4"/>
      <c r="E9043" s="4"/>
      <c r="F9043" s="4"/>
      <c r="G9043" s="4"/>
    </row>
    <row r="9044">
      <c r="A9044" s="4"/>
      <c r="B9044" s="4"/>
      <c r="C9044" s="4"/>
      <c r="D9044" s="4"/>
      <c r="E9044" s="4"/>
      <c r="F9044" s="4"/>
      <c r="G9044" s="4"/>
    </row>
    <row r="9045">
      <c r="A9045" s="4"/>
      <c r="B9045" s="4"/>
      <c r="C9045" s="4"/>
      <c r="D9045" s="4"/>
      <c r="E9045" s="13"/>
      <c r="F9045" s="4"/>
      <c r="G9045" s="4"/>
    </row>
    <row r="9046">
      <c r="A9046" s="4"/>
      <c r="B9046" s="4"/>
      <c r="C9046" s="4"/>
      <c r="D9046" s="13"/>
      <c r="E9046" s="13"/>
      <c r="F9046" s="4"/>
      <c r="G9046" s="4"/>
    </row>
    <row r="9047">
      <c r="A9047" s="4"/>
      <c r="B9047" s="4"/>
      <c r="C9047" s="4"/>
      <c r="D9047" s="4"/>
      <c r="E9047" s="4"/>
      <c r="F9047" s="4"/>
      <c r="G9047" s="4"/>
    </row>
    <row r="9048">
      <c r="A9048" s="4"/>
      <c r="B9048" s="4"/>
      <c r="C9048" s="4"/>
      <c r="D9048" s="4"/>
      <c r="E9048" s="4"/>
      <c r="F9048" s="4"/>
      <c r="G9048" s="4"/>
    </row>
    <row r="9049">
      <c r="A9049" s="4"/>
      <c r="B9049" s="4"/>
      <c r="C9049" s="4"/>
      <c r="D9049" s="4"/>
      <c r="E9049" s="4"/>
      <c r="F9049" s="4"/>
      <c r="G9049" s="4"/>
    </row>
    <row r="9050">
      <c r="A9050" s="4"/>
      <c r="B9050" s="4"/>
      <c r="C9050" s="4"/>
      <c r="D9050" s="4"/>
      <c r="E9050" s="4"/>
      <c r="F9050" s="4"/>
      <c r="G9050" s="4"/>
    </row>
    <row r="9051">
      <c r="A9051" s="4"/>
      <c r="B9051" s="4"/>
      <c r="C9051" s="4"/>
      <c r="D9051" s="4"/>
      <c r="E9051" s="4"/>
      <c r="F9051" s="4"/>
      <c r="G9051" s="4"/>
    </row>
    <row r="9052">
      <c r="A9052" s="4"/>
      <c r="B9052" s="4"/>
      <c r="C9052" s="4"/>
      <c r="D9052" s="4"/>
      <c r="E9052" s="13"/>
      <c r="F9052" s="4"/>
      <c r="G9052" s="4"/>
    </row>
    <row r="9053">
      <c r="A9053" s="4"/>
      <c r="B9053" s="4"/>
      <c r="C9053" s="4"/>
      <c r="D9053" s="13"/>
      <c r="E9053" s="13"/>
      <c r="F9053" s="4"/>
      <c r="G9053" s="4"/>
    </row>
    <row r="9054">
      <c r="A9054" s="4"/>
      <c r="B9054" s="4"/>
      <c r="C9054" s="4"/>
      <c r="D9054" s="4"/>
      <c r="E9054" s="4"/>
      <c r="F9054" s="4"/>
      <c r="G9054" s="4"/>
    </row>
    <row r="9055">
      <c r="A9055" s="4"/>
      <c r="B9055" s="4"/>
      <c r="C9055" s="4"/>
      <c r="D9055" s="4"/>
      <c r="E9055" s="13"/>
      <c r="F9055" s="4"/>
      <c r="G9055" s="4"/>
    </row>
    <row r="9056">
      <c r="A9056" s="4"/>
      <c r="B9056" s="4"/>
      <c r="C9056" s="4"/>
      <c r="D9056" s="4"/>
      <c r="E9056" s="4"/>
      <c r="F9056" s="4"/>
      <c r="G9056" s="4"/>
    </row>
    <row r="9057">
      <c r="A9057" s="4"/>
      <c r="B9057" s="4"/>
      <c r="C9057" s="4"/>
      <c r="D9057" s="4"/>
      <c r="E9057" s="4"/>
      <c r="F9057" s="4"/>
      <c r="G9057" s="4"/>
    </row>
    <row r="9058">
      <c r="A9058" s="4"/>
      <c r="B9058" s="4"/>
      <c r="C9058" s="4"/>
      <c r="D9058" s="4"/>
      <c r="E9058" s="13"/>
      <c r="F9058" s="4"/>
      <c r="G9058" s="4"/>
    </row>
    <row r="9059">
      <c r="A9059" s="4"/>
      <c r="B9059" s="4"/>
      <c r="C9059" s="4"/>
      <c r="D9059" s="4"/>
      <c r="E9059" s="13"/>
      <c r="F9059" s="4"/>
      <c r="G9059" s="4"/>
    </row>
    <row r="9060">
      <c r="A9060" s="4"/>
      <c r="B9060" s="4"/>
      <c r="C9060" s="4"/>
      <c r="D9060" s="13"/>
      <c r="E9060" s="13"/>
      <c r="F9060" s="4"/>
      <c r="G9060" s="4"/>
    </row>
    <row r="9061">
      <c r="A9061" s="4"/>
      <c r="B9061" s="4"/>
      <c r="C9061" s="4"/>
      <c r="D9061" s="4"/>
      <c r="E9061" s="13"/>
      <c r="F9061" s="4"/>
      <c r="G9061" s="4"/>
    </row>
    <row r="9062">
      <c r="A9062" s="4"/>
      <c r="B9062" s="4"/>
      <c r="C9062" s="4"/>
      <c r="D9062" s="4"/>
      <c r="E9062" s="4"/>
      <c r="F9062" s="4"/>
      <c r="G9062" s="4"/>
    </row>
    <row r="9063">
      <c r="A9063" s="4"/>
      <c r="B9063" s="4"/>
      <c r="C9063" s="4"/>
      <c r="D9063" s="4"/>
      <c r="E9063" s="4"/>
      <c r="F9063" s="4"/>
      <c r="G9063" s="4"/>
    </row>
    <row r="9064">
      <c r="A9064" s="4"/>
      <c r="B9064" s="4"/>
      <c r="C9064" s="4"/>
      <c r="D9064" s="4"/>
      <c r="E9064" s="13"/>
      <c r="F9064" s="4"/>
      <c r="G9064" s="4"/>
    </row>
    <row r="9065">
      <c r="A9065" s="4"/>
      <c r="B9065" s="4"/>
      <c r="C9065" s="4"/>
      <c r="D9065" s="4"/>
      <c r="E9065" s="4"/>
      <c r="F9065" s="4"/>
      <c r="G9065" s="4"/>
    </row>
    <row r="9066">
      <c r="A9066" s="4"/>
      <c r="B9066" s="4"/>
      <c r="C9066" s="4"/>
      <c r="D9066" s="13"/>
      <c r="E9066" s="13"/>
      <c r="F9066" s="4"/>
      <c r="G9066" s="4"/>
    </row>
    <row r="9067">
      <c r="A9067" s="4"/>
      <c r="B9067" s="4"/>
      <c r="C9067" s="4"/>
      <c r="D9067" s="4"/>
      <c r="E9067" s="13"/>
      <c r="F9067" s="4"/>
      <c r="G9067" s="4"/>
    </row>
    <row r="9068">
      <c r="A9068" s="4"/>
      <c r="B9068" s="4"/>
      <c r="C9068" s="4"/>
      <c r="D9068" s="4"/>
      <c r="E9068" s="13"/>
      <c r="F9068" s="4"/>
      <c r="G9068" s="4"/>
    </row>
    <row r="9069">
      <c r="A9069" s="4"/>
      <c r="B9069" s="4"/>
      <c r="C9069" s="4"/>
      <c r="D9069" s="4"/>
      <c r="E9069" s="13"/>
      <c r="F9069" s="4"/>
      <c r="G9069" s="4"/>
    </row>
    <row r="9070">
      <c r="A9070" s="4"/>
      <c r="B9070" s="4"/>
      <c r="C9070" s="4"/>
      <c r="D9070" s="4"/>
      <c r="E9070" s="13"/>
      <c r="F9070" s="4"/>
      <c r="G9070" s="4"/>
    </row>
    <row r="9071">
      <c r="A9071" s="4"/>
      <c r="B9071" s="4"/>
      <c r="C9071" s="4"/>
      <c r="D9071" s="4"/>
      <c r="E9071" s="4"/>
      <c r="F9071" s="4"/>
      <c r="G9071" s="4"/>
    </row>
    <row r="9072">
      <c r="A9072" s="4"/>
      <c r="B9072" s="4"/>
      <c r="C9072" s="4"/>
      <c r="D9072" s="4"/>
      <c r="E9072" s="4"/>
      <c r="F9072" s="4"/>
      <c r="G9072" s="4"/>
    </row>
    <row r="9073">
      <c r="A9073" s="4"/>
      <c r="B9073" s="4"/>
      <c r="C9073" s="4"/>
      <c r="D9073" s="13"/>
      <c r="E9073" s="13"/>
      <c r="F9073" s="4"/>
      <c r="G9073" s="4"/>
    </row>
    <row r="9074">
      <c r="A9074" s="4"/>
      <c r="B9074" s="4"/>
      <c r="C9074" s="4"/>
      <c r="D9074" s="4"/>
      <c r="E9074" s="4"/>
      <c r="F9074" s="4"/>
      <c r="G9074" s="4"/>
    </row>
    <row r="9075">
      <c r="A9075" s="4"/>
      <c r="B9075" s="4"/>
      <c r="C9075" s="4"/>
      <c r="D9075" s="4"/>
      <c r="E9075" s="4"/>
      <c r="F9075" s="4"/>
      <c r="G9075" s="4"/>
    </row>
    <row r="9076">
      <c r="A9076" s="4"/>
      <c r="B9076" s="4"/>
      <c r="C9076" s="4"/>
      <c r="D9076" s="4"/>
      <c r="E9076" s="13"/>
      <c r="F9076" s="4"/>
      <c r="G9076" s="4"/>
    </row>
    <row r="9077">
      <c r="A9077" s="4"/>
      <c r="B9077" s="4"/>
      <c r="C9077" s="4"/>
      <c r="D9077" s="13"/>
      <c r="E9077" s="13"/>
      <c r="F9077" s="4"/>
      <c r="G9077" s="4"/>
    </row>
    <row r="9078">
      <c r="A9078" s="4"/>
      <c r="B9078" s="4"/>
      <c r="C9078" s="4"/>
      <c r="D9078" s="13"/>
      <c r="E9078" s="13"/>
      <c r="F9078" s="4"/>
      <c r="G9078" s="4"/>
    </row>
    <row r="9079">
      <c r="A9079" s="4"/>
      <c r="B9079" s="4"/>
      <c r="C9079" s="4"/>
      <c r="D9079" s="4"/>
      <c r="E9079" s="4"/>
      <c r="F9079" s="4"/>
      <c r="G9079" s="4"/>
    </row>
    <row r="9080">
      <c r="A9080" s="4"/>
      <c r="B9080" s="4"/>
      <c r="C9080" s="4"/>
      <c r="D9080" s="13"/>
      <c r="E9080" s="13"/>
      <c r="F9080" s="4"/>
      <c r="G9080" s="4"/>
    </row>
    <row r="9081">
      <c r="A9081" s="4"/>
      <c r="B9081" s="4"/>
      <c r="C9081" s="4"/>
      <c r="D9081" s="4"/>
      <c r="E9081" s="4"/>
      <c r="F9081" s="4"/>
      <c r="G9081" s="4"/>
    </row>
    <row r="9082">
      <c r="A9082" s="4"/>
      <c r="B9082" s="4"/>
      <c r="C9082" s="4"/>
      <c r="D9082" s="4"/>
      <c r="E9082" s="4"/>
      <c r="F9082" s="4"/>
      <c r="G9082" s="4"/>
    </row>
    <row r="9083">
      <c r="A9083" s="4"/>
      <c r="B9083" s="4"/>
      <c r="C9083" s="4"/>
      <c r="D9083" s="4"/>
      <c r="E9083" s="13"/>
      <c r="F9083" s="4"/>
      <c r="G9083" s="4"/>
    </row>
    <row r="9084">
      <c r="A9084" s="4"/>
      <c r="B9084" s="4"/>
      <c r="C9084" s="4"/>
      <c r="D9084" s="4"/>
      <c r="E9084" s="4"/>
      <c r="F9084" s="4"/>
      <c r="G9084" s="4"/>
    </row>
    <row r="9085">
      <c r="A9085" s="4"/>
      <c r="B9085" s="4"/>
      <c r="C9085" s="4"/>
      <c r="D9085" s="4"/>
      <c r="E9085" s="4"/>
      <c r="F9085" s="4"/>
      <c r="G9085" s="4"/>
    </row>
    <row r="9086">
      <c r="A9086" s="4"/>
      <c r="B9086" s="4"/>
      <c r="C9086" s="4"/>
      <c r="D9086" s="4"/>
      <c r="E9086" s="4"/>
      <c r="F9086" s="4"/>
      <c r="G9086" s="4"/>
    </row>
    <row r="9087">
      <c r="A9087" s="4"/>
      <c r="B9087" s="4"/>
      <c r="C9087" s="4"/>
      <c r="D9087" s="4"/>
      <c r="E9087" s="4"/>
      <c r="F9087" s="4"/>
      <c r="G9087" s="4"/>
    </row>
    <row r="9088">
      <c r="A9088" s="4"/>
      <c r="B9088" s="4"/>
      <c r="C9088" s="4"/>
      <c r="D9088" s="4"/>
      <c r="E9088" s="4"/>
      <c r="F9088" s="4"/>
      <c r="G9088" s="4"/>
    </row>
    <row r="9089">
      <c r="A9089" s="4"/>
      <c r="B9089" s="4"/>
      <c r="C9089" s="4"/>
      <c r="D9089" s="4"/>
      <c r="E9089" s="13"/>
      <c r="F9089" s="4"/>
      <c r="G9089" s="4"/>
    </row>
    <row r="9090">
      <c r="A9090" s="4"/>
      <c r="B9090" s="4"/>
      <c r="C9090" s="4"/>
      <c r="D9090" s="4"/>
      <c r="E9090" s="4"/>
      <c r="F9090" s="4"/>
      <c r="G9090" s="4"/>
    </row>
    <row r="9091">
      <c r="A9091" s="4"/>
      <c r="B9091" s="4"/>
      <c r="C9091" s="4"/>
      <c r="D9091" s="4"/>
      <c r="E9091" s="13"/>
      <c r="F9091" s="4"/>
      <c r="G9091" s="4"/>
    </row>
    <row r="9092">
      <c r="A9092" s="4"/>
      <c r="B9092" s="4"/>
      <c r="C9092" s="4"/>
      <c r="D9092" s="4"/>
      <c r="E9092" s="4"/>
      <c r="F9092" s="4"/>
      <c r="G9092" s="4"/>
    </row>
    <row r="9093">
      <c r="A9093" s="4"/>
      <c r="B9093" s="4"/>
      <c r="C9093" s="4"/>
      <c r="D9093" s="4"/>
      <c r="E9093" s="4"/>
      <c r="F9093" s="4"/>
      <c r="G9093" s="4"/>
    </row>
    <row r="9094">
      <c r="A9094" s="4"/>
      <c r="B9094" s="4"/>
      <c r="C9094" s="4"/>
      <c r="D9094" s="4"/>
      <c r="E9094" s="4"/>
      <c r="F9094" s="4"/>
      <c r="G9094" s="4"/>
    </row>
    <row r="9095">
      <c r="A9095" s="4"/>
      <c r="B9095" s="4"/>
      <c r="C9095" s="4"/>
      <c r="D9095" s="4"/>
      <c r="E9095" s="13"/>
      <c r="F9095" s="4"/>
      <c r="G9095" s="4"/>
    </row>
    <row r="9096">
      <c r="A9096" s="4"/>
      <c r="B9096" s="4"/>
      <c r="C9096" s="4"/>
      <c r="D9096" s="4"/>
      <c r="E9096" s="4"/>
      <c r="F9096" s="4"/>
      <c r="G9096" s="4"/>
    </row>
    <row r="9097">
      <c r="A9097" s="4"/>
      <c r="B9097" s="4"/>
      <c r="C9097" s="4"/>
      <c r="D9097" s="4"/>
      <c r="E9097" s="4"/>
      <c r="F9097" s="4"/>
      <c r="G9097" s="4"/>
    </row>
    <row r="9098">
      <c r="A9098" s="4"/>
      <c r="B9098" s="4"/>
      <c r="C9098" s="4"/>
      <c r="D9098" s="4"/>
      <c r="E9098" s="4"/>
      <c r="F9098" s="4"/>
      <c r="G9098" s="4"/>
    </row>
    <row r="9099">
      <c r="A9099" s="4"/>
      <c r="B9099" s="4"/>
      <c r="C9099" s="4"/>
      <c r="D9099" s="4"/>
      <c r="E9099" s="4"/>
      <c r="F9099" s="4"/>
      <c r="G9099" s="4"/>
    </row>
    <row r="9100">
      <c r="A9100" s="4"/>
      <c r="B9100" s="4"/>
      <c r="C9100" s="4"/>
      <c r="D9100" s="4"/>
      <c r="E9100" s="13"/>
      <c r="F9100" s="4"/>
      <c r="G9100" s="4"/>
    </row>
    <row r="9101">
      <c r="A9101" s="4"/>
      <c r="B9101" s="4"/>
      <c r="C9101" s="4"/>
      <c r="D9101" s="4"/>
      <c r="E9101" s="4"/>
      <c r="F9101" s="4"/>
      <c r="G9101" s="4"/>
    </row>
    <row r="9102">
      <c r="A9102" s="4"/>
      <c r="B9102" s="4"/>
      <c r="C9102" s="4"/>
      <c r="D9102" s="4"/>
      <c r="E9102" s="4"/>
      <c r="F9102" s="4"/>
      <c r="G9102" s="4"/>
    </row>
    <row r="9103">
      <c r="A9103" s="4"/>
      <c r="B9103" s="4"/>
      <c r="C9103" s="4"/>
      <c r="D9103" s="4"/>
      <c r="E9103" s="13"/>
      <c r="F9103" s="4"/>
      <c r="G9103" s="4"/>
    </row>
    <row r="9104">
      <c r="A9104" s="4"/>
      <c r="B9104" s="4"/>
      <c r="C9104" s="4"/>
      <c r="D9104" s="4"/>
      <c r="E9104" s="4"/>
      <c r="F9104" s="4"/>
      <c r="G9104" s="4"/>
    </row>
    <row r="9105">
      <c r="A9105" s="4"/>
      <c r="B9105" s="4"/>
      <c r="C9105" s="4"/>
      <c r="D9105" s="4"/>
      <c r="E9105" s="4"/>
      <c r="F9105" s="4"/>
      <c r="G9105" s="4"/>
    </row>
    <row r="9106">
      <c r="A9106" s="4"/>
      <c r="B9106" s="4"/>
      <c r="C9106" s="4"/>
      <c r="D9106" s="4"/>
      <c r="E9106" s="4"/>
      <c r="F9106" s="4"/>
      <c r="G9106" s="4"/>
    </row>
    <row r="9107">
      <c r="A9107" s="4"/>
      <c r="B9107" s="4"/>
      <c r="C9107" s="4"/>
      <c r="D9107" s="13"/>
      <c r="E9107" s="13"/>
      <c r="F9107" s="4"/>
      <c r="G9107" s="4"/>
    </row>
    <row r="9108">
      <c r="A9108" s="4"/>
      <c r="B9108" s="4"/>
      <c r="C9108" s="4"/>
      <c r="D9108" s="4"/>
      <c r="E9108" s="4"/>
      <c r="F9108" s="4"/>
      <c r="G9108" s="4"/>
    </row>
    <row r="9109">
      <c r="A9109" s="4"/>
      <c r="B9109" s="4"/>
      <c r="C9109" s="4"/>
      <c r="D9109" s="4"/>
      <c r="E9109" s="13"/>
      <c r="F9109" s="4"/>
      <c r="G9109" s="4"/>
    </row>
    <row r="9110">
      <c r="A9110" s="4"/>
      <c r="B9110" s="4"/>
      <c r="C9110" s="4"/>
      <c r="D9110" s="13"/>
      <c r="E9110" s="13"/>
      <c r="F9110" s="4"/>
      <c r="G9110" s="4"/>
    </row>
    <row r="9111">
      <c r="A9111" s="4"/>
      <c r="B9111" s="4"/>
      <c r="C9111" s="4"/>
      <c r="D9111" s="4"/>
      <c r="E9111" s="4"/>
      <c r="F9111" s="4"/>
      <c r="G9111" s="4"/>
    </row>
    <row r="9112">
      <c r="A9112" s="4"/>
      <c r="B9112" s="4"/>
      <c r="C9112" s="4"/>
      <c r="D9112" s="4"/>
      <c r="E9112" s="13"/>
      <c r="F9112" s="4"/>
      <c r="G9112" s="4"/>
    </row>
    <row r="9113">
      <c r="A9113" s="4"/>
      <c r="B9113" s="4"/>
      <c r="C9113" s="4"/>
      <c r="D9113" s="4"/>
      <c r="E9113" s="4"/>
      <c r="F9113" s="4"/>
      <c r="G9113" s="4"/>
    </row>
    <row r="9114">
      <c r="A9114" s="4"/>
      <c r="B9114" s="4"/>
      <c r="C9114" s="4"/>
      <c r="D9114" s="4"/>
      <c r="E9114" s="13"/>
      <c r="F9114" s="4"/>
      <c r="G9114" s="4"/>
    </row>
    <row r="9115">
      <c r="A9115" s="4"/>
      <c r="B9115" s="4"/>
      <c r="C9115" s="4"/>
      <c r="D9115" s="4"/>
      <c r="E9115" s="4"/>
      <c r="F9115" s="4"/>
      <c r="G9115" s="4"/>
    </row>
    <row r="9116">
      <c r="A9116" s="4"/>
      <c r="B9116" s="4"/>
      <c r="C9116" s="4"/>
      <c r="D9116" s="4"/>
      <c r="E9116" s="13"/>
      <c r="F9116" s="4"/>
      <c r="G9116" s="4"/>
    </row>
    <row r="9117">
      <c r="A9117" s="4"/>
      <c r="B9117" s="4"/>
      <c r="C9117" s="4"/>
      <c r="D9117" s="4"/>
      <c r="E9117" s="4"/>
      <c r="F9117" s="4"/>
      <c r="G9117" s="4"/>
    </row>
    <row r="9118">
      <c r="A9118" s="4"/>
      <c r="B9118" s="4"/>
      <c r="C9118" s="4"/>
      <c r="D9118" s="4"/>
      <c r="E9118" s="4"/>
      <c r="F9118" s="4"/>
      <c r="G9118" s="4"/>
    </row>
    <row r="9119">
      <c r="A9119" s="4"/>
      <c r="B9119" s="4"/>
      <c r="C9119" s="4"/>
      <c r="D9119" s="4"/>
      <c r="E9119" s="4"/>
      <c r="F9119" s="4"/>
      <c r="G9119" s="4"/>
    </row>
    <row r="9120">
      <c r="A9120" s="4"/>
      <c r="B9120" s="4"/>
      <c r="C9120" s="4"/>
      <c r="D9120" s="4"/>
      <c r="E9120" s="4"/>
      <c r="F9120" s="4"/>
      <c r="G9120" s="4"/>
    </row>
    <row r="9121">
      <c r="A9121" s="4"/>
      <c r="B9121" s="4"/>
      <c r="C9121" s="4"/>
      <c r="D9121" s="4"/>
      <c r="E9121" s="13"/>
      <c r="F9121" s="4"/>
      <c r="G9121" s="4"/>
    </row>
    <row r="9122">
      <c r="A9122" s="4"/>
      <c r="B9122" s="4"/>
      <c r="C9122" s="4"/>
      <c r="D9122" s="13"/>
      <c r="E9122" s="4"/>
      <c r="F9122" s="4"/>
      <c r="G9122" s="4"/>
    </row>
    <row r="9123">
      <c r="A9123" s="4"/>
      <c r="B9123" s="4"/>
      <c r="C9123" s="4"/>
      <c r="D9123" s="4"/>
      <c r="E9123" s="13"/>
      <c r="F9123" s="4"/>
      <c r="G9123" s="4"/>
    </row>
    <row r="9124">
      <c r="A9124" s="4"/>
      <c r="B9124" s="4"/>
      <c r="C9124" s="4"/>
      <c r="D9124" s="4"/>
      <c r="E9124" s="4"/>
      <c r="F9124" s="4"/>
      <c r="G9124" s="4"/>
    </row>
    <row r="9125">
      <c r="A9125" s="4"/>
      <c r="B9125" s="4"/>
      <c r="C9125" s="4"/>
      <c r="D9125" s="13"/>
      <c r="E9125" s="4"/>
      <c r="F9125" s="4"/>
      <c r="G9125" s="4"/>
    </row>
    <row r="9126">
      <c r="A9126" s="4"/>
      <c r="B9126" s="4"/>
      <c r="C9126" s="4"/>
      <c r="D9126" s="4"/>
      <c r="E9126" s="4"/>
      <c r="F9126" s="4"/>
      <c r="G9126" s="4"/>
    </row>
    <row r="9127">
      <c r="A9127" s="4"/>
      <c r="B9127" s="4"/>
      <c r="C9127" s="4"/>
      <c r="D9127" s="13"/>
      <c r="E9127" s="4"/>
      <c r="F9127" s="4"/>
      <c r="G9127" s="4"/>
    </row>
    <row r="9128">
      <c r="A9128" s="4"/>
      <c r="B9128" s="4"/>
      <c r="C9128" s="4"/>
      <c r="D9128" s="13"/>
      <c r="E9128" s="13"/>
      <c r="F9128" s="4"/>
      <c r="G9128" s="4"/>
    </row>
    <row r="9129">
      <c r="A9129" s="4"/>
      <c r="B9129" s="4"/>
      <c r="C9129" s="4"/>
      <c r="D9129" s="4"/>
      <c r="E9129" s="4"/>
      <c r="F9129" s="4"/>
      <c r="G9129" s="4"/>
    </row>
    <row r="9130">
      <c r="A9130" s="4"/>
      <c r="B9130" s="4"/>
      <c r="C9130" s="4"/>
      <c r="D9130" s="4"/>
      <c r="E9130" s="4"/>
      <c r="F9130" s="4"/>
      <c r="G9130" s="4"/>
    </row>
    <row r="9131">
      <c r="A9131" s="4"/>
      <c r="B9131" s="4"/>
      <c r="C9131" s="4"/>
      <c r="D9131" s="4"/>
      <c r="E9131" s="13"/>
      <c r="F9131" s="4"/>
      <c r="G9131" s="4"/>
    </row>
    <row r="9132">
      <c r="A9132" s="4"/>
      <c r="B9132" s="4"/>
      <c r="C9132" s="4"/>
      <c r="D9132" s="13"/>
      <c r="E9132" s="13"/>
      <c r="F9132" s="4"/>
      <c r="G9132" s="4"/>
    </row>
    <row r="9133">
      <c r="A9133" s="4"/>
      <c r="B9133" s="4"/>
      <c r="C9133" s="4"/>
      <c r="D9133" s="4"/>
      <c r="E9133" s="4"/>
      <c r="F9133" s="4"/>
      <c r="G9133" s="4"/>
    </row>
    <row r="9134">
      <c r="A9134" s="4"/>
      <c r="B9134" s="4"/>
      <c r="C9134" s="4"/>
      <c r="D9134" s="4"/>
      <c r="E9134" s="4"/>
      <c r="F9134" s="4"/>
      <c r="G9134" s="4"/>
    </row>
    <row r="9135">
      <c r="A9135" s="4"/>
      <c r="B9135" s="4"/>
      <c r="C9135" s="4"/>
      <c r="D9135" s="4"/>
      <c r="E9135" s="4"/>
      <c r="F9135" s="4"/>
      <c r="G9135" s="4"/>
    </row>
    <row r="9136">
      <c r="A9136" s="4"/>
      <c r="B9136" s="4"/>
      <c r="C9136" s="4"/>
      <c r="D9136" s="4"/>
      <c r="E9136" s="4"/>
      <c r="F9136" s="4"/>
      <c r="G9136" s="4"/>
    </row>
    <row r="9137">
      <c r="A9137" s="4"/>
      <c r="B9137" s="4"/>
      <c r="C9137" s="4"/>
      <c r="D9137" s="4"/>
      <c r="E9137" s="13"/>
      <c r="F9137" s="4"/>
      <c r="G9137" s="4"/>
    </row>
    <row r="9138">
      <c r="A9138" s="4"/>
      <c r="B9138" s="4"/>
      <c r="C9138" s="4"/>
      <c r="D9138" s="4"/>
      <c r="E9138" s="4"/>
      <c r="F9138" s="4"/>
      <c r="G9138" s="4"/>
    </row>
    <row r="9139">
      <c r="A9139" s="4"/>
      <c r="B9139" s="4"/>
      <c r="C9139" s="4"/>
      <c r="D9139" s="4"/>
      <c r="E9139" s="4"/>
      <c r="F9139" s="4"/>
      <c r="G9139" s="4"/>
    </row>
    <row r="9140">
      <c r="A9140" s="4"/>
      <c r="B9140" s="4"/>
      <c r="C9140" s="4"/>
      <c r="D9140" s="13"/>
      <c r="E9140" s="4"/>
      <c r="F9140" s="4"/>
      <c r="G9140" s="4"/>
    </row>
    <row r="9141">
      <c r="A9141" s="4"/>
      <c r="B9141" s="4"/>
      <c r="C9141" s="4"/>
      <c r="D9141" s="4"/>
      <c r="E9141" s="4"/>
      <c r="F9141" s="4"/>
      <c r="G9141" s="4"/>
    </row>
    <row r="9142">
      <c r="A9142" s="4"/>
      <c r="B9142" s="4"/>
      <c r="C9142" s="4"/>
      <c r="D9142" s="4"/>
      <c r="E9142" s="13"/>
      <c r="F9142" s="4"/>
      <c r="G9142" s="4"/>
    </row>
    <row r="9143">
      <c r="A9143" s="4"/>
      <c r="B9143" s="4"/>
      <c r="C9143" s="4"/>
      <c r="D9143" s="4"/>
      <c r="E9143" s="4"/>
      <c r="F9143" s="4"/>
      <c r="G9143" s="4"/>
    </row>
    <row r="9144">
      <c r="A9144" s="4"/>
      <c r="B9144" s="4"/>
      <c r="C9144" s="4"/>
      <c r="D9144" s="13"/>
      <c r="E9144" s="13"/>
      <c r="F9144" s="4"/>
      <c r="G9144" s="4"/>
    </row>
    <row r="9145">
      <c r="A9145" s="4"/>
      <c r="B9145" s="4"/>
      <c r="C9145" s="4"/>
      <c r="D9145" s="4"/>
      <c r="E9145" s="4"/>
      <c r="F9145" s="4"/>
      <c r="G9145" s="4"/>
    </row>
    <row r="9146">
      <c r="A9146" s="4"/>
      <c r="B9146" s="4"/>
      <c r="C9146" s="4"/>
      <c r="D9146" s="4"/>
      <c r="E9146" s="4"/>
      <c r="F9146" s="4"/>
      <c r="G9146" s="4"/>
    </row>
    <row r="9147">
      <c r="A9147" s="4"/>
      <c r="B9147" s="4"/>
      <c r="C9147" s="4"/>
      <c r="D9147" s="13"/>
      <c r="E9147" s="13"/>
      <c r="F9147" s="4"/>
      <c r="G9147" s="4"/>
    </row>
    <row r="9148">
      <c r="A9148" s="4"/>
      <c r="B9148" s="4"/>
      <c r="C9148" s="4"/>
      <c r="D9148" s="4"/>
      <c r="E9148" s="13"/>
      <c r="F9148" s="4"/>
      <c r="G9148" s="4"/>
    </row>
    <row r="9149">
      <c r="A9149" s="4"/>
      <c r="B9149" s="4"/>
      <c r="C9149" s="4"/>
      <c r="D9149" s="4"/>
      <c r="E9149" s="4"/>
      <c r="F9149" s="4"/>
      <c r="G9149" s="4"/>
    </row>
    <row r="9150">
      <c r="A9150" s="4"/>
      <c r="B9150" s="4"/>
      <c r="C9150" s="4"/>
      <c r="D9150" s="4"/>
      <c r="E9150" s="13"/>
      <c r="F9150" s="4"/>
      <c r="G9150" s="4"/>
    </row>
    <row r="9151">
      <c r="A9151" s="4"/>
      <c r="B9151" s="4"/>
      <c r="C9151" s="4"/>
      <c r="D9151" s="4"/>
      <c r="E9151" s="4"/>
      <c r="F9151" s="4"/>
      <c r="G9151" s="4"/>
    </row>
    <row r="9152">
      <c r="A9152" s="4"/>
      <c r="B9152" s="4"/>
      <c r="C9152" s="4"/>
      <c r="D9152" s="4"/>
      <c r="E9152" s="13"/>
      <c r="F9152" s="4"/>
      <c r="G9152" s="4"/>
    </row>
    <row r="9153">
      <c r="A9153" s="4"/>
      <c r="B9153" s="4"/>
      <c r="C9153" s="4"/>
      <c r="D9153" s="4"/>
      <c r="E9153" s="4"/>
      <c r="F9153" s="4"/>
      <c r="G9153" s="4"/>
    </row>
    <row r="9154">
      <c r="A9154" s="4"/>
      <c r="B9154" s="4"/>
      <c r="C9154" s="4"/>
      <c r="D9154" s="4"/>
      <c r="E9154" s="13"/>
      <c r="F9154" s="4"/>
      <c r="G9154" s="4"/>
    </row>
    <row r="9155">
      <c r="A9155" s="4"/>
      <c r="B9155" s="4"/>
      <c r="C9155" s="4"/>
      <c r="D9155" s="4"/>
      <c r="E9155" s="4"/>
      <c r="F9155" s="4"/>
      <c r="G9155" s="4"/>
    </row>
    <row r="9156">
      <c r="A9156" s="4"/>
      <c r="B9156" s="4"/>
      <c r="C9156" s="4"/>
      <c r="D9156" s="4"/>
      <c r="E9156" s="4"/>
      <c r="F9156" s="4"/>
      <c r="G9156" s="4"/>
    </row>
    <row r="9157">
      <c r="A9157" s="4"/>
      <c r="B9157" s="4"/>
      <c r="C9157" s="4"/>
      <c r="D9157" s="4"/>
      <c r="E9157" s="4"/>
      <c r="F9157" s="4"/>
      <c r="G9157" s="4"/>
    </row>
    <row r="9158">
      <c r="A9158" s="4"/>
      <c r="B9158" s="4"/>
      <c r="C9158" s="4"/>
      <c r="D9158" s="4"/>
      <c r="E9158" s="4"/>
      <c r="F9158" s="4"/>
      <c r="G9158" s="4"/>
    </row>
    <row r="9159">
      <c r="A9159" s="4"/>
      <c r="B9159" s="4"/>
      <c r="C9159" s="4"/>
      <c r="D9159" s="4"/>
      <c r="E9159" s="4"/>
      <c r="F9159" s="4"/>
      <c r="G9159" s="4"/>
    </row>
    <row r="9160">
      <c r="A9160" s="4"/>
      <c r="B9160" s="4"/>
      <c r="C9160" s="4"/>
      <c r="D9160" s="4"/>
      <c r="E9160" s="4"/>
      <c r="F9160" s="4"/>
      <c r="G9160" s="4"/>
    </row>
    <row r="9161">
      <c r="A9161" s="4"/>
      <c r="B9161" s="4"/>
      <c r="C9161" s="4"/>
      <c r="D9161" s="4"/>
      <c r="E9161" s="13"/>
      <c r="F9161" s="4"/>
      <c r="G9161" s="4"/>
    </row>
    <row r="9162">
      <c r="A9162" s="4"/>
      <c r="B9162" s="4"/>
      <c r="C9162" s="4"/>
      <c r="D9162" s="4"/>
      <c r="E9162" s="4"/>
      <c r="F9162" s="4"/>
      <c r="G9162" s="4"/>
    </row>
    <row r="9163">
      <c r="A9163" s="4"/>
      <c r="B9163" s="4"/>
      <c r="C9163" s="4"/>
      <c r="D9163" s="4"/>
      <c r="E9163" s="13"/>
      <c r="F9163" s="4"/>
      <c r="G9163" s="4"/>
    </row>
    <row r="9164">
      <c r="A9164" s="4"/>
      <c r="B9164" s="4"/>
      <c r="C9164" s="4"/>
      <c r="D9164" s="4"/>
      <c r="E9164" s="4"/>
      <c r="F9164" s="4"/>
      <c r="G9164" s="4"/>
    </row>
    <row r="9165">
      <c r="A9165" s="4"/>
      <c r="B9165" s="4"/>
      <c r="C9165" s="4"/>
      <c r="D9165" s="4"/>
      <c r="E9165" s="4"/>
      <c r="F9165" s="4"/>
      <c r="G9165" s="4"/>
    </row>
    <row r="9166">
      <c r="A9166" s="4"/>
      <c r="B9166" s="4"/>
      <c r="C9166" s="4"/>
      <c r="D9166" s="4"/>
      <c r="E9166" s="4"/>
      <c r="F9166" s="4"/>
      <c r="G9166" s="4"/>
    </row>
    <row r="9167">
      <c r="A9167" s="4"/>
      <c r="B9167" s="4"/>
      <c r="C9167" s="4"/>
      <c r="D9167" s="4"/>
      <c r="E9167" s="13"/>
      <c r="F9167" s="4"/>
      <c r="G9167" s="4"/>
    </row>
    <row r="9168">
      <c r="A9168" s="4"/>
      <c r="B9168" s="4"/>
      <c r="C9168" s="4"/>
      <c r="D9168" s="4"/>
      <c r="E9168" s="4"/>
      <c r="F9168" s="4"/>
      <c r="G9168" s="4"/>
    </row>
    <row r="9169">
      <c r="A9169" s="4"/>
      <c r="B9169" s="4"/>
      <c r="C9169" s="4"/>
      <c r="D9169" s="13"/>
      <c r="E9169" s="4"/>
      <c r="F9169" s="4"/>
      <c r="G9169" s="4"/>
    </row>
    <row r="9170">
      <c r="A9170" s="4"/>
      <c r="B9170" s="4"/>
      <c r="C9170" s="4"/>
      <c r="D9170" s="4"/>
      <c r="E9170" s="4"/>
      <c r="F9170" s="4"/>
      <c r="G9170" s="4"/>
    </row>
    <row r="9171">
      <c r="A9171" s="4"/>
      <c r="B9171" s="4"/>
      <c r="C9171" s="4"/>
      <c r="D9171" s="4"/>
      <c r="E9171" s="4"/>
      <c r="F9171" s="4"/>
      <c r="G9171" s="4"/>
    </row>
    <row r="9172">
      <c r="A9172" s="4"/>
      <c r="B9172" s="4"/>
      <c r="C9172" s="4"/>
      <c r="D9172" s="13"/>
      <c r="E9172" s="13"/>
      <c r="F9172" s="4"/>
      <c r="G9172" s="4"/>
    </row>
    <row r="9173">
      <c r="A9173" s="4"/>
      <c r="B9173" s="4"/>
      <c r="C9173" s="4"/>
      <c r="D9173" s="13"/>
      <c r="E9173" s="13"/>
      <c r="F9173" s="4"/>
      <c r="G9173" s="4"/>
    </row>
    <row r="9174">
      <c r="A9174" s="4"/>
      <c r="B9174" s="4"/>
      <c r="C9174" s="4"/>
      <c r="D9174" s="4"/>
      <c r="E9174" s="4"/>
      <c r="F9174" s="4"/>
      <c r="G9174" s="4"/>
    </row>
    <row r="9175">
      <c r="A9175" s="4"/>
      <c r="B9175" s="4"/>
      <c r="C9175" s="4"/>
      <c r="D9175" s="4"/>
      <c r="E9175" s="13"/>
      <c r="F9175" s="4"/>
      <c r="G9175" s="4"/>
    </row>
    <row r="9176">
      <c r="A9176" s="4"/>
      <c r="B9176" s="4"/>
      <c r="C9176" s="4"/>
      <c r="D9176" s="13"/>
      <c r="E9176" s="13"/>
      <c r="F9176" s="4"/>
      <c r="G9176" s="4"/>
    </row>
    <row r="9177">
      <c r="A9177" s="4"/>
      <c r="B9177" s="4"/>
      <c r="C9177" s="4"/>
      <c r="D9177" s="4"/>
      <c r="E9177" s="13"/>
      <c r="F9177" s="4"/>
      <c r="G9177" s="4"/>
    </row>
    <row r="9178">
      <c r="A9178" s="4"/>
      <c r="B9178" s="4"/>
      <c r="C9178" s="4"/>
      <c r="D9178" s="4"/>
      <c r="E9178" s="4"/>
      <c r="F9178" s="4"/>
      <c r="G9178" s="4"/>
    </row>
    <row r="9179">
      <c r="A9179" s="4"/>
      <c r="B9179" s="4"/>
      <c r="C9179" s="4"/>
      <c r="D9179" s="4"/>
      <c r="E9179" s="4"/>
      <c r="F9179" s="4"/>
      <c r="G9179" s="4"/>
    </row>
    <row r="9180">
      <c r="A9180" s="4"/>
      <c r="B9180" s="4"/>
      <c r="C9180" s="4"/>
      <c r="D9180" s="4"/>
      <c r="E9180" s="4"/>
      <c r="F9180" s="4"/>
      <c r="G9180" s="4"/>
    </row>
    <row r="9181">
      <c r="A9181" s="4"/>
      <c r="B9181" s="4"/>
      <c r="C9181" s="4"/>
      <c r="D9181" s="4"/>
      <c r="E9181" s="4"/>
      <c r="F9181" s="4"/>
      <c r="G9181" s="4"/>
    </row>
    <row r="9182">
      <c r="A9182" s="4"/>
      <c r="B9182" s="4"/>
      <c r="C9182" s="4"/>
      <c r="D9182" s="13"/>
      <c r="E9182" s="13"/>
      <c r="F9182" s="4"/>
      <c r="G9182" s="4"/>
    </row>
    <row r="9183">
      <c r="A9183" s="4"/>
      <c r="B9183" s="4"/>
      <c r="C9183" s="4"/>
      <c r="D9183" s="4"/>
      <c r="E9183" s="4"/>
      <c r="F9183" s="4"/>
      <c r="G9183" s="4"/>
    </row>
    <row r="9184">
      <c r="A9184" s="4"/>
      <c r="B9184" s="4"/>
      <c r="C9184" s="4"/>
      <c r="D9184" s="13"/>
      <c r="E9184" s="13"/>
      <c r="F9184" s="4"/>
      <c r="G9184" s="4"/>
    </row>
    <row r="9185">
      <c r="A9185" s="4"/>
      <c r="B9185" s="4"/>
      <c r="C9185" s="4"/>
      <c r="D9185" s="13"/>
      <c r="E9185" s="13"/>
      <c r="F9185" s="4"/>
      <c r="G9185" s="4"/>
    </row>
    <row r="9186">
      <c r="A9186" s="4"/>
      <c r="B9186" s="4"/>
      <c r="C9186" s="4"/>
      <c r="D9186" s="13"/>
      <c r="E9186" s="13"/>
      <c r="F9186" s="4"/>
      <c r="G9186" s="4"/>
    </row>
    <row r="9187">
      <c r="A9187" s="4"/>
      <c r="B9187" s="4"/>
      <c r="C9187" s="4"/>
      <c r="D9187" s="13"/>
      <c r="E9187" s="13"/>
      <c r="F9187" s="4"/>
      <c r="G9187" s="4"/>
    </row>
    <row r="9188">
      <c r="A9188" s="4"/>
      <c r="B9188" s="4"/>
      <c r="C9188" s="4"/>
      <c r="D9188" s="4"/>
      <c r="E9188" s="4"/>
      <c r="F9188" s="4"/>
      <c r="G9188" s="4"/>
    </row>
    <row r="9189">
      <c r="A9189" s="4"/>
      <c r="B9189" s="4"/>
      <c r="C9189" s="4"/>
      <c r="D9189" s="4"/>
      <c r="E9189" s="4"/>
      <c r="F9189" s="4"/>
      <c r="G9189" s="4"/>
    </row>
    <row r="9190">
      <c r="A9190" s="4"/>
      <c r="B9190" s="4"/>
      <c r="C9190" s="4"/>
      <c r="D9190" s="4"/>
      <c r="E9190" s="4"/>
      <c r="F9190" s="4"/>
      <c r="G9190" s="4"/>
    </row>
    <row r="9191">
      <c r="A9191" s="4"/>
      <c r="B9191" s="4"/>
      <c r="C9191" s="4"/>
      <c r="D9191" s="4"/>
      <c r="E9191" s="4"/>
      <c r="F9191" s="4"/>
      <c r="G9191" s="4"/>
    </row>
    <row r="9192">
      <c r="A9192" s="4"/>
      <c r="B9192" s="4"/>
      <c r="C9192" s="4"/>
      <c r="D9192" s="4"/>
      <c r="E9192" s="13"/>
      <c r="F9192" s="4"/>
      <c r="G9192" s="4"/>
    </row>
    <row r="9193">
      <c r="A9193" s="4"/>
      <c r="B9193" s="4"/>
      <c r="C9193" s="4"/>
      <c r="D9193" s="4"/>
      <c r="E9193" s="4"/>
      <c r="F9193" s="4"/>
      <c r="G9193" s="4"/>
    </row>
    <row r="9194">
      <c r="A9194" s="4"/>
      <c r="B9194" s="4"/>
      <c r="C9194" s="4"/>
      <c r="D9194" s="4"/>
      <c r="E9194" s="4"/>
      <c r="F9194" s="4"/>
      <c r="G9194" s="4"/>
    </row>
    <row r="9195">
      <c r="A9195" s="4"/>
      <c r="B9195" s="4"/>
      <c r="C9195" s="4"/>
      <c r="D9195" s="4"/>
      <c r="E9195" s="4"/>
      <c r="F9195" s="4"/>
      <c r="G9195" s="4"/>
    </row>
    <row r="9196">
      <c r="A9196" s="4"/>
      <c r="B9196" s="4"/>
      <c r="C9196" s="4"/>
      <c r="D9196" s="13"/>
      <c r="E9196" s="13"/>
      <c r="F9196" s="4"/>
      <c r="G9196" s="4"/>
    </row>
    <row r="9197">
      <c r="A9197" s="4"/>
      <c r="B9197" s="4"/>
      <c r="C9197" s="4"/>
      <c r="D9197" s="4"/>
      <c r="E9197" s="4"/>
      <c r="F9197" s="4"/>
      <c r="G9197" s="4"/>
    </row>
    <row r="9198">
      <c r="A9198" s="4"/>
      <c r="B9198" s="4"/>
      <c r="C9198" s="4"/>
      <c r="D9198" s="13"/>
      <c r="E9198" s="13"/>
      <c r="F9198" s="4"/>
      <c r="G9198" s="4"/>
    </row>
    <row r="9199">
      <c r="A9199" s="4"/>
      <c r="B9199" s="4"/>
      <c r="C9199" s="4"/>
      <c r="D9199" s="13"/>
      <c r="E9199" s="13"/>
      <c r="F9199" s="4"/>
      <c r="G9199" s="4"/>
    </row>
    <row r="9200">
      <c r="A9200" s="4"/>
      <c r="B9200" s="4"/>
      <c r="C9200" s="4"/>
      <c r="D9200" s="4"/>
      <c r="E9200" s="13"/>
      <c r="F9200" s="4"/>
      <c r="G9200" s="4"/>
    </row>
    <row r="9201">
      <c r="A9201" s="4"/>
      <c r="B9201" s="4"/>
      <c r="C9201" s="4"/>
      <c r="D9201" s="4"/>
      <c r="E9201" s="4"/>
      <c r="F9201" s="4"/>
      <c r="G9201" s="4"/>
    </row>
    <row r="9202">
      <c r="A9202" s="4"/>
      <c r="B9202" s="4"/>
      <c r="C9202" s="4"/>
      <c r="D9202" s="13"/>
      <c r="E9202" s="13"/>
      <c r="F9202" s="4"/>
      <c r="G9202" s="4"/>
    </row>
    <row r="9203">
      <c r="A9203" s="4"/>
      <c r="B9203" s="4"/>
      <c r="C9203" s="4"/>
      <c r="D9203" s="4"/>
      <c r="E9203" s="4"/>
      <c r="F9203" s="4"/>
      <c r="G9203" s="4"/>
    </row>
    <row r="9204">
      <c r="A9204" s="4"/>
      <c r="B9204" s="4"/>
      <c r="C9204" s="4"/>
      <c r="D9204" s="13"/>
      <c r="E9204" s="13"/>
      <c r="F9204" s="4"/>
      <c r="G9204" s="4"/>
    </row>
    <row r="9205">
      <c r="A9205" s="4"/>
      <c r="B9205" s="4"/>
      <c r="C9205" s="4"/>
      <c r="D9205" s="13"/>
      <c r="E9205" s="13"/>
      <c r="F9205" s="4"/>
      <c r="G9205" s="4"/>
    </row>
    <row r="9206">
      <c r="A9206" s="4"/>
      <c r="B9206" s="4"/>
      <c r="C9206" s="4"/>
      <c r="D9206" s="4"/>
      <c r="E9206" s="4"/>
      <c r="F9206" s="4"/>
      <c r="G9206" s="4"/>
    </row>
    <row r="9207">
      <c r="A9207" s="4"/>
      <c r="B9207" s="4"/>
      <c r="C9207" s="4"/>
      <c r="D9207" s="4"/>
      <c r="E9207" s="13"/>
      <c r="F9207" s="4"/>
      <c r="G9207" s="4"/>
    </row>
    <row r="9208">
      <c r="A9208" s="4"/>
      <c r="B9208" s="4"/>
      <c r="C9208" s="4"/>
      <c r="D9208" s="13"/>
      <c r="E9208" s="13"/>
      <c r="F9208" s="4"/>
      <c r="G9208" s="4"/>
    </row>
    <row r="9209">
      <c r="A9209" s="4"/>
      <c r="B9209" s="4"/>
      <c r="C9209" s="4"/>
      <c r="D9209" s="4"/>
      <c r="E9209" s="4"/>
      <c r="F9209" s="4"/>
      <c r="G9209" s="4"/>
    </row>
    <row r="9210">
      <c r="A9210" s="4"/>
      <c r="B9210" s="4"/>
      <c r="C9210" s="4"/>
      <c r="D9210" s="4"/>
      <c r="E9210" s="4"/>
      <c r="F9210" s="4"/>
      <c r="G9210" s="4"/>
    </row>
    <row r="9211">
      <c r="A9211" s="4"/>
      <c r="B9211" s="4"/>
      <c r="C9211" s="4"/>
      <c r="D9211" s="4"/>
      <c r="E9211" s="4"/>
      <c r="F9211" s="4"/>
      <c r="G9211" s="4"/>
    </row>
    <row r="9212">
      <c r="A9212" s="4"/>
      <c r="B9212" s="4"/>
      <c r="C9212" s="4"/>
      <c r="D9212" s="4"/>
      <c r="E9212" s="4"/>
      <c r="F9212" s="4"/>
      <c r="G9212" s="4"/>
    </row>
    <row r="9213">
      <c r="A9213" s="4"/>
      <c r="B9213" s="4"/>
      <c r="C9213" s="4"/>
      <c r="D9213" s="4"/>
      <c r="E9213" s="4"/>
      <c r="F9213" s="4"/>
      <c r="G9213" s="4"/>
    </row>
    <row r="9214">
      <c r="A9214" s="4"/>
      <c r="B9214" s="4"/>
      <c r="C9214" s="4"/>
      <c r="D9214" s="4"/>
      <c r="E9214" s="4"/>
      <c r="F9214" s="4"/>
      <c r="G9214" s="4"/>
    </row>
    <row r="9215">
      <c r="A9215" s="4"/>
      <c r="B9215" s="4"/>
      <c r="C9215" s="4"/>
      <c r="D9215" s="4"/>
      <c r="E9215" s="4"/>
      <c r="F9215" s="4"/>
      <c r="G9215" s="4"/>
    </row>
    <row r="9216">
      <c r="A9216" s="4"/>
      <c r="B9216" s="4"/>
      <c r="C9216" s="4"/>
      <c r="D9216" s="4"/>
      <c r="E9216" s="4"/>
      <c r="F9216" s="4"/>
      <c r="G9216" s="4"/>
    </row>
    <row r="9217">
      <c r="A9217" s="4"/>
      <c r="B9217" s="4"/>
      <c r="C9217" s="4"/>
      <c r="D9217" s="4"/>
      <c r="E9217" s="13"/>
      <c r="F9217" s="4"/>
      <c r="G9217" s="4"/>
    </row>
    <row r="9218">
      <c r="A9218" s="4"/>
      <c r="B9218" s="4"/>
      <c r="C9218" s="4"/>
      <c r="D9218" s="4"/>
      <c r="E9218" s="13"/>
      <c r="F9218" s="4"/>
      <c r="G9218" s="4"/>
    </row>
    <row r="9219">
      <c r="A9219" s="4"/>
      <c r="B9219" s="4"/>
      <c r="C9219" s="4"/>
      <c r="D9219" s="13"/>
      <c r="E9219" s="13"/>
      <c r="F9219" s="4"/>
      <c r="G9219" s="4"/>
    </row>
    <row r="9220">
      <c r="A9220" s="4"/>
      <c r="B9220" s="4"/>
      <c r="C9220" s="4"/>
      <c r="D9220" s="4"/>
      <c r="E9220" s="13"/>
      <c r="F9220" s="4"/>
      <c r="G9220" s="4"/>
    </row>
    <row r="9221">
      <c r="A9221" s="4"/>
      <c r="B9221" s="4"/>
      <c r="C9221" s="4"/>
      <c r="D9221" s="4"/>
      <c r="E9221" s="13"/>
      <c r="F9221" s="4"/>
      <c r="G9221" s="4"/>
    </row>
    <row r="9222">
      <c r="A9222" s="4"/>
      <c r="B9222" s="4"/>
      <c r="C9222" s="4"/>
      <c r="D9222" s="4"/>
      <c r="E9222" s="4"/>
      <c r="F9222" s="4"/>
      <c r="G9222" s="4"/>
    </row>
    <row r="9223">
      <c r="A9223" s="4"/>
      <c r="B9223" s="4"/>
      <c r="C9223" s="4"/>
      <c r="D9223" s="4"/>
      <c r="E9223" s="4"/>
      <c r="F9223" s="4"/>
      <c r="G9223" s="4"/>
    </row>
    <row r="9224">
      <c r="A9224" s="4"/>
      <c r="B9224" s="4"/>
      <c r="C9224" s="4"/>
      <c r="D9224" s="4"/>
      <c r="E9224" s="4"/>
      <c r="F9224" s="4"/>
      <c r="G9224" s="4"/>
    </row>
    <row r="9225">
      <c r="A9225" s="4"/>
      <c r="B9225" s="4"/>
      <c r="C9225" s="4"/>
      <c r="D9225" s="4"/>
      <c r="E9225" s="4"/>
      <c r="F9225" s="4"/>
      <c r="G9225" s="4"/>
    </row>
    <row r="9226">
      <c r="A9226" s="4"/>
      <c r="B9226" s="4"/>
      <c r="C9226" s="4"/>
      <c r="D9226" s="4"/>
      <c r="E9226" s="4"/>
      <c r="F9226" s="4"/>
      <c r="G9226" s="4"/>
    </row>
    <row r="9227">
      <c r="A9227" s="4"/>
      <c r="B9227" s="4"/>
      <c r="C9227" s="4"/>
      <c r="D9227" s="4"/>
      <c r="E9227" s="4"/>
      <c r="F9227" s="4"/>
      <c r="G9227" s="4"/>
    </row>
    <row r="9228">
      <c r="A9228" s="4"/>
      <c r="B9228" s="4"/>
      <c r="C9228" s="4"/>
      <c r="D9228" s="4"/>
      <c r="E9228" s="13"/>
      <c r="F9228" s="4"/>
      <c r="G9228" s="4"/>
    </row>
    <row r="9229">
      <c r="A9229" s="4"/>
      <c r="B9229" s="4"/>
      <c r="C9229" s="4"/>
      <c r="D9229" s="4"/>
      <c r="E9229" s="4"/>
      <c r="F9229" s="4"/>
      <c r="G9229" s="4"/>
    </row>
    <row r="9230">
      <c r="A9230" s="4"/>
      <c r="B9230" s="4"/>
      <c r="C9230" s="4"/>
      <c r="D9230" s="4"/>
      <c r="E9230" s="13"/>
      <c r="F9230" s="4"/>
      <c r="G9230" s="4"/>
    </row>
    <row r="9231">
      <c r="A9231" s="4"/>
      <c r="B9231" s="4"/>
      <c r="C9231" s="4"/>
      <c r="D9231" s="4"/>
      <c r="E9231" s="4"/>
      <c r="F9231" s="4"/>
      <c r="G9231" s="4"/>
    </row>
    <row r="9232">
      <c r="A9232" s="4"/>
      <c r="B9232" s="4"/>
      <c r="C9232" s="4"/>
      <c r="D9232" s="4"/>
      <c r="E9232" s="13"/>
      <c r="F9232" s="4"/>
      <c r="G9232" s="4"/>
    </row>
    <row r="9233">
      <c r="A9233" s="4"/>
      <c r="B9233" s="4"/>
      <c r="C9233" s="4"/>
      <c r="D9233" s="4"/>
      <c r="E9233" s="4"/>
      <c r="F9233" s="4"/>
      <c r="G9233" s="4"/>
    </row>
    <row r="9234">
      <c r="A9234" s="4"/>
      <c r="B9234" s="4"/>
      <c r="C9234" s="4"/>
      <c r="D9234" s="4"/>
      <c r="E9234" s="13"/>
      <c r="F9234" s="4"/>
      <c r="G9234" s="4"/>
    </row>
    <row r="9235">
      <c r="A9235" s="4"/>
      <c r="B9235" s="4"/>
      <c r="C9235" s="4"/>
      <c r="D9235" s="4"/>
      <c r="E9235" s="4"/>
      <c r="F9235" s="4"/>
      <c r="G9235" s="4"/>
    </row>
    <row r="9236">
      <c r="A9236" s="4"/>
      <c r="B9236" s="4"/>
      <c r="C9236" s="4"/>
      <c r="D9236" s="4"/>
      <c r="E9236" s="4"/>
      <c r="F9236" s="4"/>
      <c r="G9236" s="4"/>
    </row>
    <row r="9237">
      <c r="A9237" s="4"/>
      <c r="B9237" s="4"/>
      <c r="C9237" s="4"/>
      <c r="D9237" s="4"/>
      <c r="E9237" s="4"/>
      <c r="F9237" s="4"/>
      <c r="G9237" s="4"/>
    </row>
    <row r="9238">
      <c r="A9238" s="4"/>
      <c r="B9238" s="4"/>
      <c r="C9238" s="4"/>
      <c r="D9238" s="4"/>
      <c r="E9238" s="13"/>
      <c r="F9238" s="4"/>
      <c r="G9238" s="4"/>
    </row>
    <row r="9239">
      <c r="A9239" s="4"/>
      <c r="B9239" s="4"/>
      <c r="C9239" s="4"/>
      <c r="D9239" s="4"/>
      <c r="E9239" s="4"/>
      <c r="F9239" s="4"/>
      <c r="G9239" s="4"/>
    </row>
    <row r="9240">
      <c r="A9240" s="4"/>
      <c r="B9240" s="4"/>
      <c r="C9240" s="4"/>
      <c r="D9240" s="4"/>
      <c r="E9240" s="13"/>
      <c r="F9240" s="4"/>
      <c r="G9240" s="4"/>
    </row>
    <row r="9241">
      <c r="A9241" s="4"/>
      <c r="B9241" s="4"/>
      <c r="C9241" s="4"/>
      <c r="D9241" s="4"/>
      <c r="E9241" s="13"/>
      <c r="F9241" s="4"/>
      <c r="G9241" s="4"/>
    </row>
    <row r="9242">
      <c r="A9242" s="4"/>
      <c r="B9242" s="4"/>
      <c r="C9242" s="4"/>
      <c r="D9242" s="4"/>
      <c r="E9242" s="13"/>
      <c r="F9242" s="4"/>
      <c r="G9242" s="4"/>
    </row>
    <row r="9243">
      <c r="A9243" s="4"/>
      <c r="B9243" s="4"/>
      <c r="C9243" s="4"/>
      <c r="D9243" s="4"/>
      <c r="E9243" s="4"/>
      <c r="F9243" s="4"/>
      <c r="G9243" s="4"/>
    </row>
    <row r="9244">
      <c r="A9244" s="4"/>
      <c r="B9244" s="4"/>
      <c r="C9244" s="4"/>
      <c r="D9244" s="4"/>
      <c r="E9244" s="4"/>
      <c r="F9244" s="4"/>
      <c r="G9244" s="4"/>
    </row>
    <row r="9245">
      <c r="A9245" s="4"/>
      <c r="B9245" s="4"/>
      <c r="C9245" s="4"/>
      <c r="D9245" s="4"/>
      <c r="E9245" s="4"/>
      <c r="F9245" s="4"/>
      <c r="G9245" s="4"/>
    </row>
    <row r="9246">
      <c r="A9246" s="4"/>
      <c r="B9246" s="4"/>
      <c r="C9246" s="4"/>
      <c r="D9246" s="4"/>
      <c r="E9246" s="13"/>
      <c r="F9246" s="4"/>
      <c r="G9246" s="4"/>
    </row>
    <row r="9247">
      <c r="A9247" s="4"/>
      <c r="B9247" s="4"/>
      <c r="C9247" s="4"/>
      <c r="D9247" s="4"/>
      <c r="E9247" s="4"/>
      <c r="F9247" s="4"/>
      <c r="G9247" s="4"/>
    </row>
    <row r="9248">
      <c r="A9248" s="4"/>
      <c r="B9248" s="4"/>
      <c r="C9248" s="4"/>
      <c r="D9248" s="4"/>
      <c r="E9248" s="4"/>
      <c r="F9248" s="4"/>
      <c r="G9248" s="4"/>
    </row>
    <row r="9249">
      <c r="A9249" s="4"/>
      <c r="B9249" s="4"/>
      <c r="C9249" s="4"/>
      <c r="D9249" s="13"/>
      <c r="E9249" s="4"/>
      <c r="F9249" s="4"/>
      <c r="G9249" s="4"/>
    </row>
    <row r="9250">
      <c r="A9250" s="4"/>
      <c r="B9250" s="4"/>
      <c r="C9250" s="4"/>
      <c r="D9250" s="4"/>
      <c r="E9250" s="4"/>
      <c r="F9250" s="4"/>
      <c r="G9250" s="4"/>
    </row>
    <row r="9251">
      <c r="A9251" s="4"/>
      <c r="B9251" s="4"/>
      <c r="C9251" s="4"/>
      <c r="D9251" s="4"/>
      <c r="E9251" s="4"/>
      <c r="F9251" s="4"/>
      <c r="G9251" s="4"/>
    </row>
    <row r="9252">
      <c r="A9252" s="4"/>
      <c r="B9252" s="4"/>
      <c r="C9252" s="4"/>
      <c r="D9252" s="4"/>
      <c r="E9252" s="13"/>
      <c r="F9252" s="4"/>
      <c r="G9252" s="4"/>
    </row>
    <row r="9253">
      <c r="A9253" s="4"/>
      <c r="B9253" s="4"/>
      <c r="C9253" s="4"/>
      <c r="D9253" s="13"/>
      <c r="E9253" s="13"/>
      <c r="F9253" s="4"/>
      <c r="G9253" s="4"/>
    </row>
    <row r="9254">
      <c r="A9254" s="4"/>
      <c r="B9254" s="4"/>
      <c r="C9254" s="4"/>
      <c r="D9254" s="4"/>
      <c r="E9254" s="4"/>
      <c r="F9254" s="4"/>
      <c r="G9254" s="4"/>
    </row>
    <row r="9255">
      <c r="A9255" s="4"/>
      <c r="B9255" s="4"/>
      <c r="C9255" s="4"/>
      <c r="D9255" s="4"/>
      <c r="E9255" s="4"/>
      <c r="F9255" s="4"/>
      <c r="G9255" s="4"/>
    </row>
    <row r="9256">
      <c r="A9256" s="4"/>
      <c r="B9256" s="4"/>
      <c r="C9256" s="4"/>
      <c r="D9256" s="4"/>
      <c r="E9256" s="4"/>
      <c r="F9256" s="4"/>
      <c r="G9256" s="4"/>
    </row>
    <row r="9257">
      <c r="A9257" s="4"/>
      <c r="B9257" s="4"/>
      <c r="C9257" s="4"/>
      <c r="D9257" s="4"/>
      <c r="E9257" s="4"/>
      <c r="F9257" s="4"/>
      <c r="G9257" s="4"/>
    </row>
    <row r="9258">
      <c r="A9258" s="4"/>
      <c r="B9258" s="4"/>
      <c r="C9258" s="4"/>
      <c r="D9258" s="4"/>
      <c r="E9258" s="4"/>
      <c r="F9258" s="4"/>
      <c r="G9258" s="4"/>
    </row>
    <row r="9259">
      <c r="A9259" s="4"/>
      <c r="B9259" s="4"/>
      <c r="C9259" s="4"/>
      <c r="D9259" s="4"/>
      <c r="E9259" s="4"/>
      <c r="F9259" s="4"/>
      <c r="G9259" s="4"/>
    </row>
    <row r="9260">
      <c r="A9260" s="4"/>
      <c r="B9260" s="4"/>
      <c r="C9260" s="4"/>
      <c r="D9260" s="4"/>
      <c r="E9260" s="4"/>
      <c r="F9260" s="4"/>
      <c r="G9260" s="4"/>
    </row>
    <row r="9261">
      <c r="A9261" s="4"/>
      <c r="B9261" s="4"/>
      <c r="C9261" s="4"/>
      <c r="D9261" s="4"/>
      <c r="E9261" s="13"/>
      <c r="F9261" s="4"/>
      <c r="G9261" s="4"/>
    </row>
    <row r="9262">
      <c r="A9262" s="4"/>
      <c r="B9262" s="4"/>
      <c r="C9262" s="4"/>
      <c r="D9262" s="4"/>
      <c r="E9262" s="4"/>
      <c r="F9262" s="4"/>
      <c r="G9262" s="4"/>
    </row>
    <row r="9263">
      <c r="A9263" s="4"/>
      <c r="B9263" s="4"/>
      <c r="C9263" s="4"/>
      <c r="D9263" s="4"/>
      <c r="E9263" s="13"/>
      <c r="F9263" s="4"/>
      <c r="G9263" s="4"/>
    </row>
    <row r="9264">
      <c r="A9264" s="4"/>
      <c r="B9264" s="4"/>
      <c r="C9264" s="4"/>
      <c r="D9264" s="4"/>
      <c r="E9264" s="4"/>
      <c r="F9264" s="4"/>
      <c r="G9264" s="4"/>
    </row>
    <row r="9265">
      <c r="A9265" s="4"/>
      <c r="B9265" s="4"/>
      <c r="C9265" s="4"/>
      <c r="D9265" s="4"/>
      <c r="E9265" s="4"/>
      <c r="F9265" s="4"/>
      <c r="G9265" s="4"/>
    </row>
    <row r="9266">
      <c r="A9266" s="4"/>
      <c r="B9266" s="4"/>
      <c r="C9266" s="4"/>
      <c r="D9266" s="4"/>
      <c r="E9266" s="4"/>
      <c r="F9266" s="4"/>
      <c r="G9266" s="4"/>
    </row>
    <row r="9267">
      <c r="A9267" s="4"/>
      <c r="B9267" s="4"/>
      <c r="C9267" s="4"/>
      <c r="D9267" s="4"/>
      <c r="E9267" s="13"/>
      <c r="F9267" s="4"/>
      <c r="G9267" s="4"/>
    </row>
    <row r="9268">
      <c r="A9268" s="4"/>
      <c r="B9268" s="4"/>
      <c r="C9268" s="4"/>
      <c r="D9268" s="4"/>
      <c r="E9268" s="4"/>
      <c r="F9268" s="4"/>
      <c r="G9268" s="4"/>
    </row>
    <row r="9269">
      <c r="A9269" s="4"/>
      <c r="B9269" s="4"/>
      <c r="C9269" s="4"/>
      <c r="D9269" s="4"/>
      <c r="E9269" s="13"/>
      <c r="F9269" s="4"/>
      <c r="G9269" s="4"/>
    </row>
    <row r="9270">
      <c r="A9270" s="4"/>
      <c r="B9270" s="4"/>
      <c r="C9270" s="4"/>
      <c r="D9270" s="4"/>
      <c r="E9270" s="4"/>
      <c r="F9270" s="4"/>
      <c r="G9270" s="4"/>
    </row>
    <row r="9271">
      <c r="A9271" s="4"/>
      <c r="B9271" s="4"/>
      <c r="C9271" s="4"/>
      <c r="D9271" s="4"/>
      <c r="E9271" s="13"/>
      <c r="F9271" s="4"/>
      <c r="G9271" s="4"/>
    </row>
    <row r="9272">
      <c r="A9272" s="4"/>
      <c r="B9272" s="4"/>
      <c r="C9272" s="4"/>
      <c r="D9272" s="4"/>
      <c r="E9272" s="4"/>
      <c r="F9272" s="4"/>
      <c r="G9272" s="4"/>
    </row>
    <row r="9273">
      <c r="A9273" s="4"/>
      <c r="B9273" s="4"/>
      <c r="C9273" s="4"/>
      <c r="D9273" s="4"/>
      <c r="E9273" s="4"/>
      <c r="F9273" s="4"/>
      <c r="G9273" s="4"/>
    </row>
    <row r="9274">
      <c r="A9274" s="4"/>
      <c r="B9274" s="4"/>
      <c r="C9274" s="4"/>
      <c r="D9274" s="4"/>
      <c r="E9274" s="13"/>
      <c r="F9274" s="4"/>
      <c r="G9274" s="4"/>
    </row>
    <row r="9275">
      <c r="A9275" s="4"/>
      <c r="B9275" s="4"/>
      <c r="C9275" s="4"/>
      <c r="D9275" s="4"/>
      <c r="E9275" s="4"/>
      <c r="F9275" s="4"/>
      <c r="G9275" s="4"/>
    </row>
    <row r="9276">
      <c r="A9276" s="4"/>
      <c r="B9276" s="4"/>
      <c r="C9276" s="4"/>
      <c r="D9276" s="4"/>
      <c r="E9276" s="13"/>
      <c r="F9276" s="4"/>
      <c r="G9276" s="4"/>
    </row>
    <row r="9277">
      <c r="A9277" s="4"/>
      <c r="B9277" s="4"/>
      <c r="C9277" s="4"/>
      <c r="D9277" s="4"/>
      <c r="E9277" s="4"/>
      <c r="F9277" s="4"/>
      <c r="G9277" s="4"/>
    </row>
    <row r="9278">
      <c r="A9278" s="4"/>
      <c r="B9278" s="4"/>
      <c r="C9278" s="4"/>
      <c r="D9278" s="4"/>
      <c r="E9278" s="13"/>
      <c r="F9278" s="4"/>
      <c r="G9278" s="4"/>
    </row>
    <row r="9279">
      <c r="A9279" s="4"/>
      <c r="B9279" s="4"/>
      <c r="C9279" s="4"/>
      <c r="D9279" s="4"/>
      <c r="E9279" s="13"/>
      <c r="F9279" s="4"/>
      <c r="G9279" s="4"/>
    </row>
    <row r="9280">
      <c r="A9280" s="4"/>
      <c r="B9280" s="4"/>
      <c r="C9280" s="4"/>
      <c r="D9280" s="4"/>
      <c r="E9280" s="4"/>
      <c r="F9280" s="4"/>
      <c r="G9280" s="4"/>
    </row>
    <row r="9281">
      <c r="A9281" s="4"/>
      <c r="B9281" s="4"/>
      <c r="C9281" s="4"/>
      <c r="D9281" s="4"/>
      <c r="E9281" s="4"/>
      <c r="F9281" s="4"/>
      <c r="G9281" s="4"/>
    </row>
    <row r="9282">
      <c r="A9282" s="4"/>
      <c r="B9282" s="4"/>
      <c r="C9282" s="4"/>
      <c r="D9282" s="4"/>
      <c r="E9282" s="4"/>
      <c r="F9282" s="4"/>
      <c r="G9282" s="4"/>
    </row>
    <row r="9283">
      <c r="A9283" s="4"/>
      <c r="B9283" s="4"/>
      <c r="C9283" s="4"/>
      <c r="D9283" s="4"/>
      <c r="E9283" s="4"/>
      <c r="F9283" s="4"/>
      <c r="G9283" s="4"/>
    </row>
    <row r="9284">
      <c r="A9284" s="4"/>
      <c r="B9284" s="4"/>
      <c r="C9284" s="4"/>
      <c r="D9284" s="4"/>
      <c r="E9284" s="4"/>
      <c r="F9284" s="4"/>
      <c r="G9284" s="4"/>
    </row>
    <row r="9285">
      <c r="A9285" s="4"/>
      <c r="B9285" s="4"/>
      <c r="C9285" s="4"/>
      <c r="D9285" s="4"/>
      <c r="E9285" s="13"/>
      <c r="F9285" s="4"/>
      <c r="G9285" s="4"/>
    </row>
    <row r="9286">
      <c r="A9286" s="4"/>
      <c r="B9286" s="4"/>
      <c r="C9286" s="4"/>
      <c r="D9286" s="4"/>
      <c r="E9286" s="4"/>
      <c r="F9286" s="4"/>
      <c r="G9286" s="4"/>
    </row>
    <row r="9287">
      <c r="A9287" s="4"/>
      <c r="B9287" s="4"/>
      <c r="C9287" s="4"/>
      <c r="D9287" s="4"/>
      <c r="E9287" s="4"/>
      <c r="F9287" s="4"/>
      <c r="G9287" s="4"/>
    </row>
    <row r="9288">
      <c r="A9288" s="4"/>
      <c r="B9288" s="4"/>
      <c r="C9288" s="4"/>
      <c r="D9288" s="4"/>
      <c r="E9288" s="4"/>
      <c r="F9288" s="4"/>
      <c r="G9288" s="4"/>
    </row>
    <row r="9289">
      <c r="A9289" s="4"/>
      <c r="B9289" s="4"/>
      <c r="C9289" s="4"/>
      <c r="D9289" s="4"/>
      <c r="E9289" s="13"/>
      <c r="F9289" s="4"/>
      <c r="G9289" s="4"/>
    </row>
    <row r="9290">
      <c r="A9290" s="4"/>
      <c r="B9290" s="4"/>
      <c r="C9290" s="4"/>
      <c r="D9290" s="4"/>
      <c r="E9290" s="4"/>
      <c r="F9290" s="4"/>
      <c r="G9290" s="4"/>
    </row>
    <row r="9291">
      <c r="A9291" s="4"/>
      <c r="B9291" s="4"/>
      <c r="C9291" s="4"/>
      <c r="D9291" s="4"/>
      <c r="E9291" s="13"/>
      <c r="F9291" s="4"/>
      <c r="G9291" s="4"/>
    </row>
    <row r="9292">
      <c r="A9292" s="4"/>
      <c r="B9292" s="4"/>
      <c r="C9292" s="4"/>
      <c r="D9292" s="4"/>
      <c r="E9292" s="4"/>
      <c r="F9292" s="4"/>
      <c r="G9292" s="4"/>
    </row>
    <row r="9293">
      <c r="A9293" s="4"/>
      <c r="B9293" s="4"/>
      <c r="C9293" s="4"/>
      <c r="D9293" s="4"/>
      <c r="E9293" s="4"/>
      <c r="F9293" s="4"/>
      <c r="G9293" s="4"/>
    </row>
    <row r="9294">
      <c r="A9294" s="4"/>
      <c r="B9294" s="4"/>
      <c r="C9294" s="4"/>
      <c r="D9294" s="4"/>
      <c r="E9294" s="4"/>
      <c r="F9294" s="4"/>
      <c r="G9294" s="4"/>
    </row>
    <row r="9295">
      <c r="A9295" s="4"/>
      <c r="B9295" s="4"/>
      <c r="C9295" s="4"/>
      <c r="D9295" s="4"/>
      <c r="E9295" s="4"/>
      <c r="F9295" s="4"/>
      <c r="G9295" s="4"/>
    </row>
    <row r="9296">
      <c r="A9296" s="4"/>
      <c r="B9296" s="4"/>
      <c r="C9296" s="4"/>
      <c r="D9296" s="4"/>
      <c r="E9296" s="13"/>
      <c r="F9296" s="4"/>
      <c r="G9296" s="4"/>
    </row>
    <row r="9297">
      <c r="A9297" s="4"/>
      <c r="B9297" s="4"/>
      <c r="C9297" s="4"/>
      <c r="D9297" s="4"/>
      <c r="E9297" s="4"/>
      <c r="F9297" s="4"/>
      <c r="G9297" s="4"/>
    </row>
    <row r="9298">
      <c r="A9298" s="4"/>
      <c r="B9298" s="4"/>
      <c r="C9298" s="4"/>
      <c r="D9298" s="4"/>
      <c r="E9298" s="13"/>
      <c r="F9298" s="4"/>
      <c r="G9298" s="4"/>
    </row>
    <row r="9299">
      <c r="A9299" s="4"/>
      <c r="B9299" s="4"/>
      <c r="C9299" s="4"/>
      <c r="D9299" s="4"/>
      <c r="E9299" s="4"/>
      <c r="F9299" s="4"/>
      <c r="G9299" s="4"/>
    </row>
    <row r="9300">
      <c r="A9300" s="4"/>
      <c r="B9300" s="4"/>
      <c r="C9300" s="4"/>
      <c r="D9300" s="4"/>
      <c r="E9300" s="4"/>
      <c r="F9300" s="4"/>
      <c r="G9300" s="4"/>
    </row>
    <row r="9301">
      <c r="A9301" s="4"/>
      <c r="B9301" s="4"/>
      <c r="C9301" s="4"/>
      <c r="D9301" s="4"/>
      <c r="E9301" s="4"/>
      <c r="F9301" s="4"/>
      <c r="G9301" s="4"/>
    </row>
    <row r="9302">
      <c r="A9302" s="4"/>
      <c r="B9302" s="4"/>
      <c r="C9302" s="4"/>
      <c r="D9302" s="4"/>
      <c r="E9302" s="4"/>
      <c r="F9302" s="4"/>
      <c r="G9302" s="4"/>
    </row>
    <row r="9303">
      <c r="A9303" s="4"/>
      <c r="B9303" s="4"/>
      <c r="C9303" s="4"/>
      <c r="D9303" s="4"/>
      <c r="E9303" s="13"/>
      <c r="F9303" s="4"/>
      <c r="G9303" s="4"/>
    </row>
    <row r="9304">
      <c r="A9304" s="4"/>
      <c r="B9304" s="4"/>
      <c r="C9304" s="4"/>
      <c r="D9304" s="4"/>
      <c r="E9304" s="4"/>
      <c r="F9304" s="4"/>
      <c r="G9304" s="4"/>
    </row>
    <row r="9305">
      <c r="A9305" s="4"/>
      <c r="B9305" s="4"/>
      <c r="C9305" s="4"/>
      <c r="D9305" s="4"/>
      <c r="E9305" s="4"/>
      <c r="F9305" s="4"/>
      <c r="G9305" s="4"/>
    </row>
    <row r="9306">
      <c r="A9306" s="4"/>
      <c r="B9306" s="4"/>
      <c r="C9306" s="4"/>
      <c r="D9306" s="4"/>
      <c r="E9306" s="4"/>
      <c r="F9306" s="4"/>
      <c r="G9306" s="4"/>
    </row>
    <row r="9307">
      <c r="A9307" s="4"/>
      <c r="B9307" s="4"/>
      <c r="C9307" s="4"/>
      <c r="D9307" s="4"/>
      <c r="E9307" s="4"/>
      <c r="F9307" s="4"/>
      <c r="G9307" s="4"/>
    </row>
    <row r="9308">
      <c r="A9308" s="4"/>
      <c r="B9308" s="4"/>
      <c r="C9308" s="4"/>
      <c r="D9308" s="4"/>
      <c r="E9308" s="13"/>
      <c r="F9308" s="4"/>
      <c r="G9308" s="4"/>
    </row>
    <row r="9309">
      <c r="A9309" s="4"/>
      <c r="B9309" s="4"/>
      <c r="C9309" s="4"/>
      <c r="D9309" s="4"/>
      <c r="E9309" s="4"/>
      <c r="F9309" s="4"/>
      <c r="G9309" s="4"/>
    </row>
    <row r="9310">
      <c r="A9310" s="4"/>
      <c r="B9310" s="4"/>
      <c r="C9310" s="4"/>
      <c r="D9310" s="4"/>
      <c r="E9310" s="13"/>
      <c r="F9310" s="4"/>
      <c r="G9310" s="4"/>
    </row>
    <row r="9311">
      <c r="A9311" s="4"/>
      <c r="B9311" s="4"/>
      <c r="C9311" s="4"/>
      <c r="D9311" s="4"/>
      <c r="E9311" s="4"/>
      <c r="F9311" s="4"/>
      <c r="G9311" s="4"/>
    </row>
    <row r="9312">
      <c r="A9312" s="4"/>
      <c r="B9312" s="4"/>
      <c r="C9312" s="4"/>
      <c r="D9312" s="4"/>
      <c r="E9312" s="13"/>
      <c r="F9312" s="4"/>
      <c r="G9312" s="4"/>
    </row>
    <row r="9313">
      <c r="A9313" s="4"/>
      <c r="B9313" s="4"/>
      <c r="C9313" s="4"/>
      <c r="D9313" s="4"/>
      <c r="E9313" s="13"/>
      <c r="F9313" s="4"/>
      <c r="G9313" s="4"/>
    </row>
    <row r="9314">
      <c r="A9314" s="4"/>
      <c r="B9314" s="4"/>
      <c r="C9314" s="4"/>
      <c r="D9314" s="4"/>
      <c r="E9314" s="13"/>
      <c r="F9314" s="4"/>
      <c r="G9314" s="4"/>
    </row>
    <row r="9315">
      <c r="A9315" s="4"/>
      <c r="B9315" s="4"/>
      <c r="C9315" s="4"/>
      <c r="D9315" s="4"/>
      <c r="E9315" s="13"/>
      <c r="F9315" s="4"/>
      <c r="G9315" s="4"/>
    </row>
    <row r="9316">
      <c r="A9316" s="4"/>
      <c r="B9316" s="4"/>
      <c r="C9316" s="4"/>
      <c r="D9316" s="4"/>
      <c r="E9316" s="4"/>
      <c r="F9316" s="4"/>
      <c r="G9316" s="4"/>
    </row>
    <row r="9317">
      <c r="A9317" s="4"/>
      <c r="B9317" s="4"/>
      <c r="C9317" s="4"/>
      <c r="D9317" s="4"/>
      <c r="E9317" s="13"/>
      <c r="F9317" s="4"/>
      <c r="G9317" s="4"/>
    </row>
    <row r="9318">
      <c r="A9318" s="4"/>
      <c r="B9318" s="4"/>
      <c r="C9318" s="4"/>
      <c r="D9318" s="4"/>
      <c r="E9318" s="4"/>
      <c r="F9318" s="4"/>
      <c r="G9318" s="4"/>
    </row>
    <row r="9319">
      <c r="A9319" s="4"/>
      <c r="B9319" s="4"/>
      <c r="C9319" s="4"/>
      <c r="D9319" s="4"/>
      <c r="E9319" s="13"/>
      <c r="F9319" s="4"/>
      <c r="G9319" s="4"/>
    </row>
    <row r="9320">
      <c r="A9320" s="4"/>
      <c r="B9320" s="4"/>
      <c r="C9320" s="4"/>
      <c r="D9320" s="4"/>
      <c r="E9320" s="4"/>
      <c r="F9320" s="4"/>
      <c r="G9320" s="4"/>
    </row>
    <row r="9321">
      <c r="A9321" s="4"/>
      <c r="B9321" s="4"/>
      <c r="C9321" s="4"/>
      <c r="D9321" s="4"/>
      <c r="E9321" s="4"/>
      <c r="F9321" s="4"/>
      <c r="G9321" s="4"/>
    </row>
    <row r="9322">
      <c r="A9322" s="4"/>
      <c r="B9322" s="4"/>
      <c r="C9322" s="4"/>
      <c r="D9322" s="4"/>
      <c r="E9322" s="4"/>
      <c r="F9322" s="4"/>
      <c r="G9322" s="4"/>
    </row>
    <row r="9323">
      <c r="A9323" s="4"/>
      <c r="B9323" s="4"/>
      <c r="C9323" s="4"/>
      <c r="D9323" s="4"/>
      <c r="E9323" s="4"/>
      <c r="F9323" s="4"/>
      <c r="G9323" s="4"/>
    </row>
    <row r="9324">
      <c r="A9324" s="4"/>
      <c r="B9324" s="4"/>
      <c r="C9324" s="4"/>
      <c r="D9324" s="4"/>
      <c r="E9324" s="4"/>
      <c r="F9324" s="4"/>
      <c r="G9324" s="4"/>
    </row>
    <row r="9325">
      <c r="A9325" s="4"/>
      <c r="B9325" s="4"/>
      <c r="C9325" s="4"/>
      <c r="D9325" s="4"/>
      <c r="E9325" s="4"/>
      <c r="F9325" s="4"/>
      <c r="G9325" s="4"/>
    </row>
    <row r="9326">
      <c r="A9326" s="4"/>
      <c r="B9326" s="4"/>
      <c r="C9326" s="4"/>
      <c r="D9326" s="4"/>
      <c r="E9326" s="4"/>
      <c r="F9326" s="4"/>
      <c r="G9326" s="4"/>
    </row>
    <row r="9327">
      <c r="A9327" s="4"/>
      <c r="B9327" s="4"/>
      <c r="C9327" s="4"/>
      <c r="D9327" s="4"/>
      <c r="E9327" s="4"/>
      <c r="F9327" s="4"/>
      <c r="G9327" s="4"/>
    </row>
    <row r="9328">
      <c r="A9328" s="4"/>
      <c r="B9328" s="4"/>
      <c r="C9328" s="4"/>
      <c r="D9328" s="4"/>
      <c r="E9328" s="4"/>
      <c r="F9328" s="4"/>
      <c r="G9328" s="4"/>
    </row>
    <row r="9329">
      <c r="A9329" s="4"/>
      <c r="B9329" s="4"/>
      <c r="C9329" s="4"/>
      <c r="D9329" s="4"/>
      <c r="E9329" s="4"/>
      <c r="F9329" s="4"/>
      <c r="G9329" s="4"/>
    </row>
    <row r="9330">
      <c r="A9330" s="4"/>
      <c r="B9330" s="4"/>
      <c r="C9330" s="4"/>
      <c r="D9330" s="4"/>
      <c r="E9330" s="4"/>
      <c r="F9330" s="4"/>
      <c r="G9330" s="4"/>
    </row>
    <row r="9331">
      <c r="A9331" s="4"/>
      <c r="B9331" s="4"/>
      <c r="C9331" s="4"/>
      <c r="D9331" s="4"/>
      <c r="E9331" s="4"/>
      <c r="F9331" s="4"/>
      <c r="G9331" s="4"/>
    </row>
    <row r="9332">
      <c r="A9332" s="4"/>
      <c r="B9332" s="4"/>
      <c r="C9332" s="4"/>
      <c r="D9332" s="4"/>
      <c r="E9332" s="4"/>
      <c r="F9332" s="4"/>
      <c r="G9332" s="4"/>
    </row>
    <row r="9333">
      <c r="A9333" s="4"/>
      <c r="B9333" s="4"/>
      <c r="C9333" s="4"/>
      <c r="D9333" s="4"/>
      <c r="E9333" s="13"/>
      <c r="F9333" s="4"/>
      <c r="G9333" s="4"/>
    </row>
    <row r="9334">
      <c r="A9334" s="4"/>
      <c r="B9334" s="4"/>
      <c r="C9334" s="4"/>
      <c r="D9334" s="4"/>
      <c r="E9334" s="4"/>
      <c r="F9334" s="4"/>
      <c r="G9334" s="4"/>
    </row>
    <row r="9335">
      <c r="A9335" s="4"/>
      <c r="B9335" s="4"/>
      <c r="C9335" s="4"/>
      <c r="D9335" s="4"/>
      <c r="E9335" s="13"/>
      <c r="F9335" s="4"/>
      <c r="G9335" s="4"/>
    </row>
    <row r="9336">
      <c r="A9336" s="4"/>
      <c r="B9336" s="4"/>
      <c r="C9336" s="4"/>
      <c r="D9336" s="4"/>
      <c r="E9336" s="13"/>
      <c r="F9336" s="4"/>
      <c r="G9336" s="4"/>
    </row>
    <row r="9337">
      <c r="A9337" s="4"/>
      <c r="B9337" s="4"/>
      <c r="C9337" s="4"/>
      <c r="D9337" s="4"/>
      <c r="E9337" s="4"/>
      <c r="F9337" s="4"/>
      <c r="G9337" s="4"/>
    </row>
    <row r="9338">
      <c r="A9338" s="4"/>
      <c r="B9338" s="4"/>
      <c r="C9338" s="4"/>
      <c r="D9338" s="4"/>
      <c r="E9338" s="13"/>
      <c r="F9338" s="4"/>
      <c r="G9338" s="4"/>
    </row>
    <row r="9339">
      <c r="A9339" s="4"/>
      <c r="B9339" s="4"/>
      <c r="C9339" s="4"/>
      <c r="D9339" s="4"/>
      <c r="E9339" s="13"/>
      <c r="F9339" s="4"/>
      <c r="G9339" s="4"/>
    </row>
    <row r="9340">
      <c r="A9340" s="4"/>
      <c r="B9340" s="4"/>
      <c r="C9340" s="4"/>
      <c r="D9340" s="4"/>
      <c r="E9340" s="13"/>
      <c r="F9340" s="4"/>
      <c r="G9340" s="4"/>
    </row>
    <row r="9341">
      <c r="A9341" s="4"/>
      <c r="B9341" s="4"/>
      <c r="C9341" s="4"/>
      <c r="D9341" s="4"/>
      <c r="E9341" s="4"/>
      <c r="F9341" s="4"/>
      <c r="G9341" s="4"/>
    </row>
    <row r="9342">
      <c r="A9342" s="4"/>
      <c r="B9342" s="4"/>
      <c r="C9342" s="4"/>
      <c r="D9342" s="4"/>
      <c r="E9342" s="4"/>
      <c r="F9342" s="4"/>
      <c r="G9342" s="4"/>
    </row>
    <row r="9343">
      <c r="A9343" s="4"/>
      <c r="B9343" s="4"/>
      <c r="C9343" s="4"/>
      <c r="D9343" s="4"/>
      <c r="E9343" s="13"/>
      <c r="F9343" s="4"/>
      <c r="G9343" s="4"/>
    </row>
    <row r="9344">
      <c r="A9344" s="4"/>
      <c r="B9344" s="4"/>
      <c r="C9344" s="4"/>
      <c r="D9344" s="4"/>
      <c r="E9344" s="13"/>
      <c r="F9344" s="4"/>
      <c r="G9344" s="4"/>
    </row>
    <row r="9345">
      <c r="A9345" s="4"/>
      <c r="B9345" s="4"/>
      <c r="C9345" s="4"/>
      <c r="D9345" s="4"/>
      <c r="E9345" s="4"/>
      <c r="F9345" s="4"/>
      <c r="G9345" s="4"/>
    </row>
    <row r="9346">
      <c r="A9346" s="4"/>
      <c r="B9346" s="4"/>
      <c r="C9346" s="4"/>
      <c r="D9346" s="4"/>
      <c r="E9346" s="4"/>
      <c r="F9346" s="4"/>
      <c r="G9346" s="4"/>
    </row>
    <row r="9347">
      <c r="A9347" s="4"/>
      <c r="B9347" s="4"/>
      <c r="C9347" s="4"/>
      <c r="D9347" s="4"/>
      <c r="E9347" s="4"/>
      <c r="F9347" s="4"/>
      <c r="G9347" s="4"/>
    </row>
    <row r="9348">
      <c r="A9348" s="4"/>
      <c r="B9348" s="4"/>
      <c r="C9348" s="4"/>
      <c r="D9348" s="4"/>
      <c r="E9348" s="13"/>
      <c r="F9348" s="4"/>
      <c r="G9348" s="4"/>
    </row>
    <row r="9349">
      <c r="A9349" s="4"/>
      <c r="B9349" s="4"/>
      <c r="C9349" s="4"/>
      <c r="D9349" s="4"/>
      <c r="E9349" s="4"/>
      <c r="F9349" s="4"/>
      <c r="G9349" s="4"/>
    </row>
    <row r="9350">
      <c r="A9350" s="4"/>
      <c r="B9350" s="4"/>
      <c r="C9350" s="4"/>
      <c r="D9350" s="4"/>
      <c r="E9350" s="4"/>
      <c r="F9350" s="4"/>
      <c r="G9350" s="4"/>
    </row>
    <row r="9351">
      <c r="A9351" s="4"/>
      <c r="B9351" s="4"/>
      <c r="C9351" s="4"/>
      <c r="D9351" s="4"/>
      <c r="E9351" s="13"/>
      <c r="F9351" s="4"/>
      <c r="G9351" s="4"/>
    </row>
    <row r="9352">
      <c r="A9352" s="4"/>
      <c r="B9352" s="4"/>
      <c r="C9352" s="4"/>
      <c r="D9352" s="4"/>
      <c r="E9352" s="13"/>
      <c r="F9352" s="4"/>
      <c r="G9352" s="4"/>
    </row>
    <row r="9353">
      <c r="A9353" s="4"/>
      <c r="B9353" s="4"/>
      <c r="C9353" s="4"/>
      <c r="D9353" s="4"/>
      <c r="E9353" s="4"/>
      <c r="F9353" s="4"/>
      <c r="G9353" s="4"/>
    </row>
    <row r="9354">
      <c r="A9354" s="4"/>
      <c r="B9354" s="4"/>
      <c r="C9354" s="4"/>
      <c r="D9354" s="4"/>
      <c r="E9354" s="4"/>
      <c r="F9354" s="4"/>
      <c r="G9354" s="4"/>
    </row>
    <row r="9355">
      <c r="A9355" s="4"/>
      <c r="B9355" s="4"/>
      <c r="C9355" s="4"/>
      <c r="D9355" s="4"/>
      <c r="E9355" s="4"/>
      <c r="F9355" s="4"/>
      <c r="G9355" s="4"/>
    </row>
    <row r="9356">
      <c r="A9356" s="4"/>
      <c r="B9356" s="4"/>
      <c r="C9356" s="4"/>
      <c r="D9356" s="4"/>
      <c r="E9356" s="4"/>
      <c r="F9356" s="4"/>
      <c r="G9356" s="4"/>
    </row>
    <row r="9357">
      <c r="A9357" s="4"/>
      <c r="B9357" s="4"/>
      <c r="C9357" s="4"/>
      <c r="D9357" s="4"/>
      <c r="E9357" s="4"/>
      <c r="F9357" s="4"/>
      <c r="G9357" s="4"/>
    </row>
    <row r="9358">
      <c r="A9358" s="4"/>
      <c r="B9358" s="4"/>
      <c r="C9358" s="4"/>
      <c r="D9358" s="4"/>
      <c r="E9358" s="13"/>
      <c r="F9358" s="4"/>
      <c r="G9358" s="4"/>
    </row>
    <row r="9359">
      <c r="A9359" s="4"/>
      <c r="B9359" s="4"/>
      <c r="C9359" s="4"/>
      <c r="D9359" s="4"/>
      <c r="E9359" s="13"/>
      <c r="F9359" s="4"/>
      <c r="G9359" s="4"/>
    </row>
    <row r="9360">
      <c r="A9360" s="4"/>
      <c r="B9360" s="4"/>
      <c r="C9360" s="4"/>
      <c r="D9360" s="4"/>
      <c r="E9360" s="4"/>
      <c r="F9360" s="4"/>
      <c r="G9360" s="4"/>
    </row>
    <row r="9361">
      <c r="A9361" s="4"/>
      <c r="B9361" s="4"/>
      <c r="C9361" s="4"/>
      <c r="D9361" s="4"/>
      <c r="E9361" s="4"/>
      <c r="F9361" s="4"/>
      <c r="G9361" s="4"/>
    </row>
    <row r="9362">
      <c r="A9362" s="4"/>
      <c r="B9362" s="4"/>
      <c r="C9362" s="4"/>
      <c r="D9362" s="4"/>
      <c r="E9362" s="4"/>
      <c r="F9362" s="4"/>
      <c r="G9362" s="4"/>
    </row>
    <row r="9363">
      <c r="A9363" s="4"/>
      <c r="B9363" s="4"/>
      <c r="C9363" s="4"/>
      <c r="D9363" s="4"/>
      <c r="E9363" s="4"/>
      <c r="F9363" s="4"/>
      <c r="G9363" s="4"/>
    </row>
    <row r="9364">
      <c r="A9364" s="4"/>
      <c r="B9364" s="4"/>
      <c r="C9364" s="4"/>
      <c r="D9364" s="4"/>
      <c r="E9364" s="4"/>
      <c r="F9364" s="4"/>
      <c r="G9364" s="4"/>
    </row>
    <row r="9365">
      <c r="A9365" s="4"/>
      <c r="B9365" s="4"/>
      <c r="C9365" s="4"/>
      <c r="D9365" s="4"/>
      <c r="E9365" s="13"/>
      <c r="F9365" s="4"/>
      <c r="G9365" s="4"/>
    </row>
    <row r="9366">
      <c r="A9366" s="4"/>
      <c r="B9366" s="4"/>
      <c r="C9366" s="4"/>
      <c r="D9366" s="4"/>
      <c r="E9366" s="4"/>
      <c r="F9366" s="4"/>
      <c r="G9366" s="4"/>
    </row>
    <row r="9367">
      <c r="A9367" s="4"/>
      <c r="B9367" s="4"/>
      <c r="C9367" s="4"/>
      <c r="D9367" s="4"/>
      <c r="E9367" s="4"/>
      <c r="F9367" s="4"/>
      <c r="G9367" s="4"/>
    </row>
    <row r="9368">
      <c r="A9368" s="4"/>
      <c r="B9368" s="4"/>
      <c r="C9368" s="4"/>
      <c r="D9368" s="4"/>
      <c r="E9368" s="13"/>
      <c r="F9368" s="4"/>
      <c r="G9368" s="4"/>
    </row>
    <row r="9369">
      <c r="A9369" s="4"/>
      <c r="B9369" s="4"/>
      <c r="C9369" s="4"/>
      <c r="D9369" s="4"/>
      <c r="E9369" s="4"/>
      <c r="F9369" s="4"/>
      <c r="G9369" s="4"/>
    </row>
    <row r="9370">
      <c r="A9370" s="4"/>
      <c r="B9370" s="4"/>
      <c r="C9370" s="4"/>
      <c r="D9370" s="4"/>
      <c r="E9370" s="4"/>
      <c r="F9370" s="4"/>
      <c r="G9370" s="4"/>
    </row>
    <row r="9371">
      <c r="A9371" s="4"/>
      <c r="B9371" s="4"/>
      <c r="C9371" s="4"/>
      <c r="D9371" s="4"/>
      <c r="E9371" s="4"/>
      <c r="F9371" s="4"/>
      <c r="G9371" s="4"/>
    </row>
    <row r="9372">
      <c r="A9372" s="4"/>
      <c r="B9372" s="4"/>
      <c r="C9372" s="4"/>
      <c r="D9372" s="4"/>
      <c r="E9372" s="13"/>
      <c r="F9372" s="4"/>
      <c r="G9372" s="4"/>
    </row>
    <row r="9373">
      <c r="A9373" s="4"/>
      <c r="B9373" s="4"/>
      <c r="C9373" s="4"/>
      <c r="D9373" s="4"/>
      <c r="E9373" s="4"/>
      <c r="F9373" s="4"/>
      <c r="G9373" s="4"/>
    </row>
    <row r="9374">
      <c r="A9374" s="4"/>
      <c r="B9374" s="4"/>
      <c r="C9374" s="4"/>
      <c r="D9374" s="4"/>
      <c r="E9374" s="4"/>
      <c r="F9374" s="4"/>
      <c r="G9374" s="4"/>
    </row>
    <row r="9375">
      <c r="A9375" s="4"/>
      <c r="B9375" s="4"/>
      <c r="C9375" s="4"/>
      <c r="D9375" s="4"/>
      <c r="E9375" s="4"/>
      <c r="F9375" s="4"/>
      <c r="G9375" s="4"/>
    </row>
    <row r="9376">
      <c r="A9376" s="4"/>
      <c r="B9376" s="4"/>
      <c r="C9376" s="4"/>
      <c r="D9376" s="4"/>
      <c r="E9376" s="4"/>
      <c r="F9376" s="4"/>
      <c r="G9376" s="4"/>
    </row>
    <row r="9377">
      <c r="A9377" s="4"/>
      <c r="B9377" s="4"/>
      <c r="C9377" s="4"/>
      <c r="D9377" s="4"/>
      <c r="E9377" s="4"/>
      <c r="F9377" s="4"/>
      <c r="G9377" s="4"/>
    </row>
    <row r="9378">
      <c r="A9378" s="4"/>
      <c r="B9378" s="4"/>
      <c r="C9378" s="4"/>
      <c r="D9378" s="4"/>
      <c r="E9378" s="13"/>
      <c r="F9378" s="4"/>
      <c r="G9378" s="4"/>
    </row>
    <row r="9379">
      <c r="A9379" s="4"/>
      <c r="B9379" s="4"/>
      <c r="C9379" s="4"/>
      <c r="D9379" s="4"/>
      <c r="E9379" s="13"/>
      <c r="F9379" s="4"/>
      <c r="G9379" s="4"/>
    </row>
    <row r="9380">
      <c r="A9380" s="4"/>
      <c r="B9380" s="4"/>
      <c r="C9380" s="4"/>
      <c r="D9380" s="4"/>
      <c r="E9380" s="4"/>
      <c r="F9380" s="4"/>
      <c r="G9380" s="4"/>
    </row>
    <row r="9381">
      <c r="A9381" s="4"/>
      <c r="B9381" s="4"/>
      <c r="C9381" s="4"/>
      <c r="D9381" s="4"/>
      <c r="E9381" s="4"/>
      <c r="F9381" s="4"/>
      <c r="G9381" s="4"/>
    </row>
    <row r="9382">
      <c r="A9382" s="4"/>
      <c r="B9382" s="4"/>
      <c r="C9382" s="4"/>
      <c r="D9382" s="13"/>
      <c r="E9382" s="13"/>
      <c r="F9382" s="4"/>
      <c r="G9382" s="4"/>
    </row>
    <row r="9383">
      <c r="A9383" s="4"/>
      <c r="B9383" s="4"/>
      <c r="C9383" s="4"/>
      <c r="D9383" s="4"/>
      <c r="E9383" s="4"/>
      <c r="F9383" s="4"/>
      <c r="G9383" s="4"/>
    </row>
    <row r="9384">
      <c r="A9384" s="4"/>
      <c r="B9384" s="4"/>
      <c r="C9384" s="4"/>
      <c r="D9384" s="4"/>
      <c r="E9384" s="13"/>
      <c r="F9384" s="4"/>
      <c r="G9384" s="4"/>
    </row>
    <row r="9385">
      <c r="A9385" s="4"/>
      <c r="B9385" s="4"/>
      <c r="C9385" s="4"/>
      <c r="D9385" s="13"/>
      <c r="E9385" s="13"/>
      <c r="F9385" s="4"/>
      <c r="G9385" s="4"/>
    </row>
    <row r="9386">
      <c r="A9386" s="4"/>
      <c r="B9386" s="4"/>
      <c r="C9386" s="4"/>
      <c r="D9386" s="13"/>
      <c r="E9386" s="13"/>
      <c r="F9386" s="4"/>
      <c r="G9386" s="4"/>
    </row>
    <row r="9387">
      <c r="A9387" s="4"/>
      <c r="B9387" s="4"/>
      <c r="C9387" s="4"/>
      <c r="D9387" s="4"/>
      <c r="E9387" s="4"/>
      <c r="F9387" s="4"/>
      <c r="G9387" s="4"/>
    </row>
    <row r="9388">
      <c r="A9388" s="4"/>
      <c r="B9388" s="4"/>
      <c r="C9388" s="4"/>
      <c r="D9388" s="4"/>
      <c r="E9388" s="4"/>
      <c r="F9388" s="4"/>
      <c r="G9388" s="4"/>
    </row>
    <row r="9389">
      <c r="A9389" s="4"/>
      <c r="B9389" s="4"/>
      <c r="C9389" s="4"/>
      <c r="D9389" s="13"/>
      <c r="E9389" s="13"/>
      <c r="F9389" s="4"/>
      <c r="G9389" s="4"/>
    </row>
    <row r="9390">
      <c r="A9390" s="4"/>
      <c r="B9390" s="4"/>
      <c r="C9390" s="4"/>
      <c r="D9390" s="4"/>
      <c r="E9390" s="4"/>
      <c r="F9390" s="4"/>
      <c r="G9390" s="4"/>
    </row>
    <row r="9391">
      <c r="A9391" s="4"/>
      <c r="B9391" s="4"/>
      <c r="C9391" s="4"/>
      <c r="D9391" s="4"/>
      <c r="E9391" s="4"/>
      <c r="F9391" s="4"/>
      <c r="G9391" s="4"/>
    </row>
    <row r="9392">
      <c r="A9392" s="4"/>
      <c r="B9392" s="4"/>
      <c r="C9392" s="4"/>
      <c r="D9392" s="4"/>
      <c r="E9392" s="13"/>
      <c r="F9392" s="4"/>
      <c r="G9392" s="4"/>
    </row>
    <row r="9393">
      <c r="A9393" s="4"/>
      <c r="B9393" s="4"/>
      <c r="C9393" s="4"/>
      <c r="D9393" s="4"/>
      <c r="E9393" s="4"/>
      <c r="F9393" s="4"/>
      <c r="G9393" s="4"/>
    </row>
    <row r="9394">
      <c r="A9394" s="4"/>
      <c r="B9394" s="4"/>
      <c r="C9394" s="4"/>
      <c r="D9394" s="4"/>
      <c r="E9394" s="4"/>
      <c r="F9394" s="4"/>
      <c r="G9394" s="4"/>
    </row>
    <row r="9395">
      <c r="A9395" s="4"/>
      <c r="B9395" s="4"/>
      <c r="C9395" s="4"/>
      <c r="D9395" s="4"/>
      <c r="E9395" s="4"/>
      <c r="F9395" s="4"/>
      <c r="G9395" s="4"/>
    </row>
    <row r="9396">
      <c r="A9396" s="4"/>
      <c r="B9396" s="4"/>
      <c r="C9396" s="4"/>
      <c r="D9396" s="4"/>
      <c r="E9396" s="13"/>
      <c r="F9396" s="4"/>
      <c r="G9396" s="4"/>
    </row>
    <row r="9397">
      <c r="A9397" s="4"/>
      <c r="B9397" s="4"/>
      <c r="C9397" s="4"/>
      <c r="D9397" s="4"/>
      <c r="E9397" s="4"/>
      <c r="F9397" s="4"/>
      <c r="G9397" s="4"/>
    </row>
    <row r="9398">
      <c r="A9398" s="4"/>
      <c r="B9398" s="4"/>
      <c r="C9398" s="4"/>
      <c r="D9398" s="4"/>
      <c r="E9398" s="4"/>
      <c r="F9398" s="4"/>
      <c r="G9398" s="4"/>
    </row>
    <row r="9399">
      <c r="A9399" s="4"/>
      <c r="B9399" s="4"/>
      <c r="C9399" s="4"/>
      <c r="D9399" s="13"/>
      <c r="E9399" s="4"/>
      <c r="F9399" s="4"/>
      <c r="G9399" s="4"/>
    </row>
    <row r="9400">
      <c r="A9400" s="4"/>
      <c r="B9400" s="4"/>
      <c r="C9400" s="4"/>
      <c r="D9400" s="4"/>
      <c r="E9400" s="13"/>
      <c r="F9400" s="4"/>
      <c r="G9400" s="4"/>
    </row>
    <row r="9401">
      <c r="A9401" s="4"/>
      <c r="B9401" s="4"/>
      <c r="C9401" s="4"/>
      <c r="D9401" s="4"/>
      <c r="E9401" s="4"/>
      <c r="F9401" s="4"/>
      <c r="G9401" s="4"/>
    </row>
    <row r="9402">
      <c r="A9402" s="4"/>
      <c r="B9402" s="4"/>
      <c r="C9402" s="4"/>
      <c r="D9402" s="4"/>
      <c r="E9402" s="13"/>
      <c r="F9402" s="4"/>
      <c r="G9402" s="4"/>
    </row>
    <row r="9403">
      <c r="A9403" s="4"/>
      <c r="B9403" s="4"/>
      <c r="C9403" s="4"/>
      <c r="D9403" s="13"/>
      <c r="E9403" s="13"/>
      <c r="F9403" s="4"/>
      <c r="G9403" s="4"/>
    </row>
    <row r="9404">
      <c r="A9404" s="4"/>
      <c r="B9404" s="4"/>
      <c r="C9404" s="4"/>
      <c r="D9404" s="4"/>
      <c r="E9404" s="4"/>
      <c r="F9404" s="4"/>
      <c r="G9404" s="4"/>
    </row>
    <row r="9405">
      <c r="A9405" s="4"/>
      <c r="B9405" s="4"/>
      <c r="C9405" s="4"/>
      <c r="D9405" s="4"/>
      <c r="E9405" s="4"/>
      <c r="F9405" s="4"/>
      <c r="G9405" s="4"/>
    </row>
    <row r="9406">
      <c r="A9406" s="4"/>
      <c r="B9406" s="4"/>
      <c r="C9406" s="4"/>
      <c r="D9406" s="4"/>
      <c r="E9406" s="4"/>
      <c r="F9406" s="4"/>
      <c r="G9406" s="4"/>
    </row>
    <row r="9407">
      <c r="A9407" s="4"/>
      <c r="B9407" s="4"/>
      <c r="C9407" s="4"/>
      <c r="D9407" s="4"/>
      <c r="E9407" s="4"/>
      <c r="F9407" s="4"/>
      <c r="G9407" s="4"/>
    </row>
    <row r="9408">
      <c r="A9408" s="4"/>
      <c r="B9408" s="4"/>
      <c r="C9408" s="4"/>
      <c r="D9408" s="4"/>
      <c r="E9408" s="13"/>
      <c r="F9408" s="4"/>
      <c r="G9408" s="4"/>
    </row>
    <row r="9409">
      <c r="A9409" s="4"/>
      <c r="B9409" s="4"/>
      <c r="C9409" s="4"/>
      <c r="D9409" s="4"/>
      <c r="E9409" s="4"/>
      <c r="F9409" s="4"/>
      <c r="G9409" s="4"/>
    </row>
    <row r="9410">
      <c r="A9410" s="4"/>
      <c r="B9410" s="4"/>
      <c r="C9410" s="4"/>
      <c r="D9410" s="4"/>
      <c r="E9410" s="4"/>
      <c r="F9410" s="4"/>
      <c r="G9410" s="4"/>
    </row>
    <row r="9411">
      <c r="A9411" s="4"/>
      <c r="B9411" s="4"/>
      <c r="C9411" s="4"/>
      <c r="D9411" s="4"/>
      <c r="E9411" s="4"/>
      <c r="F9411" s="4"/>
      <c r="G9411" s="4"/>
    </row>
    <row r="9412">
      <c r="A9412" s="4"/>
      <c r="B9412" s="4"/>
      <c r="C9412" s="4"/>
      <c r="D9412" s="4"/>
      <c r="E9412" s="4"/>
      <c r="F9412" s="4"/>
      <c r="G9412" s="4"/>
    </row>
    <row r="9413">
      <c r="A9413" s="4"/>
      <c r="B9413" s="4"/>
      <c r="C9413" s="4"/>
      <c r="D9413" s="4"/>
      <c r="E9413" s="13"/>
      <c r="F9413" s="4"/>
      <c r="G9413" s="4"/>
    </row>
    <row r="9414">
      <c r="A9414" s="4"/>
      <c r="B9414" s="4"/>
      <c r="C9414" s="4"/>
      <c r="D9414" s="4"/>
      <c r="E9414" s="4"/>
      <c r="F9414" s="4"/>
      <c r="G9414" s="4"/>
    </row>
    <row r="9415">
      <c r="A9415" s="4"/>
      <c r="B9415" s="4"/>
      <c r="C9415" s="4"/>
      <c r="D9415" s="4"/>
      <c r="E9415" s="4"/>
      <c r="F9415" s="4"/>
      <c r="G9415" s="4"/>
    </row>
    <row r="9416">
      <c r="A9416" s="4"/>
      <c r="B9416" s="4"/>
      <c r="C9416" s="4"/>
      <c r="D9416" s="4"/>
      <c r="E9416" s="4"/>
      <c r="F9416" s="4"/>
      <c r="G9416" s="4"/>
    </row>
    <row r="9417">
      <c r="A9417" s="4"/>
      <c r="B9417" s="4"/>
      <c r="C9417" s="4"/>
      <c r="D9417" s="4"/>
      <c r="E9417" s="4"/>
      <c r="F9417" s="4"/>
      <c r="G9417" s="4"/>
    </row>
    <row r="9418">
      <c r="A9418" s="4"/>
      <c r="B9418" s="4"/>
      <c r="C9418" s="4"/>
      <c r="D9418" s="4"/>
      <c r="E9418" s="13"/>
      <c r="F9418" s="4"/>
      <c r="G9418" s="4"/>
    </row>
    <row r="9419">
      <c r="A9419" s="4"/>
      <c r="B9419" s="4"/>
      <c r="C9419" s="4"/>
      <c r="D9419" s="4"/>
      <c r="E9419" s="4"/>
      <c r="F9419" s="4"/>
      <c r="G9419" s="4"/>
    </row>
    <row r="9420">
      <c r="A9420" s="4"/>
      <c r="B9420" s="4"/>
      <c r="C9420" s="4"/>
      <c r="D9420" s="4"/>
      <c r="E9420" s="4"/>
      <c r="F9420" s="4"/>
      <c r="G9420" s="4"/>
    </row>
    <row r="9421">
      <c r="A9421" s="4"/>
      <c r="B9421" s="4"/>
      <c r="C9421" s="4"/>
      <c r="D9421" s="13"/>
      <c r="E9421" s="13"/>
      <c r="F9421" s="4"/>
      <c r="G9421" s="4"/>
    </row>
    <row r="9422">
      <c r="A9422" s="4"/>
      <c r="B9422" s="4"/>
      <c r="C9422" s="4"/>
      <c r="D9422" s="4"/>
      <c r="E9422" s="4"/>
      <c r="F9422" s="4"/>
      <c r="G9422" s="4"/>
    </row>
    <row r="9423">
      <c r="A9423" s="4"/>
      <c r="B9423" s="4"/>
      <c r="C9423" s="4"/>
      <c r="D9423" s="4"/>
      <c r="E9423" s="4"/>
      <c r="F9423" s="4"/>
      <c r="G9423" s="4"/>
    </row>
    <row r="9424">
      <c r="A9424" s="4"/>
      <c r="B9424" s="4"/>
      <c r="C9424" s="4"/>
      <c r="D9424" s="13"/>
      <c r="E9424" s="4"/>
      <c r="F9424" s="4"/>
      <c r="G9424" s="4"/>
    </row>
    <row r="9425">
      <c r="A9425" s="4"/>
      <c r="B9425" s="4"/>
      <c r="C9425" s="4"/>
      <c r="D9425" s="13"/>
      <c r="E9425" s="4"/>
      <c r="F9425" s="4"/>
      <c r="G9425" s="4"/>
    </row>
    <row r="9426">
      <c r="A9426" s="4"/>
      <c r="B9426" s="4"/>
      <c r="C9426" s="4"/>
      <c r="D9426" s="13"/>
      <c r="E9426" s="4"/>
      <c r="F9426" s="4"/>
      <c r="G9426" s="4"/>
    </row>
    <row r="9427">
      <c r="A9427" s="4"/>
      <c r="B9427" s="4"/>
      <c r="C9427" s="4"/>
      <c r="D9427" s="4"/>
      <c r="E9427" s="13"/>
      <c r="F9427" s="4"/>
      <c r="G9427" s="4"/>
    </row>
    <row r="9428">
      <c r="A9428" s="4"/>
      <c r="B9428" s="4"/>
      <c r="C9428" s="4"/>
      <c r="D9428" s="4"/>
      <c r="E9428" s="13"/>
      <c r="F9428" s="4"/>
      <c r="G9428" s="4"/>
    </row>
    <row r="9429">
      <c r="A9429" s="4"/>
      <c r="B9429" s="4"/>
      <c r="C9429" s="4"/>
      <c r="D9429" s="13"/>
      <c r="E9429" s="13"/>
      <c r="F9429" s="4"/>
      <c r="G9429" s="4"/>
    </row>
    <row r="9430">
      <c r="A9430" s="4"/>
      <c r="B9430" s="4"/>
      <c r="C9430" s="4"/>
      <c r="D9430" s="4"/>
      <c r="E9430" s="13"/>
      <c r="F9430" s="4"/>
      <c r="G9430" s="4"/>
    </row>
    <row r="9431">
      <c r="A9431" s="4"/>
      <c r="B9431" s="4"/>
      <c r="C9431" s="4"/>
      <c r="D9431" s="4"/>
      <c r="E9431" s="4"/>
      <c r="F9431" s="4"/>
      <c r="G9431" s="4"/>
    </row>
    <row r="9432">
      <c r="A9432" s="4"/>
      <c r="B9432" s="4"/>
      <c r="C9432" s="4"/>
      <c r="D9432" s="4"/>
      <c r="E9432" s="13"/>
      <c r="F9432" s="4"/>
      <c r="G9432" s="4"/>
    </row>
    <row r="9433">
      <c r="A9433" s="4"/>
      <c r="B9433" s="4"/>
      <c r="C9433" s="4"/>
      <c r="D9433" s="4"/>
      <c r="E9433" s="4"/>
      <c r="F9433" s="4"/>
      <c r="G9433" s="4"/>
    </row>
    <row r="9434">
      <c r="A9434" s="4"/>
      <c r="B9434" s="4"/>
      <c r="C9434" s="4"/>
      <c r="D9434" s="13"/>
      <c r="E9434" s="13"/>
      <c r="F9434" s="4"/>
      <c r="G9434" s="4"/>
    </row>
    <row r="9435">
      <c r="A9435" s="4"/>
      <c r="B9435" s="4"/>
      <c r="C9435" s="4"/>
      <c r="D9435" s="4"/>
      <c r="E9435" s="4"/>
      <c r="F9435" s="4"/>
      <c r="G9435" s="4"/>
    </row>
    <row r="9436">
      <c r="A9436" s="4"/>
      <c r="B9436" s="4"/>
      <c r="C9436" s="4"/>
      <c r="D9436" s="4"/>
      <c r="E9436" s="13"/>
      <c r="F9436" s="4"/>
      <c r="G9436" s="4"/>
    </row>
    <row r="9437">
      <c r="A9437" s="4"/>
      <c r="B9437" s="4"/>
      <c r="C9437" s="4"/>
      <c r="D9437" s="13"/>
      <c r="E9437" s="13"/>
      <c r="F9437" s="4"/>
      <c r="G9437" s="4"/>
    </row>
    <row r="9438">
      <c r="A9438" s="4"/>
      <c r="B9438" s="4"/>
      <c r="C9438" s="4"/>
      <c r="D9438" s="4"/>
      <c r="E9438" s="4"/>
      <c r="F9438" s="4"/>
      <c r="G9438" s="4"/>
    </row>
    <row r="9439">
      <c r="A9439" s="4"/>
      <c r="B9439" s="4"/>
      <c r="C9439" s="4"/>
      <c r="D9439" s="4"/>
      <c r="E9439" s="4"/>
      <c r="F9439" s="4"/>
      <c r="G9439" s="4"/>
    </row>
    <row r="9440">
      <c r="A9440" s="4"/>
      <c r="B9440" s="4"/>
      <c r="C9440" s="4"/>
      <c r="D9440" s="13"/>
      <c r="E9440" s="13"/>
      <c r="F9440" s="4"/>
      <c r="G9440" s="4"/>
    </row>
    <row r="9441">
      <c r="A9441" s="4"/>
      <c r="B9441" s="4"/>
      <c r="C9441" s="4"/>
      <c r="D9441" s="13"/>
      <c r="E9441" s="13"/>
      <c r="F9441" s="4"/>
      <c r="G9441" s="4"/>
    </row>
    <row r="9442">
      <c r="A9442" s="4"/>
      <c r="B9442" s="4"/>
      <c r="C9442" s="4"/>
      <c r="D9442" s="4"/>
      <c r="E9442" s="4"/>
      <c r="F9442" s="4"/>
      <c r="G9442" s="4"/>
    </row>
    <row r="9443">
      <c r="A9443" s="4"/>
      <c r="B9443" s="4"/>
      <c r="C9443" s="4"/>
      <c r="D9443" s="4"/>
      <c r="E9443" s="13"/>
      <c r="F9443" s="4"/>
      <c r="G9443" s="4"/>
    </row>
    <row r="9444">
      <c r="A9444" s="4"/>
      <c r="B9444" s="4"/>
      <c r="C9444" s="4"/>
      <c r="D9444" s="13"/>
      <c r="E9444" s="13"/>
      <c r="F9444" s="4"/>
      <c r="G9444" s="4"/>
    </row>
    <row r="9445">
      <c r="A9445" s="4"/>
      <c r="B9445" s="4"/>
      <c r="C9445" s="4"/>
      <c r="D9445" s="4"/>
      <c r="E9445" s="4"/>
      <c r="F9445" s="4"/>
      <c r="G9445" s="4"/>
    </row>
    <row r="9446">
      <c r="A9446" s="4"/>
      <c r="B9446" s="4"/>
      <c r="C9446" s="4"/>
      <c r="D9446" s="4"/>
      <c r="E9446" s="13"/>
      <c r="F9446" s="4"/>
      <c r="G9446" s="4"/>
    </row>
    <row r="9447">
      <c r="A9447" s="4"/>
      <c r="B9447" s="4"/>
      <c r="C9447" s="4"/>
      <c r="D9447" s="4"/>
      <c r="E9447" s="13"/>
      <c r="F9447" s="4"/>
      <c r="G9447" s="4"/>
    </row>
    <row r="9448">
      <c r="A9448" s="4"/>
      <c r="B9448" s="4"/>
      <c r="C9448" s="4"/>
      <c r="D9448" s="4"/>
      <c r="E9448" s="4"/>
      <c r="F9448" s="4"/>
      <c r="G9448" s="4"/>
    </row>
    <row r="9449">
      <c r="A9449" s="4"/>
      <c r="B9449" s="4"/>
      <c r="C9449" s="4"/>
      <c r="D9449" s="13"/>
      <c r="E9449" s="4"/>
      <c r="F9449" s="4"/>
      <c r="G9449" s="4"/>
    </row>
    <row r="9450">
      <c r="A9450" s="4"/>
      <c r="B9450" s="4"/>
      <c r="C9450" s="4"/>
      <c r="D9450" s="13"/>
      <c r="E9450" s="4"/>
      <c r="F9450" s="4"/>
      <c r="G9450" s="4"/>
    </row>
    <row r="9451">
      <c r="A9451" s="4"/>
      <c r="B9451" s="4"/>
      <c r="C9451" s="4"/>
      <c r="D9451" s="4"/>
      <c r="E9451" s="4"/>
      <c r="F9451" s="4"/>
      <c r="G9451" s="4"/>
    </row>
    <row r="9452">
      <c r="A9452" s="4"/>
      <c r="B9452" s="4"/>
      <c r="C9452" s="4"/>
      <c r="D9452" s="13"/>
      <c r="E9452" s="4"/>
      <c r="F9452" s="4"/>
      <c r="G9452" s="4"/>
    </row>
    <row r="9453">
      <c r="A9453" s="4"/>
      <c r="B9453" s="4"/>
      <c r="C9453" s="4"/>
      <c r="D9453" s="4"/>
      <c r="E9453" s="13"/>
      <c r="F9453" s="4"/>
      <c r="G9453" s="4"/>
    </row>
    <row r="9454">
      <c r="A9454" s="4"/>
      <c r="B9454" s="4"/>
      <c r="C9454" s="4"/>
      <c r="D9454" s="4"/>
      <c r="E9454" s="4"/>
      <c r="F9454" s="4"/>
      <c r="G9454" s="4"/>
    </row>
    <row r="9455">
      <c r="A9455" s="4"/>
      <c r="B9455" s="4"/>
      <c r="C9455" s="4"/>
      <c r="D9455" s="4"/>
      <c r="E9455" s="4"/>
      <c r="F9455" s="4"/>
      <c r="G9455" s="4"/>
    </row>
    <row r="9456">
      <c r="A9456" s="4"/>
      <c r="B9456" s="4"/>
      <c r="C9456" s="4"/>
      <c r="D9456" s="13"/>
      <c r="E9456" s="13"/>
      <c r="F9456" s="4"/>
      <c r="G9456" s="4"/>
    </row>
    <row r="9457">
      <c r="A9457" s="4"/>
      <c r="B9457" s="4"/>
      <c r="C9457" s="4"/>
      <c r="D9457" s="4"/>
      <c r="E9457" s="13"/>
      <c r="F9457" s="4"/>
      <c r="G9457" s="4"/>
    </row>
    <row r="9458">
      <c r="A9458" s="4"/>
      <c r="B9458" s="4"/>
      <c r="C9458" s="4"/>
      <c r="D9458" s="4"/>
      <c r="E9458" s="4"/>
      <c r="F9458" s="4"/>
      <c r="G9458" s="4"/>
    </row>
    <row r="9459">
      <c r="A9459" s="4"/>
      <c r="B9459" s="4"/>
      <c r="C9459" s="4"/>
      <c r="D9459" s="13"/>
      <c r="E9459" s="13"/>
      <c r="F9459" s="4"/>
      <c r="G9459" s="4"/>
    </row>
    <row r="9460">
      <c r="A9460" s="4"/>
      <c r="B9460" s="4"/>
      <c r="C9460" s="4"/>
      <c r="D9460" s="4"/>
      <c r="E9460" s="13"/>
      <c r="F9460" s="4"/>
      <c r="G9460" s="4"/>
    </row>
    <row r="9461">
      <c r="A9461" s="4"/>
      <c r="B9461" s="4"/>
      <c r="C9461" s="4"/>
      <c r="D9461" s="4"/>
      <c r="E9461" s="13"/>
      <c r="F9461" s="4"/>
      <c r="G9461" s="4"/>
    </row>
    <row r="9462">
      <c r="A9462" s="4"/>
      <c r="B9462" s="4"/>
      <c r="C9462" s="4"/>
      <c r="D9462" s="4"/>
      <c r="E9462" s="4"/>
      <c r="F9462" s="4"/>
      <c r="G9462" s="4"/>
    </row>
    <row r="9463">
      <c r="A9463" s="4"/>
      <c r="B9463" s="4"/>
      <c r="C9463" s="4"/>
      <c r="D9463" s="13"/>
      <c r="E9463" s="4"/>
      <c r="F9463" s="4"/>
      <c r="G9463" s="4"/>
    </row>
    <row r="9464">
      <c r="A9464" s="4"/>
      <c r="B9464" s="4"/>
      <c r="C9464" s="4"/>
      <c r="D9464" s="13"/>
      <c r="E9464" s="4"/>
      <c r="F9464" s="4"/>
      <c r="G9464" s="4"/>
    </row>
    <row r="9465">
      <c r="A9465" s="4"/>
      <c r="B9465" s="4"/>
      <c r="C9465" s="4"/>
      <c r="D9465" s="13"/>
      <c r="E9465" s="4"/>
      <c r="F9465" s="4"/>
      <c r="G9465" s="4"/>
    </row>
    <row r="9466">
      <c r="A9466" s="4"/>
      <c r="B9466" s="4"/>
      <c r="C9466" s="4"/>
      <c r="D9466" s="13"/>
      <c r="E9466" s="13"/>
      <c r="F9466" s="4"/>
      <c r="G9466" s="4"/>
    </row>
    <row r="9467">
      <c r="A9467" s="4"/>
      <c r="B9467" s="4"/>
      <c r="C9467" s="4"/>
      <c r="D9467" s="4"/>
      <c r="E9467" s="4"/>
      <c r="F9467" s="4"/>
      <c r="G9467" s="4"/>
    </row>
    <row r="9468">
      <c r="A9468" s="4"/>
      <c r="B9468" s="4"/>
      <c r="C9468" s="4"/>
      <c r="D9468" s="4"/>
      <c r="E9468" s="4"/>
      <c r="F9468" s="4"/>
      <c r="G9468" s="4"/>
    </row>
    <row r="9469">
      <c r="A9469" s="4"/>
      <c r="B9469" s="4"/>
      <c r="C9469" s="4"/>
      <c r="D9469" s="13"/>
      <c r="E9469" s="13"/>
      <c r="F9469" s="4"/>
      <c r="G9469" s="4"/>
    </row>
    <row r="9470">
      <c r="A9470" s="4"/>
      <c r="B9470" s="4"/>
      <c r="C9470" s="4"/>
      <c r="D9470" s="4"/>
      <c r="E9470" s="4"/>
      <c r="F9470" s="4"/>
      <c r="G9470" s="4"/>
    </row>
    <row r="9471">
      <c r="A9471" s="4"/>
      <c r="B9471" s="4"/>
      <c r="C9471" s="4"/>
      <c r="D9471" s="4"/>
      <c r="E9471" s="13"/>
      <c r="F9471" s="4"/>
      <c r="G9471" s="4"/>
    </row>
    <row r="9472">
      <c r="A9472" s="4"/>
      <c r="B9472" s="4"/>
      <c r="C9472" s="4"/>
      <c r="D9472" s="4"/>
      <c r="E9472" s="4"/>
      <c r="F9472" s="4"/>
      <c r="G9472" s="4"/>
    </row>
    <row r="9473">
      <c r="A9473" s="4"/>
      <c r="B9473" s="4"/>
      <c r="C9473" s="4"/>
      <c r="D9473" s="4"/>
      <c r="E9473" s="4"/>
      <c r="F9473" s="4"/>
      <c r="G9473" s="4"/>
    </row>
    <row r="9474">
      <c r="A9474" s="4"/>
      <c r="B9474" s="4"/>
      <c r="C9474" s="4"/>
      <c r="D9474" s="4"/>
      <c r="E9474" s="4"/>
      <c r="F9474" s="4"/>
      <c r="G9474" s="4"/>
    </row>
    <row r="9475">
      <c r="A9475" s="4"/>
      <c r="B9475" s="4"/>
      <c r="C9475" s="4"/>
      <c r="D9475" s="4"/>
      <c r="E9475" s="13"/>
      <c r="F9475" s="4"/>
      <c r="G9475" s="4"/>
    </row>
    <row r="9476">
      <c r="A9476" s="4"/>
      <c r="B9476" s="4"/>
      <c r="C9476" s="4"/>
      <c r="D9476" s="4"/>
      <c r="E9476" s="4"/>
      <c r="F9476" s="4"/>
      <c r="G9476" s="4"/>
    </row>
    <row r="9477">
      <c r="A9477" s="4"/>
      <c r="B9477" s="4"/>
      <c r="C9477" s="4"/>
      <c r="D9477" s="4"/>
      <c r="E9477" s="13"/>
      <c r="F9477" s="4"/>
      <c r="G9477" s="4"/>
    </row>
    <row r="9478">
      <c r="A9478" s="4"/>
      <c r="B9478" s="4"/>
      <c r="C9478" s="4"/>
      <c r="D9478" s="4"/>
      <c r="E9478" s="13"/>
      <c r="F9478" s="4"/>
      <c r="G9478" s="4"/>
    </row>
    <row r="9479">
      <c r="A9479" s="4"/>
      <c r="B9479" s="4"/>
      <c r="C9479" s="4"/>
      <c r="D9479" s="4"/>
      <c r="E9479" s="4"/>
      <c r="F9479" s="4"/>
      <c r="G9479" s="4"/>
    </row>
    <row r="9480">
      <c r="A9480" s="4"/>
      <c r="B9480" s="4"/>
      <c r="C9480" s="4"/>
      <c r="D9480" s="4"/>
      <c r="E9480" s="4"/>
      <c r="F9480" s="4"/>
      <c r="G9480" s="4"/>
    </row>
    <row r="9481">
      <c r="A9481" s="4"/>
      <c r="B9481" s="4"/>
      <c r="C9481" s="4"/>
      <c r="D9481" s="4"/>
      <c r="E9481" s="4"/>
      <c r="F9481" s="4"/>
      <c r="G9481" s="4"/>
    </row>
    <row r="9482">
      <c r="A9482" s="4"/>
      <c r="B9482" s="4"/>
      <c r="C9482" s="4"/>
      <c r="D9482" s="4"/>
      <c r="E9482" s="4"/>
      <c r="F9482" s="4"/>
      <c r="G9482" s="4"/>
    </row>
    <row r="9483">
      <c r="A9483" s="4"/>
      <c r="B9483" s="4"/>
      <c r="C9483" s="4"/>
      <c r="D9483" s="4"/>
      <c r="E9483" s="4"/>
      <c r="F9483" s="4"/>
      <c r="G9483" s="4"/>
    </row>
    <row r="9484">
      <c r="A9484" s="4"/>
      <c r="B9484" s="4"/>
      <c r="C9484" s="4"/>
      <c r="D9484" s="4"/>
      <c r="E9484" s="4"/>
      <c r="F9484" s="4"/>
      <c r="G9484" s="4"/>
    </row>
    <row r="9485">
      <c r="A9485" s="4"/>
      <c r="B9485" s="4"/>
      <c r="C9485" s="4"/>
      <c r="D9485" s="4"/>
      <c r="E9485" s="13"/>
      <c r="F9485" s="4"/>
      <c r="G9485" s="4"/>
    </row>
    <row r="9486">
      <c r="A9486" s="4"/>
      <c r="B9486" s="4"/>
      <c r="C9486" s="4"/>
      <c r="D9486" s="4"/>
      <c r="E9486" s="4"/>
      <c r="F9486" s="4"/>
      <c r="G9486" s="4"/>
    </row>
    <row r="9487">
      <c r="A9487" s="4"/>
      <c r="B9487" s="4"/>
      <c r="C9487" s="4"/>
      <c r="D9487" s="4"/>
      <c r="E9487" s="4"/>
      <c r="F9487" s="4"/>
      <c r="G9487" s="4"/>
    </row>
    <row r="9488">
      <c r="A9488" s="4"/>
      <c r="B9488" s="4"/>
      <c r="C9488" s="4"/>
      <c r="D9488" s="4"/>
      <c r="E9488" s="13"/>
      <c r="F9488" s="4"/>
      <c r="G9488" s="4"/>
    </row>
    <row r="9489">
      <c r="A9489" s="4"/>
      <c r="B9489" s="4"/>
      <c r="C9489" s="4"/>
      <c r="D9489" s="4"/>
      <c r="E9489" s="4"/>
      <c r="F9489" s="4"/>
      <c r="G9489" s="4"/>
    </row>
    <row r="9490">
      <c r="A9490" s="4"/>
      <c r="B9490" s="4"/>
      <c r="C9490" s="4"/>
      <c r="D9490" s="4"/>
      <c r="E9490" s="4"/>
      <c r="F9490" s="4"/>
      <c r="G9490" s="4"/>
    </row>
    <row r="9491">
      <c r="A9491" s="4"/>
      <c r="B9491" s="4"/>
      <c r="C9491" s="4"/>
      <c r="D9491" s="4"/>
      <c r="E9491" s="4"/>
      <c r="F9491" s="4"/>
      <c r="G9491" s="4"/>
    </row>
    <row r="9492">
      <c r="A9492" s="4"/>
      <c r="B9492" s="4"/>
      <c r="C9492" s="4"/>
      <c r="D9492" s="4"/>
      <c r="E9492" s="4"/>
      <c r="F9492" s="4"/>
      <c r="G9492" s="4"/>
    </row>
    <row r="9493">
      <c r="A9493" s="4"/>
      <c r="B9493" s="4"/>
      <c r="C9493" s="4"/>
      <c r="D9493" s="4"/>
      <c r="E9493" s="4"/>
      <c r="F9493" s="4"/>
      <c r="G9493" s="4"/>
    </row>
    <row r="9494">
      <c r="A9494" s="4"/>
      <c r="B9494" s="4"/>
      <c r="C9494" s="4"/>
      <c r="D9494" s="4"/>
      <c r="E9494" s="13"/>
      <c r="F9494" s="4"/>
      <c r="G9494" s="4"/>
    </row>
    <row r="9495">
      <c r="A9495" s="4"/>
      <c r="B9495" s="4"/>
      <c r="C9495" s="4"/>
      <c r="D9495" s="4"/>
      <c r="E9495" s="13"/>
      <c r="F9495" s="4"/>
      <c r="G9495" s="4"/>
    </row>
    <row r="9496">
      <c r="A9496" s="4"/>
      <c r="B9496" s="4"/>
      <c r="C9496" s="4"/>
      <c r="D9496" s="4"/>
      <c r="E9496" s="4"/>
      <c r="F9496" s="4"/>
      <c r="G9496" s="4"/>
    </row>
    <row r="9497">
      <c r="A9497" s="4"/>
      <c r="B9497" s="4"/>
      <c r="C9497" s="4"/>
      <c r="D9497" s="4"/>
      <c r="E9497" s="4"/>
      <c r="F9497" s="4"/>
      <c r="G9497" s="4"/>
    </row>
    <row r="9498">
      <c r="A9498" s="4"/>
      <c r="B9498" s="4"/>
      <c r="C9498" s="4"/>
      <c r="D9498" s="4"/>
      <c r="E9498" s="4"/>
      <c r="F9498" s="4"/>
      <c r="G9498" s="4"/>
    </row>
    <row r="9499">
      <c r="A9499" s="4"/>
      <c r="B9499" s="4"/>
      <c r="C9499" s="4"/>
      <c r="D9499" s="13"/>
      <c r="E9499" s="13"/>
      <c r="F9499" s="4"/>
      <c r="G9499" s="4"/>
    </row>
    <row r="9500">
      <c r="A9500" s="4"/>
      <c r="B9500" s="4"/>
      <c r="C9500" s="4"/>
      <c r="D9500" s="4"/>
      <c r="E9500" s="4"/>
      <c r="F9500" s="4"/>
      <c r="G9500" s="4"/>
    </row>
    <row r="9501">
      <c r="A9501" s="4"/>
      <c r="B9501" s="4"/>
      <c r="C9501" s="4"/>
      <c r="D9501" s="4"/>
      <c r="E9501" s="13"/>
      <c r="F9501" s="4"/>
      <c r="G9501" s="4"/>
    </row>
    <row r="9502">
      <c r="A9502" s="4"/>
      <c r="B9502" s="4"/>
      <c r="C9502" s="4"/>
      <c r="D9502" s="4"/>
      <c r="E9502" s="4"/>
      <c r="F9502" s="4"/>
      <c r="G9502" s="4"/>
    </row>
    <row r="9503">
      <c r="A9503" s="4"/>
      <c r="B9503" s="4"/>
      <c r="C9503" s="4"/>
      <c r="D9503" s="13"/>
      <c r="E9503" s="13"/>
      <c r="F9503" s="4"/>
      <c r="G9503" s="4"/>
    </row>
    <row r="9504">
      <c r="A9504" s="4"/>
      <c r="B9504" s="4"/>
      <c r="C9504" s="4"/>
      <c r="D9504" s="4"/>
      <c r="E9504" s="13"/>
      <c r="F9504" s="4"/>
      <c r="G9504" s="4"/>
    </row>
    <row r="9505">
      <c r="A9505" s="4"/>
      <c r="B9505" s="4"/>
      <c r="C9505" s="4"/>
      <c r="D9505" s="4"/>
      <c r="E9505" s="4"/>
      <c r="F9505" s="4"/>
      <c r="G9505" s="4"/>
    </row>
    <row r="9506">
      <c r="A9506" s="4"/>
      <c r="B9506" s="4"/>
      <c r="C9506" s="4"/>
      <c r="D9506" s="13"/>
      <c r="E9506" s="13"/>
      <c r="F9506" s="4"/>
      <c r="G9506" s="4"/>
    </row>
    <row r="9507">
      <c r="A9507" s="4"/>
      <c r="B9507" s="4"/>
      <c r="C9507" s="4"/>
      <c r="D9507" s="4"/>
      <c r="E9507" s="4"/>
      <c r="F9507" s="4"/>
      <c r="G9507" s="4"/>
    </row>
    <row r="9508">
      <c r="A9508" s="4"/>
      <c r="B9508" s="4"/>
      <c r="C9508" s="4"/>
      <c r="D9508" s="4"/>
      <c r="E9508" s="4"/>
      <c r="F9508" s="4"/>
      <c r="G9508" s="4"/>
    </row>
    <row r="9509">
      <c r="A9509" s="4"/>
      <c r="B9509" s="4"/>
      <c r="C9509" s="4"/>
      <c r="D9509" s="4"/>
      <c r="E9509" s="4"/>
      <c r="F9509" s="4"/>
      <c r="G9509" s="4"/>
    </row>
    <row r="9510">
      <c r="A9510" s="4"/>
      <c r="B9510" s="4"/>
      <c r="C9510" s="4"/>
      <c r="D9510" s="13"/>
      <c r="E9510" s="4"/>
      <c r="F9510" s="4"/>
      <c r="G9510" s="4"/>
    </row>
    <row r="9511">
      <c r="A9511" s="4"/>
      <c r="B9511" s="4"/>
      <c r="C9511" s="4"/>
      <c r="D9511" s="13"/>
      <c r="E9511" s="4"/>
      <c r="F9511" s="4"/>
      <c r="G9511" s="4"/>
    </row>
    <row r="9512">
      <c r="A9512" s="4"/>
      <c r="B9512" s="4"/>
      <c r="C9512" s="4"/>
      <c r="D9512" s="4"/>
      <c r="E9512" s="13"/>
      <c r="F9512" s="4"/>
      <c r="G9512" s="4"/>
    </row>
    <row r="9513">
      <c r="A9513" s="4"/>
      <c r="B9513" s="4"/>
      <c r="C9513" s="4"/>
      <c r="D9513" s="13"/>
      <c r="E9513" s="13"/>
      <c r="F9513" s="4"/>
      <c r="G9513" s="4"/>
    </row>
    <row r="9514">
      <c r="A9514" s="4"/>
      <c r="B9514" s="4"/>
      <c r="C9514" s="4"/>
      <c r="D9514" s="13"/>
      <c r="E9514" s="13"/>
      <c r="F9514" s="4"/>
      <c r="G9514" s="4"/>
    </row>
    <row r="9515">
      <c r="A9515" s="4"/>
      <c r="B9515" s="4"/>
      <c r="C9515" s="4"/>
      <c r="D9515" s="4"/>
      <c r="E9515" s="4"/>
      <c r="F9515" s="4"/>
      <c r="G9515" s="4"/>
    </row>
    <row r="9516">
      <c r="A9516" s="4"/>
      <c r="B9516" s="4"/>
      <c r="C9516" s="4"/>
      <c r="D9516" s="13"/>
      <c r="E9516" s="13"/>
      <c r="F9516" s="4"/>
      <c r="G9516" s="4"/>
    </row>
    <row r="9517">
      <c r="A9517" s="4"/>
      <c r="B9517" s="4"/>
      <c r="C9517" s="4"/>
      <c r="D9517" s="4"/>
      <c r="E9517" s="4"/>
      <c r="F9517" s="4"/>
      <c r="G9517" s="4"/>
    </row>
    <row r="9518">
      <c r="A9518" s="4"/>
      <c r="B9518" s="4"/>
      <c r="C9518" s="4"/>
      <c r="D9518" s="4"/>
      <c r="E9518" s="4"/>
      <c r="F9518" s="4"/>
      <c r="G9518" s="4"/>
    </row>
    <row r="9519">
      <c r="A9519" s="4"/>
      <c r="B9519" s="4"/>
      <c r="C9519" s="4"/>
      <c r="D9519" s="4"/>
      <c r="E9519" s="13"/>
      <c r="F9519" s="4"/>
      <c r="G9519" s="4"/>
    </row>
    <row r="9520">
      <c r="A9520" s="4"/>
      <c r="B9520" s="4"/>
      <c r="C9520" s="4"/>
      <c r="D9520" s="4"/>
      <c r="E9520" s="4"/>
      <c r="F9520" s="4"/>
      <c r="G9520" s="4"/>
    </row>
    <row r="9521">
      <c r="A9521" s="4"/>
      <c r="B9521" s="4"/>
      <c r="C9521" s="4"/>
      <c r="D9521" s="4"/>
      <c r="E9521" s="13"/>
      <c r="F9521" s="4"/>
      <c r="G9521" s="4"/>
    </row>
    <row r="9522">
      <c r="A9522" s="4"/>
      <c r="B9522" s="4"/>
      <c r="C9522" s="4"/>
      <c r="D9522" s="4"/>
      <c r="E9522" s="4"/>
      <c r="F9522" s="4"/>
      <c r="G9522" s="4"/>
    </row>
    <row r="9523">
      <c r="A9523" s="4"/>
      <c r="B9523" s="4"/>
      <c r="C9523" s="4"/>
      <c r="D9523" s="13"/>
      <c r="E9523" s="4"/>
      <c r="F9523" s="4"/>
      <c r="G9523" s="4"/>
    </row>
    <row r="9524">
      <c r="A9524" s="4"/>
      <c r="B9524" s="4"/>
      <c r="C9524" s="4"/>
      <c r="D9524" s="4"/>
      <c r="E9524" s="4"/>
      <c r="F9524" s="4"/>
      <c r="G9524" s="4"/>
    </row>
    <row r="9525">
      <c r="A9525" s="4"/>
      <c r="B9525" s="4"/>
      <c r="C9525" s="4"/>
      <c r="D9525" s="13"/>
      <c r="E9525" s="4"/>
      <c r="F9525" s="4"/>
      <c r="G9525" s="4"/>
    </row>
    <row r="9526">
      <c r="A9526" s="4"/>
      <c r="B9526" s="4"/>
      <c r="C9526" s="4"/>
      <c r="D9526" s="4"/>
      <c r="E9526" s="13"/>
      <c r="F9526" s="4"/>
      <c r="G9526" s="4"/>
    </row>
    <row r="9527">
      <c r="A9527" s="4"/>
      <c r="B9527" s="4"/>
      <c r="C9527" s="4"/>
      <c r="D9527" s="4"/>
      <c r="E9527" s="4"/>
      <c r="F9527" s="4"/>
      <c r="G9527" s="4"/>
    </row>
    <row r="9528">
      <c r="A9528" s="4"/>
      <c r="B9528" s="4"/>
      <c r="C9528" s="4"/>
      <c r="D9528" s="4"/>
      <c r="E9528" s="13"/>
      <c r="F9528" s="4"/>
      <c r="G9528" s="4"/>
    </row>
    <row r="9529">
      <c r="A9529" s="4"/>
      <c r="B9529" s="4"/>
      <c r="C9529" s="4"/>
      <c r="D9529" s="13"/>
      <c r="E9529" s="13"/>
      <c r="F9529" s="4"/>
      <c r="G9529" s="4"/>
    </row>
    <row r="9530">
      <c r="A9530" s="4"/>
      <c r="B9530" s="4"/>
      <c r="C9530" s="4"/>
      <c r="D9530" s="4"/>
      <c r="E9530" s="13"/>
      <c r="F9530" s="4"/>
      <c r="G9530" s="4"/>
    </row>
    <row r="9531">
      <c r="A9531" s="4"/>
      <c r="B9531" s="4"/>
      <c r="C9531" s="4"/>
      <c r="D9531" s="4"/>
      <c r="E9531" s="13"/>
      <c r="F9531" s="4"/>
      <c r="G9531" s="4"/>
    </row>
    <row r="9532">
      <c r="A9532" s="4"/>
      <c r="B9532" s="4"/>
      <c r="C9532" s="4"/>
      <c r="D9532" s="4"/>
      <c r="E9532" s="4"/>
      <c r="F9532" s="4"/>
      <c r="G9532" s="4"/>
    </row>
    <row r="9533">
      <c r="A9533" s="4"/>
      <c r="B9533" s="4"/>
      <c r="C9533" s="4"/>
      <c r="D9533" s="4"/>
      <c r="E9533" s="4"/>
      <c r="F9533" s="4"/>
      <c r="G9533" s="4"/>
    </row>
    <row r="9534">
      <c r="A9534" s="4"/>
      <c r="B9534" s="4"/>
      <c r="C9534" s="4"/>
      <c r="D9534" s="4"/>
      <c r="E9534" s="13"/>
      <c r="F9534" s="4"/>
      <c r="G9534" s="4"/>
    </row>
    <row r="9535">
      <c r="A9535" s="4"/>
      <c r="B9535" s="4"/>
      <c r="C9535" s="4"/>
      <c r="D9535" s="13"/>
      <c r="E9535" s="13"/>
      <c r="F9535" s="4"/>
      <c r="G9535" s="4"/>
    </row>
    <row r="9536">
      <c r="A9536" s="4"/>
      <c r="B9536" s="4"/>
      <c r="C9536" s="4"/>
      <c r="D9536" s="4"/>
      <c r="E9536" s="4"/>
      <c r="F9536" s="4"/>
      <c r="G9536" s="4"/>
    </row>
    <row r="9537">
      <c r="A9537" s="4"/>
      <c r="B9537" s="4"/>
      <c r="C9537" s="4"/>
      <c r="D9537" s="4"/>
      <c r="E9537" s="4"/>
      <c r="F9537" s="4"/>
      <c r="G9537" s="4"/>
    </row>
    <row r="9538">
      <c r="A9538" s="4"/>
      <c r="B9538" s="4"/>
      <c r="C9538" s="4"/>
      <c r="D9538" s="4"/>
      <c r="E9538" s="4"/>
      <c r="F9538" s="4"/>
      <c r="G9538" s="4"/>
    </row>
    <row r="9539">
      <c r="A9539" s="4"/>
      <c r="B9539" s="4"/>
      <c r="C9539" s="4"/>
      <c r="D9539" s="4"/>
      <c r="E9539" s="4"/>
      <c r="F9539" s="4"/>
      <c r="G9539" s="4"/>
    </row>
    <row r="9540">
      <c r="A9540" s="4"/>
      <c r="B9540" s="4"/>
      <c r="C9540" s="4"/>
      <c r="D9540" s="4"/>
      <c r="E9540" s="4"/>
      <c r="F9540" s="4"/>
      <c r="G9540" s="4"/>
    </row>
    <row r="9541">
      <c r="A9541" s="4"/>
      <c r="B9541" s="4"/>
      <c r="C9541" s="4"/>
      <c r="D9541" s="4"/>
      <c r="E9541" s="13"/>
      <c r="F9541" s="4"/>
      <c r="G9541" s="4"/>
    </row>
    <row r="9542">
      <c r="A9542" s="4"/>
      <c r="B9542" s="4"/>
      <c r="C9542" s="4"/>
      <c r="D9542" s="4"/>
      <c r="E9542" s="13"/>
      <c r="F9542" s="4"/>
      <c r="G9542" s="4"/>
    </row>
    <row r="9543">
      <c r="A9543" s="4"/>
      <c r="B9543" s="4"/>
      <c r="C9543" s="4"/>
      <c r="D9543" s="4"/>
      <c r="E9543" s="4"/>
      <c r="F9543" s="4"/>
      <c r="G9543" s="4"/>
    </row>
    <row r="9544">
      <c r="A9544" s="4"/>
      <c r="B9544" s="4"/>
      <c r="C9544" s="4"/>
      <c r="D9544" s="4"/>
      <c r="E9544" s="4"/>
      <c r="F9544" s="4"/>
      <c r="G9544" s="4"/>
    </row>
    <row r="9545">
      <c r="A9545" s="4"/>
      <c r="B9545" s="4"/>
      <c r="C9545" s="4"/>
      <c r="D9545" s="4"/>
      <c r="E9545" s="4"/>
      <c r="F9545" s="4"/>
      <c r="G9545" s="4"/>
    </row>
    <row r="9546">
      <c r="A9546" s="4"/>
      <c r="B9546" s="4"/>
      <c r="C9546" s="4"/>
      <c r="D9546" s="13"/>
      <c r="E9546" s="13"/>
      <c r="F9546" s="4"/>
      <c r="G9546" s="4"/>
    </row>
    <row r="9547">
      <c r="A9547" s="4"/>
      <c r="B9547" s="4"/>
      <c r="C9547" s="4"/>
      <c r="D9547" s="4"/>
      <c r="E9547" s="4"/>
      <c r="F9547" s="4"/>
      <c r="G9547" s="4"/>
    </row>
    <row r="9548">
      <c r="A9548" s="4"/>
      <c r="B9548" s="4"/>
      <c r="C9548" s="4"/>
      <c r="D9548" s="4"/>
      <c r="E9548" s="4"/>
      <c r="F9548" s="4"/>
      <c r="G9548" s="4"/>
    </row>
    <row r="9549">
      <c r="A9549" s="4"/>
      <c r="B9549" s="4"/>
      <c r="C9549" s="4"/>
      <c r="D9549" s="4"/>
      <c r="E9549" s="13"/>
      <c r="F9549" s="4"/>
      <c r="G9549" s="4"/>
    </row>
    <row r="9550">
      <c r="A9550" s="4"/>
      <c r="B9550" s="4"/>
      <c r="C9550" s="4"/>
      <c r="D9550" s="13"/>
      <c r="E9550" s="13"/>
      <c r="F9550" s="4"/>
      <c r="G9550" s="4"/>
    </row>
    <row r="9551">
      <c r="A9551" s="4"/>
      <c r="B9551" s="4"/>
      <c r="C9551" s="4"/>
      <c r="D9551" s="4"/>
      <c r="E9551" s="13"/>
      <c r="F9551" s="4"/>
      <c r="G9551" s="4"/>
    </row>
    <row r="9552">
      <c r="A9552" s="4"/>
      <c r="B9552" s="4"/>
      <c r="C9552" s="4"/>
      <c r="D9552" s="4"/>
      <c r="E9552" s="4"/>
      <c r="F9552" s="4"/>
      <c r="G9552" s="4"/>
    </row>
    <row r="9553">
      <c r="A9553" s="4"/>
      <c r="B9553" s="4"/>
      <c r="C9553" s="4"/>
      <c r="D9553" s="13"/>
      <c r="E9553" s="13"/>
      <c r="F9553" s="4"/>
      <c r="G9553" s="4"/>
    </row>
    <row r="9554">
      <c r="A9554" s="4"/>
      <c r="B9554" s="4"/>
      <c r="C9554" s="4"/>
      <c r="D9554" s="4"/>
      <c r="E9554" s="4"/>
      <c r="F9554" s="4"/>
      <c r="G9554" s="4"/>
    </row>
    <row r="9555">
      <c r="A9555" s="4"/>
      <c r="B9555" s="4"/>
      <c r="C9555" s="4"/>
      <c r="D9555" s="4"/>
      <c r="E9555" s="4"/>
      <c r="F9555" s="4"/>
      <c r="G9555" s="4"/>
    </row>
    <row r="9556">
      <c r="A9556" s="4"/>
      <c r="B9556" s="4"/>
      <c r="C9556" s="4"/>
      <c r="D9556" s="4"/>
      <c r="E9556" s="4"/>
      <c r="F9556" s="4"/>
      <c r="G9556" s="4"/>
    </row>
    <row r="9557">
      <c r="A9557" s="4"/>
      <c r="B9557" s="4"/>
      <c r="C9557" s="4"/>
      <c r="D9557" s="4"/>
      <c r="E9557" s="13"/>
      <c r="F9557" s="4"/>
      <c r="G9557" s="4"/>
    </row>
    <row r="9558">
      <c r="A9558" s="4"/>
      <c r="B9558" s="4"/>
      <c r="C9558" s="4"/>
      <c r="D9558" s="4"/>
      <c r="E9558" s="4"/>
      <c r="F9558" s="4"/>
      <c r="G9558" s="4"/>
    </row>
    <row r="9559">
      <c r="A9559" s="4"/>
      <c r="B9559" s="4"/>
      <c r="C9559" s="4"/>
      <c r="D9559" s="4"/>
      <c r="E9559" s="4"/>
      <c r="F9559" s="4"/>
      <c r="G9559" s="4"/>
    </row>
    <row r="9560">
      <c r="A9560" s="4"/>
      <c r="B9560" s="4"/>
      <c r="C9560" s="4"/>
      <c r="D9560" s="4"/>
      <c r="E9560" s="4"/>
      <c r="F9560" s="4"/>
      <c r="G9560" s="4"/>
    </row>
    <row r="9561">
      <c r="A9561" s="4"/>
      <c r="B9561" s="4"/>
      <c r="C9561" s="4"/>
      <c r="D9561" s="4"/>
      <c r="E9561" s="4"/>
      <c r="F9561" s="4"/>
      <c r="G9561" s="4"/>
    </row>
    <row r="9562">
      <c r="A9562" s="4"/>
      <c r="B9562" s="4"/>
      <c r="C9562" s="4"/>
      <c r="D9562" s="4"/>
      <c r="E9562" s="4"/>
      <c r="F9562" s="4"/>
      <c r="G9562" s="4"/>
    </row>
    <row r="9563">
      <c r="A9563" s="4"/>
      <c r="B9563" s="4"/>
      <c r="C9563" s="4"/>
      <c r="D9563" s="4"/>
      <c r="E9563" s="4"/>
      <c r="F9563" s="4"/>
      <c r="G9563" s="4"/>
    </row>
    <row r="9564">
      <c r="A9564" s="4"/>
      <c r="B9564" s="4"/>
      <c r="C9564" s="4"/>
      <c r="D9564" s="4"/>
      <c r="E9564" s="13"/>
      <c r="F9564" s="4"/>
      <c r="G9564" s="4"/>
    </row>
    <row r="9565">
      <c r="A9565" s="4"/>
      <c r="B9565" s="4"/>
      <c r="C9565" s="4"/>
      <c r="D9565" s="4"/>
      <c r="E9565" s="4"/>
      <c r="F9565" s="4"/>
      <c r="G9565" s="4"/>
    </row>
    <row r="9566">
      <c r="A9566" s="4"/>
      <c r="B9566" s="4"/>
      <c r="C9566" s="4"/>
      <c r="D9566" s="4"/>
      <c r="E9566" s="4"/>
      <c r="F9566" s="4"/>
      <c r="G9566" s="4"/>
    </row>
    <row r="9567">
      <c r="A9567" s="4"/>
      <c r="B9567" s="4"/>
      <c r="C9567" s="4"/>
      <c r="D9567" s="4"/>
      <c r="E9567" s="4"/>
      <c r="F9567" s="4"/>
      <c r="G9567" s="4"/>
    </row>
    <row r="9568">
      <c r="A9568" s="4"/>
      <c r="B9568" s="4"/>
      <c r="C9568" s="4"/>
      <c r="D9568" s="4"/>
      <c r="E9568" s="13"/>
      <c r="F9568" s="4"/>
      <c r="G9568" s="4"/>
    </row>
    <row r="9569">
      <c r="A9569" s="4"/>
      <c r="B9569" s="4"/>
      <c r="C9569" s="4"/>
      <c r="D9569" s="4"/>
      <c r="E9569" s="4"/>
      <c r="F9569" s="4"/>
      <c r="G9569" s="4"/>
    </row>
    <row r="9570">
      <c r="A9570" s="4"/>
      <c r="B9570" s="4"/>
      <c r="C9570" s="4"/>
      <c r="D9570" s="4"/>
      <c r="E9570" s="13"/>
      <c r="F9570" s="4"/>
      <c r="G9570" s="4"/>
    </row>
    <row r="9571">
      <c r="A9571" s="4"/>
      <c r="B9571" s="4"/>
      <c r="C9571" s="4"/>
      <c r="D9571" s="4"/>
      <c r="E9571" s="4"/>
      <c r="F9571" s="4"/>
      <c r="G9571" s="4"/>
    </row>
    <row r="9572">
      <c r="A9572" s="4"/>
      <c r="B9572" s="4"/>
      <c r="C9572" s="4"/>
      <c r="D9572" s="4"/>
      <c r="E9572" s="4"/>
      <c r="F9572" s="4"/>
      <c r="G9572" s="4"/>
    </row>
    <row r="9573">
      <c r="A9573" s="4"/>
      <c r="B9573" s="4"/>
      <c r="C9573" s="4"/>
      <c r="D9573" s="4"/>
      <c r="E9573" s="13"/>
      <c r="F9573" s="4"/>
      <c r="G9573" s="4"/>
    </row>
    <row r="9574">
      <c r="A9574" s="4"/>
      <c r="B9574" s="4"/>
      <c r="C9574" s="4"/>
      <c r="D9574" s="4"/>
      <c r="E9574" s="4"/>
      <c r="F9574" s="4"/>
      <c r="G9574" s="4"/>
    </row>
    <row r="9575">
      <c r="A9575" s="4"/>
      <c r="B9575" s="4"/>
      <c r="C9575" s="4"/>
      <c r="D9575" s="4"/>
      <c r="E9575" s="4"/>
      <c r="F9575" s="4"/>
      <c r="G9575" s="4"/>
    </row>
    <row r="9576">
      <c r="A9576" s="4"/>
      <c r="B9576" s="4"/>
      <c r="C9576" s="4"/>
      <c r="D9576" s="4"/>
      <c r="E9576" s="4"/>
      <c r="F9576" s="4"/>
      <c r="G9576" s="4"/>
    </row>
    <row r="9577">
      <c r="A9577" s="4"/>
      <c r="B9577" s="4"/>
      <c r="C9577" s="4"/>
      <c r="D9577" s="4"/>
      <c r="E9577" s="4"/>
      <c r="F9577" s="4"/>
      <c r="G9577" s="4"/>
    </row>
    <row r="9578">
      <c r="A9578" s="4"/>
      <c r="B9578" s="4"/>
      <c r="C9578" s="4"/>
      <c r="D9578" s="4"/>
      <c r="E9578" s="13"/>
      <c r="F9578" s="4"/>
      <c r="G9578" s="4"/>
    </row>
    <row r="9579">
      <c r="A9579" s="4"/>
      <c r="B9579" s="4"/>
      <c r="C9579" s="4"/>
      <c r="D9579" s="4"/>
      <c r="E9579" s="4"/>
      <c r="F9579" s="4"/>
      <c r="G9579" s="4"/>
    </row>
    <row r="9580">
      <c r="A9580" s="4"/>
      <c r="B9580" s="4"/>
      <c r="C9580" s="4"/>
      <c r="D9580" s="4"/>
      <c r="E9580" s="4"/>
      <c r="F9580" s="4"/>
      <c r="G9580" s="4"/>
    </row>
    <row r="9581">
      <c r="A9581" s="4"/>
      <c r="B9581" s="4"/>
      <c r="C9581" s="4"/>
      <c r="D9581" s="4"/>
      <c r="E9581" s="13"/>
      <c r="F9581" s="4"/>
      <c r="G9581" s="4"/>
    </row>
    <row r="9582">
      <c r="A9582" s="4"/>
      <c r="B9582" s="4"/>
      <c r="C9582" s="4"/>
      <c r="D9582" s="4"/>
      <c r="E9582" s="13"/>
      <c r="F9582" s="4"/>
      <c r="G9582" s="4"/>
    </row>
    <row r="9583">
      <c r="A9583" s="4"/>
      <c r="B9583" s="4"/>
      <c r="C9583" s="4"/>
      <c r="D9583" s="4"/>
      <c r="E9583" s="13"/>
      <c r="F9583" s="4"/>
      <c r="G9583" s="4"/>
    </row>
    <row r="9584">
      <c r="A9584" s="4"/>
      <c r="B9584" s="4"/>
      <c r="C9584" s="4"/>
      <c r="D9584" s="4"/>
      <c r="E9584" s="4"/>
      <c r="F9584" s="4"/>
      <c r="G9584" s="4"/>
    </row>
    <row r="9585">
      <c r="A9585" s="4"/>
      <c r="B9585" s="4"/>
      <c r="C9585" s="4"/>
      <c r="D9585" s="4"/>
      <c r="E9585" s="13"/>
      <c r="F9585" s="4"/>
      <c r="G9585" s="4"/>
    </row>
    <row r="9586">
      <c r="A9586" s="4"/>
      <c r="B9586" s="4"/>
      <c r="C9586" s="4"/>
      <c r="D9586" s="4"/>
      <c r="E9586" s="4"/>
      <c r="F9586" s="4"/>
      <c r="G9586" s="4"/>
    </row>
    <row r="9587">
      <c r="A9587" s="4"/>
      <c r="B9587" s="4"/>
      <c r="C9587" s="4"/>
      <c r="D9587" s="4"/>
      <c r="E9587" s="4"/>
      <c r="F9587" s="4"/>
      <c r="G9587" s="4"/>
    </row>
    <row r="9588">
      <c r="A9588" s="4"/>
      <c r="B9588" s="4"/>
      <c r="C9588" s="4"/>
      <c r="D9588" s="4"/>
      <c r="E9588" s="4"/>
      <c r="F9588" s="4"/>
      <c r="G9588" s="4"/>
    </row>
    <row r="9589">
      <c r="A9589" s="4"/>
      <c r="B9589" s="4"/>
      <c r="C9589" s="4"/>
      <c r="D9589" s="4"/>
      <c r="E9589" s="4"/>
      <c r="F9589" s="4"/>
      <c r="G9589" s="4"/>
    </row>
    <row r="9590">
      <c r="A9590" s="4"/>
      <c r="B9590" s="4"/>
      <c r="C9590" s="4"/>
      <c r="D9590" s="4"/>
      <c r="E9590" s="4"/>
      <c r="F9590" s="4"/>
      <c r="G9590" s="4"/>
    </row>
    <row r="9591">
      <c r="A9591" s="4"/>
      <c r="B9591" s="4"/>
      <c r="C9591" s="4"/>
      <c r="D9591" s="4"/>
      <c r="E9591" s="4"/>
      <c r="F9591" s="4"/>
      <c r="G9591" s="4"/>
    </row>
    <row r="9592">
      <c r="A9592" s="4"/>
      <c r="B9592" s="4"/>
      <c r="C9592" s="4"/>
      <c r="D9592" s="4"/>
      <c r="E9592" s="4"/>
      <c r="F9592" s="4"/>
      <c r="G9592" s="4"/>
    </row>
    <row r="9593">
      <c r="A9593" s="4"/>
      <c r="B9593" s="4"/>
      <c r="C9593" s="4"/>
      <c r="D9593" s="4"/>
      <c r="E9593" s="13"/>
      <c r="F9593" s="4"/>
      <c r="G9593" s="4"/>
    </row>
    <row r="9594">
      <c r="A9594" s="4"/>
      <c r="B9594" s="4"/>
      <c r="C9594" s="4"/>
      <c r="D9594" s="4"/>
      <c r="E9594" s="13"/>
      <c r="F9594" s="4"/>
      <c r="G9594" s="4"/>
    </row>
    <row r="9595">
      <c r="A9595" s="4"/>
      <c r="B9595" s="4"/>
      <c r="C9595" s="4"/>
      <c r="D9595" s="13"/>
      <c r="E9595" s="13"/>
      <c r="F9595" s="4"/>
      <c r="G9595" s="4"/>
    </row>
    <row r="9596">
      <c r="A9596" s="4"/>
      <c r="B9596" s="4"/>
      <c r="C9596" s="4"/>
      <c r="D9596" s="4"/>
      <c r="E9596" s="4"/>
      <c r="F9596" s="4"/>
      <c r="G9596" s="4"/>
    </row>
    <row r="9597">
      <c r="A9597" s="4"/>
      <c r="B9597" s="4"/>
      <c r="C9597" s="4"/>
      <c r="D9597" s="4"/>
      <c r="E9597" s="4"/>
      <c r="F9597" s="4"/>
      <c r="G9597" s="4"/>
    </row>
    <row r="9598">
      <c r="A9598" s="4"/>
      <c r="B9598" s="4"/>
      <c r="C9598" s="4"/>
      <c r="D9598" s="13"/>
      <c r="E9598" s="13"/>
      <c r="F9598" s="4"/>
      <c r="G9598" s="4"/>
    </row>
    <row r="9599">
      <c r="A9599" s="4"/>
      <c r="B9599" s="4"/>
      <c r="C9599" s="4"/>
      <c r="D9599" s="13"/>
      <c r="E9599" s="13"/>
      <c r="F9599" s="4"/>
      <c r="G9599" s="4"/>
    </row>
    <row r="9600">
      <c r="A9600" s="4"/>
      <c r="B9600" s="4"/>
      <c r="C9600" s="4"/>
      <c r="D9600" s="13"/>
      <c r="E9600" s="13"/>
      <c r="F9600" s="4"/>
      <c r="G9600" s="4"/>
    </row>
    <row r="9601">
      <c r="A9601" s="4"/>
      <c r="B9601" s="4"/>
      <c r="C9601" s="4"/>
      <c r="D9601" s="13"/>
      <c r="E9601" s="13"/>
      <c r="F9601" s="4"/>
      <c r="G9601" s="4"/>
    </row>
    <row r="9602">
      <c r="A9602" s="4"/>
      <c r="B9602" s="4"/>
      <c r="C9602" s="4"/>
      <c r="D9602" s="13"/>
      <c r="E9602" s="13"/>
      <c r="F9602" s="4"/>
      <c r="G9602" s="4"/>
    </row>
    <row r="9603">
      <c r="A9603" s="4"/>
      <c r="B9603" s="4"/>
      <c r="C9603" s="4"/>
      <c r="D9603" s="4"/>
      <c r="E9603" s="4"/>
      <c r="F9603" s="4"/>
      <c r="G9603" s="4"/>
    </row>
    <row r="9604">
      <c r="A9604" s="4"/>
      <c r="B9604" s="4"/>
      <c r="C9604" s="4"/>
      <c r="D9604" s="13"/>
      <c r="E9604" s="13"/>
      <c r="F9604" s="4"/>
      <c r="G9604" s="4"/>
    </row>
    <row r="9605">
      <c r="A9605" s="4"/>
      <c r="B9605" s="4"/>
      <c r="C9605" s="4"/>
      <c r="D9605" s="4"/>
      <c r="E9605" s="4"/>
      <c r="F9605" s="4"/>
      <c r="G9605" s="4"/>
    </row>
    <row r="9606">
      <c r="A9606" s="4"/>
      <c r="B9606" s="4"/>
      <c r="C9606" s="4"/>
      <c r="D9606" s="4"/>
      <c r="E9606" s="4"/>
      <c r="F9606" s="4"/>
      <c r="G9606" s="4"/>
    </row>
    <row r="9607">
      <c r="A9607" s="4"/>
      <c r="B9607" s="4"/>
      <c r="C9607" s="4"/>
      <c r="D9607" s="4"/>
      <c r="E9607" s="13"/>
      <c r="F9607" s="4"/>
      <c r="G9607" s="4"/>
    </row>
    <row r="9608">
      <c r="A9608" s="4"/>
      <c r="B9608" s="4"/>
      <c r="C9608" s="4"/>
      <c r="D9608" s="4"/>
      <c r="E9608" s="4"/>
      <c r="F9608" s="4"/>
      <c r="G9608" s="4"/>
    </row>
    <row r="9609">
      <c r="A9609" s="4"/>
      <c r="B9609" s="4"/>
      <c r="C9609" s="4"/>
      <c r="D9609" s="4"/>
      <c r="E9609" s="4"/>
      <c r="F9609" s="4"/>
      <c r="G9609" s="4"/>
    </row>
    <row r="9610">
      <c r="A9610" s="4"/>
      <c r="B9610" s="4"/>
      <c r="C9610" s="4"/>
      <c r="D9610" s="4"/>
      <c r="E9610" s="13"/>
      <c r="F9610" s="4"/>
      <c r="G9610" s="4"/>
    </row>
    <row r="9611">
      <c r="A9611" s="4"/>
      <c r="B9611" s="4"/>
      <c r="C9611" s="4"/>
      <c r="D9611" s="4"/>
      <c r="E9611" s="13"/>
      <c r="F9611" s="4"/>
      <c r="G9611" s="4"/>
    </row>
    <row r="9612">
      <c r="A9612" s="4"/>
      <c r="B9612" s="4"/>
      <c r="C9612" s="4"/>
      <c r="D9612" s="4"/>
      <c r="E9612" s="4"/>
      <c r="F9612" s="4"/>
      <c r="G9612" s="4"/>
    </row>
    <row r="9613">
      <c r="A9613" s="4"/>
      <c r="B9613" s="4"/>
      <c r="C9613" s="4"/>
      <c r="D9613" s="4"/>
      <c r="E9613" s="4"/>
      <c r="F9613" s="4"/>
      <c r="G9613" s="4"/>
    </row>
    <row r="9614">
      <c r="A9614" s="4"/>
      <c r="B9614" s="4"/>
      <c r="C9614" s="4"/>
      <c r="D9614" s="4"/>
      <c r="E9614" s="4"/>
      <c r="F9614" s="4"/>
      <c r="G9614" s="4"/>
    </row>
    <row r="9615">
      <c r="A9615" s="4"/>
      <c r="B9615" s="4"/>
      <c r="C9615" s="4"/>
      <c r="D9615" s="4"/>
      <c r="E9615" s="4"/>
      <c r="F9615" s="4"/>
      <c r="G9615" s="4"/>
    </row>
    <row r="9616">
      <c r="A9616" s="4"/>
      <c r="B9616" s="4"/>
      <c r="C9616" s="4"/>
      <c r="D9616" s="4"/>
      <c r="E9616" s="4"/>
      <c r="F9616" s="4"/>
      <c r="G9616" s="4"/>
    </row>
    <row r="9617">
      <c r="A9617" s="4"/>
      <c r="B9617" s="4"/>
      <c r="C9617" s="4"/>
      <c r="D9617" s="4"/>
      <c r="E9617" s="4"/>
      <c r="F9617" s="4"/>
      <c r="G9617" s="4"/>
    </row>
    <row r="9618">
      <c r="A9618" s="4"/>
      <c r="B9618" s="4"/>
      <c r="C9618" s="4"/>
      <c r="D9618" s="4"/>
      <c r="E9618" s="13"/>
      <c r="F9618" s="4"/>
      <c r="G9618" s="4"/>
    </row>
    <row r="9619">
      <c r="A9619" s="4"/>
      <c r="B9619" s="4"/>
      <c r="C9619" s="4"/>
      <c r="D9619" s="4"/>
      <c r="E9619" s="4"/>
      <c r="F9619" s="4"/>
      <c r="G9619" s="4"/>
    </row>
    <row r="9620">
      <c r="A9620" s="4"/>
      <c r="B9620" s="4"/>
      <c r="C9620" s="4"/>
      <c r="D9620" s="4"/>
      <c r="E9620" s="4"/>
      <c r="F9620" s="4"/>
      <c r="G9620" s="4"/>
    </row>
    <row r="9621">
      <c r="A9621" s="4"/>
      <c r="B9621" s="4"/>
      <c r="C9621" s="4"/>
      <c r="D9621" s="4"/>
      <c r="E9621" s="4"/>
      <c r="F9621" s="4"/>
      <c r="G9621" s="4"/>
    </row>
    <row r="9622">
      <c r="A9622" s="4"/>
      <c r="B9622" s="4"/>
      <c r="C9622" s="4"/>
      <c r="D9622" s="4"/>
      <c r="E9622" s="4"/>
      <c r="F9622" s="4"/>
      <c r="G9622" s="4"/>
    </row>
    <row r="9623">
      <c r="A9623" s="4"/>
      <c r="B9623" s="4"/>
      <c r="C9623" s="4"/>
      <c r="D9623" s="4"/>
      <c r="E9623" s="4"/>
      <c r="F9623" s="4"/>
      <c r="G9623" s="4"/>
    </row>
    <row r="9624">
      <c r="A9624" s="4"/>
      <c r="B9624" s="4"/>
      <c r="C9624" s="4"/>
      <c r="D9624" s="4"/>
      <c r="E9624" s="4"/>
      <c r="F9624" s="4"/>
      <c r="G9624" s="4"/>
    </row>
    <row r="9625">
      <c r="A9625" s="4"/>
      <c r="B9625" s="4"/>
      <c r="C9625" s="4"/>
      <c r="D9625" s="4"/>
      <c r="E9625" s="4"/>
      <c r="F9625" s="4"/>
      <c r="G9625" s="4"/>
    </row>
    <row r="9626">
      <c r="A9626" s="4"/>
      <c r="B9626" s="4"/>
      <c r="C9626" s="4"/>
      <c r="D9626" s="4"/>
      <c r="E9626" s="13"/>
      <c r="F9626" s="4"/>
      <c r="G9626" s="4"/>
    </row>
    <row r="9627">
      <c r="A9627" s="4"/>
      <c r="B9627" s="4"/>
      <c r="C9627" s="4"/>
      <c r="D9627" s="4"/>
      <c r="E9627" s="4"/>
      <c r="F9627" s="4"/>
      <c r="G9627" s="4"/>
    </row>
    <row r="9628">
      <c r="A9628" s="4"/>
      <c r="B9628" s="4"/>
      <c r="C9628" s="4"/>
      <c r="D9628" s="4"/>
      <c r="E9628" s="4"/>
      <c r="F9628" s="4"/>
      <c r="G9628" s="4"/>
    </row>
    <row r="9629">
      <c r="A9629" s="4"/>
      <c r="B9629" s="4"/>
      <c r="C9629" s="4"/>
      <c r="D9629" s="4"/>
      <c r="E9629" s="4"/>
      <c r="F9629" s="4"/>
      <c r="G9629" s="4"/>
    </row>
    <row r="9630">
      <c r="A9630" s="4"/>
      <c r="B9630" s="4"/>
      <c r="C9630" s="4"/>
      <c r="D9630" s="4"/>
      <c r="E9630" s="4"/>
      <c r="F9630" s="4"/>
      <c r="G9630" s="4"/>
    </row>
    <row r="9631">
      <c r="A9631" s="4"/>
      <c r="B9631" s="4"/>
      <c r="C9631" s="4"/>
      <c r="D9631" s="4"/>
      <c r="E9631" s="4"/>
      <c r="F9631" s="4"/>
      <c r="G9631" s="4"/>
    </row>
    <row r="9632">
      <c r="A9632" s="4"/>
      <c r="B9632" s="4"/>
      <c r="C9632" s="4"/>
      <c r="D9632" s="4"/>
      <c r="E9632" s="13"/>
      <c r="F9632" s="4"/>
      <c r="G9632" s="4"/>
    </row>
    <row r="9633">
      <c r="A9633" s="4"/>
      <c r="B9633" s="4"/>
      <c r="C9633" s="4"/>
      <c r="D9633" s="4"/>
      <c r="E9633" s="4"/>
      <c r="F9633" s="4"/>
      <c r="G9633" s="4"/>
    </row>
    <row r="9634">
      <c r="A9634" s="4"/>
      <c r="B9634" s="4"/>
      <c r="C9634" s="4"/>
      <c r="D9634" s="4"/>
      <c r="E9634" s="4"/>
      <c r="F9634" s="4"/>
      <c r="G9634" s="4"/>
    </row>
    <row r="9635">
      <c r="A9635" s="4"/>
      <c r="B9635" s="4"/>
      <c r="C9635" s="4"/>
      <c r="D9635" s="4"/>
      <c r="E9635" s="13"/>
      <c r="F9635" s="4"/>
      <c r="G9635" s="4"/>
    </row>
    <row r="9636">
      <c r="A9636" s="4"/>
      <c r="B9636" s="4"/>
      <c r="C9636" s="4"/>
      <c r="D9636" s="4"/>
      <c r="E9636" s="4"/>
      <c r="F9636" s="4"/>
      <c r="G9636" s="4"/>
    </row>
    <row r="9637">
      <c r="A9637" s="4"/>
      <c r="B9637" s="4"/>
      <c r="C9637" s="4"/>
      <c r="D9637" s="4"/>
      <c r="E9637" s="4"/>
      <c r="F9637" s="4"/>
      <c r="G9637" s="4"/>
    </row>
    <row r="9638">
      <c r="A9638" s="4"/>
      <c r="B9638" s="4"/>
      <c r="C9638" s="4"/>
      <c r="D9638" s="4"/>
      <c r="E9638" s="4"/>
      <c r="F9638" s="4"/>
      <c r="G9638" s="4"/>
    </row>
    <row r="9639">
      <c r="A9639" s="4"/>
      <c r="B9639" s="4"/>
      <c r="C9639" s="4"/>
      <c r="D9639" s="4"/>
      <c r="E9639" s="4"/>
      <c r="F9639" s="4"/>
      <c r="G9639" s="4"/>
    </row>
    <row r="9640">
      <c r="A9640" s="4"/>
      <c r="B9640" s="4"/>
      <c r="C9640" s="4"/>
      <c r="D9640" s="4"/>
      <c r="E9640" s="13"/>
      <c r="F9640" s="4"/>
      <c r="G9640" s="4"/>
    </row>
    <row r="9641">
      <c r="A9641" s="4"/>
      <c r="B9641" s="4"/>
      <c r="C9641" s="4"/>
      <c r="D9641" s="4"/>
      <c r="E9641" s="4"/>
      <c r="F9641" s="4"/>
      <c r="G9641" s="4"/>
    </row>
    <row r="9642">
      <c r="A9642" s="4"/>
      <c r="B9642" s="4"/>
      <c r="C9642" s="4"/>
      <c r="D9642" s="4"/>
      <c r="E9642" s="13"/>
      <c r="F9642" s="4"/>
      <c r="G9642" s="4"/>
    </row>
    <row r="9643">
      <c r="A9643" s="4"/>
      <c r="B9643" s="4"/>
      <c r="C9643" s="4"/>
      <c r="D9643" s="4"/>
      <c r="E9643" s="4"/>
      <c r="F9643" s="4"/>
      <c r="G9643" s="4"/>
    </row>
    <row r="9644">
      <c r="A9644" s="4"/>
      <c r="B9644" s="4"/>
      <c r="C9644" s="4"/>
      <c r="D9644" s="4"/>
      <c r="E9644" s="4"/>
      <c r="F9644" s="4"/>
      <c r="G9644" s="4"/>
    </row>
    <row r="9645">
      <c r="A9645" s="4"/>
      <c r="B9645" s="4"/>
      <c r="C9645" s="4"/>
      <c r="D9645" s="4"/>
      <c r="E9645" s="13"/>
      <c r="F9645" s="4"/>
      <c r="G9645" s="4"/>
    </row>
    <row r="9646">
      <c r="A9646" s="4"/>
      <c r="B9646" s="4"/>
      <c r="C9646" s="4"/>
      <c r="D9646" s="4"/>
      <c r="E9646" s="4"/>
      <c r="F9646" s="4"/>
      <c r="G9646" s="4"/>
    </row>
    <row r="9647">
      <c r="A9647" s="4"/>
      <c r="B9647" s="4"/>
      <c r="C9647" s="4"/>
      <c r="D9647" s="4"/>
      <c r="E9647" s="4"/>
      <c r="F9647" s="4"/>
      <c r="G9647" s="4"/>
    </row>
    <row r="9648">
      <c r="A9648" s="4"/>
      <c r="B9648" s="4"/>
      <c r="C9648" s="4"/>
      <c r="D9648" s="4"/>
      <c r="E9648" s="4"/>
      <c r="F9648" s="4"/>
      <c r="G9648" s="4"/>
    </row>
    <row r="9649">
      <c r="A9649" s="4"/>
      <c r="B9649" s="4"/>
      <c r="C9649" s="4"/>
      <c r="D9649" s="4"/>
      <c r="E9649" s="13"/>
      <c r="F9649" s="4"/>
      <c r="G9649" s="4"/>
    </row>
    <row r="9650">
      <c r="A9650" s="4"/>
      <c r="B9650" s="4"/>
      <c r="C9650" s="4"/>
      <c r="D9650" s="4"/>
      <c r="E9650" s="4"/>
      <c r="F9650" s="4"/>
      <c r="G9650" s="4"/>
    </row>
    <row r="9651">
      <c r="A9651" s="4"/>
      <c r="B9651" s="4"/>
      <c r="C9651" s="4"/>
      <c r="D9651" s="4"/>
      <c r="E9651" s="13"/>
      <c r="F9651" s="4"/>
      <c r="G9651" s="4"/>
    </row>
    <row r="9652">
      <c r="A9652" s="4"/>
      <c r="B9652" s="4"/>
      <c r="C9652" s="4"/>
      <c r="D9652" s="13"/>
      <c r="E9652" s="4"/>
      <c r="F9652" s="4"/>
      <c r="G9652" s="4"/>
    </row>
    <row r="9653">
      <c r="A9653" s="4"/>
      <c r="B9653" s="4"/>
      <c r="C9653" s="4"/>
      <c r="D9653" s="4"/>
      <c r="E9653" s="13"/>
      <c r="F9653" s="4"/>
      <c r="G9653" s="4"/>
    </row>
    <row r="9654">
      <c r="A9654" s="4"/>
      <c r="B9654" s="4"/>
      <c r="C9654" s="4"/>
      <c r="D9654" s="4"/>
      <c r="E9654" s="4"/>
      <c r="F9654" s="4"/>
      <c r="G9654" s="4"/>
    </row>
    <row r="9655">
      <c r="A9655" s="4"/>
      <c r="B9655" s="4"/>
      <c r="C9655" s="4"/>
      <c r="D9655" s="4"/>
      <c r="E9655" s="4"/>
      <c r="F9655" s="4"/>
      <c r="G9655" s="4"/>
    </row>
    <row r="9656">
      <c r="A9656" s="4"/>
      <c r="B9656" s="4"/>
      <c r="C9656" s="4"/>
      <c r="D9656" s="4"/>
      <c r="E9656" s="4"/>
      <c r="F9656" s="4"/>
      <c r="G9656" s="4"/>
    </row>
    <row r="9657">
      <c r="A9657" s="4"/>
      <c r="B9657" s="4"/>
      <c r="C9657" s="4"/>
      <c r="D9657" s="4"/>
      <c r="E9657" s="4"/>
      <c r="F9657" s="4"/>
      <c r="G9657" s="4"/>
    </row>
    <row r="9658">
      <c r="A9658" s="4"/>
      <c r="B9658" s="4"/>
      <c r="C9658" s="4"/>
      <c r="D9658" s="4"/>
      <c r="E9658" s="4"/>
      <c r="F9658" s="4"/>
      <c r="G9658" s="4"/>
    </row>
    <row r="9659">
      <c r="A9659" s="4"/>
      <c r="B9659" s="4"/>
      <c r="C9659" s="4"/>
      <c r="D9659" s="4"/>
      <c r="E9659" s="13"/>
      <c r="F9659" s="4"/>
      <c r="G9659" s="4"/>
    </row>
    <row r="9660">
      <c r="A9660" s="4"/>
      <c r="B9660" s="4"/>
      <c r="C9660" s="4"/>
      <c r="D9660" s="13"/>
      <c r="E9660" s="13"/>
      <c r="F9660" s="4"/>
      <c r="G9660" s="4"/>
    </row>
    <row r="9661">
      <c r="A9661" s="4"/>
      <c r="B9661" s="4"/>
      <c r="C9661" s="4"/>
      <c r="D9661" s="4"/>
      <c r="E9661" s="4"/>
      <c r="F9661" s="4"/>
      <c r="G9661" s="4"/>
    </row>
    <row r="9662">
      <c r="A9662" s="4"/>
      <c r="B9662" s="4"/>
      <c r="C9662" s="4"/>
      <c r="D9662" s="4"/>
      <c r="E9662" s="4"/>
      <c r="F9662" s="4"/>
      <c r="G9662" s="4"/>
    </row>
    <row r="9663">
      <c r="A9663" s="4"/>
      <c r="B9663" s="4"/>
      <c r="C9663" s="4"/>
      <c r="D9663" s="13"/>
      <c r="E9663" s="4"/>
      <c r="F9663" s="4"/>
      <c r="G9663" s="4"/>
    </row>
    <row r="9664">
      <c r="A9664" s="4"/>
      <c r="B9664" s="4"/>
      <c r="C9664" s="4"/>
      <c r="D9664" s="13"/>
      <c r="E9664" s="4"/>
      <c r="F9664" s="4"/>
      <c r="G9664" s="4"/>
    </row>
    <row r="9665">
      <c r="A9665" s="4"/>
      <c r="B9665" s="4"/>
      <c r="C9665" s="4"/>
      <c r="D9665" s="13"/>
      <c r="E9665" s="13"/>
      <c r="F9665" s="4"/>
      <c r="G9665" s="4"/>
    </row>
    <row r="9666">
      <c r="A9666" s="4"/>
      <c r="B9666" s="4"/>
      <c r="C9666" s="4"/>
      <c r="D9666" s="4"/>
      <c r="E9666" s="4"/>
      <c r="F9666" s="4"/>
      <c r="G9666" s="4"/>
    </row>
    <row r="9667">
      <c r="A9667" s="4"/>
      <c r="B9667" s="4"/>
      <c r="C9667" s="4"/>
      <c r="D9667" s="4"/>
      <c r="E9667" s="13"/>
      <c r="F9667" s="4"/>
      <c r="G9667" s="4"/>
    </row>
    <row r="9668">
      <c r="A9668" s="4"/>
      <c r="B9668" s="4"/>
      <c r="C9668" s="4"/>
      <c r="D9668" s="13"/>
      <c r="E9668" s="13"/>
      <c r="F9668" s="4"/>
      <c r="G9668" s="4"/>
    </row>
    <row r="9669">
      <c r="A9669" s="4"/>
      <c r="B9669" s="4"/>
      <c r="C9669" s="4"/>
      <c r="D9669" s="4"/>
      <c r="E9669" s="4"/>
      <c r="F9669" s="4"/>
      <c r="G9669" s="4"/>
    </row>
    <row r="9670">
      <c r="A9670" s="4"/>
      <c r="B9670" s="4"/>
      <c r="C9670" s="4"/>
      <c r="D9670" s="4"/>
      <c r="E9670" s="4"/>
      <c r="F9670" s="4"/>
      <c r="G9670" s="4"/>
    </row>
    <row r="9671">
      <c r="A9671" s="4"/>
      <c r="B9671" s="4"/>
      <c r="C9671" s="4"/>
      <c r="D9671" s="4"/>
      <c r="E9671" s="13"/>
      <c r="F9671" s="4"/>
      <c r="G9671" s="4"/>
    </row>
    <row r="9672">
      <c r="A9672" s="4"/>
      <c r="B9672" s="4"/>
      <c r="C9672" s="4"/>
      <c r="D9672" s="4"/>
      <c r="E9672" s="13"/>
      <c r="F9672" s="4"/>
      <c r="G9672" s="4"/>
    </row>
    <row r="9673">
      <c r="A9673" s="4"/>
      <c r="B9673" s="4"/>
      <c r="C9673" s="4"/>
      <c r="D9673" s="13"/>
      <c r="E9673" s="13"/>
      <c r="F9673" s="4"/>
      <c r="G9673" s="4"/>
    </row>
    <row r="9674">
      <c r="A9674" s="4"/>
      <c r="B9674" s="4"/>
      <c r="C9674" s="4"/>
      <c r="D9674" s="4"/>
      <c r="E9674" s="13"/>
      <c r="F9674" s="4"/>
      <c r="G9674" s="4"/>
    </row>
    <row r="9675">
      <c r="A9675" s="4"/>
      <c r="B9675" s="4"/>
      <c r="C9675" s="4"/>
      <c r="D9675" s="4"/>
      <c r="E9675" s="4"/>
      <c r="F9675" s="4"/>
      <c r="G9675" s="4"/>
    </row>
    <row r="9676">
      <c r="A9676" s="4"/>
      <c r="B9676" s="4"/>
      <c r="C9676" s="4"/>
      <c r="D9676" s="4"/>
      <c r="E9676" s="4"/>
      <c r="F9676" s="4"/>
      <c r="G9676" s="4"/>
    </row>
    <row r="9677">
      <c r="A9677" s="4"/>
      <c r="B9677" s="4"/>
      <c r="C9677" s="4"/>
      <c r="D9677" s="4"/>
      <c r="E9677" s="13"/>
      <c r="F9677" s="4"/>
      <c r="G9677" s="4"/>
    </row>
    <row r="9678">
      <c r="A9678" s="4"/>
      <c r="B9678" s="4"/>
      <c r="C9678" s="4"/>
      <c r="D9678" s="4"/>
      <c r="E9678" s="4"/>
      <c r="F9678" s="4"/>
      <c r="G9678" s="4"/>
    </row>
    <row r="9679">
      <c r="A9679" s="4"/>
      <c r="B9679" s="4"/>
      <c r="C9679" s="4"/>
      <c r="D9679" s="4"/>
      <c r="E9679" s="13"/>
      <c r="F9679" s="4"/>
      <c r="G9679" s="4"/>
    </row>
    <row r="9680">
      <c r="A9680" s="4"/>
      <c r="B9680" s="4"/>
      <c r="C9680" s="4"/>
      <c r="D9680" s="4"/>
      <c r="E9680" s="4"/>
      <c r="F9680" s="4"/>
      <c r="G9680" s="4"/>
    </row>
    <row r="9681">
      <c r="A9681" s="4"/>
      <c r="B9681" s="4"/>
      <c r="C9681" s="4"/>
      <c r="D9681" s="13"/>
      <c r="E9681" s="4"/>
      <c r="F9681" s="4"/>
      <c r="G9681" s="4"/>
    </row>
    <row r="9682">
      <c r="A9682" s="4"/>
      <c r="B9682" s="4"/>
      <c r="C9682" s="4"/>
      <c r="D9682" s="4"/>
      <c r="E9682" s="4"/>
      <c r="F9682" s="4"/>
      <c r="G9682" s="4"/>
    </row>
    <row r="9683">
      <c r="A9683" s="4"/>
      <c r="B9683" s="4"/>
      <c r="C9683" s="4"/>
      <c r="D9683" s="4"/>
      <c r="E9683" s="4"/>
      <c r="F9683" s="4"/>
      <c r="G9683" s="4"/>
    </row>
    <row r="9684">
      <c r="A9684" s="4"/>
      <c r="B9684" s="4"/>
      <c r="C9684" s="4"/>
      <c r="D9684" s="13"/>
      <c r="E9684" s="13"/>
      <c r="F9684" s="4"/>
      <c r="G9684" s="4"/>
    </row>
    <row r="9685">
      <c r="A9685" s="4"/>
      <c r="B9685" s="4"/>
      <c r="C9685" s="4"/>
      <c r="D9685" s="4"/>
      <c r="E9685" s="13"/>
      <c r="F9685" s="4"/>
      <c r="G9685" s="4"/>
    </row>
    <row r="9686">
      <c r="A9686" s="4"/>
      <c r="B9686" s="4"/>
      <c r="C9686" s="4"/>
      <c r="D9686" s="4"/>
      <c r="E9686" s="4"/>
      <c r="F9686" s="4"/>
      <c r="G9686" s="4"/>
    </row>
    <row r="9687">
      <c r="A9687" s="4"/>
      <c r="B9687" s="4"/>
      <c r="C9687" s="4"/>
      <c r="D9687" s="4"/>
      <c r="E9687" s="4"/>
      <c r="F9687" s="4"/>
      <c r="G9687" s="4"/>
    </row>
    <row r="9688">
      <c r="A9688" s="4"/>
      <c r="B9688" s="4"/>
      <c r="C9688" s="4"/>
      <c r="D9688" s="13"/>
      <c r="E9688" s="4"/>
      <c r="F9688" s="4"/>
      <c r="G9688" s="4"/>
    </row>
    <row r="9689">
      <c r="A9689" s="4"/>
      <c r="B9689" s="4"/>
      <c r="C9689" s="4"/>
      <c r="D9689" s="4"/>
      <c r="E9689" s="4"/>
      <c r="F9689" s="4"/>
      <c r="G9689" s="4"/>
    </row>
    <row r="9690">
      <c r="A9690" s="4"/>
      <c r="B9690" s="4"/>
      <c r="C9690" s="4"/>
      <c r="D9690" s="4"/>
      <c r="E9690" s="4"/>
      <c r="F9690" s="4"/>
      <c r="G9690" s="4"/>
    </row>
    <row r="9691">
      <c r="A9691" s="4"/>
      <c r="B9691" s="4"/>
      <c r="C9691" s="4"/>
      <c r="D9691" s="13"/>
      <c r="E9691" s="4"/>
      <c r="F9691" s="4"/>
      <c r="G9691" s="4"/>
    </row>
    <row r="9692">
      <c r="A9692" s="4"/>
      <c r="B9692" s="4"/>
      <c r="C9692" s="4"/>
      <c r="D9692" s="13"/>
      <c r="E9692" s="4"/>
      <c r="F9692" s="4"/>
      <c r="G9692" s="4"/>
    </row>
    <row r="9693">
      <c r="A9693" s="4"/>
      <c r="B9693" s="4"/>
      <c r="C9693" s="4"/>
      <c r="D9693" s="4"/>
      <c r="E9693" s="13"/>
      <c r="F9693" s="4"/>
      <c r="G9693" s="4"/>
    </row>
    <row r="9694">
      <c r="A9694" s="4"/>
      <c r="B9694" s="4"/>
      <c r="C9694" s="4"/>
      <c r="D9694" s="4"/>
      <c r="E9694" s="13"/>
      <c r="F9694" s="4"/>
      <c r="G9694" s="4"/>
    </row>
    <row r="9695">
      <c r="A9695" s="4"/>
      <c r="B9695" s="4"/>
      <c r="C9695" s="4"/>
      <c r="D9695" s="13"/>
      <c r="E9695" s="13"/>
      <c r="F9695" s="4"/>
      <c r="G9695" s="4"/>
    </row>
    <row r="9696">
      <c r="A9696" s="4"/>
      <c r="B9696" s="4"/>
      <c r="C9696" s="4"/>
      <c r="D9696" s="13"/>
      <c r="E9696" s="4"/>
      <c r="F9696" s="4"/>
      <c r="G9696" s="4"/>
    </row>
    <row r="9697">
      <c r="A9697" s="4"/>
      <c r="B9697" s="4"/>
      <c r="C9697" s="4"/>
      <c r="D9697" s="4"/>
      <c r="E9697" s="4"/>
      <c r="F9697" s="4"/>
      <c r="G9697" s="4"/>
    </row>
    <row r="9698">
      <c r="A9698" s="4"/>
      <c r="B9698" s="4"/>
      <c r="C9698" s="4"/>
      <c r="D9698" s="4"/>
      <c r="E9698" s="4"/>
      <c r="F9698" s="4"/>
      <c r="G9698" s="4"/>
    </row>
    <row r="9699">
      <c r="A9699" s="4"/>
      <c r="B9699" s="4"/>
      <c r="C9699" s="4"/>
      <c r="D9699" s="13"/>
      <c r="E9699" s="4"/>
      <c r="F9699" s="4"/>
      <c r="G9699" s="4"/>
    </row>
    <row r="9700">
      <c r="A9700" s="4"/>
      <c r="B9700" s="4"/>
      <c r="C9700" s="4"/>
      <c r="D9700" s="4"/>
      <c r="E9700" s="4"/>
      <c r="F9700" s="4"/>
      <c r="G9700" s="4"/>
    </row>
    <row r="9701">
      <c r="A9701" s="4"/>
      <c r="B9701" s="4"/>
      <c r="C9701" s="4"/>
      <c r="D9701" s="4"/>
      <c r="E9701" s="13"/>
      <c r="F9701" s="4"/>
      <c r="G9701" s="4"/>
    </row>
    <row r="9702">
      <c r="A9702" s="4"/>
      <c r="B9702" s="4"/>
      <c r="C9702" s="4"/>
      <c r="D9702" s="4"/>
      <c r="E9702" s="13"/>
      <c r="F9702" s="4"/>
      <c r="G9702" s="4"/>
    </row>
    <row r="9703">
      <c r="A9703" s="4"/>
      <c r="B9703" s="4"/>
      <c r="C9703" s="4"/>
      <c r="D9703" s="13"/>
      <c r="E9703" s="13"/>
      <c r="F9703" s="4"/>
      <c r="G9703" s="4"/>
    </row>
    <row r="9704">
      <c r="A9704" s="4"/>
      <c r="B9704" s="4"/>
      <c r="C9704" s="4"/>
      <c r="D9704" s="4"/>
      <c r="E9704" s="4"/>
      <c r="F9704" s="4"/>
      <c r="G9704" s="4"/>
    </row>
    <row r="9705">
      <c r="A9705" s="4"/>
      <c r="B9705" s="4"/>
      <c r="C9705" s="4"/>
      <c r="D9705" s="4"/>
      <c r="E9705" s="4"/>
      <c r="F9705" s="4"/>
      <c r="G9705" s="4"/>
    </row>
    <row r="9706">
      <c r="A9706" s="4"/>
      <c r="B9706" s="4"/>
      <c r="C9706" s="4"/>
      <c r="D9706" s="4"/>
      <c r="E9706" s="4"/>
      <c r="F9706" s="4"/>
      <c r="G9706" s="4"/>
    </row>
    <row r="9707">
      <c r="A9707" s="4"/>
      <c r="B9707" s="4"/>
      <c r="C9707" s="4"/>
      <c r="D9707" s="4"/>
      <c r="E9707" s="4"/>
      <c r="F9707" s="4"/>
      <c r="G9707" s="4"/>
    </row>
    <row r="9708">
      <c r="A9708" s="4"/>
      <c r="B9708" s="4"/>
      <c r="C9708" s="4"/>
      <c r="D9708" s="4"/>
      <c r="E9708" s="4"/>
      <c r="F9708" s="4"/>
      <c r="G9708" s="4"/>
    </row>
    <row r="9709">
      <c r="A9709" s="4"/>
      <c r="B9709" s="4"/>
      <c r="C9709" s="4"/>
      <c r="D9709" s="4"/>
      <c r="E9709" s="4"/>
      <c r="F9709" s="4"/>
      <c r="G9709" s="4"/>
    </row>
    <row r="9710">
      <c r="A9710" s="4"/>
      <c r="B9710" s="4"/>
      <c r="C9710" s="4"/>
      <c r="D9710" s="4"/>
      <c r="E9710" s="13"/>
      <c r="F9710" s="4"/>
      <c r="G9710" s="4"/>
    </row>
    <row r="9711">
      <c r="A9711" s="4"/>
      <c r="B9711" s="4"/>
      <c r="C9711" s="4"/>
      <c r="D9711" s="4"/>
      <c r="E9711" s="13"/>
      <c r="F9711" s="4"/>
      <c r="G9711" s="4"/>
    </row>
    <row r="9712">
      <c r="A9712" s="4"/>
      <c r="B9712" s="4"/>
      <c r="C9712" s="4"/>
      <c r="D9712" s="4"/>
      <c r="E9712" s="4"/>
      <c r="F9712" s="4"/>
      <c r="G9712" s="4"/>
    </row>
    <row r="9713">
      <c r="A9713" s="4"/>
      <c r="B9713" s="4"/>
      <c r="C9713" s="4"/>
      <c r="D9713" s="4"/>
      <c r="E9713" s="4"/>
      <c r="F9713" s="4"/>
      <c r="G9713" s="4"/>
    </row>
    <row r="9714">
      <c r="A9714" s="4"/>
      <c r="B9714" s="4"/>
      <c r="C9714" s="4"/>
      <c r="D9714" s="4"/>
      <c r="E9714" s="13"/>
      <c r="F9714" s="4"/>
      <c r="G9714" s="4"/>
    </row>
    <row r="9715">
      <c r="A9715" s="4"/>
      <c r="B9715" s="4"/>
      <c r="C9715" s="4"/>
      <c r="D9715" s="4"/>
      <c r="E9715" s="13"/>
      <c r="F9715" s="4"/>
      <c r="G9715" s="4"/>
    </row>
    <row r="9716">
      <c r="A9716" s="4"/>
      <c r="B9716" s="4"/>
      <c r="C9716" s="4"/>
      <c r="D9716" s="4"/>
      <c r="E9716" s="4"/>
      <c r="F9716" s="4"/>
      <c r="G9716" s="4"/>
    </row>
    <row r="9717">
      <c r="A9717" s="4"/>
      <c r="B9717" s="4"/>
      <c r="C9717" s="4"/>
      <c r="D9717" s="4"/>
      <c r="E9717" s="13"/>
      <c r="F9717" s="4"/>
      <c r="G9717" s="4"/>
    </row>
    <row r="9718">
      <c r="A9718" s="4"/>
      <c r="B9718" s="4"/>
      <c r="C9718" s="4"/>
      <c r="D9718" s="4"/>
      <c r="E9718" s="4"/>
      <c r="F9718" s="4"/>
      <c r="G9718" s="4"/>
    </row>
    <row r="9719">
      <c r="A9719" s="4"/>
      <c r="B9719" s="4"/>
      <c r="C9719" s="4"/>
      <c r="D9719" s="4"/>
      <c r="E9719" s="13"/>
      <c r="F9719" s="4"/>
      <c r="G9719" s="4"/>
    </row>
    <row r="9720">
      <c r="A9720" s="4"/>
      <c r="B9720" s="4"/>
      <c r="C9720" s="4"/>
      <c r="D9720" s="4"/>
      <c r="E9720" s="4"/>
      <c r="F9720" s="4"/>
      <c r="G9720" s="4"/>
    </row>
    <row r="9721">
      <c r="A9721" s="4"/>
      <c r="B9721" s="4"/>
      <c r="C9721" s="4"/>
      <c r="D9721" s="13"/>
      <c r="E9721" s="13"/>
      <c r="F9721" s="4"/>
      <c r="G9721" s="4"/>
    </row>
    <row r="9722">
      <c r="A9722" s="4"/>
      <c r="B9722" s="4"/>
      <c r="C9722" s="4"/>
      <c r="D9722" s="4"/>
      <c r="E9722" s="4"/>
      <c r="F9722" s="4"/>
      <c r="G9722" s="4"/>
    </row>
    <row r="9723">
      <c r="A9723" s="4"/>
      <c r="B9723" s="4"/>
      <c r="C9723" s="4"/>
      <c r="D9723" s="4"/>
      <c r="E9723" s="13"/>
      <c r="F9723" s="4"/>
      <c r="G9723" s="4"/>
    </row>
    <row r="9724">
      <c r="A9724" s="4"/>
      <c r="B9724" s="4"/>
      <c r="C9724" s="4"/>
      <c r="D9724" s="4"/>
      <c r="E9724" s="13"/>
      <c r="F9724" s="4"/>
      <c r="G9724" s="4"/>
    </row>
    <row r="9725">
      <c r="A9725" s="4"/>
      <c r="B9725" s="4"/>
      <c r="C9725" s="4"/>
      <c r="D9725" s="4"/>
      <c r="E9725" s="4"/>
      <c r="F9725" s="4"/>
      <c r="G9725" s="4"/>
    </row>
    <row r="9726">
      <c r="A9726" s="4"/>
      <c r="B9726" s="4"/>
      <c r="C9726" s="4"/>
      <c r="D9726" s="4"/>
      <c r="E9726" s="13"/>
      <c r="F9726" s="4"/>
      <c r="G9726" s="4"/>
    </row>
    <row r="9727">
      <c r="A9727" s="4"/>
      <c r="B9727" s="4"/>
      <c r="C9727" s="4"/>
      <c r="D9727" s="4"/>
      <c r="E9727" s="4"/>
      <c r="F9727" s="4"/>
      <c r="G9727" s="4"/>
    </row>
    <row r="9728">
      <c r="A9728" s="4"/>
      <c r="B9728" s="4"/>
      <c r="C9728" s="4"/>
      <c r="D9728" s="4"/>
      <c r="E9728" s="4"/>
      <c r="F9728" s="4"/>
      <c r="G9728" s="4"/>
    </row>
    <row r="9729">
      <c r="A9729" s="4"/>
      <c r="B9729" s="4"/>
      <c r="C9729" s="4"/>
      <c r="D9729" s="4"/>
      <c r="E9729" s="13"/>
      <c r="F9729" s="4"/>
      <c r="G9729" s="4"/>
    </row>
    <row r="9730">
      <c r="A9730" s="4"/>
      <c r="B9730" s="4"/>
      <c r="C9730" s="4"/>
      <c r="D9730" s="4"/>
      <c r="E9730" s="4"/>
      <c r="F9730" s="4"/>
      <c r="G9730" s="4"/>
    </row>
    <row r="9731">
      <c r="A9731" s="4"/>
      <c r="B9731" s="4"/>
      <c r="C9731" s="4"/>
      <c r="D9731" s="4"/>
      <c r="E9731" s="4"/>
      <c r="F9731" s="4"/>
      <c r="G9731" s="4"/>
    </row>
    <row r="9732">
      <c r="A9732" s="4"/>
      <c r="B9732" s="4"/>
      <c r="C9732" s="4"/>
      <c r="D9732" s="4"/>
      <c r="E9732" s="4"/>
      <c r="F9732" s="4"/>
      <c r="G9732" s="4"/>
    </row>
    <row r="9733">
      <c r="A9733" s="4"/>
      <c r="B9733" s="4"/>
      <c r="C9733" s="4"/>
      <c r="D9733" s="4"/>
      <c r="E9733" s="4"/>
      <c r="F9733" s="4"/>
      <c r="G9733" s="4"/>
    </row>
    <row r="9734">
      <c r="A9734" s="4"/>
      <c r="B9734" s="4"/>
      <c r="C9734" s="4"/>
      <c r="D9734" s="4"/>
      <c r="E9734" s="13"/>
      <c r="F9734" s="4"/>
      <c r="G9734" s="4"/>
    </row>
    <row r="9735">
      <c r="A9735" s="4"/>
      <c r="B9735" s="4"/>
      <c r="C9735" s="4"/>
      <c r="D9735" s="4"/>
      <c r="E9735" s="4"/>
      <c r="F9735" s="4"/>
      <c r="G9735" s="4"/>
    </row>
    <row r="9736">
      <c r="A9736" s="4"/>
      <c r="B9736" s="4"/>
      <c r="C9736" s="4"/>
      <c r="D9736" s="4"/>
      <c r="E9736" s="4"/>
      <c r="F9736" s="4"/>
      <c r="G9736" s="4"/>
    </row>
    <row r="9737">
      <c r="A9737" s="4"/>
      <c r="B9737" s="4"/>
      <c r="C9737" s="4"/>
      <c r="D9737" s="4"/>
      <c r="E9737" s="4"/>
      <c r="F9737" s="4"/>
      <c r="G9737" s="4"/>
    </row>
    <row r="9738">
      <c r="A9738" s="4"/>
      <c r="B9738" s="4"/>
      <c r="C9738" s="4"/>
      <c r="D9738" s="4"/>
      <c r="E9738" s="4"/>
      <c r="F9738" s="4"/>
      <c r="G9738" s="4"/>
    </row>
    <row r="9739">
      <c r="A9739" s="4"/>
      <c r="B9739" s="4"/>
      <c r="C9739" s="4"/>
      <c r="D9739" s="13"/>
      <c r="E9739" s="13"/>
      <c r="F9739" s="4"/>
      <c r="G9739" s="4"/>
    </row>
    <row r="9740">
      <c r="A9740" s="4"/>
      <c r="B9740" s="4"/>
      <c r="C9740" s="4"/>
      <c r="D9740" s="4"/>
      <c r="E9740" s="4"/>
      <c r="F9740" s="4"/>
      <c r="G9740" s="4"/>
    </row>
    <row r="9741">
      <c r="A9741" s="4"/>
      <c r="B9741" s="4"/>
      <c r="C9741" s="4"/>
      <c r="D9741" s="4"/>
      <c r="E9741" s="4"/>
      <c r="F9741" s="4"/>
      <c r="G9741" s="4"/>
    </row>
    <row r="9742">
      <c r="A9742" s="4"/>
      <c r="B9742" s="4"/>
      <c r="C9742" s="4"/>
      <c r="D9742" s="4"/>
      <c r="E9742" s="4"/>
      <c r="F9742" s="4"/>
      <c r="G9742" s="4"/>
    </row>
    <row r="9743">
      <c r="A9743" s="4"/>
      <c r="B9743" s="4"/>
      <c r="C9743" s="4"/>
      <c r="D9743" s="4"/>
      <c r="E9743" s="4"/>
      <c r="F9743" s="4"/>
      <c r="G9743" s="4"/>
    </row>
    <row r="9744">
      <c r="A9744" s="4"/>
      <c r="B9744" s="4"/>
      <c r="C9744" s="4"/>
      <c r="D9744" s="4"/>
      <c r="E9744" s="4"/>
      <c r="F9744" s="4"/>
      <c r="G9744" s="4"/>
    </row>
    <row r="9745">
      <c r="A9745" s="4"/>
      <c r="B9745" s="4"/>
      <c r="C9745" s="4"/>
      <c r="D9745" s="4"/>
      <c r="E9745" s="13"/>
      <c r="F9745" s="4"/>
      <c r="G9745" s="4"/>
    </row>
    <row r="9746">
      <c r="A9746" s="4"/>
      <c r="B9746" s="4"/>
      <c r="C9746" s="4"/>
      <c r="D9746" s="4"/>
      <c r="E9746" s="4"/>
      <c r="F9746" s="4"/>
      <c r="G9746" s="4"/>
    </row>
    <row r="9747">
      <c r="A9747" s="4"/>
      <c r="B9747" s="4"/>
      <c r="C9747" s="4"/>
      <c r="D9747" s="4"/>
      <c r="E9747" s="13"/>
      <c r="F9747" s="4"/>
      <c r="G9747" s="4"/>
    </row>
    <row r="9748">
      <c r="A9748" s="4"/>
      <c r="B9748" s="4"/>
      <c r="C9748" s="4"/>
      <c r="D9748" s="4"/>
      <c r="E9748" s="4"/>
      <c r="F9748" s="4"/>
      <c r="G9748" s="4"/>
    </row>
    <row r="9749">
      <c r="A9749" s="4"/>
      <c r="B9749" s="4"/>
      <c r="C9749" s="4"/>
      <c r="D9749" s="4"/>
      <c r="E9749" s="4"/>
      <c r="F9749" s="4"/>
      <c r="G9749" s="4"/>
    </row>
    <row r="9750">
      <c r="A9750" s="4"/>
      <c r="B9750" s="4"/>
      <c r="C9750" s="4"/>
      <c r="D9750" s="4"/>
      <c r="E9750" s="13"/>
      <c r="F9750" s="4"/>
      <c r="G9750" s="4"/>
    </row>
    <row r="9751">
      <c r="A9751" s="4"/>
      <c r="B9751" s="4"/>
      <c r="C9751" s="4"/>
      <c r="D9751" s="4"/>
      <c r="E9751" s="13"/>
      <c r="F9751" s="4"/>
      <c r="G9751" s="4"/>
    </row>
    <row r="9752">
      <c r="A9752" s="4"/>
      <c r="B9752" s="4"/>
      <c r="C9752" s="4"/>
      <c r="D9752" s="4"/>
      <c r="E9752" s="13"/>
      <c r="F9752" s="4"/>
      <c r="G9752" s="4"/>
    </row>
    <row r="9753">
      <c r="A9753" s="4"/>
      <c r="B9753" s="4"/>
      <c r="C9753" s="4"/>
      <c r="D9753" s="4"/>
      <c r="E9753" s="13"/>
      <c r="F9753" s="4"/>
      <c r="G9753" s="4"/>
    </row>
    <row r="9754">
      <c r="A9754" s="4"/>
      <c r="B9754" s="4"/>
      <c r="C9754" s="4"/>
      <c r="D9754" s="4"/>
      <c r="E9754" s="13"/>
      <c r="F9754" s="4"/>
      <c r="G9754" s="4"/>
    </row>
    <row r="9755">
      <c r="A9755" s="4"/>
      <c r="B9755" s="4"/>
      <c r="C9755" s="4"/>
      <c r="D9755" s="4"/>
      <c r="E9755" s="13"/>
      <c r="F9755" s="4"/>
      <c r="G9755" s="4"/>
    </row>
    <row r="9756">
      <c r="A9756" s="4"/>
      <c r="B9756" s="4"/>
      <c r="C9756" s="4"/>
      <c r="D9756" s="4"/>
      <c r="E9756" s="13"/>
      <c r="F9756" s="4"/>
      <c r="G9756" s="4"/>
    </row>
    <row r="9757">
      <c r="A9757" s="4"/>
      <c r="B9757" s="4"/>
      <c r="C9757" s="4"/>
      <c r="D9757" s="4"/>
      <c r="E9757" s="4"/>
      <c r="F9757" s="4"/>
      <c r="G9757" s="4"/>
    </row>
    <row r="9758">
      <c r="A9758" s="4"/>
      <c r="B9758" s="4"/>
      <c r="C9758" s="4"/>
      <c r="D9758" s="4"/>
      <c r="E9758" s="13"/>
      <c r="F9758" s="4"/>
      <c r="G9758" s="4"/>
    </row>
    <row r="9759">
      <c r="A9759" s="4"/>
      <c r="B9759" s="4"/>
      <c r="C9759" s="4"/>
      <c r="D9759" s="4"/>
      <c r="E9759" s="4"/>
      <c r="F9759" s="4"/>
      <c r="G9759" s="4"/>
    </row>
    <row r="9760">
      <c r="A9760" s="4"/>
      <c r="B9760" s="4"/>
      <c r="C9760" s="4"/>
      <c r="D9760" s="4"/>
      <c r="E9760" s="13"/>
      <c r="F9760" s="4"/>
      <c r="G9760" s="4"/>
    </row>
    <row r="9761">
      <c r="A9761" s="4"/>
      <c r="B9761" s="4"/>
      <c r="C9761" s="4"/>
      <c r="D9761" s="4"/>
      <c r="E9761" s="4"/>
      <c r="F9761" s="4"/>
      <c r="G9761" s="4"/>
    </row>
    <row r="9762">
      <c r="A9762" s="4"/>
      <c r="B9762" s="4"/>
      <c r="C9762" s="4"/>
      <c r="D9762" s="4"/>
      <c r="E9762" s="13"/>
      <c r="F9762" s="4"/>
      <c r="G9762" s="4"/>
    </row>
    <row r="9763">
      <c r="A9763" s="4"/>
      <c r="B9763" s="4"/>
      <c r="C9763" s="4"/>
      <c r="D9763" s="4"/>
      <c r="E9763" s="4"/>
      <c r="F9763" s="4"/>
      <c r="G9763" s="4"/>
    </row>
    <row r="9764">
      <c r="A9764" s="4"/>
      <c r="B9764" s="4"/>
      <c r="C9764" s="4"/>
      <c r="D9764" s="4"/>
      <c r="E9764" s="13"/>
      <c r="F9764" s="4"/>
      <c r="G9764" s="4"/>
    </row>
    <row r="9765">
      <c r="A9765" s="4"/>
      <c r="B9765" s="4"/>
      <c r="C9765" s="4"/>
      <c r="D9765" s="4"/>
      <c r="E9765" s="4"/>
      <c r="F9765" s="4"/>
      <c r="G9765" s="4"/>
    </row>
    <row r="9766">
      <c r="A9766" s="4"/>
      <c r="B9766" s="4"/>
      <c r="C9766" s="4"/>
      <c r="D9766" s="4"/>
      <c r="E9766" s="13"/>
      <c r="F9766" s="4"/>
      <c r="G9766" s="4"/>
    </row>
    <row r="9767">
      <c r="A9767" s="4"/>
      <c r="B9767" s="4"/>
      <c r="C9767" s="4"/>
      <c r="D9767" s="4"/>
      <c r="E9767" s="4"/>
      <c r="F9767" s="4"/>
      <c r="G9767" s="4"/>
    </row>
    <row r="9768">
      <c r="A9768" s="4"/>
      <c r="B9768" s="4"/>
      <c r="C9768" s="4"/>
      <c r="D9768" s="13"/>
      <c r="E9768" s="13"/>
      <c r="F9768" s="4"/>
      <c r="G9768" s="4"/>
    </row>
    <row r="9769">
      <c r="A9769" s="4"/>
      <c r="B9769" s="4"/>
      <c r="C9769" s="4"/>
      <c r="D9769" s="4"/>
      <c r="E9769" s="4"/>
      <c r="F9769" s="4"/>
      <c r="G9769" s="4"/>
    </row>
    <row r="9770">
      <c r="A9770" s="4"/>
      <c r="B9770" s="4"/>
      <c r="C9770" s="4"/>
      <c r="D9770" s="4"/>
      <c r="E9770" s="4"/>
      <c r="F9770" s="4"/>
      <c r="G9770" s="4"/>
    </row>
    <row r="9771">
      <c r="A9771" s="4"/>
      <c r="B9771" s="4"/>
      <c r="C9771" s="4"/>
      <c r="D9771" s="4"/>
      <c r="E9771" s="13"/>
      <c r="F9771" s="4"/>
      <c r="G9771" s="4"/>
    </row>
    <row r="9772">
      <c r="A9772" s="4"/>
      <c r="B9772" s="4"/>
      <c r="C9772" s="4"/>
      <c r="D9772" s="13"/>
      <c r="E9772" s="13"/>
      <c r="F9772" s="4"/>
      <c r="G9772" s="4"/>
    </row>
    <row r="9773">
      <c r="A9773" s="4"/>
      <c r="B9773" s="4"/>
      <c r="C9773" s="4"/>
      <c r="D9773" s="4"/>
      <c r="E9773" s="13"/>
      <c r="F9773" s="4"/>
      <c r="G9773" s="4"/>
    </row>
    <row r="9774">
      <c r="A9774" s="4"/>
      <c r="B9774" s="4"/>
      <c r="C9774" s="4"/>
      <c r="D9774" s="4"/>
      <c r="E9774" s="13"/>
      <c r="F9774" s="4"/>
      <c r="G9774" s="4"/>
    </row>
    <row r="9775">
      <c r="A9775" s="4"/>
      <c r="B9775" s="4"/>
      <c r="C9775" s="4"/>
      <c r="D9775" s="4"/>
      <c r="E9775" s="4"/>
      <c r="F9775" s="4"/>
      <c r="G9775" s="4"/>
    </row>
    <row r="9776">
      <c r="A9776" s="4"/>
      <c r="B9776" s="4"/>
      <c r="C9776" s="4"/>
      <c r="D9776" s="4"/>
      <c r="E9776" s="4"/>
      <c r="F9776" s="4"/>
      <c r="G9776" s="4"/>
    </row>
    <row r="9777">
      <c r="A9777" s="4"/>
      <c r="B9777" s="4"/>
      <c r="C9777" s="4"/>
      <c r="D9777" s="4"/>
      <c r="E9777" s="13"/>
      <c r="F9777" s="4"/>
      <c r="G9777" s="4"/>
    </row>
    <row r="9778">
      <c r="A9778" s="4"/>
      <c r="B9778" s="4"/>
      <c r="C9778" s="4"/>
      <c r="D9778" s="13"/>
      <c r="E9778" s="13"/>
      <c r="F9778" s="4"/>
      <c r="G9778" s="4"/>
    </row>
    <row r="9779">
      <c r="A9779" s="4"/>
      <c r="B9779" s="4"/>
      <c r="C9779" s="4"/>
      <c r="D9779" s="4"/>
      <c r="E9779" s="4"/>
      <c r="F9779" s="4"/>
      <c r="G9779" s="4"/>
    </row>
    <row r="9780">
      <c r="A9780" s="4"/>
      <c r="B9780" s="4"/>
      <c r="C9780" s="4"/>
      <c r="D9780" s="4"/>
      <c r="E9780" s="4"/>
      <c r="F9780" s="4"/>
      <c r="G9780" s="4"/>
    </row>
    <row r="9781">
      <c r="A9781" s="4"/>
      <c r="B9781" s="4"/>
      <c r="C9781" s="4"/>
      <c r="D9781" s="4"/>
      <c r="E9781" s="4"/>
      <c r="F9781" s="4"/>
      <c r="G9781" s="4"/>
    </row>
    <row r="9782">
      <c r="A9782" s="4"/>
      <c r="B9782" s="4"/>
      <c r="C9782" s="4"/>
      <c r="D9782" s="4"/>
      <c r="E9782" s="4"/>
      <c r="F9782" s="4"/>
      <c r="G9782" s="4"/>
    </row>
    <row r="9783">
      <c r="A9783" s="4"/>
      <c r="B9783" s="4"/>
      <c r="C9783" s="4"/>
      <c r="D9783" s="13"/>
      <c r="E9783" s="13"/>
      <c r="F9783" s="4"/>
      <c r="G9783" s="4"/>
    </row>
    <row r="9784">
      <c r="A9784" s="4"/>
      <c r="B9784" s="4"/>
      <c r="C9784" s="4"/>
      <c r="D9784" s="13"/>
      <c r="E9784" s="13"/>
      <c r="F9784" s="4"/>
      <c r="G9784" s="4"/>
    </row>
    <row r="9785">
      <c r="A9785" s="4"/>
      <c r="B9785" s="4"/>
      <c r="C9785" s="4"/>
      <c r="D9785" s="4"/>
      <c r="E9785" s="13"/>
      <c r="F9785" s="4"/>
      <c r="G9785" s="4"/>
    </row>
    <row r="9786">
      <c r="A9786" s="4"/>
      <c r="B9786" s="4"/>
      <c r="C9786" s="4"/>
      <c r="D9786" s="13"/>
      <c r="E9786" s="4"/>
      <c r="F9786" s="4"/>
      <c r="G9786" s="4"/>
    </row>
    <row r="9787">
      <c r="A9787" s="4"/>
      <c r="B9787" s="4"/>
      <c r="C9787" s="4"/>
      <c r="D9787" s="4"/>
      <c r="E9787" s="4"/>
      <c r="F9787" s="4"/>
      <c r="G9787" s="4"/>
    </row>
    <row r="9788">
      <c r="A9788" s="4"/>
      <c r="B9788" s="4"/>
      <c r="C9788" s="4"/>
      <c r="D9788" s="13"/>
      <c r="E9788" s="13"/>
      <c r="F9788" s="4"/>
      <c r="G9788" s="4"/>
    </row>
    <row r="9789">
      <c r="A9789" s="4"/>
      <c r="B9789" s="4"/>
      <c r="C9789" s="4"/>
      <c r="D9789" s="4"/>
      <c r="E9789" s="4"/>
      <c r="F9789" s="4"/>
      <c r="G9789" s="4"/>
    </row>
    <row r="9790">
      <c r="A9790" s="4"/>
      <c r="B9790" s="4"/>
      <c r="C9790" s="4"/>
      <c r="D9790" s="4"/>
      <c r="E9790" s="13"/>
      <c r="F9790" s="4"/>
      <c r="G9790" s="4"/>
    </row>
    <row r="9791">
      <c r="A9791" s="4"/>
      <c r="B9791" s="4"/>
      <c r="C9791" s="4"/>
      <c r="D9791" s="4"/>
      <c r="E9791" s="4"/>
      <c r="F9791" s="4"/>
      <c r="G9791" s="4"/>
    </row>
    <row r="9792">
      <c r="A9792" s="4"/>
      <c r="B9792" s="4"/>
      <c r="C9792" s="4"/>
      <c r="D9792" s="13"/>
      <c r="E9792" s="4"/>
      <c r="F9792" s="4"/>
      <c r="G9792" s="4"/>
    </row>
    <row r="9793">
      <c r="A9793" s="4"/>
      <c r="B9793" s="4"/>
      <c r="C9793" s="4"/>
      <c r="D9793" s="13"/>
      <c r="E9793" s="4"/>
      <c r="F9793" s="4"/>
      <c r="G9793" s="4"/>
    </row>
    <row r="9794">
      <c r="A9794" s="4"/>
      <c r="B9794" s="4"/>
      <c r="C9794" s="4"/>
      <c r="D9794" s="13"/>
      <c r="E9794" s="4"/>
      <c r="F9794" s="4"/>
      <c r="G9794" s="4"/>
    </row>
    <row r="9795">
      <c r="A9795" s="4"/>
      <c r="B9795" s="4"/>
      <c r="C9795" s="4"/>
      <c r="D9795" s="13"/>
      <c r="E9795" s="13"/>
      <c r="F9795" s="4"/>
      <c r="G9795" s="4"/>
    </row>
    <row r="9796">
      <c r="A9796" s="4"/>
      <c r="B9796" s="4"/>
      <c r="C9796" s="4"/>
      <c r="D9796" s="4"/>
      <c r="E9796" s="13"/>
      <c r="F9796" s="4"/>
      <c r="G9796" s="4"/>
    </row>
    <row r="9797">
      <c r="A9797" s="4"/>
      <c r="B9797" s="4"/>
      <c r="C9797" s="4"/>
      <c r="D9797" s="13"/>
      <c r="E9797" s="13"/>
      <c r="F9797" s="4"/>
      <c r="G9797" s="4"/>
    </row>
    <row r="9798">
      <c r="A9798" s="4"/>
      <c r="B9798" s="4"/>
      <c r="C9798" s="4"/>
      <c r="D9798" s="4"/>
      <c r="E9798" s="13"/>
      <c r="F9798" s="4"/>
      <c r="G9798" s="4"/>
    </row>
    <row r="9799">
      <c r="A9799" s="4"/>
      <c r="B9799" s="4"/>
      <c r="C9799" s="4"/>
      <c r="D9799" s="4"/>
      <c r="E9799" s="4"/>
      <c r="F9799" s="4"/>
      <c r="G9799" s="4"/>
    </row>
    <row r="9800">
      <c r="A9800" s="4"/>
      <c r="B9800" s="4"/>
      <c r="C9800" s="4"/>
      <c r="D9800" s="13"/>
      <c r="E9800" s="13"/>
      <c r="F9800" s="4"/>
      <c r="G9800" s="4"/>
    </row>
    <row r="9801">
      <c r="A9801" s="4"/>
      <c r="B9801" s="4"/>
      <c r="C9801" s="4"/>
      <c r="D9801" s="4"/>
      <c r="E9801" s="4"/>
      <c r="F9801" s="4"/>
      <c r="G9801" s="4"/>
    </row>
    <row r="9802">
      <c r="A9802" s="4"/>
      <c r="B9802" s="4"/>
      <c r="C9802" s="4"/>
      <c r="D9802" s="4"/>
      <c r="E9802" s="4"/>
      <c r="F9802" s="4"/>
      <c r="G9802" s="4"/>
    </row>
    <row r="9803">
      <c r="A9803" s="4"/>
      <c r="B9803" s="4"/>
      <c r="C9803" s="4"/>
      <c r="D9803" s="4"/>
      <c r="E9803" s="4"/>
      <c r="F9803" s="4"/>
      <c r="G9803" s="4"/>
    </row>
    <row r="9804">
      <c r="A9804" s="4"/>
      <c r="B9804" s="4"/>
      <c r="C9804" s="4"/>
      <c r="D9804" s="4"/>
      <c r="E9804" s="4"/>
      <c r="F9804" s="4"/>
      <c r="G9804" s="4"/>
    </row>
    <row r="9805">
      <c r="A9805" s="4"/>
      <c r="B9805" s="4"/>
      <c r="C9805" s="4"/>
      <c r="D9805" s="4"/>
      <c r="E9805" s="4"/>
      <c r="F9805" s="4"/>
      <c r="G9805" s="4"/>
    </row>
    <row r="9806">
      <c r="A9806" s="4"/>
      <c r="B9806" s="4"/>
      <c r="C9806" s="4"/>
      <c r="D9806" s="4"/>
      <c r="E9806" s="13"/>
      <c r="F9806" s="4"/>
      <c r="G9806" s="4"/>
    </row>
    <row r="9807">
      <c r="A9807" s="4"/>
      <c r="B9807" s="4"/>
      <c r="C9807" s="4"/>
      <c r="D9807" s="4"/>
      <c r="E9807" s="4"/>
      <c r="F9807" s="4"/>
      <c r="G9807" s="4"/>
    </row>
    <row r="9808">
      <c r="A9808" s="4"/>
      <c r="B9808" s="4"/>
      <c r="C9808" s="4"/>
      <c r="D9808" s="4"/>
      <c r="E9808" s="13"/>
      <c r="F9808" s="4"/>
      <c r="G9808" s="4"/>
    </row>
    <row r="9809">
      <c r="A9809" s="4"/>
      <c r="B9809" s="4"/>
      <c r="C9809" s="4"/>
      <c r="D9809" s="4"/>
      <c r="E9809" s="4"/>
      <c r="F9809" s="4"/>
      <c r="G9809" s="4"/>
    </row>
    <row r="9810">
      <c r="A9810" s="4"/>
      <c r="B9810" s="4"/>
      <c r="C9810" s="4"/>
      <c r="D9810" s="4"/>
      <c r="E9810" s="13"/>
      <c r="F9810" s="4"/>
      <c r="G9810" s="4"/>
    </row>
    <row r="9811">
      <c r="A9811" s="4"/>
      <c r="B9811" s="4"/>
      <c r="C9811" s="4"/>
      <c r="D9811" s="4"/>
      <c r="E9811" s="4"/>
      <c r="F9811" s="4"/>
      <c r="G9811" s="4"/>
    </row>
    <row r="9812">
      <c r="A9812" s="4"/>
      <c r="B9812" s="4"/>
      <c r="C9812" s="4"/>
      <c r="D9812" s="4"/>
      <c r="E9812" s="13"/>
      <c r="F9812" s="4"/>
      <c r="G9812" s="4"/>
    </row>
    <row r="9813">
      <c r="A9813" s="4"/>
      <c r="B9813" s="4"/>
      <c r="C9813" s="4"/>
      <c r="D9813" s="4"/>
      <c r="E9813" s="4"/>
      <c r="F9813" s="4"/>
      <c r="G9813" s="4"/>
    </row>
    <row r="9814">
      <c r="A9814" s="4"/>
      <c r="B9814" s="4"/>
      <c r="C9814" s="4"/>
      <c r="D9814" s="4"/>
      <c r="E9814" s="4"/>
      <c r="F9814" s="4"/>
      <c r="G9814" s="4"/>
    </row>
    <row r="9815">
      <c r="A9815" s="4"/>
      <c r="B9815" s="4"/>
      <c r="C9815" s="4"/>
      <c r="D9815" s="4"/>
      <c r="E9815" s="4"/>
      <c r="F9815" s="4"/>
      <c r="G9815" s="4"/>
    </row>
    <row r="9816">
      <c r="A9816" s="4"/>
      <c r="B9816" s="4"/>
      <c r="C9816" s="4"/>
      <c r="D9816" s="4"/>
      <c r="E9816" s="4"/>
      <c r="F9816" s="4"/>
      <c r="G9816" s="4"/>
    </row>
    <row r="9817">
      <c r="A9817" s="4"/>
      <c r="B9817" s="4"/>
      <c r="C9817" s="4"/>
      <c r="D9817" s="4"/>
      <c r="E9817" s="4"/>
      <c r="F9817" s="4"/>
      <c r="G9817" s="4"/>
    </row>
    <row r="9818">
      <c r="A9818" s="4"/>
      <c r="B9818" s="4"/>
      <c r="C9818" s="4"/>
      <c r="D9818" s="4"/>
      <c r="E9818" s="13"/>
      <c r="F9818" s="4"/>
      <c r="G9818" s="4"/>
    </row>
    <row r="9819">
      <c r="A9819" s="4"/>
      <c r="B9819" s="4"/>
      <c r="C9819" s="4"/>
      <c r="D9819" s="4"/>
      <c r="E9819" s="13"/>
      <c r="F9819" s="4"/>
      <c r="G9819" s="4"/>
    </row>
    <row r="9820">
      <c r="A9820" s="4"/>
      <c r="B9820" s="4"/>
      <c r="C9820" s="4"/>
      <c r="D9820" s="4"/>
      <c r="E9820" s="4"/>
      <c r="F9820" s="4"/>
      <c r="G9820" s="4"/>
    </row>
    <row r="9821">
      <c r="A9821" s="4"/>
      <c r="B9821" s="4"/>
      <c r="C9821" s="4"/>
      <c r="D9821" s="4"/>
      <c r="E9821" s="13"/>
      <c r="F9821" s="4"/>
      <c r="G9821" s="4"/>
    </row>
    <row r="9822">
      <c r="A9822" s="4"/>
      <c r="B9822" s="4"/>
      <c r="C9822" s="4"/>
      <c r="D9822" s="4"/>
      <c r="E9822" s="4"/>
      <c r="F9822" s="4"/>
      <c r="G9822" s="4"/>
    </row>
    <row r="9823">
      <c r="A9823" s="4"/>
      <c r="B9823" s="4"/>
      <c r="C9823" s="4"/>
      <c r="D9823" s="4"/>
      <c r="E9823" s="4"/>
      <c r="F9823" s="4"/>
      <c r="G9823" s="4"/>
    </row>
    <row r="9824">
      <c r="A9824" s="4"/>
      <c r="B9824" s="4"/>
      <c r="C9824" s="4"/>
      <c r="D9824" s="4"/>
      <c r="E9824" s="13"/>
      <c r="F9824" s="4"/>
      <c r="G9824" s="4"/>
    </row>
    <row r="9825">
      <c r="A9825" s="4"/>
      <c r="B9825" s="4"/>
      <c r="C9825" s="4"/>
      <c r="D9825" s="4"/>
      <c r="E9825" s="13"/>
      <c r="F9825" s="4"/>
      <c r="G9825" s="4"/>
    </row>
    <row r="9826">
      <c r="A9826" s="4"/>
      <c r="B9826" s="4"/>
      <c r="C9826" s="4"/>
      <c r="D9826" s="4"/>
      <c r="E9826" s="4"/>
      <c r="F9826" s="4"/>
      <c r="G9826" s="4"/>
    </row>
    <row r="9827">
      <c r="A9827" s="4"/>
      <c r="B9827" s="4"/>
      <c r="C9827" s="4"/>
      <c r="D9827" s="4"/>
      <c r="E9827" s="4"/>
      <c r="F9827" s="4"/>
      <c r="G9827" s="4"/>
    </row>
    <row r="9828">
      <c r="A9828" s="4"/>
      <c r="B9828" s="4"/>
      <c r="C9828" s="4"/>
      <c r="D9828" s="4"/>
      <c r="E9828" s="13"/>
      <c r="F9828" s="4"/>
      <c r="G9828" s="4"/>
    </row>
    <row r="9829">
      <c r="A9829" s="4"/>
      <c r="B9829" s="4"/>
      <c r="C9829" s="4"/>
      <c r="D9829" s="4"/>
      <c r="E9829" s="4"/>
      <c r="F9829" s="4"/>
      <c r="G9829" s="4"/>
    </row>
    <row r="9830">
      <c r="A9830" s="4"/>
      <c r="B9830" s="4"/>
      <c r="C9830" s="4"/>
      <c r="D9830" s="4"/>
      <c r="E9830" s="13"/>
      <c r="F9830" s="4"/>
      <c r="G9830" s="4"/>
    </row>
    <row r="9831">
      <c r="A9831" s="4"/>
      <c r="B9831" s="4"/>
      <c r="C9831" s="4"/>
      <c r="D9831" s="4"/>
      <c r="E9831" s="4"/>
      <c r="F9831" s="4"/>
      <c r="G9831" s="4"/>
    </row>
    <row r="9832">
      <c r="A9832" s="4"/>
      <c r="B9832" s="4"/>
      <c r="C9832" s="4"/>
      <c r="D9832" s="4"/>
      <c r="E9832" s="4"/>
      <c r="F9832" s="4"/>
      <c r="G9832" s="4"/>
    </row>
    <row r="9833">
      <c r="A9833" s="4"/>
      <c r="B9833" s="4"/>
      <c r="C9833" s="4"/>
      <c r="D9833" s="4"/>
      <c r="E9833" s="4"/>
      <c r="F9833" s="4"/>
      <c r="G9833" s="4"/>
    </row>
    <row r="9834">
      <c r="A9834" s="4"/>
      <c r="B9834" s="4"/>
      <c r="C9834" s="4"/>
      <c r="D9834" s="4"/>
      <c r="E9834" s="4"/>
      <c r="F9834" s="4"/>
      <c r="G9834" s="4"/>
    </row>
    <row r="9835">
      <c r="A9835" s="4"/>
      <c r="B9835" s="4"/>
      <c r="C9835" s="4"/>
      <c r="D9835" s="4"/>
      <c r="E9835" s="4"/>
      <c r="F9835" s="4"/>
      <c r="G9835" s="4"/>
    </row>
    <row r="9836">
      <c r="A9836" s="4"/>
      <c r="B9836" s="4"/>
      <c r="C9836" s="4"/>
      <c r="D9836" s="4"/>
      <c r="E9836" s="13"/>
      <c r="F9836" s="4"/>
      <c r="G9836" s="4"/>
    </row>
    <row r="9837">
      <c r="A9837" s="4"/>
      <c r="B9837" s="4"/>
      <c r="C9837" s="4"/>
      <c r="D9837" s="4"/>
      <c r="E9837" s="13"/>
      <c r="F9837" s="4"/>
      <c r="G9837" s="4"/>
    </row>
    <row r="9838">
      <c r="A9838" s="4"/>
      <c r="B9838" s="4"/>
      <c r="C9838" s="4"/>
      <c r="D9838" s="4"/>
      <c r="E9838" s="13"/>
      <c r="F9838" s="4"/>
      <c r="G9838" s="4"/>
    </row>
    <row r="9839">
      <c r="A9839" s="4"/>
      <c r="B9839" s="4"/>
      <c r="C9839" s="4"/>
      <c r="D9839" s="4"/>
      <c r="E9839" s="4"/>
      <c r="F9839" s="4"/>
      <c r="G9839" s="4"/>
    </row>
    <row r="9840">
      <c r="A9840" s="4"/>
      <c r="B9840" s="4"/>
      <c r="C9840" s="4"/>
      <c r="D9840" s="4"/>
      <c r="E9840" s="13"/>
      <c r="F9840" s="4"/>
      <c r="G9840" s="4"/>
    </row>
    <row r="9841">
      <c r="A9841" s="4"/>
      <c r="B9841" s="4"/>
      <c r="C9841" s="4"/>
      <c r="D9841" s="4"/>
      <c r="E9841" s="4"/>
      <c r="F9841" s="4"/>
      <c r="G9841" s="4"/>
    </row>
    <row r="9842">
      <c r="A9842" s="4"/>
      <c r="B9842" s="4"/>
      <c r="C9842" s="4"/>
      <c r="D9842" s="4"/>
      <c r="E9842" s="4"/>
      <c r="F9842" s="4"/>
      <c r="G9842" s="4"/>
    </row>
    <row r="9843">
      <c r="A9843" s="4"/>
      <c r="B9843" s="4"/>
      <c r="C9843" s="4"/>
      <c r="D9843" s="4"/>
      <c r="E9843" s="13"/>
      <c r="F9843" s="4"/>
      <c r="G9843" s="4"/>
    </row>
    <row r="9844">
      <c r="A9844" s="4"/>
      <c r="B9844" s="4"/>
      <c r="C9844" s="4"/>
      <c r="D9844" s="4"/>
      <c r="E9844" s="13"/>
      <c r="F9844" s="4"/>
      <c r="G9844" s="4"/>
    </row>
    <row r="9845">
      <c r="A9845" s="4"/>
      <c r="B9845" s="4"/>
      <c r="C9845" s="4"/>
      <c r="D9845" s="4"/>
      <c r="E9845" s="4"/>
      <c r="F9845" s="4"/>
      <c r="G9845" s="4"/>
    </row>
    <row r="9846">
      <c r="A9846" s="4"/>
      <c r="B9846" s="4"/>
      <c r="C9846" s="4"/>
      <c r="D9846" s="4"/>
      <c r="E9846" s="4"/>
      <c r="F9846" s="4"/>
      <c r="G9846" s="4"/>
    </row>
    <row r="9847">
      <c r="A9847" s="4"/>
      <c r="B9847" s="4"/>
      <c r="C9847" s="4"/>
      <c r="D9847" s="4"/>
      <c r="E9847" s="4"/>
      <c r="F9847" s="4"/>
      <c r="G9847" s="4"/>
    </row>
    <row r="9848">
      <c r="A9848" s="4"/>
      <c r="B9848" s="4"/>
      <c r="C9848" s="4"/>
      <c r="D9848" s="4"/>
      <c r="E9848" s="4"/>
      <c r="F9848" s="4"/>
      <c r="G9848" s="4"/>
    </row>
    <row r="9849">
      <c r="A9849" s="4"/>
      <c r="B9849" s="4"/>
      <c r="C9849" s="4"/>
      <c r="D9849" s="4"/>
      <c r="E9849" s="13"/>
      <c r="F9849" s="4"/>
      <c r="G9849" s="4"/>
    </row>
    <row r="9850">
      <c r="A9850" s="4"/>
      <c r="B9850" s="4"/>
      <c r="C9850" s="4"/>
      <c r="D9850" s="4"/>
      <c r="E9850" s="4"/>
      <c r="F9850" s="4"/>
      <c r="G9850" s="4"/>
    </row>
    <row r="9851">
      <c r="A9851" s="4"/>
      <c r="B9851" s="4"/>
      <c r="C9851" s="4"/>
      <c r="D9851" s="4"/>
      <c r="E9851" s="4"/>
      <c r="F9851" s="4"/>
      <c r="G9851" s="4"/>
    </row>
    <row r="9852">
      <c r="A9852" s="4"/>
      <c r="B9852" s="4"/>
      <c r="C9852" s="4"/>
      <c r="D9852" s="4"/>
      <c r="E9852" s="4"/>
      <c r="F9852" s="4"/>
      <c r="G9852" s="4"/>
    </row>
    <row r="9853">
      <c r="A9853" s="4"/>
      <c r="B9853" s="4"/>
      <c r="C9853" s="4"/>
      <c r="D9853" s="4"/>
      <c r="E9853" s="13"/>
      <c r="F9853" s="4"/>
      <c r="G9853" s="4"/>
    </row>
    <row r="9854">
      <c r="A9854" s="4"/>
      <c r="B9854" s="4"/>
      <c r="C9854" s="4"/>
      <c r="D9854" s="13"/>
      <c r="E9854" s="4"/>
      <c r="F9854" s="4"/>
      <c r="G9854" s="4"/>
    </row>
    <row r="9855">
      <c r="A9855" s="4"/>
      <c r="B9855" s="4"/>
      <c r="C9855" s="4"/>
      <c r="D9855" s="4"/>
      <c r="E9855" s="4"/>
      <c r="F9855" s="4"/>
      <c r="G9855" s="4"/>
    </row>
    <row r="9856">
      <c r="A9856" s="4"/>
      <c r="B9856" s="4"/>
      <c r="C9856" s="4"/>
      <c r="D9856" s="4"/>
      <c r="E9856" s="4"/>
      <c r="F9856" s="4"/>
      <c r="G9856" s="4"/>
    </row>
    <row r="9857">
      <c r="A9857" s="4"/>
      <c r="B9857" s="4"/>
      <c r="C9857" s="4"/>
      <c r="D9857" s="13"/>
      <c r="E9857" s="13"/>
      <c r="F9857" s="4"/>
      <c r="G9857" s="4"/>
    </row>
    <row r="9858">
      <c r="A9858" s="4"/>
      <c r="B9858" s="4"/>
      <c r="C9858" s="4"/>
      <c r="D9858" s="4"/>
      <c r="E9858" s="4"/>
      <c r="F9858" s="4"/>
      <c r="G9858" s="4"/>
    </row>
    <row r="9859">
      <c r="A9859" s="4"/>
      <c r="B9859" s="4"/>
      <c r="C9859" s="4"/>
      <c r="D9859" s="4"/>
      <c r="E9859" s="4"/>
      <c r="F9859" s="4"/>
      <c r="G9859" s="4"/>
    </row>
    <row r="9860">
      <c r="A9860" s="4"/>
      <c r="B9860" s="4"/>
      <c r="C9860" s="4"/>
      <c r="D9860" s="4"/>
      <c r="E9860" s="4"/>
      <c r="F9860" s="4"/>
      <c r="G9860" s="4"/>
    </row>
    <row r="9861">
      <c r="A9861" s="4"/>
      <c r="B9861" s="4"/>
      <c r="C9861" s="4"/>
      <c r="D9861" s="4"/>
      <c r="E9861" s="4"/>
      <c r="F9861" s="4"/>
      <c r="G9861" s="4"/>
    </row>
    <row r="9862">
      <c r="A9862" s="4"/>
      <c r="B9862" s="4"/>
      <c r="C9862" s="4"/>
      <c r="D9862" s="4"/>
      <c r="E9862" s="4"/>
      <c r="F9862" s="4"/>
      <c r="G9862" s="4"/>
    </row>
    <row r="9863">
      <c r="A9863" s="4"/>
      <c r="B9863" s="4"/>
      <c r="C9863" s="4"/>
      <c r="D9863" s="13"/>
      <c r="E9863" s="13"/>
      <c r="F9863" s="4"/>
      <c r="G9863" s="4"/>
    </row>
    <row r="9864">
      <c r="A9864" s="4"/>
      <c r="B9864" s="4"/>
      <c r="C9864" s="4"/>
      <c r="D9864" s="4"/>
      <c r="E9864" s="4"/>
      <c r="F9864" s="4"/>
      <c r="G9864" s="4"/>
    </row>
    <row r="9865">
      <c r="A9865" s="4"/>
      <c r="B9865" s="4"/>
      <c r="C9865" s="4"/>
      <c r="D9865" s="4"/>
      <c r="E9865" s="13"/>
      <c r="F9865" s="4"/>
      <c r="G9865" s="4"/>
    </row>
    <row r="9866">
      <c r="A9866" s="4"/>
      <c r="B9866" s="4"/>
      <c r="C9866" s="4"/>
      <c r="D9866" s="4"/>
      <c r="E9866" s="13"/>
      <c r="F9866" s="4"/>
      <c r="G9866" s="4"/>
    </row>
    <row r="9867">
      <c r="A9867" s="4"/>
      <c r="B9867" s="4"/>
      <c r="C9867" s="4"/>
      <c r="D9867" s="4"/>
      <c r="E9867" s="13"/>
      <c r="F9867" s="4"/>
      <c r="G9867" s="4"/>
    </row>
    <row r="9868">
      <c r="A9868" s="4"/>
      <c r="B9868" s="4"/>
      <c r="C9868" s="4"/>
      <c r="D9868" s="4"/>
      <c r="E9868" s="13"/>
      <c r="F9868" s="4"/>
      <c r="G9868" s="4"/>
    </row>
    <row r="9869">
      <c r="A9869" s="4"/>
      <c r="B9869" s="4"/>
      <c r="C9869" s="4"/>
      <c r="D9869" s="4"/>
      <c r="E9869" s="4"/>
      <c r="F9869" s="4"/>
      <c r="G9869" s="4"/>
    </row>
    <row r="9870">
      <c r="A9870" s="4"/>
      <c r="B9870" s="4"/>
      <c r="C9870" s="4"/>
      <c r="D9870" s="13"/>
      <c r="E9870" s="13"/>
      <c r="F9870" s="4"/>
      <c r="G9870" s="4"/>
    </row>
    <row r="9871">
      <c r="A9871" s="4"/>
      <c r="B9871" s="4"/>
      <c r="C9871" s="4"/>
      <c r="D9871" s="4"/>
      <c r="E9871" s="4"/>
      <c r="F9871" s="4"/>
      <c r="G9871" s="4"/>
    </row>
    <row r="9872">
      <c r="A9872" s="4"/>
      <c r="B9872" s="4"/>
      <c r="C9872" s="4"/>
      <c r="D9872" s="4"/>
      <c r="E9872" s="4"/>
      <c r="F9872" s="4"/>
      <c r="G9872" s="4"/>
    </row>
    <row r="9873">
      <c r="A9873" s="4"/>
      <c r="B9873" s="4"/>
      <c r="C9873" s="4"/>
      <c r="D9873" s="13"/>
      <c r="E9873" s="13"/>
      <c r="F9873" s="4"/>
      <c r="G9873" s="4"/>
    </row>
    <row r="9874">
      <c r="A9874" s="4"/>
      <c r="B9874" s="4"/>
      <c r="C9874" s="4"/>
      <c r="D9874" s="4"/>
      <c r="E9874" s="13"/>
      <c r="F9874" s="4"/>
      <c r="G9874" s="4"/>
    </row>
    <row r="9875">
      <c r="A9875" s="4"/>
      <c r="B9875" s="4"/>
      <c r="C9875" s="4"/>
      <c r="D9875" s="13"/>
      <c r="E9875" s="4"/>
      <c r="F9875" s="4"/>
      <c r="G9875" s="4"/>
    </row>
    <row r="9876">
      <c r="A9876" s="4"/>
      <c r="B9876" s="4"/>
      <c r="C9876" s="4"/>
      <c r="D9876" s="13"/>
      <c r="E9876" s="4"/>
      <c r="F9876" s="4"/>
      <c r="G9876" s="4"/>
    </row>
    <row r="9877">
      <c r="A9877" s="4"/>
      <c r="B9877" s="4"/>
      <c r="C9877" s="4"/>
      <c r="D9877" s="4"/>
      <c r="E9877" s="4"/>
      <c r="F9877" s="4"/>
      <c r="G9877" s="4"/>
    </row>
    <row r="9878">
      <c r="A9878" s="4"/>
      <c r="B9878" s="4"/>
      <c r="C9878" s="4"/>
      <c r="D9878" s="13"/>
      <c r="E9878" s="4"/>
      <c r="F9878" s="4"/>
      <c r="G9878" s="4"/>
    </row>
    <row r="9879">
      <c r="A9879" s="4"/>
      <c r="B9879" s="4"/>
      <c r="C9879" s="4"/>
      <c r="D9879" s="4"/>
      <c r="E9879" s="4"/>
      <c r="F9879" s="4"/>
      <c r="G9879" s="4"/>
    </row>
    <row r="9880">
      <c r="A9880" s="4"/>
      <c r="B9880" s="4"/>
      <c r="C9880" s="4"/>
      <c r="D9880" s="4"/>
      <c r="E9880" s="13"/>
      <c r="F9880" s="4"/>
      <c r="G9880" s="4"/>
    </row>
    <row r="9881">
      <c r="A9881" s="4"/>
      <c r="B9881" s="4"/>
      <c r="C9881" s="4"/>
      <c r="D9881" s="13"/>
      <c r="E9881" s="13"/>
      <c r="F9881" s="4"/>
      <c r="G9881" s="4"/>
    </row>
    <row r="9882">
      <c r="A9882" s="4"/>
      <c r="B9882" s="4"/>
      <c r="C9882" s="4"/>
      <c r="D9882" s="4"/>
      <c r="E9882" s="13"/>
      <c r="F9882" s="4"/>
      <c r="G9882" s="4"/>
    </row>
    <row r="9883">
      <c r="A9883" s="4"/>
      <c r="B9883" s="4"/>
      <c r="C9883" s="4"/>
      <c r="D9883" s="4"/>
      <c r="E9883" s="4"/>
      <c r="F9883" s="4"/>
      <c r="G9883" s="4"/>
    </row>
    <row r="9884">
      <c r="A9884" s="4"/>
      <c r="B9884" s="4"/>
      <c r="C9884" s="4"/>
      <c r="D9884" s="4"/>
      <c r="E9884" s="13"/>
      <c r="F9884" s="4"/>
      <c r="G9884" s="4"/>
    </row>
    <row r="9885">
      <c r="A9885" s="4"/>
      <c r="B9885" s="4"/>
      <c r="C9885" s="4"/>
      <c r="D9885" s="4"/>
      <c r="E9885" s="4"/>
      <c r="F9885" s="4"/>
      <c r="G9885" s="4"/>
    </row>
    <row r="9886">
      <c r="A9886" s="4"/>
      <c r="B9886" s="4"/>
      <c r="C9886" s="4"/>
      <c r="D9886" s="4"/>
      <c r="E9886" s="13"/>
      <c r="F9886" s="4"/>
      <c r="G9886" s="4"/>
    </row>
    <row r="9887">
      <c r="A9887" s="4"/>
      <c r="B9887" s="4"/>
      <c r="C9887" s="4"/>
      <c r="D9887" s="4"/>
      <c r="E9887" s="13"/>
      <c r="F9887" s="4"/>
      <c r="G9887" s="4"/>
    </row>
    <row r="9888">
      <c r="A9888" s="4"/>
      <c r="B9888" s="4"/>
      <c r="C9888" s="4"/>
      <c r="D9888" s="4"/>
      <c r="E9888" s="4"/>
      <c r="F9888" s="4"/>
      <c r="G9888" s="4"/>
    </row>
    <row r="9889">
      <c r="A9889" s="4"/>
      <c r="B9889" s="4"/>
      <c r="C9889" s="4"/>
      <c r="D9889" s="4"/>
      <c r="E9889" s="4"/>
      <c r="F9889" s="4"/>
      <c r="G9889" s="4"/>
    </row>
    <row r="9890">
      <c r="A9890" s="4"/>
      <c r="B9890" s="4"/>
      <c r="C9890" s="4"/>
      <c r="D9890" s="4"/>
      <c r="E9890" s="13"/>
      <c r="F9890" s="4"/>
      <c r="G9890" s="4"/>
    </row>
  </sheetData>
  <hyperlinks>
    <hyperlink r:id="rId2" ref="C1"/>
  </hyperlinks>
  <drawing r:id="rId3"/>
  <legacy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0"/>
    <col customWidth="1" min="2" max="2" width="60.63"/>
    <col customWidth="1" min="3" max="3" width="26.88"/>
    <col customWidth="1" min="4" max="4" width="25.0"/>
    <col customWidth="1" min="5" max="5" width="25.5"/>
    <col customWidth="1" min="6" max="6" width="25.75"/>
    <col customWidth="1" min="7" max="7" width="25.38"/>
    <col customWidth="1" min="8" max="8" width="12.88"/>
    <col customWidth="1" min="19" max="19" width="31.75"/>
    <col customWidth="1" min="20" max="20" width="32.25"/>
  </cols>
  <sheetData>
    <row r="1">
      <c r="A1" s="2" t="s">
        <v>1</v>
      </c>
      <c r="B1" s="2" t="s">
        <v>4</v>
      </c>
      <c r="C1" s="5" t="s">
        <v>10</v>
      </c>
      <c r="D1" s="2" t="s">
        <v>58</v>
      </c>
      <c r="E1" s="2" t="s">
        <v>61</v>
      </c>
      <c r="F1" s="2" t="s">
        <v>67</v>
      </c>
      <c r="G1" s="2" t="s">
        <v>70</v>
      </c>
      <c r="H1" s="2" t="s">
        <v>73</v>
      </c>
      <c r="I1" s="2" t="s">
        <v>75</v>
      </c>
      <c r="J1" s="2" t="s">
        <v>78</v>
      </c>
      <c r="K1" s="2" t="s">
        <v>80</v>
      </c>
      <c r="L1" s="2" t="s">
        <v>82</v>
      </c>
      <c r="M1" s="2" t="s">
        <v>84</v>
      </c>
      <c r="N1" s="2" t="s">
        <v>86</v>
      </c>
      <c r="O1" s="2" t="s">
        <v>91</v>
      </c>
      <c r="P1" s="2" t="s">
        <v>94</v>
      </c>
      <c r="Q1" s="2" t="s">
        <v>97</v>
      </c>
      <c r="R1" s="2" t="s">
        <v>101</v>
      </c>
      <c r="S1" s="2" t="s">
        <v>104</v>
      </c>
      <c r="T1" s="2" t="s">
        <v>106</v>
      </c>
      <c r="U1" s="2" t="s">
        <v>110</v>
      </c>
      <c r="V1" s="4"/>
      <c r="W1" s="4"/>
      <c r="X1" s="4"/>
    </row>
    <row r="2">
      <c r="A2" s="1" t="s">
        <v>113</v>
      </c>
      <c r="B2" s="1" t="s">
        <v>116</v>
      </c>
      <c r="C2" s="1" t="s">
        <v>117</v>
      </c>
      <c r="D2" s="1" t="s">
        <v>118</v>
      </c>
      <c r="E2" s="1" t="s">
        <v>119</v>
      </c>
      <c r="F2" s="1" t="s">
        <v>120</v>
      </c>
      <c r="G2" s="1" t="s">
        <v>120</v>
      </c>
      <c r="H2" s="3">
        <v>46237.0</v>
      </c>
      <c r="I2" s="3">
        <v>46579.0</v>
      </c>
      <c r="J2" s="4"/>
      <c r="K2" s="1" t="s">
        <v>124</v>
      </c>
      <c r="L2" s="1" t="s">
        <v>71</v>
      </c>
      <c r="M2" s="1" t="s">
        <v>162</v>
      </c>
      <c r="N2" s="1" t="s">
        <v>131</v>
      </c>
      <c r="O2" s="4"/>
      <c r="P2" s="1" t="s">
        <v>134</v>
      </c>
      <c r="Q2" s="4"/>
      <c r="R2" s="1" t="s">
        <v>137</v>
      </c>
      <c r="S2" s="1" t="s">
        <v>137</v>
      </c>
      <c r="T2" s="1" t="s">
        <v>47</v>
      </c>
      <c r="U2" s="1" t="s">
        <v>4290</v>
      </c>
      <c r="V2" s="4"/>
      <c r="W2" s="4"/>
      <c r="X2" s="4"/>
    </row>
    <row r="3">
      <c r="A3" s="1" t="s">
        <v>4292</v>
      </c>
      <c r="B3" s="1" t="s">
        <v>4293</v>
      </c>
      <c r="C3" s="1" t="s">
        <v>4294</v>
      </c>
      <c r="D3" s="1" t="s">
        <v>152</v>
      </c>
      <c r="E3" s="1" t="s">
        <v>292</v>
      </c>
      <c r="F3" s="1" t="s">
        <v>494</v>
      </c>
      <c r="G3" s="1" t="s">
        <v>1362</v>
      </c>
      <c r="H3" s="3">
        <v>45341.0</v>
      </c>
      <c r="I3" s="3">
        <v>45336.0</v>
      </c>
      <c r="J3" s="3">
        <v>45336.0</v>
      </c>
      <c r="K3" s="1" t="s">
        <v>215</v>
      </c>
      <c r="L3" s="1" t="s">
        <v>160</v>
      </c>
      <c r="M3" s="1" t="s">
        <v>216</v>
      </c>
      <c r="N3" s="1" t="s">
        <v>131</v>
      </c>
      <c r="O3" s="4"/>
      <c r="P3" s="4"/>
      <c r="Q3" s="4"/>
      <c r="R3" s="1" t="s">
        <v>137</v>
      </c>
      <c r="S3" s="1" t="s">
        <v>137</v>
      </c>
      <c r="T3" s="1" t="s">
        <v>47</v>
      </c>
      <c r="U3" s="1" t="s">
        <v>4301</v>
      </c>
      <c r="V3" s="4"/>
      <c r="W3" s="4"/>
      <c r="X3" s="4"/>
    </row>
    <row r="4">
      <c r="A4" s="1" t="s">
        <v>4303</v>
      </c>
      <c r="B4" s="1" t="s">
        <v>4293</v>
      </c>
      <c r="C4" s="1" t="s">
        <v>4305</v>
      </c>
      <c r="D4" s="1" t="s">
        <v>960</v>
      </c>
      <c r="E4" s="1" t="s">
        <v>292</v>
      </c>
      <c r="F4" s="1" t="s">
        <v>468</v>
      </c>
      <c r="G4" s="1" t="s">
        <v>1758</v>
      </c>
      <c r="H4" s="3">
        <v>44376.0</v>
      </c>
      <c r="I4" s="3">
        <v>44487.0</v>
      </c>
      <c r="J4" s="3">
        <v>44487.0</v>
      </c>
      <c r="K4" s="1" t="s">
        <v>215</v>
      </c>
      <c r="L4" s="1" t="s">
        <v>160</v>
      </c>
      <c r="M4" s="1" t="s">
        <v>216</v>
      </c>
      <c r="N4" s="1" t="s">
        <v>131</v>
      </c>
      <c r="O4" s="4"/>
      <c r="P4" s="4"/>
      <c r="Q4" s="4"/>
      <c r="R4" s="1" t="s">
        <v>137</v>
      </c>
      <c r="S4" s="1" t="s">
        <v>137</v>
      </c>
      <c r="T4" s="1" t="s">
        <v>47</v>
      </c>
      <c r="U4" s="1" t="s">
        <v>4301</v>
      </c>
      <c r="V4" s="4"/>
      <c r="W4" s="4"/>
      <c r="X4" s="4"/>
    </row>
    <row r="5">
      <c r="A5" s="1" t="s">
        <v>144</v>
      </c>
      <c r="B5" s="1" t="s">
        <v>146</v>
      </c>
      <c r="C5" s="1" t="s">
        <v>147</v>
      </c>
      <c r="D5" s="1" t="s">
        <v>152</v>
      </c>
      <c r="E5" s="1" t="s">
        <v>153</v>
      </c>
      <c r="F5" s="1" t="s">
        <v>155</v>
      </c>
      <c r="G5" s="1" t="s">
        <v>157</v>
      </c>
      <c r="H5" s="3">
        <v>46128.0</v>
      </c>
      <c r="I5" s="4"/>
      <c r="J5" s="4"/>
      <c r="K5" s="1" t="s">
        <v>124</v>
      </c>
      <c r="L5" s="1" t="s">
        <v>160</v>
      </c>
      <c r="M5" s="1" t="s">
        <v>162</v>
      </c>
      <c r="N5" s="1" t="s">
        <v>131</v>
      </c>
      <c r="O5" s="4"/>
      <c r="P5" s="1" t="s">
        <v>164</v>
      </c>
      <c r="Q5" s="4"/>
      <c r="R5" s="1" t="s">
        <v>137</v>
      </c>
      <c r="S5" s="1" t="s">
        <v>137</v>
      </c>
      <c r="T5" s="1" t="s">
        <v>47</v>
      </c>
      <c r="U5" s="4"/>
      <c r="V5" s="4"/>
      <c r="W5" s="4"/>
      <c r="X5" s="4"/>
    </row>
    <row r="6">
      <c r="A6" s="1" t="s">
        <v>4325</v>
      </c>
      <c r="B6" s="1" t="s">
        <v>4293</v>
      </c>
      <c r="C6" s="1" t="s">
        <v>4328</v>
      </c>
      <c r="D6" s="1" t="s">
        <v>152</v>
      </c>
      <c r="E6" s="1" t="s">
        <v>292</v>
      </c>
      <c r="F6" s="1" t="s">
        <v>468</v>
      </c>
      <c r="G6" s="1" t="s">
        <v>1758</v>
      </c>
      <c r="H6" s="3">
        <v>44798.0</v>
      </c>
      <c r="I6" s="3">
        <v>45063.0</v>
      </c>
      <c r="J6" s="3">
        <v>45063.0</v>
      </c>
      <c r="K6" s="1" t="s">
        <v>215</v>
      </c>
      <c r="L6" s="1" t="s">
        <v>160</v>
      </c>
      <c r="M6" s="1" t="s">
        <v>216</v>
      </c>
      <c r="N6" s="1" t="s">
        <v>131</v>
      </c>
      <c r="O6" s="4"/>
      <c r="P6" s="4"/>
      <c r="Q6" s="4"/>
      <c r="R6" s="1" t="s">
        <v>137</v>
      </c>
      <c r="S6" s="1" t="s">
        <v>137</v>
      </c>
      <c r="T6" s="1" t="s">
        <v>47</v>
      </c>
      <c r="U6" s="1" t="s">
        <v>4301</v>
      </c>
      <c r="V6" s="4"/>
      <c r="W6" s="4"/>
      <c r="X6" s="4"/>
    </row>
    <row r="7">
      <c r="A7" s="1" t="s">
        <v>4334</v>
      </c>
      <c r="B7" s="1" t="s">
        <v>116</v>
      </c>
      <c r="C7" s="1" t="s">
        <v>4328</v>
      </c>
      <c r="D7" s="1" t="s">
        <v>152</v>
      </c>
      <c r="E7" s="1" t="s">
        <v>292</v>
      </c>
      <c r="F7" s="1" t="s">
        <v>468</v>
      </c>
      <c r="G7" s="1" t="s">
        <v>1758</v>
      </c>
      <c r="H7" s="3">
        <v>46255.0</v>
      </c>
      <c r="I7" s="13"/>
      <c r="J7" s="13"/>
      <c r="K7" s="1" t="s">
        <v>124</v>
      </c>
      <c r="L7" s="1" t="s">
        <v>98</v>
      </c>
      <c r="M7" s="1" t="s">
        <v>162</v>
      </c>
      <c r="N7" s="1" t="s">
        <v>131</v>
      </c>
      <c r="O7" s="13"/>
      <c r="P7" s="1" t="s">
        <v>235</v>
      </c>
      <c r="Q7" s="4"/>
      <c r="R7" s="1" t="s">
        <v>137</v>
      </c>
      <c r="S7" s="1" t="s">
        <v>137</v>
      </c>
      <c r="T7" s="1" t="s">
        <v>47</v>
      </c>
      <c r="U7" s="1" t="s">
        <v>4345</v>
      </c>
      <c r="V7" s="4"/>
      <c r="W7" s="4"/>
      <c r="X7" s="4"/>
    </row>
    <row r="8">
      <c r="A8" s="1" t="s">
        <v>167</v>
      </c>
      <c r="B8" s="1" t="s">
        <v>116</v>
      </c>
      <c r="C8" s="1" t="s">
        <v>168</v>
      </c>
      <c r="D8" s="1" t="s">
        <v>172</v>
      </c>
      <c r="E8" s="1" t="s">
        <v>175</v>
      </c>
      <c r="F8" s="1" t="s">
        <v>177</v>
      </c>
      <c r="G8" s="1" t="s">
        <v>178</v>
      </c>
      <c r="H8" s="3">
        <v>46258.0</v>
      </c>
      <c r="I8" s="13"/>
      <c r="J8" s="4"/>
      <c r="K8" s="1" t="s">
        <v>124</v>
      </c>
      <c r="L8" s="1" t="s">
        <v>160</v>
      </c>
      <c r="M8" s="1" t="s">
        <v>162</v>
      </c>
      <c r="N8" s="1" t="s">
        <v>131</v>
      </c>
      <c r="O8" s="4"/>
      <c r="P8" s="1" t="s">
        <v>186</v>
      </c>
      <c r="Q8" s="4"/>
      <c r="R8" s="1" t="s">
        <v>137</v>
      </c>
      <c r="S8" s="1" t="s">
        <v>137</v>
      </c>
      <c r="T8" s="1" t="s">
        <v>47</v>
      </c>
      <c r="U8" s="1" t="s">
        <v>3756</v>
      </c>
      <c r="V8" s="4"/>
      <c r="W8" s="4"/>
      <c r="X8" s="4"/>
    </row>
    <row r="9">
      <c r="A9" s="1" t="s">
        <v>4358</v>
      </c>
      <c r="B9" s="1" t="s">
        <v>4293</v>
      </c>
      <c r="C9" s="1" t="s">
        <v>4360</v>
      </c>
      <c r="D9" s="1" t="s">
        <v>509</v>
      </c>
      <c r="E9" s="1" t="s">
        <v>454</v>
      </c>
      <c r="F9" s="1" t="s">
        <v>455</v>
      </c>
      <c r="G9" s="1" t="s">
        <v>456</v>
      </c>
      <c r="H9" s="3">
        <v>43770.0</v>
      </c>
      <c r="I9" s="3">
        <v>43770.0</v>
      </c>
      <c r="J9" s="3">
        <v>43770.0</v>
      </c>
      <c r="K9" s="1" t="s">
        <v>215</v>
      </c>
      <c r="L9" s="1" t="s">
        <v>160</v>
      </c>
      <c r="M9" s="1" t="s">
        <v>216</v>
      </c>
      <c r="N9" s="1" t="s">
        <v>131</v>
      </c>
      <c r="O9" s="13"/>
      <c r="P9" s="4"/>
      <c r="Q9" s="4"/>
      <c r="R9" s="1" t="s">
        <v>137</v>
      </c>
      <c r="S9" s="1" t="s">
        <v>137</v>
      </c>
      <c r="T9" s="1" t="s">
        <v>47</v>
      </c>
      <c r="U9" s="1" t="s">
        <v>4301</v>
      </c>
      <c r="V9" s="4"/>
      <c r="W9" s="4"/>
      <c r="X9" s="4"/>
    </row>
    <row r="10">
      <c r="A10" s="1" t="s">
        <v>4368</v>
      </c>
      <c r="B10" s="1" t="s">
        <v>4293</v>
      </c>
      <c r="C10" s="1" t="s">
        <v>4370</v>
      </c>
      <c r="D10" s="1" t="s">
        <v>388</v>
      </c>
      <c r="E10" s="1" t="s">
        <v>175</v>
      </c>
      <c r="F10" s="1" t="s">
        <v>585</v>
      </c>
      <c r="G10" s="1" t="s">
        <v>586</v>
      </c>
      <c r="H10" s="3">
        <v>44391.0</v>
      </c>
      <c r="I10" s="3">
        <v>44663.0</v>
      </c>
      <c r="J10" s="3">
        <v>44663.0</v>
      </c>
      <c r="K10" s="1" t="s">
        <v>215</v>
      </c>
      <c r="L10" s="1" t="s">
        <v>160</v>
      </c>
      <c r="M10" s="1" t="s">
        <v>216</v>
      </c>
      <c r="N10" s="1" t="s">
        <v>131</v>
      </c>
      <c r="O10" s="4"/>
      <c r="P10" s="4"/>
      <c r="Q10" s="4"/>
      <c r="R10" s="1" t="s">
        <v>137</v>
      </c>
      <c r="S10" s="1" t="s">
        <v>137</v>
      </c>
      <c r="T10" s="1" t="s">
        <v>47</v>
      </c>
      <c r="U10" s="1" t="s">
        <v>4301</v>
      </c>
      <c r="V10" s="4"/>
      <c r="W10" s="4"/>
      <c r="X10" s="4"/>
    </row>
    <row r="11">
      <c r="A11" s="1" t="s">
        <v>4378</v>
      </c>
      <c r="B11" s="1" t="s">
        <v>4293</v>
      </c>
      <c r="C11" s="1" t="s">
        <v>4381</v>
      </c>
      <c r="D11" s="1" t="s">
        <v>1291</v>
      </c>
      <c r="E11" s="1" t="s">
        <v>292</v>
      </c>
      <c r="F11" s="1" t="s">
        <v>494</v>
      </c>
      <c r="G11" s="1" t="s">
        <v>2278</v>
      </c>
      <c r="H11" s="3">
        <v>44859.0</v>
      </c>
      <c r="I11" s="3">
        <v>45005.0</v>
      </c>
      <c r="J11" s="3">
        <v>45005.0</v>
      </c>
      <c r="K11" s="1" t="s">
        <v>215</v>
      </c>
      <c r="L11" s="1" t="s">
        <v>160</v>
      </c>
      <c r="M11" s="1" t="s">
        <v>216</v>
      </c>
      <c r="N11" s="1" t="s">
        <v>131</v>
      </c>
      <c r="O11" s="13"/>
      <c r="P11" s="4"/>
      <c r="Q11" s="4"/>
      <c r="R11" s="1" t="s">
        <v>137</v>
      </c>
      <c r="S11" s="1" t="s">
        <v>137</v>
      </c>
      <c r="T11" s="1" t="s">
        <v>47</v>
      </c>
      <c r="U11" s="1" t="s">
        <v>4301</v>
      </c>
      <c r="V11" s="4"/>
      <c r="W11" s="4"/>
      <c r="X11" s="4"/>
    </row>
    <row r="12">
      <c r="A12" s="1" t="s">
        <v>4387</v>
      </c>
      <c r="B12" s="1" t="s">
        <v>4293</v>
      </c>
      <c r="C12" s="1" t="s">
        <v>4389</v>
      </c>
      <c r="D12" s="1" t="s">
        <v>593</v>
      </c>
      <c r="E12" s="1" t="s">
        <v>175</v>
      </c>
      <c r="F12" s="1" t="s">
        <v>763</v>
      </c>
      <c r="G12" s="1" t="s">
        <v>764</v>
      </c>
      <c r="H12" s="3">
        <v>45329.0</v>
      </c>
      <c r="I12" s="3">
        <v>45498.0</v>
      </c>
      <c r="J12" s="3">
        <v>45498.0</v>
      </c>
      <c r="K12" s="1" t="s">
        <v>215</v>
      </c>
      <c r="L12" s="1" t="s">
        <v>160</v>
      </c>
      <c r="M12" s="1" t="s">
        <v>216</v>
      </c>
      <c r="N12" s="1" t="s">
        <v>131</v>
      </c>
      <c r="O12" s="13"/>
      <c r="P12" s="4"/>
      <c r="Q12" s="4"/>
      <c r="R12" s="1" t="s">
        <v>137</v>
      </c>
      <c r="S12" s="1" t="s">
        <v>137</v>
      </c>
      <c r="T12" s="1" t="s">
        <v>47</v>
      </c>
      <c r="U12" s="1" t="s">
        <v>4301</v>
      </c>
      <c r="V12" s="4"/>
      <c r="W12" s="4"/>
      <c r="X12" s="4"/>
    </row>
    <row r="13">
      <c r="A13" s="1" t="s">
        <v>4399</v>
      </c>
      <c r="B13" s="1" t="s">
        <v>4293</v>
      </c>
      <c r="C13" s="1" t="s">
        <v>4401</v>
      </c>
      <c r="D13" s="1" t="s">
        <v>1272</v>
      </c>
      <c r="E13" s="1" t="s">
        <v>520</v>
      </c>
      <c r="F13" s="1" t="s">
        <v>1671</v>
      </c>
      <c r="G13" s="1" t="s">
        <v>1673</v>
      </c>
      <c r="H13" s="3">
        <v>45077.0</v>
      </c>
      <c r="I13" s="13"/>
      <c r="J13" s="13"/>
      <c r="K13" s="1" t="s">
        <v>124</v>
      </c>
      <c r="L13" s="1" t="s">
        <v>160</v>
      </c>
      <c r="M13" s="1" t="s">
        <v>253</v>
      </c>
      <c r="N13" s="1" t="s">
        <v>131</v>
      </c>
      <c r="O13" s="13"/>
      <c r="P13" s="4"/>
      <c r="Q13" s="4"/>
      <c r="R13" s="1" t="s">
        <v>137</v>
      </c>
      <c r="S13" s="1" t="s">
        <v>137</v>
      </c>
      <c r="T13" s="1" t="s">
        <v>47</v>
      </c>
      <c r="U13" s="1" t="s">
        <v>4301</v>
      </c>
      <c r="V13" s="4"/>
      <c r="W13" s="4"/>
      <c r="X13" s="4"/>
    </row>
    <row r="14">
      <c r="A14" s="1" t="s">
        <v>4411</v>
      </c>
      <c r="B14" s="1" t="s">
        <v>4293</v>
      </c>
      <c r="C14" s="1" t="s">
        <v>4413</v>
      </c>
      <c r="D14" s="1" t="s">
        <v>593</v>
      </c>
      <c r="E14" s="1" t="s">
        <v>330</v>
      </c>
      <c r="F14" s="1" t="s">
        <v>356</v>
      </c>
      <c r="G14" s="1" t="s">
        <v>864</v>
      </c>
      <c r="H14" s="3">
        <v>45565.0</v>
      </c>
      <c r="I14" s="3">
        <v>45770.0</v>
      </c>
      <c r="J14" s="3">
        <v>45770.0</v>
      </c>
      <c r="K14" s="1" t="s">
        <v>215</v>
      </c>
      <c r="L14" s="1" t="s">
        <v>160</v>
      </c>
      <c r="M14" s="1" t="s">
        <v>216</v>
      </c>
      <c r="N14" s="1" t="s">
        <v>131</v>
      </c>
      <c r="O14" s="13"/>
      <c r="P14" s="4"/>
      <c r="Q14" s="4"/>
      <c r="R14" s="1" t="s">
        <v>137</v>
      </c>
      <c r="S14" s="1" t="s">
        <v>137</v>
      </c>
      <c r="T14" s="1" t="s">
        <v>47</v>
      </c>
      <c r="U14" s="1" t="s">
        <v>4301</v>
      </c>
      <c r="V14" s="4"/>
      <c r="W14" s="4"/>
      <c r="X14" s="4"/>
    </row>
    <row r="15">
      <c r="A15" s="1" t="s">
        <v>224</v>
      </c>
      <c r="B15" s="1" t="s">
        <v>116</v>
      </c>
      <c r="C15" s="1" t="s">
        <v>227</v>
      </c>
      <c r="D15" s="4"/>
      <c r="E15" s="4"/>
      <c r="F15" s="1" t="s">
        <v>228</v>
      </c>
      <c r="G15" s="4"/>
      <c r="H15" s="3">
        <v>46246.0</v>
      </c>
      <c r="I15" s="13"/>
      <c r="J15" s="4"/>
      <c r="K15" s="1" t="s">
        <v>124</v>
      </c>
      <c r="L15" s="1" t="s">
        <v>98</v>
      </c>
      <c r="M15" s="1" t="s">
        <v>162</v>
      </c>
      <c r="N15" s="1" t="s">
        <v>131</v>
      </c>
      <c r="O15" s="4"/>
      <c r="P15" s="1" t="s">
        <v>235</v>
      </c>
      <c r="Q15" s="4"/>
      <c r="R15" s="1" t="s">
        <v>137</v>
      </c>
      <c r="S15" s="1" t="s">
        <v>137</v>
      </c>
      <c r="T15" s="1" t="s">
        <v>47</v>
      </c>
      <c r="U15" s="4"/>
      <c r="V15" s="4"/>
      <c r="W15" s="4"/>
      <c r="X15" s="4"/>
    </row>
    <row r="16">
      <c r="A16" s="1" t="s">
        <v>4431</v>
      </c>
      <c r="B16" s="1" t="s">
        <v>4293</v>
      </c>
      <c r="C16" s="1" t="s">
        <v>4432</v>
      </c>
      <c r="D16" s="1" t="s">
        <v>313</v>
      </c>
      <c r="E16" s="1" t="s">
        <v>292</v>
      </c>
      <c r="F16" s="1" t="s">
        <v>962</v>
      </c>
      <c r="G16" s="1" t="s">
        <v>2048</v>
      </c>
      <c r="H16" s="3">
        <v>44872.0</v>
      </c>
      <c r="I16" s="13"/>
      <c r="J16" s="4"/>
      <c r="K16" s="1" t="s">
        <v>124</v>
      </c>
      <c r="L16" s="1" t="s">
        <v>160</v>
      </c>
      <c r="M16" s="1" t="s">
        <v>253</v>
      </c>
      <c r="N16" s="1" t="s">
        <v>131</v>
      </c>
      <c r="O16" s="4"/>
      <c r="P16" s="4"/>
      <c r="Q16" s="4"/>
      <c r="R16" s="1" t="s">
        <v>137</v>
      </c>
      <c r="S16" s="1" t="s">
        <v>137</v>
      </c>
      <c r="T16" s="1" t="s">
        <v>47</v>
      </c>
      <c r="U16" s="1" t="s">
        <v>4301</v>
      </c>
      <c r="V16" s="4"/>
      <c r="W16" s="4"/>
      <c r="X16" s="4"/>
    </row>
    <row r="17">
      <c r="A17" s="1" t="s">
        <v>4447</v>
      </c>
      <c r="B17" s="1" t="s">
        <v>4293</v>
      </c>
      <c r="C17" s="1" t="s">
        <v>4449</v>
      </c>
      <c r="D17" s="1" t="s">
        <v>273</v>
      </c>
      <c r="E17" s="1" t="s">
        <v>330</v>
      </c>
      <c r="F17" s="1" t="s">
        <v>663</v>
      </c>
      <c r="G17" s="1" t="s">
        <v>2835</v>
      </c>
      <c r="H17" s="3">
        <v>44253.0</v>
      </c>
      <c r="I17" s="3">
        <v>44253.0</v>
      </c>
      <c r="J17" s="3">
        <v>44253.0</v>
      </c>
      <c r="K17" s="1" t="s">
        <v>215</v>
      </c>
      <c r="L17" s="1" t="s">
        <v>160</v>
      </c>
      <c r="M17" s="1" t="s">
        <v>216</v>
      </c>
      <c r="N17" s="1" t="s">
        <v>131</v>
      </c>
      <c r="O17" s="13"/>
      <c r="P17" s="4"/>
      <c r="Q17" s="4"/>
      <c r="R17" s="1" t="s">
        <v>137</v>
      </c>
      <c r="S17" s="1" t="s">
        <v>137</v>
      </c>
      <c r="T17" s="1" t="s">
        <v>47</v>
      </c>
      <c r="U17" s="1" t="s">
        <v>4301</v>
      </c>
      <c r="V17" s="4"/>
      <c r="W17" s="4"/>
      <c r="X17" s="4"/>
    </row>
    <row r="18">
      <c r="A18" s="1" t="s">
        <v>4464</v>
      </c>
      <c r="B18" s="1" t="s">
        <v>4293</v>
      </c>
      <c r="C18" s="1" t="s">
        <v>4467</v>
      </c>
      <c r="D18" s="1" t="s">
        <v>1823</v>
      </c>
      <c r="E18" s="1" t="s">
        <v>292</v>
      </c>
      <c r="F18" s="1" t="s">
        <v>962</v>
      </c>
      <c r="G18" s="1" t="s">
        <v>4470</v>
      </c>
      <c r="H18" s="3">
        <v>45859.0</v>
      </c>
      <c r="I18" s="3">
        <v>46162.0</v>
      </c>
      <c r="J18" s="3">
        <v>46162.0</v>
      </c>
      <c r="K18" s="1" t="s">
        <v>215</v>
      </c>
      <c r="L18" s="1" t="s">
        <v>160</v>
      </c>
      <c r="M18" s="1" t="s">
        <v>216</v>
      </c>
      <c r="N18" s="1" t="s">
        <v>131</v>
      </c>
      <c r="O18" s="13"/>
      <c r="P18" s="4"/>
      <c r="Q18" s="4"/>
      <c r="R18" s="1" t="s">
        <v>137</v>
      </c>
      <c r="S18" s="1" t="s">
        <v>137</v>
      </c>
      <c r="T18" s="1" t="s">
        <v>47</v>
      </c>
      <c r="U18" s="1" t="s">
        <v>4301</v>
      </c>
      <c r="V18" s="4"/>
      <c r="W18" s="4"/>
      <c r="X18" s="4"/>
    </row>
    <row r="19">
      <c r="A19" s="1" t="s">
        <v>4475</v>
      </c>
      <c r="B19" s="1" t="s">
        <v>4293</v>
      </c>
      <c r="C19" s="1" t="s">
        <v>4476</v>
      </c>
      <c r="D19" s="1" t="s">
        <v>194</v>
      </c>
      <c r="E19" s="1" t="s">
        <v>454</v>
      </c>
      <c r="F19" s="1" t="s">
        <v>455</v>
      </c>
      <c r="G19" s="1" t="s">
        <v>456</v>
      </c>
      <c r="H19" s="3">
        <v>43738.0</v>
      </c>
      <c r="I19" s="3">
        <v>43978.0</v>
      </c>
      <c r="J19" s="3">
        <v>43978.0</v>
      </c>
      <c r="K19" s="1" t="s">
        <v>215</v>
      </c>
      <c r="L19" s="1" t="s">
        <v>160</v>
      </c>
      <c r="M19" s="1" t="s">
        <v>216</v>
      </c>
      <c r="N19" s="1" t="s">
        <v>131</v>
      </c>
      <c r="O19" s="13"/>
      <c r="P19" s="4"/>
      <c r="Q19" s="4"/>
      <c r="R19" s="1" t="s">
        <v>137</v>
      </c>
      <c r="S19" s="1" t="s">
        <v>137</v>
      </c>
      <c r="T19" s="1" t="s">
        <v>47</v>
      </c>
      <c r="U19" s="1" t="s">
        <v>4301</v>
      </c>
      <c r="V19" s="4"/>
      <c r="W19" s="4"/>
      <c r="X19" s="4"/>
    </row>
    <row r="20">
      <c r="A20" s="1" t="s">
        <v>4484</v>
      </c>
      <c r="B20" s="1" t="s">
        <v>4293</v>
      </c>
      <c r="C20" s="1" t="s">
        <v>311</v>
      </c>
      <c r="D20" s="1" t="s">
        <v>313</v>
      </c>
      <c r="E20" s="1" t="s">
        <v>292</v>
      </c>
      <c r="F20" s="1" t="s">
        <v>293</v>
      </c>
      <c r="G20" s="1" t="s">
        <v>316</v>
      </c>
      <c r="H20" s="3">
        <v>44386.0</v>
      </c>
      <c r="I20" s="3">
        <v>44620.0</v>
      </c>
      <c r="J20" s="3">
        <v>44620.0</v>
      </c>
      <c r="K20" s="1" t="s">
        <v>215</v>
      </c>
      <c r="L20" s="1" t="s">
        <v>160</v>
      </c>
      <c r="M20" s="1" t="s">
        <v>216</v>
      </c>
      <c r="N20" s="1" t="s">
        <v>131</v>
      </c>
      <c r="O20" s="13"/>
      <c r="P20" s="4"/>
      <c r="Q20" s="4"/>
      <c r="R20" s="1" t="s">
        <v>137</v>
      </c>
      <c r="S20" s="1" t="s">
        <v>137</v>
      </c>
      <c r="T20" s="1" t="s">
        <v>47</v>
      </c>
      <c r="U20" s="1" t="s">
        <v>4301</v>
      </c>
      <c r="V20" s="4"/>
      <c r="W20" s="4"/>
      <c r="X20" s="4"/>
    </row>
    <row r="21">
      <c r="A21" s="1" t="s">
        <v>4494</v>
      </c>
      <c r="B21" s="1" t="s">
        <v>4293</v>
      </c>
      <c r="C21" s="1" t="s">
        <v>355</v>
      </c>
      <c r="D21" s="1" t="s">
        <v>273</v>
      </c>
      <c r="E21" s="1" t="s">
        <v>330</v>
      </c>
      <c r="F21" s="1" t="s">
        <v>356</v>
      </c>
      <c r="G21" s="1" t="s">
        <v>359</v>
      </c>
      <c r="H21" s="3">
        <v>45919.0</v>
      </c>
      <c r="I21" s="13"/>
      <c r="J21" s="4"/>
      <c r="K21" s="1" t="s">
        <v>124</v>
      </c>
      <c r="L21" s="1" t="s">
        <v>160</v>
      </c>
      <c r="M21" s="1" t="s">
        <v>253</v>
      </c>
      <c r="N21" s="1" t="s">
        <v>131</v>
      </c>
      <c r="O21" s="4"/>
      <c r="P21" s="4"/>
      <c r="Q21" s="4"/>
      <c r="R21" s="1" t="s">
        <v>137</v>
      </c>
      <c r="S21" s="1" t="s">
        <v>137</v>
      </c>
      <c r="T21" s="1" t="s">
        <v>47</v>
      </c>
      <c r="U21" s="1" t="s">
        <v>4301</v>
      </c>
      <c r="V21" s="4"/>
      <c r="W21" s="4"/>
      <c r="X21" s="4"/>
    </row>
    <row r="22">
      <c r="A22" s="1" t="s">
        <v>4501</v>
      </c>
      <c r="B22" s="1" t="s">
        <v>4293</v>
      </c>
      <c r="C22" s="1" t="s">
        <v>374</v>
      </c>
      <c r="D22" s="1" t="s">
        <v>273</v>
      </c>
      <c r="E22" s="1" t="s">
        <v>330</v>
      </c>
      <c r="F22" s="1" t="s">
        <v>331</v>
      </c>
      <c r="G22" s="1" t="s">
        <v>333</v>
      </c>
      <c r="H22" s="3">
        <v>45642.0</v>
      </c>
      <c r="I22" s="13"/>
      <c r="J22" s="13"/>
      <c r="K22" s="1" t="s">
        <v>124</v>
      </c>
      <c r="L22" s="1" t="s">
        <v>160</v>
      </c>
      <c r="M22" s="1" t="s">
        <v>253</v>
      </c>
      <c r="N22" s="1" t="s">
        <v>131</v>
      </c>
      <c r="O22" s="13"/>
      <c r="P22" s="4"/>
      <c r="Q22" s="4"/>
      <c r="R22" s="1" t="s">
        <v>137</v>
      </c>
      <c r="S22" s="1" t="s">
        <v>137</v>
      </c>
      <c r="T22" s="1" t="s">
        <v>47</v>
      </c>
      <c r="U22" s="1" t="s">
        <v>4301</v>
      </c>
      <c r="V22" s="4"/>
      <c r="W22" s="4"/>
      <c r="X22" s="4"/>
    </row>
    <row r="23">
      <c r="A23" s="1" t="s">
        <v>4509</v>
      </c>
      <c r="B23" s="1" t="s">
        <v>4293</v>
      </c>
      <c r="C23" s="1" t="s">
        <v>4512</v>
      </c>
      <c r="D23" s="1" t="s">
        <v>4514</v>
      </c>
      <c r="E23" s="1" t="s">
        <v>292</v>
      </c>
      <c r="F23" s="1" t="s">
        <v>576</v>
      </c>
      <c r="G23" s="1" t="s">
        <v>835</v>
      </c>
      <c r="H23" s="3">
        <v>45531.0</v>
      </c>
      <c r="I23" s="3">
        <v>45747.0</v>
      </c>
      <c r="J23" s="3">
        <v>45747.0</v>
      </c>
      <c r="K23" s="1" t="s">
        <v>215</v>
      </c>
      <c r="L23" s="1" t="s">
        <v>160</v>
      </c>
      <c r="M23" s="1" t="s">
        <v>216</v>
      </c>
      <c r="N23" s="1" t="s">
        <v>131</v>
      </c>
      <c r="O23" s="4"/>
      <c r="P23" s="4"/>
      <c r="Q23" s="4"/>
      <c r="R23" s="1" t="s">
        <v>137</v>
      </c>
      <c r="S23" s="1" t="s">
        <v>137</v>
      </c>
      <c r="T23" s="1" t="s">
        <v>47</v>
      </c>
      <c r="U23" s="1" t="s">
        <v>4301</v>
      </c>
      <c r="V23" s="4"/>
      <c r="W23" s="4"/>
      <c r="X23" s="4"/>
    </row>
    <row r="24">
      <c r="A24" s="1" t="s">
        <v>4529</v>
      </c>
      <c r="B24" s="1" t="s">
        <v>4293</v>
      </c>
      <c r="C24" s="1" t="s">
        <v>4531</v>
      </c>
      <c r="D24" s="1" t="s">
        <v>1067</v>
      </c>
      <c r="E24" s="1" t="s">
        <v>330</v>
      </c>
      <c r="F24" s="1" t="s">
        <v>663</v>
      </c>
      <c r="G24" s="1" t="s">
        <v>1068</v>
      </c>
      <c r="H24" s="3">
        <v>44916.0</v>
      </c>
      <c r="I24" s="3">
        <v>45077.0</v>
      </c>
      <c r="J24" s="3">
        <v>45077.0</v>
      </c>
      <c r="K24" s="1" t="s">
        <v>215</v>
      </c>
      <c r="L24" s="1" t="s">
        <v>160</v>
      </c>
      <c r="M24" s="1" t="s">
        <v>216</v>
      </c>
      <c r="N24" s="1" t="s">
        <v>131</v>
      </c>
      <c r="O24" s="13"/>
      <c r="P24" s="4"/>
      <c r="Q24" s="4"/>
      <c r="R24" s="1" t="s">
        <v>137</v>
      </c>
      <c r="S24" s="1" t="s">
        <v>137</v>
      </c>
      <c r="T24" s="1" t="s">
        <v>47</v>
      </c>
      <c r="U24" s="1" t="s">
        <v>4301</v>
      </c>
      <c r="V24" s="4"/>
      <c r="W24" s="4"/>
      <c r="X24" s="4"/>
    </row>
    <row r="25">
      <c r="A25" s="1" t="s">
        <v>4547</v>
      </c>
      <c r="B25" s="1" t="s">
        <v>4293</v>
      </c>
      <c r="C25" s="1" t="s">
        <v>4550</v>
      </c>
      <c r="D25" s="1" t="s">
        <v>650</v>
      </c>
      <c r="E25" s="1" t="s">
        <v>889</v>
      </c>
      <c r="F25" s="1" t="s">
        <v>890</v>
      </c>
      <c r="G25" s="1" t="s">
        <v>892</v>
      </c>
      <c r="H25" s="3">
        <v>45538.0</v>
      </c>
      <c r="I25" s="3">
        <v>45894.0</v>
      </c>
      <c r="J25" s="3">
        <v>45894.0</v>
      </c>
      <c r="K25" s="1" t="s">
        <v>215</v>
      </c>
      <c r="L25" s="1" t="s">
        <v>160</v>
      </c>
      <c r="M25" s="1" t="s">
        <v>216</v>
      </c>
      <c r="N25" s="1" t="s">
        <v>131</v>
      </c>
      <c r="O25" s="13"/>
      <c r="P25" s="4"/>
      <c r="Q25" s="4"/>
      <c r="R25" s="1" t="s">
        <v>137</v>
      </c>
      <c r="S25" s="1" t="s">
        <v>137</v>
      </c>
      <c r="T25" s="1" t="s">
        <v>47</v>
      </c>
      <c r="U25" s="1" t="s">
        <v>4301</v>
      </c>
      <c r="V25" s="4"/>
      <c r="W25" s="4"/>
      <c r="X25" s="4"/>
    </row>
    <row r="26">
      <c r="A26" s="1" t="s">
        <v>4563</v>
      </c>
      <c r="B26" s="1" t="s">
        <v>4293</v>
      </c>
      <c r="C26" s="1" t="s">
        <v>387</v>
      </c>
      <c r="D26" s="1" t="s">
        <v>388</v>
      </c>
      <c r="E26" s="1" t="s">
        <v>119</v>
      </c>
      <c r="F26" s="1" t="s">
        <v>389</v>
      </c>
      <c r="G26" s="1" t="s">
        <v>389</v>
      </c>
      <c r="H26" s="3">
        <v>44638.0</v>
      </c>
      <c r="I26" s="3">
        <v>44887.0</v>
      </c>
      <c r="J26" s="3">
        <v>44887.0</v>
      </c>
      <c r="K26" s="1" t="s">
        <v>215</v>
      </c>
      <c r="L26" s="1" t="s">
        <v>160</v>
      </c>
      <c r="M26" s="1" t="s">
        <v>216</v>
      </c>
      <c r="N26" s="1" t="s">
        <v>131</v>
      </c>
      <c r="O26" s="13"/>
      <c r="P26" s="4"/>
      <c r="Q26" s="4"/>
      <c r="R26" s="1" t="s">
        <v>137</v>
      </c>
      <c r="S26" s="1" t="s">
        <v>137</v>
      </c>
      <c r="T26" s="1" t="s">
        <v>47</v>
      </c>
      <c r="U26" s="1" t="s">
        <v>4301</v>
      </c>
      <c r="V26" s="4"/>
      <c r="W26" s="4"/>
      <c r="X26" s="4"/>
    </row>
    <row r="27">
      <c r="A27" s="1" t="s">
        <v>4577</v>
      </c>
      <c r="B27" s="1" t="s">
        <v>4293</v>
      </c>
      <c r="C27" s="1" t="s">
        <v>4580</v>
      </c>
      <c r="D27" s="1" t="s">
        <v>1272</v>
      </c>
      <c r="E27" s="1" t="s">
        <v>520</v>
      </c>
      <c r="F27" s="1" t="s">
        <v>1179</v>
      </c>
      <c r="G27" s="1" t="s">
        <v>4584</v>
      </c>
      <c r="H27" s="3">
        <v>44484.0</v>
      </c>
      <c r="I27" s="3">
        <v>44484.0</v>
      </c>
      <c r="J27" s="3">
        <v>44484.0</v>
      </c>
      <c r="K27" s="1" t="s">
        <v>215</v>
      </c>
      <c r="L27" s="1" t="s">
        <v>160</v>
      </c>
      <c r="M27" s="1" t="s">
        <v>216</v>
      </c>
      <c r="N27" s="1" t="s">
        <v>131</v>
      </c>
      <c r="O27" s="13"/>
      <c r="P27" s="4"/>
      <c r="Q27" s="4"/>
      <c r="R27" s="1" t="s">
        <v>137</v>
      </c>
      <c r="S27" s="1" t="s">
        <v>137</v>
      </c>
      <c r="T27" s="1" t="s">
        <v>47</v>
      </c>
      <c r="U27" s="1" t="s">
        <v>4301</v>
      </c>
      <c r="V27" s="4"/>
      <c r="W27" s="4"/>
      <c r="X27" s="4"/>
    </row>
    <row r="28">
      <c r="A28" s="1" t="s">
        <v>4592</v>
      </c>
      <c r="B28" s="1" t="s">
        <v>4293</v>
      </c>
      <c r="C28" s="1" t="s">
        <v>4597</v>
      </c>
      <c r="D28" s="1" t="s">
        <v>273</v>
      </c>
      <c r="E28" s="1" t="s">
        <v>330</v>
      </c>
      <c r="F28" s="1" t="s">
        <v>356</v>
      </c>
      <c r="G28" s="1" t="s">
        <v>429</v>
      </c>
      <c r="H28" s="3">
        <v>43962.0</v>
      </c>
      <c r="I28" s="3">
        <v>43978.0</v>
      </c>
      <c r="J28" s="3">
        <v>43978.0</v>
      </c>
      <c r="K28" s="1" t="s">
        <v>215</v>
      </c>
      <c r="L28" s="1" t="s">
        <v>160</v>
      </c>
      <c r="M28" s="1" t="s">
        <v>216</v>
      </c>
      <c r="N28" s="1" t="s">
        <v>131</v>
      </c>
      <c r="O28" s="4"/>
      <c r="P28" s="4"/>
      <c r="Q28" s="4"/>
      <c r="R28" s="1" t="s">
        <v>137</v>
      </c>
      <c r="S28" s="1" t="s">
        <v>137</v>
      </c>
      <c r="T28" s="1" t="s">
        <v>47</v>
      </c>
      <c r="U28" s="1" t="s">
        <v>4301</v>
      </c>
      <c r="V28" s="4"/>
      <c r="W28" s="4"/>
      <c r="X28" s="4"/>
    </row>
    <row r="29">
      <c r="A29" s="1" t="s">
        <v>4614</v>
      </c>
      <c r="B29" s="1" t="s">
        <v>4293</v>
      </c>
      <c r="C29" s="1" t="s">
        <v>4616</v>
      </c>
      <c r="D29" s="1" t="s">
        <v>1823</v>
      </c>
      <c r="E29" s="1" t="s">
        <v>175</v>
      </c>
      <c r="F29" s="1" t="s">
        <v>1116</v>
      </c>
      <c r="G29" s="1" t="s">
        <v>4621</v>
      </c>
      <c r="H29" s="3">
        <v>44768.0</v>
      </c>
      <c r="I29" s="3">
        <v>44893.0</v>
      </c>
      <c r="J29" s="3">
        <v>44893.0</v>
      </c>
      <c r="K29" s="1" t="s">
        <v>215</v>
      </c>
      <c r="L29" s="1" t="s">
        <v>160</v>
      </c>
      <c r="M29" s="1" t="s">
        <v>216</v>
      </c>
      <c r="N29" s="1" t="s">
        <v>131</v>
      </c>
      <c r="O29" s="13"/>
      <c r="P29" s="4"/>
      <c r="Q29" s="4"/>
      <c r="R29" s="1" t="s">
        <v>137</v>
      </c>
      <c r="S29" s="1" t="s">
        <v>137</v>
      </c>
      <c r="T29" s="1" t="s">
        <v>47</v>
      </c>
      <c r="U29" s="1" t="s">
        <v>4301</v>
      </c>
      <c r="V29" s="4"/>
      <c r="W29" s="4"/>
      <c r="X29" s="4"/>
    </row>
    <row r="30">
      <c r="A30" s="1" t="s">
        <v>4637</v>
      </c>
      <c r="B30" s="1" t="s">
        <v>4293</v>
      </c>
      <c r="C30" s="1" t="s">
        <v>4640</v>
      </c>
      <c r="D30" s="1" t="s">
        <v>152</v>
      </c>
      <c r="E30" s="1" t="s">
        <v>292</v>
      </c>
      <c r="F30" s="1" t="s">
        <v>962</v>
      </c>
      <c r="G30" s="1" t="s">
        <v>2607</v>
      </c>
      <c r="H30" s="3">
        <v>44872.0</v>
      </c>
      <c r="I30" s="3">
        <v>44904.0</v>
      </c>
      <c r="J30" s="3">
        <v>44904.0</v>
      </c>
      <c r="K30" s="1" t="s">
        <v>215</v>
      </c>
      <c r="L30" s="1" t="s">
        <v>160</v>
      </c>
      <c r="M30" s="1" t="s">
        <v>216</v>
      </c>
      <c r="N30" s="1" t="s">
        <v>131</v>
      </c>
      <c r="O30" s="13"/>
      <c r="P30" s="4"/>
      <c r="Q30" s="4"/>
      <c r="R30" s="1" t="s">
        <v>137</v>
      </c>
      <c r="S30" s="1" t="s">
        <v>137</v>
      </c>
      <c r="T30" s="1" t="s">
        <v>47</v>
      </c>
      <c r="U30" s="1" t="s">
        <v>4301</v>
      </c>
      <c r="V30" s="4"/>
      <c r="W30" s="4"/>
      <c r="X30" s="4"/>
    </row>
    <row r="31">
      <c r="A31" s="1" t="s">
        <v>4659</v>
      </c>
      <c r="B31" s="1" t="s">
        <v>4293</v>
      </c>
      <c r="C31" s="1" t="s">
        <v>4662</v>
      </c>
      <c r="D31" s="1" t="s">
        <v>593</v>
      </c>
      <c r="E31" s="1" t="s">
        <v>330</v>
      </c>
      <c r="F31" s="1" t="s">
        <v>663</v>
      </c>
      <c r="G31" s="1" t="s">
        <v>3576</v>
      </c>
      <c r="H31" s="3">
        <v>44853.0</v>
      </c>
      <c r="I31" s="3">
        <v>45106.0</v>
      </c>
      <c r="J31" s="3">
        <v>45106.0</v>
      </c>
      <c r="K31" s="1" t="s">
        <v>215</v>
      </c>
      <c r="L31" s="1" t="s">
        <v>160</v>
      </c>
      <c r="M31" s="1" t="s">
        <v>216</v>
      </c>
      <c r="N31" s="1" t="s">
        <v>131</v>
      </c>
      <c r="O31" s="4"/>
      <c r="P31" s="4"/>
      <c r="Q31" s="4"/>
      <c r="R31" s="1" t="s">
        <v>137</v>
      </c>
      <c r="S31" s="1" t="s">
        <v>137</v>
      </c>
      <c r="T31" s="1" t="s">
        <v>47</v>
      </c>
      <c r="U31" s="1" t="s">
        <v>4301</v>
      </c>
      <c r="V31" s="4"/>
      <c r="W31" s="4"/>
      <c r="X31" s="4"/>
    </row>
    <row r="32">
      <c r="A32" s="1" t="s">
        <v>4677</v>
      </c>
      <c r="B32" s="1" t="s">
        <v>4293</v>
      </c>
      <c r="C32" s="1" t="s">
        <v>4680</v>
      </c>
      <c r="D32" s="1" t="s">
        <v>1823</v>
      </c>
      <c r="E32" s="1" t="s">
        <v>889</v>
      </c>
      <c r="F32" s="1" t="s">
        <v>4133</v>
      </c>
      <c r="G32" s="1" t="s">
        <v>4683</v>
      </c>
      <c r="H32" s="3">
        <v>43829.0</v>
      </c>
      <c r="I32" s="3">
        <v>44098.0</v>
      </c>
      <c r="J32" s="3">
        <v>44098.0</v>
      </c>
      <c r="K32" s="1" t="s">
        <v>215</v>
      </c>
      <c r="L32" s="1" t="s">
        <v>160</v>
      </c>
      <c r="M32" s="1" t="s">
        <v>216</v>
      </c>
      <c r="N32" s="1" t="s">
        <v>131</v>
      </c>
      <c r="O32" s="13"/>
      <c r="P32" s="4"/>
      <c r="Q32" s="4"/>
      <c r="R32" s="1" t="s">
        <v>137</v>
      </c>
      <c r="S32" s="1" t="s">
        <v>137</v>
      </c>
      <c r="T32" s="1" t="s">
        <v>47</v>
      </c>
      <c r="U32" s="1" t="s">
        <v>4301</v>
      </c>
      <c r="V32" s="4"/>
      <c r="W32" s="4"/>
      <c r="X32" s="4"/>
    </row>
    <row r="33">
      <c r="A33" s="1" t="s">
        <v>4696</v>
      </c>
      <c r="B33" s="1" t="s">
        <v>4293</v>
      </c>
      <c r="C33" s="1" t="s">
        <v>4699</v>
      </c>
      <c r="D33" s="1" t="s">
        <v>313</v>
      </c>
      <c r="E33" s="1" t="s">
        <v>292</v>
      </c>
      <c r="F33" s="1" t="s">
        <v>962</v>
      </c>
      <c r="G33" s="1" t="s">
        <v>2048</v>
      </c>
      <c r="H33" s="3">
        <v>44197.0</v>
      </c>
      <c r="I33" s="3">
        <v>44197.0</v>
      </c>
      <c r="J33" s="3">
        <v>44197.0</v>
      </c>
      <c r="K33" s="1" t="s">
        <v>215</v>
      </c>
      <c r="L33" s="1" t="s">
        <v>160</v>
      </c>
      <c r="M33" s="1" t="s">
        <v>216</v>
      </c>
      <c r="N33" s="1" t="s">
        <v>131</v>
      </c>
      <c r="O33" s="13"/>
      <c r="P33" s="4"/>
      <c r="Q33" s="4"/>
      <c r="R33" s="1" t="s">
        <v>137</v>
      </c>
      <c r="S33" s="1" t="s">
        <v>137</v>
      </c>
      <c r="T33" s="1" t="s">
        <v>47</v>
      </c>
      <c r="U33" s="1" t="s">
        <v>4301</v>
      </c>
      <c r="V33" s="4"/>
      <c r="W33" s="4"/>
      <c r="X33" s="4"/>
    </row>
    <row r="34">
      <c r="A34" s="1" t="s">
        <v>4712</v>
      </c>
      <c r="B34" s="1" t="s">
        <v>4293</v>
      </c>
      <c r="C34" s="1" t="s">
        <v>4715</v>
      </c>
      <c r="D34" s="1" t="s">
        <v>777</v>
      </c>
      <c r="E34" s="1" t="s">
        <v>175</v>
      </c>
      <c r="F34" s="1" t="s">
        <v>585</v>
      </c>
      <c r="G34" s="1" t="s">
        <v>780</v>
      </c>
      <c r="H34" s="3">
        <v>45616.0</v>
      </c>
      <c r="I34" s="3">
        <v>45853.0</v>
      </c>
      <c r="J34" s="3">
        <v>45853.0</v>
      </c>
      <c r="K34" s="1" t="s">
        <v>215</v>
      </c>
      <c r="L34" s="1" t="s">
        <v>160</v>
      </c>
      <c r="M34" s="1" t="s">
        <v>216</v>
      </c>
      <c r="N34" s="1" t="s">
        <v>131</v>
      </c>
      <c r="O34" s="13"/>
      <c r="P34" s="4"/>
      <c r="Q34" s="4"/>
      <c r="R34" s="1" t="s">
        <v>137</v>
      </c>
      <c r="S34" s="1" t="s">
        <v>137</v>
      </c>
      <c r="T34" s="1" t="s">
        <v>47</v>
      </c>
      <c r="U34" s="1" t="s">
        <v>4301</v>
      </c>
      <c r="V34" s="4"/>
      <c r="W34" s="4"/>
      <c r="X34" s="4"/>
    </row>
    <row r="35">
      <c r="A35" s="1" t="s">
        <v>4736</v>
      </c>
      <c r="B35" s="1" t="s">
        <v>4293</v>
      </c>
      <c r="C35" s="1" t="s">
        <v>4738</v>
      </c>
      <c r="D35" s="1" t="s">
        <v>1823</v>
      </c>
      <c r="E35" s="1" t="s">
        <v>175</v>
      </c>
      <c r="F35" s="1" t="s">
        <v>1767</v>
      </c>
      <c r="G35" s="1" t="s">
        <v>3835</v>
      </c>
      <c r="H35" s="3">
        <v>44491.0</v>
      </c>
      <c r="I35" s="3">
        <v>44544.0</v>
      </c>
      <c r="J35" s="3">
        <v>44544.0</v>
      </c>
      <c r="K35" s="1" t="s">
        <v>215</v>
      </c>
      <c r="L35" s="1" t="s">
        <v>160</v>
      </c>
      <c r="M35" s="1" t="s">
        <v>216</v>
      </c>
      <c r="N35" s="1" t="s">
        <v>131</v>
      </c>
      <c r="O35" s="13"/>
      <c r="P35" s="4"/>
      <c r="Q35" s="4"/>
      <c r="R35" s="1" t="s">
        <v>137</v>
      </c>
      <c r="S35" s="1" t="s">
        <v>137</v>
      </c>
      <c r="T35" s="1" t="s">
        <v>47</v>
      </c>
      <c r="U35" s="1" t="s">
        <v>4301</v>
      </c>
      <c r="V35" s="4"/>
      <c r="W35" s="4"/>
      <c r="X35" s="4"/>
    </row>
    <row r="36">
      <c r="A36" s="1" t="s">
        <v>4749</v>
      </c>
      <c r="B36" s="1" t="s">
        <v>4293</v>
      </c>
      <c r="C36" s="1" t="s">
        <v>4752</v>
      </c>
      <c r="D36" s="1" t="s">
        <v>509</v>
      </c>
      <c r="E36" s="1" t="s">
        <v>454</v>
      </c>
      <c r="F36" s="1" t="s">
        <v>612</v>
      </c>
      <c r="G36" s="1" t="s">
        <v>613</v>
      </c>
      <c r="H36" s="3">
        <v>44400.0</v>
      </c>
      <c r="I36" s="3">
        <v>44402.0</v>
      </c>
      <c r="J36" s="3">
        <v>44402.0</v>
      </c>
      <c r="K36" s="1" t="s">
        <v>215</v>
      </c>
      <c r="L36" s="1" t="s">
        <v>160</v>
      </c>
      <c r="M36" s="1" t="s">
        <v>216</v>
      </c>
      <c r="N36" s="1" t="s">
        <v>131</v>
      </c>
      <c r="O36" s="13"/>
      <c r="P36" s="4"/>
      <c r="Q36" s="4"/>
      <c r="R36" s="1" t="s">
        <v>137</v>
      </c>
      <c r="S36" s="1" t="s">
        <v>137</v>
      </c>
      <c r="T36" s="1" t="s">
        <v>47</v>
      </c>
      <c r="U36" s="1" t="s">
        <v>4301</v>
      </c>
      <c r="V36" s="4"/>
      <c r="W36" s="4"/>
      <c r="X36" s="4"/>
    </row>
    <row r="37">
      <c r="A37" s="1" t="s">
        <v>449</v>
      </c>
      <c r="B37" s="1" t="s">
        <v>116</v>
      </c>
      <c r="C37" s="1" t="s">
        <v>452</v>
      </c>
      <c r="D37" s="1" t="s">
        <v>194</v>
      </c>
      <c r="E37" s="1" t="s">
        <v>454</v>
      </c>
      <c r="F37" s="1" t="s">
        <v>455</v>
      </c>
      <c r="G37" s="1" t="s">
        <v>456</v>
      </c>
      <c r="H37" s="3">
        <v>46125.0</v>
      </c>
      <c r="I37" s="3">
        <v>46260.0</v>
      </c>
      <c r="J37" s="13"/>
      <c r="K37" s="1" t="s">
        <v>124</v>
      </c>
      <c r="L37" s="1" t="s">
        <v>98</v>
      </c>
      <c r="M37" s="1" t="s">
        <v>253</v>
      </c>
      <c r="N37" s="1" t="s">
        <v>131</v>
      </c>
      <c r="O37" s="4"/>
      <c r="P37" s="1" t="s">
        <v>462</v>
      </c>
      <c r="Q37" s="4"/>
      <c r="R37" s="1" t="s">
        <v>137</v>
      </c>
      <c r="S37" s="1" t="s">
        <v>137</v>
      </c>
      <c r="T37" s="1" t="s">
        <v>47</v>
      </c>
      <c r="U37" s="1" t="s">
        <v>3680</v>
      </c>
      <c r="V37" s="4"/>
      <c r="W37" s="4"/>
      <c r="X37" s="4"/>
    </row>
    <row r="38">
      <c r="A38" s="1" t="s">
        <v>4774</v>
      </c>
      <c r="B38" s="1" t="s">
        <v>4293</v>
      </c>
      <c r="C38" s="1" t="s">
        <v>4777</v>
      </c>
      <c r="D38" s="1" t="s">
        <v>313</v>
      </c>
      <c r="E38" s="1" t="s">
        <v>889</v>
      </c>
      <c r="F38" s="1" t="s">
        <v>4133</v>
      </c>
      <c r="G38" s="1" t="s">
        <v>4134</v>
      </c>
      <c r="H38" s="3">
        <v>44378.0</v>
      </c>
      <c r="I38" s="3">
        <v>44446.0</v>
      </c>
      <c r="J38" s="3">
        <v>44446.0</v>
      </c>
      <c r="K38" s="1" t="s">
        <v>215</v>
      </c>
      <c r="L38" s="1" t="s">
        <v>160</v>
      </c>
      <c r="M38" s="1" t="s">
        <v>216</v>
      </c>
      <c r="N38" s="1" t="s">
        <v>131</v>
      </c>
      <c r="O38" s="13"/>
      <c r="P38" s="4"/>
      <c r="Q38" s="4"/>
      <c r="R38" s="1" t="s">
        <v>137</v>
      </c>
      <c r="S38" s="1" t="s">
        <v>137</v>
      </c>
      <c r="T38" s="1" t="s">
        <v>47</v>
      </c>
      <c r="U38" s="1" t="s">
        <v>4301</v>
      </c>
      <c r="V38" s="4"/>
      <c r="W38" s="4"/>
      <c r="X38" s="4"/>
    </row>
    <row r="39">
      <c r="A39" s="1" t="s">
        <v>4789</v>
      </c>
      <c r="B39" s="1" t="s">
        <v>4293</v>
      </c>
      <c r="C39" s="1" t="s">
        <v>4791</v>
      </c>
      <c r="D39" s="1" t="s">
        <v>118</v>
      </c>
      <c r="E39" s="1" t="s">
        <v>330</v>
      </c>
      <c r="F39" s="1" t="s">
        <v>356</v>
      </c>
      <c r="G39" s="1" t="s">
        <v>875</v>
      </c>
      <c r="H39" s="3">
        <v>45833.0</v>
      </c>
      <c r="I39" s="3">
        <v>46346.0</v>
      </c>
      <c r="J39" s="4"/>
      <c r="K39" s="1" t="s">
        <v>124</v>
      </c>
      <c r="L39" s="1" t="s">
        <v>160</v>
      </c>
      <c r="M39" s="1" t="s">
        <v>460</v>
      </c>
      <c r="N39" s="1" t="s">
        <v>131</v>
      </c>
      <c r="O39" s="4"/>
      <c r="P39" s="1" t="s">
        <v>4802</v>
      </c>
      <c r="Q39" s="4"/>
      <c r="R39" s="1" t="s">
        <v>137</v>
      </c>
      <c r="S39" s="1" t="s">
        <v>137</v>
      </c>
      <c r="T39" s="1" t="s">
        <v>47</v>
      </c>
      <c r="U39" s="1" t="s">
        <v>4301</v>
      </c>
      <c r="V39" s="4"/>
      <c r="W39" s="4"/>
      <c r="X39" s="4"/>
    </row>
    <row r="40">
      <c r="A40" s="1" t="s">
        <v>478</v>
      </c>
      <c r="B40" s="1" t="s">
        <v>146</v>
      </c>
      <c r="C40" s="1" t="s">
        <v>481</v>
      </c>
      <c r="D40" s="1" t="s">
        <v>172</v>
      </c>
      <c r="E40" s="1" t="s">
        <v>175</v>
      </c>
      <c r="F40" s="1" t="s">
        <v>177</v>
      </c>
      <c r="G40" s="1" t="s">
        <v>483</v>
      </c>
      <c r="H40" s="3">
        <v>46129.0</v>
      </c>
      <c r="I40" s="3">
        <v>46332.0</v>
      </c>
      <c r="J40" s="13"/>
      <c r="K40" s="1" t="s">
        <v>124</v>
      </c>
      <c r="L40" s="1" t="s">
        <v>160</v>
      </c>
      <c r="M40" s="1" t="s">
        <v>162</v>
      </c>
      <c r="N40" s="1" t="s">
        <v>131</v>
      </c>
      <c r="O40" s="13"/>
      <c r="P40" s="1" t="s">
        <v>485</v>
      </c>
      <c r="Q40" s="4"/>
      <c r="R40" s="1" t="s">
        <v>137</v>
      </c>
      <c r="S40" s="1" t="s">
        <v>137</v>
      </c>
      <c r="T40" s="1" t="s">
        <v>47</v>
      </c>
      <c r="U40" s="1" t="s">
        <v>3779</v>
      </c>
      <c r="V40" s="4"/>
      <c r="W40" s="4"/>
      <c r="X40" s="4"/>
    </row>
    <row r="41">
      <c r="A41" s="1" t="s">
        <v>4826</v>
      </c>
      <c r="B41" s="1" t="s">
        <v>4293</v>
      </c>
      <c r="C41" s="1" t="s">
        <v>4829</v>
      </c>
      <c r="D41" s="1" t="s">
        <v>754</v>
      </c>
      <c r="E41" s="1" t="s">
        <v>292</v>
      </c>
      <c r="F41" s="1" t="s">
        <v>962</v>
      </c>
      <c r="G41" s="1" t="s">
        <v>2048</v>
      </c>
      <c r="H41" s="3">
        <v>45278.0</v>
      </c>
      <c r="I41" s="3">
        <v>45366.0</v>
      </c>
      <c r="J41" s="3">
        <v>45366.0</v>
      </c>
      <c r="K41" s="1" t="s">
        <v>215</v>
      </c>
      <c r="L41" s="1" t="s">
        <v>160</v>
      </c>
      <c r="M41" s="1" t="s">
        <v>216</v>
      </c>
      <c r="N41" s="1" t="s">
        <v>131</v>
      </c>
      <c r="O41" s="13"/>
      <c r="P41" s="4"/>
      <c r="Q41" s="4"/>
      <c r="R41" s="1" t="s">
        <v>137</v>
      </c>
      <c r="S41" s="1" t="s">
        <v>137</v>
      </c>
      <c r="T41" s="1" t="s">
        <v>47</v>
      </c>
      <c r="U41" s="1" t="s">
        <v>4301</v>
      </c>
      <c r="V41" s="4"/>
      <c r="W41" s="4"/>
      <c r="X41" s="4"/>
    </row>
    <row r="42">
      <c r="A42" s="1" t="s">
        <v>4846</v>
      </c>
      <c r="B42" s="1" t="s">
        <v>4293</v>
      </c>
      <c r="C42" s="1" t="s">
        <v>4848</v>
      </c>
      <c r="D42" s="1" t="s">
        <v>1477</v>
      </c>
      <c r="E42" s="1" t="s">
        <v>175</v>
      </c>
      <c r="F42" s="1" t="s">
        <v>763</v>
      </c>
      <c r="G42" s="1" t="s">
        <v>764</v>
      </c>
      <c r="H42" s="3">
        <v>45904.0</v>
      </c>
      <c r="I42" s="3">
        <v>46037.0</v>
      </c>
      <c r="J42" s="3">
        <v>46037.0</v>
      </c>
      <c r="K42" s="1" t="s">
        <v>215</v>
      </c>
      <c r="L42" s="1" t="s">
        <v>160</v>
      </c>
      <c r="M42" s="1" t="s">
        <v>216</v>
      </c>
      <c r="N42" s="1" t="s">
        <v>131</v>
      </c>
      <c r="O42" s="4"/>
      <c r="P42" s="4"/>
      <c r="Q42" s="4"/>
      <c r="R42" s="1" t="s">
        <v>137</v>
      </c>
      <c r="S42" s="1" t="s">
        <v>137</v>
      </c>
      <c r="T42" s="1" t="s">
        <v>47</v>
      </c>
      <c r="U42" s="1" t="s">
        <v>4301</v>
      </c>
      <c r="V42" s="4"/>
      <c r="W42" s="4"/>
      <c r="X42" s="4"/>
    </row>
    <row r="43">
      <c r="A43" s="1" t="s">
        <v>4866</v>
      </c>
      <c r="B43" s="1" t="s">
        <v>4293</v>
      </c>
      <c r="C43" s="1" t="s">
        <v>4870</v>
      </c>
      <c r="D43" s="1" t="s">
        <v>518</v>
      </c>
      <c r="E43" s="1" t="s">
        <v>520</v>
      </c>
      <c r="F43" s="1" t="s">
        <v>522</v>
      </c>
      <c r="G43" s="1" t="s">
        <v>524</v>
      </c>
      <c r="H43" s="3">
        <v>44560.0</v>
      </c>
      <c r="I43" s="3">
        <v>43981.0</v>
      </c>
      <c r="J43" s="3">
        <v>43981.0</v>
      </c>
      <c r="K43" s="1" t="s">
        <v>215</v>
      </c>
      <c r="L43" s="1" t="s">
        <v>160</v>
      </c>
      <c r="M43" s="1" t="s">
        <v>216</v>
      </c>
      <c r="N43" s="1" t="s">
        <v>131</v>
      </c>
      <c r="O43" s="4"/>
      <c r="P43" s="4"/>
      <c r="Q43" s="4"/>
      <c r="R43" s="1" t="s">
        <v>137</v>
      </c>
      <c r="S43" s="1" t="s">
        <v>137</v>
      </c>
      <c r="T43" s="1" t="s">
        <v>47</v>
      </c>
      <c r="U43" s="1" t="s">
        <v>4301</v>
      </c>
      <c r="V43" s="4"/>
      <c r="W43" s="4"/>
      <c r="X43" s="4"/>
    </row>
    <row r="44">
      <c r="A44" s="1" t="s">
        <v>4887</v>
      </c>
      <c r="B44" s="1" t="s">
        <v>4293</v>
      </c>
      <c r="C44" s="1" t="s">
        <v>4890</v>
      </c>
      <c r="D44" s="1" t="s">
        <v>291</v>
      </c>
      <c r="E44" s="1" t="s">
        <v>292</v>
      </c>
      <c r="F44" s="1" t="s">
        <v>962</v>
      </c>
      <c r="G44" s="1" t="s">
        <v>2048</v>
      </c>
      <c r="H44" s="3">
        <v>45614.0</v>
      </c>
      <c r="I44" s="3">
        <v>45834.0</v>
      </c>
      <c r="J44" s="3">
        <v>45834.0</v>
      </c>
      <c r="K44" s="1" t="s">
        <v>215</v>
      </c>
      <c r="L44" s="1" t="s">
        <v>160</v>
      </c>
      <c r="M44" s="1" t="s">
        <v>216</v>
      </c>
      <c r="N44" s="1" t="s">
        <v>131</v>
      </c>
      <c r="O44" s="13"/>
      <c r="P44" s="4"/>
      <c r="Q44" s="4"/>
      <c r="R44" s="1" t="s">
        <v>137</v>
      </c>
      <c r="S44" s="1" t="s">
        <v>137</v>
      </c>
      <c r="T44" s="1" t="s">
        <v>47</v>
      </c>
      <c r="U44" s="1" t="s">
        <v>4301</v>
      </c>
      <c r="V44" s="4"/>
      <c r="W44" s="4"/>
      <c r="X44" s="4"/>
    </row>
    <row r="45">
      <c r="A45" s="1" t="s">
        <v>4905</v>
      </c>
      <c r="B45" s="1" t="s">
        <v>4293</v>
      </c>
      <c r="C45" s="1" t="s">
        <v>508</v>
      </c>
      <c r="D45" s="1" t="s">
        <v>509</v>
      </c>
      <c r="E45" s="1" t="s">
        <v>454</v>
      </c>
      <c r="F45" s="1" t="s">
        <v>455</v>
      </c>
      <c r="G45" s="1" t="s">
        <v>510</v>
      </c>
      <c r="H45" s="3">
        <v>45688.0</v>
      </c>
      <c r="I45" s="3">
        <v>45862.0</v>
      </c>
      <c r="J45" s="3">
        <v>45862.0</v>
      </c>
      <c r="K45" s="1" t="s">
        <v>215</v>
      </c>
      <c r="L45" s="1" t="s">
        <v>160</v>
      </c>
      <c r="M45" s="1" t="s">
        <v>216</v>
      </c>
      <c r="N45" s="1" t="s">
        <v>131</v>
      </c>
      <c r="O45" s="4"/>
      <c r="P45" s="4"/>
      <c r="Q45" s="4"/>
      <c r="R45" s="1" t="s">
        <v>137</v>
      </c>
      <c r="S45" s="1" t="s">
        <v>137</v>
      </c>
      <c r="T45" s="1" t="s">
        <v>47</v>
      </c>
      <c r="U45" s="1" t="s">
        <v>4301</v>
      </c>
      <c r="V45" s="4"/>
      <c r="W45" s="4"/>
      <c r="X45" s="4"/>
    </row>
    <row r="46">
      <c r="A46" s="1" t="s">
        <v>4923</v>
      </c>
      <c r="B46" s="1" t="s">
        <v>4293</v>
      </c>
      <c r="C46" s="1" t="s">
        <v>4925</v>
      </c>
      <c r="D46" s="1" t="s">
        <v>1291</v>
      </c>
      <c r="E46" s="1" t="s">
        <v>292</v>
      </c>
      <c r="F46" s="1" t="s">
        <v>494</v>
      </c>
      <c r="G46" s="1" t="s">
        <v>1362</v>
      </c>
      <c r="H46" s="3">
        <v>45525.0</v>
      </c>
      <c r="I46" s="13"/>
      <c r="J46" s="13"/>
      <c r="K46" s="1" t="s">
        <v>124</v>
      </c>
      <c r="L46" s="1" t="s">
        <v>160</v>
      </c>
      <c r="M46" s="1" t="s">
        <v>253</v>
      </c>
      <c r="N46" s="1" t="s">
        <v>131</v>
      </c>
      <c r="O46" s="13"/>
      <c r="P46" s="4"/>
      <c r="Q46" s="4"/>
      <c r="R46" s="1" t="s">
        <v>137</v>
      </c>
      <c r="S46" s="1" t="s">
        <v>137</v>
      </c>
      <c r="T46" s="1" t="s">
        <v>47</v>
      </c>
      <c r="U46" s="1" t="s">
        <v>4301</v>
      </c>
      <c r="V46" s="4"/>
      <c r="W46" s="4"/>
      <c r="X46" s="4"/>
    </row>
    <row r="47">
      <c r="A47" s="1" t="s">
        <v>4940</v>
      </c>
      <c r="B47" s="1" t="s">
        <v>4293</v>
      </c>
      <c r="C47" s="1" t="s">
        <v>4943</v>
      </c>
      <c r="D47" s="1" t="s">
        <v>509</v>
      </c>
      <c r="E47" s="1" t="s">
        <v>454</v>
      </c>
      <c r="F47" s="1" t="s">
        <v>455</v>
      </c>
      <c r="G47" s="1" t="s">
        <v>510</v>
      </c>
      <c r="H47" s="3">
        <v>45588.0</v>
      </c>
      <c r="I47" s="3">
        <v>45959.0</v>
      </c>
      <c r="J47" s="3">
        <v>45959.0</v>
      </c>
      <c r="K47" s="1" t="s">
        <v>215</v>
      </c>
      <c r="L47" s="1" t="s">
        <v>160</v>
      </c>
      <c r="M47" s="1" t="s">
        <v>216</v>
      </c>
      <c r="N47" s="1" t="s">
        <v>131</v>
      </c>
      <c r="O47" s="13"/>
      <c r="P47" s="4"/>
      <c r="Q47" s="4"/>
      <c r="R47" s="1" t="s">
        <v>137</v>
      </c>
      <c r="S47" s="1" t="s">
        <v>137</v>
      </c>
      <c r="T47" s="1" t="s">
        <v>47</v>
      </c>
      <c r="U47" s="1" t="s">
        <v>4301</v>
      </c>
      <c r="V47" s="4"/>
      <c r="W47" s="4"/>
      <c r="X47" s="4"/>
    </row>
    <row r="48">
      <c r="A48" s="1" t="s">
        <v>4962</v>
      </c>
      <c r="B48" s="1" t="s">
        <v>4293</v>
      </c>
      <c r="C48" s="1" t="s">
        <v>4964</v>
      </c>
      <c r="D48" s="1" t="s">
        <v>1477</v>
      </c>
      <c r="E48" s="1" t="s">
        <v>175</v>
      </c>
      <c r="F48" s="1" t="s">
        <v>245</v>
      </c>
      <c r="G48" s="1" t="s">
        <v>4968</v>
      </c>
      <c r="H48" s="3">
        <v>44803.0</v>
      </c>
      <c r="I48" s="3">
        <v>45019.0</v>
      </c>
      <c r="J48" s="3">
        <v>45019.0</v>
      </c>
      <c r="K48" s="1" t="s">
        <v>215</v>
      </c>
      <c r="L48" s="1" t="s">
        <v>160</v>
      </c>
      <c r="M48" s="1" t="s">
        <v>216</v>
      </c>
      <c r="N48" s="1" t="s">
        <v>131</v>
      </c>
      <c r="O48" s="13"/>
      <c r="P48" s="4"/>
      <c r="Q48" s="4"/>
      <c r="R48" s="1" t="s">
        <v>137</v>
      </c>
      <c r="S48" s="1" t="s">
        <v>137</v>
      </c>
      <c r="T48" s="1" t="s">
        <v>47</v>
      </c>
      <c r="U48" s="1" t="s">
        <v>4301</v>
      </c>
      <c r="V48" s="4"/>
      <c r="W48" s="4"/>
      <c r="X48" s="4"/>
    </row>
    <row r="49">
      <c r="A49" s="1" t="s">
        <v>4979</v>
      </c>
      <c r="B49" s="1" t="s">
        <v>4293</v>
      </c>
      <c r="C49" s="1" t="s">
        <v>4981</v>
      </c>
      <c r="D49" s="1" t="s">
        <v>518</v>
      </c>
      <c r="E49" s="1" t="s">
        <v>520</v>
      </c>
      <c r="F49" s="1" t="s">
        <v>522</v>
      </c>
      <c r="G49" s="1" t="s">
        <v>4985</v>
      </c>
      <c r="H49" s="3">
        <v>44263.0</v>
      </c>
      <c r="I49" s="3">
        <v>44263.0</v>
      </c>
      <c r="J49" s="3">
        <v>44263.0</v>
      </c>
      <c r="K49" s="1" t="s">
        <v>215</v>
      </c>
      <c r="L49" s="1" t="s">
        <v>160</v>
      </c>
      <c r="M49" s="1" t="s">
        <v>216</v>
      </c>
      <c r="N49" s="1" t="s">
        <v>131</v>
      </c>
      <c r="O49" s="4"/>
      <c r="P49" s="4"/>
      <c r="Q49" s="4"/>
      <c r="R49" s="1" t="s">
        <v>137</v>
      </c>
      <c r="S49" s="1" t="s">
        <v>137</v>
      </c>
      <c r="T49" s="1" t="s">
        <v>47</v>
      </c>
      <c r="U49" s="1" t="s">
        <v>4301</v>
      </c>
      <c r="V49" s="4"/>
      <c r="W49" s="4"/>
      <c r="X49" s="4"/>
    </row>
    <row r="50">
      <c r="A50" s="1" t="s">
        <v>4999</v>
      </c>
      <c r="B50" s="1" t="s">
        <v>4293</v>
      </c>
      <c r="C50" s="1" t="s">
        <v>5002</v>
      </c>
      <c r="D50" s="1" t="s">
        <v>593</v>
      </c>
      <c r="E50" s="1" t="s">
        <v>330</v>
      </c>
      <c r="F50" s="1" t="s">
        <v>356</v>
      </c>
      <c r="G50" s="1" t="s">
        <v>5006</v>
      </c>
      <c r="H50" s="3">
        <v>44937.0</v>
      </c>
      <c r="I50" s="3">
        <v>45153.0</v>
      </c>
      <c r="J50" s="3">
        <v>45153.0</v>
      </c>
      <c r="K50" s="1" t="s">
        <v>215</v>
      </c>
      <c r="L50" s="1" t="s">
        <v>160</v>
      </c>
      <c r="M50" s="1" t="s">
        <v>216</v>
      </c>
      <c r="N50" s="1" t="s">
        <v>131</v>
      </c>
      <c r="O50" s="13"/>
      <c r="P50" s="4"/>
      <c r="Q50" s="4"/>
      <c r="R50" s="1" t="s">
        <v>137</v>
      </c>
      <c r="S50" s="1" t="s">
        <v>137</v>
      </c>
      <c r="T50" s="1" t="s">
        <v>47</v>
      </c>
      <c r="U50" s="1" t="s">
        <v>4301</v>
      </c>
      <c r="V50" s="4"/>
      <c r="W50" s="4"/>
      <c r="X50" s="4"/>
    </row>
    <row r="51">
      <c r="A51" s="1" t="s">
        <v>5015</v>
      </c>
      <c r="B51" s="1" t="s">
        <v>116</v>
      </c>
      <c r="C51" s="1" t="s">
        <v>5016</v>
      </c>
      <c r="D51" s="1" t="s">
        <v>1067</v>
      </c>
      <c r="E51" s="1" t="s">
        <v>330</v>
      </c>
      <c r="F51" s="1" t="s">
        <v>663</v>
      </c>
      <c r="G51" s="1" t="s">
        <v>1068</v>
      </c>
      <c r="H51" s="3">
        <v>46254.0</v>
      </c>
      <c r="I51" s="13"/>
      <c r="J51" s="4"/>
      <c r="K51" s="1" t="s">
        <v>124</v>
      </c>
      <c r="L51" s="1" t="s">
        <v>71</v>
      </c>
      <c r="M51" s="1" t="s">
        <v>162</v>
      </c>
      <c r="N51" s="1" t="s">
        <v>131</v>
      </c>
      <c r="O51" s="4"/>
      <c r="P51" s="1" t="s">
        <v>5028</v>
      </c>
      <c r="Q51" s="4"/>
      <c r="R51" s="1" t="s">
        <v>137</v>
      </c>
      <c r="S51" s="1" t="s">
        <v>137</v>
      </c>
      <c r="T51" s="1" t="s">
        <v>47</v>
      </c>
      <c r="U51" s="1" t="s">
        <v>5031</v>
      </c>
      <c r="V51" s="4"/>
      <c r="W51" s="4"/>
      <c r="X51" s="4"/>
    </row>
    <row r="52">
      <c r="A52" s="1" t="s">
        <v>5035</v>
      </c>
      <c r="B52" s="1" t="s">
        <v>4293</v>
      </c>
      <c r="C52" s="1" t="s">
        <v>5041</v>
      </c>
      <c r="D52" s="1" t="s">
        <v>777</v>
      </c>
      <c r="E52" s="1" t="s">
        <v>292</v>
      </c>
      <c r="F52" s="1" t="s">
        <v>962</v>
      </c>
      <c r="G52" s="1" t="s">
        <v>5046</v>
      </c>
      <c r="H52" s="3">
        <v>44886.0</v>
      </c>
      <c r="I52" s="3">
        <v>45379.0</v>
      </c>
      <c r="J52" s="3">
        <v>45379.0</v>
      </c>
      <c r="K52" s="1" t="s">
        <v>215</v>
      </c>
      <c r="L52" s="1" t="s">
        <v>160</v>
      </c>
      <c r="M52" s="1" t="s">
        <v>216</v>
      </c>
      <c r="N52" s="1" t="s">
        <v>131</v>
      </c>
      <c r="O52" s="4"/>
      <c r="P52" s="4"/>
      <c r="Q52" s="4"/>
      <c r="R52" s="1" t="s">
        <v>137</v>
      </c>
      <c r="S52" s="1" t="s">
        <v>137</v>
      </c>
      <c r="T52" s="1" t="s">
        <v>47</v>
      </c>
      <c r="U52" s="1" t="s">
        <v>4301</v>
      </c>
      <c r="V52" s="4"/>
      <c r="W52" s="4"/>
      <c r="X52" s="4"/>
    </row>
    <row r="53">
      <c r="A53" s="1" t="s">
        <v>5055</v>
      </c>
      <c r="B53" s="1" t="s">
        <v>4293</v>
      </c>
      <c r="C53" s="1" t="s">
        <v>5058</v>
      </c>
      <c r="D53" s="1" t="s">
        <v>243</v>
      </c>
      <c r="E53" s="1" t="s">
        <v>292</v>
      </c>
      <c r="F53" s="1" t="s">
        <v>962</v>
      </c>
      <c r="G53" s="1" t="s">
        <v>2607</v>
      </c>
      <c r="H53" s="3">
        <v>44136.0</v>
      </c>
      <c r="I53" s="3">
        <v>44136.0</v>
      </c>
      <c r="J53" s="3">
        <v>44136.0</v>
      </c>
      <c r="K53" s="1" t="s">
        <v>215</v>
      </c>
      <c r="L53" s="1" t="s">
        <v>160</v>
      </c>
      <c r="M53" s="1" t="s">
        <v>216</v>
      </c>
      <c r="N53" s="1" t="s">
        <v>131</v>
      </c>
      <c r="O53" s="13"/>
      <c r="P53" s="4"/>
      <c r="Q53" s="4"/>
      <c r="R53" s="1" t="s">
        <v>137</v>
      </c>
      <c r="S53" s="1" t="s">
        <v>137</v>
      </c>
      <c r="T53" s="1" t="s">
        <v>47</v>
      </c>
      <c r="U53" s="1" t="s">
        <v>4301</v>
      </c>
      <c r="V53" s="4"/>
      <c r="W53" s="4"/>
      <c r="X53" s="4"/>
    </row>
    <row r="54">
      <c r="A54" s="1" t="s">
        <v>5073</v>
      </c>
      <c r="B54" s="1" t="s">
        <v>4293</v>
      </c>
      <c r="C54" s="1" t="s">
        <v>5077</v>
      </c>
      <c r="D54" s="1" t="s">
        <v>313</v>
      </c>
      <c r="E54" s="1" t="s">
        <v>292</v>
      </c>
      <c r="F54" s="1" t="s">
        <v>293</v>
      </c>
      <c r="G54" s="1" t="s">
        <v>3053</v>
      </c>
      <c r="H54" s="3">
        <v>44806.0</v>
      </c>
      <c r="I54" s="3">
        <v>45146.0</v>
      </c>
      <c r="J54" s="3">
        <v>45146.0</v>
      </c>
      <c r="K54" s="1" t="s">
        <v>215</v>
      </c>
      <c r="L54" s="1" t="s">
        <v>160</v>
      </c>
      <c r="M54" s="1" t="s">
        <v>216</v>
      </c>
      <c r="N54" s="1" t="s">
        <v>131</v>
      </c>
      <c r="O54" s="13"/>
      <c r="P54" s="4"/>
      <c r="Q54" s="4"/>
      <c r="R54" s="1" t="s">
        <v>137</v>
      </c>
      <c r="S54" s="1" t="s">
        <v>137</v>
      </c>
      <c r="T54" s="1" t="s">
        <v>47</v>
      </c>
      <c r="U54" s="1" t="s">
        <v>4301</v>
      </c>
      <c r="V54" s="4"/>
      <c r="W54" s="4"/>
      <c r="X54" s="4"/>
    </row>
    <row r="55">
      <c r="A55" s="1" t="s">
        <v>4816</v>
      </c>
      <c r="B55" s="1" t="s">
        <v>116</v>
      </c>
      <c r="C55" s="1" t="s">
        <v>5096</v>
      </c>
      <c r="D55" s="1" t="s">
        <v>509</v>
      </c>
      <c r="E55" s="1" t="s">
        <v>454</v>
      </c>
      <c r="F55" s="1" t="s">
        <v>455</v>
      </c>
      <c r="G55" s="1" t="s">
        <v>456</v>
      </c>
      <c r="H55" s="3">
        <v>46273.0</v>
      </c>
      <c r="I55" s="13"/>
      <c r="J55" s="4"/>
      <c r="K55" s="1" t="s">
        <v>124</v>
      </c>
      <c r="L55" s="1" t="s">
        <v>98</v>
      </c>
      <c r="M55" s="1" t="s">
        <v>162</v>
      </c>
      <c r="N55" s="1" t="s">
        <v>131</v>
      </c>
      <c r="O55" s="13"/>
      <c r="P55" s="1" t="s">
        <v>5108</v>
      </c>
      <c r="Q55" s="4"/>
      <c r="R55" s="1" t="s">
        <v>137</v>
      </c>
      <c r="S55" s="1" t="s">
        <v>137</v>
      </c>
      <c r="T55" s="1" t="s">
        <v>47</v>
      </c>
      <c r="U55" s="1" t="s">
        <v>4833</v>
      </c>
      <c r="V55" s="4"/>
      <c r="W55" s="4"/>
      <c r="X55" s="4"/>
    </row>
    <row r="56">
      <c r="A56" s="1" t="s">
        <v>5114</v>
      </c>
      <c r="B56" s="1" t="s">
        <v>4293</v>
      </c>
      <c r="C56" s="1" t="s">
        <v>5116</v>
      </c>
      <c r="D56" s="1" t="s">
        <v>678</v>
      </c>
      <c r="E56" s="1" t="s">
        <v>454</v>
      </c>
      <c r="F56" s="1" t="s">
        <v>637</v>
      </c>
      <c r="G56" s="1" t="s">
        <v>1513</v>
      </c>
      <c r="H56" s="3">
        <v>43300.0</v>
      </c>
      <c r="I56" s="3">
        <v>43327.0</v>
      </c>
      <c r="J56" s="3">
        <v>43327.0</v>
      </c>
      <c r="K56" s="1" t="s">
        <v>215</v>
      </c>
      <c r="L56" s="1" t="s">
        <v>160</v>
      </c>
      <c r="M56" s="1" t="s">
        <v>216</v>
      </c>
      <c r="N56" s="1" t="s">
        <v>131</v>
      </c>
      <c r="O56" s="4"/>
      <c r="P56" s="4"/>
      <c r="Q56" s="4"/>
      <c r="R56" s="1" t="s">
        <v>137</v>
      </c>
      <c r="S56" s="1" t="s">
        <v>137</v>
      </c>
      <c r="T56" s="1" t="s">
        <v>47</v>
      </c>
      <c r="U56" s="1" t="s">
        <v>4301</v>
      </c>
      <c r="V56" s="4"/>
      <c r="W56" s="4"/>
      <c r="X56" s="4"/>
    </row>
    <row r="57">
      <c r="A57" s="1" t="s">
        <v>5135</v>
      </c>
      <c r="B57" s="1" t="s">
        <v>4293</v>
      </c>
      <c r="C57" s="1" t="s">
        <v>5136</v>
      </c>
      <c r="D57" s="1" t="s">
        <v>492</v>
      </c>
      <c r="E57" s="1" t="s">
        <v>292</v>
      </c>
      <c r="F57" s="1" t="s">
        <v>576</v>
      </c>
      <c r="G57" s="1" t="s">
        <v>2297</v>
      </c>
      <c r="H57" s="3">
        <v>44893.0</v>
      </c>
      <c r="I57" s="3">
        <v>45440.0</v>
      </c>
      <c r="J57" s="3">
        <v>45440.0</v>
      </c>
      <c r="K57" s="1" t="s">
        <v>215</v>
      </c>
      <c r="L57" s="1" t="s">
        <v>160</v>
      </c>
      <c r="M57" s="1" t="s">
        <v>216</v>
      </c>
      <c r="N57" s="1" t="s">
        <v>131</v>
      </c>
      <c r="O57" s="4"/>
      <c r="P57" s="4"/>
      <c r="Q57" s="4"/>
      <c r="R57" s="1" t="s">
        <v>137</v>
      </c>
      <c r="S57" s="1" t="s">
        <v>137</v>
      </c>
      <c r="T57" s="1" t="s">
        <v>47</v>
      </c>
      <c r="U57" s="1" t="s">
        <v>4301</v>
      </c>
      <c r="V57" s="4"/>
      <c r="W57" s="4"/>
      <c r="X57" s="4"/>
    </row>
    <row r="58">
      <c r="A58" s="1" t="s">
        <v>583</v>
      </c>
      <c r="B58" s="1" t="s">
        <v>146</v>
      </c>
      <c r="C58" s="1" t="s">
        <v>584</v>
      </c>
      <c r="D58" s="1" t="s">
        <v>388</v>
      </c>
      <c r="E58" s="1" t="s">
        <v>175</v>
      </c>
      <c r="F58" s="1" t="s">
        <v>585</v>
      </c>
      <c r="G58" s="1" t="s">
        <v>586</v>
      </c>
      <c r="H58" s="3">
        <v>46129.0</v>
      </c>
      <c r="I58" s="13"/>
      <c r="J58" s="13"/>
      <c r="K58" s="1" t="s">
        <v>124</v>
      </c>
      <c r="L58" s="1" t="s">
        <v>160</v>
      </c>
      <c r="M58" s="1" t="s">
        <v>162</v>
      </c>
      <c r="N58" s="1" t="s">
        <v>131</v>
      </c>
      <c r="O58" s="4"/>
      <c r="P58" s="1" t="s">
        <v>588</v>
      </c>
      <c r="Q58" s="4"/>
      <c r="R58" s="1" t="s">
        <v>137</v>
      </c>
      <c r="S58" s="1" t="s">
        <v>137</v>
      </c>
      <c r="T58" s="1" t="s">
        <v>47</v>
      </c>
      <c r="U58" s="1" t="s">
        <v>589</v>
      </c>
      <c r="V58" s="4"/>
      <c r="W58" s="4"/>
      <c r="X58" s="4"/>
    </row>
    <row r="59">
      <c r="A59" s="1" t="s">
        <v>590</v>
      </c>
      <c r="B59" s="1" t="s">
        <v>146</v>
      </c>
      <c r="C59" s="1" t="s">
        <v>592</v>
      </c>
      <c r="D59" s="1" t="s">
        <v>593</v>
      </c>
      <c r="E59" s="1" t="s">
        <v>153</v>
      </c>
      <c r="F59" s="1" t="s">
        <v>155</v>
      </c>
      <c r="G59" s="1" t="s">
        <v>157</v>
      </c>
      <c r="H59" s="3">
        <v>46128.0</v>
      </c>
      <c r="I59" s="3">
        <v>46237.0</v>
      </c>
      <c r="J59" s="13"/>
      <c r="K59" s="1" t="s">
        <v>124</v>
      </c>
      <c r="L59" s="1" t="s">
        <v>160</v>
      </c>
      <c r="M59" s="1" t="s">
        <v>162</v>
      </c>
      <c r="N59" s="1" t="s">
        <v>131</v>
      </c>
      <c r="O59" s="13"/>
      <c r="P59" s="1" t="s">
        <v>596</v>
      </c>
      <c r="Q59" s="4"/>
      <c r="R59" s="1" t="s">
        <v>137</v>
      </c>
      <c r="S59" s="1" t="s">
        <v>137</v>
      </c>
      <c r="T59" s="1" t="s">
        <v>47</v>
      </c>
      <c r="U59" s="1" t="s">
        <v>3714</v>
      </c>
      <c r="V59" s="4"/>
      <c r="W59" s="4"/>
      <c r="X59" s="4"/>
    </row>
    <row r="60">
      <c r="A60" s="1" t="s">
        <v>5185</v>
      </c>
      <c r="B60" s="1" t="s">
        <v>4293</v>
      </c>
      <c r="C60" s="1" t="s">
        <v>5187</v>
      </c>
      <c r="D60" s="1" t="s">
        <v>388</v>
      </c>
      <c r="E60" s="1" t="s">
        <v>292</v>
      </c>
      <c r="F60" s="1" t="s">
        <v>494</v>
      </c>
      <c r="G60" s="1" t="s">
        <v>3632</v>
      </c>
      <c r="H60" s="3">
        <v>44677.0</v>
      </c>
      <c r="I60" s="3">
        <v>44958.0</v>
      </c>
      <c r="J60" s="3">
        <v>44958.0</v>
      </c>
      <c r="K60" s="1" t="s">
        <v>215</v>
      </c>
      <c r="L60" s="1" t="s">
        <v>160</v>
      </c>
      <c r="M60" s="1" t="s">
        <v>216</v>
      </c>
      <c r="N60" s="1" t="s">
        <v>131</v>
      </c>
      <c r="O60" s="13"/>
      <c r="P60" s="4"/>
      <c r="Q60" s="4"/>
      <c r="R60" s="1" t="s">
        <v>137</v>
      </c>
      <c r="S60" s="1" t="s">
        <v>137</v>
      </c>
      <c r="T60" s="1" t="s">
        <v>47</v>
      </c>
      <c r="U60" s="1" t="s">
        <v>4301</v>
      </c>
      <c r="V60" s="4"/>
      <c r="W60" s="4"/>
      <c r="X60" s="4"/>
    </row>
    <row r="61">
      <c r="A61" s="1" t="s">
        <v>643</v>
      </c>
      <c r="B61" s="1" t="s">
        <v>146</v>
      </c>
      <c r="C61" s="1" t="s">
        <v>644</v>
      </c>
      <c r="D61" s="1" t="s">
        <v>172</v>
      </c>
      <c r="E61" s="1" t="s">
        <v>175</v>
      </c>
      <c r="F61" s="1" t="s">
        <v>177</v>
      </c>
      <c r="G61" s="1" t="s">
        <v>178</v>
      </c>
      <c r="H61" s="3">
        <v>46129.0</v>
      </c>
      <c r="I61" s="13"/>
      <c r="J61" s="13"/>
      <c r="K61" s="1" t="s">
        <v>124</v>
      </c>
      <c r="L61" s="1" t="s">
        <v>160</v>
      </c>
      <c r="M61" s="1" t="s">
        <v>162</v>
      </c>
      <c r="N61" s="1" t="s">
        <v>131</v>
      </c>
      <c r="O61" s="13"/>
      <c r="P61" s="1" t="s">
        <v>645</v>
      </c>
      <c r="Q61" s="4"/>
      <c r="R61" s="1" t="s">
        <v>137</v>
      </c>
      <c r="S61" s="1" t="s">
        <v>137</v>
      </c>
      <c r="T61" s="1" t="s">
        <v>47</v>
      </c>
      <c r="U61" s="4"/>
      <c r="V61" s="4"/>
      <c r="W61" s="4"/>
      <c r="X61" s="4"/>
    </row>
    <row r="62">
      <c r="A62" s="1" t="s">
        <v>5225</v>
      </c>
      <c r="B62" s="1" t="s">
        <v>4293</v>
      </c>
      <c r="C62" s="1" t="s">
        <v>5229</v>
      </c>
      <c r="D62" s="1" t="s">
        <v>1823</v>
      </c>
      <c r="E62" s="1" t="s">
        <v>292</v>
      </c>
      <c r="F62" s="1" t="s">
        <v>293</v>
      </c>
      <c r="G62" s="1" t="s">
        <v>2091</v>
      </c>
      <c r="H62" s="3">
        <v>44062.0</v>
      </c>
      <c r="I62" s="3">
        <v>44106.0</v>
      </c>
      <c r="J62" s="3">
        <v>44106.0</v>
      </c>
      <c r="K62" s="1" t="s">
        <v>215</v>
      </c>
      <c r="L62" s="1" t="s">
        <v>160</v>
      </c>
      <c r="M62" s="1" t="s">
        <v>216</v>
      </c>
      <c r="N62" s="1" t="s">
        <v>131</v>
      </c>
      <c r="O62" s="13"/>
      <c r="P62" s="4"/>
      <c r="Q62" s="4"/>
      <c r="R62" s="1" t="s">
        <v>137</v>
      </c>
      <c r="S62" s="1" t="s">
        <v>137</v>
      </c>
      <c r="T62" s="1" t="s">
        <v>47</v>
      </c>
      <c r="U62" s="1" t="s">
        <v>4301</v>
      </c>
      <c r="V62" s="4"/>
      <c r="W62" s="4"/>
      <c r="X62" s="4"/>
    </row>
    <row r="63">
      <c r="A63" s="1" t="s">
        <v>5247</v>
      </c>
      <c r="B63" s="1" t="s">
        <v>4293</v>
      </c>
      <c r="C63" s="1" t="s">
        <v>5250</v>
      </c>
      <c r="D63" s="1" t="s">
        <v>1823</v>
      </c>
      <c r="E63" s="1" t="s">
        <v>292</v>
      </c>
      <c r="F63" s="1" t="s">
        <v>962</v>
      </c>
      <c r="G63" s="1" t="s">
        <v>963</v>
      </c>
      <c r="H63" s="3">
        <v>45449.0</v>
      </c>
      <c r="I63" s="13"/>
      <c r="J63" s="13"/>
      <c r="K63" s="1" t="s">
        <v>124</v>
      </c>
      <c r="L63" s="1" t="s">
        <v>160</v>
      </c>
      <c r="M63" s="1" t="s">
        <v>253</v>
      </c>
      <c r="N63" s="1" t="s">
        <v>131</v>
      </c>
      <c r="O63" s="13"/>
      <c r="P63" s="4"/>
      <c r="Q63" s="4"/>
      <c r="R63" s="1" t="s">
        <v>137</v>
      </c>
      <c r="S63" s="1" t="s">
        <v>137</v>
      </c>
      <c r="T63" s="1" t="s">
        <v>47</v>
      </c>
      <c r="U63" s="1" t="s">
        <v>4301</v>
      </c>
      <c r="V63" s="4"/>
      <c r="W63" s="4"/>
      <c r="X63" s="4"/>
    </row>
    <row r="64">
      <c r="A64" s="1" t="s">
        <v>5272</v>
      </c>
      <c r="B64" s="1" t="s">
        <v>4293</v>
      </c>
      <c r="C64" s="1" t="s">
        <v>5274</v>
      </c>
      <c r="D64" s="1" t="s">
        <v>1477</v>
      </c>
      <c r="E64" s="1" t="s">
        <v>292</v>
      </c>
      <c r="F64" s="1" t="s">
        <v>962</v>
      </c>
      <c r="G64" s="1" t="s">
        <v>963</v>
      </c>
      <c r="H64" s="3">
        <v>43552.0</v>
      </c>
      <c r="I64" s="3">
        <v>43670.0</v>
      </c>
      <c r="J64" s="3">
        <v>43670.0</v>
      </c>
      <c r="K64" s="1" t="s">
        <v>215</v>
      </c>
      <c r="L64" s="1" t="s">
        <v>160</v>
      </c>
      <c r="M64" s="1" t="s">
        <v>216</v>
      </c>
      <c r="N64" s="1" t="s">
        <v>131</v>
      </c>
      <c r="O64" s="13"/>
      <c r="P64" s="4"/>
      <c r="Q64" s="4"/>
      <c r="R64" s="1" t="s">
        <v>137</v>
      </c>
      <c r="S64" s="1" t="s">
        <v>137</v>
      </c>
      <c r="T64" s="1" t="s">
        <v>47</v>
      </c>
      <c r="U64" s="1" t="s">
        <v>4301</v>
      </c>
      <c r="V64" s="4"/>
      <c r="W64" s="4"/>
      <c r="X64" s="4"/>
    </row>
    <row r="65">
      <c r="A65" s="1" t="s">
        <v>5287</v>
      </c>
      <c r="B65" s="1" t="s">
        <v>4293</v>
      </c>
      <c r="C65" s="1" t="s">
        <v>5290</v>
      </c>
      <c r="D65" s="1" t="s">
        <v>2198</v>
      </c>
      <c r="E65" s="1" t="s">
        <v>175</v>
      </c>
      <c r="F65" s="1" t="s">
        <v>177</v>
      </c>
      <c r="G65" s="1" t="s">
        <v>503</v>
      </c>
      <c r="H65" s="3">
        <v>45447.0</v>
      </c>
      <c r="I65" s="3">
        <v>45819.0</v>
      </c>
      <c r="J65" s="3">
        <v>45819.0</v>
      </c>
      <c r="K65" s="1" t="s">
        <v>215</v>
      </c>
      <c r="L65" s="1" t="s">
        <v>160</v>
      </c>
      <c r="M65" s="1" t="s">
        <v>216</v>
      </c>
      <c r="N65" s="1" t="s">
        <v>131</v>
      </c>
      <c r="O65" s="13"/>
      <c r="P65" s="4"/>
      <c r="Q65" s="4"/>
      <c r="R65" s="1" t="s">
        <v>137</v>
      </c>
      <c r="S65" s="1" t="s">
        <v>137</v>
      </c>
      <c r="T65" s="1" t="s">
        <v>47</v>
      </c>
      <c r="U65" s="1" t="s">
        <v>4301</v>
      </c>
      <c r="V65" s="4"/>
      <c r="W65" s="4"/>
      <c r="X65" s="4"/>
    </row>
    <row r="66">
      <c r="A66" s="1" t="s">
        <v>5304</v>
      </c>
      <c r="B66" s="1" t="s">
        <v>4293</v>
      </c>
      <c r="C66" s="1" t="s">
        <v>5306</v>
      </c>
      <c r="D66" s="1" t="s">
        <v>492</v>
      </c>
      <c r="E66" s="1" t="s">
        <v>292</v>
      </c>
      <c r="F66" s="1" t="s">
        <v>962</v>
      </c>
      <c r="G66" s="1" t="s">
        <v>5046</v>
      </c>
      <c r="H66" s="3">
        <v>44985.0</v>
      </c>
      <c r="I66" s="3">
        <v>45455.0</v>
      </c>
      <c r="J66" s="3">
        <v>45455.0</v>
      </c>
      <c r="K66" s="1" t="s">
        <v>215</v>
      </c>
      <c r="L66" s="1" t="s">
        <v>160</v>
      </c>
      <c r="M66" s="1" t="s">
        <v>216</v>
      </c>
      <c r="N66" s="1" t="s">
        <v>131</v>
      </c>
      <c r="O66" s="13"/>
      <c r="P66" s="4"/>
      <c r="Q66" s="4"/>
      <c r="R66" s="1" t="s">
        <v>137</v>
      </c>
      <c r="S66" s="1" t="s">
        <v>137</v>
      </c>
      <c r="T66" s="1" t="s">
        <v>47</v>
      </c>
      <c r="U66" s="1" t="s">
        <v>4301</v>
      </c>
      <c r="V66" s="4"/>
      <c r="W66" s="4"/>
      <c r="X66" s="4"/>
    </row>
    <row r="67">
      <c r="A67" s="1" t="s">
        <v>5324</v>
      </c>
      <c r="B67" s="1" t="s">
        <v>4293</v>
      </c>
      <c r="C67" s="1" t="s">
        <v>5326</v>
      </c>
      <c r="D67" s="1" t="s">
        <v>313</v>
      </c>
      <c r="E67" s="1" t="s">
        <v>292</v>
      </c>
      <c r="F67" s="1" t="s">
        <v>962</v>
      </c>
      <c r="G67" s="1" t="s">
        <v>2048</v>
      </c>
      <c r="H67" s="3">
        <v>44075.0</v>
      </c>
      <c r="I67" s="3">
        <v>44075.0</v>
      </c>
      <c r="J67" s="3">
        <v>44075.0</v>
      </c>
      <c r="K67" s="1" t="s">
        <v>215</v>
      </c>
      <c r="L67" s="1" t="s">
        <v>160</v>
      </c>
      <c r="M67" s="1" t="s">
        <v>216</v>
      </c>
      <c r="N67" s="1" t="s">
        <v>131</v>
      </c>
      <c r="O67" s="13"/>
      <c r="P67" s="4"/>
      <c r="Q67" s="4"/>
      <c r="R67" s="1" t="s">
        <v>137</v>
      </c>
      <c r="S67" s="1" t="s">
        <v>137</v>
      </c>
      <c r="T67" s="1" t="s">
        <v>47</v>
      </c>
      <c r="U67" s="1" t="s">
        <v>4301</v>
      </c>
      <c r="V67" s="4"/>
      <c r="W67" s="4"/>
      <c r="X67" s="4"/>
    </row>
    <row r="68">
      <c r="A68" s="1" t="s">
        <v>5346</v>
      </c>
      <c r="B68" s="1" t="s">
        <v>4293</v>
      </c>
      <c r="C68" s="1" t="s">
        <v>5348</v>
      </c>
      <c r="D68" s="1" t="s">
        <v>388</v>
      </c>
      <c r="E68" s="4"/>
      <c r="F68" s="4"/>
      <c r="G68" s="4"/>
      <c r="H68" s="3">
        <v>45307.0</v>
      </c>
      <c r="I68" s="3">
        <v>45321.0</v>
      </c>
      <c r="J68" s="3">
        <v>45321.0</v>
      </c>
      <c r="K68" s="1" t="s">
        <v>215</v>
      </c>
      <c r="L68" s="1" t="s">
        <v>160</v>
      </c>
      <c r="M68" s="1" t="s">
        <v>216</v>
      </c>
      <c r="N68" s="1" t="s">
        <v>131</v>
      </c>
      <c r="O68" s="13"/>
      <c r="P68" s="4"/>
      <c r="Q68" s="4"/>
      <c r="R68" s="1" t="s">
        <v>137</v>
      </c>
      <c r="S68" s="1" t="s">
        <v>137</v>
      </c>
      <c r="T68" s="1" t="s">
        <v>47</v>
      </c>
      <c r="U68" s="1" t="s">
        <v>4301</v>
      </c>
      <c r="V68" s="4"/>
      <c r="W68" s="4"/>
      <c r="X68" s="4"/>
    </row>
    <row r="69">
      <c r="A69" s="1" t="s">
        <v>669</v>
      </c>
      <c r="B69" s="1" t="s">
        <v>670</v>
      </c>
      <c r="C69" s="1" t="s">
        <v>671</v>
      </c>
      <c r="D69" s="1" t="s">
        <v>172</v>
      </c>
      <c r="E69" s="1" t="s">
        <v>175</v>
      </c>
      <c r="F69" s="1" t="s">
        <v>177</v>
      </c>
      <c r="G69" s="1" t="s">
        <v>672</v>
      </c>
      <c r="H69" s="3">
        <v>46203.0</v>
      </c>
      <c r="I69" s="3">
        <v>46321.0</v>
      </c>
      <c r="J69" s="13"/>
      <c r="K69" s="1" t="s">
        <v>124</v>
      </c>
      <c r="L69" s="1" t="s">
        <v>71</v>
      </c>
      <c r="M69" s="1" t="s">
        <v>460</v>
      </c>
      <c r="N69" s="1" t="s">
        <v>131</v>
      </c>
      <c r="O69" s="13"/>
      <c r="P69" s="4"/>
      <c r="Q69" s="4"/>
      <c r="R69" s="1" t="s">
        <v>665</v>
      </c>
      <c r="S69" s="1" t="s">
        <v>665</v>
      </c>
      <c r="T69" s="1" t="s">
        <v>666</v>
      </c>
      <c r="U69" s="1" t="s">
        <v>4397</v>
      </c>
      <c r="V69" s="4"/>
      <c r="W69" s="4"/>
      <c r="X69" s="4"/>
    </row>
    <row r="70">
      <c r="A70" s="1" t="s">
        <v>5382</v>
      </c>
      <c r="B70" s="1" t="s">
        <v>4293</v>
      </c>
      <c r="C70" s="1" t="s">
        <v>5386</v>
      </c>
      <c r="D70" s="1" t="s">
        <v>1477</v>
      </c>
      <c r="E70" s="1" t="s">
        <v>292</v>
      </c>
      <c r="F70" s="1" t="s">
        <v>962</v>
      </c>
      <c r="G70" s="1" t="s">
        <v>2607</v>
      </c>
      <c r="H70" s="3">
        <v>45607.0</v>
      </c>
      <c r="I70" s="3">
        <v>45720.0</v>
      </c>
      <c r="J70" s="3">
        <v>45720.0</v>
      </c>
      <c r="K70" s="1" t="s">
        <v>215</v>
      </c>
      <c r="L70" s="1" t="s">
        <v>160</v>
      </c>
      <c r="M70" s="1" t="s">
        <v>216</v>
      </c>
      <c r="N70" s="1" t="s">
        <v>131</v>
      </c>
      <c r="O70" s="13"/>
      <c r="P70" s="4"/>
      <c r="Q70" s="4"/>
      <c r="R70" s="1" t="s">
        <v>137</v>
      </c>
      <c r="S70" s="1" t="s">
        <v>137</v>
      </c>
      <c r="T70" s="1" t="s">
        <v>47</v>
      </c>
      <c r="U70" s="1" t="s">
        <v>4301</v>
      </c>
      <c r="V70" s="4"/>
      <c r="W70" s="4"/>
      <c r="X70" s="4"/>
    </row>
    <row r="71">
      <c r="A71" s="1" t="s">
        <v>5402</v>
      </c>
      <c r="B71" s="1" t="s">
        <v>4293</v>
      </c>
      <c r="C71" s="1" t="s">
        <v>5406</v>
      </c>
      <c r="D71" s="1" t="s">
        <v>2276</v>
      </c>
      <c r="E71" s="1" t="s">
        <v>292</v>
      </c>
      <c r="F71" s="1" t="s">
        <v>293</v>
      </c>
      <c r="G71" s="1" t="s">
        <v>561</v>
      </c>
      <c r="H71" s="3">
        <v>45784.0</v>
      </c>
      <c r="I71" s="3">
        <v>46076.0</v>
      </c>
      <c r="J71" s="3">
        <v>46076.0</v>
      </c>
      <c r="K71" s="1" t="s">
        <v>215</v>
      </c>
      <c r="L71" s="1" t="s">
        <v>160</v>
      </c>
      <c r="M71" s="1" t="s">
        <v>216</v>
      </c>
      <c r="N71" s="1" t="s">
        <v>131</v>
      </c>
      <c r="O71" s="13"/>
      <c r="P71" s="4"/>
      <c r="Q71" s="4"/>
      <c r="R71" s="1" t="s">
        <v>137</v>
      </c>
      <c r="S71" s="1" t="s">
        <v>137</v>
      </c>
      <c r="T71" s="1" t="s">
        <v>47</v>
      </c>
      <c r="U71" s="1" t="s">
        <v>4301</v>
      </c>
      <c r="V71" s="4"/>
      <c r="W71" s="4"/>
      <c r="X71" s="4"/>
    </row>
    <row r="72">
      <c r="A72" s="1" t="s">
        <v>5421</v>
      </c>
      <c r="B72" s="1" t="s">
        <v>4293</v>
      </c>
      <c r="C72" s="1" t="s">
        <v>5423</v>
      </c>
      <c r="D72" s="1" t="s">
        <v>273</v>
      </c>
      <c r="E72" s="1" t="s">
        <v>330</v>
      </c>
      <c r="F72" s="1" t="s">
        <v>356</v>
      </c>
      <c r="G72" s="1" t="s">
        <v>864</v>
      </c>
      <c r="H72" s="3">
        <v>45009.0</v>
      </c>
      <c r="I72" s="3">
        <v>45397.0</v>
      </c>
      <c r="J72" s="3">
        <v>45397.0</v>
      </c>
      <c r="K72" s="1" t="s">
        <v>215</v>
      </c>
      <c r="L72" s="1" t="s">
        <v>160</v>
      </c>
      <c r="M72" s="1" t="s">
        <v>216</v>
      </c>
      <c r="N72" s="1" t="s">
        <v>131</v>
      </c>
      <c r="O72" s="13"/>
      <c r="P72" s="4"/>
      <c r="Q72" s="4"/>
      <c r="R72" s="1" t="s">
        <v>137</v>
      </c>
      <c r="S72" s="1" t="s">
        <v>137</v>
      </c>
      <c r="T72" s="1" t="s">
        <v>47</v>
      </c>
      <c r="U72" s="1" t="s">
        <v>4301</v>
      </c>
      <c r="V72" s="4"/>
      <c r="W72" s="4"/>
      <c r="X72" s="4"/>
    </row>
    <row r="73">
      <c r="A73" s="1" t="s">
        <v>5448</v>
      </c>
      <c r="B73" s="1" t="s">
        <v>4293</v>
      </c>
      <c r="C73" s="1" t="s">
        <v>5452</v>
      </c>
      <c r="D73" s="1" t="s">
        <v>417</v>
      </c>
      <c r="E73" s="4"/>
      <c r="F73" s="4"/>
      <c r="G73" s="4"/>
      <c r="H73" s="3">
        <v>44908.0</v>
      </c>
      <c r="I73" s="3">
        <v>45069.0</v>
      </c>
      <c r="J73" s="3">
        <v>45069.0</v>
      </c>
      <c r="K73" s="1" t="s">
        <v>215</v>
      </c>
      <c r="L73" s="1" t="s">
        <v>160</v>
      </c>
      <c r="M73" s="1" t="s">
        <v>216</v>
      </c>
      <c r="N73" s="1" t="s">
        <v>131</v>
      </c>
      <c r="O73" s="13"/>
      <c r="P73" s="4"/>
      <c r="Q73" s="4"/>
      <c r="R73" s="1" t="s">
        <v>137</v>
      </c>
      <c r="S73" s="1" t="s">
        <v>137</v>
      </c>
      <c r="T73" s="1" t="s">
        <v>47</v>
      </c>
      <c r="U73" s="1" t="s">
        <v>4301</v>
      </c>
      <c r="V73" s="4"/>
      <c r="W73" s="4"/>
      <c r="X73" s="4"/>
    </row>
    <row r="74">
      <c r="A74" s="1" t="s">
        <v>5467</v>
      </c>
      <c r="B74" s="1" t="s">
        <v>4293</v>
      </c>
      <c r="C74" s="1" t="s">
        <v>5470</v>
      </c>
      <c r="D74" s="1" t="s">
        <v>417</v>
      </c>
      <c r="E74" s="1" t="s">
        <v>292</v>
      </c>
      <c r="F74" s="1" t="s">
        <v>576</v>
      </c>
      <c r="G74" s="1" t="s">
        <v>1088</v>
      </c>
      <c r="H74" s="3">
        <v>44393.0</v>
      </c>
      <c r="I74" s="3">
        <v>44797.0</v>
      </c>
      <c r="J74" s="3">
        <v>44797.0</v>
      </c>
      <c r="K74" s="1" t="s">
        <v>215</v>
      </c>
      <c r="L74" s="1" t="s">
        <v>160</v>
      </c>
      <c r="M74" s="1" t="s">
        <v>216</v>
      </c>
      <c r="N74" s="1" t="s">
        <v>131</v>
      </c>
      <c r="O74" s="13"/>
      <c r="P74" s="4"/>
      <c r="Q74" s="4"/>
      <c r="R74" s="1" t="s">
        <v>137</v>
      </c>
      <c r="S74" s="1" t="s">
        <v>137</v>
      </c>
      <c r="T74" s="1" t="s">
        <v>47</v>
      </c>
      <c r="U74" s="1" t="s">
        <v>4301</v>
      </c>
      <c r="V74" s="4"/>
      <c r="W74" s="4"/>
      <c r="X74" s="4"/>
    </row>
    <row r="75">
      <c r="A75" s="1" t="s">
        <v>5486</v>
      </c>
      <c r="B75" s="1" t="s">
        <v>4293</v>
      </c>
      <c r="C75" s="1" t="s">
        <v>5489</v>
      </c>
      <c r="D75" s="1" t="s">
        <v>1823</v>
      </c>
      <c r="E75" s="1" t="s">
        <v>175</v>
      </c>
      <c r="F75" s="1" t="s">
        <v>1116</v>
      </c>
      <c r="G75" s="1" t="s">
        <v>5492</v>
      </c>
      <c r="H75" s="3">
        <v>45245.0</v>
      </c>
      <c r="I75" s="3">
        <v>45740.0</v>
      </c>
      <c r="J75" s="3">
        <v>45740.0</v>
      </c>
      <c r="K75" s="1" t="s">
        <v>215</v>
      </c>
      <c r="L75" s="1" t="s">
        <v>160</v>
      </c>
      <c r="M75" s="1" t="s">
        <v>216</v>
      </c>
      <c r="N75" s="1" t="s">
        <v>131</v>
      </c>
      <c r="O75" s="13"/>
      <c r="P75" s="4"/>
      <c r="Q75" s="4"/>
      <c r="R75" s="1" t="s">
        <v>137</v>
      </c>
      <c r="S75" s="1" t="s">
        <v>137</v>
      </c>
      <c r="T75" s="1" t="s">
        <v>47</v>
      </c>
      <c r="U75" s="1" t="s">
        <v>4301</v>
      </c>
      <c r="V75" s="4"/>
      <c r="W75" s="4"/>
      <c r="X75" s="4"/>
    </row>
    <row r="76">
      <c r="A76" s="1" t="s">
        <v>5504</v>
      </c>
      <c r="B76" s="1" t="s">
        <v>4293</v>
      </c>
      <c r="C76" s="1" t="s">
        <v>5506</v>
      </c>
      <c r="D76" s="1" t="s">
        <v>831</v>
      </c>
      <c r="E76" s="1" t="s">
        <v>292</v>
      </c>
      <c r="F76" s="1" t="s">
        <v>962</v>
      </c>
      <c r="G76" s="1" t="s">
        <v>5046</v>
      </c>
      <c r="H76" s="3">
        <v>45194.0</v>
      </c>
      <c r="I76" s="3">
        <v>45505.0</v>
      </c>
      <c r="J76" s="3">
        <v>45505.0</v>
      </c>
      <c r="K76" s="1" t="s">
        <v>215</v>
      </c>
      <c r="L76" s="1" t="s">
        <v>160</v>
      </c>
      <c r="M76" s="1" t="s">
        <v>216</v>
      </c>
      <c r="N76" s="1" t="s">
        <v>131</v>
      </c>
      <c r="O76" s="13"/>
      <c r="P76" s="4"/>
      <c r="Q76" s="4"/>
      <c r="R76" s="1" t="s">
        <v>137</v>
      </c>
      <c r="S76" s="1" t="s">
        <v>137</v>
      </c>
      <c r="T76" s="1" t="s">
        <v>47</v>
      </c>
      <c r="U76" s="1" t="s">
        <v>4301</v>
      </c>
      <c r="V76" s="4"/>
      <c r="W76" s="4"/>
      <c r="X76" s="4"/>
    </row>
    <row r="77">
      <c r="A77" s="1" t="s">
        <v>5521</v>
      </c>
      <c r="B77" s="1" t="s">
        <v>4293</v>
      </c>
      <c r="C77" s="1" t="s">
        <v>5523</v>
      </c>
      <c r="D77" s="1" t="s">
        <v>509</v>
      </c>
      <c r="E77" s="1" t="s">
        <v>454</v>
      </c>
      <c r="F77" s="1" t="s">
        <v>455</v>
      </c>
      <c r="G77" s="1" t="s">
        <v>510</v>
      </c>
      <c r="H77" s="3">
        <v>45265.0</v>
      </c>
      <c r="I77" s="3">
        <v>45637.0</v>
      </c>
      <c r="J77" s="3">
        <v>45637.0</v>
      </c>
      <c r="K77" s="1" t="s">
        <v>215</v>
      </c>
      <c r="L77" s="1" t="s">
        <v>160</v>
      </c>
      <c r="M77" s="1" t="s">
        <v>216</v>
      </c>
      <c r="N77" s="1" t="s">
        <v>131</v>
      </c>
      <c r="O77" s="13"/>
      <c r="P77" s="4"/>
      <c r="Q77" s="4"/>
      <c r="R77" s="1" t="s">
        <v>137</v>
      </c>
      <c r="S77" s="1" t="s">
        <v>137</v>
      </c>
      <c r="T77" s="1" t="s">
        <v>47</v>
      </c>
      <c r="U77" s="1" t="s">
        <v>4301</v>
      </c>
      <c r="V77" s="4"/>
      <c r="W77" s="4"/>
      <c r="X77" s="4"/>
    </row>
    <row r="78">
      <c r="A78" s="1" t="s">
        <v>5537</v>
      </c>
      <c r="B78" s="1" t="s">
        <v>4293</v>
      </c>
      <c r="C78" s="1" t="s">
        <v>5538</v>
      </c>
      <c r="D78" s="1" t="s">
        <v>172</v>
      </c>
      <c r="E78" s="1" t="s">
        <v>175</v>
      </c>
      <c r="F78" s="1" t="s">
        <v>3592</v>
      </c>
      <c r="G78" s="1" t="s">
        <v>5540</v>
      </c>
      <c r="H78" s="3">
        <v>44825.0</v>
      </c>
      <c r="I78" s="13"/>
      <c r="J78" s="4"/>
      <c r="K78" s="1" t="s">
        <v>124</v>
      </c>
      <c r="L78" s="1" t="s">
        <v>160</v>
      </c>
      <c r="M78" s="1" t="s">
        <v>253</v>
      </c>
      <c r="N78" s="1" t="s">
        <v>131</v>
      </c>
      <c r="O78" s="4"/>
      <c r="P78" s="4"/>
      <c r="Q78" s="4"/>
      <c r="R78" s="1" t="s">
        <v>137</v>
      </c>
      <c r="S78" s="1" t="s">
        <v>137</v>
      </c>
      <c r="T78" s="1" t="s">
        <v>47</v>
      </c>
      <c r="U78" s="1" t="s">
        <v>4301</v>
      </c>
      <c r="V78" s="4"/>
      <c r="W78" s="4"/>
      <c r="X78" s="4"/>
    </row>
    <row r="79">
      <c r="A79" s="1" t="s">
        <v>5553</v>
      </c>
      <c r="B79" s="1" t="s">
        <v>4293</v>
      </c>
      <c r="C79" s="1" t="s">
        <v>5556</v>
      </c>
      <c r="D79" s="1" t="s">
        <v>509</v>
      </c>
      <c r="E79" s="1" t="s">
        <v>454</v>
      </c>
      <c r="F79" s="1" t="s">
        <v>455</v>
      </c>
      <c r="G79" s="1" t="s">
        <v>456</v>
      </c>
      <c r="H79" s="3">
        <v>43959.0</v>
      </c>
      <c r="I79" s="3">
        <v>44127.0</v>
      </c>
      <c r="J79" s="3">
        <v>44127.0</v>
      </c>
      <c r="K79" s="1" t="s">
        <v>215</v>
      </c>
      <c r="L79" s="1" t="s">
        <v>160</v>
      </c>
      <c r="M79" s="1" t="s">
        <v>216</v>
      </c>
      <c r="N79" s="1" t="s">
        <v>131</v>
      </c>
      <c r="O79" s="13"/>
      <c r="P79" s="4"/>
      <c r="Q79" s="4"/>
      <c r="R79" s="1" t="s">
        <v>137</v>
      </c>
      <c r="S79" s="1" t="s">
        <v>137</v>
      </c>
      <c r="T79" s="1" t="s">
        <v>47</v>
      </c>
      <c r="U79" s="1" t="s">
        <v>4301</v>
      </c>
      <c r="V79" s="4"/>
      <c r="W79" s="4"/>
      <c r="X79" s="4"/>
    </row>
    <row r="80">
      <c r="A80" s="1" t="s">
        <v>5574</v>
      </c>
      <c r="B80" s="1" t="s">
        <v>4293</v>
      </c>
      <c r="C80" s="1" t="s">
        <v>5577</v>
      </c>
      <c r="D80" s="1" t="s">
        <v>417</v>
      </c>
      <c r="E80" s="1" t="s">
        <v>691</v>
      </c>
      <c r="F80" s="1" t="s">
        <v>1142</v>
      </c>
      <c r="G80" s="1" t="s">
        <v>1143</v>
      </c>
      <c r="H80" s="3">
        <v>45426.0</v>
      </c>
      <c r="I80" s="3">
        <v>45677.0</v>
      </c>
      <c r="J80" s="3">
        <v>45677.0</v>
      </c>
      <c r="K80" s="1" t="s">
        <v>215</v>
      </c>
      <c r="L80" s="1" t="s">
        <v>160</v>
      </c>
      <c r="M80" s="1" t="s">
        <v>216</v>
      </c>
      <c r="N80" s="1" t="s">
        <v>131</v>
      </c>
      <c r="O80" s="4"/>
      <c r="P80" s="4"/>
      <c r="Q80" s="4"/>
      <c r="R80" s="1" t="s">
        <v>137</v>
      </c>
      <c r="S80" s="1" t="s">
        <v>137</v>
      </c>
      <c r="T80" s="1" t="s">
        <v>47</v>
      </c>
      <c r="U80" s="1" t="s">
        <v>4301</v>
      </c>
      <c r="V80" s="4"/>
      <c r="W80" s="4"/>
      <c r="X80" s="4"/>
    </row>
    <row r="81">
      <c r="A81" s="1" t="s">
        <v>5592</v>
      </c>
      <c r="B81" s="1" t="s">
        <v>4293</v>
      </c>
      <c r="C81" s="1" t="s">
        <v>5597</v>
      </c>
      <c r="D81" s="1" t="s">
        <v>1776</v>
      </c>
      <c r="E81" s="1" t="s">
        <v>292</v>
      </c>
      <c r="F81" s="1" t="s">
        <v>962</v>
      </c>
      <c r="G81" s="1" t="s">
        <v>5600</v>
      </c>
      <c r="H81" s="3">
        <v>45071.0</v>
      </c>
      <c r="I81" s="3">
        <v>45180.0</v>
      </c>
      <c r="J81" s="3">
        <v>45180.0</v>
      </c>
      <c r="K81" s="1" t="s">
        <v>215</v>
      </c>
      <c r="L81" s="1" t="s">
        <v>160</v>
      </c>
      <c r="M81" s="1" t="s">
        <v>216</v>
      </c>
      <c r="N81" s="1" t="s">
        <v>131</v>
      </c>
      <c r="O81" s="4"/>
      <c r="P81" s="4"/>
      <c r="Q81" s="4"/>
      <c r="R81" s="1" t="s">
        <v>137</v>
      </c>
      <c r="S81" s="1" t="s">
        <v>137</v>
      </c>
      <c r="T81" s="1" t="s">
        <v>47</v>
      </c>
      <c r="U81" s="1" t="s">
        <v>4301</v>
      </c>
      <c r="V81" s="4"/>
      <c r="W81" s="4"/>
      <c r="X81" s="4"/>
    </row>
    <row r="82">
      <c r="A82" s="1" t="s">
        <v>5605</v>
      </c>
      <c r="B82" s="1" t="s">
        <v>4293</v>
      </c>
      <c r="C82" s="1" t="s">
        <v>5608</v>
      </c>
      <c r="D82" s="1" t="s">
        <v>2198</v>
      </c>
      <c r="E82" s="1" t="s">
        <v>292</v>
      </c>
      <c r="F82" s="1" t="s">
        <v>494</v>
      </c>
      <c r="G82" s="1" t="s">
        <v>2278</v>
      </c>
      <c r="H82" s="3">
        <v>44378.0</v>
      </c>
      <c r="I82" s="3">
        <v>44651.0</v>
      </c>
      <c r="J82" s="3">
        <v>44651.0</v>
      </c>
      <c r="K82" s="1" t="s">
        <v>215</v>
      </c>
      <c r="L82" s="1" t="s">
        <v>160</v>
      </c>
      <c r="M82" s="1" t="s">
        <v>216</v>
      </c>
      <c r="N82" s="1" t="s">
        <v>131</v>
      </c>
      <c r="O82" s="13"/>
      <c r="P82" s="4"/>
      <c r="Q82" s="4"/>
      <c r="R82" s="1" t="s">
        <v>137</v>
      </c>
      <c r="S82" s="1" t="s">
        <v>137</v>
      </c>
      <c r="T82" s="1" t="s">
        <v>47</v>
      </c>
      <c r="U82" s="1" t="s">
        <v>4301</v>
      </c>
      <c r="V82" s="4"/>
      <c r="W82" s="4"/>
      <c r="X82" s="4"/>
    </row>
    <row r="83">
      <c r="A83" s="1" t="s">
        <v>5631</v>
      </c>
      <c r="B83" s="1" t="s">
        <v>4293</v>
      </c>
      <c r="C83" s="1" t="s">
        <v>5633</v>
      </c>
      <c r="D83" s="1" t="s">
        <v>1823</v>
      </c>
      <c r="E83" s="1" t="s">
        <v>292</v>
      </c>
      <c r="F83" s="1" t="s">
        <v>962</v>
      </c>
      <c r="G83" s="1" t="s">
        <v>4470</v>
      </c>
      <c r="H83" s="3">
        <v>45464.0</v>
      </c>
      <c r="I83" s="3">
        <v>45568.0</v>
      </c>
      <c r="J83" s="3">
        <v>45568.0</v>
      </c>
      <c r="K83" s="1" t="s">
        <v>215</v>
      </c>
      <c r="L83" s="1" t="s">
        <v>160</v>
      </c>
      <c r="M83" s="1" t="s">
        <v>216</v>
      </c>
      <c r="N83" s="1" t="s">
        <v>131</v>
      </c>
      <c r="O83" s="13"/>
      <c r="P83" s="4"/>
      <c r="Q83" s="4"/>
      <c r="R83" s="1" t="s">
        <v>137</v>
      </c>
      <c r="S83" s="1" t="s">
        <v>137</v>
      </c>
      <c r="T83" s="1" t="s">
        <v>47</v>
      </c>
      <c r="U83" s="1" t="s">
        <v>4301</v>
      </c>
      <c r="V83" s="4"/>
      <c r="W83" s="4"/>
      <c r="X83" s="4"/>
    </row>
    <row r="84">
      <c r="A84" s="1" t="s">
        <v>5655</v>
      </c>
      <c r="B84" s="1" t="s">
        <v>4293</v>
      </c>
      <c r="C84" s="1" t="s">
        <v>5657</v>
      </c>
      <c r="D84" s="1" t="s">
        <v>509</v>
      </c>
      <c r="E84" s="1" t="s">
        <v>454</v>
      </c>
      <c r="F84" s="1" t="s">
        <v>455</v>
      </c>
      <c r="G84" s="1" t="s">
        <v>456</v>
      </c>
      <c r="H84" s="3">
        <v>44266.0</v>
      </c>
      <c r="I84" s="3">
        <v>44312.0</v>
      </c>
      <c r="J84" s="3">
        <v>44312.0</v>
      </c>
      <c r="K84" s="1" t="s">
        <v>215</v>
      </c>
      <c r="L84" s="1" t="s">
        <v>160</v>
      </c>
      <c r="M84" s="1" t="s">
        <v>216</v>
      </c>
      <c r="N84" s="1" t="s">
        <v>131</v>
      </c>
      <c r="O84" s="13"/>
      <c r="P84" s="4"/>
      <c r="Q84" s="4"/>
      <c r="R84" s="1" t="s">
        <v>137</v>
      </c>
      <c r="S84" s="1" t="s">
        <v>137</v>
      </c>
      <c r="T84" s="1" t="s">
        <v>47</v>
      </c>
      <c r="U84" s="1" t="s">
        <v>4301</v>
      </c>
      <c r="V84" s="4"/>
      <c r="W84" s="4"/>
      <c r="X84" s="4"/>
    </row>
    <row r="85">
      <c r="A85" s="1" t="s">
        <v>5665</v>
      </c>
      <c r="B85" s="1" t="s">
        <v>4293</v>
      </c>
      <c r="C85" s="1" t="s">
        <v>5666</v>
      </c>
      <c r="D85" s="1" t="s">
        <v>509</v>
      </c>
      <c r="E85" s="1" t="s">
        <v>454</v>
      </c>
      <c r="F85" s="1" t="s">
        <v>455</v>
      </c>
      <c r="G85" s="1" t="s">
        <v>510</v>
      </c>
      <c r="H85" s="3">
        <v>43977.0</v>
      </c>
      <c r="I85" s="3">
        <v>44013.0</v>
      </c>
      <c r="J85" s="3">
        <v>44013.0</v>
      </c>
      <c r="K85" s="1" t="s">
        <v>215</v>
      </c>
      <c r="L85" s="1" t="s">
        <v>160</v>
      </c>
      <c r="M85" s="1" t="s">
        <v>216</v>
      </c>
      <c r="N85" s="1" t="s">
        <v>131</v>
      </c>
      <c r="O85" s="13"/>
      <c r="P85" s="4"/>
      <c r="Q85" s="4"/>
      <c r="R85" s="1" t="s">
        <v>137</v>
      </c>
      <c r="S85" s="1" t="s">
        <v>137</v>
      </c>
      <c r="T85" s="1" t="s">
        <v>47</v>
      </c>
      <c r="U85" s="1" t="s">
        <v>4301</v>
      </c>
      <c r="V85" s="4"/>
      <c r="W85" s="4"/>
      <c r="X85" s="4"/>
    </row>
    <row r="86">
      <c r="A86" s="1" t="s">
        <v>5676</v>
      </c>
      <c r="B86" s="1" t="s">
        <v>4293</v>
      </c>
      <c r="C86" s="1" t="s">
        <v>5679</v>
      </c>
      <c r="D86" s="4"/>
      <c r="E86" s="4"/>
      <c r="F86" s="4"/>
      <c r="G86" s="4"/>
      <c r="H86" s="3">
        <v>44504.0</v>
      </c>
      <c r="I86" s="3">
        <v>44818.0</v>
      </c>
      <c r="J86" s="3">
        <v>44818.0</v>
      </c>
      <c r="K86" s="1" t="s">
        <v>215</v>
      </c>
      <c r="L86" s="1" t="s">
        <v>160</v>
      </c>
      <c r="M86" s="1" t="s">
        <v>216</v>
      </c>
      <c r="N86" s="1" t="s">
        <v>131</v>
      </c>
      <c r="O86" s="13"/>
      <c r="P86" s="4"/>
      <c r="Q86" s="4"/>
      <c r="R86" s="1" t="s">
        <v>137</v>
      </c>
      <c r="S86" s="1" t="s">
        <v>137</v>
      </c>
      <c r="T86" s="1" t="s">
        <v>47</v>
      </c>
      <c r="U86" s="1" t="s">
        <v>4301</v>
      </c>
      <c r="V86" s="4"/>
      <c r="W86" s="4"/>
      <c r="X86" s="4"/>
    </row>
    <row r="87">
      <c r="A87" s="1" t="s">
        <v>5686</v>
      </c>
      <c r="B87" s="1" t="s">
        <v>4293</v>
      </c>
      <c r="C87" s="1" t="s">
        <v>736</v>
      </c>
      <c r="D87" s="1" t="s">
        <v>509</v>
      </c>
      <c r="E87" s="1" t="s">
        <v>454</v>
      </c>
      <c r="F87" s="1" t="s">
        <v>455</v>
      </c>
      <c r="G87" s="1" t="s">
        <v>738</v>
      </c>
      <c r="H87" s="3">
        <v>43749.0</v>
      </c>
      <c r="I87" s="3">
        <v>43921.0</v>
      </c>
      <c r="J87" s="3">
        <v>43921.0</v>
      </c>
      <c r="K87" s="1" t="s">
        <v>215</v>
      </c>
      <c r="L87" s="1" t="s">
        <v>160</v>
      </c>
      <c r="M87" s="1" t="s">
        <v>216</v>
      </c>
      <c r="N87" s="1" t="s">
        <v>131</v>
      </c>
      <c r="O87" s="13"/>
      <c r="P87" s="4"/>
      <c r="Q87" s="4"/>
      <c r="R87" s="1" t="s">
        <v>137</v>
      </c>
      <c r="S87" s="1" t="s">
        <v>137</v>
      </c>
      <c r="T87" s="1" t="s">
        <v>47</v>
      </c>
      <c r="U87" s="1" t="s">
        <v>4301</v>
      </c>
      <c r="V87" s="4"/>
      <c r="W87" s="4"/>
      <c r="X87" s="4"/>
    </row>
    <row r="88">
      <c r="A88" s="1" t="s">
        <v>5700</v>
      </c>
      <c r="B88" s="1" t="s">
        <v>4293</v>
      </c>
      <c r="C88" s="1" t="s">
        <v>5701</v>
      </c>
      <c r="D88" s="1" t="s">
        <v>1932</v>
      </c>
      <c r="E88" s="1" t="s">
        <v>292</v>
      </c>
      <c r="F88" s="1" t="s">
        <v>494</v>
      </c>
      <c r="G88" s="1" t="s">
        <v>2278</v>
      </c>
      <c r="H88" s="3">
        <v>45195.0</v>
      </c>
      <c r="I88" s="3">
        <v>45322.0</v>
      </c>
      <c r="J88" s="3">
        <v>45322.0</v>
      </c>
      <c r="K88" s="1" t="s">
        <v>215</v>
      </c>
      <c r="L88" s="1" t="s">
        <v>160</v>
      </c>
      <c r="M88" s="1" t="s">
        <v>216</v>
      </c>
      <c r="N88" s="1" t="s">
        <v>131</v>
      </c>
      <c r="O88" s="13"/>
      <c r="P88" s="4"/>
      <c r="Q88" s="4"/>
      <c r="R88" s="1" t="s">
        <v>137</v>
      </c>
      <c r="S88" s="1" t="s">
        <v>137</v>
      </c>
      <c r="T88" s="1" t="s">
        <v>47</v>
      </c>
      <c r="U88" s="1" t="s">
        <v>4301</v>
      </c>
      <c r="V88" s="4"/>
      <c r="W88" s="4"/>
      <c r="X88" s="4"/>
    </row>
    <row r="89">
      <c r="A89" s="1" t="s">
        <v>5719</v>
      </c>
      <c r="B89" s="1" t="s">
        <v>4293</v>
      </c>
      <c r="C89" s="1" t="s">
        <v>5722</v>
      </c>
      <c r="D89" s="1" t="s">
        <v>919</v>
      </c>
      <c r="E89" s="1" t="s">
        <v>330</v>
      </c>
      <c r="F89" s="1" t="s">
        <v>663</v>
      </c>
      <c r="G89" s="1" t="s">
        <v>2835</v>
      </c>
      <c r="H89" s="3">
        <v>44558.0</v>
      </c>
      <c r="I89" s="3">
        <v>44671.0</v>
      </c>
      <c r="J89" s="3">
        <v>44671.0</v>
      </c>
      <c r="K89" s="1" t="s">
        <v>215</v>
      </c>
      <c r="L89" s="1" t="s">
        <v>160</v>
      </c>
      <c r="M89" s="1" t="s">
        <v>216</v>
      </c>
      <c r="N89" s="1" t="s">
        <v>131</v>
      </c>
      <c r="O89" s="13"/>
      <c r="P89" s="4"/>
      <c r="Q89" s="4"/>
      <c r="R89" s="1" t="s">
        <v>137</v>
      </c>
      <c r="S89" s="1" t="s">
        <v>137</v>
      </c>
      <c r="T89" s="1" t="s">
        <v>47</v>
      </c>
      <c r="U89" s="1" t="s">
        <v>4301</v>
      </c>
      <c r="V89" s="4"/>
      <c r="W89" s="4"/>
      <c r="X89" s="4"/>
    </row>
    <row r="90">
      <c r="A90" s="1" t="s">
        <v>790</v>
      </c>
      <c r="B90" s="1" t="s">
        <v>146</v>
      </c>
      <c r="C90" s="1" t="s">
        <v>792</v>
      </c>
      <c r="D90" s="1" t="s">
        <v>313</v>
      </c>
      <c r="E90" s="1" t="s">
        <v>175</v>
      </c>
      <c r="F90" s="1" t="s">
        <v>569</v>
      </c>
      <c r="G90" s="1" t="s">
        <v>798</v>
      </c>
      <c r="H90" s="3">
        <v>46174.0</v>
      </c>
      <c r="I90" s="13"/>
      <c r="J90" s="4"/>
      <c r="K90" s="1" t="s">
        <v>124</v>
      </c>
      <c r="L90" s="1" t="s">
        <v>160</v>
      </c>
      <c r="M90" s="1" t="s">
        <v>162</v>
      </c>
      <c r="N90" s="1" t="s">
        <v>131</v>
      </c>
      <c r="O90" s="4"/>
      <c r="P90" s="1" t="s">
        <v>803</v>
      </c>
      <c r="Q90" s="4"/>
      <c r="R90" s="1" t="s">
        <v>137</v>
      </c>
      <c r="S90" s="1" t="s">
        <v>137</v>
      </c>
      <c r="T90" s="1" t="s">
        <v>47</v>
      </c>
      <c r="U90" s="1" t="s">
        <v>3818</v>
      </c>
      <c r="V90" s="4"/>
      <c r="W90" s="4"/>
      <c r="X90" s="4"/>
    </row>
    <row r="91">
      <c r="A91" s="1" t="s">
        <v>5759</v>
      </c>
      <c r="B91" s="1" t="s">
        <v>4293</v>
      </c>
      <c r="C91" s="1" t="s">
        <v>813</v>
      </c>
      <c r="D91" s="1" t="s">
        <v>5763</v>
      </c>
      <c r="E91" s="4"/>
      <c r="F91" s="1" t="s">
        <v>228</v>
      </c>
      <c r="G91" s="1" t="s">
        <v>5767</v>
      </c>
      <c r="H91" s="3">
        <v>45859.0</v>
      </c>
      <c r="I91" s="13"/>
      <c r="J91" s="13"/>
      <c r="K91" s="1" t="s">
        <v>124</v>
      </c>
      <c r="L91" s="1" t="s">
        <v>160</v>
      </c>
      <c r="M91" s="1" t="s">
        <v>253</v>
      </c>
      <c r="N91" s="1" t="s">
        <v>131</v>
      </c>
      <c r="O91" s="4"/>
      <c r="P91" s="4"/>
      <c r="Q91" s="4"/>
      <c r="R91" s="1" t="s">
        <v>137</v>
      </c>
      <c r="S91" s="1" t="s">
        <v>137</v>
      </c>
      <c r="T91" s="1" t="s">
        <v>47</v>
      </c>
      <c r="U91" s="1" t="s">
        <v>4301</v>
      </c>
      <c r="V91" s="4"/>
      <c r="W91" s="4"/>
      <c r="X91" s="4"/>
    </row>
    <row r="92">
      <c r="A92" s="1" t="s">
        <v>827</v>
      </c>
      <c r="B92" s="1" t="s">
        <v>828</v>
      </c>
      <c r="C92" s="1" t="s">
        <v>829</v>
      </c>
      <c r="D92" s="1" t="s">
        <v>831</v>
      </c>
      <c r="E92" s="1" t="s">
        <v>292</v>
      </c>
      <c r="F92" s="1" t="s">
        <v>576</v>
      </c>
      <c r="G92" s="1" t="s">
        <v>835</v>
      </c>
      <c r="H92" s="3">
        <v>46129.0</v>
      </c>
      <c r="I92" s="3">
        <v>46297.0</v>
      </c>
      <c r="J92" s="13"/>
      <c r="K92" s="1" t="s">
        <v>124</v>
      </c>
      <c r="L92" s="1" t="s">
        <v>160</v>
      </c>
      <c r="M92" s="1" t="s">
        <v>162</v>
      </c>
      <c r="N92" s="1" t="s">
        <v>131</v>
      </c>
      <c r="O92" s="13"/>
      <c r="P92" s="1" t="s">
        <v>485</v>
      </c>
      <c r="Q92" s="4"/>
      <c r="R92" s="1" t="s">
        <v>665</v>
      </c>
      <c r="S92" s="1" t="s">
        <v>665</v>
      </c>
      <c r="T92" s="1" t="s">
        <v>666</v>
      </c>
      <c r="U92" s="1" t="s">
        <v>3825</v>
      </c>
      <c r="V92" s="4"/>
      <c r="W92" s="4"/>
      <c r="X92" s="4"/>
    </row>
    <row r="93">
      <c r="A93" s="1" t="s">
        <v>5795</v>
      </c>
      <c r="B93" s="1" t="s">
        <v>4293</v>
      </c>
      <c r="C93" s="1" t="s">
        <v>860</v>
      </c>
      <c r="D93" s="1" t="s">
        <v>593</v>
      </c>
      <c r="E93" s="1" t="s">
        <v>330</v>
      </c>
      <c r="F93" s="1" t="s">
        <v>356</v>
      </c>
      <c r="G93" s="1" t="s">
        <v>864</v>
      </c>
      <c r="H93" s="3">
        <v>44022.0</v>
      </c>
      <c r="I93" s="3">
        <v>44166.0</v>
      </c>
      <c r="J93" s="3">
        <v>44166.0</v>
      </c>
      <c r="K93" s="1" t="s">
        <v>215</v>
      </c>
      <c r="L93" s="1" t="s">
        <v>160</v>
      </c>
      <c r="M93" s="1" t="s">
        <v>216</v>
      </c>
      <c r="N93" s="1" t="s">
        <v>131</v>
      </c>
      <c r="O93" s="13"/>
      <c r="P93" s="4"/>
      <c r="Q93" s="4"/>
      <c r="R93" s="1" t="s">
        <v>137</v>
      </c>
      <c r="S93" s="1" t="s">
        <v>137</v>
      </c>
      <c r="T93" s="1" t="s">
        <v>47</v>
      </c>
      <c r="U93" s="1" t="s">
        <v>4301</v>
      </c>
      <c r="V93" s="4"/>
      <c r="W93" s="4"/>
      <c r="X93" s="4"/>
    </row>
    <row r="94">
      <c r="A94" s="1" t="s">
        <v>5808</v>
      </c>
      <c r="B94" s="1" t="s">
        <v>4293</v>
      </c>
      <c r="C94" s="1" t="s">
        <v>872</v>
      </c>
      <c r="D94" s="1" t="s">
        <v>273</v>
      </c>
      <c r="E94" s="1" t="s">
        <v>330</v>
      </c>
      <c r="F94" s="1" t="s">
        <v>356</v>
      </c>
      <c r="G94" s="1" t="s">
        <v>875</v>
      </c>
      <c r="H94" s="3">
        <v>45309.0</v>
      </c>
      <c r="I94" s="3">
        <v>45649.0</v>
      </c>
      <c r="J94" s="3">
        <v>45649.0</v>
      </c>
      <c r="K94" s="1" t="s">
        <v>215</v>
      </c>
      <c r="L94" s="1" t="s">
        <v>160</v>
      </c>
      <c r="M94" s="1" t="s">
        <v>216</v>
      </c>
      <c r="N94" s="1" t="s">
        <v>131</v>
      </c>
      <c r="O94" s="13"/>
      <c r="P94" s="4"/>
      <c r="Q94" s="4"/>
      <c r="R94" s="1" t="s">
        <v>137</v>
      </c>
      <c r="S94" s="1" t="s">
        <v>137</v>
      </c>
      <c r="T94" s="1" t="s">
        <v>47</v>
      </c>
      <c r="U94" s="1" t="s">
        <v>4301</v>
      </c>
      <c r="V94" s="4"/>
      <c r="W94" s="4"/>
      <c r="X94" s="4"/>
    </row>
    <row r="95">
      <c r="A95" s="1" t="s">
        <v>5823</v>
      </c>
      <c r="B95" s="1" t="s">
        <v>4293</v>
      </c>
      <c r="C95" s="1" t="s">
        <v>5825</v>
      </c>
      <c r="D95" s="1" t="s">
        <v>396</v>
      </c>
      <c r="E95" s="1" t="s">
        <v>292</v>
      </c>
      <c r="F95" s="1" t="s">
        <v>962</v>
      </c>
      <c r="G95" s="1" t="s">
        <v>1969</v>
      </c>
      <c r="H95" s="3">
        <v>45106.0</v>
      </c>
      <c r="I95" s="3">
        <v>45426.0</v>
      </c>
      <c r="J95" s="3">
        <v>45426.0</v>
      </c>
      <c r="K95" s="1" t="s">
        <v>215</v>
      </c>
      <c r="L95" s="1" t="s">
        <v>160</v>
      </c>
      <c r="M95" s="1" t="s">
        <v>216</v>
      </c>
      <c r="N95" s="1" t="s">
        <v>131</v>
      </c>
      <c r="O95" s="13"/>
      <c r="P95" s="4"/>
      <c r="Q95" s="4"/>
      <c r="R95" s="1" t="s">
        <v>137</v>
      </c>
      <c r="S95" s="1" t="s">
        <v>137</v>
      </c>
      <c r="T95" s="1" t="s">
        <v>47</v>
      </c>
      <c r="U95" s="1" t="s">
        <v>4301</v>
      </c>
      <c r="V95" s="4"/>
      <c r="W95" s="4"/>
      <c r="X95" s="4"/>
    </row>
    <row r="96">
      <c r="A96" s="1" t="s">
        <v>5842</v>
      </c>
      <c r="B96" s="1" t="s">
        <v>4293</v>
      </c>
      <c r="C96" s="1" t="s">
        <v>5844</v>
      </c>
      <c r="D96" s="1" t="s">
        <v>5847</v>
      </c>
      <c r="E96" s="1" t="s">
        <v>292</v>
      </c>
      <c r="F96" s="1" t="s">
        <v>494</v>
      </c>
      <c r="G96" s="1" t="s">
        <v>496</v>
      </c>
      <c r="H96" s="3">
        <v>45281.0</v>
      </c>
      <c r="I96" s="3">
        <v>45586.0</v>
      </c>
      <c r="J96" s="3">
        <v>45586.0</v>
      </c>
      <c r="K96" s="1" t="s">
        <v>215</v>
      </c>
      <c r="L96" s="1" t="s">
        <v>160</v>
      </c>
      <c r="M96" s="1" t="s">
        <v>216</v>
      </c>
      <c r="N96" s="1" t="s">
        <v>131</v>
      </c>
      <c r="O96" s="13"/>
      <c r="P96" s="4"/>
      <c r="Q96" s="4"/>
      <c r="R96" s="1" t="s">
        <v>137</v>
      </c>
      <c r="S96" s="1" t="s">
        <v>137</v>
      </c>
      <c r="T96" s="1" t="s">
        <v>47</v>
      </c>
      <c r="U96" s="1" t="s">
        <v>4301</v>
      </c>
      <c r="V96" s="4"/>
      <c r="W96" s="4"/>
      <c r="X96" s="4"/>
    </row>
    <row r="97">
      <c r="A97" s="1" t="s">
        <v>884</v>
      </c>
      <c r="B97" s="1" t="s">
        <v>146</v>
      </c>
      <c r="C97" s="1" t="s">
        <v>888</v>
      </c>
      <c r="D97" s="1" t="s">
        <v>777</v>
      </c>
      <c r="E97" s="1" t="s">
        <v>889</v>
      </c>
      <c r="F97" s="1" t="s">
        <v>890</v>
      </c>
      <c r="G97" s="1" t="s">
        <v>892</v>
      </c>
      <c r="H97" s="3">
        <v>46216.0</v>
      </c>
      <c r="I97" s="3">
        <v>46363.0</v>
      </c>
      <c r="J97" s="4"/>
      <c r="K97" s="1" t="s">
        <v>124</v>
      </c>
      <c r="L97" s="1" t="s">
        <v>160</v>
      </c>
      <c r="M97" s="1" t="s">
        <v>162</v>
      </c>
      <c r="N97" s="1" t="s">
        <v>131</v>
      </c>
      <c r="O97" s="4"/>
      <c r="P97" s="1" t="s">
        <v>895</v>
      </c>
      <c r="Q97" s="4"/>
      <c r="R97" s="1" t="s">
        <v>137</v>
      </c>
      <c r="S97" s="1" t="s">
        <v>137</v>
      </c>
      <c r="T97" s="1" t="s">
        <v>47</v>
      </c>
      <c r="U97" s="1" t="s">
        <v>5872</v>
      </c>
      <c r="V97" s="4"/>
      <c r="W97" s="4"/>
      <c r="X97" s="4"/>
    </row>
    <row r="98">
      <c r="A98" s="1" t="s">
        <v>5875</v>
      </c>
      <c r="B98" s="1" t="s">
        <v>4293</v>
      </c>
      <c r="C98" s="1" t="s">
        <v>5879</v>
      </c>
      <c r="D98" s="1" t="s">
        <v>417</v>
      </c>
      <c r="E98" s="1" t="s">
        <v>889</v>
      </c>
      <c r="F98" s="1" t="s">
        <v>1983</v>
      </c>
      <c r="G98" s="1" t="s">
        <v>5881</v>
      </c>
      <c r="H98" s="3">
        <v>45644.0</v>
      </c>
      <c r="I98" s="3">
        <v>45929.0</v>
      </c>
      <c r="J98" s="3">
        <v>45929.0</v>
      </c>
      <c r="K98" s="1" t="s">
        <v>215</v>
      </c>
      <c r="L98" s="1" t="s">
        <v>160</v>
      </c>
      <c r="M98" s="1" t="s">
        <v>216</v>
      </c>
      <c r="N98" s="1" t="s">
        <v>131</v>
      </c>
      <c r="O98" s="13"/>
      <c r="P98" s="4"/>
      <c r="Q98" s="4"/>
      <c r="R98" s="1" t="s">
        <v>137</v>
      </c>
      <c r="S98" s="1" t="s">
        <v>137</v>
      </c>
      <c r="T98" s="1" t="s">
        <v>47</v>
      </c>
      <c r="U98" s="1" t="s">
        <v>4301</v>
      </c>
      <c r="V98" s="4"/>
      <c r="W98" s="4"/>
      <c r="X98" s="4"/>
    </row>
    <row r="99">
      <c r="A99" s="1" t="s">
        <v>5895</v>
      </c>
      <c r="B99" s="1" t="s">
        <v>4293</v>
      </c>
      <c r="C99" s="1" t="s">
        <v>5897</v>
      </c>
      <c r="D99" s="1" t="s">
        <v>313</v>
      </c>
      <c r="E99" s="1" t="s">
        <v>292</v>
      </c>
      <c r="F99" s="1" t="s">
        <v>293</v>
      </c>
      <c r="G99" s="1" t="s">
        <v>295</v>
      </c>
      <c r="H99" s="3">
        <v>45930.0</v>
      </c>
      <c r="I99" s="13"/>
      <c r="J99" s="13"/>
      <c r="K99" s="1" t="s">
        <v>124</v>
      </c>
      <c r="L99" s="1" t="s">
        <v>160</v>
      </c>
      <c r="M99" s="1" t="s">
        <v>253</v>
      </c>
      <c r="N99" s="1" t="s">
        <v>131</v>
      </c>
      <c r="O99" s="13"/>
      <c r="P99" s="4"/>
      <c r="Q99" s="4"/>
      <c r="R99" s="1" t="s">
        <v>137</v>
      </c>
      <c r="S99" s="1" t="s">
        <v>137</v>
      </c>
      <c r="T99" s="1" t="s">
        <v>47</v>
      </c>
      <c r="U99" s="1" t="s">
        <v>4301</v>
      </c>
      <c r="V99" s="4"/>
      <c r="W99" s="4"/>
      <c r="X99" s="4"/>
    </row>
    <row r="100">
      <c r="A100" s="1" t="s">
        <v>5913</v>
      </c>
      <c r="B100" s="1" t="s">
        <v>4293</v>
      </c>
      <c r="C100" s="1" t="s">
        <v>5915</v>
      </c>
      <c r="D100" s="1" t="s">
        <v>388</v>
      </c>
      <c r="E100" s="1" t="s">
        <v>889</v>
      </c>
      <c r="F100" s="1" t="s">
        <v>2385</v>
      </c>
      <c r="G100" s="4"/>
      <c r="H100" s="3">
        <v>45194.0</v>
      </c>
      <c r="I100" s="3">
        <v>45545.0</v>
      </c>
      <c r="J100" s="3">
        <v>45545.0</v>
      </c>
      <c r="K100" s="1" t="s">
        <v>215</v>
      </c>
      <c r="L100" s="1" t="s">
        <v>160</v>
      </c>
      <c r="M100" s="1" t="s">
        <v>216</v>
      </c>
      <c r="N100" s="1" t="s">
        <v>131</v>
      </c>
      <c r="O100" s="13"/>
      <c r="P100" s="4"/>
      <c r="Q100" s="4"/>
      <c r="R100" s="1" t="s">
        <v>137</v>
      </c>
      <c r="S100" s="1" t="s">
        <v>137</v>
      </c>
      <c r="T100" s="1" t="s">
        <v>47</v>
      </c>
      <c r="U100" s="1" t="s">
        <v>4301</v>
      </c>
      <c r="V100" s="4"/>
      <c r="W100" s="4"/>
      <c r="X100" s="4"/>
    </row>
    <row r="101">
      <c r="A101" s="1" t="s">
        <v>5931</v>
      </c>
      <c r="B101" s="1" t="s">
        <v>4293</v>
      </c>
      <c r="C101" s="1" t="s">
        <v>5934</v>
      </c>
      <c r="D101" s="1" t="s">
        <v>273</v>
      </c>
      <c r="E101" s="1" t="s">
        <v>330</v>
      </c>
      <c r="F101" s="1" t="s">
        <v>356</v>
      </c>
      <c r="G101" s="1" t="s">
        <v>5006</v>
      </c>
      <c r="H101" s="3">
        <v>45460.0</v>
      </c>
      <c r="I101" s="3">
        <v>45973.0</v>
      </c>
      <c r="J101" s="3">
        <v>45973.0</v>
      </c>
      <c r="K101" s="1" t="s">
        <v>215</v>
      </c>
      <c r="L101" s="1" t="s">
        <v>160</v>
      </c>
      <c r="M101" s="1" t="s">
        <v>216</v>
      </c>
      <c r="N101" s="1" t="s">
        <v>131</v>
      </c>
      <c r="O101" s="13"/>
      <c r="P101" s="4"/>
      <c r="Q101" s="4"/>
      <c r="R101" s="1" t="s">
        <v>137</v>
      </c>
      <c r="S101" s="1" t="s">
        <v>137</v>
      </c>
      <c r="T101" s="1" t="s">
        <v>47</v>
      </c>
      <c r="U101" s="1" t="s">
        <v>4301</v>
      </c>
      <c r="V101" s="4"/>
      <c r="W101" s="4"/>
      <c r="X101" s="4"/>
    </row>
    <row r="102">
      <c r="A102" s="1" t="s">
        <v>5950</v>
      </c>
      <c r="B102" s="1" t="s">
        <v>4293</v>
      </c>
      <c r="C102" s="1" t="s">
        <v>5954</v>
      </c>
      <c r="D102" s="1" t="s">
        <v>1272</v>
      </c>
      <c r="E102" s="1" t="s">
        <v>520</v>
      </c>
      <c r="F102" s="1" t="s">
        <v>1671</v>
      </c>
      <c r="G102" s="1" t="s">
        <v>5959</v>
      </c>
      <c r="H102" s="3">
        <v>44256.0</v>
      </c>
      <c r="I102" s="3">
        <v>44256.0</v>
      </c>
      <c r="J102" s="3">
        <v>44256.0</v>
      </c>
      <c r="K102" s="1" t="s">
        <v>215</v>
      </c>
      <c r="L102" s="1" t="s">
        <v>160</v>
      </c>
      <c r="M102" s="1" t="s">
        <v>216</v>
      </c>
      <c r="N102" s="1" t="s">
        <v>131</v>
      </c>
      <c r="O102" s="13"/>
      <c r="P102" s="4"/>
      <c r="Q102" s="4"/>
      <c r="R102" s="1" t="s">
        <v>137</v>
      </c>
      <c r="S102" s="1" t="s">
        <v>137</v>
      </c>
      <c r="T102" s="1" t="s">
        <v>47</v>
      </c>
      <c r="U102" s="1" t="s">
        <v>4301</v>
      </c>
      <c r="V102" s="4"/>
      <c r="W102" s="4"/>
      <c r="X102" s="4"/>
    </row>
    <row r="103">
      <c r="A103" s="1" t="s">
        <v>5971</v>
      </c>
      <c r="B103" s="1" t="s">
        <v>4293</v>
      </c>
      <c r="C103" s="1" t="s">
        <v>5975</v>
      </c>
      <c r="D103" s="1" t="s">
        <v>180</v>
      </c>
      <c r="E103" s="1" t="s">
        <v>520</v>
      </c>
      <c r="F103" s="1" t="s">
        <v>1671</v>
      </c>
      <c r="G103" s="1" t="s">
        <v>1673</v>
      </c>
      <c r="H103" s="3">
        <v>44197.0</v>
      </c>
      <c r="I103" s="3">
        <v>44197.0</v>
      </c>
      <c r="J103" s="3">
        <v>44197.0</v>
      </c>
      <c r="K103" s="1" t="s">
        <v>215</v>
      </c>
      <c r="L103" s="1" t="s">
        <v>160</v>
      </c>
      <c r="M103" s="1" t="s">
        <v>216</v>
      </c>
      <c r="N103" s="1" t="s">
        <v>131</v>
      </c>
      <c r="O103" s="13"/>
      <c r="P103" s="4"/>
      <c r="Q103" s="4"/>
      <c r="R103" s="1" t="s">
        <v>137</v>
      </c>
      <c r="S103" s="1" t="s">
        <v>137</v>
      </c>
      <c r="T103" s="1" t="s">
        <v>47</v>
      </c>
      <c r="U103" s="1" t="s">
        <v>4301</v>
      </c>
      <c r="V103" s="4"/>
      <c r="W103" s="4"/>
      <c r="X103" s="4"/>
    </row>
    <row r="104">
      <c r="A104" s="1" t="s">
        <v>5989</v>
      </c>
      <c r="B104" s="1" t="s">
        <v>4293</v>
      </c>
      <c r="C104" s="1" t="s">
        <v>5992</v>
      </c>
      <c r="D104" s="1" t="s">
        <v>273</v>
      </c>
      <c r="E104" s="1" t="s">
        <v>330</v>
      </c>
      <c r="F104" s="1" t="s">
        <v>356</v>
      </c>
      <c r="G104" s="1" t="s">
        <v>3203</v>
      </c>
      <c r="H104" s="3">
        <v>44636.0</v>
      </c>
      <c r="I104" s="3">
        <v>44753.0</v>
      </c>
      <c r="J104" s="3">
        <v>44753.0</v>
      </c>
      <c r="K104" s="1" t="s">
        <v>215</v>
      </c>
      <c r="L104" s="1" t="s">
        <v>160</v>
      </c>
      <c r="M104" s="1" t="s">
        <v>216</v>
      </c>
      <c r="N104" s="1" t="s">
        <v>131</v>
      </c>
      <c r="O104" s="13"/>
      <c r="P104" s="4"/>
      <c r="Q104" s="4"/>
      <c r="R104" s="1" t="s">
        <v>137</v>
      </c>
      <c r="S104" s="1" t="s">
        <v>137</v>
      </c>
      <c r="T104" s="1" t="s">
        <v>47</v>
      </c>
      <c r="U104" s="1" t="s">
        <v>4301</v>
      </c>
      <c r="V104" s="4"/>
      <c r="W104" s="4"/>
      <c r="X104" s="4"/>
    </row>
    <row r="105">
      <c r="A105" s="1" t="s">
        <v>6005</v>
      </c>
      <c r="B105" s="1" t="s">
        <v>4293</v>
      </c>
      <c r="C105" s="1" t="s">
        <v>6008</v>
      </c>
      <c r="D105" s="1" t="s">
        <v>548</v>
      </c>
      <c r="E105" s="1" t="s">
        <v>520</v>
      </c>
      <c r="F105" s="1" t="s">
        <v>1229</v>
      </c>
      <c r="G105" s="1" t="s">
        <v>6014</v>
      </c>
      <c r="H105" s="3">
        <v>45372.0</v>
      </c>
      <c r="I105" s="13"/>
      <c r="J105" s="13"/>
      <c r="K105" s="1" t="s">
        <v>124</v>
      </c>
      <c r="L105" s="1" t="s">
        <v>160</v>
      </c>
      <c r="M105" s="1" t="s">
        <v>253</v>
      </c>
      <c r="N105" s="1" t="s">
        <v>131</v>
      </c>
      <c r="O105" s="13"/>
      <c r="P105" s="4"/>
      <c r="Q105" s="4"/>
      <c r="R105" s="1" t="s">
        <v>137</v>
      </c>
      <c r="S105" s="1" t="s">
        <v>137</v>
      </c>
      <c r="T105" s="1" t="s">
        <v>47</v>
      </c>
      <c r="U105" s="1" t="s">
        <v>4301</v>
      </c>
      <c r="V105" s="4"/>
      <c r="W105" s="4"/>
      <c r="X105" s="4"/>
    </row>
    <row r="106">
      <c r="A106" s="1" t="s">
        <v>957</v>
      </c>
      <c r="B106" s="1" t="s">
        <v>146</v>
      </c>
      <c r="C106" s="1" t="s">
        <v>959</v>
      </c>
      <c r="D106" s="1" t="s">
        <v>960</v>
      </c>
      <c r="E106" s="1" t="s">
        <v>292</v>
      </c>
      <c r="F106" s="1" t="s">
        <v>962</v>
      </c>
      <c r="G106" s="1" t="s">
        <v>963</v>
      </c>
      <c r="H106" s="3">
        <v>46129.0</v>
      </c>
      <c r="I106" s="13"/>
      <c r="J106" s="13"/>
      <c r="K106" s="1" t="s">
        <v>124</v>
      </c>
      <c r="L106" s="1" t="s">
        <v>160</v>
      </c>
      <c r="M106" s="1" t="s">
        <v>162</v>
      </c>
      <c r="N106" s="1" t="s">
        <v>131</v>
      </c>
      <c r="O106" s="13"/>
      <c r="P106" s="1" t="s">
        <v>485</v>
      </c>
      <c r="Q106" s="4"/>
      <c r="R106" s="1" t="s">
        <v>137</v>
      </c>
      <c r="S106" s="1" t="s">
        <v>137</v>
      </c>
      <c r="T106" s="1" t="s">
        <v>47</v>
      </c>
      <c r="U106" s="4"/>
      <c r="V106" s="4"/>
      <c r="W106" s="4"/>
      <c r="X106" s="4"/>
    </row>
    <row r="107">
      <c r="A107" s="1" t="s">
        <v>6036</v>
      </c>
      <c r="B107" s="1" t="s">
        <v>4293</v>
      </c>
      <c r="C107" s="1" t="s">
        <v>6038</v>
      </c>
      <c r="D107" s="1" t="s">
        <v>593</v>
      </c>
      <c r="E107" s="1" t="s">
        <v>330</v>
      </c>
      <c r="F107" s="1" t="s">
        <v>356</v>
      </c>
      <c r="G107" s="1" t="s">
        <v>359</v>
      </c>
      <c r="H107" s="3">
        <v>44524.0</v>
      </c>
      <c r="I107" s="13"/>
      <c r="J107" s="13"/>
      <c r="K107" s="1" t="s">
        <v>124</v>
      </c>
      <c r="L107" s="1" t="s">
        <v>160</v>
      </c>
      <c r="M107" s="1" t="s">
        <v>253</v>
      </c>
      <c r="N107" s="1" t="s">
        <v>131</v>
      </c>
      <c r="O107" s="13"/>
      <c r="P107" s="4"/>
      <c r="Q107" s="4"/>
      <c r="R107" s="1" t="s">
        <v>137</v>
      </c>
      <c r="S107" s="1" t="s">
        <v>137</v>
      </c>
      <c r="T107" s="1" t="s">
        <v>47</v>
      </c>
      <c r="U107" s="1" t="s">
        <v>4301</v>
      </c>
      <c r="V107" s="4"/>
      <c r="W107" s="4"/>
      <c r="X107" s="4"/>
    </row>
    <row r="108">
      <c r="A108" s="1" t="s">
        <v>6044</v>
      </c>
      <c r="B108" s="1" t="s">
        <v>4293</v>
      </c>
      <c r="C108" s="1" t="s">
        <v>6047</v>
      </c>
      <c r="D108" s="1" t="s">
        <v>243</v>
      </c>
      <c r="E108" s="1" t="s">
        <v>175</v>
      </c>
      <c r="F108" s="1" t="s">
        <v>1767</v>
      </c>
      <c r="G108" s="1" t="s">
        <v>3835</v>
      </c>
      <c r="H108" s="3">
        <v>44770.0</v>
      </c>
      <c r="I108" s="13"/>
      <c r="J108" s="13"/>
      <c r="K108" s="1" t="s">
        <v>124</v>
      </c>
      <c r="L108" s="1" t="s">
        <v>160</v>
      </c>
      <c r="M108" s="1" t="s">
        <v>253</v>
      </c>
      <c r="N108" s="1" t="s">
        <v>131</v>
      </c>
      <c r="O108" s="13"/>
      <c r="P108" s="4"/>
      <c r="Q108" s="4"/>
      <c r="R108" s="1" t="s">
        <v>137</v>
      </c>
      <c r="S108" s="1" t="s">
        <v>137</v>
      </c>
      <c r="T108" s="1" t="s">
        <v>47</v>
      </c>
      <c r="U108" s="1" t="s">
        <v>4301</v>
      </c>
      <c r="V108" s="4"/>
      <c r="W108" s="4"/>
      <c r="X108" s="4"/>
    </row>
    <row r="109">
      <c r="A109" s="1" t="s">
        <v>6054</v>
      </c>
      <c r="B109" s="1" t="s">
        <v>4293</v>
      </c>
      <c r="C109" s="1" t="s">
        <v>6055</v>
      </c>
      <c r="D109" s="1" t="s">
        <v>1477</v>
      </c>
      <c r="E109" s="1" t="s">
        <v>175</v>
      </c>
      <c r="F109" s="1" t="s">
        <v>763</v>
      </c>
      <c r="G109" s="1" t="s">
        <v>3768</v>
      </c>
      <c r="H109" s="3">
        <v>45140.0</v>
      </c>
      <c r="I109" s="3">
        <v>45148.0</v>
      </c>
      <c r="J109" s="3">
        <v>45148.0</v>
      </c>
      <c r="K109" s="1" t="s">
        <v>215</v>
      </c>
      <c r="L109" s="1" t="s">
        <v>160</v>
      </c>
      <c r="M109" s="1" t="s">
        <v>216</v>
      </c>
      <c r="N109" s="1" t="s">
        <v>131</v>
      </c>
      <c r="O109" s="13"/>
      <c r="P109" s="4"/>
      <c r="Q109" s="4"/>
      <c r="R109" s="1" t="s">
        <v>137</v>
      </c>
      <c r="S109" s="1" t="s">
        <v>137</v>
      </c>
      <c r="T109" s="1" t="s">
        <v>47</v>
      </c>
      <c r="U109" s="1" t="s">
        <v>4301</v>
      </c>
      <c r="V109" s="4"/>
      <c r="W109" s="4"/>
      <c r="X109" s="4"/>
    </row>
    <row r="110">
      <c r="A110" s="1" t="s">
        <v>6062</v>
      </c>
      <c r="B110" s="1" t="s">
        <v>4293</v>
      </c>
      <c r="C110" s="1" t="s">
        <v>6063</v>
      </c>
      <c r="D110" s="1" t="s">
        <v>1272</v>
      </c>
      <c r="E110" s="1" t="s">
        <v>520</v>
      </c>
      <c r="F110" s="1" t="s">
        <v>522</v>
      </c>
      <c r="G110" s="1" t="s">
        <v>6067</v>
      </c>
      <c r="H110" s="3">
        <v>44808.0</v>
      </c>
      <c r="I110" s="3">
        <v>44840.0</v>
      </c>
      <c r="J110" s="3">
        <v>44840.0</v>
      </c>
      <c r="K110" s="1" t="s">
        <v>215</v>
      </c>
      <c r="L110" s="1" t="s">
        <v>160</v>
      </c>
      <c r="M110" s="1" t="s">
        <v>216</v>
      </c>
      <c r="N110" s="1" t="s">
        <v>131</v>
      </c>
      <c r="O110" s="13"/>
      <c r="P110" s="4"/>
      <c r="Q110" s="4"/>
      <c r="R110" s="1" t="s">
        <v>137</v>
      </c>
      <c r="S110" s="1" t="s">
        <v>137</v>
      </c>
      <c r="T110" s="1" t="s">
        <v>47</v>
      </c>
      <c r="U110" s="1" t="s">
        <v>4301</v>
      </c>
      <c r="V110" s="4"/>
      <c r="W110" s="4"/>
      <c r="X110" s="4"/>
    </row>
    <row r="111">
      <c r="A111" s="1" t="s">
        <v>1021</v>
      </c>
      <c r="B111" s="1" t="s">
        <v>146</v>
      </c>
      <c r="C111" s="1" t="s">
        <v>1023</v>
      </c>
      <c r="D111" s="1" t="s">
        <v>388</v>
      </c>
      <c r="E111" s="1" t="s">
        <v>153</v>
      </c>
      <c r="F111" s="1" t="s">
        <v>274</v>
      </c>
      <c r="G111" s="1" t="s">
        <v>276</v>
      </c>
      <c r="H111" s="3">
        <v>46129.0</v>
      </c>
      <c r="I111" s="3">
        <v>46365.0</v>
      </c>
      <c r="J111" s="13"/>
      <c r="K111" s="1" t="s">
        <v>124</v>
      </c>
      <c r="L111" s="1" t="s">
        <v>160</v>
      </c>
      <c r="M111" s="1" t="s">
        <v>363</v>
      </c>
      <c r="N111" s="1" t="s">
        <v>131</v>
      </c>
      <c r="O111" s="13"/>
      <c r="P111" s="1" t="s">
        <v>164</v>
      </c>
      <c r="Q111" s="4"/>
      <c r="R111" s="1" t="s">
        <v>137</v>
      </c>
      <c r="S111" s="1" t="s">
        <v>3855</v>
      </c>
      <c r="T111" s="1" t="s">
        <v>3856</v>
      </c>
      <c r="U111" s="1" t="s">
        <v>3857</v>
      </c>
      <c r="V111" s="4"/>
      <c r="W111" s="4"/>
      <c r="X111" s="4"/>
    </row>
    <row r="112">
      <c r="A112" s="1" t="s">
        <v>6082</v>
      </c>
      <c r="B112" s="1" t="s">
        <v>4293</v>
      </c>
      <c r="C112" s="1" t="s">
        <v>6083</v>
      </c>
      <c r="D112" s="1" t="s">
        <v>313</v>
      </c>
      <c r="E112" s="1" t="s">
        <v>175</v>
      </c>
      <c r="F112" s="1" t="s">
        <v>1767</v>
      </c>
      <c r="G112" s="1" t="s">
        <v>3835</v>
      </c>
      <c r="H112" s="3">
        <v>45597.0</v>
      </c>
      <c r="I112" s="3">
        <v>45715.0</v>
      </c>
      <c r="J112" s="3">
        <v>45715.0</v>
      </c>
      <c r="K112" s="1" t="s">
        <v>215</v>
      </c>
      <c r="L112" s="1" t="s">
        <v>160</v>
      </c>
      <c r="M112" s="1" t="s">
        <v>216</v>
      </c>
      <c r="N112" s="1" t="s">
        <v>131</v>
      </c>
      <c r="O112" s="13"/>
      <c r="P112" s="4"/>
      <c r="Q112" s="4"/>
      <c r="R112" s="1" t="s">
        <v>137</v>
      </c>
      <c r="S112" s="1" t="s">
        <v>137</v>
      </c>
      <c r="T112" s="1" t="s">
        <v>47</v>
      </c>
      <c r="U112" s="1" t="s">
        <v>4301</v>
      </c>
      <c r="V112" s="4"/>
      <c r="W112" s="4"/>
      <c r="X112" s="4"/>
    </row>
    <row r="113">
      <c r="A113" s="1" t="s">
        <v>6094</v>
      </c>
      <c r="B113" s="1" t="s">
        <v>4293</v>
      </c>
      <c r="C113" s="1" t="s">
        <v>6096</v>
      </c>
      <c r="D113" s="1" t="s">
        <v>2198</v>
      </c>
      <c r="E113" s="1" t="s">
        <v>119</v>
      </c>
      <c r="F113" s="1" t="s">
        <v>3319</v>
      </c>
      <c r="G113" s="1" t="s">
        <v>3319</v>
      </c>
      <c r="H113" s="3">
        <v>45950.0</v>
      </c>
      <c r="I113" s="13"/>
      <c r="J113" s="4"/>
      <c r="K113" s="1" t="s">
        <v>124</v>
      </c>
      <c r="L113" s="1" t="s">
        <v>160</v>
      </c>
      <c r="M113" s="1" t="s">
        <v>253</v>
      </c>
      <c r="N113" s="1" t="s">
        <v>131</v>
      </c>
      <c r="O113" s="4"/>
      <c r="P113" s="4"/>
      <c r="Q113" s="4"/>
      <c r="R113" s="1" t="s">
        <v>137</v>
      </c>
      <c r="S113" s="1" t="s">
        <v>137</v>
      </c>
      <c r="T113" s="1" t="s">
        <v>47</v>
      </c>
      <c r="U113" s="1" t="s">
        <v>4301</v>
      </c>
      <c r="V113" s="4"/>
      <c r="W113" s="4"/>
      <c r="X113" s="4"/>
    </row>
    <row r="114">
      <c r="A114" s="1" t="s">
        <v>6105</v>
      </c>
      <c r="B114" s="1" t="s">
        <v>4293</v>
      </c>
      <c r="C114" s="1" t="s">
        <v>6107</v>
      </c>
      <c r="D114" s="1" t="s">
        <v>313</v>
      </c>
      <c r="E114" s="1" t="s">
        <v>175</v>
      </c>
      <c r="F114" s="1" t="s">
        <v>1767</v>
      </c>
      <c r="G114" s="1" t="s">
        <v>3835</v>
      </c>
      <c r="H114" s="3">
        <v>44879.0</v>
      </c>
      <c r="I114" s="13"/>
      <c r="J114" s="4"/>
      <c r="K114" s="1" t="s">
        <v>124</v>
      </c>
      <c r="L114" s="1" t="s">
        <v>160</v>
      </c>
      <c r="M114" s="1" t="s">
        <v>253</v>
      </c>
      <c r="N114" s="1" t="s">
        <v>131</v>
      </c>
      <c r="O114" s="4"/>
      <c r="P114" s="4"/>
      <c r="Q114" s="4"/>
      <c r="R114" s="1" t="s">
        <v>137</v>
      </c>
      <c r="S114" s="1" t="s">
        <v>137</v>
      </c>
      <c r="T114" s="1" t="s">
        <v>47</v>
      </c>
      <c r="U114" s="1" t="s">
        <v>4301</v>
      </c>
      <c r="V114" s="4"/>
      <c r="W114" s="4"/>
      <c r="X114" s="4"/>
    </row>
    <row r="115">
      <c r="A115" s="1" t="s">
        <v>6118</v>
      </c>
      <c r="B115" s="1" t="s">
        <v>4293</v>
      </c>
      <c r="C115" s="1" t="s">
        <v>6120</v>
      </c>
      <c r="D115" s="1" t="s">
        <v>1932</v>
      </c>
      <c r="E115" s="1" t="s">
        <v>175</v>
      </c>
      <c r="F115" s="1" t="s">
        <v>177</v>
      </c>
      <c r="G115" s="1" t="s">
        <v>503</v>
      </c>
      <c r="H115" s="3">
        <v>44560.0</v>
      </c>
      <c r="I115" s="3">
        <v>44247.0</v>
      </c>
      <c r="J115" s="3">
        <v>44247.0</v>
      </c>
      <c r="K115" s="1" t="s">
        <v>215</v>
      </c>
      <c r="L115" s="1" t="s">
        <v>160</v>
      </c>
      <c r="M115" s="1" t="s">
        <v>216</v>
      </c>
      <c r="N115" s="1" t="s">
        <v>131</v>
      </c>
      <c r="O115" s="4"/>
      <c r="P115" s="4"/>
      <c r="Q115" s="4"/>
      <c r="R115" s="1" t="s">
        <v>137</v>
      </c>
      <c r="S115" s="1" t="s">
        <v>137</v>
      </c>
      <c r="T115" s="1" t="s">
        <v>47</v>
      </c>
      <c r="U115" s="1" t="s">
        <v>4301</v>
      </c>
      <c r="V115" s="4"/>
      <c r="W115" s="4"/>
      <c r="X115" s="4"/>
    </row>
    <row r="116">
      <c r="A116" s="1" t="s">
        <v>6136</v>
      </c>
      <c r="B116" s="1" t="s">
        <v>4293</v>
      </c>
      <c r="C116" s="1" t="s">
        <v>6138</v>
      </c>
      <c r="D116" s="1" t="s">
        <v>3408</v>
      </c>
      <c r="E116" s="1" t="s">
        <v>153</v>
      </c>
      <c r="F116" s="1" t="s">
        <v>155</v>
      </c>
      <c r="G116" s="1" t="s">
        <v>3617</v>
      </c>
      <c r="H116" s="3">
        <v>45756.0</v>
      </c>
      <c r="I116" s="3">
        <v>45836.0</v>
      </c>
      <c r="J116" s="3">
        <v>45836.0</v>
      </c>
      <c r="K116" s="1" t="s">
        <v>215</v>
      </c>
      <c r="L116" s="1" t="s">
        <v>160</v>
      </c>
      <c r="M116" s="1" t="s">
        <v>216</v>
      </c>
      <c r="N116" s="1" t="s">
        <v>131</v>
      </c>
      <c r="O116" s="13"/>
      <c r="P116" s="4"/>
      <c r="Q116" s="4"/>
      <c r="R116" s="1" t="s">
        <v>137</v>
      </c>
      <c r="S116" s="1" t="s">
        <v>137</v>
      </c>
      <c r="T116" s="1" t="s">
        <v>47</v>
      </c>
      <c r="U116" s="1" t="s">
        <v>4301</v>
      </c>
      <c r="V116" s="4"/>
      <c r="W116" s="4"/>
      <c r="X116" s="4"/>
    </row>
    <row r="117">
      <c r="A117" s="1" t="s">
        <v>6154</v>
      </c>
      <c r="B117" s="1" t="s">
        <v>4293</v>
      </c>
      <c r="C117" s="1" t="s">
        <v>6158</v>
      </c>
      <c r="D117" s="1" t="s">
        <v>243</v>
      </c>
      <c r="E117" s="1" t="s">
        <v>175</v>
      </c>
      <c r="F117" s="1" t="s">
        <v>3592</v>
      </c>
      <c r="G117" s="1" t="s">
        <v>6164</v>
      </c>
      <c r="H117" s="3">
        <v>43242.0</v>
      </c>
      <c r="I117" s="3">
        <v>43273.0</v>
      </c>
      <c r="J117" s="3">
        <v>43273.0</v>
      </c>
      <c r="K117" s="1" t="s">
        <v>215</v>
      </c>
      <c r="L117" s="1" t="s">
        <v>160</v>
      </c>
      <c r="M117" s="1" t="s">
        <v>216</v>
      </c>
      <c r="N117" s="1" t="s">
        <v>131</v>
      </c>
      <c r="O117" s="13"/>
      <c r="P117" s="4"/>
      <c r="Q117" s="4"/>
      <c r="R117" s="1" t="s">
        <v>137</v>
      </c>
      <c r="S117" s="1" t="s">
        <v>137</v>
      </c>
      <c r="T117" s="1" t="s">
        <v>47</v>
      </c>
      <c r="U117" s="1" t="s">
        <v>4301</v>
      </c>
      <c r="V117" s="4"/>
      <c r="W117" s="4"/>
      <c r="X117" s="4"/>
    </row>
    <row r="118">
      <c r="A118" s="1" t="s">
        <v>6174</v>
      </c>
      <c r="B118" s="1" t="s">
        <v>4293</v>
      </c>
      <c r="C118" s="1" t="s">
        <v>6178</v>
      </c>
      <c r="D118" s="1" t="s">
        <v>313</v>
      </c>
      <c r="E118" s="1" t="s">
        <v>175</v>
      </c>
      <c r="F118" s="1" t="s">
        <v>1767</v>
      </c>
      <c r="G118" s="1" t="s">
        <v>2199</v>
      </c>
      <c r="H118" s="3">
        <v>45000.0</v>
      </c>
      <c r="I118" s="3">
        <v>45146.0</v>
      </c>
      <c r="J118" s="3">
        <v>45146.0</v>
      </c>
      <c r="K118" s="1" t="s">
        <v>215</v>
      </c>
      <c r="L118" s="1" t="s">
        <v>160</v>
      </c>
      <c r="M118" s="1" t="s">
        <v>216</v>
      </c>
      <c r="N118" s="1" t="s">
        <v>131</v>
      </c>
      <c r="O118" s="13"/>
      <c r="P118" s="4"/>
      <c r="Q118" s="4"/>
      <c r="R118" s="1" t="s">
        <v>137</v>
      </c>
      <c r="S118" s="1" t="s">
        <v>137</v>
      </c>
      <c r="T118" s="1" t="s">
        <v>47</v>
      </c>
      <c r="U118" s="1" t="s">
        <v>4301</v>
      </c>
      <c r="V118" s="4"/>
      <c r="W118" s="4"/>
      <c r="X118" s="4"/>
    </row>
    <row r="119">
      <c r="A119" s="1" t="s">
        <v>6193</v>
      </c>
      <c r="B119" s="1" t="s">
        <v>4293</v>
      </c>
      <c r="C119" s="1" t="s">
        <v>6196</v>
      </c>
      <c r="D119" s="1" t="s">
        <v>1932</v>
      </c>
      <c r="E119" s="1" t="s">
        <v>175</v>
      </c>
      <c r="F119" s="1" t="s">
        <v>177</v>
      </c>
      <c r="G119" s="1" t="s">
        <v>1778</v>
      </c>
      <c r="H119" s="3">
        <v>42913.0</v>
      </c>
      <c r="I119" s="3">
        <v>43132.0</v>
      </c>
      <c r="J119" s="3">
        <v>43132.0</v>
      </c>
      <c r="K119" s="1" t="s">
        <v>215</v>
      </c>
      <c r="L119" s="1" t="s">
        <v>160</v>
      </c>
      <c r="M119" s="1" t="s">
        <v>216</v>
      </c>
      <c r="N119" s="1" t="s">
        <v>131</v>
      </c>
      <c r="O119" s="13"/>
      <c r="P119" s="4"/>
      <c r="Q119" s="4"/>
      <c r="R119" s="1" t="s">
        <v>137</v>
      </c>
      <c r="S119" s="1" t="s">
        <v>137</v>
      </c>
      <c r="T119" s="1" t="s">
        <v>47</v>
      </c>
      <c r="U119" s="1" t="s">
        <v>4301</v>
      </c>
      <c r="V119" s="4"/>
      <c r="W119" s="4"/>
      <c r="X119" s="4"/>
    </row>
    <row r="120">
      <c r="A120" s="1" t="s">
        <v>6213</v>
      </c>
      <c r="B120" s="1" t="s">
        <v>4293</v>
      </c>
      <c r="C120" s="1" t="s">
        <v>6217</v>
      </c>
      <c r="D120" s="1" t="s">
        <v>593</v>
      </c>
      <c r="E120" s="1" t="s">
        <v>330</v>
      </c>
      <c r="F120" s="1" t="s">
        <v>663</v>
      </c>
      <c r="G120" s="1" t="s">
        <v>6222</v>
      </c>
      <c r="H120" s="3">
        <v>45076.0</v>
      </c>
      <c r="I120" s="13"/>
      <c r="J120" s="13"/>
      <c r="K120" s="1" t="s">
        <v>124</v>
      </c>
      <c r="L120" s="1" t="s">
        <v>160</v>
      </c>
      <c r="M120" s="1" t="s">
        <v>253</v>
      </c>
      <c r="N120" s="1" t="s">
        <v>131</v>
      </c>
      <c r="O120" s="13"/>
      <c r="P120" s="4"/>
      <c r="Q120" s="4"/>
      <c r="R120" s="1" t="s">
        <v>137</v>
      </c>
      <c r="S120" s="1" t="s">
        <v>137</v>
      </c>
      <c r="T120" s="1" t="s">
        <v>47</v>
      </c>
      <c r="U120" s="1" t="s">
        <v>4301</v>
      </c>
      <c r="V120" s="4"/>
      <c r="W120" s="4"/>
      <c r="X120" s="4"/>
    </row>
    <row r="121">
      <c r="A121" s="1" t="s">
        <v>6234</v>
      </c>
      <c r="B121" s="1" t="s">
        <v>4293</v>
      </c>
      <c r="C121" s="1" t="s">
        <v>6236</v>
      </c>
      <c r="D121" s="1" t="s">
        <v>960</v>
      </c>
      <c r="E121" s="1" t="s">
        <v>292</v>
      </c>
      <c r="F121" s="1" t="s">
        <v>494</v>
      </c>
      <c r="G121" s="1" t="s">
        <v>3632</v>
      </c>
      <c r="H121" s="3">
        <v>45239.0</v>
      </c>
      <c r="I121" s="3">
        <v>45518.0</v>
      </c>
      <c r="J121" s="3">
        <v>45518.0</v>
      </c>
      <c r="K121" s="1" t="s">
        <v>215</v>
      </c>
      <c r="L121" s="1" t="s">
        <v>160</v>
      </c>
      <c r="M121" s="1" t="s">
        <v>216</v>
      </c>
      <c r="N121" s="1" t="s">
        <v>131</v>
      </c>
      <c r="O121" s="4"/>
      <c r="P121" s="4"/>
      <c r="Q121" s="4"/>
      <c r="R121" s="1" t="s">
        <v>137</v>
      </c>
      <c r="S121" s="1" t="s">
        <v>137</v>
      </c>
      <c r="T121" s="1" t="s">
        <v>47</v>
      </c>
      <c r="U121" s="1" t="s">
        <v>4301</v>
      </c>
      <c r="V121" s="4"/>
      <c r="W121" s="4"/>
      <c r="X121" s="4"/>
    </row>
    <row r="122">
      <c r="A122" s="1" t="s">
        <v>6254</v>
      </c>
      <c r="B122" s="1" t="s">
        <v>4293</v>
      </c>
      <c r="C122" s="1" t="s">
        <v>6257</v>
      </c>
      <c r="D122" s="1" t="s">
        <v>172</v>
      </c>
      <c r="E122" s="1" t="s">
        <v>175</v>
      </c>
      <c r="F122" s="1" t="s">
        <v>177</v>
      </c>
      <c r="G122" s="1" t="s">
        <v>483</v>
      </c>
      <c r="H122" s="3">
        <v>45502.0</v>
      </c>
      <c r="I122" s="3">
        <v>45673.0</v>
      </c>
      <c r="J122" s="3">
        <v>45673.0</v>
      </c>
      <c r="K122" s="1" t="s">
        <v>215</v>
      </c>
      <c r="L122" s="1" t="s">
        <v>160</v>
      </c>
      <c r="M122" s="1" t="s">
        <v>216</v>
      </c>
      <c r="N122" s="1" t="s">
        <v>131</v>
      </c>
      <c r="O122" s="4"/>
      <c r="P122" s="4"/>
      <c r="Q122" s="4"/>
      <c r="R122" s="1" t="s">
        <v>137</v>
      </c>
      <c r="S122" s="1" t="s">
        <v>137</v>
      </c>
      <c r="T122" s="1" t="s">
        <v>47</v>
      </c>
      <c r="U122" s="1" t="s">
        <v>4301</v>
      </c>
      <c r="V122" s="4"/>
      <c r="W122" s="4"/>
      <c r="X122" s="4"/>
    </row>
    <row r="123">
      <c r="A123" s="1" t="s">
        <v>1053</v>
      </c>
      <c r="B123" s="1" t="s">
        <v>116</v>
      </c>
      <c r="C123" s="1" t="s">
        <v>1054</v>
      </c>
      <c r="D123" s="1" t="s">
        <v>678</v>
      </c>
      <c r="E123" s="1" t="s">
        <v>454</v>
      </c>
      <c r="F123" s="1" t="s">
        <v>455</v>
      </c>
      <c r="G123" s="1" t="s">
        <v>738</v>
      </c>
      <c r="H123" s="3">
        <v>46204.0</v>
      </c>
      <c r="I123" s="3">
        <v>46279.0</v>
      </c>
      <c r="J123" s="3"/>
      <c r="K123" s="1" t="s">
        <v>124</v>
      </c>
      <c r="L123" s="1" t="s">
        <v>160</v>
      </c>
      <c r="M123" s="1" t="s">
        <v>460</v>
      </c>
      <c r="N123" s="1" t="s">
        <v>131</v>
      </c>
      <c r="O123" s="4"/>
      <c r="P123" s="1" t="s">
        <v>1058</v>
      </c>
      <c r="Q123" s="4"/>
      <c r="R123" s="1" t="s">
        <v>137</v>
      </c>
      <c r="S123" s="1" t="s">
        <v>137</v>
      </c>
      <c r="T123" s="1" t="s">
        <v>47</v>
      </c>
      <c r="U123" s="1" t="s">
        <v>4410</v>
      </c>
      <c r="V123" s="4"/>
      <c r="W123" s="4"/>
      <c r="X123" s="4"/>
    </row>
    <row r="124">
      <c r="A124" s="1" t="s">
        <v>6284</v>
      </c>
      <c r="B124" s="1" t="s">
        <v>4293</v>
      </c>
      <c r="C124" s="1" t="s">
        <v>6287</v>
      </c>
      <c r="D124" s="1" t="s">
        <v>273</v>
      </c>
      <c r="E124" s="1" t="s">
        <v>330</v>
      </c>
      <c r="F124" s="1" t="s">
        <v>356</v>
      </c>
      <c r="G124" s="1" t="s">
        <v>5006</v>
      </c>
      <c r="H124" s="3">
        <v>44195.0</v>
      </c>
      <c r="I124" s="3">
        <v>44284.0</v>
      </c>
      <c r="J124" s="3">
        <v>44284.0</v>
      </c>
      <c r="K124" s="1" t="s">
        <v>215</v>
      </c>
      <c r="L124" s="1" t="s">
        <v>160</v>
      </c>
      <c r="M124" s="1" t="s">
        <v>216</v>
      </c>
      <c r="N124" s="1" t="s">
        <v>131</v>
      </c>
      <c r="O124" s="13"/>
      <c r="P124" s="4"/>
      <c r="Q124" s="4"/>
      <c r="R124" s="1" t="s">
        <v>137</v>
      </c>
      <c r="S124" s="1" t="s">
        <v>137</v>
      </c>
      <c r="T124" s="1" t="s">
        <v>47</v>
      </c>
      <c r="U124" s="1" t="s">
        <v>4301</v>
      </c>
      <c r="V124" s="4"/>
      <c r="W124" s="4"/>
      <c r="X124" s="4"/>
    </row>
    <row r="125">
      <c r="A125" s="1" t="s">
        <v>6332</v>
      </c>
      <c r="B125" s="1" t="s">
        <v>4293</v>
      </c>
      <c r="C125" s="1" t="s">
        <v>6336</v>
      </c>
      <c r="D125" s="1" t="s">
        <v>1477</v>
      </c>
      <c r="E125" s="1" t="s">
        <v>292</v>
      </c>
      <c r="F125" s="1" t="s">
        <v>494</v>
      </c>
      <c r="G125" s="1" t="s">
        <v>2278</v>
      </c>
      <c r="H125" s="3">
        <v>44742.0</v>
      </c>
      <c r="I125" s="3">
        <v>44760.0</v>
      </c>
      <c r="J125" s="3">
        <v>44760.0</v>
      </c>
      <c r="K125" s="1" t="s">
        <v>215</v>
      </c>
      <c r="L125" s="1" t="s">
        <v>160</v>
      </c>
      <c r="M125" s="1" t="s">
        <v>216</v>
      </c>
      <c r="N125" s="1" t="s">
        <v>131</v>
      </c>
      <c r="O125" s="13"/>
      <c r="P125" s="4"/>
      <c r="Q125" s="4"/>
      <c r="R125" s="1" t="s">
        <v>137</v>
      </c>
      <c r="S125" s="1" t="s">
        <v>137</v>
      </c>
      <c r="T125" s="1" t="s">
        <v>47</v>
      </c>
      <c r="U125" s="1" t="s">
        <v>4301</v>
      </c>
      <c r="V125" s="4"/>
      <c r="W125" s="4"/>
      <c r="X125" s="4"/>
    </row>
    <row r="126">
      <c r="A126" s="1" t="s">
        <v>6367</v>
      </c>
      <c r="B126" s="1" t="s">
        <v>4293</v>
      </c>
      <c r="C126" s="1" t="s">
        <v>6372</v>
      </c>
      <c r="D126" s="1" t="s">
        <v>1067</v>
      </c>
      <c r="E126" s="1" t="s">
        <v>330</v>
      </c>
      <c r="F126" s="1" t="s">
        <v>663</v>
      </c>
      <c r="G126" s="1" t="s">
        <v>1068</v>
      </c>
      <c r="H126" s="3">
        <v>44559.0</v>
      </c>
      <c r="I126" s="3">
        <v>44517.0</v>
      </c>
      <c r="J126" s="3">
        <v>44517.0</v>
      </c>
      <c r="K126" s="1" t="s">
        <v>215</v>
      </c>
      <c r="L126" s="1" t="s">
        <v>160</v>
      </c>
      <c r="M126" s="1" t="s">
        <v>216</v>
      </c>
      <c r="N126" s="1" t="s">
        <v>131</v>
      </c>
      <c r="O126" s="13"/>
      <c r="P126" s="4"/>
      <c r="Q126" s="4"/>
      <c r="R126" s="1" t="s">
        <v>137</v>
      </c>
      <c r="S126" s="1" t="s">
        <v>137</v>
      </c>
      <c r="T126" s="1" t="s">
        <v>47</v>
      </c>
      <c r="U126" s="1" t="s">
        <v>4301</v>
      </c>
      <c r="V126" s="4"/>
      <c r="W126" s="4"/>
      <c r="X126" s="4"/>
    </row>
    <row r="127">
      <c r="A127" s="1" t="s">
        <v>6403</v>
      </c>
      <c r="B127" s="1" t="s">
        <v>4293</v>
      </c>
      <c r="C127" s="1" t="s">
        <v>6407</v>
      </c>
      <c r="D127" s="1" t="s">
        <v>1291</v>
      </c>
      <c r="E127" s="1" t="s">
        <v>175</v>
      </c>
      <c r="F127" s="1" t="s">
        <v>3592</v>
      </c>
      <c r="G127" s="1" t="s">
        <v>5540</v>
      </c>
      <c r="H127" s="3">
        <v>45954.0</v>
      </c>
      <c r="I127" s="3">
        <v>45973.0</v>
      </c>
      <c r="J127" s="3">
        <v>45973.0</v>
      </c>
      <c r="K127" s="1" t="s">
        <v>215</v>
      </c>
      <c r="L127" s="1" t="s">
        <v>160</v>
      </c>
      <c r="M127" s="1" t="s">
        <v>216</v>
      </c>
      <c r="N127" s="1" t="s">
        <v>131</v>
      </c>
      <c r="O127" s="13"/>
      <c r="P127" s="4"/>
      <c r="Q127" s="4"/>
      <c r="R127" s="1" t="s">
        <v>137</v>
      </c>
      <c r="S127" s="1" t="s">
        <v>137</v>
      </c>
      <c r="T127" s="1" t="s">
        <v>47</v>
      </c>
      <c r="U127" s="1" t="s">
        <v>4301</v>
      </c>
      <c r="V127" s="4"/>
      <c r="W127" s="4"/>
      <c r="X127" s="4"/>
    </row>
    <row r="128">
      <c r="A128" s="1" t="s">
        <v>6439</v>
      </c>
      <c r="B128" s="1" t="s">
        <v>4293</v>
      </c>
      <c r="C128" s="1" t="s">
        <v>1099</v>
      </c>
      <c r="D128" s="1" t="s">
        <v>1067</v>
      </c>
      <c r="E128" s="1" t="s">
        <v>330</v>
      </c>
      <c r="F128" s="1" t="s">
        <v>663</v>
      </c>
      <c r="G128" s="1" t="s">
        <v>1068</v>
      </c>
      <c r="H128" s="3">
        <v>45728.0</v>
      </c>
      <c r="I128" s="13"/>
      <c r="J128" s="13"/>
      <c r="K128" s="1" t="s">
        <v>124</v>
      </c>
      <c r="L128" s="1" t="s">
        <v>160</v>
      </c>
      <c r="M128" s="1" t="s">
        <v>253</v>
      </c>
      <c r="N128" s="1" t="s">
        <v>131</v>
      </c>
      <c r="O128" s="13"/>
      <c r="P128" s="4"/>
      <c r="Q128" s="4"/>
      <c r="R128" s="1" t="s">
        <v>137</v>
      </c>
      <c r="S128" s="1" t="s">
        <v>137</v>
      </c>
      <c r="T128" s="1" t="s">
        <v>47</v>
      </c>
      <c r="U128" s="1" t="s">
        <v>4301</v>
      </c>
      <c r="V128" s="4"/>
      <c r="W128" s="4"/>
      <c r="X128" s="4"/>
    </row>
    <row r="129">
      <c r="A129" s="1" t="s">
        <v>6466</v>
      </c>
      <c r="B129" s="1" t="s">
        <v>4293</v>
      </c>
      <c r="C129" s="1" t="s">
        <v>6469</v>
      </c>
      <c r="D129" s="1" t="s">
        <v>548</v>
      </c>
      <c r="E129" s="1" t="s">
        <v>520</v>
      </c>
      <c r="F129" s="1" t="s">
        <v>522</v>
      </c>
      <c r="G129" s="1" t="s">
        <v>550</v>
      </c>
      <c r="H129" s="3">
        <v>44197.0</v>
      </c>
      <c r="I129" s="3">
        <v>44197.0</v>
      </c>
      <c r="J129" s="3">
        <v>44197.0</v>
      </c>
      <c r="K129" s="1" t="s">
        <v>215</v>
      </c>
      <c r="L129" s="1" t="s">
        <v>160</v>
      </c>
      <c r="M129" s="1" t="s">
        <v>216</v>
      </c>
      <c r="N129" s="1" t="s">
        <v>131</v>
      </c>
      <c r="O129" s="13"/>
      <c r="P129" s="4"/>
      <c r="Q129" s="4"/>
      <c r="R129" s="1" t="s">
        <v>137</v>
      </c>
      <c r="S129" s="1" t="s">
        <v>137</v>
      </c>
      <c r="T129" s="1" t="s">
        <v>47</v>
      </c>
      <c r="U129" s="1" t="s">
        <v>4301</v>
      </c>
      <c r="V129" s="4"/>
      <c r="W129" s="4"/>
      <c r="X129" s="4"/>
    </row>
    <row r="130">
      <c r="A130" s="1" t="s">
        <v>6066</v>
      </c>
      <c r="B130" s="1" t="s">
        <v>4293</v>
      </c>
      <c r="C130" s="1" t="s">
        <v>6494</v>
      </c>
      <c r="D130" s="1" t="s">
        <v>1477</v>
      </c>
      <c r="E130" s="1" t="s">
        <v>175</v>
      </c>
      <c r="F130" s="1" t="s">
        <v>245</v>
      </c>
      <c r="G130" s="1" t="s">
        <v>6501</v>
      </c>
      <c r="H130" s="3">
        <v>45394.0</v>
      </c>
      <c r="I130" s="3">
        <v>45426.0</v>
      </c>
      <c r="J130" s="3">
        <v>45426.0</v>
      </c>
      <c r="K130" s="1" t="s">
        <v>215</v>
      </c>
      <c r="L130" s="1" t="s">
        <v>160</v>
      </c>
      <c r="M130" s="1" t="s">
        <v>216</v>
      </c>
      <c r="N130" s="1" t="s">
        <v>131</v>
      </c>
      <c r="O130" s="4"/>
      <c r="P130" s="4"/>
      <c r="Q130" s="4"/>
      <c r="R130" s="1" t="s">
        <v>137</v>
      </c>
      <c r="S130" s="1" t="s">
        <v>137</v>
      </c>
      <c r="T130" s="1" t="s">
        <v>47</v>
      </c>
      <c r="U130" s="1" t="s">
        <v>4301</v>
      </c>
      <c r="V130" s="4"/>
      <c r="W130" s="4"/>
      <c r="X130" s="4"/>
    </row>
    <row r="131">
      <c r="A131" s="1" t="s">
        <v>6518</v>
      </c>
      <c r="B131" s="1" t="s">
        <v>4293</v>
      </c>
      <c r="C131" s="1" t="s">
        <v>6520</v>
      </c>
      <c r="D131" s="1" t="s">
        <v>388</v>
      </c>
      <c r="E131" s="4"/>
      <c r="F131" s="4"/>
      <c r="G131" s="4"/>
      <c r="H131" s="3">
        <v>44560.0</v>
      </c>
      <c r="I131" s="3">
        <v>44240.0</v>
      </c>
      <c r="J131" s="3">
        <v>44240.0</v>
      </c>
      <c r="K131" s="1" t="s">
        <v>215</v>
      </c>
      <c r="L131" s="1" t="s">
        <v>160</v>
      </c>
      <c r="M131" s="1" t="s">
        <v>216</v>
      </c>
      <c r="N131" s="1" t="s">
        <v>131</v>
      </c>
      <c r="O131" s="4"/>
      <c r="P131" s="4"/>
      <c r="Q131" s="4"/>
      <c r="R131" s="1" t="s">
        <v>137</v>
      </c>
      <c r="S131" s="1" t="s">
        <v>137</v>
      </c>
      <c r="T131" s="1" t="s">
        <v>47</v>
      </c>
      <c r="U131" s="1" t="s">
        <v>4301</v>
      </c>
      <c r="V131" s="4"/>
      <c r="W131" s="4"/>
      <c r="X131" s="4"/>
    </row>
    <row r="132">
      <c r="A132" s="1" t="s">
        <v>6548</v>
      </c>
      <c r="B132" s="1" t="s">
        <v>4293</v>
      </c>
      <c r="C132" s="1" t="s">
        <v>6551</v>
      </c>
      <c r="D132" s="1" t="s">
        <v>417</v>
      </c>
      <c r="E132" s="1" t="s">
        <v>292</v>
      </c>
      <c r="F132" s="1" t="s">
        <v>468</v>
      </c>
      <c r="G132" s="1" t="s">
        <v>998</v>
      </c>
      <c r="H132" s="3">
        <v>45742.0</v>
      </c>
      <c r="I132" s="13"/>
      <c r="J132" s="4"/>
      <c r="K132" s="1" t="s">
        <v>124</v>
      </c>
      <c r="L132" s="1" t="s">
        <v>160</v>
      </c>
      <c r="M132" s="1" t="s">
        <v>253</v>
      </c>
      <c r="N132" s="1" t="s">
        <v>131</v>
      </c>
      <c r="O132" s="4"/>
      <c r="P132" s="4"/>
      <c r="Q132" s="4"/>
      <c r="R132" s="1" t="s">
        <v>137</v>
      </c>
      <c r="S132" s="1" t="s">
        <v>137</v>
      </c>
      <c r="T132" s="1" t="s">
        <v>47</v>
      </c>
      <c r="U132" s="1" t="s">
        <v>4301</v>
      </c>
      <c r="V132" s="4"/>
      <c r="W132" s="4"/>
      <c r="X132" s="4"/>
    </row>
    <row r="133">
      <c r="A133" s="1" t="s">
        <v>6576</v>
      </c>
      <c r="B133" s="1" t="s">
        <v>4293</v>
      </c>
      <c r="C133" s="1" t="s">
        <v>6578</v>
      </c>
      <c r="D133" s="1" t="s">
        <v>194</v>
      </c>
      <c r="E133" s="1" t="s">
        <v>454</v>
      </c>
      <c r="F133" s="1" t="s">
        <v>455</v>
      </c>
      <c r="G133" s="1" t="s">
        <v>510</v>
      </c>
      <c r="H133" s="3">
        <v>43768.0</v>
      </c>
      <c r="I133" s="3">
        <v>43854.0</v>
      </c>
      <c r="J133" s="3">
        <v>43854.0</v>
      </c>
      <c r="K133" s="1" t="s">
        <v>215</v>
      </c>
      <c r="L133" s="1" t="s">
        <v>160</v>
      </c>
      <c r="M133" s="1" t="s">
        <v>216</v>
      </c>
      <c r="N133" s="1" t="s">
        <v>131</v>
      </c>
      <c r="O133" s="13"/>
      <c r="P133" s="4"/>
      <c r="Q133" s="4"/>
      <c r="R133" s="1" t="s">
        <v>137</v>
      </c>
      <c r="S133" s="1" t="s">
        <v>137</v>
      </c>
      <c r="T133" s="1" t="s">
        <v>47</v>
      </c>
      <c r="U133" s="1" t="s">
        <v>4301</v>
      </c>
      <c r="V133" s="4"/>
      <c r="W133" s="4"/>
      <c r="X133" s="4"/>
    </row>
    <row r="134">
      <c r="A134" s="1" t="s">
        <v>1139</v>
      </c>
      <c r="B134" s="1" t="s">
        <v>146</v>
      </c>
      <c r="C134" s="1" t="s">
        <v>1141</v>
      </c>
      <c r="D134" s="1" t="s">
        <v>172</v>
      </c>
      <c r="E134" s="1" t="s">
        <v>691</v>
      </c>
      <c r="F134" s="1" t="s">
        <v>1142</v>
      </c>
      <c r="G134" s="1" t="s">
        <v>1143</v>
      </c>
      <c r="H134" s="3">
        <v>46128.0</v>
      </c>
      <c r="I134" s="3">
        <v>46328.0</v>
      </c>
      <c r="J134" s="13"/>
      <c r="K134" s="1" t="s">
        <v>124</v>
      </c>
      <c r="L134" s="1" t="s">
        <v>160</v>
      </c>
      <c r="M134" s="1" t="s">
        <v>300</v>
      </c>
      <c r="N134" s="1" t="s">
        <v>472</v>
      </c>
      <c r="O134" s="13"/>
      <c r="P134" s="1" t="s">
        <v>1149</v>
      </c>
      <c r="Q134" s="4"/>
      <c r="R134" s="1" t="s">
        <v>137</v>
      </c>
      <c r="S134" s="1" t="s">
        <v>137</v>
      </c>
      <c r="T134" s="1" t="s">
        <v>47</v>
      </c>
      <c r="U134" s="1" t="s">
        <v>1153</v>
      </c>
      <c r="V134" s="4"/>
      <c r="W134" s="4"/>
      <c r="X134" s="4"/>
    </row>
    <row r="135">
      <c r="A135" s="1" t="s">
        <v>1166</v>
      </c>
      <c r="B135" s="1" t="s">
        <v>1167</v>
      </c>
      <c r="C135" s="1" t="s">
        <v>1141</v>
      </c>
      <c r="D135" s="1" t="s">
        <v>172</v>
      </c>
      <c r="E135" s="1" t="s">
        <v>691</v>
      </c>
      <c r="F135" s="1" t="s">
        <v>1142</v>
      </c>
      <c r="G135" s="1" t="s">
        <v>1143</v>
      </c>
      <c r="H135" s="3">
        <v>46087.0</v>
      </c>
      <c r="I135" s="13"/>
      <c r="J135" s="13"/>
      <c r="K135" s="1" t="s">
        <v>124</v>
      </c>
      <c r="L135" s="1" t="s">
        <v>251</v>
      </c>
      <c r="M135" s="1" t="s">
        <v>162</v>
      </c>
      <c r="N135" s="1" t="s">
        <v>131</v>
      </c>
      <c r="O135" s="13"/>
      <c r="P135" s="4"/>
      <c r="Q135" s="4"/>
      <c r="R135" s="1" t="s">
        <v>137</v>
      </c>
      <c r="S135" s="1" t="s">
        <v>137</v>
      </c>
      <c r="T135" s="1" t="s">
        <v>47</v>
      </c>
      <c r="U135" s="1" t="s">
        <v>1174</v>
      </c>
      <c r="V135" s="4"/>
      <c r="W135" s="4"/>
      <c r="X135" s="4"/>
    </row>
    <row r="136">
      <c r="A136" s="1" t="s">
        <v>6616</v>
      </c>
      <c r="B136" s="1" t="s">
        <v>4293</v>
      </c>
      <c r="C136" s="1" t="s">
        <v>6618</v>
      </c>
      <c r="D136" s="1" t="s">
        <v>1477</v>
      </c>
      <c r="E136" s="1" t="s">
        <v>292</v>
      </c>
      <c r="F136" s="1" t="s">
        <v>962</v>
      </c>
      <c r="G136" s="1" t="s">
        <v>5600</v>
      </c>
      <c r="H136" s="3">
        <v>45950.0</v>
      </c>
      <c r="I136" s="3">
        <v>45950.0</v>
      </c>
      <c r="J136" s="3">
        <v>45950.0</v>
      </c>
      <c r="K136" s="1" t="s">
        <v>215</v>
      </c>
      <c r="L136" s="1" t="s">
        <v>160</v>
      </c>
      <c r="M136" s="1" t="s">
        <v>216</v>
      </c>
      <c r="N136" s="1" t="s">
        <v>131</v>
      </c>
      <c r="O136" s="13"/>
      <c r="P136" s="4"/>
      <c r="Q136" s="4"/>
      <c r="R136" s="1" t="s">
        <v>137</v>
      </c>
      <c r="S136" s="1" t="s">
        <v>137</v>
      </c>
      <c r="T136" s="1" t="s">
        <v>47</v>
      </c>
      <c r="U136" s="1" t="s">
        <v>4301</v>
      </c>
      <c r="V136" s="4"/>
      <c r="W136" s="4"/>
      <c r="X136" s="4"/>
    </row>
    <row r="137">
      <c r="A137" s="1" t="s">
        <v>6629</v>
      </c>
      <c r="B137" s="1" t="s">
        <v>4293</v>
      </c>
      <c r="C137" s="1" t="s">
        <v>6632</v>
      </c>
      <c r="D137" s="1" t="s">
        <v>831</v>
      </c>
      <c r="E137" s="1" t="s">
        <v>292</v>
      </c>
      <c r="F137" s="1" t="s">
        <v>962</v>
      </c>
      <c r="G137" s="1" t="s">
        <v>5046</v>
      </c>
      <c r="H137" s="3">
        <v>44824.0</v>
      </c>
      <c r="I137" s="3">
        <v>44986.0</v>
      </c>
      <c r="J137" s="3">
        <v>44986.0</v>
      </c>
      <c r="K137" s="1" t="s">
        <v>215</v>
      </c>
      <c r="L137" s="1" t="s">
        <v>160</v>
      </c>
      <c r="M137" s="1" t="s">
        <v>216</v>
      </c>
      <c r="N137" s="1" t="s">
        <v>131</v>
      </c>
      <c r="O137" s="13"/>
      <c r="P137" s="4"/>
      <c r="Q137" s="4"/>
      <c r="R137" s="1" t="s">
        <v>137</v>
      </c>
      <c r="S137" s="1" t="s">
        <v>137</v>
      </c>
      <c r="T137" s="1" t="s">
        <v>47</v>
      </c>
      <c r="U137" s="1" t="s">
        <v>4301</v>
      </c>
      <c r="V137" s="4"/>
      <c r="W137" s="4"/>
      <c r="X137" s="4"/>
    </row>
    <row r="138">
      <c r="A138" s="1" t="s">
        <v>6649</v>
      </c>
      <c r="B138" s="1" t="s">
        <v>4293</v>
      </c>
      <c r="C138" s="1" t="s">
        <v>6651</v>
      </c>
      <c r="D138" s="1" t="s">
        <v>1272</v>
      </c>
      <c r="E138" s="1" t="s">
        <v>520</v>
      </c>
      <c r="F138" s="1" t="s">
        <v>1671</v>
      </c>
      <c r="G138" s="1" t="s">
        <v>5959</v>
      </c>
      <c r="H138" s="3">
        <v>44292.0</v>
      </c>
      <c r="I138" s="3">
        <v>44292.0</v>
      </c>
      <c r="J138" s="3">
        <v>44292.0</v>
      </c>
      <c r="K138" s="1" t="s">
        <v>215</v>
      </c>
      <c r="L138" s="1" t="s">
        <v>160</v>
      </c>
      <c r="M138" s="1" t="s">
        <v>216</v>
      </c>
      <c r="N138" s="1" t="s">
        <v>131</v>
      </c>
      <c r="O138" s="13"/>
      <c r="P138" s="4"/>
      <c r="Q138" s="4"/>
      <c r="R138" s="1" t="s">
        <v>137</v>
      </c>
      <c r="S138" s="1" t="s">
        <v>137</v>
      </c>
      <c r="T138" s="1" t="s">
        <v>47</v>
      </c>
      <c r="U138" s="1" t="s">
        <v>4301</v>
      </c>
      <c r="V138" s="4"/>
      <c r="W138" s="4"/>
      <c r="X138" s="4"/>
    </row>
    <row r="139">
      <c r="A139" s="1" t="s">
        <v>6665</v>
      </c>
      <c r="B139" s="1" t="s">
        <v>4293</v>
      </c>
      <c r="C139" s="1" t="s">
        <v>6669</v>
      </c>
      <c r="D139" s="1" t="s">
        <v>1932</v>
      </c>
      <c r="E139" s="1" t="s">
        <v>175</v>
      </c>
      <c r="F139" s="1" t="s">
        <v>763</v>
      </c>
      <c r="G139" s="1" t="s">
        <v>1825</v>
      </c>
      <c r="H139" s="3">
        <v>44132.0</v>
      </c>
      <c r="I139" s="3">
        <v>44210.0</v>
      </c>
      <c r="J139" s="3">
        <v>44210.0</v>
      </c>
      <c r="K139" s="1" t="s">
        <v>215</v>
      </c>
      <c r="L139" s="1" t="s">
        <v>160</v>
      </c>
      <c r="M139" s="1" t="s">
        <v>216</v>
      </c>
      <c r="N139" s="1" t="s">
        <v>131</v>
      </c>
      <c r="O139" s="13"/>
      <c r="P139" s="4"/>
      <c r="Q139" s="4"/>
      <c r="R139" s="1" t="s">
        <v>137</v>
      </c>
      <c r="S139" s="1" t="s">
        <v>137</v>
      </c>
      <c r="T139" s="1" t="s">
        <v>47</v>
      </c>
      <c r="U139" s="1" t="s">
        <v>4301</v>
      </c>
      <c r="V139" s="4"/>
      <c r="W139" s="4"/>
      <c r="X139" s="4"/>
    </row>
    <row r="140">
      <c r="A140" s="1" t="s">
        <v>6682</v>
      </c>
      <c r="B140" s="1" t="s">
        <v>4293</v>
      </c>
      <c r="C140" s="1" t="s">
        <v>6685</v>
      </c>
      <c r="D140" s="1" t="s">
        <v>273</v>
      </c>
      <c r="E140" s="1" t="s">
        <v>520</v>
      </c>
      <c r="F140" s="1" t="s">
        <v>522</v>
      </c>
      <c r="G140" s="1" t="s">
        <v>710</v>
      </c>
      <c r="H140" s="3">
        <v>45636.0</v>
      </c>
      <c r="I140" s="3">
        <v>45883.0</v>
      </c>
      <c r="J140" s="3">
        <v>45883.0</v>
      </c>
      <c r="K140" s="1" t="s">
        <v>215</v>
      </c>
      <c r="L140" s="1" t="s">
        <v>160</v>
      </c>
      <c r="M140" s="1" t="s">
        <v>216</v>
      </c>
      <c r="N140" s="1" t="s">
        <v>131</v>
      </c>
      <c r="O140" s="13"/>
      <c r="P140" s="4"/>
      <c r="Q140" s="4"/>
      <c r="R140" s="1" t="s">
        <v>137</v>
      </c>
      <c r="S140" s="1" t="s">
        <v>137</v>
      </c>
      <c r="T140" s="1" t="s">
        <v>47</v>
      </c>
      <c r="U140" s="1" t="s">
        <v>4301</v>
      </c>
      <c r="V140" s="4"/>
      <c r="W140" s="4"/>
      <c r="X140" s="4"/>
    </row>
    <row r="141">
      <c r="A141" s="1" t="s">
        <v>6418</v>
      </c>
      <c r="B141" s="1" t="s">
        <v>4293</v>
      </c>
      <c r="C141" s="1" t="s">
        <v>1191</v>
      </c>
      <c r="D141" s="1" t="s">
        <v>650</v>
      </c>
      <c r="E141" s="1" t="s">
        <v>889</v>
      </c>
      <c r="F141" s="1" t="s">
        <v>1193</v>
      </c>
      <c r="G141" s="1" t="s">
        <v>1195</v>
      </c>
      <c r="H141" s="3">
        <v>45890.0</v>
      </c>
      <c r="I141" s="3">
        <v>45943.0</v>
      </c>
      <c r="J141" s="3">
        <v>45943.0</v>
      </c>
      <c r="K141" s="1" t="s">
        <v>215</v>
      </c>
      <c r="L141" s="1" t="s">
        <v>160</v>
      </c>
      <c r="M141" s="1" t="s">
        <v>216</v>
      </c>
      <c r="N141" s="1" t="s">
        <v>131</v>
      </c>
      <c r="O141" s="13"/>
      <c r="P141" s="4"/>
      <c r="Q141" s="4"/>
      <c r="R141" s="1" t="s">
        <v>137</v>
      </c>
      <c r="S141" s="1" t="s">
        <v>137</v>
      </c>
      <c r="T141" s="1" t="s">
        <v>47</v>
      </c>
      <c r="U141" s="1" t="s">
        <v>4301</v>
      </c>
      <c r="V141" s="4"/>
      <c r="W141" s="4"/>
      <c r="X141" s="4"/>
    </row>
    <row r="142">
      <c r="A142" s="1" t="s">
        <v>6718</v>
      </c>
      <c r="B142" s="1" t="s">
        <v>4293</v>
      </c>
      <c r="C142" s="1" t="s">
        <v>6720</v>
      </c>
      <c r="D142" s="1" t="s">
        <v>417</v>
      </c>
      <c r="E142" s="1" t="s">
        <v>175</v>
      </c>
      <c r="F142" s="1" t="s">
        <v>3128</v>
      </c>
      <c r="G142" s="1" t="s">
        <v>3276</v>
      </c>
      <c r="H142" s="3">
        <v>45786.0</v>
      </c>
      <c r="I142" s="13"/>
      <c r="J142" s="13"/>
      <c r="K142" s="1" t="s">
        <v>124</v>
      </c>
      <c r="L142" s="1" t="s">
        <v>160</v>
      </c>
      <c r="M142" s="1" t="s">
        <v>253</v>
      </c>
      <c r="N142" s="1" t="s">
        <v>131</v>
      </c>
      <c r="O142" s="13"/>
      <c r="P142" s="4"/>
      <c r="Q142" s="4"/>
      <c r="R142" s="1" t="s">
        <v>137</v>
      </c>
      <c r="S142" s="1" t="s">
        <v>137</v>
      </c>
      <c r="T142" s="1" t="s">
        <v>47</v>
      </c>
      <c r="U142" s="1" t="s">
        <v>4301</v>
      </c>
      <c r="V142" s="4"/>
      <c r="W142" s="4"/>
      <c r="X142" s="4"/>
    </row>
    <row r="143">
      <c r="A143" s="1" t="s">
        <v>6730</v>
      </c>
      <c r="B143" s="1" t="s">
        <v>4293</v>
      </c>
      <c r="C143" s="1" t="s">
        <v>6733</v>
      </c>
      <c r="D143" s="1" t="s">
        <v>1798</v>
      </c>
      <c r="E143" s="1" t="s">
        <v>175</v>
      </c>
      <c r="F143" s="1" t="s">
        <v>1116</v>
      </c>
      <c r="G143" s="1" t="s">
        <v>6737</v>
      </c>
      <c r="H143" s="3">
        <v>43906.0</v>
      </c>
      <c r="I143" s="3">
        <v>43994.0</v>
      </c>
      <c r="J143" s="3">
        <v>43994.0</v>
      </c>
      <c r="K143" s="1" t="s">
        <v>215</v>
      </c>
      <c r="L143" s="1" t="s">
        <v>160</v>
      </c>
      <c r="M143" s="1" t="s">
        <v>216</v>
      </c>
      <c r="N143" s="1" t="s">
        <v>131</v>
      </c>
      <c r="O143" s="13"/>
      <c r="P143" s="4"/>
      <c r="Q143" s="4"/>
      <c r="R143" s="1" t="s">
        <v>137</v>
      </c>
      <c r="S143" s="1" t="s">
        <v>137</v>
      </c>
      <c r="T143" s="1" t="s">
        <v>47</v>
      </c>
      <c r="U143" s="1" t="s">
        <v>4301</v>
      </c>
      <c r="V143" s="4"/>
      <c r="W143" s="4"/>
      <c r="X143" s="4"/>
    </row>
    <row r="144">
      <c r="A144" s="1" t="s">
        <v>6747</v>
      </c>
      <c r="B144" s="1" t="s">
        <v>4293</v>
      </c>
      <c r="C144" s="1" t="s">
        <v>1257</v>
      </c>
      <c r="D144" s="1" t="s">
        <v>1258</v>
      </c>
      <c r="E144" s="1" t="s">
        <v>292</v>
      </c>
      <c r="F144" s="1" t="s">
        <v>576</v>
      </c>
      <c r="G144" s="1" t="s">
        <v>998</v>
      </c>
      <c r="H144" s="3">
        <v>45064.0</v>
      </c>
      <c r="I144" s="3">
        <v>45334.0</v>
      </c>
      <c r="J144" s="3">
        <v>45334.0</v>
      </c>
      <c r="K144" s="1" t="s">
        <v>215</v>
      </c>
      <c r="L144" s="1" t="s">
        <v>160</v>
      </c>
      <c r="M144" s="1" t="s">
        <v>216</v>
      </c>
      <c r="N144" s="1" t="s">
        <v>131</v>
      </c>
      <c r="O144" s="13"/>
      <c r="P144" s="4"/>
      <c r="Q144" s="4"/>
      <c r="R144" s="1" t="s">
        <v>137</v>
      </c>
      <c r="S144" s="1" t="s">
        <v>137</v>
      </c>
      <c r="T144" s="1" t="s">
        <v>47</v>
      </c>
      <c r="U144" s="1" t="s">
        <v>4301</v>
      </c>
      <c r="V144" s="4"/>
      <c r="W144" s="4"/>
      <c r="X144" s="4"/>
    </row>
    <row r="145">
      <c r="A145" s="1" t="s">
        <v>1256</v>
      </c>
      <c r="B145" s="1" t="s">
        <v>146</v>
      </c>
      <c r="C145" s="1" t="s">
        <v>1257</v>
      </c>
      <c r="D145" s="1" t="s">
        <v>1258</v>
      </c>
      <c r="E145" s="1" t="s">
        <v>292</v>
      </c>
      <c r="F145" s="1" t="s">
        <v>576</v>
      </c>
      <c r="G145" s="1" t="s">
        <v>998</v>
      </c>
      <c r="H145" s="3">
        <v>46129.0</v>
      </c>
      <c r="I145" s="3">
        <v>46300.0</v>
      </c>
      <c r="J145" s="13"/>
      <c r="K145" s="1" t="s">
        <v>124</v>
      </c>
      <c r="L145" s="1" t="s">
        <v>160</v>
      </c>
      <c r="M145" s="1" t="s">
        <v>460</v>
      </c>
      <c r="N145" s="1" t="s">
        <v>131</v>
      </c>
      <c r="O145" s="13"/>
      <c r="P145" s="1" t="s">
        <v>1262</v>
      </c>
      <c r="Q145" s="4"/>
      <c r="R145" s="1" t="s">
        <v>137</v>
      </c>
      <c r="S145" s="1" t="s">
        <v>137</v>
      </c>
      <c r="T145" s="1" t="s">
        <v>47</v>
      </c>
      <c r="U145" s="1" t="s">
        <v>3791</v>
      </c>
      <c r="V145" s="4"/>
      <c r="W145" s="4"/>
      <c r="X145" s="4"/>
    </row>
    <row r="146">
      <c r="A146" s="1" t="s">
        <v>6774</v>
      </c>
      <c r="B146" s="1" t="s">
        <v>4293</v>
      </c>
      <c r="C146" s="1" t="s">
        <v>6776</v>
      </c>
      <c r="D146" s="1" t="s">
        <v>291</v>
      </c>
      <c r="E146" s="1" t="s">
        <v>175</v>
      </c>
      <c r="F146" s="1" t="s">
        <v>3592</v>
      </c>
      <c r="G146" s="1" t="s">
        <v>5540</v>
      </c>
      <c r="H146" s="3">
        <v>44939.0</v>
      </c>
      <c r="I146" s="3">
        <v>44939.0</v>
      </c>
      <c r="J146" s="3">
        <v>44939.0</v>
      </c>
      <c r="K146" s="1" t="s">
        <v>215</v>
      </c>
      <c r="L146" s="1" t="s">
        <v>160</v>
      </c>
      <c r="M146" s="1" t="s">
        <v>216</v>
      </c>
      <c r="N146" s="1" t="s">
        <v>131</v>
      </c>
      <c r="O146" s="13"/>
      <c r="P146" s="4"/>
      <c r="Q146" s="4"/>
      <c r="R146" s="1" t="s">
        <v>137</v>
      </c>
      <c r="S146" s="1" t="s">
        <v>137</v>
      </c>
      <c r="T146" s="1" t="s">
        <v>47</v>
      </c>
      <c r="U146" s="1" t="s">
        <v>4301</v>
      </c>
      <c r="V146" s="4"/>
      <c r="W146" s="4"/>
      <c r="X146" s="4"/>
    </row>
    <row r="147">
      <c r="A147" s="1" t="s">
        <v>6787</v>
      </c>
      <c r="B147" s="1" t="s">
        <v>4293</v>
      </c>
      <c r="C147" s="1" t="s">
        <v>6791</v>
      </c>
      <c r="D147" s="1" t="s">
        <v>919</v>
      </c>
      <c r="E147" s="1" t="s">
        <v>330</v>
      </c>
      <c r="F147" s="1" t="s">
        <v>356</v>
      </c>
      <c r="G147" s="1" t="s">
        <v>429</v>
      </c>
      <c r="H147" s="3">
        <v>45756.0</v>
      </c>
      <c r="I147" s="13"/>
      <c r="J147" s="13"/>
      <c r="K147" s="1" t="s">
        <v>124</v>
      </c>
      <c r="L147" s="1" t="s">
        <v>160</v>
      </c>
      <c r="M147" s="1" t="s">
        <v>253</v>
      </c>
      <c r="N147" s="1" t="s">
        <v>131</v>
      </c>
      <c r="O147" s="13"/>
      <c r="P147" s="4"/>
      <c r="Q147" s="4"/>
      <c r="R147" s="1" t="s">
        <v>137</v>
      </c>
      <c r="S147" s="1" t="s">
        <v>137</v>
      </c>
      <c r="T147" s="1" t="s">
        <v>47</v>
      </c>
      <c r="U147" s="1" t="s">
        <v>4301</v>
      </c>
      <c r="V147" s="4"/>
      <c r="W147" s="4"/>
      <c r="X147" s="4"/>
    </row>
    <row r="148">
      <c r="A148" s="1" t="s">
        <v>6802</v>
      </c>
      <c r="B148" s="1" t="s">
        <v>4293</v>
      </c>
      <c r="C148" s="1" t="s">
        <v>6804</v>
      </c>
      <c r="D148" s="1" t="s">
        <v>194</v>
      </c>
      <c r="E148" s="1" t="s">
        <v>454</v>
      </c>
      <c r="F148" s="1" t="s">
        <v>6808</v>
      </c>
      <c r="G148" s="1" t="s">
        <v>6809</v>
      </c>
      <c r="H148" s="3">
        <v>44316.0</v>
      </c>
      <c r="I148" s="3">
        <v>44316.0</v>
      </c>
      <c r="J148" s="3">
        <v>44316.0</v>
      </c>
      <c r="K148" s="1" t="s">
        <v>215</v>
      </c>
      <c r="L148" s="1" t="s">
        <v>160</v>
      </c>
      <c r="M148" s="1" t="s">
        <v>216</v>
      </c>
      <c r="N148" s="1" t="s">
        <v>131</v>
      </c>
      <c r="O148" s="13"/>
      <c r="P148" s="4"/>
      <c r="Q148" s="4"/>
      <c r="R148" s="1" t="s">
        <v>137</v>
      </c>
      <c r="S148" s="1" t="s">
        <v>137</v>
      </c>
      <c r="T148" s="1" t="s">
        <v>47</v>
      </c>
      <c r="U148" s="1" t="s">
        <v>4301</v>
      </c>
      <c r="V148" s="4"/>
      <c r="W148" s="4"/>
      <c r="X148" s="4"/>
    </row>
    <row r="149">
      <c r="A149" s="1" t="s">
        <v>6816</v>
      </c>
      <c r="B149" s="1" t="s">
        <v>4293</v>
      </c>
      <c r="C149" s="1" t="s">
        <v>6819</v>
      </c>
      <c r="D149" s="1" t="s">
        <v>1823</v>
      </c>
      <c r="E149" s="1" t="s">
        <v>292</v>
      </c>
      <c r="F149" s="1" t="s">
        <v>494</v>
      </c>
      <c r="G149" s="1" t="s">
        <v>2278</v>
      </c>
      <c r="H149" s="3">
        <v>45784.0</v>
      </c>
      <c r="I149" s="3">
        <v>46055.0</v>
      </c>
      <c r="J149" s="3">
        <v>46055.0</v>
      </c>
      <c r="K149" s="1" t="s">
        <v>215</v>
      </c>
      <c r="L149" s="1" t="s">
        <v>160</v>
      </c>
      <c r="M149" s="1" t="s">
        <v>216</v>
      </c>
      <c r="N149" s="1" t="s">
        <v>131</v>
      </c>
      <c r="O149" s="13"/>
      <c r="P149" s="4"/>
      <c r="Q149" s="4"/>
      <c r="R149" s="1" t="s">
        <v>137</v>
      </c>
      <c r="S149" s="1" t="s">
        <v>137</v>
      </c>
      <c r="T149" s="1" t="s">
        <v>47</v>
      </c>
      <c r="U149" s="1" t="s">
        <v>4301</v>
      </c>
      <c r="V149" s="4"/>
      <c r="W149" s="4"/>
      <c r="X149" s="4"/>
    </row>
    <row r="150">
      <c r="A150" s="1" t="s">
        <v>6832</v>
      </c>
      <c r="B150" s="1" t="s">
        <v>4293</v>
      </c>
      <c r="C150" s="1" t="s">
        <v>6834</v>
      </c>
      <c r="D150" s="1" t="s">
        <v>831</v>
      </c>
      <c r="E150" s="1" t="s">
        <v>889</v>
      </c>
      <c r="F150" s="1" t="s">
        <v>1983</v>
      </c>
      <c r="G150" s="4"/>
      <c r="H150" s="3">
        <v>44742.0</v>
      </c>
      <c r="I150" s="3">
        <v>44991.0</v>
      </c>
      <c r="J150" s="3">
        <v>44991.0</v>
      </c>
      <c r="K150" s="1" t="s">
        <v>215</v>
      </c>
      <c r="L150" s="1" t="s">
        <v>160</v>
      </c>
      <c r="M150" s="1" t="s">
        <v>216</v>
      </c>
      <c r="N150" s="1" t="s">
        <v>131</v>
      </c>
      <c r="O150" s="13"/>
      <c r="P150" s="4"/>
      <c r="Q150" s="4"/>
      <c r="R150" s="1" t="s">
        <v>137</v>
      </c>
      <c r="S150" s="1" t="s">
        <v>137</v>
      </c>
      <c r="T150" s="1" t="s">
        <v>47</v>
      </c>
      <c r="U150" s="1" t="s">
        <v>4301</v>
      </c>
      <c r="V150" s="4"/>
      <c r="W150" s="4"/>
      <c r="X150" s="4"/>
    </row>
    <row r="151">
      <c r="A151" s="1" t="s">
        <v>6850</v>
      </c>
      <c r="B151" s="1" t="s">
        <v>4293</v>
      </c>
      <c r="C151" s="1" t="s">
        <v>6852</v>
      </c>
      <c r="D151" s="1" t="s">
        <v>518</v>
      </c>
      <c r="E151" s="1" t="s">
        <v>520</v>
      </c>
      <c r="F151" s="1" t="s">
        <v>522</v>
      </c>
      <c r="G151" s="1" t="s">
        <v>4985</v>
      </c>
      <c r="H151" s="3">
        <v>44314.0</v>
      </c>
      <c r="I151" s="3">
        <v>44308.0</v>
      </c>
      <c r="J151" s="3">
        <v>44308.0</v>
      </c>
      <c r="K151" s="1" t="s">
        <v>215</v>
      </c>
      <c r="L151" s="1" t="s">
        <v>160</v>
      </c>
      <c r="M151" s="1" t="s">
        <v>216</v>
      </c>
      <c r="N151" s="1" t="s">
        <v>131</v>
      </c>
      <c r="O151" s="13"/>
      <c r="P151" s="4"/>
      <c r="Q151" s="4"/>
      <c r="R151" s="1" t="s">
        <v>137</v>
      </c>
      <c r="S151" s="1" t="s">
        <v>137</v>
      </c>
      <c r="T151" s="1" t="s">
        <v>47</v>
      </c>
      <c r="U151" s="1" t="s">
        <v>4301</v>
      </c>
      <c r="V151" s="4"/>
      <c r="W151" s="4"/>
      <c r="X151" s="4"/>
    </row>
    <row r="152">
      <c r="A152" s="1" t="s">
        <v>6867</v>
      </c>
      <c r="B152" s="1" t="s">
        <v>4293</v>
      </c>
      <c r="C152" s="1" t="s">
        <v>6870</v>
      </c>
      <c r="D152" s="1" t="s">
        <v>518</v>
      </c>
      <c r="E152" s="1" t="s">
        <v>520</v>
      </c>
      <c r="F152" s="1" t="s">
        <v>522</v>
      </c>
      <c r="G152" s="1" t="s">
        <v>6067</v>
      </c>
      <c r="H152" s="3">
        <v>45016.0</v>
      </c>
      <c r="I152" s="13"/>
      <c r="J152" s="4"/>
      <c r="K152" s="1" t="s">
        <v>124</v>
      </c>
      <c r="L152" s="1" t="s">
        <v>160</v>
      </c>
      <c r="M152" s="1" t="s">
        <v>253</v>
      </c>
      <c r="N152" s="1" t="s">
        <v>131</v>
      </c>
      <c r="O152" s="4"/>
      <c r="P152" s="4"/>
      <c r="Q152" s="4"/>
      <c r="R152" s="1" t="s">
        <v>137</v>
      </c>
      <c r="S152" s="1" t="s">
        <v>137</v>
      </c>
      <c r="T152" s="1" t="s">
        <v>47</v>
      </c>
      <c r="U152" s="1" t="s">
        <v>4301</v>
      </c>
      <c r="V152" s="4"/>
      <c r="W152" s="4"/>
      <c r="X152" s="4"/>
    </row>
    <row r="153">
      <c r="A153" s="1" t="s">
        <v>6884</v>
      </c>
      <c r="B153" s="1" t="s">
        <v>4293</v>
      </c>
      <c r="C153" s="1" t="s">
        <v>6885</v>
      </c>
      <c r="D153" s="1" t="s">
        <v>1477</v>
      </c>
      <c r="E153" s="1" t="s">
        <v>175</v>
      </c>
      <c r="F153" s="1" t="s">
        <v>1767</v>
      </c>
      <c r="G153" s="1" t="s">
        <v>3835</v>
      </c>
      <c r="H153" s="3">
        <v>45820.0</v>
      </c>
      <c r="I153" s="3">
        <v>45968.0</v>
      </c>
      <c r="J153" s="3">
        <v>45968.0</v>
      </c>
      <c r="K153" s="1" t="s">
        <v>215</v>
      </c>
      <c r="L153" s="1" t="s">
        <v>160</v>
      </c>
      <c r="M153" s="1" t="s">
        <v>216</v>
      </c>
      <c r="N153" s="1" t="s">
        <v>131</v>
      </c>
      <c r="O153" s="13"/>
      <c r="P153" s="4"/>
      <c r="Q153" s="4"/>
      <c r="R153" s="1" t="s">
        <v>137</v>
      </c>
      <c r="S153" s="1" t="s">
        <v>137</v>
      </c>
      <c r="T153" s="1" t="s">
        <v>47</v>
      </c>
      <c r="U153" s="1" t="s">
        <v>4301</v>
      </c>
      <c r="V153" s="4"/>
      <c r="W153" s="4"/>
      <c r="X153" s="4"/>
    </row>
    <row r="154">
      <c r="A154" s="1" t="s">
        <v>6203</v>
      </c>
      <c r="B154" s="1" t="s">
        <v>4293</v>
      </c>
      <c r="C154" s="1" t="s">
        <v>6901</v>
      </c>
      <c r="D154" s="1" t="s">
        <v>172</v>
      </c>
      <c r="E154" s="1" t="s">
        <v>175</v>
      </c>
      <c r="F154" s="1" t="s">
        <v>177</v>
      </c>
      <c r="G154" s="1" t="s">
        <v>672</v>
      </c>
      <c r="H154" s="3">
        <v>45621.0</v>
      </c>
      <c r="I154" s="3">
        <v>45699.0</v>
      </c>
      <c r="J154" s="3">
        <v>45699.0</v>
      </c>
      <c r="K154" s="1" t="s">
        <v>215</v>
      </c>
      <c r="L154" s="1" t="s">
        <v>160</v>
      </c>
      <c r="M154" s="1" t="s">
        <v>216</v>
      </c>
      <c r="N154" s="1" t="s">
        <v>131</v>
      </c>
      <c r="O154" s="13"/>
      <c r="P154" s="4"/>
      <c r="Q154" s="4"/>
      <c r="R154" s="1" t="s">
        <v>137</v>
      </c>
      <c r="S154" s="1" t="s">
        <v>137</v>
      </c>
      <c r="T154" s="1" t="s">
        <v>47</v>
      </c>
      <c r="U154" s="1" t="s">
        <v>4301</v>
      </c>
      <c r="V154" s="4"/>
      <c r="W154" s="4"/>
      <c r="X154" s="4"/>
    </row>
    <row r="155">
      <c r="A155" s="1" t="s">
        <v>6916</v>
      </c>
      <c r="B155" s="1" t="s">
        <v>4293</v>
      </c>
      <c r="C155" s="1" t="s">
        <v>6919</v>
      </c>
      <c r="D155" s="1" t="s">
        <v>960</v>
      </c>
      <c r="E155" s="1" t="s">
        <v>292</v>
      </c>
      <c r="F155" s="1" t="s">
        <v>494</v>
      </c>
      <c r="G155" s="1" t="s">
        <v>496</v>
      </c>
      <c r="H155" s="3">
        <v>45233.0</v>
      </c>
      <c r="I155" s="3">
        <v>45432.0</v>
      </c>
      <c r="J155" s="3">
        <v>45432.0</v>
      </c>
      <c r="K155" s="1" t="s">
        <v>215</v>
      </c>
      <c r="L155" s="1" t="s">
        <v>160</v>
      </c>
      <c r="M155" s="1" t="s">
        <v>216</v>
      </c>
      <c r="N155" s="1" t="s">
        <v>131</v>
      </c>
      <c r="O155" s="13"/>
      <c r="P155" s="4"/>
      <c r="Q155" s="4"/>
      <c r="R155" s="1" t="s">
        <v>137</v>
      </c>
      <c r="S155" s="1" t="s">
        <v>137</v>
      </c>
      <c r="T155" s="1" t="s">
        <v>47</v>
      </c>
      <c r="U155" s="1" t="s">
        <v>4301</v>
      </c>
      <c r="V155" s="4"/>
      <c r="W155" s="4"/>
      <c r="X155" s="4"/>
    </row>
    <row r="156">
      <c r="A156" s="1" t="s">
        <v>6931</v>
      </c>
      <c r="B156" s="1" t="s">
        <v>4293</v>
      </c>
      <c r="C156" s="1" t="s">
        <v>6934</v>
      </c>
      <c r="D156" s="1" t="s">
        <v>243</v>
      </c>
      <c r="E156" s="1" t="s">
        <v>175</v>
      </c>
      <c r="F156" s="1" t="s">
        <v>245</v>
      </c>
      <c r="G156" s="1" t="s">
        <v>4968</v>
      </c>
      <c r="H156" s="3">
        <v>43096.0</v>
      </c>
      <c r="I156" s="3">
        <v>43111.0</v>
      </c>
      <c r="J156" s="3">
        <v>43111.0</v>
      </c>
      <c r="K156" s="1" t="s">
        <v>215</v>
      </c>
      <c r="L156" s="1" t="s">
        <v>160</v>
      </c>
      <c r="M156" s="1" t="s">
        <v>216</v>
      </c>
      <c r="N156" s="1" t="s">
        <v>131</v>
      </c>
      <c r="O156" s="13"/>
      <c r="P156" s="4"/>
      <c r="Q156" s="4"/>
      <c r="R156" s="1" t="s">
        <v>137</v>
      </c>
      <c r="S156" s="1" t="s">
        <v>137</v>
      </c>
      <c r="T156" s="1" t="s">
        <v>47</v>
      </c>
      <c r="U156" s="1" t="s">
        <v>4301</v>
      </c>
      <c r="V156" s="4"/>
      <c r="W156" s="4"/>
      <c r="X156" s="4"/>
    </row>
    <row r="157">
      <c r="A157" s="1" t="s">
        <v>6949</v>
      </c>
      <c r="B157" s="1" t="s">
        <v>4293</v>
      </c>
      <c r="C157" s="1" t="s">
        <v>6951</v>
      </c>
      <c r="D157" s="1" t="s">
        <v>593</v>
      </c>
      <c r="E157" s="1" t="s">
        <v>330</v>
      </c>
      <c r="F157" s="1" t="s">
        <v>356</v>
      </c>
      <c r="G157" s="1" t="s">
        <v>864</v>
      </c>
      <c r="H157" s="3">
        <v>44090.0</v>
      </c>
      <c r="I157" s="3">
        <v>44249.0</v>
      </c>
      <c r="J157" s="3">
        <v>44249.0</v>
      </c>
      <c r="K157" s="1" t="s">
        <v>215</v>
      </c>
      <c r="L157" s="1" t="s">
        <v>160</v>
      </c>
      <c r="M157" s="1" t="s">
        <v>216</v>
      </c>
      <c r="N157" s="1" t="s">
        <v>131</v>
      </c>
      <c r="O157" s="13"/>
      <c r="P157" s="4"/>
      <c r="Q157" s="4"/>
      <c r="R157" s="1" t="s">
        <v>137</v>
      </c>
      <c r="S157" s="1" t="s">
        <v>137</v>
      </c>
      <c r="T157" s="1" t="s">
        <v>47</v>
      </c>
      <c r="U157" s="1" t="s">
        <v>4301</v>
      </c>
      <c r="V157" s="4"/>
      <c r="W157" s="4"/>
      <c r="X157" s="4"/>
    </row>
    <row r="158">
      <c r="A158" s="1" t="s">
        <v>6824</v>
      </c>
      <c r="B158" s="1" t="s">
        <v>4293</v>
      </c>
      <c r="C158" s="1" t="s">
        <v>6969</v>
      </c>
      <c r="D158" s="1" t="s">
        <v>388</v>
      </c>
      <c r="E158" s="1" t="s">
        <v>292</v>
      </c>
      <c r="F158" s="1" t="s">
        <v>576</v>
      </c>
      <c r="G158" s="1" t="s">
        <v>1088</v>
      </c>
      <c r="H158" s="3">
        <v>45467.0</v>
      </c>
      <c r="I158" s="3">
        <v>45618.0</v>
      </c>
      <c r="J158" s="3">
        <v>45618.0</v>
      </c>
      <c r="K158" s="1" t="s">
        <v>215</v>
      </c>
      <c r="L158" s="1" t="s">
        <v>160</v>
      </c>
      <c r="M158" s="1" t="s">
        <v>216</v>
      </c>
      <c r="N158" s="1" t="s">
        <v>131</v>
      </c>
      <c r="O158" s="13"/>
      <c r="P158" s="4"/>
      <c r="Q158" s="4"/>
      <c r="R158" s="1" t="s">
        <v>137</v>
      </c>
      <c r="S158" s="1" t="s">
        <v>137</v>
      </c>
      <c r="T158" s="1" t="s">
        <v>47</v>
      </c>
      <c r="U158" s="1" t="s">
        <v>4301</v>
      </c>
      <c r="V158" s="4"/>
      <c r="W158" s="4"/>
      <c r="X158" s="4"/>
    </row>
    <row r="159">
      <c r="A159" s="1" t="s">
        <v>6984</v>
      </c>
      <c r="B159" s="1" t="s">
        <v>4293</v>
      </c>
      <c r="C159" s="1" t="s">
        <v>6988</v>
      </c>
      <c r="D159" s="1" t="s">
        <v>152</v>
      </c>
      <c r="E159" s="1" t="s">
        <v>292</v>
      </c>
      <c r="F159" s="1" t="s">
        <v>494</v>
      </c>
      <c r="G159" s="1" t="s">
        <v>496</v>
      </c>
      <c r="H159" s="3">
        <v>44558.0</v>
      </c>
      <c r="I159" s="3">
        <v>44662.0</v>
      </c>
      <c r="J159" s="3">
        <v>44662.0</v>
      </c>
      <c r="K159" s="1" t="s">
        <v>215</v>
      </c>
      <c r="L159" s="1" t="s">
        <v>160</v>
      </c>
      <c r="M159" s="1" t="s">
        <v>216</v>
      </c>
      <c r="N159" s="1" t="s">
        <v>131</v>
      </c>
      <c r="O159" s="13"/>
      <c r="P159" s="4"/>
      <c r="Q159" s="4"/>
      <c r="R159" s="1" t="s">
        <v>137</v>
      </c>
      <c r="S159" s="1" t="s">
        <v>137</v>
      </c>
      <c r="T159" s="1" t="s">
        <v>47</v>
      </c>
      <c r="U159" s="1" t="s">
        <v>4301</v>
      </c>
      <c r="V159" s="4"/>
      <c r="W159" s="4"/>
      <c r="X159" s="4"/>
    </row>
    <row r="160">
      <c r="A160" s="1" t="s">
        <v>6998</v>
      </c>
      <c r="B160" s="1" t="s">
        <v>4293</v>
      </c>
      <c r="C160" s="1" t="s">
        <v>6999</v>
      </c>
      <c r="D160" s="1" t="s">
        <v>172</v>
      </c>
      <c r="E160" s="1" t="s">
        <v>209</v>
      </c>
      <c r="F160" s="1" t="s">
        <v>210</v>
      </c>
      <c r="G160" s="1" t="s">
        <v>7002</v>
      </c>
      <c r="H160" s="3">
        <v>44228.0</v>
      </c>
      <c r="I160" s="3">
        <v>44228.0</v>
      </c>
      <c r="J160" s="3">
        <v>44228.0</v>
      </c>
      <c r="K160" s="1" t="s">
        <v>215</v>
      </c>
      <c r="L160" s="1" t="s">
        <v>160</v>
      </c>
      <c r="M160" s="1" t="s">
        <v>216</v>
      </c>
      <c r="N160" s="1" t="s">
        <v>131</v>
      </c>
      <c r="O160" s="13"/>
      <c r="P160" s="4"/>
      <c r="Q160" s="4"/>
      <c r="R160" s="1" t="s">
        <v>137</v>
      </c>
      <c r="S160" s="1" t="s">
        <v>137</v>
      </c>
      <c r="T160" s="1" t="s">
        <v>47</v>
      </c>
      <c r="U160" s="1" t="s">
        <v>4301</v>
      </c>
      <c r="V160" s="4"/>
      <c r="W160" s="4"/>
      <c r="X160" s="4"/>
    </row>
    <row r="161">
      <c r="A161" s="1" t="s">
        <v>7011</v>
      </c>
      <c r="B161" s="1" t="s">
        <v>4293</v>
      </c>
      <c r="C161" s="1" t="s">
        <v>7013</v>
      </c>
      <c r="D161" s="1" t="s">
        <v>518</v>
      </c>
      <c r="E161" s="1" t="s">
        <v>520</v>
      </c>
      <c r="F161" s="1" t="s">
        <v>522</v>
      </c>
      <c r="G161" s="1" t="s">
        <v>6067</v>
      </c>
      <c r="H161" s="3">
        <v>44417.0</v>
      </c>
      <c r="I161" s="3">
        <v>44535.0</v>
      </c>
      <c r="J161" s="3">
        <v>44535.0</v>
      </c>
      <c r="K161" s="1" t="s">
        <v>215</v>
      </c>
      <c r="L161" s="1" t="s">
        <v>160</v>
      </c>
      <c r="M161" s="1" t="s">
        <v>216</v>
      </c>
      <c r="N161" s="1" t="s">
        <v>131</v>
      </c>
      <c r="O161" s="4"/>
      <c r="P161" s="4"/>
      <c r="Q161" s="4"/>
      <c r="R161" s="1" t="s">
        <v>137</v>
      </c>
      <c r="S161" s="1" t="s">
        <v>137</v>
      </c>
      <c r="T161" s="1" t="s">
        <v>47</v>
      </c>
      <c r="U161" s="1" t="s">
        <v>4301</v>
      </c>
      <c r="V161" s="4"/>
      <c r="W161" s="4"/>
      <c r="X161" s="4"/>
    </row>
    <row r="162">
      <c r="A162" s="1" t="s">
        <v>7025</v>
      </c>
      <c r="B162" s="1" t="s">
        <v>4293</v>
      </c>
      <c r="C162" s="1" t="s">
        <v>7028</v>
      </c>
      <c r="D162" s="1" t="s">
        <v>960</v>
      </c>
      <c r="E162" s="1" t="s">
        <v>119</v>
      </c>
      <c r="F162" s="1" t="s">
        <v>2522</v>
      </c>
      <c r="G162" s="1" t="s">
        <v>2522</v>
      </c>
      <c r="H162" s="3">
        <v>45954.0</v>
      </c>
      <c r="I162" s="13"/>
      <c r="J162" s="13"/>
      <c r="K162" s="1" t="s">
        <v>124</v>
      </c>
      <c r="L162" s="1" t="s">
        <v>160</v>
      </c>
      <c r="M162" s="1" t="s">
        <v>253</v>
      </c>
      <c r="N162" s="1" t="s">
        <v>131</v>
      </c>
      <c r="O162" s="13"/>
      <c r="P162" s="4"/>
      <c r="Q162" s="4"/>
      <c r="R162" s="1" t="s">
        <v>137</v>
      </c>
      <c r="S162" s="1" t="s">
        <v>137</v>
      </c>
      <c r="T162" s="1" t="s">
        <v>47</v>
      </c>
      <c r="U162" s="1" t="s">
        <v>4301</v>
      </c>
      <c r="V162" s="4"/>
      <c r="W162" s="4"/>
      <c r="X162" s="4"/>
    </row>
    <row r="163">
      <c r="A163" s="1" t="s">
        <v>7038</v>
      </c>
      <c r="B163" s="1" t="s">
        <v>4293</v>
      </c>
      <c r="C163" s="1" t="s">
        <v>7041</v>
      </c>
      <c r="D163" s="1" t="s">
        <v>492</v>
      </c>
      <c r="E163" s="1" t="s">
        <v>119</v>
      </c>
      <c r="F163" s="1" t="s">
        <v>2522</v>
      </c>
      <c r="G163" s="1" t="s">
        <v>2522</v>
      </c>
      <c r="H163" s="3">
        <v>44813.0</v>
      </c>
      <c r="I163" s="3">
        <v>45097.0</v>
      </c>
      <c r="J163" s="3">
        <v>45097.0</v>
      </c>
      <c r="K163" s="1" t="s">
        <v>215</v>
      </c>
      <c r="L163" s="1" t="s">
        <v>160</v>
      </c>
      <c r="M163" s="1" t="s">
        <v>216</v>
      </c>
      <c r="N163" s="1" t="s">
        <v>131</v>
      </c>
      <c r="O163" s="13"/>
      <c r="P163" s="4"/>
      <c r="Q163" s="4"/>
      <c r="R163" s="1" t="s">
        <v>137</v>
      </c>
      <c r="S163" s="1" t="s">
        <v>137</v>
      </c>
      <c r="T163" s="1" t="s">
        <v>47</v>
      </c>
      <c r="U163" s="1" t="s">
        <v>4301</v>
      </c>
      <c r="V163" s="4"/>
      <c r="W163" s="4"/>
      <c r="X163" s="4"/>
    </row>
    <row r="164">
      <c r="A164" s="1" t="s">
        <v>6507</v>
      </c>
      <c r="B164" s="1" t="s">
        <v>4293</v>
      </c>
      <c r="C164" s="1" t="s">
        <v>1427</v>
      </c>
      <c r="D164" s="1" t="s">
        <v>273</v>
      </c>
      <c r="E164" s="1" t="s">
        <v>330</v>
      </c>
      <c r="F164" s="1" t="s">
        <v>356</v>
      </c>
      <c r="G164" s="1" t="s">
        <v>359</v>
      </c>
      <c r="H164" s="3">
        <v>44494.0</v>
      </c>
      <c r="I164" s="3">
        <v>44539.0</v>
      </c>
      <c r="J164" s="3">
        <v>44539.0</v>
      </c>
      <c r="K164" s="1" t="s">
        <v>215</v>
      </c>
      <c r="L164" s="1" t="s">
        <v>160</v>
      </c>
      <c r="M164" s="1" t="s">
        <v>216</v>
      </c>
      <c r="N164" s="1" t="s">
        <v>131</v>
      </c>
      <c r="O164" s="13"/>
      <c r="P164" s="4"/>
      <c r="Q164" s="4"/>
      <c r="R164" s="1" t="s">
        <v>137</v>
      </c>
      <c r="S164" s="1" t="s">
        <v>137</v>
      </c>
      <c r="T164" s="1" t="s">
        <v>47</v>
      </c>
      <c r="U164" s="1" t="s">
        <v>4301</v>
      </c>
      <c r="V164" s="4"/>
      <c r="W164" s="4"/>
      <c r="X164" s="4"/>
    </row>
    <row r="165">
      <c r="A165" s="1" t="s">
        <v>5178</v>
      </c>
      <c r="B165" s="1" t="s">
        <v>4293</v>
      </c>
      <c r="C165" s="1" t="s">
        <v>7074</v>
      </c>
      <c r="D165" s="1" t="s">
        <v>492</v>
      </c>
      <c r="E165" s="1" t="s">
        <v>175</v>
      </c>
      <c r="F165" s="1" t="s">
        <v>763</v>
      </c>
      <c r="G165" s="1" t="s">
        <v>1825</v>
      </c>
      <c r="H165" s="3">
        <v>44306.0</v>
      </c>
      <c r="I165" s="3">
        <v>44306.0</v>
      </c>
      <c r="J165" s="3">
        <v>44306.0</v>
      </c>
      <c r="K165" s="1" t="s">
        <v>215</v>
      </c>
      <c r="L165" s="1" t="s">
        <v>160</v>
      </c>
      <c r="M165" s="1" t="s">
        <v>216</v>
      </c>
      <c r="N165" s="1" t="s">
        <v>131</v>
      </c>
      <c r="O165" s="13"/>
      <c r="P165" s="4"/>
      <c r="Q165" s="4"/>
      <c r="R165" s="1" t="s">
        <v>137</v>
      </c>
      <c r="S165" s="1" t="s">
        <v>137</v>
      </c>
      <c r="T165" s="1" t="s">
        <v>47</v>
      </c>
      <c r="U165" s="1" t="s">
        <v>4301</v>
      </c>
      <c r="V165" s="4"/>
      <c r="W165" s="4"/>
      <c r="X165" s="4"/>
    </row>
    <row r="166">
      <c r="A166" s="1" t="s">
        <v>7089</v>
      </c>
      <c r="B166" s="1" t="s">
        <v>4293</v>
      </c>
      <c r="C166" s="1" t="s">
        <v>7091</v>
      </c>
      <c r="D166" s="1" t="s">
        <v>1477</v>
      </c>
      <c r="E166" s="1" t="s">
        <v>175</v>
      </c>
      <c r="F166" s="1" t="s">
        <v>3592</v>
      </c>
      <c r="G166" s="1" t="s">
        <v>3593</v>
      </c>
      <c r="H166" s="3">
        <v>45474.0</v>
      </c>
      <c r="I166" s="3">
        <v>45627.0</v>
      </c>
      <c r="J166" s="3">
        <v>45627.0</v>
      </c>
      <c r="K166" s="1" t="s">
        <v>215</v>
      </c>
      <c r="L166" s="1" t="s">
        <v>160</v>
      </c>
      <c r="M166" s="1" t="s">
        <v>216</v>
      </c>
      <c r="N166" s="1" t="s">
        <v>131</v>
      </c>
      <c r="O166" s="13"/>
      <c r="P166" s="4"/>
      <c r="Q166" s="4"/>
      <c r="R166" s="1" t="s">
        <v>137</v>
      </c>
      <c r="S166" s="1" t="s">
        <v>137</v>
      </c>
      <c r="T166" s="1" t="s">
        <v>47</v>
      </c>
      <c r="U166" s="1" t="s">
        <v>4301</v>
      </c>
      <c r="V166" s="4"/>
      <c r="W166" s="4"/>
      <c r="X166" s="4"/>
    </row>
    <row r="167">
      <c r="A167" s="1" t="s">
        <v>7109</v>
      </c>
      <c r="B167" s="1" t="s">
        <v>4293</v>
      </c>
      <c r="C167" s="1" t="s">
        <v>7111</v>
      </c>
      <c r="D167" s="1" t="s">
        <v>2198</v>
      </c>
      <c r="E167" s="1" t="s">
        <v>175</v>
      </c>
      <c r="F167" s="1" t="s">
        <v>245</v>
      </c>
      <c r="G167" s="1" t="s">
        <v>247</v>
      </c>
      <c r="H167" s="3">
        <v>45783.0</v>
      </c>
      <c r="I167" s="13"/>
      <c r="J167" s="13"/>
      <c r="K167" s="1" t="s">
        <v>124</v>
      </c>
      <c r="L167" s="1" t="s">
        <v>160</v>
      </c>
      <c r="M167" s="1" t="s">
        <v>253</v>
      </c>
      <c r="N167" s="1" t="s">
        <v>131</v>
      </c>
      <c r="O167" s="13"/>
      <c r="P167" s="4"/>
      <c r="Q167" s="4"/>
      <c r="R167" s="1" t="s">
        <v>137</v>
      </c>
      <c r="S167" s="1" t="s">
        <v>137</v>
      </c>
      <c r="T167" s="1" t="s">
        <v>47</v>
      </c>
      <c r="U167" s="1" t="s">
        <v>4301</v>
      </c>
      <c r="V167" s="4"/>
      <c r="W167" s="4"/>
      <c r="X167" s="4"/>
    </row>
    <row r="168">
      <c r="A168" s="1" t="s">
        <v>7127</v>
      </c>
      <c r="B168" s="1" t="s">
        <v>4293</v>
      </c>
      <c r="C168" s="1" t="s">
        <v>7131</v>
      </c>
      <c r="D168" s="1" t="s">
        <v>118</v>
      </c>
      <c r="E168" s="1" t="s">
        <v>175</v>
      </c>
      <c r="F168" s="1" t="s">
        <v>763</v>
      </c>
      <c r="G168" s="1" t="s">
        <v>764</v>
      </c>
      <c r="H168" s="3">
        <v>45279.0</v>
      </c>
      <c r="I168" s="3">
        <v>45468.0</v>
      </c>
      <c r="J168" s="3">
        <v>45468.0</v>
      </c>
      <c r="K168" s="1" t="s">
        <v>215</v>
      </c>
      <c r="L168" s="1" t="s">
        <v>160</v>
      </c>
      <c r="M168" s="1" t="s">
        <v>216</v>
      </c>
      <c r="N168" s="1" t="s">
        <v>131</v>
      </c>
      <c r="O168" s="13"/>
      <c r="P168" s="4"/>
      <c r="Q168" s="4"/>
      <c r="R168" s="1" t="s">
        <v>137</v>
      </c>
      <c r="S168" s="1" t="s">
        <v>137</v>
      </c>
      <c r="T168" s="1" t="s">
        <v>47</v>
      </c>
      <c r="U168" s="1" t="s">
        <v>4301</v>
      </c>
      <c r="V168" s="4"/>
      <c r="W168" s="4"/>
      <c r="X168" s="4"/>
    </row>
    <row r="169">
      <c r="A169" s="1" t="s">
        <v>6836</v>
      </c>
      <c r="B169" s="1" t="s">
        <v>4293</v>
      </c>
      <c r="C169" s="1" t="s">
        <v>7152</v>
      </c>
      <c r="D169" s="1" t="s">
        <v>313</v>
      </c>
      <c r="E169" s="1" t="s">
        <v>175</v>
      </c>
      <c r="F169" s="1" t="s">
        <v>1767</v>
      </c>
      <c r="G169" s="1" t="s">
        <v>2199</v>
      </c>
      <c r="H169" s="3">
        <v>44409.0</v>
      </c>
      <c r="I169" s="3">
        <v>44409.0</v>
      </c>
      <c r="J169" s="3">
        <v>44409.0</v>
      </c>
      <c r="K169" s="1" t="s">
        <v>215</v>
      </c>
      <c r="L169" s="1" t="s">
        <v>160</v>
      </c>
      <c r="M169" s="1" t="s">
        <v>216</v>
      </c>
      <c r="N169" s="1" t="s">
        <v>131</v>
      </c>
      <c r="O169" s="13"/>
      <c r="P169" s="4"/>
      <c r="Q169" s="4"/>
      <c r="R169" s="1" t="s">
        <v>137</v>
      </c>
      <c r="S169" s="1" t="s">
        <v>137</v>
      </c>
      <c r="T169" s="1" t="s">
        <v>47</v>
      </c>
      <c r="U169" s="1" t="s">
        <v>4301</v>
      </c>
      <c r="V169" s="4"/>
      <c r="W169" s="4"/>
      <c r="X169" s="4"/>
    </row>
    <row r="170">
      <c r="A170" s="1" t="s">
        <v>7163</v>
      </c>
      <c r="B170" s="1" t="s">
        <v>4293</v>
      </c>
      <c r="C170" s="1" t="s">
        <v>7165</v>
      </c>
      <c r="D170" s="1" t="s">
        <v>831</v>
      </c>
      <c r="E170" s="1" t="s">
        <v>175</v>
      </c>
      <c r="F170" s="1" t="s">
        <v>3128</v>
      </c>
      <c r="G170" s="1" t="s">
        <v>7170</v>
      </c>
      <c r="H170" s="3">
        <v>45149.0</v>
      </c>
      <c r="I170" s="3">
        <v>45320.0</v>
      </c>
      <c r="J170" s="3">
        <v>45320.0</v>
      </c>
      <c r="K170" s="1" t="s">
        <v>215</v>
      </c>
      <c r="L170" s="1" t="s">
        <v>160</v>
      </c>
      <c r="M170" s="1" t="s">
        <v>216</v>
      </c>
      <c r="N170" s="1" t="s">
        <v>131</v>
      </c>
      <c r="O170" s="13"/>
      <c r="P170" s="4"/>
      <c r="Q170" s="4"/>
      <c r="R170" s="1" t="s">
        <v>137</v>
      </c>
      <c r="S170" s="1" t="s">
        <v>137</v>
      </c>
      <c r="T170" s="1" t="s">
        <v>47</v>
      </c>
      <c r="U170" s="1" t="s">
        <v>4301</v>
      </c>
      <c r="V170" s="4"/>
      <c r="W170" s="4"/>
      <c r="X170" s="4"/>
    </row>
    <row r="171">
      <c r="A171" s="1" t="s">
        <v>7179</v>
      </c>
      <c r="B171" s="1" t="s">
        <v>4293</v>
      </c>
      <c r="C171" s="1" t="s">
        <v>7181</v>
      </c>
      <c r="D171" s="1" t="s">
        <v>396</v>
      </c>
      <c r="E171" s="1" t="s">
        <v>292</v>
      </c>
      <c r="F171" s="1" t="s">
        <v>962</v>
      </c>
      <c r="G171" s="1" t="s">
        <v>1969</v>
      </c>
      <c r="H171" s="3">
        <v>45044.0</v>
      </c>
      <c r="I171" s="3">
        <v>45453.0</v>
      </c>
      <c r="J171" s="3">
        <v>45453.0</v>
      </c>
      <c r="K171" s="1" t="s">
        <v>215</v>
      </c>
      <c r="L171" s="1" t="s">
        <v>160</v>
      </c>
      <c r="M171" s="1" t="s">
        <v>216</v>
      </c>
      <c r="N171" s="1" t="s">
        <v>131</v>
      </c>
      <c r="O171" s="13"/>
      <c r="P171" s="4"/>
      <c r="Q171" s="4"/>
      <c r="R171" s="1" t="s">
        <v>137</v>
      </c>
      <c r="S171" s="1" t="s">
        <v>137</v>
      </c>
      <c r="T171" s="1" t="s">
        <v>47</v>
      </c>
      <c r="U171" s="1" t="s">
        <v>4301</v>
      </c>
      <c r="V171" s="4"/>
      <c r="W171" s="4"/>
      <c r="X171" s="4"/>
    </row>
    <row r="172">
      <c r="A172" s="1" t="s">
        <v>7199</v>
      </c>
      <c r="B172" s="1" t="s">
        <v>4293</v>
      </c>
      <c r="C172" s="1" t="s">
        <v>7201</v>
      </c>
      <c r="D172" s="1" t="s">
        <v>2198</v>
      </c>
      <c r="E172" s="1" t="s">
        <v>438</v>
      </c>
      <c r="F172" s="1" t="s">
        <v>7206</v>
      </c>
      <c r="G172" s="1" t="s">
        <v>7207</v>
      </c>
      <c r="H172" s="3">
        <v>45777.0</v>
      </c>
      <c r="I172" s="13"/>
      <c r="J172" s="13"/>
      <c r="K172" s="1" t="s">
        <v>124</v>
      </c>
      <c r="L172" s="1" t="s">
        <v>160</v>
      </c>
      <c r="M172" s="1" t="s">
        <v>253</v>
      </c>
      <c r="N172" s="1" t="s">
        <v>131</v>
      </c>
      <c r="O172" s="13"/>
      <c r="P172" s="4"/>
      <c r="Q172" s="4"/>
      <c r="R172" s="1" t="s">
        <v>137</v>
      </c>
      <c r="S172" s="1" t="s">
        <v>137</v>
      </c>
      <c r="T172" s="1" t="s">
        <v>47</v>
      </c>
      <c r="U172" s="1" t="s">
        <v>4301</v>
      </c>
      <c r="V172" s="4"/>
      <c r="W172" s="4"/>
      <c r="X172" s="4"/>
    </row>
    <row r="173">
      <c r="A173" s="1" t="s">
        <v>7221</v>
      </c>
      <c r="B173" s="1" t="s">
        <v>4293</v>
      </c>
      <c r="C173" s="1" t="s">
        <v>7224</v>
      </c>
      <c r="D173" s="1" t="s">
        <v>2198</v>
      </c>
      <c r="E173" s="1" t="s">
        <v>209</v>
      </c>
      <c r="F173" s="1" t="s">
        <v>398</v>
      </c>
      <c r="G173" s="1" t="s">
        <v>7228</v>
      </c>
      <c r="H173" s="3">
        <v>45945.0</v>
      </c>
      <c r="I173" s="13"/>
      <c r="J173" s="13"/>
      <c r="K173" s="1" t="s">
        <v>124</v>
      </c>
      <c r="L173" s="1" t="s">
        <v>160</v>
      </c>
      <c r="M173" s="1" t="s">
        <v>253</v>
      </c>
      <c r="N173" s="1" t="s">
        <v>131</v>
      </c>
      <c r="O173" s="13"/>
      <c r="P173" s="4"/>
      <c r="Q173" s="4"/>
      <c r="R173" s="1" t="s">
        <v>137</v>
      </c>
      <c r="S173" s="1" t="s">
        <v>137</v>
      </c>
      <c r="T173" s="1" t="s">
        <v>47</v>
      </c>
      <c r="U173" s="1" t="s">
        <v>4301</v>
      </c>
      <c r="V173" s="4"/>
      <c r="W173" s="4"/>
      <c r="X173" s="4"/>
    </row>
    <row r="174">
      <c r="A174" s="1" t="s">
        <v>7243</v>
      </c>
      <c r="B174" s="1" t="s">
        <v>4293</v>
      </c>
      <c r="C174" s="1" t="s">
        <v>7245</v>
      </c>
      <c r="D174" s="1" t="s">
        <v>313</v>
      </c>
      <c r="E174" s="1" t="s">
        <v>175</v>
      </c>
      <c r="F174" s="1" t="s">
        <v>763</v>
      </c>
      <c r="G174" s="1" t="s">
        <v>1825</v>
      </c>
      <c r="H174" s="3">
        <v>44277.0</v>
      </c>
      <c r="I174" s="3">
        <v>44274.0</v>
      </c>
      <c r="J174" s="3">
        <v>44274.0</v>
      </c>
      <c r="K174" s="1" t="s">
        <v>215</v>
      </c>
      <c r="L174" s="1" t="s">
        <v>160</v>
      </c>
      <c r="M174" s="1" t="s">
        <v>216</v>
      </c>
      <c r="N174" s="1" t="s">
        <v>131</v>
      </c>
      <c r="O174" s="13"/>
      <c r="P174" s="4"/>
      <c r="Q174" s="4"/>
      <c r="R174" s="1" t="s">
        <v>137</v>
      </c>
      <c r="S174" s="1" t="s">
        <v>137</v>
      </c>
      <c r="T174" s="1" t="s">
        <v>47</v>
      </c>
      <c r="U174" s="1" t="s">
        <v>4301</v>
      </c>
      <c r="V174" s="4"/>
      <c r="W174" s="4"/>
      <c r="X174" s="4"/>
    </row>
    <row r="175">
      <c r="A175" s="1" t="s">
        <v>7269</v>
      </c>
      <c r="B175" s="1" t="s">
        <v>4293</v>
      </c>
      <c r="C175" s="1" t="s">
        <v>7272</v>
      </c>
      <c r="D175" s="1" t="s">
        <v>2198</v>
      </c>
      <c r="E175" s="1" t="s">
        <v>292</v>
      </c>
      <c r="F175" s="1" t="s">
        <v>494</v>
      </c>
      <c r="G175" s="1" t="s">
        <v>2278</v>
      </c>
      <c r="H175" s="3">
        <v>45792.0</v>
      </c>
      <c r="I175" s="13"/>
      <c r="J175" s="13"/>
      <c r="K175" s="1" t="s">
        <v>124</v>
      </c>
      <c r="L175" s="1" t="s">
        <v>160</v>
      </c>
      <c r="M175" s="1" t="s">
        <v>253</v>
      </c>
      <c r="N175" s="1" t="s">
        <v>131</v>
      </c>
      <c r="O175" s="13"/>
      <c r="P175" s="4"/>
      <c r="Q175" s="4"/>
      <c r="R175" s="1" t="s">
        <v>137</v>
      </c>
      <c r="S175" s="1" t="s">
        <v>137</v>
      </c>
      <c r="T175" s="1" t="s">
        <v>47</v>
      </c>
      <c r="U175" s="1" t="s">
        <v>4301</v>
      </c>
      <c r="V175" s="4"/>
      <c r="W175" s="4"/>
      <c r="X175" s="4"/>
    </row>
    <row r="176">
      <c r="A176" s="1" t="s">
        <v>7293</v>
      </c>
      <c r="B176" s="1" t="s">
        <v>4293</v>
      </c>
      <c r="C176" s="1" t="s">
        <v>7296</v>
      </c>
      <c r="D176" s="1" t="s">
        <v>1291</v>
      </c>
      <c r="E176" s="1" t="s">
        <v>292</v>
      </c>
      <c r="F176" s="1" t="s">
        <v>494</v>
      </c>
      <c r="G176" s="1" t="s">
        <v>2278</v>
      </c>
      <c r="H176" s="3">
        <v>45887.0</v>
      </c>
      <c r="I176" s="13"/>
      <c r="J176" s="4"/>
      <c r="K176" s="1" t="s">
        <v>124</v>
      </c>
      <c r="L176" s="1" t="s">
        <v>160</v>
      </c>
      <c r="M176" s="1" t="s">
        <v>253</v>
      </c>
      <c r="N176" s="1" t="s">
        <v>131</v>
      </c>
      <c r="O176" s="4"/>
      <c r="P176" s="4"/>
      <c r="Q176" s="4"/>
      <c r="R176" s="1" t="s">
        <v>137</v>
      </c>
      <c r="S176" s="1" t="s">
        <v>137</v>
      </c>
      <c r="T176" s="1" t="s">
        <v>47</v>
      </c>
      <c r="U176" s="1" t="s">
        <v>4301</v>
      </c>
      <c r="V176" s="4"/>
      <c r="W176" s="4"/>
      <c r="X176" s="4"/>
    </row>
    <row r="177">
      <c r="A177" s="1" t="s">
        <v>7309</v>
      </c>
      <c r="B177" s="1" t="s">
        <v>4293</v>
      </c>
      <c r="C177" s="1" t="s">
        <v>7320</v>
      </c>
      <c r="D177" s="1" t="s">
        <v>172</v>
      </c>
      <c r="E177" s="1" t="s">
        <v>175</v>
      </c>
      <c r="F177" s="1" t="s">
        <v>177</v>
      </c>
      <c r="G177" s="1" t="s">
        <v>178</v>
      </c>
      <c r="H177" s="3">
        <v>44378.0</v>
      </c>
      <c r="I177" s="3">
        <v>44378.0</v>
      </c>
      <c r="J177" s="3">
        <v>44378.0</v>
      </c>
      <c r="K177" s="1" t="s">
        <v>215</v>
      </c>
      <c r="L177" s="1" t="s">
        <v>160</v>
      </c>
      <c r="M177" s="1" t="s">
        <v>216</v>
      </c>
      <c r="N177" s="1" t="s">
        <v>131</v>
      </c>
      <c r="O177" s="13"/>
      <c r="P177" s="4"/>
      <c r="Q177" s="4"/>
      <c r="R177" s="1" t="s">
        <v>137</v>
      </c>
      <c r="S177" s="1" t="s">
        <v>137</v>
      </c>
      <c r="T177" s="1" t="s">
        <v>47</v>
      </c>
      <c r="U177" s="1" t="s">
        <v>4301</v>
      </c>
      <c r="V177" s="4"/>
      <c r="W177" s="4"/>
      <c r="X177" s="4"/>
    </row>
    <row r="178">
      <c r="A178" s="1" t="s">
        <v>7338</v>
      </c>
      <c r="B178" s="1" t="s">
        <v>4293</v>
      </c>
      <c r="C178" s="1" t="s">
        <v>7343</v>
      </c>
      <c r="D178" s="1" t="s">
        <v>313</v>
      </c>
      <c r="E178" s="1" t="s">
        <v>175</v>
      </c>
      <c r="F178" s="1" t="s">
        <v>569</v>
      </c>
      <c r="G178" s="1" t="s">
        <v>570</v>
      </c>
      <c r="H178" s="3">
        <v>45541.0</v>
      </c>
      <c r="I178" s="3">
        <v>45744.0</v>
      </c>
      <c r="J178" s="3">
        <v>45744.0</v>
      </c>
      <c r="K178" s="1" t="s">
        <v>215</v>
      </c>
      <c r="L178" s="1" t="s">
        <v>160</v>
      </c>
      <c r="M178" s="1" t="s">
        <v>216</v>
      </c>
      <c r="N178" s="1" t="s">
        <v>131</v>
      </c>
      <c r="O178" s="4"/>
      <c r="P178" s="4"/>
      <c r="Q178" s="4"/>
      <c r="R178" s="1" t="s">
        <v>137</v>
      </c>
      <c r="S178" s="1" t="s">
        <v>137</v>
      </c>
      <c r="T178" s="1" t="s">
        <v>47</v>
      </c>
      <c r="U178" s="1" t="s">
        <v>4301</v>
      </c>
      <c r="V178" s="4"/>
      <c r="W178" s="4"/>
      <c r="X178" s="4"/>
    </row>
    <row r="179">
      <c r="A179" s="1" t="s">
        <v>7367</v>
      </c>
      <c r="B179" s="1" t="s">
        <v>4293</v>
      </c>
      <c r="C179" s="1" t="s">
        <v>7370</v>
      </c>
      <c r="D179" s="1" t="s">
        <v>172</v>
      </c>
      <c r="E179" s="1" t="s">
        <v>175</v>
      </c>
      <c r="F179" s="1" t="s">
        <v>177</v>
      </c>
      <c r="G179" s="1" t="s">
        <v>178</v>
      </c>
      <c r="H179" s="3">
        <v>45868.0</v>
      </c>
      <c r="I179" s="13"/>
      <c r="J179" s="13"/>
      <c r="K179" s="1" t="s">
        <v>124</v>
      </c>
      <c r="L179" s="1" t="s">
        <v>160</v>
      </c>
      <c r="M179" s="1" t="s">
        <v>253</v>
      </c>
      <c r="N179" s="1" t="s">
        <v>131</v>
      </c>
      <c r="O179" s="13"/>
      <c r="P179" s="4"/>
      <c r="Q179" s="4"/>
      <c r="R179" s="1" t="s">
        <v>137</v>
      </c>
      <c r="S179" s="1" t="s">
        <v>137</v>
      </c>
      <c r="T179" s="1" t="s">
        <v>47</v>
      </c>
      <c r="U179" s="1" t="s">
        <v>4301</v>
      </c>
      <c r="V179" s="4"/>
      <c r="W179" s="4"/>
      <c r="X179" s="4"/>
    </row>
    <row r="180">
      <c r="A180" s="1" t="s">
        <v>7391</v>
      </c>
      <c r="B180" s="1" t="s">
        <v>4293</v>
      </c>
      <c r="C180" s="1" t="s">
        <v>7395</v>
      </c>
      <c r="D180" s="1" t="s">
        <v>1477</v>
      </c>
      <c r="E180" s="1" t="s">
        <v>175</v>
      </c>
      <c r="F180" s="1" t="s">
        <v>763</v>
      </c>
      <c r="G180" s="1" t="s">
        <v>1825</v>
      </c>
      <c r="H180" s="3">
        <v>45142.0</v>
      </c>
      <c r="I180" s="3">
        <v>45301.0</v>
      </c>
      <c r="J180" s="3">
        <v>45301.0</v>
      </c>
      <c r="K180" s="1" t="s">
        <v>215</v>
      </c>
      <c r="L180" s="1" t="s">
        <v>160</v>
      </c>
      <c r="M180" s="1" t="s">
        <v>216</v>
      </c>
      <c r="N180" s="1" t="s">
        <v>131</v>
      </c>
      <c r="O180" s="4"/>
      <c r="P180" s="4"/>
      <c r="Q180" s="4"/>
      <c r="R180" s="1" t="s">
        <v>137</v>
      </c>
      <c r="S180" s="1" t="s">
        <v>137</v>
      </c>
      <c r="T180" s="1" t="s">
        <v>47</v>
      </c>
      <c r="U180" s="1" t="s">
        <v>4301</v>
      </c>
      <c r="V180" s="4"/>
      <c r="W180" s="4"/>
      <c r="X180" s="4"/>
    </row>
    <row r="181">
      <c r="A181" s="1" t="s">
        <v>7418</v>
      </c>
      <c r="B181" s="1" t="s">
        <v>4293</v>
      </c>
      <c r="C181" s="1" t="s">
        <v>7421</v>
      </c>
      <c r="D181" s="1" t="s">
        <v>172</v>
      </c>
      <c r="E181" s="1" t="s">
        <v>292</v>
      </c>
      <c r="F181" s="1" t="s">
        <v>293</v>
      </c>
      <c r="G181" s="1" t="s">
        <v>316</v>
      </c>
      <c r="H181" s="3">
        <v>45729.0</v>
      </c>
      <c r="I181" s="3">
        <v>45916.0</v>
      </c>
      <c r="J181" s="3">
        <v>45916.0</v>
      </c>
      <c r="K181" s="1" t="s">
        <v>215</v>
      </c>
      <c r="L181" s="1" t="s">
        <v>160</v>
      </c>
      <c r="M181" s="1" t="s">
        <v>216</v>
      </c>
      <c r="N181" s="1" t="s">
        <v>131</v>
      </c>
      <c r="O181" s="13"/>
      <c r="P181" s="4"/>
      <c r="Q181" s="4"/>
      <c r="R181" s="1" t="s">
        <v>137</v>
      </c>
      <c r="S181" s="1" t="s">
        <v>137</v>
      </c>
      <c r="T181" s="1" t="s">
        <v>47</v>
      </c>
      <c r="U181" s="1" t="s">
        <v>4301</v>
      </c>
      <c r="V181" s="4"/>
      <c r="W181" s="4"/>
      <c r="X181" s="4"/>
    </row>
    <row r="182">
      <c r="A182" s="1" t="s">
        <v>7444</v>
      </c>
      <c r="B182" s="1" t="s">
        <v>4293</v>
      </c>
      <c r="C182" s="1" t="s">
        <v>7448</v>
      </c>
      <c r="D182" s="1" t="s">
        <v>657</v>
      </c>
      <c r="E182" s="1" t="s">
        <v>292</v>
      </c>
      <c r="F182" s="1" t="s">
        <v>293</v>
      </c>
      <c r="G182" s="1" t="s">
        <v>316</v>
      </c>
      <c r="H182" s="3">
        <v>44133.0</v>
      </c>
      <c r="I182" s="3">
        <v>44271.0</v>
      </c>
      <c r="J182" s="3">
        <v>44271.0</v>
      </c>
      <c r="K182" s="1" t="s">
        <v>215</v>
      </c>
      <c r="L182" s="1" t="s">
        <v>160</v>
      </c>
      <c r="M182" s="1" t="s">
        <v>216</v>
      </c>
      <c r="N182" s="1" t="s">
        <v>131</v>
      </c>
      <c r="O182" s="13"/>
      <c r="P182" s="4"/>
      <c r="Q182" s="4"/>
      <c r="R182" s="1" t="s">
        <v>137</v>
      </c>
      <c r="S182" s="1" t="s">
        <v>137</v>
      </c>
      <c r="T182" s="1" t="s">
        <v>47</v>
      </c>
      <c r="U182" s="1" t="s">
        <v>4301</v>
      </c>
      <c r="V182" s="4"/>
      <c r="W182" s="4"/>
      <c r="X182" s="4"/>
    </row>
    <row r="183">
      <c r="A183" s="1" t="s">
        <v>1473</v>
      </c>
      <c r="B183" s="1" t="s">
        <v>146</v>
      </c>
      <c r="C183" s="1" t="s">
        <v>1476</v>
      </c>
      <c r="D183" s="1" t="s">
        <v>1477</v>
      </c>
      <c r="E183" s="1" t="s">
        <v>292</v>
      </c>
      <c r="F183" s="1" t="s">
        <v>494</v>
      </c>
      <c r="G183" s="1" t="s">
        <v>1478</v>
      </c>
      <c r="H183" s="3">
        <v>46129.0</v>
      </c>
      <c r="I183" s="13"/>
      <c r="J183" s="13"/>
      <c r="K183" s="1" t="s">
        <v>124</v>
      </c>
      <c r="L183" s="1" t="s">
        <v>160</v>
      </c>
      <c r="M183" s="1" t="s">
        <v>162</v>
      </c>
      <c r="N183" s="1" t="s">
        <v>131</v>
      </c>
      <c r="O183" s="13"/>
      <c r="P183" s="1"/>
      <c r="Q183" s="4"/>
      <c r="R183" s="1" t="s">
        <v>137</v>
      </c>
      <c r="S183" s="1" t="s">
        <v>137</v>
      </c>
      <c r="T183" s="1" t="s">
        <v>47</v>
      </c>
      <c r="U183" s="1" t="s">
        <v>3872</v>
      </c>
      <c r="V183" s="4"/>
      <c r="W183" s="4"/>
      <c r="X183" s="4"/>
    </row>
    <row r="184">
      <c r="A184" s="1" t="s">
        <v>6602</v>
      </c>
      <c r="B184" s="1" t="s">
        <v>4293</v>
      </c>
      <c r="C184" s="1" t="s">
        <v>7486</v>
      </c>
      <c r="D184" s="1" t="s">
        <v>313</v>
      </c>
      <c r="E184" s="1" t="s">
        <v>175</v>
      </c>
      <c r="F184" s="1" t="s">
        <v>1116</v>
      </c>
      <c r="G184" s="1" t="s">
        <v>6737</v>
      </c>
      <c r="H184" s="3">
        <v>44413.0</v>
      </c>
      <c r="I184" s="3">
        <v>44504.0</v>
      </c>
      <c r="J184" s="3">
        <v>44504.0</v>
      </c>
      <c r="K184" s="1" t="s">
        <v>215</v>
      </c>
      <c r="L184" s="1" t="s">
        <v>160</v>
      </c>
      <c r="M184" s="1" t="s">
        <v>216</v>
      </c>
      <c r="N184" s="1" t="s">
        <v>131</v>
      </c>
      <c r="O184" s="13"/>
      <c r="P184" s="4"/>
      <c r="Q184" s="4"/>
      <c r="R184" s="1" t="s">
        <v>137</v>
      </c>
      <c r="S184" s="1" t="s">
        <v>137</v>
      </c>
      <c r="T184" s="1" t="s">
        <v>47</v>
      </c>
      <c r="U184" s="1" t="s">
        <v>4301</v>
      </c>
      <c r="V184" s="4"/>
      <c r="W184" s="4"/>
      <c r="X184" s="4"/>
    </row>
    <row r="185">
      <c r="A185" s="1" t="s">
        <v>1485</v>
      </c>
      <c r="B185" s="1" t="s">
        <v>116</v>
      </c>
      <c r="C185" s="1" t="s">
        <v>1487</v>
      </c>
      <c r="D185" s="1" t="s">
        <v>1067</v>
      </c>
      <c r="E185" s="1" t="s">
        <v>330</v>
      </c>
      <c r="F185" s="1" t="s">
        <v>663</v>
      </c>
      <c r="G185" s="1" t="s">
        <v>1068</v>
      </c>
      <c r="H185" s="3">
        <v>46183.0</v>
      </c>
      <c r="I185" s="3">
        <v>46339.0</v>
      </c>
      <c r="J185" s="13"/>
      <c r="K185" s="1" t="s">
        <v>124</v>
      </c>
      <c r="L185" s="1" t="s">
        <v>160</v>
      </c>
      <c r="M185" s="1" t="s">
        <v>300</v>
      </c>
      <c r="N185" s="1" t="s">
        <v>131</v>
      </c>
      <c r="O185" s="13"/>
      <c r="P185" s="1" t="s">
        <v>7515</v>
      </c>
      <c r="Q185" s="4"/>
      <c r="R185" s="1" t="s">
        <v>137</v>
      </c>
      <c r="S185" s="1" t="s">
        <v>137</v>
      </c>
      <c r="T185" s="1" t="s">
        <v>47</v>
      </c>
      <c r="U185" s="1" t="s">
        <v>1494</v>
      </c>
      <c r="V185" s="4"/>
      <c r="W185" s="4"/>
      <c r="X185" s="4"/>
    </row>
    <row r="186">
      <c r="A186" s="1" t="s">
        <v>1495</v>
      </c>
      <c r="B186" s="1" t="s">
        <v>116</v>
      </c>
      <c r="C186" s="1" t="s">
        <v>1497</v>
      </c>
      <c r="D186" s="1" t="s">
        <v>919</v>
      </c>
      <c r="E186" s="1" t="s">
        <v>330</v>
      </c>
      <c r="F186" s="1" t="s">
        <v>663</v>
      </c>
      <c r="G186" s="1" t="s">
        <v>664</v>
      </c>
      <c r="H186" s="3">
        <v>46125.0</v>
      </c>
      <c r="I186" s="3">
        <v>46328.0</v>
      </c>
      <c r="J186" s="13"/>
      <c r="K186" s="1" t="s">
        <v>124</v>
      </c>
      <c r="L186" s="1" t="s">
        <v>160</v>
      </c>
      <c r="M186" s="1" t="s">
        <v>460</v>
      </c>
      <c r="N186" s="1" t="s">
        <v>131</v>
      </c>
      <c r="O186" s="13"/>
      <c r="P186" s="1" t="s">
        <v>1501</v>
      </c>
      <c r="Q186" s="4"/>
      <c r="R186" s="1" t="s">
        <v>137</v>
      </c>
      <c r="S186" s="1" t="s">
        <v>137</v>
      </c>
      <c r="T186" s="1" t="s">
        <v>47</v>
      </c>
      <c r="U186" s="1" t="s">
        <v>3539</v>
      </c>
      <c r="V186" s="4"/>
      <c r="W186" s="4"/>
      <c r="X186" s="4"/>
    </row>
    <row r="187">
      <c r="A187" s="1" t="s">
        <v>7530</v>
      </c>
      <c r="B187" s="1" t="s">
        <v>4293</v>
      </c>
      <c r="C187" s="1" t="s">
        <v>7532</v>
      </c>
      <c r="D187" s="1" t="s">
        <v>593</v>
      </c>
      <c r="E187" s="1" t="s">
        <v>330</v>
      </c>
      <c r="F187" s="1" t="s">
        <v>356</v>
      </c>
      <c r="G187" s="1" t="s">
        <v>3072</v>
      </c>
      <c r="H187" s="3">
        <v>44722.0</v>
      </c>
      <c r="I187" s="3">
        <v>44433.0</v>
      </c>
      <c r="J187" s="3">
        <v>44433.0</v>
      </c>
      <c r="K187" s="1" t="s">
        <v>215</v>
      </c>
      <c r="L187" s="1" t="s">
        <v>160</v>
      </c>
      <c r="M187" s="1" t="s">
        <v>216</v>
      </c>
      <c r="N187" s="1" t="s">
        <v>131</v>
      </c>
      <c r="O187" s="13"/>
      <c r="P187" s="4"/>
      <c r="Q187" s="4"/>
      <c r="R187" s="1" t="s">
        <v>137</v>
      </c>
      <c r="S187" s="1" t="s">
        <v>137</v>
      </c>
      <c r="T187" s="1" t="s">
        <v>47</v>
      </c>
      <c r="U187" s="1" t="s">
        <v>4301</v>
      </c>
      <c r="V187" s="4"/>
      <c r="W187" s="4"/>
      <c r="X187" s="4"/>
    </row>
    <row r="188">
      <c r="A188" s="1" t="s">
        <v>7548</v>
      </c>
      <c r="B188" s="1" t="s">
        <v>4293</v>
      </c>
      <c r="C188" s="1" t="s">
        <v>7551</v>
      </c>
      <c r="D188" s="1" t="s">
        <v>919</v>
      </c>
      <c r="E188" s="1" t="s">
        <v>330</v>
      </c>
      <c r="F188" s="1" t="s">
        <v>356</v>
      </c>
      <c r="G188" s="1" t="s">
        <v>5006</v>
      </c>
      <c r="H188" s="3">
        <v>44165.0</v>
      </c>
      <c r="I188" s="3">
        <v>44321.0</v>
      </c>
      <c r="J188" s="3">
        <v>44321.0</v>
      </c>
      <c r="K188" s="1" t="s">
        <v>215</v>
      </c>
      <c r="L188" s="1" t="s">
        <v>160</v>
      </c>
      <c r="M188" s="1" t="s">
        <v>216</v>
      </c>
      <c r="N188" s="1" t="s">
        <v>131</v>
      </c>
      <c r="O188" s="13"/>
      <c r="P188" s="4"/>
      <c r="Q188" s="4"/>
      <c r="R188" s="1" t="s">
        <v>137</v>
      </c>
      <c r="S188" s="1" t="s">
        <v>137</v>
      </c>
      <c r="T188" s="1" t="s">
        <v>47</v>
      </c>
      <c r="U188" s="1" t="s">
        <v>4301</v>
      </c>
      <c r="V188" s="4"/>
      <c r="W188" s="4"/>
      <c r="X188" s="4"/>
    </row>
    <row r="189">
      <c r="A189" s="1" t="s">
        <v>4855</v>
      </c>
      <c r="B189" s="1" t="s">
        <v>146</v>
      </c>
      <c r="C189" s="1" t="s">
        <v>1539</v>
      </c>
      <c r="D189" s="1" t="s">
        <v>518</v>
      </c>
      <c r="E189" s="1" t="s">
        <v>520</v>
      </c>
      <c r="F189" s="1" t="s">
        <v>522</v>
      </c>
      <c r="G189" s="1" t="s">
        <v>524</v>
      </c>
      <c r="H189" s="3">
        <v>46275.0</v>
      </c>
      <c r="I189" s="13"/>
      <c r="J189" s="4"/>
      <c r="K189" s="1" t="s">
        <v>124</v>
      </c>
      <c r="L189" s="1" t="s">
        <v>98</v>
      </c>
      <c r="M189" s="1" t="s">
        <v>162</v>
      </c>
      <c r="N189" s="1" t="s">
        <v>131</v>
      </c>
      <c r="O189" s="13"/>
      <c r="P189" s="4"/>
      <c r="Q189" s="4"/>
      <c r="R189" s="1" t="s">
        <v>665</v>
      </c>
      <c r="S189" s="1" t="s">
        <v>665</v>
      </c>
      <c r="T189" s="1" t="s">
        <v>666</v>
      </c>
      <c r="U189" s="1" t="s">
        <v>4868</v>
      </c>
      <c r="V189" s="4"/>
      <c r="W189" s="4"/>
      <c r="X189" s="4"/>
    </row>
    <row r="190">
      <c r="A190" s="1" t="s">
        <v>7581</v>
      </c>
      <c r="B190" s="1" t="s">
        <v>116</v>
      </c>
      <c r="C190" s="1" t="s">
        <v>1539</v>
      </c>
      <c r="D190" s="1" t="s">
        <v>518</v>
      </c>
      <c r="E190" s="1" t="s">
        <v>520</v>
      </c>
      <c r="F190" s="1" t="s">
        <v>522</v>
      </c>
      <c r="G190" s="1" t="s">
        <v>524</v>
      </c>
      <c r="H190" s="3">
        <v>46254.0</v>
      </c>
      <c r="I190" s="13"/>
      <c r="J190" s="4"/>
      <c r="K190" s="1" t="s">
        <v>124</v>
      </c>
      <c r="L190" s="1" t="s">
        <v>160</v>
      </c>
      <c r="M190" s="1" t="s">
        <v>162</v>
      </c>
      <c r="N190" s="1" t="s">
        <v>131</v>
      </c>
      <c r="O190" s="4"/>
      <c r="P190" s="1" t="s">
        <v>5028</v>
      </c>
      <c r="Q190" s="4"/>
      <c r="R190" s="1" t="s">
        <v>137</v>
      </c>
      <c r="S190" s="1" t="s">
        <v>137</v>
      </c>
      <c r="T190" s="1" t="s">
        <v>47</v>
      </c>
      <c r="U190" s="1" t="s">
        <v>7594</v>
      </c>
      <c r="V190" s="4"/>
      <c r="W190" s="4"/>
      <c r="X190" s="4"/>
    </row>
    <row r="191">
      <c r="A191" s="1" t="s">
        <v>1550</v>
      </c>
      <c r="B191" s="1" t="s">
        <v>146</v>
      </c>
      <c r="C191" s="1" t="s">
        <v>1553</v>
      </c>
      <c r="D191" s="1" t="s">
        <v>388</v>
      </c>
      <c r="E191" s="1" t="s">
        <v>175</v>
      </c>
      <c r="F191" s="1" t="s">
        <v>585</v>
      </c>
      <c r="G191" s="1" t="s">
        <v>586</v>
      </c>
      <c r="H191" s="3">
        <v>46129.0</v>
      </c>
      <c r="I191" s="3">
        <v>46248.0</v>
      </c>
      <c r="J191" s="3">
        <v>46248.0</v>
      </c>
      <c r="K191" s="1" t="s">
        <v>215</v>
      </c>
      <c r="L191" s="1" t="s">
        <v>160</v>
      </c>
      <c r="M191" s="1" t="s">
        <v>216</v>
      </c>
      <c r="N191" s="1" t="s">
        <v>131</v>
      </c>
      <c r="O191" s="3">
        <v>46276.0</v>
      </c>
      <c r="P191" s="1" t="s">
        <v>803</v>
      </c>
      <c r="Q191" s="4"/>
      <c r="R191" s="1" t="s">
        <v>137</v>
      </c>
      <c r="S191" s="1" t="s">
        <v>137</v>
      </c>
      <c r="T191" s="1" t="s">
        <v>47</v>
      </c>
      <c r="U191" s="1" t="s">
        <v>3888</v>
      </c>
      <c r="V191" s="4"/>
      <c r="W191" s="4"/>
      <c r="X191" s="4"/>
    </row>
    <row r="192">
      <c r="A192" s="1" t="s">
        <v>1565</v>
      </c>
      <c r="B192" s="1" t="s">
        <v>1567</v>
      </c>
      <c r="C192" s="1" t="s">
        <v>1553</v>
      </c>
      <c r="D192" s="1" t="s">
        <v>388</v>
      </c>
      <c r="E192" s="1" t="s">
        <v>175</v>
      </c>
      <c r="F192" s="1" t="s">
        <v>585</v>
      </c>
      <c r="G192" s="1" t="s">
        <v>586</v>
      </c>
      <c r="H192" s="3">
        <v>46084.0</v>
      </c>
      <c r="I192" s="3">
        <v>46248.0</v>
      </c>
      <c r="J192" s="3">
        <v>46248.0</v>
      </c>
      <c r="K192" s="1" t="s">
        <v>215</v>
      </c>
      <c r="L192" s="1" t="s">
        <v>160</v>
      </c>
      <c r="M192" s="1" t="s">
        <v>216</v>
      </c>
      <c r="N192" s="1" t="s">
        <v>131</v>
      </c>
      <c r="O192" s="3">
        <v>46276.0</v>
      </c>
      <c r="P192" s="1" t="s">
        <v>803</v>
      </c>
      <c r="Q192" s="4"/>
      <c r="R192" s="1" t="s">
        <v>137</v>
      </c>
      <c r="S192" s="1" t="s">
        <v>137</v>
      </c>
      <c r="T192" s="1" t="s">
        <v>47</v>
      </c>
      <c r="U192" s="1" t="s">
        <v>3514</v>
      </c>
      <c r="V192" s="4"/>
      <c r="W192" s="4"/>
      <c r="X192" s="4"/>
    </row>
    <row r="193">
      <c r="A193" s="1" t="s">
        <v>6856</v>
      </c>
      <c r="B193" s="1" t="s">
        <v>4293</v>
      </c>
      <c r="C193" s="1" t="s">
        <v>7626</v>
      </c>
      <c r="D193" s="1" t="s">
        <v>180</v>
      </c>
      <c r="E193" s="1" t="s">
        <v>520</v>
      </c>
      <c r="F193" s="1" t="s">
        <v>1179</v>
      </c>
      <c r="G193" s="1" t="s">
        <v>4584</v>
      </c>
      <c r="H193" s="3">
        <v>44314.0</v>
      </c>
      <c r="I193" s="3">
        <v>44440.0</v>
      </c>
      <c r="J193" s="3">
        <v>44440.0</v>
      </c>
      <c r="K193" s="1" t="s">
        <v>215</v>
      </c>
      <c r="L193" s="1" t="s">
        <v>160</v>
      </c>
      <c r="M193" s="1" t="s">
        <v>216</v>
      </c>
      <c r="N193" s="1" t="s">
        <v>131</v>
      </c>
      <c r="O193" s="13"/>
      <c r="P193" s="4"/>
      <c r="Q193" s="4"/>
      <c r="R193" s="1" t="s">
        <v>137</v>
      </c>
      <c r="S193" s="1" t="s">
        <v>137</v>
      </c>
      <c r="T193" s="1" t="s">
        <v>47</v>
      </c>
      <c r="U193" s="1" t="s">
        <v>4301</v>
      </c>
      <c r="V193" s="4"/>
      <c r="W193" s="4"/>
      <c r="X193" s="4"/>
    </row>
    <row r="194">
      <c r="A194" s="1" t="s">
        <v>1582</v>
      </c>
      <c r="B194" s="1" t="s">
        <v>146</v>
      </c>
      <c r="C194" s="1" t="s">
        <v>1584</v>
      </c>
      <c r="D194" s="1" t="s">
        <v>960</v>
      </c>
      <c r="E194" s="1" t="s">
        <v>209</v>
      </c>
      <c r="F194" s="1" t="s">
        <v>398</v>
      </c>
      <c r="G194" s="1" t="s">
        <v>1587</v>
      </c>
      <c r="H194" s="3">
        <v>46153.0</v>
      </c>
      <c r="I194" s="3">
        <v>46339.0</v>
      </c>
      <c r="J194" s="13"/>
      <c r="K194" s="1" t="s">
        <v>124</v>
      </c>
      <c r="L194" s="1" t="s">
        <v>160</v>
      </c>
      <c r="M194" s="1" t="s">
        <v>460</v>
      </c>
      <c r="N194" s="1" t="s">
        <v>131</v>
      </c>
      <c r="O194" s="13"/>
      <c r="P194" s="1" t="s">
        <v>1591</v>
      </c>
      <c r="Q194" s="4"/>
      <c r="R194" s="1" t="s">
        <v>137</v>
      </c>
      <c r="S194" s="1" t="s">
        <v>137</v>
      </c>
      <c r="T194" s="1" t="s">
        <v>47</v>
      </c>
      <c r="U194" s="1" t="s">
        <v>3879</v>
      </c>
      <c r="V194" s="4"/>
      <c r="W194" s="4"/>
      <c r="X194" s="4"/>
    </row>
    <row r="195">
      <c r="A195" s="1" t="s">
        <v>7538</v>
      </c>
      <c r="B195" s="1" t="s">
        <v>4293</v>
      </c>
      <c r="C195" s="1" t="s">
        <v>7660</v>
      </c>
      <c r="D195" s="1" t="s">
        <v>1477</v>
      </c>
      <c r="E195" s="1" t="s">
        <v>292</v>
      </c>
      <c r="F195" s="1" t="s">
        <v>494</v>
      </c>
      <c r="G195" s="1" t="s">
        <v>2278</v>
      </c>
      <c r="H195" s="3">
        <v>44449.0</v>
      </c>
      <c r="I195" s="3">
        <v>44763.0</v>
      </c>
      <c r="J195" s="3">
        <v>44763.0</v>
      </c>
      <c r="K195" s="1" t="s">
        <v>215</v>
      </c>
      <c r="L195" s="1" t="s">
        <v>160</v>
      </c>
      <c r="M195" s="1" t="s">
        <v>216</v>
      </c>
      <c r="N195" s="1" t="s">
        <v>131</v>
      </c>
      <c r="O195" s="13"/>
      <c r="P195" s="4"/>
      <c r="Q195" s="4"/>
      <c r="R195" s="1" t="s">
        <v>137</v>
      </c>
      <c r="S195" s="1" t="s">
        <v>137</v>
      </c>
      <c r="T195" s="1" t="s">
        <v>47</v>
      </c>
      <c r="U195" s="1" t="s">
        <v>4301</v>
      </c>
      <c r="V195" s="4"/>
      <c r="W195" s="4"/>
      <c r="X195" s="4"/>
    </row>
    <row r="196">
      <c r="A196" s="1" t="s">
        <v>7680</v>
      </c>
      <c r="B196" s="1" t="s">
        <v>4293</v>
      </c>
      <c r="C196" s="1" t="s">
        <v>7682</v>
      </c>
      <c r="D196" s="1" t="s">
        <v>388</v>
      </c>
      <c r="E196" s="1" t="s">
        <v>175</v>
      </c>
      <c r="F196" s="1" t="s">
        <v>3128</v>
      </c>
      <c r="G196" s="1" t="s">
        <v>3276</v>
      </c>
      <c r="H196" s="3">
        <v>45086.0</v>
      </c>
      <c r="I196" s="3">
        <v>45086.0</v>
      </c>
      <c r="J196" s="3">
        <v>45086.0</v>
      </c>
      <c r="K196" s="1" t="s">
        <v>215</v>
      </c>
      <c r="L196" s="1" t="s">
        <v>160</v>
      </c>
      <c r="M196" s="1" t="s">
        <v>216</v>
      </c>
      <c r="N196" s="1" t="s">
        <v>131</v>
      </c>
      <c r="O196" s="13"/>
      <c r="P196" s="4"/>
      <c r="Q196" s="4"/>
      <c r="R196" s="1" t="s">
        <v>137</v>
      </c>
      <c r="S196" s="1" t="s">
        <v>137</v>
      </c>
      <c r="T196" s="1" t="s">
        <v>47</v>
      </c>
      <c r="U196" s="1" t="s">
        <v>4301</v>
      </c>
      <c r="V196" s="4"/>
      <c r="W196" s="4"/>
      <c r="X196" s="4"/>
    </row>
    <row r="197">
      <c r="A197" s="1" t="s">
        <v>7509</v>
      </c>
      <c r="B197" s="1" t="s">
        <v>4293</v>
      </c>
      <c r="C197" s="1" t="s">
        <v>7709</v>
      </c>
      <c r="D197" s="1" t="s">
        <v>313</v>
      </c>
      <c r="E197" s="1" t="s">
        <v>175</v>
      </c>
      <c r="F197" s="1" t="s">
        <v>1767</v>
      </c>
      <c r="G197" s="1" t="s">
        <v>3835</v>
      </c>
      <c r="H197" s="3">
        <v>44440.0</v>
      </c>
      <c r="I197" s="3">
        <v>44440.0</v>
      </c>
      <c r="J197" s="3">
        <v>44440.0</v>
      </c>
      <c r="K197" s="1" t="s">
        <v>215</v>
      </c>
      <c r="L197" s="1" t="s">
        <v>160</v>
      </c>
      <c r="M197" s="1" t="s">
        <v>216</v>
      </c>
      <c r="N197" s="1" t="s">
        <v>131</v>
      </c>
      <c r="O197" s="13"/>
      <c r="P197" s="4"/>
      <c r="Q197" s="4"/>
      <c r="R197" s="1" t="s">
        <v>137</v>
      </c>
      <c r="S197" s="1" t="s">
        <v>137</v>
      </c>
      <c r="T197" s="1" t="s">
        <v>47</v>
      </c>
      <c r="U197" s="1" t="s">
        <v>4301</v>
      </c>
      <c r="V197" s="4"/>
      <c r="W197" s="4"/>
      <c r="X197" s="4"/>
    </row>
    <row r="198">
      <c r="A198" s="1" t="s">
        <v>7722</v>
      </c>
      <c r="B198" s="1" t="s">
        <v>4293</v>
      </c>
      <c r="C198" s="1" t="s">
        <v>7726</v>
      </c>
      <c r="D198" s="1" t="s">
        <v>273</v>
      </c>
      <c r="E198" s="1" t="s">
        <v>330</v>
      </c>
      <c r="F198" s="1" t="s">
        <v>331</v>
      </c>
      <c r="G198" s="1" t="s">
        <v>721</v>
      </c>
      <c r="H198" s="3">
        <v>44470.0</v>
      </c>
      <c r="I198" s="3">
        <v>44756.0</v>
      </c>
      <c r="J198" s="3">
        <v>44756.0</v>
      </c>
      <c r="K198" s="1" t="s">
        <v>215</v>
      </c>
      <c r="L198" s="1" t="s">
        <v>160</v>
      </c>
      <c r="M198" s="1" t="s">
        <v>216</v>
      </c>
      <c r="N198" s="1" t="s">
        <v>131</v>
      </c>
      <c r="O198" s="13"/>
      <c r="P198" s="4"/>
      <c r="Q198" s="4"/>
      <c r="R198" s="1" t="s">
        <v>137</v>
      </c>
      <c r="S198" s="1" t="s">
        <v>137</v>
      </c>
      <c r="T198" s="1" t="s">
        <v>47</v>
      </c>
      <c r="U198" s="1" t="s">
        <v>4301</v>
      </c>
      <c r="V198" s="4"/>
      <c r="W198" s="4"/>
      <c r="X198" s="4"/>
    </row>
    <row r="199">
      <c r="A199" s="1" t="s">
        <v>6153</v>
      </c>
      <c r="B199" s="1" t="s">
        <v>4293</v>
      </c>
      <c r="C199" s="1" t="s">
        <v>7739</v>
      </c>
      <c r="D199" s="1" t="s">
        <v>313</v>
      </c>
      <c r="E199" s="1" t="s">
        <v>175</v>
      </c>
      <c r="F199" s="1" t="s">
        <v>1116</v>
      </c>
      <c r="G199" s="1" t="s">
        <v>7741</v>
      </c>
      <c r="H199" s="3">
        <v>44396.0</v>
      </c>
      <c r="I199" s="3">
        <v>44397.0</v>
      </c>
      <c r="J199" s="3">
        <v>44397.0</v>
      </c>
      <c r="K199" s="1" t="s">
        <v>215</v>
      </c>
      <c r="L199" s="1" t="s">
        <v>160</v>
      </c>
      <c r="M199" s="1" t="s">
        <v>216</v>
      </c>
      <c r="N199" s="1" t="s">
        <v>131</v>
      </c>
      <c r="O199" s="13"/>
      <c r="P199" s="4"/>
      <c r="Q199" s="4"/>
      <c r="R199" s="1" t="s">
        <v>137</v>
      </c>
      <c r="S199" s="1" t="s">
        <v>137</v>
      </c>
      <c r="T199" s="1" t="s">
        <v>47</v>
      </c>
      <c r="U199" s="1" t="s">
        <v>4301</v>
      </c>
      <c r="V199" s="4"/>
      <c r="W199" s="4"/>
      <c r="X199" s="4"/>
    </row>
    <row r="200">
      <c r="A200" s="1" t="s">
        <v>7356</v>
      </c>
      <c r="B200" s="1" t="s">
        <v>4293</v>
      </c>
      <c r="C200" s="1" t="s">
        <v>7748</v>
      </c>
      <c r="D200" s="1" t="s">
        <v>1776</v>
      </c>
      <c r="E200" s="1" t="s">
        <v>292</v>
      </c>
      <c r="F200" s="1" t="s">
        <v>494</v>
      </c>
      <c r="G200" s="1" t="s">
        <v>1478</v>
      </c>
      <c r="H200" s="3">
        <v>45952.0</v>
      </c>
      <c r="I200" s="3">
        <v>46212.0</v>
      </c>
      <c r="J200" s="3">
        <v>46212.0</v>
      </c>
      <c r="K200" s="1" t="s">
        <v>124</v>
      </c>
      <c r="L200" s="1" t="s">
        <v>160</v>
      </c>
      <c r="M200" s="1" t="s">
        <v>253</v>
      </c>
      <c r="N200" s="1" t="s">
        <v>131</v>
      </c>
      <c r="O200" s="13"/>
      <c r="P200" s="1" t="s">
        <v>3561</v>
      </c>
      <c r="Q200" s="4"/>
      <c r="R200" s="1" t="s">
        <v>137</v>
      </c>
      <c r="S200" s="1" t="s">
        <v>137</v>
      </c>
      <c r="T200" s="1" t="s">
        <v>47</v>
      </c>
      <c r="U200" s="1" t="s">
        <v>4301</v>
      </c>
      <c r="V200" s="4"/>
      <c r="W200" s="4"/>
      <c r="X200" s="4"/>
    </row>
    <row r="201">
      <c r="A201" s="1" t="s">
        <v>7766</v>
      </c>
      <c r="B201" s="1" t="s">
        <v>4293</v>
      </c>
      <c r="C201" s="1" t="s">
        <v>7768</v>
      </c>
      <c r="D201" s="1" t="s">
        <v>194</v>
      </c>
      <c r="E201" s="1" t="s">
        <v>454</v>
      </c>
      <c r="F201" s="1" t="s">
        <v>3395</v>
      </c>
      <c r="G201" s="1" t="s">
        <v>7774</v>
      </c>
      <c r="H201" s="3">
        <v>45602.0</v>
      </c>
      <c r="I201" s="13"/>
      <c r="J201" s="13"/>
      <c r="K201" s="1" t="s">
        <v>124</v>
      </c>
      <c r="L201" s="1" t="s">
        <v>160</v>
      </c>
      <c r="M201" s="1" t="s">
        <v>253</v>
      </c>
      <c r="N201" s="1" t="s">
        <v>131</v>
      </c>
      <c r="O201" s="13"/>
      <c r="P201" s="4"/>
      <c r="Q201" s="4"/>
      <c r="R201" s="1" t="s">
        <v>137</v>
      </c>
      <c r="S201" s="1" t="s">
        <v>137</v>
      </c>
      <c r="T201" s="1" t="s">
        <v>47</v>
      </c>
      <c r="U201" s="1" t="s">
        <v>4301</v>
      </c>
      <c r="V201" s="4"/>
      <c r="W201" s="4"/>
      <c r="X201" s="4"/>
    </row>
    <row r="202">
      <c r="A202" s="1" t="s">
        <v>7782</v>
      </c>
      <c r="B202" s="1" t="s">
        <v>4293</v>
      </c>
      <c r="C202" s="1" t="s">
        <v>7785</v>
      </c>
      <c r="D202" s="1" t="s">
        <v>194</v>
      </c>
      <c r="E202" s="1" t="s">
        <v>454</v>
      </c>
      <c r="F202" s="1" t="s">
        <v>455</v>
      </c>
      <c r="G202" s="1" t="s">
        <v>738</v>
      </c>
      <c r="H202" s="3">
        <v>43787.0</v>
      </c>
      <c r="I202" s="3">
        <v>43787.0</v>
      </c>
      <c r="J202" s="3">
        <v>43787.0</v>
      </c>
      <c r="K202" s="1" t="s">
        <v>215</v>
      </c>
      <c r="L202" s="1" t="s">
        <v>160</v>
      </c>
      <c r="M202" s="1" t="s">
        <v>216</v>
      </c>
      <c r="N202" s="1" t="s">
        <v>131</v>
      </c>
      <c r="O202" s="13"/>
      <c r="P202" s="4"/>
      <c r="Q202" s="4"/>
      <c r="R202" s="1" t="s">
        <v>137</v>
      </c>
      <c r="S202" s="1" t="s">
        <v>137</v>
      </c>
      <c r="T202" s="1" t="s">
        <v>47</v>
      </c>
      <c r="U202" s="1" t="s">
        <v>4301</v>
      </c>
      <c r="V202" s="4"/>
      <c r="W202" s="4"/>
      <c r="X202" s="4"/>
    </row>
    <row r="203">
      <c r="A203" s="1" t="s">
        <v>7473</v>
      </c>
      <c r="B203" s="1" t="s">
        <v>4293</v>
      </c>
      <c r="C203" s="1" t="s">
        <v>7799</v>
      </c>
      <c r="D203" s="1" t="s">
        <v>1291</v>
      </c>
      <c r="E203" s="1" t="s">
        <v>175</v>
      </c>
      <c r="F203" s="1" t="s">
        <v>245</v>
      </c>
      <c r="G203" s="1" t="s">
        <v>6501</v>
      </c>
      <c r="H203" s="3">
        <v>43343.0</v>
      </c>
      <c r="I203" s="3">
        <v>43343.0</v>
      </c>
      <c r="J203" s="3">
        <v>43343.0</v>
      </c>
      <c r="K203" s="1" t="s">
        <v>215</v>
      </c>
      <c r="L203" s="1" t="s">
        <v>160</v>
      </c>
      <c r="M203" s="1" t="s">
        <v>216</v>
      </c>
      <c r="N203" s="1" t="s">
        <v>131</v>
      </c>
      <c r="O203" s="4"/>
      <c r="P203" s="4"/>
      <c r="Q203" s="4"/>
      <c r="R203" s="1" t="s">
        <v>137</v>
      </c>
      <c r="S203" s="1" t="s">
        <v>137</v>
      </c>
      <c r="T203" s="1" t="s">
        <v>47</v>
      </c>
      <c r="U203" s="1" t="s">
        <v>4301</v>
      </c>
      <c r="V203" s="4"/>
      <c r="W203" s="4"/>
      <c r="X203" s="4"/>
    </row>
    <row r="204">
      <c r="A204" s="1" t="s">
        <v>7819</v>
      </c>
      <c r="B204" s="1" t="s">
        <v>4293</v>
      </c>
      <c r="C204" s="1" t="s">
        <v>7822</v>
      </c>
      <c r="D204" s="1" t="s">
        <v>180</v>
      </c>
      <c r="E204" s="1" t="s">
        <v>520</v>
      </c>
      <c r="F204" s="1" t="s">
        <v>1179</v>
      </c>
      <c r="G204" s="1" t="s">
        <v>1180</v>
      </c>
      <c r="H204" s="3">
        <v>44496.0</v>
      </c>
      <c r="I204" s="3">
        <v>44623.0</v>
      </c>
      <c r="J204" s="3">
        <v>44623.0</v>
      </c>
      <c r="K204" s="1" t="s">
        <v>215</v>
      </c>
      <c r="L204" s="1" t="s">
        <v>160</v>
      </c>
      <c r="M204" s="1" t="s">
        <v>216</v>
      </c>
      <c r="N204" s="1" t="s">
        <v>131</v>
      </c>
      <c r="O204" s="13"/>
      <c r="P204" s="4"/>
      <c r="Q204" s="4"/>
      <c r="R204" s="1" t="s">
        <v>137</v>
      </c>
      <c r="S204" s="1" t="s">
        <v>137</v>
      </c>
      <c r="T204" s="1" t="s">
        <v>47</v>
      </c>
      <c r="U204" s="1" t="s">
        <v>4301</v>
      </c>
      <c r="V204" s="4"/>
      <c r="W204" s="4"/>
      <c r="X204" s="4"/>
    </row>
    <row r="205">
      <c r="A205" s="1" t="s">
        <v>7833</v>
      </c>
      <c r="B205" s="1" t="s">
        <v>4293</v>
      </c>
      <c r="C205" s="1" t="s">
        <v>7836</v>
      </c>
      <c r="D205" s="1" t="s">
        <v>180</v>
      </c>
      <c r="E205" s="1" t="s">
        <v>520</v>
      </c>
      <c r="F205" s="1" t="s">
        <v>1179</v>
      </c>
      <c r="G205" s="1" t="s">
        <v>7840</v>
      </c>
      <c r="H205" s="3">
        <v>44558.0</v>
      </c>
      <c r="I205" s="3">
        <v>44319.0</v>
      </c>
      <c r="J205" s="3">
        <v>44319.0</v>
      </c>
      <c r="K205" s="1" t="s">
        <v>215</v>
      </c>
      <c r="L205" s="1" t="s">
        <v>160</v>
      </c>
      <c r="M205" s="1" t="s">
        <v>216</v>
      </c>
      <c r="N205" s="1" t="s">
        <v>131</v>
      </c>
      <c r="O205" s="13"/>
      <c r="P205" s="4"/>
      <c r="Q205" s="4"/>
      <c r="R205" s="1" t="s">
        <v>137</v>
      </c>
      <c r="S205" s="1" t="s">
        <v>137</v>
      </c>
      <c r="T205" s="1" t="s">
        <v>47</v>
      </c>
      <c r="U205" s="1" t="s">
        <v>4301</v>
      </c>
      <c r="V205" s="4"/>
      <c r="W205" s="4"/>
      <c r="X205" s="4"/>
    </row>
    <row r="206">
      <c r="A206" s="1" t="s">
        <v>7687</v>
      </c>
      <c r="B206" s="1" t="s">
        <v>4293</v>
      </c>
      <c r="C206" s="1" t="s">
        <v>7851</v>
      </c>
      <c r="D206" s="1" t="s">
        <v>180</v>
      </c>
      <c r="E206" s="1" t="s">
        <v>520</v>
      </c>
      <c r="F206" s="1" t="s">
        <v>1179</v>
      </c>
      <c r="G206" s="1" t="s">
        <v>7840</v>
      </c>
      <c r="H206" s="3">
        <v>43741.0</v>
      </c>
      <c r="I206" s="3">
        <v>44378.0</v>
      </c>
      <c r="J206" s="3">
        <v>44378.0</v>
      </c>
      <c r="K206" s="1" t="s">
        <v>215</v>
      </c>
      <c r="L206" s="1" t="s">
        <v>160</v>
      </c>
      <c r="M206" s="1" t="s">
        <v>216</v>
      </c>
      <c r="N206" s="1" t="s">
        <v>131</v>
      </c>
      <c r="O206" s="13"/>
      <c r="P206" s="4"/>
      <c r="Q206" s="4"/>
      <c r="R206" s="1" t="s">
        <v>137</v>
      </c>
      <c r="S206" s="1" t="s">
        <v>137</v>
      </c>
      <c r="T206" s="1" t="s">
        <v>47</v>
      </c>
      <c r="U206" s="1" t="s">
        <v>4301</v>
      </c>
      <c r="V206" s="4"/>
      <c r="W206" s="4"/>
      <c r="X206" s="4"/>
    </row>
    <row r="207">
      <c r="A207" s="1" t="s">
        <v>7862</v>
      </c>
      <c r="B207" s="1" t="s">
        <v>4293</v>
      </c>
      <c r="C207" s="1" t="s">
        <v>7866</v>
      </c>
      <c r="D207" s="1" t="s">
        <v>273</v>
      </c>
      <c r="E207" s="1" t="s">
        <v>330</v>
      </c>
      <c r="F207" s="1" t="s">
        <v>356</v>
      </c>
      <c r="G207" s="1" t="s">
        <v>3203</v>
      </c>
      <c r="H207" s="3">
        <v>45610.0</v>
      </c>
      <c r="I207" s="13"/>
      <c r="J207" s="13"/>
      <c r="K207" s="1" t="s">
        <v>124</v>
      </c>
      <c r="L207" s="1" t="s">
        <v>160</v>
      </c>
      <c r="M207" s="1" t="s">
        <v>253</v>
      </c>
      <c r="N207" s="1" t="s">
        <v>131</v>
      </c>
      <c r="O207" s="13"/>
      <c r="P207" s="4"/>
      <c r="Q207" s="4"/>
      <c r="R207" s="1" t="s">
        <v>137</v>
      </c>
      <c r="S207" s="1" t="s">
        <v>137</v>
      </c>
      <c r="T207" s="1" t="s">
        <v>47</v>
      </c>
      <c r="U207" s="1" t="s">
        <v>4301</v>
      </c>
      <c r="V207" s="4"/>
      <c r="W207" s="4"/>
      <c r="X207" s="4"/>
    </row>
    <row r="208">
      <c r="A208" s="1" t="s">
        <v>7879</v>
      </c>
      <c r="B208" s="1" t="s">
        <v>4293</v>
      </c>
      <c r="C208" s="1" t="s">
        <v>7881</v>
      </c>
      <c r="D208" s="1" t="s">
        <v>180</v>
      </c>
      <c r="E208" s="1" t="s">
        <v>520</v>
      </c>
      <c r="F208" s="1" t="s">
        <v>1179</v>
      </c>
      <c r="G208" s="1" t="s">
        <v>1180</v>
      </c>
      <c r="H208" s="3">
        <v>44266.0</v>
      </c>
      <c r="I208" s="3">
        <v>44266.0</v>
      </c>
      <c r="J208" s="3">
        <v>44266.0</v>
      </c>
      <c r="K208" s="1" t="s">
        <v>215</v>
      </c>
      <c r="L208" s="1" t="s">
        <v>160</v>
      </c>
      <c r="M208" s="1" t="s">
        <v>216</v>
      </c>
      <c r="N208" s="1" t="s">
        <v>131</v>
      </c>
      <c r="O208" s="4"/>
      <c r="P208" s="4"/>
      <c r="Q208" s="4"/>
      <c r="R208" s="1" t="s">
        <v>137</v>
      </c>
      <c r="S208" s="1" t="s">
        <v>137</v>
      </c>
      <c r="T208" s="1" t="s">
        <v>47</v>
      </c>
      <c r="U208" s="1" t="s">
        <v>4301</v>
      </c>
      <c r="V208" s="4"/>
      <c r="W208" s="4"/>
      <c r="X208" s="4"/>
    </row>
    <row r="209">
      <c r="A209" s="1" t="s">
        <v>7897</v>
      </c>
      <c r="B209" s="1" t="s">
        <v>4293</v>
      </c>
      <c r="C209" s="1" t="s">
        <v>7900</v>
      </c>
      <c r="D209" s="1" t="s">
        <v>180</v>
      </c>
      <c r="E209" s="1" t="s">
        <v>520</v>
      </c>
      <c r="F209" s="1" t="s">
        <v>1179</v>
      </c>
      <c r="G209" s="1" t="s">
        <v>1180</v>
      </c>
      <c r="H209" s="3">
        <v>44560.0</v>
      </c>
      <c r="I209" s="3">
        <v>44217.0</v>
      </c>
      <c r="J209" s="3">
        <v>44217.0</v>
      </c>
      <c r="K209" s="1" t="s">
        <v>215</v>
      </c>
      <c r="L209" s="1" t="s">
        <v>160</v>
      </c>
      <c r="M209" s="1" t="s">
        <v>216</v>
      </c>
      <c r="N209" s="1" t="s">
        <v>131</v>
      </c>
      <c r="O209" s="13"/>
      <c r="P209" s="4"/>
      <c r="Q209" s="4"/>
      <c r="R209" s="1" t="s">
        <v>137</v>
      </c>
      <c r="S209" s="1" t="s">
        <v>137</v>
      </c>
      <c r="T209" s="1" t="s">
        <v>47</v>
      </c>
      <c r="U209" s="1" t="s">
        <v>4301</v>
      </c>
      <c r="V209" s="4"/>
      <c r="W209" s="4"/>
      <c r="X209" s="4"/>
    </row>
    <row r="210">
      <c r="A210" s="1" t="s">
        <v>7276</v>
      </c>
      <c r="B210" s="1" t="s">
        <v>4293</v>
      </c>
      <c r="C210" s="1" t="s">
        <v>7918</v>
      </c>
      <c r="D210" s="1" t="s">
        <v>548</v>
      </c>
      <c r="E210" s="1" t="s">
        <v>520</v>
      </c>
      <c r="F210" s="1" t="s">
        <v>522</v>
      </c>
      <c r="G210" s="1" t="s">
        <v>550</v>
      </c>
      <c r="H210" s="3">
        <v>44883.0</v>
      </c>
      <c r="I210" s="3">
        <v>44911.0</v>
      </c>
      <c r="J210" s="3">
        <v>44911.0</v>
      </c>
      <c r="K210" s="1" t="s">
        <v>215</v>
      </c>
      <c r="L210" s="1" t="s">
        <v>160</v>
      </c>
      <c r="M210" s="1" t="s">
        <v>216</v>
      </c>
      <c r="N210" s="1" t="s">
        <v>131</v>
      </c>
      <c r="O210" s="13"/>
      <c r="P210" s="4"/>
      <c r="Q210" s="4"/>
      <c r="R210" s="1" t="s">
        <v>137</v>
      </c>
      <c r="S210" s="1" t="s">
        <v>137</v>
      </c>
      <c r="T210" s="1" t="s">
        <v>47</v>
      </c>
      <c r="U210" s="1" t="s">
        <v>4301</v>
      </c>
      <c r="V210" s="4"/>
      <c r="W210" s="4"/>
      <c r="X210" s="4"/>
    </row>
    <row r="211">
      <c r="A211" s="1" t="s">
        <v>7930</v>
      </c>
      <c r="B211" s="1" t="s">
        <v>4293</v>
      </c>
      <c r="C211" s="1" t="s">
        <v>7934</v>
      </c>
      <c r="D211" s="1" t="s">
        <v>960</v>
      </c>
      <c r="E211" s="1" t="s">
        <v>292</v>
      </c>
      <c r="F211" s="1" t="s">
        <v>494</v>
      </c>
      <c r="G211" s="4"/>
      <c r="H211" s="3">
        <v>44557.0</v>
      </c>
      <c r="I211" s="3">
        <v>44756.0</v>
      </c>
      <c r="J211" s="3">
        <v>44756.0</v>
      </c>
      <c r="K211" s="1" t="s">
        <v>215</v>
      </c>
      <c r="L211" s="1" t="s">
        <v>160</v>
      </c>
      <c r="M211" s="1" t="s">
        <v>216</v>
      </c>
      <c r="N211" s="1" t="s">
        <v>131</v>
      </c>
      <c r="O211" s="13"/>
      <c r="P211" s="4"/>
      <c r="Q211" s="4"/>
      <c r="R211" s="1" t="s">
        <v>137</v>
      </c>
      <c r="S211" s="1" t="s">
        <v>137</v>
      </c>
      <c r="T211" s="1" t="s">
        <v>47</v>
      </c>
      <c r="U211" s="1" t="s">
        <v>4301</v>
      </c>
      <c r="V211" s="4"/>
      <c r="W211" s="4"/>
      <c r="X211" s="4"/>
    </row>
    <row r="212">
      <c r="A212" s="1" t="s">
        <v>6389</v>
      </c>
      <c r="B212" s="1" t="s">
        <v>4293</v>
      </c>
      <c r="C212" s="1" t="s">
        <v>7953</v>
      </c>
      <c r="D212" s="4"/>
      <c r="E212" s="4"/>
      <c r="F212" s="4"/>
      <c r="G212" s="4"/>
      <c r="H212" s="3">
        <v>45103.0</v>
      </c>
      <c r="I212" s="3">
        <v>45103.0</v>
      </c>
      <c r="J212" s="3">
        <v>45103.0</v>
      </c>
      <c r="K212" s="1" t="s">
        <v>215</v>
      </c>
      <c r="L212" s="1" t="s">
        <v>160</v>
      </c>
      <c r="M212" s="1" t="s">
        <v>216</v>
      </c>
      <c r="N212" s="1" t="s">
        <v>131</v>
      </c>
      <c r="O212" s="13"/>
      <c r="P212" s="4"/>
      <c r="Q212" s="4"/>
      <c r="R212" s="1" t="s">
        <v>137</v>
      </c>
      <c r="S212" s="1" t="s">
        <v>137</v>
      </c>
      <c r="T212" s="1" t="s">
        <v>47</v>
      </c>
      <c r="U212" s="1" t="s">
        <v>4301</v>
      </c>
      <c r="V212" s="4"/>
      <c r="W212" s="4"/>
      <c r="X212" s="4"/>
    </row>
    <row r="213">
      <c r="A213" s="1" t="s">
        <v>1721</v>
      </c>
      <c r="B213" s="1" t="s">
        <v>146</v>
      </c>
      <c r="C213" s="1" t="s">
        <v>1723</v>
      </c>
      <c r="D213" s="1" t="s">
        <v>313</v>
      </c>
      <c r="E213" s="1" t="s">
        <v>175</v>
      </c>
      <c r="F213" s="1" t="s">
        <v>569</v>
      </c>
      <c r="G213" s="1" t="s">
        <v>1726</v>
      </c>
      <c r="H213" s="3">
        <v>46129.0</v>
      </c>
      <c r="I213" s="3">
        <v>46293.0</v>
      </c>
      <c r="J213" s="13"/>
      <c r="K213" s="1" t="s">
        <v>124</v>
      </c>
      <c r="L213" s="1" t="s">
        <v>160</v>
      </c>
      <c r="M213" s="1" t="s">
        <v>460</v>
      </c>
      <c r="N213" s="1" t="s">
        <v>131</v>
      </c>
      <c r="O213" s="13"/>
      <c r="P213" s="1" t="s">
        <v>1733</v>
      </c>
      <c r="Q213" s="4"/>
      <c r="R213" s="1" t="s">
        <v>137</v>
      </c>
      <c r="S213" s="1" t="s">
        <v>137</v>
      </c>
      <c r="T213" s="1" t="s">
        <v>47</v>
      </c>
      <c r="U213" s="1" t="s">
        <v>4013</v>
      </c>
      <c r="V213" s="4"/>
      <c r="W213" s="4"/>
      <c r="X213" s="4"/>
    </row>
    <row r="214">
      <c r="A214" s="1" t="s">
        <v>7989</v>
      </c>
      <c r="B214" s="1" t="s">
        <v>3114</v>
      </c>
      <c r="C214" s="1" t="s">
        <v>1742</v>
      </c>
      <c r="D214" s="1" t="s">
        <v>273</v>
      </c>
      <c r="E214" s="1" t="s">
        <v>330</v>
      </c>
      <c r="F214" s="1" t="s">
        <v>331</v>
      </c>
      <c r="G214" s="1" t="s">
        <v>333</v>
      </c>
      <c r="H214" s="3">
        <v>46290.0</v>
      </c>
      <c r="I214" s="13"/>
      <c r="J214" s="13"/>
      <c r="K214" s="1" t="s">
        <v>124</v>
      </c>
      <c r="L214" s="1" t="s">
        <v>98</v>
      </c>
      <c r="M214" s="1" t="s">
        <v>162</v>
      </c>
      <c r="N214" s="1" t="s">
        <v>131</v>
      </c>
      <c r="O214" s="13"/>
      <c r="P214" s="1" t="s">
        <v>8001</v>
      </c>
      <c r="Q214" s="4"/>
      <c r="R214" s="1" t="s">
        <v>137</v>
      </c>
      <c r="S214" s="1" t="s">
        <v>137</v>
      </c>
      <c r="T214" s="1" t="s">
        <v>47</v>
      </c>
      <c r="U214" s="1"/>
      <c r="V214" s="4"/>
      <c r="W214" s="4"/>
      <c r="X214" s="4"/>
    </row>
    <row r="215">
      <c r="A215" s="1" t="s">
        <v>8008</v>
      </c>
      <c r="B215" s="1" t="s">
        <v>4293</v>
      </c>
      <c r="C215" s="1" t="s">
        <v>8009</v>
      </c>
      <c r="D215" s="1" t="s">
        <v>1776</v>
      </c>
      <c r="E215" s="1" t="s">
        <v>119</v>
      </c>
      <c r="F215" s="1" t="s">
        <v>8013</v>
      </c>
      <c r="G215" s="1" t="s">
        <v>8013</v>
      </c>
      <c r="H215" s="3">
        <v>45181.0</v>
      </c>
      <c r="I215" s="3">
        <v>45231.0</v>
      </c>
      <c r="J215" s="3">
        <v>45231.0</v>
      </c>
      <c r="K215" s="1" t="s">
        <v>215</v>
      </c>
      <c r="L215" s="1" t="s">
        <v>160</v>
      </c>
      <c r="M215" s="1" t="s">
        <v>216</v>
      </c>
      <c r="N215" s="1" t="s">
        <v>131</v>
      </c>
      <c r="O215" s="13"/>
      <c r="P215" s="4"/>
      <c r="Q215" s="4"/>
      <c r="R215" s="1" t="s">
        <v>137</v>
      </c>
      <c r="S215" s="1" t="s">
        <v>137</v>
      </c>
      <c r="T215" s="1" t="s">
        <v>47</v>
      </c>
      <c r="U215" s="1" t="s">
        <v>4301</v>
      </c>
      <c r="V215" s="4"/>
      <c r="W215" s="4"/>
      <c r="X215" s="4"/>
    </row>
    <row r="216">
      <c r="A216" s="1" t="s">
        <v>6162</v>
      </c>
      <c r="B216" s="1" t="s">
        <v>4293</v>
      </c>
      <c r="C216" s="1" t="s">
        <v>1756</v>
      </c>
      <c r="D216" s="1" t="s">
        <v>1477</v>
      </c>
      <c r="E216" s="1" t="s">
        <v>292</v>
      </c>
      <c r="F216" s="1" t="s">
        <v>468</v>
      </c>
      <c r="G216" s="1" t="s">
        <v>1758</v>
      </c>
      <c r="H216" s="3">
        <v>45348.0</v>
      </c>
      <c r="I216" s="3">
        <v>45538.0</v>
      </c>
      <c r="J216" s="3">
        <v>45538.0</v>
      </c>
      <c r="K216" s="1" t="s">
        <v>215</v>
      </c>
      <c r="L216" s="1" t="s">
        <v>160</v>
      </c>
      <c r="M216" s="1" t="s">
        <v>216</v>
      </c>
      <c r="N216" s="1" t="s">
        <v>131</v>
      </c>
      <c r="O216" s="13"/>
      <c r="P216" s="4"/>
      <c r="Q216" s="4"/>
      <c r="R216" s="1" t="s">
        <v>137</v>
      </c>
      <c r="S216" s="1" t="s">
        <v>137</v>
      </c>
      <c r="T216" s="1" t="s">
        <v>47</v>
      </c>
      <c r="U216" s="1" t="s">
        <v>4301</v>
      </c>
      <c r="V216" s="4"/>
      <c r="W216" s="4"/>
      <c r="X216" s="4"/>
    </row>
    <row r="217">
      <c r="A217" s="1" t="s">
        <v>8036</v>
      </c>
      <c r="B217" s="1" t="s">
        <v>4293</v>
      </c>
      <c r="C217" s="1" t="s">
        <v>8038</v>
      </c>
      <c r="D217" s="1" t="s">
        <v>1798</v>
      </c>
      <c r="E217" s="1" t="s">
        <v>292</v>
      </c>
      <c r="F217" s="1" t="s">
        <v>576</v>
      </c>
      <c r="G217" s="1" t="s">
        <v>1088</v>
      </c>
      <c r="H217" s="3">
        <v>44804.0</v>
      </c>
      <c r="I217" s="3">
        <v>45140.0</v>
      </c>
      <c r="J217" s="3">
        <v>45140.0</v>
      </c>
      <c r="K217" s="1" t="s">
        <v>215</v>
      </c>
      <c r="L217" s="1" t="s">
        <v>160</v>
      </c>
      <c r="M217" s="1" t="s">
        <v>216</v>
      </c>
      <c r="N217" s="1" t="s">
        <v>131</v>
      </c>
      <c r="O217" s="13"/>
      <c r="P217" s="4"/>
      <c r="Q217" s="4"/>
      <c r="R217" s="1" t="s">
        <v>137</v>
      </c>
      <c r="S217" s="1" t="s">
        <v>137</v>
      </c>
      <c r="T217" s="1" t="s">
        <v>47</v>
      </c>
      <c r="U217" s="1" t="s">
        <v>4301</v>
      </c>
      <c r="V217" s="4"/>
      <c r="W217" s="4"/>
      <c r="X217" s="4"/>
    </row>
    <row r="218">
      <c r="A218" s="1" t="s">
        <v>8058</v>
      </c>
      <c r="B218" s="1" t="s">
        <v>4293</v>
      </c>
      <c r="C218" s="1" t="s">
        <v>8061</v>
      </c>
      <c r="D218" s="1" t="s">
        <v>1272</v>
      </c>
      <c r="E218" s="1" t="s">
        <v>520</v>
      </c>
      <c r="F218" s="1" t="s">
        <v>522</v>
      </c>
      <c r="G218" s="1" t="s">
        <v>6067</v>
      </c>
      <c r="H218" s="3">
        <v>45442.0</v>
      </c>
      <c r="I218" s="3">
        <v>45721.0</v>
      </c>
      <c r="J218" s="3">
        <v>45721.0</v>
      </c>
      <c r="K218" s="1" t="s">
        <v>215</v>
      </c>
      <c r="L218" s="1" t="s">
        <v>160</v>
      </c>
      <c r="M218" s="1" t="s">
        <v>216</v>
      </c>
      <c r="N218" s="1" t="s">
        <v>131</v>
      </c>
      <c r="O218" s="13"/>
      <c r="P218" s="4"/>
      <c r="Q218" s="4"/>
      <c r="R218" s="1" t="s">
        <v>137</v>
      </c>
      <c r="S218" s="1" t="s">
        <v>137</v>
      </c>
      <c r="T218" s="1" t="s">
        <v>47</v>
      </c>
      <c r="U218" s="1" t="s">
        <v>4301</v>
      </c>
      <c r="V218" s="4"/>
      <c r="W218" s="4"/>
      <c r="X218" s="4"/>
    </row>
    <row r="219">
      <c r="A219" s="1" t="s">
        <v>8073</v>
      </c>
      <c r="B219" s="1" t="s">
        <v>4293</v>
      </c>
      <c r="C219" s="1" t="s">
        <v>8076</v>
      </c>
      <c r="D219" s="1" t="s">
        <v>1823</v>
      </c>
      <c r="E219" s="1" t="s">
        <v>175</v>
      </c>
      <c r="F219" s="1" t="s">
        <v>1767</v>
      </c>
      <c r="G219" s="1" t="s">
        <v>3430</v>
      </c>
      <c r="H219" s="3">
        <v>44742.0</v>
      </c>
      <c r="I219" s="3">
        <v>44979.0</v>
      </c>
      <c r="J219" s="3">
        <v>44979.0</v>
      </c>
      <c r="K219" s="1" t="s">
        <v>215</v>
      </c>
      <c r="L219" s="1" t="s">
        <v>160</v>
      </c>
      <c r="M219" s="1" t="s">
        <v>216</v>
      </c>
      <c r="N219" s="1" t="s">
        <v>131</v>
      </c>
      <c r="O219" s="13"/>
      <c r="P219" s="4"/>
      <c r="Q219" s="4"/>
      <c r="R219" s="1" t="s">
        <v>137</v>
      </c>
      <c r="S219" s="1" t="s">
        <v>137</v>
      </c>
      <c r="T219" s="1" t="s">
        <v>47</v>
      </c>
      <c r="U219" s="1" t="s">
        <v>4301</v>
      </c>
      <c r="V219" s="4"/>
      <c r="W219" s="4"/>
      <c r="X219" s="4"/>
    </row>
    <row r="220">
      <c r="A220" s="1" t="s">
        <v>8088</v>
      </c>
      <c r="B220" s="1" t="s">
        <v>4293</v>
      </c>
      <c r="C220" s="1" t="s">
        <v>8092</v>
      </c>
      <c r="D220" s="1" t="s">
        <v>1477</v>
      </c>
      <c r="E220" s="1" t="s">
        <v>153</v>
      </c>
      <c r="F220" s="1" t="s">
        <v>155</v>
      </c>
      <c r="G220" s="1" t="s">
        <v>157</v>
      </c>
      <c r="H220" s="3">
        <v>45830.0</v>
      </c>
      <c r="I220" s="3">
        <v>45891.0</v>
      </c>
      <c r="J220" s="3">
        <v>45891.0</v>
      </c>
      <c r="K220" s="1" t="s">
        <v>215</v>
      </c>
      <c r="L220" s="1" t="s">
        <v>160</v>
      </c>
      <c r="M220" s="1" t="s">
        <v>216</v>
      </c>
      <c r="N220" s="1" t="s">
        <v>131</v>
      </c>
      <c r="O220" s="13"/>
      <c r="P220" s="4"/>
      <c r="Q220" s="4"/>
      <c r="R220" s="1" t="s">
        <v>137</v>
      </c>
      <c r="S220" s="1" t="s">
        <v>137</v>
      </c>
      <c r="T220" s="1" t="s">
        <v>47</v>
      </c>
      <c r="U220" s="1" t="s">
        <v>4301</v>
      </c>
      <c r="V220" s="4"/>
      <c r="W220" s="4"/>
      <c r="X220" s="4"/>
    </row>
    <row r="221">
      <c r="A221" s="1" t="s">
        <v>8104</v>
      </c>
      <c r="B221" s="1" t="s">
        <v>4293</v>
      </c>
      <c r="C221" s="1" t="s">
        <v>1783</v>
      </c>
      <c r="D221" s="1" t="s">
        <v>960</v>
      </c>
      <c r="E221" s="1" t="s">
        <v>292</v>
      </c>
      <c r="F221" s="1" t="s">
        <v>494</v>
      </c>
      <c r="G221" s="1" t="s">
        <v>1784</v>
      </c>
      <c r="H221" s="3">
        <v>43461.0</v>
      </c>
      <c r="I221" s="3">
        <v>44518.0</v>
      </c>
      <c r="J221" s="3">
        <v>44518.0</v>
      </c>
      <c r="K221" s="1" t="s">
        <v>215</v>
      </c>
      <c r="L221" s="1" t="s">
        <v>160</v>
      </c>
      <c r="M221" s="1" t="s">
        <v>216</v>
      </c>
      <c r="N221" s="1" t="s">
        <v>131</v>
      </c>
      <c r="O221" s="4"/>
      <c r="P221" s="1"/>
      <c r="Q221" s="4"/>
      <c r="R221" s="1" t="s">
        <v>137</v>
      </c>
      <c r="S221" s="1" t="s">
        <v>137</v>
      </c>
      <c r="T221" s="1" t="s">
        <v>47</v>
      </c>
      <c r="U221" s="1" t="s">
        <v>4301</v>
      </c>
      <c r="V221" s="4"/>
      <c r="W221" s="4"/>
      <c r="X221" s="4"/>
    </row>
    <row r="222">
      <c r="A222" s="1" t="s">
        <v>1781</v>
      </c>
      <c r="B222" s="1" t="s">
        <v>116</v>
      </c>
      <c r="C222" s="1" t="s">
        <v>1783</v>
      </c>
      <c r="D222" s="1" t="s">
        <v>960</v>
      </c>
      <c r="E222" s="1" t="s">
        <v>292</v>
      </c>
      <c r="F222" s="1" t="s">
        <v>494</v>
      </c>
      <c r="G222" s="1" t="s">
        <v>1784</v>
      </c>
      <c r="H222" s="3">
        <v>46127.0</v>
      </c>
      <c r="I222" s="3">
        <v>46279.0</v>
      </c>
      <c r="J222" s="3">
        <v>46279.0</v>
      </c>
      <c r="K222" s="1" t="s">
        <v>124</v>
      </c>
      <c r="L222" s="1" t="s">
        <v>160</v>
      </c>
      <c r="M222" s="1" t="s">
        <v>216</v>
      </c>
      <c r="N222" s="1" t="s">
        <v>131</v>
      </c>
      <c r="O222" s="13"/>
      <c r="P222" s="1" t="s">
        <v>1786</v>
      </c>
      <c r="Q222" s="4"/>
      <c r="R222" s="1" t="s">
        <v>137</v>
      </c>
      <c r="S222" s="1" t="s">
        <v>137</v>
      </c>
      <c r="T222" s="1" t="s">
        <v>47</v>
      </c>
      <c r="U222" s="1" t="s">
        <v>3707</v>
      </c>
      <c r="V222" s="4"/>
      <c r="W222" s="4"/>
      <c r="X222" s="4"/>
    </row>
    <row r="223">
      <c r="A223" s="1" t="s">
        <v>1789</v>
      </c>
      <c r="B223" s="1" t="s">
        <v>146</v>
      </c>
      <c r="C223" s="1" t="s">
        <v>1791</v>
      </c>
      <c r="D223" s="1" t="s">
        <v>754</v>
      </c>
      <c r="E223" s="1" t="s">
        <v>292</v>
      </c>
      <c r="F223" s="1" t="s">
        <v>468</v>
      </c>
      <c r="G223" s="1" t="s">
        <v>470</v>
      </c>
      <c r="H223" s="3">
        <v>46107.0</v>
      </c>
      <c r="I223" s="3">
        <v>46400.0</v>
      </c>
      <c r="J223" s="13"/>
      <c r="K223" s="1" t="s">
        <v>124</v>
      </c>
      <c r="L223" s="1" t="s">
        <v>98</v>
      </c>
      <c r="M223" s="1" t="s">
        <v>335</v>
      </c>
      <c r="N223" s="1" t="s">
        <v>131</v>
      </c>
      <c r="O223" s="13"/>
      <c r="P223" s="1" t="s">
        <v>1792</v>
      </c>
      <c r="Q223" s="4"/>
      <c r="R223" s="1" t="s">
        <v>137</v>
      </c>
      <c r="S223" s="1" t="s">
        <v>137</v>
      </c>
      <c r="T223" s="1" t="s">
        <v>47</v>
      </c>
      <c r="U223" s="1" t="s">
        <v>8139</v>
      </c>
      <c r="V223" s="4"/>
      <c r="W223" s="4"/>
      <c r="X223" s="4"/>
    </row>
    <row r="224">
      <c r="A224" s="1" t="s">
        <v>8141</v>
      </c>
      <c r="B224" s="1" t="s">
        <v>4293</v>
      </c>
      <c r="C224" s="1" t="s">
        <v>8144</v>
      </c>
      <c r="D224" s="1" t="s">
        <v>1067</v>
      </c>
      <c r="E224" s="1" t="s">
        <v>330</v>
      </c>
      <c r="F224" s="1" t="s">
        <v>663</v>
      </c>
      <c r="G224" s="1" t="s">
        <v>1068</v>
      </c>
      <c r="H224" s="3">
        <v>44482.0</v>
      </c>
      <c r="I224" s="3">
        <v>44482.0</v>
      </c>
      <c r="J224" s="3">
        <v>44482.0</v>
      </c>
      <c r="K224" s="1" t="s">
        <v>215</v>
      </c>
      <c r="L224" s="1" t="s">
        <v>160</v>
      </c>
      <c r="M224" s="1" t="s">
        <v>216</v>
      </c>
      <c r="N224" s="1" t="s">
        <v>131</v>
      </c>
      <c r="O224" s="13"/>
      <c r="P224" s="4"/>
      <c r="Q224" s="4"/>
      <c r="R224" s="1" t="s">
        <v>137</v>
      </c>
      <c r="S224" s="1" t="s">
        <v>137</v>
      </c>
      <c r="T224" s="1" t="s">
        <v>47</v>
      </c>
      <c r="U224" s="1" t="s">
        <v>4301</v>
      </c>
      <c r="V224" s="4"/>
      <c r="W224" s="4"/>
      <c r="X224" s="4"/>
    </row>
    <row r="225">
      <c r="A225" s="1" t="s">
        <v>8157</v>
      </c>
      <c r="B225" s="1" t="s">
        <v>4293</v>
      </c>
      <c r="C225" s="1" t="s">
        <v>8160</v>
      </c>
      <c r="D225" s="1" t="s">
        <v>1477</v>
      </c>
      <c r="E225" s="1" t="s">
        <v>292</v>
      </c>
      <c r="F225" s="1" t="s">
        <v>962</v>
      </c>
      <c r="G225" s="1" t="s">
        <v>2607</v>
      </c>
      <c r="H225" s="3">
        <v>45405.0</v>
      </c>
      <c r="I225" s="3">
        <v>45897.0</v>
      </c>
      <c r="J225" s="3">
        <v>45897.0</v>
      </c>
      <c r="K225" s="1" t="s">
        <v>215</v>
      </c>
      <c r="L225" s="1" t="s">
        <v>160</v>
      </c>
      <c r="M225" s="1" t="s">
        <v>216</v>
      </c>
      <c r="N225" s="1" t="s">
        <v>131</v>
      </c>
      <c r="O225" s="13"/>
      <c r="P225" s="4"/>
      <c r="Q225" s="4"/>
      <c r="R225" s="1" t="s">
        <v>137</v>
      </c>
      <c r="S225" s="1" t="s">
        <v>137</v>
      </c>
      <c r="T225" s="1" t="s">
        <v>47</v>
      </c>
      <c r="U225" s="1" t="s">
        <v>4301</v>
      </c>
      <c r="V225" s="4"/>
      <c r="W225" s="4"/>
      <c r="X225" s="4"/>
    </row>
    <row r="226">
      <c r="A226" s="1" t="s">
        <v>6673</v>
      </c>
      <c r="B226" s="1" t="s">
        <v>4293</v>
      </c>
      <c r="C226" s="1" t="s">
        <v>8172</v>
      </c>
      <c r="D226" s="1" t="s">
        <v>152</v>
      </c>
      <c r="E226" s="1" t="s">
        <v>292</v>
      </c>
      <c r="F226" s="1" t="s">
        <v>494</v>
      </c>
      <c r="G226" s="1" t="s">
        <v>1362</v>
      </c>
      <c r="H226" s="3">
        <v>43370.0</v>
      </c>
      <c r="I226" s="3">
        <v>43563.0</v>
      </c>
      <c r="J226" s="3">
        <v>43563.0</v>
      </c>
      <c r="K226" s="1" t="s">
        <v>215</v>
      </c>
      <c r="L226" s="1" t="s">
        <v>160</v>
      </c>
      <c r="M226" s="1" t="s">
        <v>216</v>
      </c>
      <c r="N226" s="1" t="s">
        <v>131</v>
      </c>
      <c r="O226" s="13"/>
      <c r="P226" s="4"/>
      <c r="Q226" s="4"/>
      <c r="R226" s="1" t="s">
        <v>137</v>
      </c>
      <c r="S226" s="1" t="s">
        <v>137</v>
      </c>
      <c r="T226" s="1" t="s">
        <v>47</v>
      </c>
      <c r="U226" s="1" t="s">
        <v>4301</v>
      </c>
      <c r="V226" s="4"/>
      <c r="W226" s="4"/>
      <c r="X226" s="4"/>
    </row>
    <row r="227">
      <c r="A227" s="1" t="s">
        <v>8189</v>
      </c>
      <c r="B227" s="1" t="s">
        <v>4293</v>
      </c>
      <c r="C227" s="1" t="s">
        <v>8192</v>
      </c>
      <c r="D227" s="1" t="s">
        <v>1477</v>
      </c>
      <c r="E227" s="1" t="s">
        <v>175</v>
      </c>
      <c r="F227" s="1" t="s">
        <v>245</v>
      </c>
      <c r="G227" s="1" t="s">
        <v>8194</v>
      </c>
      <c r="H227" s="3">
        <v>44313.0</v>
      </c>
      <c r="I227" s="3">
        <v>44375.0</v>
      </c>
      <c r="J227" s="3">
        <v>44375.0</v>
      </c>
      <c r="K227" s="1" t="s">
        <v>215</v>
      </c>
      <c r="L227" s="1" t="s">
        <v>160</v>
      </c>
      <c r="M227" s="1" t="s">
        <v>216</v>
      </c>
      <c r="N227" s="1" t="s">
        <v>131</v>
      </c>
      <c r="O227" s="13"/>
      <c r="P227" s="4"/>
      <c r="Q227" s="4"/>
      <c r="R227" s="1" t="s">
        <v>137</v>
      </c>
      <c r="S227" s="1" t="s">
        <v>137</v>
      </c>
      <c r="T227" s="1" t="s">
        <v>47</v>
      </c>
      <c r="U227" s="1" t="s">
        <v>4301</v>
      </c>
      <c r="V227" s="4"/>
      <c r="W227" s="4"/>
      <c r="X227" s="4"/>
    </row>
    <row r="228">
      <c r="A228" s="1" t="s">
        <v>8209</v>
      </c>
      <c r="B228" s="1" t="s">
        <v>4293</v>
      </c>
      <c r="C228" s="1" t="s">
        <v>8211</v>
      </c>
      <c r="D228" s="1" t="s">
        <v>1798</v>
      </c>
      <c r="E228" s="1" t="s">
        <v>175</v>
      </c>
      <c r="F228" s="1" t="s">
        <v>763</v>
      </c>
      <c r="G228" s="1" t="s">
        <v>764</v>
      </c>
      <c r="H228" s="3">
        <v>45196.0</v>
      </c>
      <c r="I228" s="3">
        <v>45299.0</v>
      </c>
      <c r="J228" s="3">
        <v>45299.0</v>
      </c>
      <c r="K228" s="1" t="s">
        <v>215</v>
      </c>
      <c r="L228" s="1" t="s">
        <v>160</v>
      </c>
      <c r="M228" s="1" t="s">
        <v>216</v>
      </c>
      <c r="N228" s="1" t="s">
        <v>131</v>
      </c>
      <c r="O228" s="13"/>
      <c r="P228" s="4"/>
      <c r="Q228" s="4"/>
      <c r="R228" s="1" t="s">
        <v>137</v>
      </c>
      <c r="S228" s="1" t="s">
        <v>137</v>
      </c>
      <c r="T228" s="1" t="s">
        <v>47</v>
      </c>
      <c r="U228" s="1" t="s">
        <v>4301</v>
      </c>
      <c r="V228" s="4"/>
      <c r="W228" s="4"/>
      <c r="X228" s="4"/>
    </row>
    <row r="229">
      <c r="A229" s="1" t="s">
        <v>8226</v>
      </c>
      <c r="B229" s="1" t="s">
        <v>4293</v>
      </c>
      <c r="C229" s="1" t="s">
        <v>8228</v>
      </c>
      <c r="D229" s="1" t="s">
        <v>417</v>
      </c>
      <c r="E229" s="1" t="s">
        <v>119</v>
      </c>
      <c r="F229" s="1" t="s">
        <v>8013</v>
      </c>
      <c r="G229" s="1" t="s">
        <v>8013</v>
      </c>
      <c r="H229" s="3">
        <v>45642.0</v>
      </c>
      <c r="I229" s="3">
        <v>45896.0</v>
      </c>
      <c r="J229" s="3">
        <v>45896.0</v>
      </c>
      <c r="K229" s="1" t="s">
        <v>215</v>
      </c>
      <c r="L229" s="1" t="s">
        <v>160</v>
      </c>
      <c r="M229" s="1" t="s">
        <v>216</v>
      </c>
      <c r="N229" s="1" t="s">
        <v>131</v>
      </c>
      <c r="O229" s="4"/>
      <c r="P229" s="4"/>
      <c r="Q229" s="4"/>
      <c r="R229" s="1" t="s">
        <v>137</v>
      </c>
      <c r="S229" s="1" t="s">
        <v>137</v>
      </c>
      <c r="T229" s="1" t="s">
        <v>47</v>
      </c>
      <c r="U229" s="1" t="s">
        <v>4301</v>
      </c>
      <c r="V229" s="4"/>
      <c r="W229" s="4"/>
      <c r="X229" s="4"/>
    </row>
    <row r="230">
      <c r="A230" s="1" t="s">
        <v>8235</v>
      </c>
      <c r="B230" s="1" t="s">
        <v>4293</v>
      </c>
      <c r="C230" s="1" t="s">
        <v>8237</v>
      </c>
      <c r="D230" s="1" t="s">
        <v>492</v>
      </c>
      <c r="E230" s="1" t="s">
        <v>292</v>
      </c>
      <c r="F230" s="1" t="s">
        <v>576</v>
      </c>
      <c r="G230" s="1" t="s">
        <v>2297</v>
      </c>
      <c r="H230" s="3">
        <v>45618.0</v>
      </c>
      <c r="I230" s="3">
        <v>45881.0</v>
      </c>
      <c r="J230" s="3">
        <v>45881.0</v>
      </c>
      <c r="K230" s="1" t="s">
        <v>215</v>
      </c>
      <c r="L230" s="1" t="s">
        <v>160</v>
      </c>
      <c r="M230" s="1" t="s">
        <v>216</v>
      </c>
      <c r="N230" s="1" t="s">
        <v>131</v>
      </c>
      <c r="O230" s="13"/>
      <c r="P230" s="4"/>
      <c r="Q230" s="4"/>
      <c r="R230" s="1" t="s">
        <v>137</v>
      </c>
      <c r="S230" s="1" t="s">
        <v>137</v>
      </c>
      <c r="T230" s="1" t="s">
        <v>47</v>
      </c>
      <c r="U230" s="1" t="s">
        <v>4301</v>
      </c>
      <c r="V230" s="4"/>
      <c r="W230" s="4"/>
      <c r="X230" s="4"/>
    </row>
    <row r="231">
      <c r="A231" s="1" t="s">
        <v>8247</v>
      </c>
      <c r="B231" s="1" t="s">
        <v>4293</v>
      </c>
      <c r="C231" s="1" t="s">
        <v>8249</v>
      </c>
      <c r="D231" s="1" t="s">
        <v>1291</v>
      </c>
      <c r="E231" s="1" t="s">
        <v>175</v>
      </c>
      <c r="F231" s="1" t="s">
        <v>763</v>
      </c>
      <c r="G231" s="1" t="s">
        <v>1825</v>
      </c>
      <c r="H231" s="3">
        <v>44500.0</v>
      </c>
      <c r="I231" s="3">
        <v>44500.0</v>
      </c>
      <c r="J231" s="3">
        <v>44500.0</v>
      </c>
      <c r="K231" s="1" t="s">
        <v>215</v>
      </c>
      <c r="L231" s="1" t="s">
        <v>160</v>
      </c>
      <c r="M231" s="1" t="s">
        <v>216</v>
      </c>
      <c r="N231" s="1" t="s">
        <v>131</v>
      </c>
      <c r="O231" s="13"/>
      <c r="P231" s="4"/>
      <c r="Q231" s="4"/>
      <c r="R231" s="1" t="s">
        <v>137</v>
      </c>
      <c r="S231" s="1" t="s">
        <v>137</v>
      </c>
      <c r="T231" s="1" t="s">
        <v>47</v>
      </c>
      <c r="U231" s="1" t="s">
        <v>4301</v>
      </c>
      <c r="V231" s="4"/>
      <c r="W231" s="4"/>
      <c r="X231" s="4"/>
    </row>
    <row r="232">
      <c r="A232" s="1" t="s">
        <v>5282</v>
      </c>
      <c r="B232" s="1" t="s">
        <v>4293</v>
      </c>
      <c r="C232" s="1" t="s">
        <v>8267</v>
      </c>
      <c r="D232" s="1" t="s">
        <v>243</v>
      </c>
      <c r="E232" s="1" t="s">
        <v>175</v>
      </c>
      <c r="F232" s="1" t="s">
        <v>1767</v>
      </c>
      <c r="G232" s="1" t="s">
        <v>2199</v>
      </c>
      <c r="H232" s="3">
        <v>44439.0</v>
      </c>
      <c r="I232" s="3">
        <v>44522.0</v>
      </c>
      <c r="J232" s="3">
        <v>44522.0</v>
      </c>
      <c r="K232" s="1" t="s">
        <v>215</v>
      </c>
      <c r="L232" s="1" t="s">
        <v>160</v>
      </c>
      <c r="M232" s="1" t="s">
        <v>216</v>
      </c>
      <c r="N232" s="1" t="s">
        <v>131</v>
      </c>
      <c r="O232" s="13"/>
      <c r="P232" s="4"/>
      <c r="Q232" s="4"/>
      <c r="R232" s="1" t="s">
        <v>137</v>
      </c>
      <c r="S232" s="1" t="s">
        <v>137</v>
      </c>
      <c r="T232" s="1" t="s">
        <v>47</v>
      </c>
      <c r="U232" s="1" t="s">
        <v>4301</v>
      </c>
      <c r="V232" s="4"/>
      <c r="W232" s="4"/>
      <c r="X232" s="4"/>
    </row>
    <row r="233">
      <c r="A233" s="1" t="s">
        <v>8011</v>
      </c>
      <c r="B233" s="1" t="s">
        <v>4293</v>
      </c>
      <c r="C233" s="1" t="s">
        <v>8290</v>
      </c>
      <c r="D233" s="1" t="s">
        <v>8292</v>
      </c>
      <c r="E233" s="1" t="s">
        <v>8294</v>
      </c>
      <c r="F233" s="1" t="s">
        <v>8294</v>
      </c>
      <c r="G233" s="1"/>
      <c r="H233" s="3">
        <v>43857.0</v>
      </c>
      <c r="I233" s="3">
        <v>43951.0</v>
      </c>
      <c r="J233" s="3">
        <v>43951.0</v>
      </c>
      <c r="K233" s="1" t="s">
        <v>215</v>
      </c>
      <c r="L233" s="1" t="s">
        <v>160</v>
      </c>
      <c r="M233" s="1" t="s">
        <v>216</v>
      </c>
      <c r="N233" s="1" t="s">
        <v>131</v>
      </c>
      <c r="O233" s="13"/>
      <c r="P233" s="4"/>
      <c r="Q233" s="4"/>
      <c r="R233" s="1" t="s">
        <v>137</v>
      </c>
      <c r="S233" s="1" t="s">
        <v>137</v>
      </c>
      <c r="T233" s="1" t="s">
        <v>47</v>
      </c>
      <c r="U233" s="1" t="s">
        <v>4301</v>
      </c>
      <c r="V233" s="4"/>
      <c r="W233" s="4"/>
      <c r="X233" s="4"/>
    </row>
    <row r="234">
      <c r="A234" s="1" t="s">
        <v>8310</v>
      </c>
      <c r="B234" s="1" t="s">
        <v>4293</v>
      </c>
      <c r="C234" s="1" t="s">
        <v>8313</v>
      </c>
      <c r="D234" s="1" t="s">
        <v>313</v>
      </c>
      <c r="E234" s="1" t="s">
        <v>175</v>
      </c>
      <c r="F234" s="1" t="s">
        <v>763</v>
      </c>
      <c r="G234" s="1" t="s">
        <v>1825</v>
      </c>
      <c r="H234" s="3">
        <v>44553.0</v>
      </c>
      <c r="I234" s="3">
        <v>44552.0</v>
      </c>
      <c r="J234" s="3">
        <v>44552.0</v>
      </c>
      <c r="K234" s="1" t="s">
        <v>215</v>
      </c>
      <c r="L234" s="1" t="s">
        <v>160</v>
      </c>
      <c r="M234" s="1" t="s">
        <v>216</v>
      </c>
      <c r="N234" s="1" t="s">
        <v>131</v>
      </c>
      <c r="O234" s="13"/>
      <c r="P234" s="4"/>
      <c r="Q234" s="4"/>
      <c r="R234" s="1" t="s">
        <v>137</v>
      </c>
      <c r="S234" s="1" t="s">
        <v>137</v>
      </c>
      <c r="T234" s="1" t="s">
        <v>47</v>
      </c>
      <c r="U234" s="1" t="s">
        <v>4301</v>
      </c>
      <c r="V234" s="4"/>
      <c r="W234" s="4"/>
      <c r="X234" s="4"/>
    </row>
    <row r="235">
      <c r="A235" s="1" t="s">
        <v>8033</v>
      </c>
      <c r="B235" s="1" t="s">
        <v>4293</v>
      </c>
      <c r="C235" s="1" t="s">
        <v>8334</v>
      </c>
      <c r="D235" s="1" t="s">
        <v>396</v>
      </c>
      <c r="E235" s="1" t="s">
        <v>292</v>
      </c>
      <c r="F235" s="1" t="s">
        <v>576</v>
      </c>
      <c r="G235" s="1" t="s">
        <v>2859</v>
      </c>
      <c r="H235" s="3">
        <v>44447.0</v>
      </c>
      <c r="I235" s="3">
        <v>44406.0</v>
      </c>
      <c r="J235" s="3">
        <v>44406.0</v>
      </c>
      <c r="K235" s="1" t="s">
        <v>215</v>
      </c>
      <c r="L235" s="1" t="s">
        <v>160</v>
      </c>
      <c r="M235" s="1" t="s">
        <v>216</v>
      </c>
      <c r="N235" s="1" t="s">
        <v>131</v>
      </c>
      <c r="O235" s="13"/>
      <c r="P235" s="4"/>
      <c r="Q235" s="4"/>
      <c r="R235" s="1" t="s">
        <v>137</v>
      </c>
      <c r="S235" s="1" t="s">
        <v>137</v>
      </c>
      <c r="T235" s="1" t="s">
        <v>47</v>
      </c>
      <c r="U235" s="1" t="s">
        <v>4301</v>
      </c>
      <c r="V235" s="4"/>
      <c r="W235" s="4"/>
      <c r="X235" s="4"/>
    </row>
    <row r="236">
      <c r="A236" s="1" t="s">
        <v>7157</v>
      </c>
      <c r="B236" s="1" t="s">
        <v>4293</v>
      </c>
      <c r="C236" s="1" t="s">
        <v>1135</v>
      </c>
      <c r="D236" s="1" t="s">
        <v>180</v>
      </c>
      <c r="E236" s="1" t="s">
        <v>520</v>
      </c>
      <c r="F236" s="1" t="s">
        <v>1671</v>
      </c>
      <c r="G236" s="1" t="s">
        <v>1673</v>
      </c>
      <c r="H236" s="3">
        <v>43952.0</v>
      </c>
      <c r="I236" s="3">
        <v>43952.0</v>
      </c>
      <c r="J236" s="3">
        <v>43952.0</v>
      </c>
      <c r="K236" s="1" t="s">
        <v>215</v>
      </c>
      <c r="L236" s="1" t="s">
        <v>160</v>
      </c>
      <c r="M236" s="1" t="s">
        <v>216</v>
      </c>
      <c r="N236" s="1" t="s">
        <v>131</v>
      </c>
      <c r="O236" s="13"/>
      <c r="P236" s="4"/>
      <c r="Q236" s="4"/>
      <c r="R236" s="1" t="s">
        <v>137</v>
      </c>
      <c r="S236" s="1" t="s">
        <v>137</v>
      </c>
      <c r="T236" s="1" t="s">
        <v>47</v>
      </c>
      <c r="U236" s="1" t="s">
        <v>4301</v>
      </c>
      <c r="V236" s="4"/>
      <c r="W236" s="4"/>
      <c r="X236" s="4"/>
    </row>
    <row r="237">
      <c r="A237" s="1" t="s">
        <v>8357</v>
      </c>
      <c r="B237" s="1" t="s">
        <v>4293</v>
      </c>
      <c r="C237" s="1" t="s">
        <v>8358</v>
      </c>
      <c r="D237" s="1" t="s">
        <v>1823</v>
      </c>
      <c r="E237" s="1" t="s">
        <v>175</v>
      </c>
      <c r="F237" s="1" t="s">
        <v>1116</v>
      </c>
      <c r="G237" s="1" t="s">
        <v>7741</v>
      </c>
      <c r="H237" s="3">
        <v>43698.0</v>
      </c>
      <c r="I237" s="3">
        <v>43720.0</v>
      </c>
      <c r="J237" s="3">
        <v>43720.0</v>
      </c>
      <c r="K237" s="1" t="s">
        <v>215</v>
      </c>
      <c r="L237" s="1" t="s">
        <v>160</v>
      </c>
      <c r="M237" s="1" t="s">
        <v>216</v>
      </c>
      <c r="N237" s="1" t="s">
        <v>131</v>
      </c>
      <c r="O237" s="13"/>
      <c r="P237" s="4"/>
      <c r="Q237" s="4"/>
      <c r="R237" s="1" t="s">
        <v>137</v>
      </c>
      <c r="S237" s="1" t="s">
        <v>137</v>
      </c>
      <c r="T237" s="1" t="s">
        <v>47</v>
      </c>
      <c r="U237" s="1" t="s">
        <v>4301</v>
      </c>
      <c r="V237" s="4"/>
      <c r="W237" s="4"/>
      <c r="X237" s="4"/>
    </row>
    <row r="238">
      <c r="A238" s="1" t="s">
        <v>8369</v>
      </c>
      <c r="B238" s="1" t="s">
        <v>4293</v>
      </c>
      <c r="C238" s="1" t="s">
        <v>8370</v>
      </c>
      <c r="D238" s="1" t="s">
        <v>509</v>
      </c>
      <c r="E238" s="1" t="s">
        <v>454</v>
      </c>
      <c r="F238" s="1" t="s">
        <v>6808</v>
      </c>
      <c r="G238" s="1" t="s">
        <v>6809</v>
      </c>
      <c r="H238" s="3">
        <v>44909.0</v>
      </c>
      <c r="I238" s="3"/>
      <c r="J238" s="3"/>
      <c r="K238" s="1" t="s">
        <v>124</v>
      </c>
      <c r="L238" s="1" t="s">
        <v>160</v>
      </c>
      <c r="M238" s="1" t="s">
        <v>253</v>
      </c>
      <c r="N238" s="1" t="s">
        <v>131</v>
      </c>
      <c r="O238" s="13"/>
      <c r="P238" s="4"/>
      <c r="Q238" s="4"/>
      <c r="R238" s="1" t="s">
        <v>137</v>
      </c>
      <c r="S238" s="1" t="s">
        <v>137</v>
      </c>
      <c r="T238" s="1" t="s">
        <v>47</v>
      </c>
      <c r="U238" s="1" t="s">
        <v>4301</v>
      </c>
      <c r="V238" s="4"/>
      <c r="W238" s="4"/>
      <c r="X238" s="4"/>
    </row>
    <row r="239">
      <c r="A239" s="1" t="s">
        <v>8373</v>
      </c>
      <c r="B239" s="1" t="s">
        <v>4293</v>
      </c>
      <c r="C239" s="1" t="s">
        <v>8382</v>
      </c>
      <c r="D239" s="1" t="s">
        <v>754</v>
      </c>
      <c r="E239" s="1" t="s">
        <v>292</v>
      </c>
      <c r="F239" s="1" t="s">
        <v>468</v>
      </c>
      <c r="G239" s="1" t="s">
        <v>470</v>
      </c>
      <c r="H239" s="3">
        <v>45400.0</v>
      </c>
      <c r="I239" s="3">
        <v>45610.0</v>
      </c>
      <c r="J239" s="3">
        <v>45610.0</v>
      </c>
      <c r="K239" s="1" t="s">
        <v>215</v>
      </c>
      <c r="L239" s="1" t="s">
        <v>160</v>
      </c>
      <c r="M239" s="1" t="s">
        <v>216</v>
      </c>
      <c r="N239" s="1" t="s">
        <v>131</v>
      </c>
      <c r="O239" s="4"/>
      <c r="P239" s="4"/>
      <c r="Q239" s="4"/>
      <c r="R239" s="1" t="s">
        <v>137</v>
      </c>
      <c r="S239" s="1" t="s">
        <v>137</v>
      </c>
      <c r="T239" s="1" t="s">
        <v>47</v>
      </c>
      <c r="U239" s="1" t="s">
        <v>4301</v>
      </c>
      <c r="V239" s="4"/>
      <c r="W239" s="4"/>
      <c r="X239" s="4"/>
    </row>
    <row r="240">
      <c r="A240" s="1" t="s">
        <v>8394</v>
      </c>
      <c r="B240" s="1" t="s">
        <v>4293</v>
      </c>
      <c r="C240" s="1" t="s">
        <v>8396</v>
      </c>
      <c r="D240" s="1" t="s">
        <v>194</v>
      </c>
      <c r="E240" s="1" t="s">
        <v>691</v>
      </c>
      <c r="F240" s="1" t="s">
        <v>1142</v>
      </c>
      <c r="G240" s="1" t="s">
        <v>1143</v>
      </c>
      <c r="H240" s="3">
        <v>45505.0</v>
      </c>
      <c r="I240" s="3">
        <v>45769.0</v>
      </c>
      <c r="J240" s="3">
        <v>45769.0</v>
      </c>
      <c r="K240" s="1" t="s">
        <v>215</v>
      </c>
      <c r="L240" s="1" t="s">
        <v>160</v>
      </c>
      <c r="M240" s="1" t="s">
        <v>216</v>
      </c>
      <c r="N240" s="1" t="s">
        <v>131</v>
      </c>
      <c r="O240" s="13"/>
      <c r="P240" s="4"/>
      <c r="Q240" s="4"/>
      <c r="R240" s="1" t="s">
        <v>137</v>
      </c>
      <c r="S240" s="1" t="s">
        <v>137</v>
      </c>
      <c r="T240" s="1" t="s">
        <v>47</v>
      </c>
      <c r="U240" s="1" t="s">
        <v>4301</v>
      </c>
      <c r="V240" s="4"/>
      <c r="W240" s="4"/>
      <c r="X240" s="4"/>
    </row>
    <row r="241">
      <c r="A241" s="1" t="s">
        <v>8408</v>
      </c>
      <c r="B241" s="1" t="s">
        <v>4293</v>
      </c>
      <c r="C241" s="1" t="s">
        <v>8412</v>
      </c>
      <c r="D241" s="1" t="s">
        <v>243</v>
      </c>
      <c r="E241" s="1" t="s">
        <v>292</v>
      </c>
      <c r="F241" s="1" t="s">
        <v>962</v>
      </c>
      <c r="G241" s="1" t="s">
        <v>5600</v>
      </c>
      <c r="H241" s="3">
        <v>44049.0</v>
      </c>
      <c r="I241" s="3">
        <v>44172.0</v>
      </c>
      <c r="J241" s="3">
        <v>44172.0</v>
      </c>
      <c r="K241" s="1" t="s">
        <v>215</v>
      </c>
      <c r="L241" s="1" t="s">
        <v>160</v>
      </c>
      <c r="M241" s="1" t="s">
        <v>216</v>
      </c>
      <c r="N241" s="1" t="s">
        <v>131</v>
      </c>
      <c r="O241" s="13"/>
      <c r="P241" s="4"/>
      <c r="Q241" s="4"/>
      <c r="R241" s="1" t="s">
        <v>137</v>
      </c>
      <c r="S241" s="1" t="s">
        <v>137</v>
      </c>
      <c r="T241" s="1" t="s">
        <v>47</v>
      </c>
      <c r="U241" s="1" t="s">
        <v>4301</v>
      </c>
      <c r="V241" s="4"/>
      <c r="W241" s="4"/>
      <c r="X241" s="4"/>
    </row>
    <row r="242">
      <c r="A242" s="1" t="s">
        <v>8427</v>
      </c>
      <c r="B242" s="1" t="s">
        <v>4293</v>
      </c>
      <c r="C242" s="1" t="s">
        <v>8429</v>
      </c>
      <c r="D242" s="1" t="s">
        <v>518</v>
      </c>
      <c r="E242" s="1" t="s">
        <v>520</v>
      </c>
      <c r="F242" s="1" t="s">
        <v>522</v>
      </c>
      <c r="G242" s="1" t="s">
        <v>6067</v>
      </c>
      <c r="H242" s="3">
        <v>46027.0</v>
      </c>
      <c r="I242" s="3">
        <v>45616.0</v>
      </c>
      <c r="J242" s="3">
        <v>45616.0</v>
      </c>
      <c r="K242" s="1" t="s">
        <v>215</v>
      </c>
      <c r="L242" s="1" t="s">
        <v>160</v>
      </c>
      <c r="M242" s="1" t="s">
        <v>216</v>
      </c>
      <c r="N242" s="1" t="s">
        <v>131</v>
      </c>
      <c r="O242" s="13"/>
      <c r="P242" s="4"/>
      <c r="Q242" s="4"/>
      <c r="R242" s="1" t="s">
        <v>137</v>
      </c>
      <c r="S242" s="1" t="s">
        <v>137</v>
      </c>
      <c r="T242" s="1" t="s">
        <v>47</v>
      </c>
      <c r="U242" s="1" t="s">
        <v>4301</v>
      </c>
      <c r="V242" s="4"/>
      <c r="W242" s="4"/>
      <c r="X242" s="4"/>
    </row>
    <row r="243">
      <c r="A243" s="1" t="s">
        <v>8449</v>
      </c>
      <c r="B243" s="1" t="s">
        <v>4293</v>
      </c>
      <c r="C243" s="1" t="s">
        <v>8454</v>
      </c>
      <c r="D243" s="1" t="s">
        <v>172</v>
      </c>
      <c r="E243" s="1" t="s">
        <v>209</v>
      </c>
      <c r="F243" s="1" t="s">
        <v>398</v>
      </c>
      <c r="G243" s="1" t="s">
        <v>680</v>
      </c>
      <c r="H243" s="3">
        <v>45379.0</v>
      </c>
      <c r="I243" s="3">
        <v>45681.0</v>
      </c>
      <c r="J243" s="3">
        <v>45681.0</v>
      </c>
      <c r="K243" s="1" t="s">
        <v>215</v>
      </c>
      <c r="L243" s="1" t="s">
        <v>160</v>
      </c>
      <c r="M243" s="1" t="s">
        <v>216</v>
      </c>
      <c r="N243" s="1" t="s">
        <v>131</v>
      </c>
      <c r="O243" s="13"/>
      <c r="P243" s="4"/>
      <c r="Q243" s="4"/>
      <c r="R243" s="1" t="s">
        <v>137</v>
      </c>
      <c r="S243" s="1" t="s">
        <v>137</v>
      </c>
      <c r="T243" s="1" t="s">
        <v>47</v>
      </c>
      <c r="U243" s="1" t="s">
        <v>4301</v>
      </c>
      <c r="V243" s="4"/>
      <c r="W243" s="4"/>
      <c r="X243" s="4"/>
    </row>
    <row r="244">
      <c r="A244" s="1" t="s">
        <v>8472</v>
      </c>
      <c r="B244" s="1" t="s">
        <v>4293</v>
      </c>
      <c r="C244" s="1" t="s">
        <v>8474</v>
      </c>
      <c r="D244" s="1" t="s">
        <v>960</v>
      </c>
      <c r="E244" s="1" t="s">
        <v>292</v>
      </c>
      <c r="F244" s="1" t="s">
        <v>962</v>
      </c>
      <c r="G244" s="1" t="s">
        <v>5600</v>
      </c>
      <c r="H244" s="3">
        <v>45777.0</v>
      </c>
      <c r="I244" s="3">
        <v>45777.0</v>
      </c>
      <c r="J244" s="3">
        <v>45777.0</v>
      </c>
      <c r="K244" s="1" t="s">
        <v>215</v>
      </c>
      <c r="L244" s="1" t="s">
        <v>160</v>
      </c>
      <c r="M244" s="1" t="s">
        <v>216</v>
      </c>
      <c r="N244" s="1" t="s">
        <v>131</v>
      </c>
      <c r="O244" s="13"/>
      <c r="P244" s="1"/>
      <c r="Q244" s="4"/>
      <c r="R244" s="1" t="s">
        <v>137</v>
      </c>
      <c r="S244" s="1" t="s">
        <v>137</v>
      </c>
      <c r="T244" s="1" t="s">
        <v>47</v>
      </c>
      <c r="U244" s="1" t="s">
        <v>4301</v>
      </c>
      <c r="V244" s="4"/>
      <c r="W244" s="4"/>
      <c r="X244" s="4"/>
    </row>
    <row r="245">
      <c r="A245" s="1" t="s">
        <v>1912</v>
      </c>
      <c r="B245" s="1" t="s">
        <v>146</v>
      </c>
      <c r="C245" s="1" t="s">
        <v>8490</v>
      </c>
      <c r="D245" s="1" t="s">
        <v>313</v>
      </c>
      <c r="E245" s="1" t="s">
        <v>292</v>
      </c>
      <c r="F245" s="1" t="s">
        <v>293</v>
      </c>
      <c r="G245" s="1" t="s">
        <v>316</v>
      </c>
      <c r="H245" s="3">
        <v>46129.0</v>
      </c>
      <c r="I245" s="3">
        <v>46349.0</v>
      </c>
      <c r="J245" s="13"/>
      <c r="K245" s="1" t="s">
        <v>124</v>
      </c>
      <c r="L245" s="1" t="s">
        <v>160</v>
      </c>
      <c r="M245" s="1" t="s">
        <v>162</v>
      </c>
      <c r="N245" s="1" t="s">
        <v>131</v>
      </c>
      <c r="O245" s="13"/>
      <c r="P245" s="1" t="s">
        <v>1917</v>
      </c>
      <c r="Q245" s="4"/>
      <c r="R245" s="1" t="s">
        <v>137</v>
      </c>
      <c r="S245" s="1" t="s">
        <v>137</v>
      </c>
      <c r="T245" s="1" t="s">
        <v>47</v>
      </c>
      <c r="U245" s="1" t="s">
        <v>1920</v>
      </c>
      <c r="V245" s="4"/>
      <c r="W245" s="4"/>
      <c r="X245" s="4"/>
    </row>
    <row r="246">
      <c r="A246" s="1" t="s">
        <v>6208</v>
      </c>
      <c r="B246" s="1" t="s">
        <v>4293</v>
      </c>
      <c r="C246" s="1" t="s">
        <v>8512</v>
      </c>
      <c r="D246" s="1" t="s">
        <v>388</v>
      </c>
      <c r="E246" s="1" t="s">
        <v>175</v>
      </c>
      <c r="F246" s="1" t="s">
        <v>3128</v>
      </c>
      <c r="G246" s="1" t="s">
        <v>3129</v>
      </c>
      <c r="H246" s="3">
        <v>45756.0</v>
      </c>
      <c r="I246" s="3"/>
      <c r="J246" s="13"/>
      <c r="K246" s="1" t="s">
        <v>124</v>
      </c>
      <c r="L246" s="1" t="s">
        <v>160</v>
      </c>
      <c r="M246" s="1" t="s">
        <v>253</v>
      </c>
      <c r="N246" s="1" t="s">
        <v>131</v>
      </c>
      <c r="O246" s="13"/>
      <c r="P246" s="1"/>
      <c r="Q246" s="4"/>
      <c r="R246" s="1" t="s">
        <v>137</v>
      </c>
      <c r="S246" s="1" t="s">
        <v>137</v>
      </c>
      <c r="T246" s="1" t="s">
        <v>47</v>
      </c>
      <c r="U246" s="1" t="s">
        <v>4301</v>
      </c>
      <c r="V246" s="4"/>
      <c r="W246" s="4"/>
      <c r="X246" s="4"/>
    </row>
    <row r="247">
      <c r="A247" s="1" t="s">
        <v>1930</v>
      </c>
      <c r="B247" s="1" t="s">
        <v>146</v>
      </c>
      <c r="C247" s="1" t="s">
        <v>1931</v>
      </c>
      <c r="D247" s="1" t="s">
        <v>1932</v>
      </c>
      <c r="E247" s="1" t="s">
        <v>153</v>
      </c>
      <c r="F247" s="1" t="s">
        <v>155</v>
      </c>
      <c r="G247" s="1" t="s">
        <v>157</v>
      </c>
      <c r="H247" s="3">
        <v>46129.0</v>
      </c>
      <c r="I247" s="3">
        <v>46269.0</v>
      </c>
      <c r="J247" s="13"/>
      <c r="K247" s="1" t="s">
        <v>124</v>
      </c>
      <c r="L247" s="1" t="s">
        <v>160</v>
      </c>
      <c r="M247" s="1" t="s">
        <v>162</v>
      </c>
      <c r="N247" s="1" t="s">
        <v>131</v>
      </c>
      <c r="O247" s="13"/>
      <c r="P247" s="1" t="s">
        <v>164</v>
      </c>
      <c r="Q247" s="4"/>
      <c r="R247" s="1" t="s">
        <v>137</v>
      </c>
      <c r="S247" s="1" t="s">
        <v>137</v>
      </c>
      <c r="T247" s="1" t="s">
        <v>47</v>
      </c>
      <c r="U247" s="1"/>
      <c r="V247" s="4"/>
      <c r="W247" s="4"/>
      <c r="X247" s="4"/>
    </row>
    <row r="248">
      <c r="A248" s="1" t="s">
        <v>8546</v>
      </c>
      <c r="B248" s="1" t="s">
        <v>4293</v>
      </c>
      <c r="C248" s="1" t="s">
        <v>8547</v>
      </c>
      <c r="D248" s="1" t="s">
        <v>273</v>
      </c>
      <c r="E248" s="1" t="s">
        <v>330</v>
      </c>
      <c r="F248" s="1" t="s">
        <v>356</v>
      </c>
      <c r="G248" s="1" t="s">
        <v>875</v>
      </c>
      <c r="H248" s="3">
        <v>44935.0</v>
      </c>
      <c r="I248" s="3">
        <v>44940.0</v>
      </c>
      <c r="J248" s="3">
        <v>44940.0</v>
      </c>
      <c r="K248" s="1" t="s">
        <v>215</v>
      </c>
      <c r="L248" s="1" t="s">
        <v>160</v>
      </c>
      <c r="M248" s="1" t="s">
        <v>216</v>
      </c>
      <c r="N248" s="1" t="s">
        <v>131</v>
      </c>
      <c r="O248" s="13"/>
      <c r="P248" s="1"/>
      <c r="Q248" s="4"/>
      <c r="R248" s="1" t="s">
        <v>137</v>
      </c>
      <c r="S248" s="1" t="s">
        <v>137</v>
      </c>
      <c r="T248" s="1" t="s">
        <v>47</v>
      </c>
      <c r="U248" s="1" t="s">
        <v>4301</v>
      </c>
      <c r="V248" s="4"/>
      <c r="W248" s="4"/>
      <c r="X248" s="4"/>
    </row>
    <row r="249">
      <c r="A249" s="1" t="s">
        <v>1937</v>
      </c>
      <c r="B249" s="1" t="s">
        <v>146</v>
      </c>
      <c r="C249" s="1" t="s">
        <v>1938</v>
      </c>
      <c r="D249" s="1" t="s">
        <v>1823</v>
      </c>
      <c r="E249" s="1" t="s">
        <v>438</v>
      </c>
      <c r="F249" s="1" t="s">
        <v>440</v>
      </c>
      <c r="G249" s="1" t="s">
        <v>1940</v>
      </c>
      <c r="H249" s="3">
        <v>46129.0</v>
      </c>
      <c r="I249" s="13"/>
      <c r="J249" s="4"/>
      <c r="K249" s="1" t="s">
        <v>124</v>
      </c>
      <c r="L249" s="1" t="s">
        <v>160</v>
      </c>
      <c r="M249" s="1" t="s">
        <v>162</v>
      </c>
      <c r="N249" s="1" t="s">
        <v>131</v>
      </c>
      <c r="O249" s="13"/>
      <c r="P249" s="1" t="s">
        <v>485</v>
      </c>
      <c r="Q249" s="4"/>
      <c r="R249" s="1" t="s">
        <v>137</v>
      </c>
      <c r="S249" s="1" t="s">
        <v>137</v>
      </c>
      <c r="T249" s="1" t="s">
        <v>47</v>
      </c>
      <c r="U249" s="1"/>
      <c r="V249" s="4"/>
      <c r="W249" s="4"/>
      <c r="X249" s="4"/>
    </row>
    <row r="250">
      <c r="A250" s="1" t="s">
        <v>8578</v>
      </c>
      <c r="B250" s="1" t="s">
        <v>4293</v>
      </c>
      <c r="C250" s="1" t="s">
        <v>8580</v>
      </c>
      <c r="D250" s="1" t="s">
        <v>152</v>
      </c>
      <c r="E250" s="1" t="s">
        <v>292</v>
      </c>
      <c r="F250" s="1" t="s">
        <v>468</v>
      </c>
      <c r="G250" s="1" t="s">
        <v>1758</v>
      </c>
      <c r="H250" s="3">
        <v>44020.0</v>
      </c>
      <c r="I250" s="3">
        <v>44215.0</v>
      </c>
      <c r="J250" s="3">
        <v>44215.0</v>
      </c>
      <c r="K250" s="1" t="s">
        <v>215</v>
      </c>
      <c r="L250" s="1" t="s">
        <v>160</v>
      </c>
      <c r="M250" s="1" t="s">
        <v>216</v>
      </c>
      <c r="N250" s="1" t="s">
        <v>131</v>
      </c>
      <c r="O250" s="13"/>
      <c r="P250" s="4"/>
      <c r="Q250" s="4"/>
      <c r="R250" s="1" t="s">
        <v>137</v>
      </c>
      <c r="S250" s="1" t="s">
        <v>137</v>
      </c>
      <c r="T250" s="1" t="s">
        <v>47</v>
      </c>
      <c r="U250" s="1" t="s">
        <v>4301</v>
      </c>
      <c r="V250" s="4"/>
      <c r="W250" s="4"/>
      <c r="X250" s="4"/>
    </row>
    <row r="251">
      <c r="A251" s="1" t="s">
        <v>8592</v>
      </c>
      <c r="B251" s="1" t="s">
        <v>4293</v>
      </c>
      <c r="C251" s="1" t="s">
        <v>8597</v>
      </c>
      <c r="D251" s="1" t="s">
        <v>388</v>
      </c>
      <c r="E251" s="1" t="s">
        <v>175</v>
      </c>
      <c r="F251" s="1" t="s">
        <v>1767</v>
      </c>
      <c r="G251" s="1" t="s">
        <v>2199</v>
      </c>
      <c r="H251" s="3">
        <v>45455.0</v>
      </c>
      <c r="I251" s="3">
        <v>45652.0</v>
      </c>
      <c r="J251" s="3">
        <v>45652.0</v>
      </c>
      <c r="K251" s="1" t="s">
        <v>215</v>
      </c>
      <c r="L251" s="1" t="s">
        <v>160</v>
      </c>
      <c r="M251" s="1" t="s">
        <v>216</v>
      </c>
      <c r="N251" s="1" t="s">
        <v>131</v>
      </c>
      <c r="O251" s="13"/>
      <c r="P251" s="4"/>
      <c r="Q251" s="4"/>
      <c r="R251" s="1" t="s">
        <v>137</v>
      </c>
      <c r="S251" s="1" t="s">
        <v>137</v>
      </c>
      <c r="T251" s="1" t="s">
        <v>47</v>
      </c>
      <c r="U251" s="1" t="s">
        <v>4301</v>
      </c>
      <c r="V251" s="4"/>
      <c r="W251" s="4"/>
      <c r="X251" s="4"/>
    </row>
    <row r="252">
      <c r="A252" s="1" t="s">
        <v>8614</v>
      </c>
      <c r="B252" s="1" t="s">
        <v>4293</v>
      </c>
      <c r="C252" s="1" t="s">
        <v>8617</v>
      </c>
      <c r="D252" s="1" t="s">
        <v>1272</v>
      </c>
      <c r="E252" s="1" t="s">
        <v>520</v>
      </c>
      <c r="F252" s="1" t="s">
        <v>1671</v>
      </c>
      <c r="G252" s="1" t="s">
        <v>5959</v>
      </c>
      <c r="H252" s="3">
        <v>44638.0</v>
      </c>
      <c r="I252" s="3">
        <v>45086.0</v>
      </c>
      <c r="J252" s="3">
        <v>45086.0</v>
      </c>
      <c r="K252" s="1" t="s">
        <v>215</v>
      </c>
      <c r="L252" s="1" t="s">
        <v>160</v>
      </c>
      <c r="M252" s="1" t="s">
        <v>216</v>
      </c>
      <c r="N252" s="1" t="s">
        <v>131</v>
      </c>
      <c r="O252" s="13"/>
      <c r="P252" s="4"/>
      <c r="Q252" s="4"/>
      <c r="R252" s="1" t="s">
        <v>137</v>
      </c>
      <c r="S252" s="1" t="s">
        <v>137</v>
      </c>
      <c r="T252" s="1" t="s">
        <v>47</v>
      </c>
      <c r="U252" s="1" t="s">
        <v>4301</v>
      </c>
      <c r="V252" s="4"/>
      <c r="W252" s="4"/>
      <c r="X252" s="4"/>
    </row>
    <row r="253">
      <c r="A253" s="1" t="s">
        <v>8630</v>
      </c>
      <c r="B253" s="1" t="s">
        <v>4293</v>
      </c>
      <c r="C253" s="1" t="s">
        <v>8636</v>
      </c>
      <c r="D253" s="1" t="s">
        <v>273</v>
      </c>
      <c r="E253" s="1" t="s">
        <v>330</v>
      </c>
      <c r="F253" s="1" t="s">
        <v>356</v>
      </c>
      <c r="G253" s="1" t="s">
        <v>359</v>
      </c>
      <c r="H253" s="3">
        <v>45635.0</v>
      </c>
      <c r="I253" s="3">
        <v>45755.0</v>
      </c>
      <c r="J253" s="3">
        <v>45755.0</v>
      </c>
      <c r="K253" s="1" t="s">
        <v>215</v>
      </c>
      <c r="L253" s="1" t="s">
        <v>160</v>
      </c>
      <c r="M253" s="1" t="s">
        <v>216</v>
      </c>
      <c r="N253" s="1" t="s">
        <v>131</v>
      </c>
      <c r="O253" s="13"/>
      <c r="P253" s="4"/>
      <c r="Q253" s="4"/>
      <c r="R253" s="1" t="s">
        <v>137</v>
      </c>
      <c r="S253" s="1" t="s">
        <v>137</v>
      </c>
      <c r="T253" s="1" t="s">
        <v>47</v>
      </c>
      <c r="U253" s="1" t="s">
        <v>4301</v>
      </c>
      <c r="V253" s="4"/>
      <c r="W253" s="4"/>
      <c r="X253" s="4"/>
    </row>
    <row r="254">
      <c r="A254" s="1" t="s">
        <v>8401</v>
      </c>
      <c r="B254" s="1" t="s">
        <v>4293</v>
      </c>
      <c r="C254" s="1" t="s">
        <v>8650</v>
      </c>
      <c r="D254" s="1" t="s">
        <v>1477</v>
      </c>
      <c r="E254" s="1" t="s">
        <v>292</v>
      </c>
      <c r="F254" s="1" t="s">
        <v>962</v>
      </c>
      <c r="G254" s="1" t="s">
        <v>2607</v>
      </c>
      <c r="H254" s="3">
        <v>44153.0</v>
      </c>
      <c r="I254" s="3">
        <v>44257.0</v>
      </c>
      <c r="J254" s="3">
        <v>44257.0</v>
      </c>
      <c r="K254" s="1" t="s">
        <v>215</v>
      </c>
      <c r="L254" s="1" t="s">
        <v>160</v>
      </c>
      <c r="M254" s="1" t="s">
        <v>216</v>
      </c>
      <c r="N254" s="1" t="s">
        <v>131</v>
      </c>
      <c r="O254" s="13"/>
      <c r="P254" s="1"/>
      <c r="Q254" s="4"/>
      <c r="R254" s="1" t="s">
        <v>137</v>
      </c>
      <c r="S254" s="1" t="s">
        <v>137</v>
      </c>
      <c r="T254" s="1" t="s">
        <v>47</v>
      </c>
      <c r="U254" s="1" t="s">
        <v>4301</v>
      </c>
      <c r="V254" s="4"/>
      <c r="W254" s="4"/>
      <c r="X254" s="4"/>
    </row>
    <row r="255">
      <c r="A255" s="1" t="s">
        <v>1980</v>
      </c>
      <c r="B255" s="1" t="s">
        <v>146</v>
      </c>
      <c r="C255" s="1" t="s">
        <v>1982</v>
      </c>
      <c r="D255" s="1" t="s">
        <v>172</v>
      </c>
      <c r="E255" s="1" t="s">
        <v>889</v>
      </c>
      <c r="F255" s="1" t="s">
        <v>1983</v>
      </c>
      <c r="G255" s="1" t="s">
        <v>1984</v>
      </c>
      <c r="H255" s="3">
        <v>46300.0</v>
      </c>
      <c r="I255" s="3">
        <v>46440.0</v>
      </c>
      <c r="J255" s="13"/>
      <c r="K255" s="1" t="s">
        <v>124</v>
      </c>
      <c r="L255" s="1" t="s">
        <v>160</v>
      </c>
      <c r="M255" s="1" t="s">
        <v>162</v>
      </c>
      <c r="N255" s="1" t="s">
        <v>131</v>
      </c>
      <c r="O255" s="13"/>
      <c r="P255" s="1" t="s">
        <v>8675</v>
      </c>
      <c r="Q255" s="4"/>
      <c r="R255" s="1" t="s">
        <v>137</v>
      </c>
      <c r="S255" s="1" t="s">
        <v>137</v>
      </c>
      <c r="T255" s="1" t="s">
        <v>47</v>
      </c>
      <c r="U255" s="1" t="s">
        <v>4070</v>
      </c>
      <c r="V255" s="4"/>
      <c r="W255" s="4"/>
      <c r="X255" s="4"/>
    </row>
    <row r="256">
      <c r="A256" s="1" t="s">
        <v>6731</v>
      </c>
      <c r="B256" s="1" t="s">
        <v>4293</v>
      </c>
      <c r="C256" s="1" t="s">
        <v>8692</v>
      </c>
      <c r="D256" s="1" t="s">
        <v>678</v>
      </c>
      <c r="E256" s="1" t="s">
        <v>454</v>
      </c>
      <c r="F256" s="1" t="s">
        <v>3395</v>
      </c>
      <c r="G256" s="1" t="s">
        <v>8695</v>
      </c>
      <c r="H256" s="3">
        <v>44547.0</v>
      </c>
      <c r="I256" s="3">
        <v>44749.0</v>
      </c>
      <c r="J256" s="3">
        <v>44749.0</v>
      </c>
      <c r="K256" s="1" t="s">
        <v>215</v>
      </c>
      <c r="L256" s="1" t="s">
        <v>160</v>
      </c>
      <c r="M256" s="1" t="s">
        <v>216</v>
      </c>
      <c r="N256" s="1" t="s">
        <v>131</v>
      </c>
      <c r="O256" s="13"/>
      <c r="P256" s="1"/>
      <c r="Q256" s="4"/>
      <c r="R256" s="1" t="s">
        <v>137</v>
      </c>
      <c r="S256" s="1" t="s">
        <v>137</v>
      </c>
      <c r="T256" s="1" t="s">
        <v>47</v>
      </c>
      <c r="U256" s="1" t="s">
        <v>4301</v>
      </c>
      <c r="V256" s="4"/>
      <c r="W256" s="4"/>
      <c r="X256" s="4"/>
    </row>
    <row r="257">
      <c r="A257" s="1" t="s">
        <v>1997</v>
      </c>
      <c r="B257" s="1" t="s">
        <v>116</v>
      </c>
      <c r="C257" s="1" t="s">
        <v>1999</v>
      </c>
      <c r="D257" s="1" t="s">
        <v>960</v>
      </c>
      <c r="E257" s="1" t="s">
        <v>175</v>
      </c>
      <c r="F257" s="1" t="s">
        <v>177</v>
      </c>
      <c r="G257" s="1" t="s">
        <v>1778</v>
      </c>
      <c r="H257" s="3">
        <v>46247.0</v>
      </c>
      <c r="I257" s="3"/>
      <c r="J257" s="3"/>
      <c r="K257" s="1" t="s">
        <v>124</v>
      </c>
      <c r="L257" s="1" t="s">
        <v>71</v>
      </c>
      <c r="M257" s="1" t="s">
        <v>162</v>
      </c>
      <c r="N257" s="1" t="s">
        <v>131</v>
      </c>
      <c r="O257" s="13"/>
      <c r="P257" s="1" t="s">
        <v>5108</v>
      </c>
      <c r="Q257" s="4"/>
      <c r="R257" s="1" t="s">
        <v>137</v>
      </c>
      <c r="S257" s="1" t="s">
        <v>137</v>
      </c>
      <c r="T257" s="1" t="s">
        <v>47</v>
      </c>
      <c r="U257" s="1" t="s">
        <v>4572</v>
      </c>
      <c r="V257" s="4"/>
      <c r="W257" s="4"/>
      <c r="X257" s="4"/>
    </row>
    <row r="258">
      <c r="A258" s="1" t="s">
        <v>8726</v>
      </c>
      <c r="B258" s="1" t="s">
        <v>4293</v>
      </c>
      <c r="C258" s="1" t="s">
        <v>2018</v>
      </c>
      <c r="D258" s="1" t="s">
        <v>118</v>
      </c>
      <c r="E258" s="1" t="s">
        <v>330</v>
      </c>
      <c r="F258" s="1" t="s">
        <v>331</v>
      </c>
      <c r="G258" s="1" t="s">
        <v>333</v>
      </c>
      <c r="H258" s="3">
        <v>44448.0</v>
      </c>
      <c r="I258" s="3">
        <v>44755.0</v>
      </c>
      <c r="J258" s="3">
        <v>44755.0</v>
      </c>
      <c r="K258" s="1" t="s">
        <v>215</v>
      </c>
      <c r="L258" s="1" t="s">
        <v>160</v>
      </c>
      <c r="M258" s="1" t="s">
        <v>216</v>
      </c>
      <c r="N258" s="1" t="s">
        <v>131</v>
      </c>
      <c r="O258" s="3"/>
      <c r="P258" s="4"/>
      <c r="Q258" s="4"/>
      <c r="R258" s="1" t="s">
        <v>137</v>
      </c>
      <c r="S258" s="1" t="s">
        <v>137</v>
      </c>
      <c r="T258" s="1" t="s">
        <v>47</v>
      </c>
      <c r="U258" s="1" t="s">
        <v>4301</v>
      </c>
      <c r="V258" s="4"/>
      <c r="W258" s="4"/>
      <c r="X258" s="4"/>
    </row>
    <row r="259">
      <c r="A259" s="1" t="s">
        <v>2015</v>
      </c>
      <c r="B259" s="1" t="s">
        <v>2017</v>
      </c>
      <c r="C259" s="1" t="s">
        <v>2018</v>
      </c>
      <c r="D259" s="1" t="s">
        <v>118</v>
      </c>
      <c r="E259" s="1" t="s">
        <v>330</v>
      </c>
      <c r="F259" s="1" t="s">
        <v>331</v>
      </c>
      <c r="G259" s="1" t="s">
        <v>333</v>
      </c>
      <c r="H259" s="3">
        <v>45348.0</v>
      </c>
      <c r="I259" s="3">
        <v>45460.0</v>
      </c>
      <c r="J259" s="3">
        <v>45460.0</v>
      </c>
      <c r="K259" s="1" t="s">
        <v>215</v>
      </c>
      <c r="L259" s="1" t="s">
        <v>98</v>
      </c>
      <c r="M259" s="1" t="s">
        <v>216</v>
      </c>
      <c r="N259" s="1" t="s">
        <v>131</v>
      </c>
      <c r="O259" s="3">
        <v>45492.0</v>
      </c>
      <c r="P259" s="4"/>
      <c r="Q259" s="4"/>
      <c r="R259" s="1" t="s">
        <v>2024</v>
      </c>
      <c r="S259" s="1" t="s">
        <v>2024</v>
      </c>
      <c r="T259" s="1" t="s">
        <v>540</v>
      </c>
      <c r="U259" s="1" t="s">
        <v>2027</v>
      </c>
      <c r="V259" s="4"/>
      <c r="W259" s="4"/>
      <c r="X259" s="4"/>
    </row>
    <row r="260">
      <c r="A260" s="1" t="s">
        <v>8753</v>
      </c>
      <c r="B260" s="1" t="s">
        <v>4293</v>
      </c>
      <c r="C260" s="1" t="s">
        <v>8756</v>
      </c>
      <c r="D260" s="1" t="s">
        <v>1272</v>
      </c>
      <c r="E260" s="1" t="s">
        <v>520</v>
      </c>
      <c r="F260" s="1" t="s">
        <v>522</v>
      </c>
      <c r="G260" s="1" t="s">
        <v>710</v>
      </c>
      <c r="H260" s="3">
        <v>44687.0</v>
      </c>
      <c r="I260" s="3">
        <v>44959.0</v>
      </c>
      <c r="J260" s="3">
        <v>44959.0</v>
      </c>
      <c r="K260" s="1" t="s">
        <v>215</v>
      </c>
      <c r="L260" s="1" t="s">
        <v>160</v>
      </c>
      <c r="M260" s="1" t="s">
        <v>216</v>
      </c>
      <c r="N260" s="1" t="s">
        <v>131</v>
      </c>
      <c r="O260" s="13"/>
      <c r="P260" s="4"/>
      <c r="Q260" s="4"/>
      <c r="R260" s="1" t="s">
        <v>137</v>
      </c>
      <c r="S260" s="1" t="s">
        <v>137</v>
      </c>
      <c r="T260" s="1" t="s">
        <v>47</v>
      </c>
      <c r="U260" s="1" t="s">
        <v>4301</v>
      </c>
      <c r="V260" s="4"/>
      <c r="W260" s="4"/>
      <c r="X260" s="4"/>
    </row>
    <row r="261">
      <c r="A261" s="1" t="s">
        <v>8771</v>
      </c>
      <c r="B261" s="1" t="s">
        <v>4293</v>
      </c>
      <c r="C261" s="1" t="s">
        <v>8772</v>
      </c>
      <c r="D261" s="1" t="s">
        <v>313</v>
      </c>
      <c r="E261" s="1" t="s">
        <v>175</v>
      </c>
      <c r="F261" s="1" t="s">
        <v>569</v>
      </c>
      <c r="G261" s="1" t="s">
        <v>798</v>
      </c>
      <c r="H261" s="3">
        <v>45300.0</v>
      </c>
      <c r="I261" s="3">
        <v>45490.0</v>
      </c>
      <c r="J261" s="3">
        <v>45490.0</v>
      </c>
      <c r="K261" s="1" t="s">
        <v>215</v>
      </c>
      <c r="L261" s="1" t="s">
        <v>160</v>
      </c>
      <c r="M261" s="1" t="s">
        <v>216</v>
      </c>
      <c r="N261" s="1" t="s">
        <v>131</v>
      </c>
      <c r="O261" s="13"/>
      <c r="P261" s="4"/>
      <c r="Q261" s="4"/>
      <c r="R261" s="1" t="s">
        <v>137</v>
      </c>
      <c r="S261" s="1" t="s">
        <v>137</v>
      </c>
      <c r="T261" s="1" t="s">
        <v>47</v>
      </c>
      <c r="U261" s="1" t="s">
        <v>4301</v>
      </c>
      <c r="V261" s="4"/>
      <c r="W261" s="4"/>
      <c r="X261" s="4"/>
    </row>
    <row r="262">
      <c r="A262" s="1" t="s">
        <v>8121</v>
      </c>
      <c r="B262" s="1" t="s">
        <v>4293</v>
      </c>
      <c r="C262" s="1" t="s">
        <v>8785</v>
      </c>
      <c r="D262" s="1" t="s">
        <v>243</v>
      </c>
      <c r="E262" s="1" t="s">
        <v>175</v>
      </c>
      <c r="F262" s="1" t="s">
        <v>3592</v>
      </c>
      <c r="G262" s="1" t="s">
        <v>3593</v>
      </c>
      <c r="H262" s="3">
        <v>44280.0</v>
      </c>
      <c r="I262" s="3">
        <v>44524.0</v>
      </c>
      <c r="J262" s="3">
        <v>44524.0</v>
      </c>
      <c r="K262" s="1" t="s">
        <v>215</v>
      </c>
      <c r="L262" s="1" t="s">
        <v>160</v>
      </c>
      <c r="M262" s="1" t="s">
        <v>216</v>
      </c>
      <c r="N262" s="1" t="s">
        <v>131</v>
      </c>
      <c r="O262" s="13"/>
      <c r="P262" s="4"/>
      <c r="Q262" s="4"/>
      <c r="R262" s="1" t="s">
        <v>137</v>
      </c>
      <c r="S262" s="1" t="s">
        <v>137</v>
      </c>
      <c r="T262" s="1" t="s">
        <v>47</v>
      </c>
      <c r="U262" s="1" t="s">
        <v>4301</v>
      </c>
      <c r="V262" s="4"/>
      <c r="W262" s="4"/>
      <c r="X262" s="4"/>
    </row>
    <row r="263">
      <c r="A263" s="1" t="s">
        <v>8801</v>
      </c>
      <c r="B263" s="1" t="s">
        <v>4293</v>
      </c>
      <c r="C263" s="1" t="s">
        <v>8803</v>
      </c>
      <c r="D263" s="1" t="s">
        <v>657</v>
      </c>
      <c r="E263" s="1" t="s">
        <v>292</v>
      </c>
      <c r="F263" s="1" t="s">
        <v>293</v>
      </c>
      <c r="G263" s="1" t="s">
        <v>3053</v>
      </c>
      <c r="H263" s="3">
        <v>44951.0</v>
      </c>
      <c r="I263" s="3">
        <v>45349.0</v>
      </c>
      <c r="J263" s="3">
        <v>45349.0</v>
      </c>
      <c r="K263" s="1" t="s">
        <v>215</v>
      </c>
      <c r="L263" s="1" t="s">
        <v>160</v>
      </c>
      <c r="M263" s="1" t="s">
        <v>216</v>
      </c>
      <c r="N263" s="1" t="s">
        <v>131</v>
      </c>
      <c r="O263" s="13"/>
      <c r="P263" s="4"/>
      <c r="Q263" s="4"/>
      <c r="R263" s="1" t="s">
        <v>137</v>
      </c>
      <c r="S263" s="1" t="s">
        <v>137</v>
      </c>
      <c r="T263" s="1" t="s">
        <v>47</v>
      </c>
      <c r="U263" s="1" t="s">
        <v>4301</v>
      </c>
      <c r="V263" s="4"/>
      <c r="W263" s="4"/>
      <c r="X263" s="4"/>
    </row>
    <row r="264">
      <c r="A264" s="1" t="s">
        <v>8812</v>
      </c>
      <c r="B264" s="1" t="s">
        <v>4293</v>
      </c>
      <c r="C264" s="1" t="s">
        <v>8816</v>
      </c>
      <c r="D264" s="1" t="s">
        <v>313</v>
      </c>
      <c r="E264" s="1" t="s">
        <v>153</v>
      </c>
      <c r="F264" s="1" t="s">
        <v>274</v>
      </c>
      <c r="G264" s="1"/>
      <c r="H264" s="3">
        <v>45211.0</v>
      </c>
      <c r="I264" s="3">
        <v>45520.0</v>
      </c>
      <c r="J264" s="3">
        <v>45520.0</v>
      </c>
      <c r="K264" s="1" t="s">
        <v>215</v>
      </c>
      <c r="L264" s="1" t="s">
        <v>160</v>
      </c>
      <c r="M264" s="1" t="s">
        <v>216</v>
      </c>
      <c r="N264" s="1" t="s">
        <v>131</v>
      </c>
      <c r="O264" s="13"/>
      <c r="P264" s="4"/>
      <c r="Q264" s="4"/>
      <c r="R264" s="1" t="s">
        <v>137</v>
      </c>
      <c r="S264" s="1" t="s">
        <v>137</v>
      </c>
      <c r="T264" s="1" t="s">
        <v>47</v>
      </c>
      <c r="U264" s="1" t="s">
        <v>4301</v>
      </c>
      <c r="V264" s="4"/>
      <c r="W264" s="4"/>
      <c r="X264" s="4"/>
    </row>
    <row r="265">
      <c r="A265" s="1" t="s">
        <v>2035</v>
      </c>
      <c r="B265" s="1" t="s">
        <v>146</v>
      </c>
      <c r="C265" s="1" t="s">
        <v>2037</v>
      </c>
      <c r="D265" s="1" t="s">
        <v>313</v>
      </c>
      <c r="E265" s="1" t="s">
        <v>209</v>
      </c>
      <c r="F265" s="1" t="s">
        <v>398</v>
      </c>
      <c r="G265" s="1" t="s">
        <v>2039</v>
      </c>
      <c r="H265" s="3">
        <v>46174.0</v>
      </c>
      <c r="I265" s="3">
        <v>46342.0</v>
      </c>
      <c r="J265" s="3"/>
      <c r="K265" s="1" t="s">
        <v>124</v>
      </c>
      <c r="L265" s="1" t="s">
        <v>160</v>
      </c>
      <c r="M265" s="1" t="s">
        <v>460</v>
      </c>
      <c r="N265" s="1" t="s">
        <v>131</v>
      </c>
      <c r="O265" s="4"/>
      <c r="P265" s="4"/>
      <c r="Q265" s="4"/>
      <c r="R265" s="1" t="s">
        <v>137</v>
      </c>
      <c r="S265" s="1" t="s">
        <v>2042</v>
      </c>
      <c r="T265" s="1" t="s">
        <v>2043</v>
      </c>
      <c r="U265" s="1" t="s">
        <v>4078</v>
      </c>
      <c r="V265" s="4"/>
      <c r="W265" s="4"/>
      <c r="X265" s="4"/>
    </row>
    <row r="266">
      <c r="A266" s="1" t="s">
        <v>8839</v>
      </c>
      <c r="B266" s="1" t="s">
        <v>4293</v>
      </c>
      <c r="C266" s="1" t="s">
        <v>2046</v>
      </c>
      <c r="D266" s="1" t="s">
        <v>313</v>
      </c>
      <c r="E266" s="1" t="s">
        <v>292</v>
      </c>
      <c r="F266" s="1" t="s">
        <v>962</v>
      </c>
      <c r="G266" s="1" t="s">
        <v>2048</v>
      </c>
      <c r="H266" s="3">
        <v>43671.0</v>
      </c>
      <c r="I266" s="3">
        <v>43679.0</v>
      </c>
      <c r="J266" s="3">
        <v>43679.0</v>
      </c>
      <c r="K266" s="1" t="s">
        <v>215</v>
      </c>
      <c r="L266" s="1" t="s">
        <v>160</v>
      </c>
      <c r="M266" s="1" t="s">
        <v>216</v>
      </c>
      <c r="N266" s="1" t="s">
        <v>131</v>
      </c>
      <c r="O266" s="13"/>
      <c r="P266" s="4"/>
      <c r="Q266" s="4"/>
      <c r="R266" s="1" t="s">
        <v>137</v>
      </c>
      <c r="S266" s="1" t="s">
        <v>137</v>
      </c>
      <c r="T266" s="1" t="s">
        <v>47</v>
      </c>
      <c r="U266" s="1" t="s">
        <v>4301</v>
      </c>
      <c r="V266" s="4"/>
      <c r="W266" s="4"/>
      <c r="X266" s="4"/>
    </row>
    <row r="267">
      <c r="A267" s="1" t="s">
        <v>6353</v>
      </c>
      <c r="B267" s="1" t="s">
        <v>4293</v>
      </c>
      <c r="C267" s="1" t="s">
        <v>8861</v>
      </c>
      <c r="D267" s="1" t="s">
        <v>1258</v>
      </c>
      <c r="E267" s="1" t="s">
        <v>292</v>
      </c>
      <c r="F267" s="1" t="s">
        <v>962</v>
      </c>
      <c r="G267" s="1" t="s">
        <v>1969</v>
      </c>
      <c r="H267" s="3">
        <v>45649.0</v>
      </c>
      <c r="I267" s="3">
        <v>46140.0</v>
      </c>
      <c r="J267" s="3">
        <v>46140.0</v>
      </c>
      <c r="K267" s="1" t="s">
        <v>215</v>
      </c>
      <c r="L267" s="1" t="s">
        <v>160</v>
      </c>
      <c r="M267" s="1" t="s">
        <v>216</v>
      </c>
      <c r="N267" s="1" t="s">
        <v>131</v>
      </c>
      <c r="O267" s="13"/>
      <c r="P267" s="4"/>
      <c r="Q267" s="4"/>
      <c r="R267" s="1" t="s">
        <v>137</v>
      </c>
      <c r="S267" s="1" t="s">
        <v>137</v>
      </c>
      <c r="T267" s="1" t="s">
        <v>47</v>
      </c>
      <c r="U267" s="1" t="s">
        <v>4301</v>
      </c>
      <c r="V267" s="4"/>
      <c r="W267" s="4"/>
      <c r="X267" s="4"/>
    </row>
    <row r="268">
      <c r="A268" s="1" t="s">
        <v>7773</v>
      </c>
      <c r="B268" s="1" t="s">
        <v>4293</v>
      </c>
      <c r="C268" s="1" t="s">
        <v>8869</v>
      </c>
      <c r="D268" s="1" t="s">
        <v>388</v>
      </c>
      <c r="E268" s="1" t="s">
        <v>889</v>
      </c>
      <c r="F268" s="1" t="s">
        <v>1193</v>
      </c>
      <c r="G268" s="1" t="s">
        <v>1195</v>
      </c>
      <c r="H268" s="3">
        <v>43644.0</v>
      </c>
      <c r="I268" s="3">
        <v>43706.0</v>
      </c>
      <c r="J268" s="3">
        <v>43706.0</v>
      </c>
      <c r="K268" s="1" t="s">
        <v>215</v>
      </c>
      <c r="L268" s="1" t="s">
        <v>160</v>
      </c>
      <c r="M268" s="1" t="s">
        <v>216</v>
      </c>
      <c r="N268" s="1" t="s">
        <v>131</v>
      </c>
      <c r="O268" s="13"/>
      <c r="P268" s="4"/>
      <c r="Q268" s="4"/>
      <c r="R268" s="1" t="s">
        <v>137</v>
      </c>
      <c r="S268" s="1" t="s">
        <v>137</v>
      </c>
      <c r="T268" s="1" t="s">
        <v>47</v>
      </c>
      <c r="U268" s="1" t="s">
        <v>4301</v>
      </c>
      <c r="V268" s="4"/>
      <c r="W268" s="4"/>
      <c r="X268" s="4"/>
    </row>
    <row r="269">
      <c r="A269" s="1" t="s">
        <v>8882</v>
      </c>
      <c r="B269" s="1" t="s">
        <v>4293</v>
      </c>
      <c r="C269" s="1" t="s">
        <v>8883</v>
      </c>
      <c r="D269" s="1" t="s">
        <v>1477</v>
      </c>
      <c r="E269" s="1" t="s">
        <v>175</v>
      </c>
      <c r="F269" s="1" t="s">
        <v>3592</v>
      </c>
      <c r="G269" s="1" t="s">
        <v>3593</v>
      </c>
      <c r="H269" s="3">
        <v>45700.0</v>
      </c>
      <c r="I269" s="3">
        <v>45840.0</v>
      </c>
      <c r="J269" s="3">
        <v>45840.0</v>
      </c>
      <c r="K269" s="1" t="s">
        <v>215</v>
      </c>
      <c r="L269" s="1" t="s">
        <v>160</v>
      </c>
      <c r="M269" s="1" t="s">
        <v>216</v>
      </c>
      <c r="N269" s="1" t="s">
        <v>131</v>
      </c>
      <c r="O269" s="4"/>
      <c r="P269" s="4"/>
      <c r="Q269" s="4"/>
      <c r="R269" s="1" t="s">
        <v>137</v>
      </c>
      <c r="S269" s="1" t="s">
        <v>137</v>
      </c>
      <c r="T269" s="1" t="s">
        <v>47</v>
      </c>
      <c r="U269" s="1" t="s">
        <v>4301</v>
      </c>
      <c r="V269" s="4"/>
      <c r="W269" s="4"/>
      <c r="X269" s="4"/>
    </row>
    <row r="270">
      <c r="A270" s="1" t="s">
        <v>7347</v>
      </c>
      <c r="B270" s="1" t="s">
        <v>4293</v>
      </c>
      <c r="C270" s="1" t="s">
        <v>8890</v>
      </c>
      <c r="D270" s="1" t="s">
        <v>60</v>
      </c>
      <c r="E270" s="1" t="s">
        <v>520</v>
      </c>
      <c r="F270" s="1" t="s">
        <v>1179</v>
      </c>
      <c r="G270" s="1" t="s">
        <v>8894</v>
      </c>
      <c r="H270" s="3">
        <v>44361.0</v>
      </c>
      <c r="I270" s="3">
        <v>44363.0</v>
      </c>
      <c r="J270" s="3">
        <v>44363.0</v>
      </c>
      <c r="K270" s="1" t="s">
        <v>215</v>
      </c>
      <c r="L270" s="1" t="s">
        <v>160</v>
      </c>
      <c r="M270" s="1" t="s">
        <v>216</v>
      </c>
      <c r="N270" s="1" t="s">
        <v>131</v>
      </c>
      <c r="O270" s="13"/>
      <c r="P270" s="1"/>
      <c r="Q270" s="4"/>
      <c r="R270" s="1" t="s">
        <v>137</v>
      </c>
      <c r="S270" s="1" t="s">
        <v>137</v>
      </c>
      <c r="T270" s="1" t="s">
        <v>47</v>
      </c>
      <c r="U270" s="1" t="s">
        <v>4301</v>
      </c>
      <c r="V270" s="4"/>
      <c r="W270" s="4"/>
      <c r="X270" s="4"/>
    </row>
    <row r="271">
      <c r="A271" s="1" t="s">
        <v>2066</v>
      </c>
      <c r="B271" s="1" t="s">
        <v>116</v>
      </c>
      <c r="C271" s="1" t="s">
        <v>2059</v>
      </c>
      <c r="D271" s="1" t="s">
        <v>194</v>
      </c>
      <c r="E271" s="1" t="s">
        <v>438</v>
      </c>
      <c r="F271" s="1" t="s">
        <v>440</v>
      </c>
      <c r="G271" s="1" t="s">
        <v>441</v>
      </c>
      <c r="H271" s="3">
        <v>46175.0</v>
      </c>
      <c r="I271" s="3">
        <v>46356.0</v>
      </c>
      <c r="J271" s="3"/>
      <c r="K271" s="1" t="s">
        <v>124</v>
      </c>
      <c r="L271" s="1" t="s">
        <v>160</v>
      </c>
      <c r="M271" s="1" t="s">
        <v>460</v>
      </c>
      <c r="N271" s="1" t="s">
        <v>131</v>
      </c>
      <c r="O271" s="13"/>
      <c r="P271" s="1" t="s">
        <v>1591</v>
      </c>
      <c r="Q271" s="4"/>
      <c r="R271" s="1" t="s">
        <v>137</v>
      </c>
      <c r="S271" s="1" t="s">
        <v>137</v>
      </c>
      <c r="T271" s="1" t="s">
        <v>47</v>
      </c>
      <c r="U271" s="1" t="s">
        <v>4245</v>
      </c>
      <c r="V271" s="4"/>
      <c r="W271" s="4"/>
      <c r="X271" s="4"/>
    </row>
    <row r="272">
      <c r="A272" s="1" t="s">
        <v>5778</v>
      </c>
      <c r="B272" s="1" t="s">
        <v>4293</v>
      </c>
      <c r="C272" s="1" t="s">
        <v>8914</v>
      </c>
      <c r="D272" s="1" t="s">
        <v>593</v>
      </c>
      <c r="E272" s="1" t="s">
        <v>292</v>
      </c>
      <c r="F272" s="1" t="s">
        <v>962</v>
      </c>
      <c r="G272" s="1" t="s">
        <v>2048</v>
      </c>
      <c r="H272" s="3">
        <v>44729.0</v>
      </c>
      <c r="I272" s="3">
        <v>44886.0</v>
      </c>
      <c r="J272" s="3">
        <v>44886.0</v>
      </c>
      <c r="K272" s="1" t="s">
        <v>215</v>
      </c>
      <c r="L272" s="1" t="s">
        <v>160</v>
      </c>
      <c r="M272" s="1" t="s">
        <v>216</v>
      </c>
      <c r="N272" s="1" t="s">
        <v>131</v>
      </c>
      <c r="O272" s="13"/>
      <c r="P272" s="4"/>
      <c r="Q272" s="4"/>
      <c r="R272" s="1" t="s">
        <v>137</v>
      </c>
      <c r="S272" s="1" t="s">
        <v>137</v>
      </c>
      <c r="T272" s="1" t="s">
        <v>47</v>
      </c>
      <c r="U272" s="1" t="s">
        <v>4301</v>
      </c>
      <c r="V272" s="4"/>
      <c r="W272" s="4"/>
      <c r="X272" s="4"/>
    </row>
    <row r="273">
      <c r="A273" s="1" t="s">
        <v>6693</v>
      </c>
      <c r="B273" s="1" t="s">
        <v>4293</v>
      </c>
      <c r="C273" s="1" t="s">
        <v>8921</v>
      </c>
      <c r="D273" s="1" t="s">
        <v>194</v>
      </c>
      <c r="E273" s="1" t="s">
        <v>454</v>
      </c>
      <c r="F273" s="1" t="s">
        <v>6808</v>
      </c>
      <c r="G273" s="1" t="s">
        <v>6809</v>
      </c>
      <c r="H273" s="3">
        <v>42993.0</v>
      </c>
      <c r="I273" s="3">
        <v>43040.0</v>
      </c>
      <c r="J273" s="3">
        <v>43040.0</v>
      </c>
      <c r="K273" s="1" t="s">
        <v>215</v>
      </c>
      <c r="L273" s="1" t="s">
        <v>160</v>
      </c>
      <c r="M273" s="1" t="s">
        <v>216</v>
      </c>
      <c r="N273" s="1" t="s">
        <v>131</v>
      </c>
      <c r="O273" s="13"/>
      <c r="P273" s="4"/>
      <c r="Q273" s="4"/>
      <c r="R273" s="1" t="s">
        <v>137</v>
      </c>
      <c r="S273" s="1" t="s">
        <v>137</v>
      </c>
      <c r="T273" s="1" t="s">
        <v>47</v>
      </c>
      <c r="U273" s="1" t="s">
        <v>4301</v>
      </c>
      <c r="V273" s="4"/>
      <c r="W273" s="4"/>
      <c r="X273" s="4"/>
    </row>
    <row r="274">
      <c r="A274" s="1" t="s">
        <v>8930</v>
      </c>
      <c r="B274" s="1" t="s">
        <v>4293</v>
      </c>
      <c r="C274" s="1" t="s">
        <v>8932</v>
      </c>
      <c r="D274" s="1" t="s">
        <v>388</v>
      </c>
      <c r="E274" s="1" t="s">
        <v>889</v>
      </c>
      <c r="F274" s="1" t="s">
        <v>1193</v>
      </c>
      <c r="G274" s="1" t="s">
        <v>1195</v>
      </c>
      <c r="H274" s="3">
        <v>45834.0</v>
      </c>
      <c r="I274" s="3"/>
      <c r="J274" s="13"/>
      <c r="K274" s="1" t="s">
        <v>124</v>
      </c>
      <c r="L274" s="1" t="s">
        <v>160</v>
      </c>
      <c r="M274" s="1" t="s">
        <v>253</v>
      </c>
      <c r="N274" s="1" t="s">
        <v>131</v>
      </c>
      <c r="O274" s="13"/>
      <c r="P274" s="1"/>
      <c r="Q274" s="4"/>
      <c r="R274" s="1" t="s">
        <v>137</v>
      </c>
      <c r="S274" s="1" t="s">
        <v>137</v>
      </c>
      <c r="T274" s="1" t="s">
        <v>47</v>
      </c>
      <c r="U274" s="1" t="s">
        <v>4301</v>
      </c>
      <c r="V274" s="4"/>
      <c r="W274" s="4"/>
      <c r="X274" s="4"/>
    </row>
    <row r="275">
      <c r="A275" s="1" t="s">
        <v>2075</v>
      </c>
      <c r="B275" s="1" t="s">
        <v>146</v>
      </c>
      <c r="C275" s="1" t="s">
        <v>2076</v>
      </c>
      <c r="D275" s="1" t="s">
        <v>172</v>
      </c>
      <c r="E275" s="1" t="s">
        <v>175</v>
      </c>
      <c r="F275" s="1" t="s">
        <v>177</v>
      </c>
      <c r="G275" s="1" t="s">
        <v>1992</v>
      </c>
      <c r="H275" s="3">
        <v>46259.0</v>
      </c>
      <c r="I275" s="3">
        <v>46436.0</v>
      </c>
      <c r="J275" s="13"/>
      <c r="K275" s="1" t="s">
        <v>124</v>
      </c>
      <c r="L275" s="1" t="s">
        <v>160</v>
      </c>
      <c r="M275" s="1" t="s">
        <v>300</v>
      </c>
      <c r="N275" s="1" t="s">
        <v>131</v>
      </c>
      <c r="O275" s="13"/>
      <c r="P275" s="1" t="s">
        <v>2077</v>
      </c>
      <c r="Q275" s="4"/>
      <c r="R275" s="1" t="s">
        <v>137</v>
      </c>
      <c r="S275" s="1" t="s">
        <v>137</v>
      </c>
      <c r="T275" s="1" t="s">
        <v>47</v>
      </c>
      <c r="U275" s="1" t="s">
        <v>3951</v>
      </c>
      <c r="V275" s="4"/>
      <c r="W275" s="4"/>
      <c r="X275" s="4"/>
    </row>
    <row r="276">
      <c r="A276" s="1" t="s">
        <v>2081</v>
      </c>
      <c r="B276" s="1" t="s">
        <v>116</v>
      </c>
      <c r="C276" s="1" t="s">
        <v>2082</v>
      </c>
      <c r="D276" s="1" t="s">
        <v>1477</v>
      </c>
      <c r="E276" s="1" t="s">
        <v>175</v>
      </c>
      <c r="F276" s="1" t="s">
        <v>177</v>
      </c>
      <c r="G276" s="1" t="s">
        <v>503</v>
      </c>
      <c r="H276" s="3">
        <v>46167.0</v>
      </c>
      <c r="I276" s="3">
        <v>46318.0</v>
      </c>
      <c r="J276" s="13"/>
      <c r="K276" s="1" t="s">
        <v>124</v>
      </c>
      <c r="L276" s="1" t="s">
        <v>71</v>
      </c>
      <c r="M276" s="1" t="s">
        <v>162</v>
      </c>
      <c r="N276" s="1" t="s">
        <v>131</v>
      </c>
      <c r="O276" s="13"/>
      <c r="P276" s="1" t="s">
        <v>803</v>
      </c>
      <c r="Q276" s="4"/>
      <c r="R276" s="1" t="s">
        <v>137</v>
      </c>
      <c r="S276" s="1" t="s">
        <v>137</v>
      </c>
      <c r="T276" s="1" t="s">
        <v>47</v>
      </c>
      <c r="U276" s="1" t="s">
        <v>3637</v>
      </c>
      <c r="V276" s="4"/>
      <c r="W276" s="4"/>
      <c r="X276" s="4"/>
    </row>
    <row r="277">
      <c r="A277" s="1" t="s">
        <v>4595</v>
      </c>
      <c r="B277" s="1" t="s">
        <v>4599</v>
      </c>
      <c r="C277" s="1" t="s">
        <v>8955</v>
      </c>
      <c r="D277" s="1" t="s">
        <v>172</v>
      </c>
      <c r="E277" s="1" t="s">
        <v>175</v>
      </c>
      <c r="F277" s="1" t="s">
        <v>177</v>
      </c>
      <c r="G277" s="1" t="s">
        <v>1992</v>
      </c>
      <c r="H277" s="3">
        <v>46253.0</v>
      </c>
      <c r="I277" s="3">
        <v>46405.0</v>
      </c>
      <c r="J277" s="13"/>
      <c r="K277" s="1" t="s">
        <v>124</v>
      </c>
      <c r="L277" s="1" t="s">
        <v>160</v>
      </c>
      <c r="M277" s="1" t="s">
        <v>162</v>
      </c>
      <c r="N277" s="1" t="s">
        <v>131</v>
      </c>
      <c r="O277" s="13"/>
      <c r="P277" s="1" t="s">
        <v>5108</v>
      </c>
      <c r="Q277" s="4"/>
      <c r="R277" s="1" t="s">
        <v>137</v>
      </c>
      <c r="S277" s="1" t="s">
        <v>137</v>
      </c>
      <c r="T277" s="1" t="s">
        <v>47</v>
      </c>
      <c r="U277" s="1" t="s">
        <v>4610</v>
      </c>
      <c r="V277" s="4"/>
      <c r="W277" s="4"/>
      <c r="X277" s="4"/>
    </row>
    <row r="278">
      <c r="A278" s="1" t="s">
        <v>8963</v>
      </c>
      <c r="B278" s="1" t="s">
        <v>4293</v>
      </c>
      <c r="C278" s="1" t="s">
        <v>8965</v>
      </c>
      <c r="D278" s="1" t="s">
        <v>172</v>
      </c>
      <c r="E278" s="1" t="s">
        <v>175</v>
      </c>
      <c r="F278" s="1" t="s">
        <v>177</v>
      </c>
      <c r="G278" s="1" t="s">
        <v>672</v>
      </c>
      <c r="H278" s="3">
        <v>45323.0</v>
      </c>
      <c r="I278" s="3">
        <v>45323.0</v>
      </c>
      <c r="J278" s="3">
        <v>45323.0</v>
      </c>
      <c r="K278" s="1" t="s">
        <v>215</v>
      </c>
      <c r="L278" s="1" t="s">
        <v>160</v>
      </c>
      <c r="M278" s="1" t="s">
        <v>216</v>
      </c>
      <c r="N278" s="1" t="s">
        <v>131</v>
      </c>
      <c r="O278" s="13"/>
      <c r="P278" s="4"/>
      <c r="Q278" s="4"/>
      <c r="R278" s="1" t="s">
        <v>137</v>
      </c>
      <c r="S278" s="1" t="s">
        <v>137</v>
      </c>
      <c r="T278" s="1" t="s">
        <v>47</v>
      </c>
      <c r="U278" s="1" t="s">
        <v>4301</v>
      </c>
      <c r="V278" s="4"/>
      <c r="W278" s="4"/>
      <c r="X278" s="4"/>
    </row>
    <row r="279">
      <c r="A279" s="1" t="s">
        <v>6544</v>
      </c>
      <c r="B279" s="1" t="s">
        <v>4293</v>
      </c>
      <c r="C279" s="1" t="s">
        <v>8978</v>
      </c>
      <c r="D279" s="1" t="s">
        <v>291</v>
      </c>
      <c r="E279" s="1" t="s">
        <v>292</v>
      </c>
      <c r="F279" s="1" t="s">
        <v>468</v>
      </c>
      <c r="G279" s="1" t="s">
        <v>470</v>
      </c>
      <c r="H279" s="3">
        <v>45224.0</v>
      </c>
      <c r="I279" s="3">
        <v>45249.0</v>
      </c>
      <c r="J279" s="3">
        <v>45249.0</v>
      </c>
      <c r="K279" s="1" t="s">
        <v>215</v>
      </c>
      <c r="L279" s="1" t="s">
        <v>160</v>
      </c>
      <c r="M279" s="1" t="s">
        <v>216</v>
      </c>
      <c r="N279" s="1" t="s">
        <v>131</v>
      </c>
      <c r="O279" s="13"/>
      <c r="P279" s="4"/>
      <c r="Q279" s="4"/>
      <c r="R279" s="1" t="s">
        <v>137</v>
      </c>
      <c r="S279" s="1" t="s">
        <v>137</v>
      </c>
      <c r="T279" s="1" t="s">
        <v>47</v>
      </c>
      <c r="U279" s="1" t="s">
        <v>4301</v>
      </c>
      <c r="V279" s="4"/>
      <c r="W279" s="4"/>
      <c r="X279" s="4"/>
    </row>
    <row r="280">
      <c r="A280" s="1" t="s">
        <v>7410</v>
      </c>
      <c r="B280" s="1" t="s">
        <v>4293</v>
      </c>
      <c r="C280" s="1" t="s">
        <v>8992</v>
      </c>
      <c r="D280" s="1" t="s">
        <v>118</v>
      </c>
      <c r="E280" s="1" t="s">
        <v>330</v>
      </c>
      <c r="F280" s="1" t="s">
        <v>663</v>
      </c>
      <c r="G280" s="1" t="s">
        <v>2835</v>
      </c>
      <c r="H280" s="3">
        <v>44553.0</v>
      </c>
      <c r="I280" s="3">
        <v>44326.0</v>
      </c>
      <c r="J280" s="3">
        <v>44326.0</v>
      </c>
      <c r="K280" s="1" t="s">
        <v>215</v>
      </c>
      <c r="L280" s="1" t="s">
        <v>160</v>
      </c>
      <c r="M280" s="1" t="s">
        <v>216</v>
      </c>
      <c r="N280" s="1" t="s">
        <v>131</v>
      </c>
      <c r="O280" s="4"/>
      <c r="P280" s="4"/>
      <c r="Q280" s="4"/>
      <c r="R280" s="1" t="s">
        <v>137</v>
      </c>
      <c r="S280" s="1" t="s">
        <v>137</v>
      </c>
      <c r="T280" s="1" t="s">
        <v>47</v>
      </c>
      <c r="U280" s="1" t="s">
        <v>4301</v>
      </c>
      <c r="V280" s="4"/>
      <c r="W280" s="4"/>
      <c r="X280" s="4"/>
    </row>
    <row r="281">
      <c r="A281" s="1" t="s">
        <v>9008</v>
      </c>
      <c r="B281" s="1" t="s">
        <v>4293</v>
      </c>
      <c r="C281" s="1" t="s">
        <v>9010</v>
      </c>
      <c r="D281" s="1" t="s">
        <v>1477</v>
      </c>
      <c r="E281" s="1" t="s">
        <v>292</v>
      </c>
      <c r="F281" s="1" t="s">
        <v>494</v>
      </c>
      <c r="G281" s="1" t="s">
        <v>1784</v>
      </c>
      <c r="H281" s="3">
        <v>46051.0</v>
      </c>
      <c r="I281" s="3">
        <v>46056.0</v>
      </c>
      <c r="J281" s="3">
        <v>46056.0</v>
      </c>
      <c r="K281" s="1" t="s">
        <v>215</v>
      </c>
      <c r="L281" s="1" t="s">
        <v>160</v>
      </c>
      <c r="M281" s="1" t="s">
        <v>216</v>
      </c>
      <c r="N281" s="1" t="s">
        <v>131</v>
      </c>
      <c r="O281" s="4"/>
      <c r="P281" s="4"/>
      <c r="Q281" s="4"/>
      <c r="R281" s="1" t="s">
        <v>137</v>
      </c>
      <c r="S281" s="1" t="s">
        <v>137</v>
      </c>
      <c r="T281" s="1" t="s">
        <v>47</v>
      </c>
      <c r="U281" s="1" t="s">
        <v>4301</v>
      </c>
      <c r="V281" s="4"/>
      <c r="W281" s="4"/>
      <c r="X281" s="4"/>
    </row>
    <row r="282">
      <c r="A282" s="1" t="s">
        <v>9022</v>
      </c>
      <c r="B282" s="1" t="s">
        <v>4293</v>
      </c>
      <c r="C282" s="1" t="s">
        <v>9026</v>
      </c>
      <c r="D282" s="1" t="s">
        <v>291</v>
      </c>
      <c r="E282" s="1" t="s">
        <v>292</v>
      </c>
      <c r="F282" s="1" t="s">
        <v>293</v>
      </c>
      <c r="G282" s="1" t="s">
        <v>295</v>
      </c>
      <c r="H282" s="3">
        <v>45747.0</v>
      </c>
      <c r="I282" s="3">
        <v>45993.0</v>
      </c>
      <c r="J282" s="3">
        <v>45993.0</v>
      </c>
      <c r="K282" s="1" t="s">
        <v>215</v>
      </c>
      <c r="L282" s="1" t="s">
        <v>160</v>
      </c>
      <c r="M282" s="1" t="s">
        <v>216</v>
      </c>
      <c r="N282" s="1" t="s">
        <v>131</v>
      </c>
      <c r="O282" s="4"/>
      <c r="P282" s="4"/>
      <c r="Q282" s="4"/>
      <c r="R282" s="1" t="s">
        <v>137</v>
      </c>
      <c r="S282" s="1" t="s">
        <v>137</v>
      </c>
      <c r="T282" s="1" t="s">
        <v>47</v>
      </c>
      <c r="U282" s="1" t="s">
        <v>4301</v>
      </c>
      <c r="V282" s="4"/>
      <c r="W282" s="4"/>
      <c r="X282" s="4"/>
    </row>
    <row r="283">
      <c r="A283" s="1" t="s">
        <v>9039</v>
      </c>
      <c r="B283" s="1" t="s">
        <v>4293</v>
      </c>
      <c r="C283" s="1" t="s">
        <v>9041</v>
      </c>
      <c r="D283" s="1" t="s">
        <v>313</v>
      </c>
      <c r="E283" s="1" t="s">
        <v>3379</v>
      </c>
      <c r="F283" s="1" t="s">
        <v>9045</v>
      </c>
      <c r="G283" s="1" t="s">
        <v>9045</v>
      </c>
      <c r="H283" s="3">
        <v>45390.0</v>
      </c>
      <c r="I283" s="3">
        <v>45624.0</v>
      </c>
      <c r="J283" s="3">
        <v>45624.0</v>
      </c>
      <c r="K283" s="1" t="s">
        <v>215</v>
      </c>
      <c r="L283" s="1" t="s">
        <v>160</v>
      </c>
      <c r="M283" s="1" t="s">
        <v>216</v>
      </c>
      <c r="N283" s="1" t="s">
        <v>131</v>
      </c>
      <c r="O283" s="13"/>
      <c r="P283" s="4"/>
      <c r="Q283" s="4"/>
      <c r="R283" s="1" t="s">
        <v>137</v>
      </c>
      <c r="S283" s="1" t="s">
        <v>137</v>
      </c>
      <c r="T283" s="1" t="s">
        <v>47</v>
      </c>
      <c r="U283" s="1" t="s">
        <v>4301</v>
      </c>
      <c r="V283" s="4"/>
      <c r="W283" s="4"/>
      <c r="X283" s="4"/>
    </row>
    <row r="284">
      <c r="A284" s="1" t="s">
        <v>9056</v>
      </c>
      <c r="B284" s="1" t="s">
        <v>4293</v>
      </c>
      <c r="C284" s="1" t="s">
        <v>9057</v>
      </c>
      <c r="D284" s="1" t="s">
        <v>1776</v>
      </c>
      <c r="E284" s="1" t="s">
        <v>175</v>
      </c>
      <c r="F284" s="1" t="s">
        <v>3592</v>
      </c>
      <c r="G284" s="1" t="s">
        <v>3593</v>
      </c>
      <c r="H284" s="3">
        <v>44277.0</v>
      </c>
      <c r="I284" s="3">
        <v>44277.0</v>
      </c>
      <c r="J284" s="3">
        <v>44277.0</v>
      </c>
      <c r="K284" s="1" t="s">
        <v>215</v>
      </c>
      <c r="L284" s="1" t="s">
        <v>160</v>
      </c>
      <c r="M284" s="1" t="s">
        <v>216</v>
      </c>
      <c r="N284" s="1" t="s">
        <v>131</v>
      </c>
      <c r="O284" s="4"/>
      <c r="P284" s="4"/>
      <c r="Q284" s="4"/>
      <c r="R284" s="1" t="s">
        <v>137</v>
      </c>
      <c r="S284" s="1" t="s">
        <v>137</v>
      </c>
      <c r="T284" s="1" t="s">
        <v>47</v>
      </c>
      <c r="U284" s="1" t="s">
        <v>4301</v>
      </c>
      <c r="V284" s="4"/>
      <c r="W284" s="4"/>
      <c r="X284" s="4"/>
    </row>
    <row r="285">
      <c r="A285" s="1" t="s">
        <v>9067</v>
      </c>
      <c r="B285" s="1" t="s">
        <v>4293</v>
      </c>
      <c r="C285" s="1" t="s">
        <v>9070</v>
      </c>
      <c r="D285" s="1" t="s">
        <v>313</v>
      </c>
      <c r="E285" s="1" t="s">
        <v>175</v>
      </c>
      <c r="F285" s="1" t="s">
        <v>569</v>
      </c>
      <c r="G285" s="1" t="s">
        <v>798</v>
      </c>
      <c r="H285" s="3">
        <v>44924.0</v>
      </c>
      <c r="I285" s="3">
        <v>45105.0</v>
      </c>
      <c r="J285" s="3">
        <v>45105.0</v>
      </c>
      <c r="K285" s="1" t="s">
        <v>215</v>
      </c>
      <c r="L285" s="1" t="s">
        <v>160</v>
      </c>
      <c r="M285" s="1" t="s">
        <v>216</v>
      </c>
      <c r="N285" s="1" t="s">
        <v>131</v>
      </c>
      <c r="O285" s="3"/>
      <c r="P285" s="1"/>
      <c r="Q285" s="4"/>
      <c r="R285" s="1" t="s">
        <v>137</v>
      </c>
      <c r="S285" s="1" t="s">
        <v>137</v>
      </c>
      <c r="T285" s="1" t="s">
        <v>47</v>
      </c>
      <c r="U285" s="1" t="s">
        <v>4301</v>
      </c>
      <c r="V285" s="4"/>
      <c r="W285" s="4"/>
      <c r="X285" s="4"/>
    </row>
    <row r="286">
      <c r="A286" s="1" t="s">
        <v>2094</v>
      </c>
      <c r="B286" s="1" t="s">
        <v>116</v>
      </c>
      <c r="C286" s="1" t="s">
        <v>9070</v>
      </c>
      <c r="D286" s="1" t="s">
        <v>313</v>
      </c>
      <c r="E286" s="1" t="s">
        <v>175</v>
      </c>
      <c r="F286" s="1" t="s">
        <v>569</v>
      </c>
      <c r="G286" s="1" t="s">
        <v>798</v>
      </c>
      <c r="H286" s="3">
        <v>46111.0</v>
      </c>
      <c r="I286" s="3">
        <v>46238.0</v>
      </c>
      <c r="J286" s="3">
        <v>46238.0</v>
      </c>
      <c r="K286" s="1" t="s">
        <v>215</v>
      </c>
      <c r="L286" s="1" t="s">
        <v>71</v>
      </c>
      <c r="M286" s="1" t="s">
        <v>253</v>
      </c>
      <c r="N286" s="1" t="s">
        <v>131</v>
      </c>
      <c r="O286" s="3">
        <v>46266.0</v>
      </c>
      <c r="P286" s="1" t="s">
        <v>2099</v>
      </c>
      <c r="Q286" s="4"/>
      <c r="R286" s="1" t="s">
        <v>137</v>
      </c>
      <c r="S286" s="1" t="s">
        <v>137</v>
      </c>
      <c r="T286" s="1" t="s">
        <v>47</v>
      </c>
      <c r="U286" s="1" t="s">
        <v>3565</v>
      </c>
      <c r="V286" s="4"/>
      <c r="W286" s="4"/>
      <c r="X286" s="4"/>
    </row>
    <row r="287">
      <c r="A287" s="1" t="s">
        <v>9094</v>
      </c>
      <c r="B287" s="1" t="s">
        <v>4293</v>
      </c>
      <c r="C287" s="1" t="s">
        <v>9097</v>
      </c>
      <c r="D287" s="1" t="s">
        <v>960</v>
      </c>
      <c r="E287" s="1" t="s">
        <v>292</v>
      </c>
      <c r="F287" s="1" t="s">
        <v>962</v>
      </c>
      <c r="G287" s="1" t="s">
        <v>2607</v>
      </c>
      <c r="H287" s="3">
        <v>45355.0</v>
      </c>
      <c r="I287" s="13"/>
      <c r="J287" s="13"/>
      <c r="K287" s="1" t="s">
        <v>124</v>
      </c>
      <c r="L287" s="1" t="s">
        <v>160</v>
      </c>
      <c r="M287" s="1" t="s">
        <v>253</v>
      </c>
      <c r="N287" s="1" t="s">
        <v>131</v>
      </c>
      <c r="O287" s="13"/>
      <c r="P287" s="4"/>
      <c r="Q287" s="4"/>
      <c r="R287" s="1" t="s">
        <v>137</v>
      </c>
      <c r="S287" s="1" t="s">
        <v>137</v>
      </c>
      <c r="T287" s="1" t="s">
        <v>47</v>
      </c>
      <c r="U287" s="1" t="s">
        <v>4301</v>
      </c>
      <c r="V287" s="4"/>
      <c r="W287" s="4"/>
      <c r="X287" s="4"/>
    </row>
    <row r="288">
      <c r="A288" s="1" t="s">
        <v>9106</v>
      </c>
      <c r="B288" s="1" t="s">
        <v>4293</v>
      </c>
      <c r="C288" s="1" t="s">
        <v>9107</v>
      </c>
      <c r="D288" s="1" t="s">
        <v>960</v>
      </c>
      <c r="E288" s="1" t="s">
        <v>292</v>
      </c>
      <c r="F288" s="1" t="s">
        <v>962</v>
      </c>
      <c r="G288" s="1" t="s">
        <v>2607</v>
      </c>
      <c r="H288" s="3">
        <v>45903.0</v>
      </c>
      <c r="I288" s="3"/>
      <c r="J288" s="3"/>
      <c r="K288" s="1" t="s">
        <v>124</v>
      </c>
      <c r="L288" s="1" t="s">
        <v>160</v>
      </c>
      <c r="M288" s="1" t="s">
        <v>253</v>
      </c>
      <c r="N288" s="1" t="s">
        <v>131</v>
      </c>
      <c r="O288" s="13"/>
      <c r="P288" s="4"/>
      <c r="Q288" s="4"/>
      <c r="R288" s="1" t="s">
        <v>137</v>
      </c>
      <c r="S288" s="1" t="s">
        <v>137</v>
      </c>
      <c r="T288" s="1" t="s">
        <v>47</v>
      </c>
      <c r="U288" s="1" t="s">
        <v>4301</v>
      </c>
      <c r="V288" s="4"/>
      <c r="W288" s="4"/>
      <c r="X288" s="4"/>
    </row>
    <row r="289">
      <c r="A289" s="1" t="s">
        <v>7375</v>
      </c>
      <c r="B289" s="1" t="s">
        <v>4293</v>
      </c>
      <c r="C289" s="1" t="s">
        <v>9113</v>
      </c>
      <c r="D289" s="1" t="s">
        <v>960</v>
      </c>
      <c r="E289" s="1" t="s">
        <v>292</v>
      </c>
      <c r="F289" s="1" t="s">
        <v>962</v>
      </c>
      <c r="G289" s="1" t="s">
        <v>2607</v>
      </c>
      <c r="H289" s="3">
        <v>44132.0</v>
      </c>
      <c r="I289" s="3">
        <v>44223.0</v>
      </c>
      <c r="J289" s="3">
        <v>44223.0</v>
      </c>
      <c r="K289" s="1" t="s">
        <v>215</v>
      </c>
      <c r="L289" s="1" t="s">
        <v>160</v>
      </c>
      <c r="M289" s="1" t="s">
        <v>216</v>
      </c>
      <c r="N289" s="1" t="s">
        <v>131</v>
      </c>
      <c r="O289" s="13"/>
      <c r="P289" s="4"/>
      <c r="Q289" s="4"/>
      <c r="R289" s="1" t="s">
        <v>137</v>
      </c>
      <c r="S289" s="1" t="s">
        <v>137</v>
      </c>
      <c r="T289" s="1" t="s">
        <v>47</v>
      </c>
      <c r="U289" s="1" t="s">
        <v>4301</v>
      </c>
      <c r="V289" s="4"/>
      <c r="W289" s="4"/>
      <c r="X289" s="4"/>
    </row>
    <row r="290">
      <c r="A290" s="1" t="s">
        <v>9123</v>
      </c>
      <c r="B290" s="1" t="s">
        <v>4293</v>
      </c>
      <c r="C290" s="1" t="s">
        <v>9125</v>
      </c>
      <c r="D290" s="1" t="s">
        <v>960</v>
      </c>
      <c r="E290" s="1" t="s">
        <v>292</v>
      </c>
      <c r="F290" s="1" t="s">
        <v>962</v>
      </c>
      <c r="G290" s="1" t="s">
        <v>2607</v>
      </c>
      <c r="H290" s="3">
        <v>43992.0</v>
      </c>
      <c r="I290" s="3">
        <v>44036.0</v>
      </c>
      <c r="J290" s="3">
        <v>44036.0</v>
      </c>
      <c r="K290" s="1" t="s">
        <v>215</v>
      </c>
      <c r="L290" s="1" t="s">
        <v>160</v>
      </c>
      <c r="M290" s="1" t="s">
        <v>216</v>
      </c>
      <c r="N290" s="1" t="s">
        <v>131</v>
      </c>
      <c r="O290" s="13"/>
      <c r="P290" s="4"/>
      <c r="Q290" s="4"/>
      <c r="R290" s="1" t="s">
        <v>137</v>
      </c>
      <c r="S290" s="1" t="s">
        <v>137</v>
      </c>
      <c r="T290" s="1" t="s">
        <v>47</v>
      </c>
      <c r="U290" s="1" t="s">
        <v>4301</v>
      </c>
      <c r="V290" s="4"/>
      <c r="W290" s="4"/>
      <c r="X290" s="4"/>
    </row>
    <row r="291">
      <c r="A291" s="1" t="s">
        <v>9135</v>
      </c>
      <c r="B291" s="1" t="s">
        <v>4293</v>
      </c>
      <c r="C291" s="1" t="s">
        <v>2104</v>
      </c>
      <c r="D291" s="1" t="s">
        <v>960</v>
      </c>
      <c r="E291" s="1" t="s">
        <v>175</v>
      </c>
      <c r="F291" s="1" t="s">
        <v>177</v>
      </c>
      <c r="G291" s="1" t="s">
        <v>503</v>
      </c>
      <c r="H291" s="3">
        <v>44196.0</v>
      </c>
      <c r="I291" s="3">
        <v>44299.0</v>
      </c>
      <c r="J291" s="3">
        <v>44299.0</v>
      </c>
      <c r="K291" s="1" t="s">
        <v>215</v>
      </c>
      <c r="L291" s="1" t="s">
        <v>160</v>
      </c>
      <c r="M291" s="1" t="s">
        <v>216</v>
      </c>
      <c r="N291" s="1" t="s">
        <v>131</v>
      </c>
      <c r="O291" s="13"/>
      <c r="P291" s="4"/>
      <c r="Q291" s="4"/>
      <c r="R291" s="1" t="s">
        <v>137</v>
      </c>
      <c r="S291" s="1" t="s">
        <v>137</v>
      </c>
      <c r="T291" s="1" t="s">
        <v>47</v>
      </c>
      <c r="U291" s="1" t="s">
        <v>4301</v>
      </c>
      <c r="V291" s="4"/>
      <c r="W291" s="4"/>
      <c r="X291" s="4"/>
    </row>
    <row r="292">
      <c r="A292" s="1" t="s">
        <v>8935</v>
      </c>
      <c r="B292" s="1" t="s">
        <v>4293</v>
      </c>
      <c r="C292" s="1" t="s">
        <v>9154</v>
      </c>
      <c r="D292" s="1" t="s">
        <v>2198</v>
      </c>
      <c r="E292" s="1" t="s">
        <v>292</v>
      </c>
      <c r="F292" s="1" t="s">
        <v>494</v>
      </c>
      <c r="G292" s="1" t="s">
        <v>1478</v>
      </c>
      <c r="H292" s="3">
        <v>43804.0</v>
      </c>
      <c r="I292" s="3">
        <v>43866.0</v>
      </c>
      <c r="J292" s="3">
        <v>43866.0</v>
      </c>
      <c r="K292" s="1" t="s">
        <v>215</v>
      </c>
      <c r="L292" s="1" t="s">
        <v>160</v>
      </c>
      <c r="M292" s="1" t="s">
        <v>216</v>
      </c>
      <c r="N292" s="1" t="s">
        <v>131</v>
      </c>
      <c r="O292" s="13"/>
      <c r="P292" s="4"/>
      <c r="Q292" s="4"/>
      <c r="R292" s="1" t="s">
        <v>137</v>
      </c>
      <c r="S292" s="1" t="s">
        <v>137</v>
      </c>
      <c r="T292" s="1" t="s">
        <v>47</v>
      </c>
      <c r="U292" s="1" t="s">
        <v>4301</v>
      </c>
      <c r="V292" s="4"/>
      <c r="W292" s="4"/>
      <c r="X292" s="4"/>
    </row>
    <row r="293">
      <c r="A293" s="1" t="s">
        <v>9089</v>
      </c>
      <c r="B293" s="1" t="s">
        <v>4293</v>
      </c>
      <c r="C293" s="1" t="s">
        <v>9166</v>
      </c>
      <c r="D293" s="1" t="s">
        <v>777</v>
      </c>
      <c r="E293" s="1" t="s">
        <v>292</v>
      </c>
      <c r="F293" s="1" t="s">
        <v>962</v>
      </c>
      <c r="G293" s="1" t="s">
        <v>1969</v>
      </c>
      <c r="H293" s="3">
        <v>45496.0</v>
      </c>
      <c r="I293" s="3">
        <v>45743.0</v>
      </c>
      <c r="J293" s="3">
        <v>45743.0</v>
      </c>
      <c r="K293" s="1" t="s">
        <v>215</v>
      </c>
      <c r="L293" s="1" t="s">
        <v>160</v>
      </c>
      <c r="M293" s="1" t="s">
        <v>216</v>
      </c>
      <c r="N293" s="1" t="s">
        <v>131</v>
      </c>
      <c r="O293" s="13"/>
      <c r="P293" s="4"/>
      <c r="Q293" s="4"/>
      <c r="R293" s="1" t="s">
        <v>137</v>
      </c>
      <c r="S293" s="1" t="s">
        <v>137</v>
      </c>
      <c r="T293" s="1" t="s">
        <v>47</v>
      </c>
      <c r="U293" s="1" t="s">
        <v>4301</v>
      </c>
      <c r="V293" s="4"/>
      <c r="W293" s="4"/>
      <c r="X293" s="4"/>
    </row>
    <row r="294">
      <c r="A294" s="1" t="s">
        <v>9181</v>
      </c>
      <c r="B294" s="1" t="s">
        <v>4293</v>
      </c>
      <c r="C294" s="1" t="s">
        <v>9183</v>
      </c>
      <c r="D294" s="1" t="s">
        <v>172</v>
      </c>
      <c r="E294" s="1" t="s">
        <v>175</v>
      </c>
      <c r="F294" s="1" t="s">
        <v>177</v>
      </c>
      <c r="G294" s="1" t="s">
        <v>672</v>
      </c>
      <c r="H294" s="3">
        <v>45398.0</v>
      </c>
      <c r="I294" s="3">
        <v>45636.0</v>
      </c>
      <c r="J294" s="3">
        <v>45636.0</v>
      </c>
      <c r="K294" s="1" t="s">
        <v>215</v>
      </c>
      <c r="L294" s="1" t="s">
        <v>160</v>
      </c>
      <c r="M294" s="1" t="s">
        <v>216</v>
      </c>
      <c r="N294" s="1" t="s">
        <v>131</v>
      </c>
      <c r="O294" s="13"/>
      <c r="P294" s="4"/>
      <c r="Q294" s="4"/>
      <c r="R294" s="1" t="s">
        <v>137</v>
      </c>
      <c r="S294" s="1" t="s">
        <v>137</v>
      </c>
      <c r="T294" s="1" t="s">
        <v>47</v>
      </c>
      <c r="U294" s="1" t="s">
        <v>4301</v>
      </c>
      <c r="V294" s="4"/>
      <c r="W294" s="4"/>
      <c r="X294" s="4"/>
    </row>
    <row r="295">
      <c r="A295" s="1" t="s">
        <v>5124</v>
      </c>
      <c r="B295" s="1" t="s">
        <v>4293</v>
      </c>
      <c r="C295" s="1" t="s">
        <v>9195</v>
      </c>
      <c r="D295" s="1" t="s">
        <v>388</v>
      </c>
      <c r="E295" s="1" t="s">
        <v>175</v>
      </c>
      <c r="F295" s="1" t="s">
        <v>3128</v>
      </c>
      <c r="G295" s="1" t="s">
        <v>7170</v>
      </c>
      <c r="H295" s="3">
        <v>44105.0</v>
      </c>
      <c r="I295" s="3">
        <v>44105.0</v>
      </c>
      <c r="J295" s="3">
        <v>44105.0</v>
      </c>
      <c r="K295" s="1" t="s">
        <v>215</v>
      </c>
      <c r="L295" s="1" t="s">
        <v>160</v>
      </c>
      <c r="M295" s="1" t="s">
        <v>216</v>
      </c>
      <c r="N295" s="1" t="s">
        <v>131</v>
      </c>
      <c r="O295" s="13"/>
      <c r="P295" s="4"/>
      <c r="Q295" s="4"/>
      <c r="R295" s="1" t="s">
        <v>137</v>
      </c>
      <c r="S295" s="1" t="s">
        <v>137</v>
      </c>
      <c r="T295" s="1" t="s">
        <v>47</v>
      </c>
      <c r="U295" s="1" t="s">
        <v>4301</v>
      </c>
      <c r="V295" s="4"/>
      <c r="W295" s="4"/>
      <c r="X295" s="4"/>
    </row>
    <row r="296">
      <c r="A296" s="1" t="s">
        <v>7608</v>
      </c>
      <c r="B296" s="1" t="s">
        <v>4293</v>
      </c>
      <c r="C296" s="1" t="s">
        <v>9213</v>
      </c>
      <c r="D296" s="1" t="s">
        <v>1823</v>
      </c>
      <c r="E296" s="1" t="s">
        <v>175</v>
      </c>
      <c r="F296" s="1" t="s">
        <v>569</v>
      </c>
      <c r="G296" s="1" t="s">
        <v>1726</v>
      </c>
      <c r="H296" s="3">
        <v>44824.0</v>
      </c>
      <c r="I296" s="3">
        <v>44963.0</v>
      </c>
      <c r="J296" s="3">
        <v>44963.0</v>
      </c>
      <c r="K296" s="1" t="s">
        <v>215</v>
      </c>
      <c r="L296" s="1" t="s">
        <v>160</v>
      </c>
      <c r="M296" s="1" t="s">
        <v>216</v>
      </c>
      <c r="N296" s="1" t="s">
        <v>131</v>
      </c>
      <c r="O296" s="13"/>
      <c r="P296" s="4"/>
      <c r="Q296" s="4"/>
      <c r="R296" s="1" t="s">
        <v>137</v>
      </c>
      <c r="S296" s="1" t="s">
        <v>137</v>
      </c>
      <c r="T296" s="1" t="s">
        <v>47</v>
      </c>
      <c r="U296" s="1" t="s">
        <v>4301</v>
      </c>
      <c r="V296" s="4"/>
      <c r="W296" s="4"/>
      <c r="X296" s="4"/>
    </row>
    <row r="297">
      <c r="A297" s="1" t="s">
        <v>9230</v>
      </c>
      <c r="B297" s="1" t="s">
        <v>4293</v>
      </c>
      <c r="C297" s="1" t="s">
        <v>9234</v>
      </c>
      <c r="D297" s="1" t="s">
        <v>1798</v>
      </c>
      <c r="E297" s="1" t="s">
        <v>292</v>
      </c>
      <c r="F297" s="1" t="s">
        <v>962</v>
      </c>
      <c r="G297" s="1" t="s">
        <v>5046</v>
      </c>
      <c r="H297" s="3">
        <v>45485.0</v>
      </c>
      <c r="I297" s="3">
        <v>45923.0</v>
      </c>
      <c r="J297" s="3">
        <v>45923.0</v>
      </c>
      <c r="K297" s="1" t="s">
        <v>215</v>
      </c>
      <c r="L297" s="1" t="s">
        <v>160</v>
      </c>
      <c r="M297" s="1" t="s">
        <v>216</v>
      </c>
      <c r="N297" s="1" t="s">
        <v>131</v>
      </c>
      <c r="O297" s="13"/>
      <c r="P297" s="4"/>
      <c r="Q297" s="4"/>
      <c r="R297" s="1" t="s">
        <v>137</v>
      </c>
      <c r="S297" s="1" t="s">
        <v>137</v>
      </c>
      <c r="T297" s="1" t="s">
        <v>47</v>
      </c>
      <c r="U297" s="1" t="s">
        <v>4301</v>
      </c>
      <c r="V297" s="4"/>
      <c r="W297" s="4"/>
      <c r="X297" s="4"/>
    </row>
    <row r="298">
      <c r="A298" s="1" t="s">
        <v>9250</v>
      </c>
      <c r="B298" s="1" t="s">
        <v>4293</v>
      </c>
      <c r="C298" s="1" t="s">
        <v>9253</v>
      </c>
      <c r="D298" s="1" t="s">
        <v>172</v>
      </c>
      <c r="E298" s="1" t="s">
        <v>292</v>
      </c>
      <c r="F298" s="1" t="s">
        <v>962</v>
      </c>
      <c r="G298" s="1" t="s">
        <v>2048</v>
      </c>
      <c r="H298" s="3">
        <v>45562.0</v>
      </c>
      <c r="I298" s="3">
        <v>45707.0</v>
      </c>
      <c r="J298" s="3">
        <v>45707.0</v>
      </c>
      <c r="K298" s="1" t="s">
        <v>215</v>
      </c>
      <c r="L298" s="1" t="s">
        <v>160</v>
      </c>
      <c r="M298" s="1" t="s">
        <v>216</v>
      </c>
      <c r="N298" s="1" t="s">
        <v>131</v>
      </c>
      <c r="O298" s="13"/>
      <c r="P298" s="4"/>
      <c r="Q298" s="4"/>
      <c r="R298" s="1" t="s">
        <v>137</v>
      </c>
      <c r="S298" s="1" t="s">
        <v>137</v>
      </c>
      <c r="T298" s="1" t="s">
        <v>47</v>
      </c>
      <c r="U298" s="1" t="s">
        <v>4301</v>
      </c>
      <c r="V298" s="4"/>
      <c r="W298" s="4"/>
      <c r="X298" s="4"/>
    </row>
    <row r="299">
      <c r="A299" s="1" t="s">
        <v>9102</v>
      </c>
      <c r="B299" s="1" t="s">
        <v>4293</v>
      </c>
      <c r="C299" s="1" t="s">
        <v>9274</v>
      </c>
      <c r="D299" s="1" t="s">
        <v>388</v>
      </c>
      <c r="E299" s="1" t="s">
        <v>292</v>
      </c>
      <c r="F299" s="1" t="s">
        <v>962</v>
      </c>
      <c r="G299" s="1" t="s">
        <v>9279</v>
      </c>
      <c r="H299" s="3">
        <v>45926.0</v>
      </c>
      <c r="I299" s="3">
        <v>45908.0</v>
      </c>
      <c r="J299" s="3">
        <v>45908.0</v>
      </c>
      <c r="K299" s="1" t="s">
        <v>215</v>
      </c>
      <c r="L299" s="1" t="s">
        <v>160</v>
      </c>
      <c r="M299" s="1" t="s">
        <v>216</v>
      </c>
      <c r="N299" s="1" t="s">
        <v>131</v>
      </c>
      <c r="O299" s="13"/>
      <c r="P299" s="4"/>
      <c r="Q299" s="4"/>
      <c r="R299" s="1" t="s">
        <v>137</v>
      </c>
      <c r="S299" s="1" t="s">
        <v>137</v>
      </c>
      <c r="T299" s="1" t="s">
        <v>47</v>
      </c>
      <c r="U299" s="1" t="s">
        <v>4301</v>
      </c>
      <c r="V299" s="4"/>
      <c r="W299" s="4"/>
      <c r="X299" s="4"/>
    </row>
    <row r="300">
      <c r="A300" s="1" t="s">
        <v>8101</v>
      </c>
      <c r="B300" s="1" t="s">
        <v>4293</v>
      </c>
      <c r="C300" s="1" t="s">
        <v>9297</v>
      </c>
      <c r="D300" s="1" t="s">
        <v>194</v>
      </c>
      <c r="E300" s="1" t="s">
        <v>454</v>
      </c>
      <c r="F300" s="1" t="s">
        <v>3395</v>
      </c>
      <c r="G300" s="1" t="s">
        <v>9302</v>
      </c>
      <c r="H300" s="3">
        <v>44278.0</v>
      </c>
      <c r="I300" s="3">
        <v>44244.0</v>
      </c>
      <c r="J300" s="3">
        <v>44244.0</v>
      </c>
      <c r="K300" s="1" t="s">
        <v>215</v>
      </c>
      <c r="L300" s="1" t="s">
        <v>160</v>
      </c>
      <c r="M300" s="1" t="s">
        <v>216</v>
      </c>
      <c r="N300" s="1" t="s">
        <v>131</v>
      </c>
      <c r="O300" s="13"/>
      <c r="P300" s="4"/>
      <c r="Q300" s="4"/>
      <c r="R300" s="1" t="s">
        <v>137</v>
      </c>
      <c r="S300" s="1" t="s">
        <v>137</v>
      </c>
      <c r="T300" s="1" t="s">
        <v>47</v>
      </c>
      <c r="U300" s="1" t="s">
        <v>4301</v>
      </c>
      <c r="V300" s="4"/>
      <c r="W300" s="4"/>
      <c r="X300" s="4"/>
    </row>
    <row r="301">
      <c r="A301" s="1" t="s">
        <v>5222</v>
      </c>
      <c r="B301" s="1" t="s">
        <v>4293</v>
      </c>
      <c r="C301" s="1" t="s">
        <v>9314</v>
      </c>
      <c r="D301" s="1" t="s">
        <v>777</v>
      </c>
      <c r="E301" s="1" t="s">
        <v>175</v>
      </c>
      <c r="F301" s="1" t="s">
        <v>763</v>
      </c>
      <c r="G301" s="1" t="s">
        <v>764</v>
      </c>
      <c r="H301" s="3">
        <v>44307.0</v>
      </c>
      <c r="I301" s="3">
        <v>44307.0</v>
      </c>
      <c r="J301" s="3">
        <v>44307.0</v>
      </c>
      <c r="K301" s="1" t="s">
        <v>215</v>
      </c>
      <c r="L301" s="1" t="s">
        <v>160</v>
      </c>
      <c r="M301" s="1" t="s">
        <v>216</v>
      </c>
      <c r="N301" s="1" t="s">
        <v>131</v>
      </c>
      <c r="O301" s="13"/>
      <c r="P301" s="4"/>
      <c r="Q301" s="4"/>
      <c r="R301" s="1" t="s">
        <v>137</v>
      </c>
      <c r="S301" s="1" t="s">
        <v>137</v>
      </c>
      <c r="T301" s="1" t="s">
        <v>47</v>
      </c>
      <c r="U301" s="1" t="s">
        <v>4301</v>
      </c>
      <c r="V301" s="4"/>
      <c r="W301" s="4"/>
      <c r="X301" s="4"/>
    </row>
    <row r="302">
      <c r="A302" s="1" t="s">
        <v>9328</v>
      </c>
      <c r="B302" s="1" t="s">
        <v>4293</v>
      </c>
      <c r="C302" s="1" t="s">
        <v>9330</v>
      </c>
      <c r="D302" s="1" t="s">
        <v>417</v>
      </c>
      <c r="E302" s="1" t="s">
        <v>175</v>
      </c>
      <c r="F302" s="1" t="s">
        <v>3128</v>
      </c>
      <c r="G302" s="1" t="s">
        <v>9334</v>
      </c>
      <c r="H302" s="3">
        <v>44560.0</v>
      </c>
      <c r="I302" s="3">
        <v>44252.0</v>
      </c>
      <c r="J302" s="3">
        <v>44252.0</v>
      </c>
      <c r="K302" s="1" t="s">
        <v>215</v>
      </c>
      <c r="L302" s="1" t="s">
        <v>160</v>
      </c>
      <c r="M302" s="1" t="s">
        <v>216</v>
      </c>
      <c r="N302" s="1" t="s">
        <v>131</v>
      </c>
      <c r="O302" s="13"/>
      <c r="P302" s="4"/>
      <c r="Q302" s="4"/>
      <c r="R302" s="1" t="s">
        <v>137</v>
      </c>
      <c r="S302" s="1" t="s">
        <v>137</v>
      </c>
      <c r="T302" s="1" t="s">
        <v>47</v>
      </c>
      <c r="U302" s="1" t="s">
        <v>4301</v>
      </c>
      <c r="V302" s="4"/>
      <c r="W302" s="4"/>
      <c r="X302" s="4"/>
    </row>
    <row r="303">
      <c r="A303" s="1" t="s">
        <v>9347</v>
      </c>
      <c r="B303" s="1" t="s">
        <v>4293</v>
      </c>
      <c r="C303" s="1" t="s">
        <v>9351</v>
      </c>
      <c r="D303" s="1" t="s">
        <v>1932</v>
      </c>
      <c r="E303" s="1" t="s">
        <v>175</v>
      </c>
      <c r="F303" s="1" t="s">
        <v>763</v>
      </c>
      <c r="G303" s="1" t="s">
        <v>3768</v>
      </c>
      <c r="H303" s="3">
        <v>44385.0</v>
      </c>
      <c r="I303" s="3">
        <v>44376.0</v>
      </c>
      <c r="J303" s="3">
        <v>44376.0</v>
      </c>
      <c r="K303" s="1" t="s">
        <v>215</v>
      </c>
      <c r="L303" s="1" t="s">
        <v>160</v>
      </c>
      <c r="M303" s="1" t="s">
        <v>216</v>
      </c>
      <c r="N303" s="1" t="s">
        <v>131</v>
      </c>
      <c r="O303" s="13"/>
      <c r="P303" s="4"/>
      <c r="Q303" s="4"/>
      <c r="R303" s="1" t="s">
        <v>137</v>
      </c>
      <c r="S303" s="1" t="s">
        <v>137</v>
      </c>
      <c r="T303" s="1" t="s">
        <v>47</v>
      </c>
      <c r="U303" s="1" t="s">
        <v>4301</v>
      </c>
      <c r="V303" s="4"/>
      <c r="W303" s="4"/>
      <c r="X303" s="4"/>
    </row>
    <row r="304">
      <c r="A304" s="1" t="s">
        <v>7481</v>
      </c>
      <c r="B304" s="1" t="s">
        <v>4293</v>
      </c>
      <c r="C304" s="1" t="s">
        <v>9368</v>
      </c>
      <c r="D304" s="1" t="s">
        <v>313</v>
      </c>
      <c r="E304" s="1" t="s">
        <v>175</v>
      </c>
      <c r="F304" s="1" t="s">
        <v>1767</v>
      </c>
      <c r="G304" s="1" t="s">
        <v>2199</v>
      </c>
      <c r="H304" s="3">
        <v>44372.0</v>
      </c>
      <c r="I304" s="3">
        <v>44372.0</v>
      </c>
      <c r="J304" s="3">
        <v>44372.0</v>
      </c>
      <c r="K304" s="1" t="s">
        <v>215</v>
      </c>
      <c r="L304" s="1" t="s">
        <v>160</v>
      </c>
      <c r="M304" s="1" t="s">
        <v>216</v>
      </c>
      <c r="N304" s="1" t="s">
        <v>131</v>
      </c>
      <c r="O304" s="13"/>
      <c r="P304" s="4"/>
      <c r="Q304" s="4"/>
      <c r="R304" s="1" t="s">
        <v>137</v>
      </c>
      <c r="S304" s="1" t="s">
        <v>137</v>
      </c>
      <c r="T304" s="1" t="s">
        <v>47</v>
      </c>
      <c r="U304" s="1" t="s">
        <v>4301</v>
      </c>
      <c r="V304" s="4"/>
      <c r="W304" s="4"/>
      <c r="X304" s="4"/>
    </row>
    <row r="305">
      <c r="A305" s="1" t="s">
        <v>9387</v>
      </c>
      <c r="B305" s="1" t="s">
        <v>4293</v>
      </c>
      <c r="C305" s="1" t="s">
        <v>9389</v>
      </c>
      <c r="D305" s="1" t="s">
        <v>273</v>
      </c>
      <c r="E305" s="1" t="s">
        <v>330</v>
      </c>
      <c r="F305" s="1" t="s">
        <v>331</v>
      </c>
      <c r="G305" s="1" t="s">
        <v>721</v>
      </c>
      <c r="H305" s="3">
        <v>45834.0</v>
      </c>
      <c r="I305" s="3"/>
      <c r="J305" s="3"/>
      <c r="K305" s="1" t="s">
        <v>124</v>
      </c>
      <c r="L305" s="1" t="s">
        <v>160</v>
      </c>
      <c r="M305" s="1" t="s">
        <v>253</v>
      </c>
      <c r="N305" s="1" t="s">
        <v>131</v>
      </c>
      <c r="O305" s="13"/>
      <c r="P305" s="4"/>
      <c r="Q305" s="4"/>
      <c r="R305" s="1" t="s">
        <v>137</v>
      </c>
      <c r="S305" s="1" t="s">
        <v>137</v>
      </c>
      <c r="T305" s="1" t="s">
        <v>47</v>
      </c>
      <c r="U305" s="1" t="s">
        <v>4301</v>
      </c>
      <c r="V305" s="4"/>
      <c r="W305" s="4"/>
      <c r="X305" s="4"/>
    </row>
    <row r="306">
      <c r="A306" s="1" t="s">
        <v>9382</v>
      </c>
      <c r="B306" s="1" t="s">
        <v>4293</v>
      </c>
      <c r="C306" s="1" t="s">
        <v>9408</v>
      </c>
      <c r="D306" s="1" t="s">
        <v>273</v>
      </c>
      <c r="E306" s="1" t="s">
        <v>175</v>
      </c>
      <c r="F306" s="1" t="s">
        <v>1116</v>
      </c>
      <c r="G306" s="1" t="s">
        <v>2818</v>
      </c>
      <c r="H306" s="3">
        <v>44452.0</v>
      </c>
      <c r="I306" s="3">
        <v>44452.0</v>
      </c>
      <c r="J306" s="3">
        <v>44452.0</v>
      </c>
      <c r="K306" s="1" t="s">
        <v>215</v>
      </c>
      <c r="L306" s="1" t="s">
        <v>160</v>
      </c>
      <c r="M306" s="1" t="s">
        <v>216</v>
      </c>
      <c r="N306" s="1" t="s">
        <v>131</v>
      </c>
      <c r="O306" s="13"/>
      <c r="P306" s="4"/>
      <c r="Q306" s="4"/>
      <c r="R306" s="1" t="s">
        <v>137</v>
      </c>
      <c r="S306" s="1" t="s">
        <v>137</v>
      </c>
      <c r="T306" s="1" t="s">
        <v>47</v>
      </c>
      <c r="U306" s="1" t="s">
        <v>4301</v>
      </c>
      <c r="V306" s="4"/>
      <c r="W306" s="4"/>
      <c r="X306" s="4"/>
    </row>
    <row r="307">
      <c r="A307" s="1" t="s">
        <v>9421</v>
      </c>
      <c r="B307" s="1" t="s">
        <v>4293</v>
      </c>
      <c r="C307" s="1" t="s">
        <v>9424</v>
      </c>
      <c r="D307" s="1" t="s">
        <v>172</v>
      </c>
      <c r="E307" s="1" t="s">
        <v>292</v>
      </c>
      <c r="F307" s="1" t="s">
        <v>293</v>
      </c>
      <c r="G307" s="1" t="s">
        <v>2091</v>
      </c>
      <c r="H307" s="3">
        <v>44075.0</v>
      </c>
      <c r="I307" s="3">
        <v>44148.0</v>
      </c>
      <c r="J307" s="3">
        <v>44148.0</v>
      </c>
      <c r="K307" s="1" t="s">
        <v>215</v>
      </c>
      <c r="L307" s="1" t="s">
        <v>160</v>
      </c>
      <c r="M307" s="1" t="s">
        <v>216</v>
      </c>
      <c r="N307" s="1" t="s">
        <v>131</v>
      </c>
      <c r="O307" s="13"/>
      <c r="P307" s="4"/>
      <c r="Q307" s="4"/>
      <c r="R307" s="1" t="s">
        <v>137</v>
      </c>
      <c r="S307" s="1" t="s">
        <v>137</v>
      </c>
      <c r="T307" s="1" t="s">
        <v>47</v>
      </c>
      <c r="U307" s="1" t="s">
        <v>4301</v>
      </c>
      <c r="V307" s="4"/>
      <c r="W307" s="4"/>
      <c r="X307" s="4"/>
    </row>
    <row r="308">
      <c r="A308" s="1" t="s">
        <v>8713</v>
      </c>
      <c r="B308" s="1" t="s">
        <v>4293</v>
      </c>
      <c r="C308" s="1" t="s">
        <v>9434</v>
      </c>
      <c r="D308" s="1" t="s">
        <v>313</v>
      </c>
      <c r="E308" s="1"/>
      <c r="F308" s="1"/>
      <c r="G308" s="1"/>
      <c r="H308" s="3">
        <v>44349.0</v>
      </c>
      <c r="I308" s="3">
        <v>44455.0</v>
      </c>
      <c r="J308" s="3">
        <v>44455.0</v>
      </c>
      <c r="K308" s="1" t="s">
        <v>215</v>
      </c>
      <c r="L308" s="1" t="s">
        <v>160</v>
      </c>
      <c r="M308" s="1" t="s">
        <v>216</v>
      </c>
      <c r="N308" s="1" t="s">
        <v>131</v>
      </c>
      <c r="O308" s="13"/>
      <c r="P308" s="1"/>
      <c r="Q308" s="4"/>
      <c r="R308" s="1" t="s">
        <v>137</v>
      </c>
      <c r="S308" s="1" t="s">
        <v>137</v>
      </c>
      <c r="T308" s="1" t="s">
        <v>47</v>
      </c>
      <c r="U308" s="1" t="s">
        <v>4301</v>
      </c>
      <c r="V308" s="4"/>
      <c r="W308" s="4"/>
      <c r="X308" s="4"/>
    </row>
    <row r="309">
      <c r="A309" s="1" t="s">
        <v>2138</v>
      </c>
      <c r="B309" s="1" t="s">
        <v>146</v>
      </c>
      <c r="C309" s="1" t="s">
        <v>2140</v>
      </c>
      <c r="D309" s="1" t="s">
        <v>1360</v>
      </c>
      <c r="E309" s="1" t="s">
        <v>175</v>
      </c>
      <c r="F309" s="1" t="s">
        <v>177</v>
      </c>
      <c r="G309" s="1" t="s">
        <v>1778</v>
      </c>
      <c r="H309" s="3">
        <v>46129.0</v>
      </c>
      <c r="I309" s="3"/>
      <c r="J309" s="13"/>
      <c r="K309" s="1" t="s">
        <v>124</v>
      </c>
      <c r="L309" s="1" t="s">
        <v>160</v>
      </c>
      <c r="M309" s="1" t="s">
        <v>162</v>
      </c>
      <c r="N309" s="1" t="s">
        <v>131</v>
      </c>
      <c r="O309" s="13"/>
      <c r="P309" s="1" t="s">
        <v>2143</v>
      </c>
      <c r="Q309" s="4"/>
      <c r="R309" s="1" t="s">
        <v>137</v>
      </c>
      <c r="S309" s="1" t="s">
        <v>137</v>
      </c>
      <c r="T309" s="1" t="s">
        <v>47</v>
      </c>
      <c r="U309" s="1" t="s">
        <v>3975</v>
      </c>
      <c r="V309" s="4"/>
      <c r="W309" s="4"/>
      <c r="X309" s="4"/>
    </row>
    <row r="310">
      <c r="A310" s="1" t="s">
        <v>2149</v>
      </c>
      <c r="B310" s="1" t="s">
        <v>116</v>
      </c>
      <c r="C310" s="1" t="s">
        <v>2140</v>
      </c>
      <c r="D310" s="1" t="s">
        <v>1360</v>
      </c>
      <c r="E310" s="1" t="s">
        <v>175</v>
      </c>
      <c r="F310" s="1" t="s">
        <v>177</v>
      </c>
      <c r="G310" s="1" t="s">
        <v>1778</v>
      </c>
      <c r="H310" s="3">
        <v>46225.0</v>
      </c>
      <c r="I310" s="3">
        <v>46374.0</v>
      </c>
      <c r="J310" s="13"/>
      <c r="K310" s="1" t="s">
        <v>124</v>
      </c>
      <c r="L310" s="1" t="s">
        <v>160</v>
      </c>
      <c r="M310" s="1" t="s">
        <v>162</v>
      </c>
      <c r="N310" s="1" t="s">
        <v>131</v>
      </c>
      <c r="O310" s="13"/>
      <c r="P310" s="1"/>
      <c r="Q310" s="4"/>
      <c r="R310" s="1" t="s">
        <v>665</v>
      </c>
      <c r="S310" s="1" t="s">
        <v>665</v>
      </c>
      <c r="T310" s="1" t="s">
        <v>666</v>
      </c>
      <c r="U310" s="1" t="s">
        <v>4482</v>
      </c>
      <c r="V310" s="4"/>
      <c r="W310" s="4"/>
      <c r="X310" s="4"/>
    </row>
    <row r="311">
      <c r="A311" s="1" t="s">
        <v>2146</v>
      </c>
      <c r="B311" s="1" t="s">
        <v>116</v>
      </c>
      <c r="C311" s="1" t="s">
        <v>2140</v>
      </c>
      <c r="D311" s="1" t="s">
        <v>1360</v>
      </c>
      <c r="E311" s="1" t="s">
        <v>175</v>
      </c>
      <c r="F311" s="1" t="s">
        <v>177</v>
      </c>
      <c r="G311" s="1" t="s">
        <v>1778</v>
      </c>
      <c r="H311" s="3">
        <v>46129.0</v>
      </c>
      <c r="I311" s="3"/>
      <c r="J311" s="13"/>
      <c r="K311" s="1" t="s">
        <v>124</v>
      </c>
      <c r="L311" s="1" t="s">
        <v>71</v>
      </c>
      <c r="M311" s="1" t="s">
        <v>162</v>
      </c>
      <c r="N311" s="1" t="s">
        <v>131</v>
      </c>
      <c r="O311" s="13"/>
      <c r="P311" s="1" t="s">
        <v>2143</v>
      </c>
      <c r="Q311" s="4"/>
      <c r="R311" s="1" t="s">
        <v>137</v>
      </c>
      <c r="S311" s="1" t="s">
        <v>137</v>
      </c>
      <c r="T311" s="1" t="s">
        <v>47</v>
      </c>
      <c r="U311" s="1"/>
      <c r="V311" s="4"/>
      <c r="W311" s="4"/>
      <c r="X311" s="4"/>
    </row>
    <row r="312">
      <c r="A312" s="1" t="s">
        <v>9501</v>
      </c>
      <c r="B312" s="1" t="s">
        <v>4293</v>
      </c>
      <c r="C312" s="1" t="s">
        <v>9502</v>
      </c>
      <c r="D312" s="1" t="s">
        <v>388</v>
      </c>
      <c r="E312" s="1" t="s">
        <v>292</v>
      </c>
      <c r="F312" s="1" t="s">
        <v>962</v>
      </c>
      <c r="G312" s="1" t="s">
        <v>5046</v>
      </c>
      <c r="H312" s="3">
        <v>45541.0</v>
      </c>
      <c r="I312" s="3"/>
      <c r="J312" s="3"/>
      <c r="K312" s="1" t="s">
        <v>124</v>
      </c>
      <c r="L312" s="1" t="s">
        <v>160</v>
      </c>
      <c r="M312" s="1" t="s">
        <v>253</v>
      </c>
      <c r="N312" s="1" t="s">
        <v>131</v>
      </c>
      <c r="O312" s="4"/>
      <c r="P312" s="4"/>
      <c r="Q312" s="4"/>
      <c r="R312" s="1" t="s">
        <v>137</v>
      </c>
      <c r="S312" s="1" t="s">
        <v>137</v>
      </c>
      <c r="T312" s="1" t="s">
        <v>47</v>
      </c>
      <c r="U312" s="1" t="s">
        <v>4301</v>
      </c>
      <c r="V312" s="4"/>
      <c r="W312" s="4"/>
      <c r="X312" s="4"/>
    </row>
    <row r="313">
      <c r="A313" s="1" t="s">
        <v>6492</v>
      </c>
      <c r="B313" s="1" t="s">
        <v>4293</v>
      </c>
      <c r="C313" s="1" t="s">
        <v>9519</v>
      </c>
      <c r="D313" s="1" t="s">
        <v>1477</v>
      </c>
      <c r="E313" s="1" t="s">
        <v>175</v>
      </c>
      <c r="F313" s="1" t="s">
        <v>1767</v>
      </c>
      <c r="G313" s="1" t="s">
        <v>2199</v>
      </c>
      <c r="H313" s="3">
        <v>45947.0</v>
      </c>
      <c r="I313" s="3">
        <v>46031.0</v>
      </c>
      <c r="J313" s="3">
        <v>46031.0</v>
      </c>
      <c r="K313" s="1" t="s">
        <v>215</v>
      </c>
      <c r="L313" s="1" t="s">
        <v>160</v>
      </c>
      <c r="M313" s="1" t="s">
        <v>216</v>
      </c>
      <c r="N313" s="1" t="s">
        <v>131</v>
      </c>
      <c r="O313" s="13"/>
      <c r="P313" s="4"/>
      <c r="Q313" s="4"/>
      <c r="R313" s="1" t="s">
        <v>137</v>
      </c>
      <c r="S313" s="1" t="s">
        <v>137</v>
      </c>
      <c r="T313" s="1" t="s">
        <v>47</v>
      </c>
      <c r="U313" s="1" t="s">
        <v>4301</v>
      </c>
      <c r="V313" s="4"/>
      <c r="W313" s="4"/>
      <c r="X313" s="4"/>
    </row>
    <row r="314">
      <c r="A314" s="1" t="s">
        <v>9535</v>
      </c>
      <c r="B314" s="1" t="s">
        <v>4293</v>
      </c>
      <c r="C314" s="1" t="s">
        <v>9538</v>
      </c>
      <c r="D314" s="1" t="s">
        <v>518</v>
      </c>
      <c r="E314" s="1" t="s">
        <v>520</v>
      </c>
      <c r="F314" s="1" t="s">
        <v>522</v>
      </c>
      <c r="G314" s="1" t="s">
        <v>6067</v>
      </c>
      <c r="H314" s="3">
        <v>45826.0</v>
      </c>
      <c r="I314" s="3">
        <v>46056.0</v>
      </c>
      <c r="J314" s="3">
        <v>46056.0</v>
      </c>
      <c r="K314" s="1" t="s">
        <v>215</v>
      </c>
      <c r="L314" s="1" t="s">
        <v>160</v>
      </c>
      <c r="M314" s="1" t="s">
        <v>216</v>
      </c>
      <c r="N314" s="1" t="s">
        <v>131</v>
      </c>
      <c r="O314" s="13"/>
      <c r="P314" s="4"/>
      <c r="Q314" s="4"/>
      <c r="R314" s="1" t="s">
        <v>137</v>
      </c>
      <c r="S314" s="1" t="s">
        <v>137</v>
      </c>
      <c r="T314" s="1" t="s">
        <v>47</v>
      </c>
      <c r="U314" s="1" t="s">
        <v>4301</v>
      </c>
      <c r="V314" s="4"/>
      <c r="W314" s="4"/>
      <c r="X314" s="4"/>
    </row>
    <row r="315">
      <c r="A315" s="1" t="s">
        <v>7301</v>
      </c>
      <c r="B315" s="1" t="s">
        <v>4293</v>
      </c>
      <c r="C315" s="1" t="s">
        <v>9556</v>
      </c>
      <c r="D315" s="1" t="s">
        <v>831</v>
      </c>
      <c r="E315" s="1" t="s">
        <v>292</v>
      </c>
      <c r="F315" s="1" t="s">
        <v>576</v>
      </c>
      <c r="G315" s="1" t="s">
        <v>1603</v>
      </c>
      <c r="H315" s="3">
        <v>43342.0</v>
      </c>
      <c r="I315" s="3">
        <v>43344.0</v>
      </c>
      <c r="J315" s="3">
        <v>43344.0</v>
      </c>
      <c r="K315" s="1" t="s">
        <v>215</v>
      </c>
      <c r="L315" s="1" t="s">
        <v>160</v>
      </c>
      <c r="M315" s="1" t="s">
        <v>216</v>
      </c>
      <c r="N315" s="1" t="s">
        <v>131</v>
      </c>
      <c r="O315" s="13"/>
      <c r="P315" s="1"/>
      <c r="Q315" s="4"/>
      <c r="R315" s="1" t="s">
        <v>137</v>
      </c>
      <c r="S315" s="1" t="s">
        <v>137</v>
      </c>
      <c r="T315" s="1" t="s">
        <v>47</v>
      </c>
      <c r="U315" s="1" t="s">
        <v>4301</v>
      </c>
      <c r="V315" s="4"/>
      <c r="W315" s="4"/>
      <c r="X315" s="4"/>
    </row>
    <row r="316">
      <c r="A316" s="1" t="s">
        <v>2160</v>
      </c>
      <c r="B316" s="1" t="s">
        <v>116</v>
      </c>
      <c r="C316" s="1" t="s">
        <v>2161</v>
      </c>
      <c r="D316" s="1" t="s">
        <v>960</v>
      </c>
      <c r="E316" s="1" t="s">
        <v>209</v>
      </c>
      <c r="F316" s="1" t="s">
        <v>210</v>
      </c>
      <c r="G316" s="1" t="s">
        <v>211</v>
      </c>
      <c r="H316" s="3">
        <v>46139.0</v>
      </c>
      <c r="I316" s="3">
        <v>46329.0</v>
      </c>
      <c r="J316" s="13"/>
      <c r="K316" s="1" t="s">
        <v>124</v>
      </c>
      <c r="L316" s="1" t="s">
        <v>160</v>
      </c>
      <c r="M316" s="1" t="s">
        <v>460</v>
      </c>
      <c r="N316" s="1" t="s">
        <v>365</v>
      </c>
      <c r="O316" s="13"/>
      <c r="P316" s="1" t="s">
        <v>2162</v>
      </c>
      <c r="Q316" s="4"/>
      <c r="R316" s="1" t="s">
        <v>137</v>
      </c>
      <c r="S316" s="1" t="s">
        <v>137</v>
      </c>
      <c r="T316" s="1" t="s">
        <v>47</v>
      </c>
      <c r="U316" s="1" t="s">
        <v>4188</v>
      </c>
      <c r="V316" s="4"/>
      <c r="W316" s="4"/>
      <c r="X316" s="4"/>
    </row>
    <row r="317">
      <c r="A317" s="1" t="s">
        <v>9602</v>
      </c>
      <c r="B317" s="1" t="s">
        <v>4293</v>
      </c>
      <c r="C317" s="1" t="s">
        <v>9604</v>
      </c>
      <c r="D317" s="1" t="s">
        <v>831</v>
      </c>
      <c r="E317" s="1" t="s">
        <v>292</v>
      </c>
      <c r="F317" s="1" t="s">
        <v>576</v>
      </c>
      <c r="G317" s="1" t="s">
        <v>2859</v>
      </c>
      <c r="H317" s="3">
        <v>43773.0</v>
      </c>
      <c r="I317" s="3">
        <v>44012.0</v>
      </c>
      <c r="J317" s="3">
        <v>44012.0</v>
      </c>
      <c r="K317" s="1" t="s">
        <v>215</v>
      </c>
      <c r="L317" s="1" t="s">
        <v>160</v>
      </c>
      <c r="M317" s="1" t="s">
        <v>216</v>
      </c>
      <c r="N317" s="1" t="s">
        <v>131</v>
      </c>
      <c r="O317" s="13"/>
      <c r="P317" s="1"/>
      <c r="Q317" s="4"/>
      <c r="R317" s="1" t="s">
        <v>137</v>
      </c>
      <c r="S317" s="1" t="s">
        <v>137</v>
      </c>
      <c r="T317" s="1" t="s">
        <v>47</v>
      </c>
      <c r="U317" s="1" t="s">
        <v>4301</v>
      </c>
      <c r="V317" s="4"/>
      <c r="W317" s="4"/>
      <c r="X317" s="4"/>
    </row>
    <row r="318">
      <c r="A318" s="1" t="s">
        <v>9622</v>
      </c>
      <c r="B318" s="1" t="s">
        <v>146</v>
      </c>
      <c r="C318" s="1" t="s">
        <v>9624</v>
      </c>
      <c r="D318" s="1" t="s">
        <v>388</v>
      </c>
      <c r="E318" s="1" t="s">
        <v>691</v>
      </c>
      <c r="F318" s="1" t="s">
        <v>2998</v>
      </c>
      <c r="G318" s="1" t="s">
        <v>3465</v>
      </c>
      <c r="H318" s="3">
        <v>46307.0</v>
      </c>
      <c r="I318" s="3">
        <v>46525.0</v>
      </c>
      <c r="J318" s="13"/>
      <c r="K318" s="1" t="s">
        <v>124</v>
      </c>
      <c r="L318" s="1" t="s">
        <v>98</v>
      </c>
      <c r="M318" s="1" t="s">
        <v>162</v>
      </c>
      <c r="N318" s="1" t="s">
        <v>131</v>
      </c>
      <c r="O318" s="13"/>
      <c r="P318" s="1" t="s">
        <v>9635</v>
      </c>
      <c r="Q318" s="4"/>
      <c r="R318" s="1" t="s">
        <v>137</v>
      </c>
      <c r="S318" s="1" t="s">
        <v>137</v>
      </c>
      <c r="T318" s="1" t="s">
        <v>47</v>
      </c>
      <c r="U318" s="1"/>
      <c r="V318" s="4"/>
      <c r="W318" s="4"/>
      <c r="X318" s="4"/>
    </row>
    <row r="319">
      <c r="A319" s="1" t="s">
        <v>9244</v>
      </c>
      <c r="B319" s="1" t="s">
        <v>4293</v>
      </c>
      <c r="C319" s="1" t="s">
        <v>2166</v>
      </c>
      <c r="D319" s="1" t="s">
        <v>1067</v>
      </c>
      <c r="E319" s="1" t="s">
        <v>330</v>
      </c>
      <c r="F319" s="1" t="s">
        <v>663</v>
      </c>
      <c r="G319" s="1" t="s">
        <v>1068</v>
      </c>
      <c r="H319" s="3">
        <v>45504.0</v>
      </c>
      <c r="I319" s="3">
        <v>45540.0</v>
      </c>
      <c r="J319" s="3">
        <v>45540.0</v>
      </c>
      <c r="K319" s="1" t="s">
        <v>215</v>
      </c>
      <c r="L319" s="1" t="s">
        <v>160</v>
      </c>
      <c r="M319" s="1" t="s">
        <v>216</v>
      </c>
      <c r="N319" s="1" t="s">
        <v>131</v>
      </c>
      <c r="O319" s="13"/>
      <c r="P319" s="4"/>
      <c r="Q319" s="4"/>
      <c r="R319" s="1" t="s">
        <v>137</v>
      </c>
      <c r="S319" s="1" t="s">
        <v>137</v>
      </c>
      <c r="T319" s="1" t="s">
        <v>47</v>
      </c>
      <c r="U319" s="1" t="s">
        <v>4301</v>
      </c>
      <c r="V319" s="4"/>
      <c r="W319" s="4"/>
      <c r="X319" s="4"/>
    </row>
    <row r="320">
      <c r="A320" s="1" t="s">
        <v>9658</v>
      </c>
      <c r="B320" s="1" t="s">
        <v>4293</v>
      </c>
      <c r="C320" s="1" t="s">
        <v>2180</v>
      </c>
      <c r="D320" s="1" t="s">
        <v>831</v>
      </c>
      <c r="E320" s="1" t="s">
        <v>889</v>
      </c>
      <c r="F320" s="1" t="s">
        <v>1983</v>
      </c>
      <c r="G320" s="1"/>
      <c r="H320" s="3">
        <v>45903.0</v>
      </c>
      <c r="I320" s="3"/>
      <c r="J320" s="3"/>
      <c r="K320" s="1" t="s">
        <v>124</v>
      </c>
      <c r="L320" s="1" t="s">
        <v>160</v>
      </c>
      <c r="M320" s="1" t="s">
        <v>253</v>
      </c>
      <c r="N320" s="1" t="s">
        <v>131</v>
      </c>
      <c r="O320" s="13"/>
      <c r="P320" s="4"/>
      <c r="Q320" s="4"/>
      <c r="R320" s="1" t="s">
        <v>137</v>
      </c>
      <c r="S320" s="1" t="s">
        <v>137</v>
      </c>
      <c r="T320" s="1" t="s">
        <v>47</v>
      </c>
      <c r="U320" s="1" t="s">
        <v>4301</v>
      </c>
      <c r="V320" s="4"/>
      <c r="W320" s="4"/>
      <c r="X320" s="4"/>
    </row>
    <row r="321">
      <c r="A321" s="1" t="s">
        <v>9675</v>
      </c>
      <c r="B321" s="1" t="s">
        <v>4293</v>
      </c>
      <c r="C321" s="1" t="s">
        <v>9679</v>
      </c>
      <c r="D321" s="1" t="s">
        <v>518</v>
      </c>
      <c r="E321" s="1" t="s">
        <v>520</v>
      </c>
      <c r="F321" s="1" t="s">
        <v>522</v>
      </c>
      <c r="G321" s="1" t="s">
        <v>6067</v>
      </c>
      <c r="H321" s="3">
        <v>45509.0</v>
      </c>
      <c r="I321" s="3">
        <v>45778.0</v>
      </c>
      <c r="J321" s="3">
        <v>45778.0</v>
      </c>
      <c r="K321" s="1" t="s">
        <v>215</v>
      </c>
      <c r="L321" s="1" t="s">
        <v>160</v>
      </c>
      <c r="M321" s="1" t="s">
        <v>216</v>
      </c>
      <c r="N321" s="1" t="s">
        <v>131</v>
      </c>
      <c r="O321" s="13"/>
      <c r="P321" s="4"/>
      <c r="Q321" s="4"/>
      <c r="R321" s="1" t="s">
        <v>137</v>
      </c>
      <c r="S321" s="1" t="s">
        <v>137</v>
      </c>
      <c r="T321" s="1" t="s">
        <v>47</v>
      </c>
      <c r="U321" s="1" t="s">
        <v>4301</v>
      </c>
      <c r="V321" s="4"/>
      <c r="W321" s="4"/>
      <c r="X321" s="4"/>
    </row>
    <row r="322">
      <c r="A322" s="1" t="s">
        <v>6043</v>
      </c>
      <c r="B322" s="1" t="s">
        <v>4293</v>
      </c>
      <c r="C322" s="1" t="s">
        <v>9697</v>
      </c>
      <c r="D322" s="1" t="s">
        <v>118</v>
      </c>
      <c r="E322" s="1" t="s">
        <v>330</v>
      </c>
      <c r="F322" s="1" t="s">
        <v>663</v>
      </c>
      <c r="G322" s="1" t="s">
        <v>2835</v>
      </c>
      <c r="H322" s="3">
        <v>44349.0</v>
      </c>
      <c r="I322" s="3">
        <v>44676.0</v>
      </c>
      <c r="J322" s="3">
        <v>44676.0</v>
      </c>
      <c r="K322" s="1" t="s">
        <v>215</v>
      </c>
      <c r="L322" s="1" t="s">
        <v>160</v>
      </c>
      <c r="M322" s="1" t="s">
        <v>216</v>
      </c>
      <c r="N322" s="1" t="s">
        <v>131</v>
      </c>
      <c r="O322" s="13"/>
      <c r="P322" s="4"/>
      <c r="Q322" s="4"/>
      <c r="R322" s="1" t="s">
        <v>137</v>
      </c>
      <c r="S322" s="1" t="s">
        <v>137</v>
      </c>
      <c r="T322" s="1" t="s">
        <v>47</v>
      </c>
      <c r="U322" s="1" t="s">
        <v>4301</v>
      </c>
      <c r="V322" s="4"/>
      <c r="W322" s="4"/>
      <c r="X322" s="4"/>
    </row>
    <row r="323">
      <c r="A323" s="1" t="s">
        <v>9714</v>
      </c>
      <c r="B323" s="1" t="s">
        <v>4293</v>
      </c>
      <c r="C323" s="1" t="s">
        <v>9716</v>
      </c>
      <c r="D323" s="1" t="s">
        <v>1291</v>
      </c>
      <c r="E323" s="1" t="s">
        <v>175</v>
      </c>
      <c r="F323" s="1" t="s">
        <v>177</v>
      </c>
      <c r="G323" s="1" t="s">
        <v>1778</v>
      </c>
      <c r="H323" s="3">
        <v>43843.0</v>
      </c>
      <c r="I323" s="3">
        <v>44026.0</v>
      </c>
      <c r="J323" s="3">
        <v>44026.0</v>
      </c>
      <c r="K323" s="1" t="s">
        <v>215</v>
      </c>
      <c r="L323" s="1" t="s">
        <v>160</v>
      </c>
      <c r="M323" s="1" t="s">
        <v>216</v>
      </c>
      <c r="N323" s="1" t="s">
        <v>131</v>
      </c>
      <c r="O323" s="13"/>
      <c r="P323" s="4"/>
      <c r="Q323" s="4"/>
      <c r="R323" s="1" t="s">
        <v>137</v>
      </c>
      <c r="S323" s="1" t="s">
        <v>137</v>
      </c>
      <c r="T323" s="1" t="s">
        <v>47</v>
      </c>
      <c r="U323" s="1" t="s">
        <v>4301</v>
      </c>
      <c r="V323" s="4"/>
      <c r="W323" s="4"/>
      <c r="X323" s="4"/>
    </row>
    <row r="324">
      <c r="A324" s="1" t="s">
        <v>9581</v>
      </c>
      <c r="B324" s="1" t="s">
        <v>4293</v>
      </c>
      <c r="C324" s="1" t="s">
        <v>9733</v>
      </c>
      <c r="D324" s="1" t="s">
        <v>1469</v>
      </c>
      <c r="E324" s="1" t="s">
        <v>292</v>
      </c>
      <c r="F324" s="1" t="s">
        <v>962</v>
      </c>
      <c r="G324" s="1" t="s">
        <v>1969</v>
      </c>
      <c r="H324" s="3">
        <v>46036.0</v>
      </c>
      <c r="I324" s="13"/>
      <c r="J324" s="13"/>
      <c r="K324" s="1" t="s">
        <v>124</v>
      </c>
      <c r="L324" s="1" t="s">
        <v>160</v>
      </c>
      <c r="M324" s="1" t="s">
        <v>460</v>
      </c>
      <c r="N324" s="1" t="s">
        <v>131</v>
      </c>
      <c r="O324" s="13"/>
      <c r="P324" s="1" t="s">
        <v>9744</v>
      </c>
      <c r="Q324" s="4"/>
      <c r="R324" s="1" t="s">
        <v>137</v>
      </c>
      <c r="S324" s="1" t="s">
        <v>137</v>
      </c>
      <c r="T324" s="1" t="s">
        <v>47</v>
      </c>
      <c r="U324" s="1" t="s">
        <v>9750</v>
      </c>
      <c r="V324" s="4"/>
      <c r="W324" s="4"/>
      <c r="X324" s="4"/>
    </row>
    <row r="325">
      <c r="A325" s="1" t="s">
        <v>9753</v>
      </c>
      <c r="B325" s="1" t="s">
        <v>4293</v>
      </c>
      <c r="C325" s="1" t="s">
        <v>9756</v>
      </c>
      <c r="D325" s="1" t="s">
        <v>2198</v>
      </c>
      <c r="E325" s="1" t="s">
        <v>175</v>
      </c>
      <c r="F325" s="1" t="s">
        <v>1767</v>
      </c>
      <c r="G325" s="1" t="s">
        <v>3835</v>
      </c>
      <c r="H325" s="3">
        <v>45891.0</v>
      </c>
      <c r="I325" s="3"/>
      <c r="J325" s="3"/>
      <c r="K325" s="1" t="s">
        <v>124</v>
      </c>
      <c r="L325" s="1" t="s">
        <v>160</v>
      </c>
      <c r="M325" s="1" t="s">
        <v>253</v>
      </c>
      <c r="N325" s="1" t="s">
        <v>131</v>
      </c>
      <c r="O325" s="13"/>
      <c r="P325" s="4"/>
      <c r="Q325" s="4"/>
      <c r="R325" s="1" t="s">
        <v>137</v>
      </c>
      <c r="S325" s="1" t="s">
        <v>137</v>
      </c>
      <c r="T325" s="1" t="s">
        <v>47</v>
      </c>
      <c r="U325" s="1" t="s">
        <v>4301</v>
      </c>
      <c r="V325" s="4"/>
      <c r="W325" s="4"/>
      <c r="X325" s="4"/>
    </row>
    <row r="326">
      <c r="A326" s="1" t="s">
        <v>9774</v>
      </c>
      <c r="B326" s="1" t="s">
        <v>4293</v>
      </c>
      <c r="C326" s="1" t="s">
        <v>9777</v>
      </c>
      <c r="D326" s="1" t="s">
        <v>1823</v>
      </c>
      <c r="E326" s="1" t="s">
        <v>292</v>
      </c>
      <c r="F326" s="1" t="s">
        <v>293</v>
      </c>
      <c r="G326" s="1" t="s">
        <v>2091</v>
      </c>
      <c r="H326" s="3">
        <v>45564.0</v>
      </c>
      <c r="I326" s="3">
        <v>45855.0</v>
      </c>
      <c r="J326" s="3">
        <v>45855.0</v>
      </c>
      <c r="K326" s="1" t="s">
        <v>215</v>
      </c>
      <c r="L326" s="1" t="s">
        <v>160</v>
      </c>
      <c r="M326" s="1" t="s">
        <v>216</v>
      </c>
      <c r="N326" s="1" t="s">
        <v>131</v>
      </c>
      <c r="O326" s="13"/>
      <c r="P326" s="4"/>
      <c r="Q326" s="4"/>
      <c r="R326" s="1" t="s">
        <v>137</v>
      </c>
      <c r="S326" s="1" t="s">
        <v>137</v>
      </c>
      <c r="T326" s="1" t="s">
        <v>47</v>
      </c>
      <c r="U326" s="1" t="s">
        <v>4301</v>
      </c>
      <c r="V326" s="4"/>
      <c r="W326" s="4"/>
      <c r="X326" s="4"/>
    </row>
    <row r="327">
      <c r="A327" s="1" t="s">
        <v>9789</v>
      </c>
      <c r="B327" s="1" t="s">
        <v>4293</v>
      </c>
      <c r="C327" s="1" t="s">
        <v>9792</v>
      </c>
      <c r="D327" s="1" t="s">
        <v>650</v>
      </c>
      <c r="E327" s="1" t="s">
        <v>292</v>
      </c>
      <c r="F327" s="1" t="s">
        <v>576</v>
      </c>
      <c r="G327" s="1" t="s">
        <v>1088</v>
      </c>
      <c r="H327" s="3">
        <v>44529.0</v>
      </c>
      <c r="I327" s="3">
        <v>44830.0</v>
      </c>
      <c r="J327" s="3">
        <v>44830.0</v>
      </c>
      <c r="K327" s="1" t="s">
        <v>215</v>
      </c>
      <c r="L327" s="1" t="s">
        <v>160</v>
      </c>
      <c r="M327" s="1" t="s">
        <v>216</v>
      </c>
      <c r="N327" s="1" t="s">
        <v>131</v>
      </c>
      <c r="O327" s="13"/>
      <c r="P327" s="1"/>
      <c r="Q327" s="4"/>
      <c r="R327" s="1" t="s">
        <v>137</v>
      </c>
      <c r="S327" s="1" t="s">
        <v>137</v>
      </c>
      <c r="T327" s="1" t="s">
        <v>47</v>
      </c>
      <c r="U327" s="1" t="s">
        <v>4301</v>
      </c>
      <c r="V327" s="4"/>
      <c r="W327" s="4"/>
      <c r="X327" s="4"/>
    </row>
    <row r="328">
      <c r="A328" s="1" t="s">
        <v>9808</v>
      </c>
      <c r="B328" s="1" t="s">
        <v>4293</v>
      </c>
      <c r="C328" s="1" t="s">
        <v>9813</v>
      </c>
      <c r="D328" s="1" t="s">
        <v>1798</v>
      </c>
      <c r="E328" s="1" t="s">
        <v>175</v>
      </c>
      <c r="F328" s="1" t="s">
        <v>1767</v>
      </c>
      <c r="G328" s="1" t="s">
        <v>3835</v>
      </c>
      <c r="H328" s="3">
        <v>44090.0</v>
      </c>
      <c r="I328" s="3">
        <v>44096.0</v>
      </c>
      <c r="J328" s="3">
        <v>44096.0</v>
      </c>
      <c r="K328" s="1" t="s">
        <v>215</v>
      </c>
      <c r="L328" s="1" t="s">
        <v>160</v>
      </c>
      <c r="M328" s="1" t="s">
        <v>216</v>
      </c>
      <c r="N328" s="1" t="s">
        <v>131</v>
      </c>
      <c r="O328" s="13"/>
      <c r="P328" s="1"/>
      <c r="Q328" s="4"/>
      <c r="R328" s="1" t="s">
        <v>137</v>
      </c>
      <c r="S328" s="1" t="s">
        <v>137</v>
      </c>
      <c r="T328" s="1" t="s">
        <v>47</v>
      </c>
      <c r="U328" s="1" t="s">
        <v>4301</v>
      </c>
      <c r="V328" s="4"/>
      <c r="W328" s="4"/>
      <c r="X328" s="4"/>
    </row>
    <row r="329">
      <c r="A329" s="1" t="s">
        <v>9830</v>
      </c>
      <c r="B329" s="1" t="s">
        <v>116</v>
      </c>
      <c r="C329" s="1" t="s">
        <v>9834</v>
      </c>
      <c r="D329" s="1" t="s">
        <v>1272</v>
      </c>
      <c r="E329" s="1" t="s">
        <v>2845</v>
      </c>
      <c r="F329" s="1" t="s">
        <v>2846</v>
      </c>
      <c r="G329" s="1" t="s">
        <v>2848</v>
      </c>
      <c r="H329" s="3">
        <v>46272.0</v>
      </c>
      <c r="I329" s="3"/>
      <c r="J329" s="3"/>
      <c r="K329" s="1" t="s">
        <v>124</v>
      </c>
      <c r="L329" s="1" t="s">
        <v>160</v>
      </c>
      <c r="M329" s="1" t="s">
        <v>162</v>
      </c>
      <c r="N329" s="1" t="s">
        <v>131</v>
      </c>
      <c r="O329" s="13"/>
      <c r="P329" s="1" t="s">
        <v>9846</v>
      </c>
      <c r="Q329" s="4"/>
      <c r="R329" s="1" t="s">
        <v>137</v>
      </c>
      <c r="S329" s="1" t="s">
        <v>137</v>
      </c>
      <c r="T329" s="1" t="s">
        <v>47</v>
      </c>
      <c r="U329" s="1" t="s">
        <v>9849</v>
      </c>
      <c r="V329" s="4"/>
      <c r="W329" s="4"/>
      <c r="X329" s="4"/>
    </row>
    <row r="330">
      <c r="A330" s="1" t="s">
        <v>2194</v>
      </c>
      <c r="B330" s="1" t="s">
        <v>116</v>
      </c>
      <c r="C330" s="1" t="s">
        <v>2196</v>
      </c>
      <c r="D330" s="1" t="s">
        <v>2198</v>
      </c>
      <c r="E330" s="1" t="s">
        <v>175</v>
      </c>
      <c r="F330" s="1" t="s">
        <v>1767</v>
      </c>
      <c r="G330" s="1" t="s">
        <v>2199</v>
      </c>
      <c r="H330" s="3">
        <v>46182.0</v>
      </c>
      <c r="I330" s="3">
        <v>46363.0</v>
      </c>
      <c r="J330" s="3"/>
      <c r="K330" s="1" t="s">
        <v>124</v>
      </c>
      <c r="L330" s="1" t="s">
        <v>71</v>
      </c>
      <c r="M330" s="1" t="s">
        <v>335</v>
      </c>
      <c r="N330" s="1" t="s">
        <v>131</v>
      </c>
      <c r="O330" s="13"/>
      <c r="P330" s="1" t="s">
        <v>2201</v>
      </c>
      <c r="Q330" s="4"/>
      <c r="R330" s="1" t="s">
        <v>137</v>
      </c>
      <c r="S330" s="1" t="s">
        <v>137</v>
      </c>
      <c r="T330" s="1" t="s">
        <v>47</v>
      </c>
      <c r="U330" s="1" t="s">
        <v>4308</v>
      </c>
      <c r="V330" s="4"/>
      <c r="W330" s="4"/>
      <c r="X330" s="4"/>
    </row>
    <row r="331">
      <c r="A331" s="1" t="s">
        <v>2212</v>
      </c>
      <c r="B331" s="1" t="s">
        <v>116</v>
      </c>
      <c r="C331" s="1" t="s">
        <v>2214</v>
      </c>
      <c r="D331" s="1" t="s">
        <v>657</v>
      </c>
      <c r="E331" s="1" t="s">
        <v>292</v>
      </c>
      <c r="F331" s="1" t="s">
        <v>293</v>
      </c>
      <c r="G331" s="1" t="s">
        <v>2091</v>
      </c>
      <c r="H331" s="3">
        <v>46174.0</v>
      </c>
      <c r="I331" s="3">
        <v>46339.0</v>
      </c>
      <c r="J331" s="3"/>
      <c r="K331" s="1" t="s">
        <v>124</v>
      </c>
      <c r="L331" s="1" t="s">
        <v>98</v>
      </c>
      <c r="M331" s="1" t="s">
        <v>335</v>
      </c>
      <c r="N331" s="1" t="s">
        <v>131</v>
      </c>
      <c r="O331" s="13"/>
      <c r="P331" s="1" t="s">
        <v>2218</v>
      </c>
      <c r="Q331" s="4"/>
      <c r="R331" s="1" t="s">
        <v>137</v>
      </c>
      <c r="S331" s="1" t="s">
        <v>137</v>
      </c>
      <c r="T331" s="1" t="s">
        <v>47</v>
      </c>
      <c r="U331" s="1" t="s">
        <v>4219</v>
      </c>
      <c r="V331" s="4"/>
      <c r="W331" s="4"/>
      <c r="X331" s="4"/>
    </row>
    <row r="332">
      <c r="A332" s="1" t="s">
        <v>9897</v>
      </c>
      <c r="B332" s="1" t="s">
        <v>4293</v>
      </c>
      <c r="C332" s="1" t="s">
        <v>2245</v>
      </c>
      <c r="D332" s="1" t="s">
        <v>273</v>
      </c>
      <c r="E332" s="1" t="s">
        <v>330</v>
      </c>
      <c r="F332" s="1" t="s">
        <v>356</v>
      </c>
      <c r="G332" s="1" t="s">
        <v>429</v>
      </c>
      <c r="H332" s="3">
        <v>43648.0</v>
      </c>
      <c r="I332" s="3">
        <v>43815.0</v>
      </c>
      <c r="J332" s="3">
        <v>43815.0</v>
      </c>
      <c r="K332" s="1" t="s">
        <v>215</v>
      </c>
      <c r="L332" s="1" t="s">
        <v>160</v>
      </c>
      <c r="M332" s="1" t="s">
        <v>216</v>
      </c>
      <c r="N332" s="1" t="s">
        <v>131</v>
      </c>
      <c r="O332" s="13"/>
      <c r="P332" s="4"/>
      <c r="Q332" s="4"/>
      <c r="R332" s="1" t="s">
        <v>137</v>
      </c>
      <c r="S332" s="1" t="s">
        <v>137</v>
      </c>
      <c r="T332" s="1" t="s">
        <v>47</v>
      </c>
      <c r="U332" s="1" t="s">
        <v>4301</v>
      </c>
      <c r="V332" s="4"/>
      <c r="W332" s="4"/>
      <c r="X332" s="4"/>
    </row>
    <row r="333">
      <c r="A333" s="1" t="s">
        <v>9913</v>
      </c>
      <c r="B333" s="1" t="s">
        <v>4293</v>
      </c>
      <c r="C333" s="1" t="s">
        <v>9917</v>
      </c>
      <c r="D333" s="1" t="s">
        <v>417</v>
      </c>
      <c r="E333" s="1" t="s">
        <v>175</v>
      </c>
      <c r="F333" s="1" t="s">
        <v>763</v>
      </c>
      <c r="G333" s="1" t="s">
        <v>764</v>
      </c>
      <c r="H333" s="3">
        <v>44749.0</v>
      </c>
      <c r="I333" s="3">
        <v>44867.0</v>
      </c>
      <c r="J333" s="3">
        <v>44867.0</v>
      </c>
      <c r="K333" s="1" t="s">
        <v>215</v>
      </c>
      <c r="L333" s="1" t="s">
        <v>160</v>
      </c>
      <c r="M333" s="1" t="s">
        <v>216</v>
      </c>
      <c r="N333" s="1" t="s">
        <v>131</v>
      </c>
      <c r="O333" s="13"/>
      <c r="P333" s="4"/>
      <c r="Q333" s="4"/>
      <c r="R333" s="1" t="s">
        <v>137</v>
      </c>
      <c r="S333" s="1" t="s">
        <v>137</v>
      </c>
      <c r="T333" s="1" t="s">
        <v>47</v>
      </c>
      <c r="U333" s="1" t="s">
        <v>4301</v>
      </c>
      <c r="V333" s="4"/>
      <c r="W333" s="4"/>
      <c r="X333" s="4"/>
    </row>
    <row r="334">
      <c r="A334" s="1" t="s">
        <v>8805</v>
      </c>
      <c r="B334" s="1" t="s">
        <v>4293</v>
      </c>
      <c r="C334" s="1" t="s">
        <v>9940</v>
      </c>
      <c r="D334" s="1" t="s">
        <v>777</v>
      </c>
      <c r="E334" s="1" t="s">
        <v>292</v>
      </c>
      <c r="F334" s="1" t="s">
        <v>576</v>
      </c>
      <c r="G334" s="1" t="s">
        <v>577</v>
      </c>
      <c r="H334" s="3">
        <v>45637.0</v>
      </c>
      <c r="I334" s="3">
        <v>45819.0</v>
      </c>
      <c r="J334" s="3">
        <v>45819.0</v>
      </c>
      <c r="K334" s="1" t="s">
        <v>215</v>
      </c>
      <c r="L334" s="1" t="s">
        <v>160</v>
      </c>
      <c r="M334" s="1" t="s">
        <v>216</v>
      </c>
      <c r="N334" s="1" t="s">
        <v>131</v>
      </c>
      <c r="O334" s="13"/>
      <c r="P334" s="4"/>
      <c r="Q334" s="4"/>
      <c r="R334" s="1" t="s">
        <v>137</v>
      </c>
      <c r="S334" s="1" t="s">
        <v>137</v>
      </c>
      <c r="T334" s="1" t="s">
        <v>47</v>
      </c>
      <c r="U334" s="1" t="s">
        <v>4301</v>
      </c>
      <c r="V334" s="4"/>
      <c r="W334" s="4"/>
      <c r="X334" s="4"/>
    </row>
    <row r="335">
      <c r="A335" s="1" t="s">
        <v>7246</v>
      </c>
      <c r="B335" s="1" t="s">
        <v>4293</v>
      </c>
      <c r="C335" s="1" t="s">
        <v>9960</v>
      </c>
      <c r="D335" s="1" t="s">
        <v>831</v>
      </c>
      <c r="E335" s="1" t="s">
        <v>292</v>
      </c>
      <c r="F335" s="1" t="s">
        <v>468</v>
      </c>
      <c r="G335" s="1" t="s">
        <v>998</v>
      </c>
      <c r="H335" s="3">
        <v>45764.0</v>
      </c>
      <c r="I335" s="3">
        <v>45978.0</v>
      </c>
      <c r="J335" s="3">
        <v>45978.0</v>
      </c>
      <c r="K335" s="1" t="s">
        <v>215</v>
      </c>
      <c r="L335" s="1" t="s">
        <v>160</v>
      </c>
      <c r="M335" s="1" t="s">
        <v>216</v>
      </c>
      <c r="N335" s="1" t="s">
        <v>131</v>
      </c>
      <c r="O335" s="13"/>
      <c r="P335" s="4"/>
      <c r="Q335" s="4"/>
      <c r="R335" s="1" t="s">
        <v>137</v>
      </c>
      <c r="S335" s="1" t="s">
        <v>137</v>
      </c>
      <c r="T335" s="1" t="s">
        <v>47</v>
      </c>
      <c r="U335" s="1" t="s">
        <v>4301</v>
      </c>
      <c r="V335" s="4"/>
      <c r="W335" s="4"/>
      <c r="X335" s="4"/>
    </row>
    <row r="336">
      <c r="A336" s="1" t="s">
        <v>9974</v>
      </c>
      <c r="B336" s="1" t="s">
        <v>4293</v>
      </c>
      <c r="C336" s="1" t="s">
        <v>9977</v>
      </c>
      <c r="D336" s="1" t="s">
        <v>919</v>
      </c>
      <c r="E336" s="1" t="s">
        <v>330</v>
      </c>
      <c r="F336" s="1" t="s">
        <v>663</v>
      </c>
      <c r="G336" s="1" t="s">
        <v>6222</v>
      </c>
      <c r="H336" s="3">
        <v>45681.0</v>
      </c>
      <c r="I336" s="3">
        <v>45867.0</v>
      </c>
      <c r="J336" s="3">
        <v>45867.0</v>
      </c>
      <c r="K336" s="1" t="s">
        <v>215</v>
      </c>
      <c r="L336" s="1" t="s">
        <v>160</v>
      </c>
      <c r="M336" s="1" t="s">
        <v>216</v>
      </c>
      <c r="N336" s="1" t="s">
        <v>131</v>
      </c>
      <c r="O336" s="13"/>
      <c r="P336" s="4"/>
      <c r="Q336" s="4"/>
      <c r="R336" s="1" t="s">
        <v>137</v>
      </c>
      <c r="S336" s="1" t="s">
        <v>137</v>
      </c>
      <c r="T336" s="1" t="s">
        <v>47</v>
      </c>
      <c r="U336" s="1" t="s">
        <v>4301</v>
      </c>
      <c r="V336" s="4"/>
      <c r="W336" s="4"/>
      <c r="X336" s="4"/>
    </row>
    <row r="337">
      <c r="A337" s="1" t="s">
        <v>9994</v>
      </c>
      <c r="B337" s="1" t="s">
        <v>4293</v>
      </c>
      <c r="C337" s="1" t="s">
        <v>9996</v>
      </c>
      <c r="D337" s="1" t="s">
        <v>2198</v>
      </c>
      <c r="E337" s="1" t="s">
        <v>175</v>
      </c>
      <c r="F337" s="1" t="s">
        <v>1767</v>
      </c>
      <c r="G337" s="1" t="s">
        <v>2199</v>
      </c>
      <c r="H337" s="3">
        <v>44736.0</v>
      </c>
      <c r="I337" s="3">
        <v>44859.0</v>
      </c>
      <c r="J337" s="3">
        <v>44859.0</v>
      </c>
      <c r="K337" s="1" t="s">
        <v>215</v>
      </c>
      <c r="L337" s="1" t="s">
        <v>160</v>
      </c>
      <c r="M337" s="1" t="s">
        <v>216</v>
      </c>
      <c r="N337" s="1" t="s">
        <v>131</v>
      </c>
      <c r="O337" s="13"/>
      <c r="P337" s="4"/>
      <c r="Q337" s="4"/>
      <c r="R337" s="1" t="s">
        <v>137</v>
      </c>
      <c r="S337" s="1" t="s">
        <v>137</v>
      </c>
      <c r="T337" s="1" t="s">
        <v>47</v>
      </c>
      <c r="U337" s="1" t="s">
        <v>4301</v>
      </c>
      <c r="V337" s="4"/>
      <c r="W337" s="4"/>
      <c r="X337" s="4"/>
    </row>
    <row r="338">
      <c r="A338" s="1" t="s">
        <v>10014</v>
      </c>
      <c r="B338" s="1" t="s">
        <v>4293</v>
      </c>
      <c r="C338" s="1" t="s">
        <v>2268</v>
      </c>
      <c r="D338" s="1" t="s">
        <v>1823</v>
      </c>
      <c r="E338" s="1" t="s">
        <v>175</v>
      </c>
      <c r="F338" s="1" t="s">
        <v>569</v>
      </c>
      <c r="G338" s="1" t="s">
        <v>798</v>
      </c>
      <c r="H338" s="3">
        <v>45539.0</v>
      </c>
      <c r="I338" s="3">
        <v>45635.0</v>
      </c>
      <c r="J338" s="3">
        <v>45635.0</v>
      </c>
      <c r="K338" s="1" t="s">
        <v>215</v>
      </c>
      <c r="L338" s="1" t="s">
        <v>160</v>
      </c>
      <c r="M338" s="1" t="s">
        <v>216</v>
      </c>
      <c r="N338" s="1" t="s">
        <v>131</v>
      </c>
      <c r="O338" s="13"/>
      <c r="P338" s="4"/>
      <c r="Q338" s="4"/>
      <c r="R338" s="1" t="s">
        <v>137</v>
      </c>
      <c r="S338" s="1" t="s">
        <v>137</v>
      </c>
      <c r="T338" s="1" t="s">
        <v>47</v>
      </c>
      <c r="U338" s="1" t="s">
        <v>4301</v>
      </c>
      <c r="V338" s="4"/>
      <c r="W338" s="4"/>
      <c r="X338" s="4"/>
    </row>
    <row r="339">
      <c r="A339" s="1" t="s">
        <v>10030</v>
      </c>
      <c r="B339" s="1" t="s">
        <v>4293</v>
      </c>
      <c r="C339" s="1" t="s">
        <v>10032</v>
      </c>
      <c r="D339" s="1" t="s">
        <v>678</v>
      </c>
      <c r="E339" s="1" t="s">
        <v>454</v>
      </c>
      <c r="F339" s="1" t="s">
        <v>455</v>
      </c>
      <c r="G339" s="1" t="s">
        <v>510</v>
      </c>
      <c r="H339" s="3">
        <v>44371.0</v>
      </c>
      <c r="I339" s="3">
        <v>44476.0</v>
      </c>
      <c r="J339" s="3">
        <v>44476.0</v>
      </c>
      <c r="K339" s="1" t="s">
        <v>215</v>
      </c>
      <c r="L339" s="1" t="s">
        <v>160</v>
      </c>
      <c r="M339" s="1" t="s">
        <v>216</v>
      </c>
      <c r="N339" s="1" t="s">
        <v>131</v>
      </c>
      <c r="O339" s="13"/>
      <c r="P339" s="1"/>
      <c r="Q339" s="4"/>
      <c r="R339" s="1" t="s">
        <v>137</v>
      </c>
      <c r="S339" s="1" t="s">
        <v>137</v>
      </c>
      <c r="T339" s="1" t="s">
        <v>47</v>
      </c>
      <c r="U339" s="1" t="s">
        <v>4301</v>
      </c>
      <c r="V339" s="4"/>
      <c r="W339" s="4"/>
      <c r="X339" s="4"/>
    </row>
    <row r="340">
      <c r="A340" s="1" t="s">
        <v>10051</v>
      </c>
      <c r="B340" s="1" t="s">
        <v>4293</v>
      </c>
      <c r="C340" s="1" t="s">
        <v>10054</v>
      </c>
      <c r="D340" s="1" t="s">
        <v>2198</v>
      </c>
      <c r="E340" s="1" t="s">
        <v>175</v>
      </c>
      <c r="F340" s="1" t="s">
        <v>245</v>
      </c>
      <c r="G340" s="1" t="s">
        <v>8194</v>
      </c>
      <c r="H340" s="3">
        <v>45616.0</v>
      </c>
      <c r="I340" s="3">
        <v>45804.0</v>
      </c>
      <c r="J340" s="3">
        <v>45804.0</v>
      </c>
      <c r="K340" s="1" t="s">
        <v>215</v>
      </c>
      <c r="L340" s="1" t="s">
        <v>160</v>
      </c>
      <c r="M340" s="1" t="s">
        <v>216</v>
      </c>
      <c r="N340" s="1" t="s">
        <v>131</v>
      </c>
      <c r="O340" s="13"/>
      <c r="P340" s="1"/>
      <c r="Q340" s="4"/>
      <c r="R340" s="1" t="s">
        <v>137</v>
      </c>
      <c r="S340" s="1" t="s">
        <v>137</v>
      </c>
      <c r="T340" s="1" t="s">
        <v>47</v>
      </c>
      <c r="U340" s="1" t="s">
        <v>4301</v>
      </c>
      <c r="V340" s="4"/>
      <c r="W340" s="4"/>
      <c r="X340" s="4"/>
    </row>
    <row r="341">
      <c r="A341" s="1" t="s">
        <v>9841</v>
      </c>
      <c r="B341" s="1" t="s">
        <v>4293</v>
      </c>
      <c r="C341" s="1" t="s">
        <v>10071</v>
      </c>
      <c r="D341" s="1" t="s">
        <v>1823</v>
      </c>
      <c r="E341" s="1" t="s">
        <v>175</v>
      </c>
      <c r="F341" s="1" t="s">
        <v>569</v>
      </c>
      <c r="G341" s="1" t="s">
        <v>570</v>
      </c>
      <c r="H341" s="3">
        <v>43276.0</v>
      </c>
      <c r="I341" s="3">
        <v>43339.0</v>
      </c>
      <c r="J341" s="3">
        <v>43339.0</v>
      </c>
      <c r="K341" s="1" t="s">
        <v>215</v>
      </c>
      <c r="L341" s="1" t="s">
        <v>160</v>
      </c>
      <c r="M341" s="1" t="s">
        <v>216</v>
      </c>
      <c r="N341" s="1" t="s">
        <v>131</v>
      </c>
      <c r="O341" s="13"/>
      <c r="P341" s="1"/>
      <c r="Q341" s="4"/>
      <c r="R341" s="1" t="s">
        <v>137</v>
      </c>
      <c r="S341" s="1" t="s">
        <v>137</v>
      </c>
      <c r="T341" s="1" t="s">
        <v>47</v>
      </c>
      <c r="U341" s="1" t="s">
        <v>4301</v>
      </c>
      <c r="V341" s="4"/>
      <c r="W341" s="4"/>
      <c r="X341" s="4"/>
    </row>
    <row r="342">
      <c r="A342" s="1" t="s">
        <v>2291</v>
      </c>
      <c r="B342" s="1" t="s">
        <v>116</v>
      </c>
      <c r="C342" s="1" t="s">
        <v>2293</v>
      </c>
      <c r="D342" s="1" t="s">
        <v>1798</v>
      </c>
      <c r="E342" s="1" t="s">
        <v>292</v>
      </c>
      <c r="F342" s="1" t="s">
        <v>576</v>
      </c>
      <c r="G342" s="1" t="s">
        <v>2297</v>
      </c>
      <c r="H342" s="3">
        <v>46141.0</v>
      </c>
      <c r="I342" s="3">
        <v>46314.0</v>
      </c>
      <c r="J342" s="3"/>
      <c r="K342" s="1" t="s">
        <v>124</v>
      </c>
      <c r="L342" s="1" t="s">
        <v>71</v>
      </c>
      <c r="M342" s="1" t="s">
        <v>460</v>
      </c>
      <c r="N342" s="1" t="s">
        <v>131</v>
      </c>
      <c r="O342" s="13"/>
      <c r="P342" s="1" t="s">
        <v>1786</v>
      </c>
      <c r="Q342" s="4"/>
      <c r="R342" s="1" t="s">
        <v>137</v>
      </c>
      <c r="S342" s="1" t="s">
        <v>137</v>
      </c>
      <c r="T342" s="1" t="s">
        <v>47</v>
      </c>
      <c r="U342" s="1" t="s">
        <v>4193</v>
      </c>
      <c r="V342" s="4"/>
      <c r="W342" s="4"/>
      <c r="X342" s="4"/>
    </row>
    <row r="343">
      <c r="A343" s="1" t="s">
        <v>8410</v>
      </c>
      <c r="B343" s="1" t="s">
        <v>4293</v>
      </c>
      <c r="C343" s="1" t="s">
        <v>10106</v>
      </c>
      <c r="D343" s="1" t="s">
        <v>10107</v>
      </c>
      <c r="E343" s="1" t="s">
        <v>292</v>
      </c>
      <c r="F343" s="1" t="s">
        <v>468</v>
      </c>
      <c r="G343" s="1" t="s">
        <v>470</v>
      </c>
      <c r="H343" s="3">
        <v>44858.0</v>
      </c>
      <c r="I343" s="3">
        <v>45049.0</v>
      </c>
      <c r="J343" s="3">
        <v>45049.0</v>
      </c>
      <c r="K343" s="1" t="s">
        <v>215</v>
      </c>
      <c r="L343" s="1" t="s">
        <v>160</v>
      </c>
      <c r="M343" s="1" t="s">
        <v>216</v>
      </c>
      <c r="N343" s="1" t="s">
        <v>131</v>
      </c>
      <c r="O343" s="13"/>
      <c r="P343" s="1"/>
      <c r="Q343" s="4"/>
      <c r="R343" s="1" t="s">
        <v>137</v>
      </c>
      <c r="S343" s="1" t="s">
        <v>137</v>
      </c>
      <c r="T343" s="1" t="s">
        <v>47</v>
      </c>
      <c r="U343" s="1" t="s">
        <v>4301</v>
      </c>
      <c r="V343" s="4"/>
      <c r="W343" s="4"/>
      <c r="X343" s="4"/>
    </row>
    <row r="344">
      <c r="A344" s="1" t="s">
        <v>9015</v>
      </c>
      <c r="B344" s="1" t="s">
        <v>4293</v>
      </c>
      <c r="C344" s="1" t="s">
        <v>10125</v>
      </c>
      <c r="D344" s="1" t="s">
        <v>919</v>
      </c>
      <c r="E344" s="1" t="s">
        <v>175</v>
      </c>
      <c r="F344" s="1" t="s">
        <v>1767</v>
      </c>
      <c r="G344" s="1" t="s">
        <v>2199</v>
      </c>
      <c r="H344" s="3">
        <v>44314.0</v>
      </c>
      <c r="I344" s="3">
        <v>44314.0</v>
      </c>
      <c r="J344" s="3">
        <v>44314.0</v>
      </c>
      <c r="K344" s="1" t="s">
        <v>215</v>
      </c>
      <c r="L344" s="1" t="s">
        <v>160</v>
      </c>
      <c r="M344" s="1" t="s">
        <v>216</v>
      </c>
      <c r="N344" s="1" t="s">
        <v>131</v>
      </c>
      <c r="O344" s="13"/>
      <c r="P344" s="1"/>
      <c r="Q344" s="4"/>
      <c r="R344" s="1" t="s">
        <v>137</v>
      </c>
      <c r="S344" s="1" t="s">
        <v>137</v>
      </c>
      <c r="T344" s="1" t="s">
        <v>47</v>
      </c>
      <c r="U344" s="1" t="s">
        <v>4301</v>
      </c>
      <c r="V344" s="4"/>
      <c r="W344" s="4"/>
      <c r="X344" s="4"/>
    </row>
    <row r="345">
      <c r="A345" s="1" t="s">
        <v>2331</v>
      </c>
      <c r="B345" s="1" t="s">
        <v>146</v>
      </c>
      <c r="C345" s="1" t="s">
        <v>2336</v>
      </c>
      <c r="D345" s="1" t="s">
        <v>313</v>
      </c>
      <c r="E345" s="1" t="s">
        <v>175</v>
      </c>
      <c r="F345" s="1" t="s">
        <v>569</v>
      </c>
      <c r="G345" s="1" t="s">
        <v>570</v>
      </c>
      <c r="H345" s="3">
        <v>46129.0</v>
      </c>
      <c r="I345" s="13"/>
      <c r="J345" s="13"/>
      <c r="K345" s="1" t="s">
        <v>124</v>
      </c>
      <c r="L345" s="1" t="s">
        <v>160</v>
      </c>
      <c r="M345" s="1" t="s">
        <v>300</v>
      </c>
      <c r="N345" s="1" t="s">
        <v>131</v>
      </c>
      <c r="O345" s="13"/>
      <c r="P345" s="1" t="s">
        <v>803</v>
      </c>
      <c r="Q345" s="4"/>
      <c r="R345" s="1" t="s">
        <v>137</v>
      </c>
      <c r="S345" s="1" t="s">
        <v>137</v>
      </c>
      <c r="T345" s="1" t="s">
        <v>47</v>
      </c>
      <c r="U345" s="1" t="s">
        <v>2343</v>
      </c>
      <c r="V345" s="4"/>
      <c r="W345" s="4"/>
      <c r="X345" s="4"/>
    </row>
    <row r="346">
      <c r="A346" s="1" t="s">
        <v>6110</v>
      </c>
      <c r="B346" s="1" t="s">
        <v>4293</v>
      </c>
      <c r="C346" s="1" t="s">
        <v>10159</v>
      </c>
      <c r="D346" s="1" t="s">
        <v>388</v>
      </c>
      <c r="E346" s="1" t="s">
        <v>175</v>
      </c>
      <c r="F346" s="1" t="s">
        <v>3128</v>
      </c>
      <c r="G346" s="1" t="s">
        <v>3276</v>
      </c>
      <c r="H346" s="3">
        <v>44762.0</v>
      </c>
      <c r="I346" s="3">
        <v>44868.0</v>
      </c>
      <c r="J346" s="3">
        <v>44868.0</v>
      </c>
      <c r="K346" s="1" t="s">
        <v>215</v>
      </c>
      <c r="L346" s="1" t="s">
        <v>160</v>
      </c>
      <c r="M346" s="1" t="s">
        <v>216</v>
      </c>
      <c r="N346" s="1" t="s">
        <v>131</v>
      </c>
      <c r="O346" s="13"/>
      <c r="P346" s="4"/>
      <c r="Q346" s="4"/>
      <c r="R346" s="1" t="s">
        <v>137</v>
      </c>
      <c r="S346" s="1" t="s">
        <v>137</v>
      </c>
      <c r="T346" s="1" t="s">
        <v>47</v>
      </c>
      <c r="U346" s="1" t="s">
        <v>4301</v>
      </c>
      <c r="V346" s="4"/>
      <c r="W346" s="4"/>
      <c r="X346" s="4"/>
    </row>
    <row r="347">
      <c r="A347" s="1" t="s">
        <v>8339</v>
      </c>
      <c r="B347" s="1" t="s">
        <v>4293</v>
      </c>
      <c r="C347" s="1" t="s">
        <v>10176</v>
      </c>
      <c r="D347" s="1" t="s">
        <v>152</v>
      </c>
      <c r="E347" s="1" t="s">
        <v>292</v>
      </c>
      <c r="F347" s="1" t="s">
        <v>962</v>
      </c>
      <c r="G347" s="1" t="s">
        <v>963</v>
      </c>
      <c r="H347" s="3">
        <v>44680.0</v>
      </c>
      <c r="I347" s="3">
        <v>44796.0</v>
      </c>
      <c r="J347" s="3">
        <v>44796.0</v>
      </c>
      <c r="K347" s="1" t="s">
        <v>215</v>
      </c>
      <c r="L347" s="1" t="s">
        <v>160</v>
      </c>
      <c r="M347" s="1" t="s">
        <v>216</v>
      </c>
      <c r="N347" s="1" t="s">
        <v>131</v>
      </c>
      <c r="O347" s="13"/>
      <c r="P347" s="4"/>
      <c r="Q347" s="4"/>
      <c r="R347" s="1" t="s">
        <v>137</v>
      </c>
      <c r="S347" s="1" t="s">
        <v>137</v>
      </c>
      <c r="T347" s="1" t="s">
        <v>47</v>
      </c>
      <c r="U347" s="1" t="s">
        <v>4301</v>
      </c>
      <c r="V347" s="4"/>
      <c r="W347" s="4"/>
      <c r="X347" s="4"/>
    </row>
    <row r="348">
      <c r="A348" s="1" t="s">
        <v>10190</v>
      </c>
      <c r="B348" s="1" t="s">
        <v>4293</v>
      </c>
      <c r="C348" s="1" t="s">
        <v>10192</v>
      </c>
      <c r="D348" s="1" t="s">
        <v>518</v>
      </c>
      <c r="E348" s="1" t="s">
        <v>520</v>
      </c>
      <c r="F348" s="1" t="s">
        <v>522</v>
      </c>
      <c r="G348" s="1" t="s">
        <v>6067</v>
      </c>
      <c r="H348" s="3">
        <v>44552.0</v>
      </c>
      <c r="I348" s="3">
        <v>44552.0</v>
      </c>
      <c r="J348" s="3">
        <v>44552.0</v>
      </c>
      <c r="K348" s="1" t="s">
        <v>215</v>
      </c>
      <c r="L348" s="1" t="s">
        <v>160</v>
      </c>
      <c r="M348" s="1" t="s">
        <v>216</v>
      </c>
      <c r="N348" s="1" t="s">
        <v>131</v>
      </c>
      <c r="O348" s="13"/>
      <c r="P348" s="4"/>
      <c r="Q348" s="4"/>
      <c r="R348" s="1" t="s">
        <v>137</v>
      </c>
      <c r="S348" s="1" t="s">
        <v>137</v>
      </c>
      <c r="T348" s="1" t="s">
        <v>47</v>
      </c>
      <c r="U348" s="1" t="s">
        <v>4301</v>
      </c>
      <c r="V348" s="4"/>
      <c r="W348" s="4"/>
      <c r="X348" s="4"/>
    </row>
    <row r="349">
      <c r="A349" s="1" t="s">
        <v>6253</v>
      </c>
      <c r="B349" s="1" t="s">
        <v>4293</v>
      </c>
      <c r="C349" s="1" t="s">
        <v>10210</v>
      </c>
      <c r="D349" s="1" t="s">
        <v>3188</v>
      </c>
      <c r="E349" s="1" t="s">
        <v>292</v>
      </c>
      <c r="F349" s="1" t="s">
        <v>494</v>
      </c>
      <c r="G349" s="1" t="s">
        <v>3632</v>
      </c>
      <c r="H349" s="3">
        <v>45426.0</v>
      </c>
      <c r="I349" s="3">
        <v>45699.0</v>
      </c>
      <c r="J349" s="3">
        <v>45699.0</v>
      </c>
      <c r="K349" s="1" t="s">
        <v>215</v>
      </c>
      <c r="L349" s="1" t="s">
        <v>160</v>
      </c>
      <c r="M349" s="1" t="s">
        <v>216</v>
      </c>
      <c r="N349" s="1" t="s">
        <v>131</v>
      </c>
      <c r="O349" s="13"/>
      <c r="P349" s="4"/>
      <c r="Q349" s="4"/>
      <c r="R349" s="1" t="s">
        <v>137</v>
      </c>
      <c r="S349" s="1" t="s">
        <v>137</v>
      </c>
      <c r="T349" s="1" t="s">
        <v>47</v>
      </c>
      <c r="U349" s="1" t="s">
        <v>4301</v>
      </c>
      <c r="V349" s="4"/>
      <c r="W349" s="4"/>
      <c r="X349" s="4"/>
    </row>
    <row r="350">
      <c r="A350" s="1" t="s">
        <v>7625</v>
      </c>
      <c r="B350" s="1" t="s">
        <v>4293</v>
      </c>
      <c r="C350" s="1" t="s">
        <v>10230</v>
      </c>
      <c r="D350" s="1" t="s">
        <v>1477</v>
      </c>
      <c r="E350" s="1" t="s">
        <v>292</v>
      </c>
      <c r="F350" s="1" t="s">
        <v>962</v>
      </c>
      <c r="G350" s="1" t="s">
        <v>2607</v>
      </c>
      <c r="H350" s="3">
        <v>43504.0</v>
      </c>
      <c r="I350" s="3">
        <v>43504.0</v>
      </c>
      <c r="J350" s="3">
        <v>43504.0</v>
      </c>
      <c r="K350" s="1" t="s">
        <v>215</v>
      </c>
      <c r="L350" s="1" t="s">
        <v>160</v>
      </c>
      <c r="M350" s="1" t="s">
        <v>216</v>
      </c>
      <c r="N350" s="1" t="s">
        <v>131</v>
      </c>
      <c r="O350" s="13"/>
      <c r="P350" s="4"/>
      <c r="Q350" s="4"/>
      <c r="R350" s="1" t="s">
        <v>137</v>
      </c>
      <c r="S350" s="1" t="s">
        <v>137</v>
      </c>
      <c r="T350" s="1" t="s">
        <v>47</v>
      </c>
      <c r="U350" s="1" t="s">
        <v>4301</v>
      </c>
      <c r="V350" s="4"/>
      <c r="W350" s="4"/>
      <c r="X350" s="4"/>
    </row>
    <row r="351">
      <c r="A351" s="1" t="s">
        <v>10248</v>
      </c>
      <c r="B351" s="1" t="s">
        <v>4293</v>
      </c>
      <c r="C351" s="1" t="s">
        <v>10251</v>
      </c>
      <c r="D351" s="1" t="s">
        <v>3188</v>
      </c>
      <c r="E351" s="1" t="s">
        <v>889</v>
      </c>
      <c r="F351" s="1" t="s">
        <v>2385</v>
      </c>
      <c r="G351" s="1" t="s">
        <v>3613</v>
      </c>
      <c r="H351" s="3">
        <v>45824.0</v>
      </c>
      <c r="I351" s="3"/>
      <c r="J351" s="3"/>
      <c r="K351" s="1" t="s">
        <v>124</v>
      </c>
      <c r="L351" s="1" t="s">
        <v>160</v>
      </c>
      <c r="M351" s="1" t="s">
        <v>253</v>
      </c>
      <c r="N351" s="1" t="s">
        <v>131</v>
      </c>
      <c r="O351" s="13"/>
      <c r="P351" s="4"/>
      <c r="Q351" s="4"/>
      <c r="R351" s="1" t="s">
        <v>137</v>
      </c>
      <c r="S351" s="1" t="s">
        <v>137</v>
      </c>
      <c r="T351" s="1" t="s">
        <v>47</v>
      </c>
      <c r="U351" s="1" t="s">
        <v>4301</v>
      </c>
      <c r="V351" s="4"/>
      <c r="W351" s="4"/>
      <c r="X351" s="4"/>
    </row>
    <row r="352">
      <c r="A352" s="1" t="s">
        <v>10265</v>
      </c>
      <c r="B352" s="1" t="s">
        <v>4293</v>
      </c>
      <c r="C352" s="1" t="s">
        <v>10267</v>
      </c>
      <c r="D352" s="1" t="s">
        <v>1477</v>
      </c>
      <c r="E352" s="1" t="s">
        <v>175</v>
      </c>
      <c r="F352" s="1" t="s">
        <v>10269</v>
      </c>
      <c r="G352" s="1" t="s">
        <v>10270</v>
      </c>
      <c r="H352" s="3">
        <v>45294.0</v>
      </c>
      <c r="I352" s="3">
        <v>45295.0</v>
      </c>
      <c r="J352" s="3">
        <v>45295.0</v>
      </c>
      <c r="K352" s="1" t="s">
        <v>215</v>
      </c>
      <c r="L352" s="1" t="s">
        <v>160</v>
      </c>
      <c r="M352" s="1" t="s">
        <v>216</v>
      </c>
      <c r="N352" s="1" t="s">
        <v>131</v>
      </c>
      <c r="O352" s="13"/>
      <c r="P352" s="4"/>
      <c r="Q352" s="4"/>
      <c r="R352" s="1" t="s">
        <v>137</v>
      </c>
      <c r="S352" s="1" t="s">
        <v>137</v>
      </c>
      <c r="T352" s="1" t="s">
        <v>47</v>
      </c>
      <c r="U352" s="1" t="s">
        <v>4301</v>
      </c>
      <c r="V352" s="4"/>
      <c r="W352" s="4"/>
      <c r="X352" s="4"/>
    </row>
    <row r="353">
      <c r="A353" s="1" t="s">
        <v>7465</v>
      </c>
      <c r="B353" s="1" t="s">
        <v>4293</v>
      </c>
      <c r="C353" s="1" t="s">
        <v>10279</v>
      </c>
      <c r="D353" s="1" t="s">
        <v>1477</v>
      </c>
      <c r="E353" s="1" t="s">
        <v>292</v>
      </c>
      <c r="F353" s="1" t="s">
        <v>494</v>
      </c>
      <c r="G353" s="1" t="s">
        <v>1784</v>
      </c>
      <c r="H353" s="3">
        <v>44799.0</v>
      </c>
      <c r="I353" s="3">
        <v>45007.0</v>
      </c>
      <c r="J353" s="3">
        <v>45007.0</v>
      </c>
      <c r="K353" s="1" t="s">
        <v>215</v>
      </c>
      <c r="L353" s="1" t="s">
        <v>160</v>
      </c>
      <c r="M353" s="1" t="s">
        <v>216</v>
      </c>
      <c r="N353" s="1" t="s">
        <v>131</v>
      </c>
      <c r="O353" s="13"/>
      <c r="P353" s="4"/>
      <c r="Q353" s="4"/>
      <c r="R353" s="1" t="s">
        <v>137</v>
      </c>
      <c r="S353" s="1" t="s">
        <v>137</v>
      </c>
      <c r="T353" s="1" t="s">
        <v>47</v>
      </c>
      <c r="U353" s="1" t="s">
        <v>4301</v>
      </c>
      <c r="V353" s="4"/>
      <c r="W353" s="4"/>
      <c r="X353" s="4"/>
    </row>
    <row r="354">
      <c r="A354" s="1" t="s">
        <v>10288</v>
      </c>
      <c r="B354" s="1" t="s">
        <v>4293</v>
      </c>
      <c r="C354" s="1" t="s">
        <v>10289</v>
      </c>
      <c r="D354" s="1" t="s">
        <v>1477</v>
      </c>
      <c r="E354" s="1" t="s">
        <v>119</v>
      </c>
      <c r="F354" s="1" t="s">
        <v>389</v>
      </c>
      <c r="G354" s="1" t="s">
        <v>389</v>
      </c>
      <c r="H354" s="3">
        <v>45685.0</v>
      </c>
      <c r="I354" s="3">
        <v>45840.0</v>
      </c>
      <c r="J354" s="3">
        <v>45840.0</v>
      </c>
      <c r="K354" s="1" t="s">
        <v>215</v>
      </c>
      <c r="L354" s="1" t="s">
        <v>160</v>
      </c>
      <c r="M354" s="1" t="s">
        <v>216</v>
      </c>
      <c r="N354" s="1" t="s">
        <v>131</v>
      </c>
      <c r="O354" s="13"/>
      <c r="P354" s="4"/>
      <c r="Q354" s="4"/>
      <c r="R354" s="1" t="s">
        <v>137</v>
      </c>
      <c r="S354" s="1" t="s">
        <v>137</v>
      </c>
      <c r="T354" s="1" t="s">
        <v>47</v>
      </c>
      <c r="U354" s="1" t="s">
        <v>4301</v>
      </c>
      <c r="V354" s="4"/>
      <c r="W354" s="4"/>
      <c r="X354" s="4"/>
    </row>
    <row r="355">
      <c r="A355" s="1" t="s">
        <v>10297</v>
      </c>
      <c r="B355" s="1" t="s">
        <v>4293</v>
      </c>
      <c r="C355" s="1" t="s">
        <v>10300</v>
      </c>
      <c r="D355" s="1" t="s">
        <v>1932</v>
      </c>
      <c r="E355" s="1" t="s">
        <v>175</v>
      </c>
      <c r="F355" s="1" t="s">
        <v>3592</v>
      </c>
      <c r="G355" s="1" t="s">
        <v>3593</v>
      </c>
      <c r="H355" s="3">
        <v>44935.0</v>
      </c>
      <c r="I355" s="3">
        <v>45162.0</v>
      </c>
      <c r="J355" s="3">
        <v>45162.0</v>
      </c>
      <c r="K355" s="1" t="s">
        <v>215</v>
      </c>
      <c r="L355" s="1" t="s">
        <v>160</v>
      </c>
      <c r="M355" s="1" t="s">
        <v>216</v>
      </c>
      <c r="N355" s="1" t="s">
        <v>131</v>
      </c>
      <c r="O355" s="13"/>
      <c r="P355" s="4"/>
      <c r="Q355" s="4"/>
      <c r="R355" s="1" t="s">
        <v>137</v>
      </c>
      <c r="S355" s="1" t="s">
        <v>137</v>
      </c>
      <c r="T355" s="1" t="s">
        <v>47</v>
      </c>
      <c r="U355" s="1" t="s">
        <v>4301</v>
      </c>
      <c r="V355" s="4"/>
      <c r="W355" s="4"/>
      <c r="X355" s="4"/>
    </row>
    <row r="356">
      <c r="A356" s="1" t="s">
        <v>10305</v>
      </c>
      <c r="B356" s="1" t="s">
        <v>4293</v>
      </c>
      <c r="C356" s="1" t="s">
        <v>10309</v>
      </c>
      <c r="D356" s="1" t="s">
        <v>273</v>
      </c>
      <c r="E356" s="1" t="s">
        <v>175</v>
      </c>
      <c r="F356" s="1" t="s">
        <v>763</v>
      </c>
      <c r="G356" s="1" t="s">
        <v>2818</v>
      </c>
      <c r="H356" s="3">
        <v>44273.0</v>
      </c>
      <c r="I356" s="3">
        <v>44273.0</v>
      </c>
      <c r="J356" s="3">
        <v>44273.0</v>
      </c>
      <c r="K356" s="1" t="s">
        <v>215</v>
      </c>
      <c r="L356" s="1" t="s">
        <v>160</v>
      </c>
      <c r="M356" s="1" t="s">
        <v>216</v>
      </c>
      <c r="N356" s="1" t="s">
        <v>131</v>
      </c>
      <c r="O356" s="13"/>
      <c r="P356" s="1"/>
      <c r="Q356" s="4"/>
      <c r="R356" s="1" t="s">
        <v>137</v>
      </c>
      <c r="S356" s="1" t="s">
        <v>137</v>
      </c>
      <c r="T356" s="1" t="s">
        <v>47</v>
      </c>
      <c r="U356" s="1" t="s">
        <v>4301</v>
      </c>
      <c r="V356" s="4"/>
      <c r="W356" s="4"/>
      <c r="X356" s="4"/>
    </row>
    <row r="357">
      <c r="A357" s="1" t="s">
        <v>10317</v>
      </c>
      <c r="B357" s="1" t="s">
        <v>4293</v>
      </c>
      <c r="C357" s="1" t="s">
        <v>10318</v>
      </c>
      <c r="D357" s="1" t="s">
        <v>313</v>
      </c>
      <c r="E357" s="1" t="s">
        <v>292</v>
      </c>
      <c r="F357" s="1" t="s">
        <v>962</v>
      </c>
      <c r="G357" s="1" t="s">
        <v>2048</v>
      </c>
      <c r="H357" s="3">
        <v>45286.0</v>
      </c>
      <c r="I357" s="3">
        <v>45289.0</v>
      </c>
      <c r="J357" s="3">
        <v>45289.0</v>
      </c>
      <c r="K357" s="1" t="s">
        <v>215</v>
      </c>
      <c r="L357" s="1" t="s">
        <v>160</v>
      </c>
      <c r="M357" s="1" t="s">
        <v>216</v>
      </c>
      <c r="N357" s="1" t="s">
        <v>131</v>
      </c>
      <c r="O357" s="13"/>
      <c r="P357" s="1"/>
      <c r="Q357" s="4"/>
      <c r="R357" s="1" t="s">
        <v>137</v>
      </c>
      <c r="S357" s="1" t="s">
        <v>137</v>
      </c>
      <c r="T357" s="1" t="s">
        <v>47</v>
      </c>
      <c r="U357" s="1" t="s">
        <v>4301</v>
      </c>
      <c r="V357" s="4"/>
      <c r="W357" s="4"/>
      <c r="X357" s="4"/>
    </row>
    <row r="358">
      <c r="A358" s="1" t="s">
        <v>8062</v>
      </c>
      <c r="B358" s="1" t="s">
        <v>4293</v>
      </c>
      <c r="C358" s="1" t="s">
        <v>10330</v>
      </c>
      <c r="D358" s="1" t="s">
        <v>388</v>
      </c>
      <c r="E358" s="1" t="s">
        <v>175</v>
      </c>
      <c r="F358" s="1" t="s">
        <v>3128</v>
      </c>
      <c r="G358" s="1" t="s">
        <v>3276</v>
      </c>
      <c r="H358" s="3">
        <v>44349.0</v>
      </c>
      <c r="I358" s="3">
        <v>44435.0</v>
      </c>
      <c r="J358" s="3">
        <v>44435.0</v>
      </c>
      <c r="K358" s="1" t="s">
        <v>215</v>
      </c>
      <c r="L358" s="1" t="s">
        <v>160</v>
      </c>
      <c r="M358" s="1" t="s">
        <v>216</v>
      </c>
      <c r="N358" s="1" t="s">
        <v>131</v>
      </c>
      <c r="O358" s="13"/>
      <c r="P358" s="1"/>
      <c r="Q358" s="4"/>
      <c r="R358" s="1" t="s">
        <v>137</v>
      </c>
      <c r="S358" s="1" t="s">
        <v>137</v>
      </c>
      <c r="T358" s="1" t="s">
        <v>47</v>
      </c>
      <c r="U358" s="1" t="s">
        <v>4301</v>
      </c>
      <c r="V358" s="4"/>
      <c r="W358" s="4"/>
      <c r="X358" s="4"/>
    </row>
    <row r="359">
      <c r="A359" s="1" t="s">
        <v>2339</v>
      </c>
      <c r="B359" s="1" t="s">
        <v>146</v>
      </c>
      <c r="C359" s="1" t="s">
        <v>2406</v>
      </c>
      <c r="D359" s="1" t="s">
        <v>313</v>
      </c>
      <c r="E359" s="1" t="s">
        <v>292</v>
      </c>
      <c r="F359" s="1" t="s">
        <v>293</v>
      </c>
      <c r="G359" s="1" t="s">
        <v>295</v>
      </c>
      <c r="H359" s="3">
        <v>46129.0</v>
      </c>
      <c r="I359" s="3"/>
      <c r="J359" s="3"/>
      <c r="K359" s="1" t="s">
        <v>124</v>
      </c>
      <c r="L359" s="1" t="s">
        <v>160</v>
      </c>
      <c r="M359" s="1" t="s">
        <v>162</v>
      </c>
      <c r="N359" s="1" t="s">
        <v>131</v>
      </c>
      <c r="O359" s="13"/>
      <c r="P359" s="1" t="s">
        <v>2409</v>
      </c>
      <c r="Q359" s="4"/>
      <c r="R359" s="1" t="s">
        <v>137</v>
      </c>
      <c r="S359" s="1" t="s">
        <v>137</v>
      </c>
      <c r="T359" s="1" t="s">
        <v>47</v>
      </c>
      <c r="U359" s="1" t="s">
        <v>3910</v>
      </c>
      <c r="V359" s="4"/>
      <c r="W359" s="4"/>
      <c r="X359" s="4"/>
    </row>
    <row r="360">
      <c r="A360" s="1" t="s">
        <v>2239</v>
      </c>
      <c r="B360" s="1" t="s">
        <v>2413</v>
      </c>
      <c r="C360" s="1" t="s">
        <v>2414</v>
      </c>
      <c r="D360" s="1" t="s">
        <v>388</v>
      </c>
      <c r="E360" s="1" t="s">
        <v>292</v>
      </c>
      <c r="F360" s="1" t="s">
        <v>576</v>
      </c>
      <c r="G360" s="1" t="s">
        <v>835</v>
      </c>
      <c r="H360" s="3">
        <v>46122.0</v>
      </c>
      <c r="I360" s="3">
        <v>46336.0</v>
      </c>
      <c r="J360" s="3"/>
      <c r="K360" s="1" t="s">
        <v>124</v>
      </c>
      <c r="L360" s="1" t="s">
        <v>98</v>
      </c>
      <c r="M360" s="1" t="s">
        <v>460</v>
      </c>
      <c r="N360" s="1" t="s">
        <v>131</v>
      </c>
      <c r="O360" s="13"/>
      <c r="P360" s="1" t="s">
        <v>1786</v>
      </c>
      <c r="Q360" s="4"/>
      <c r="R360" s="1" t="s">
        <v>137</v>
      </c>
      <c r="S360" s="1" t="s">
        <v>137</v>
      </c>
      <c r="T360" s="1" t="s">
        <v>47</v>
      </c>
      <c r="U360" s="1" t="s">
        <v>3652</v>
      </c>
      <c r="V360" s="4"/>
      <c r="W360" s="4"/>
      <c r="X360" s="4"/>
    </row>
    <row r="361">
      <c r="A361" s="1" t="s">
        <v>10357</v>
      </c>
      <c r="B361" s="1" t="s">
        <v>4293</v>
      </c>
      <c r="C361" s="1" t="s">
        <v>2422</v>
      </c>
      <c r="D361" s="1" t="s">
        <v>118</v>
      </c>
      <c r="E361" s="1" t="s">
        <v>438</v>
      </c>
      <c r="F361" s="1" t="s">
        <v>440</v>
      </c>
      <c r="G361" s="1" t="s">
        <v>441</v>
      </c>
      <c r="H361" s="3">
        <v>45565.0</v>
      </c>
      <c r="I361" s="3">
        <v>45645.0</v>
      </c>
      <c r="J361" s="3">
        <v>45645.0</v>
      </c>
      <c r="K361" s="1" t="s">
        <v>215</v>
      </c>
      <c r="L361" s="1" t="s">
        <v>160</v>
      </c>
      <c r="M361" s="1" t="s">
        <v>216</v>
      </c>
      <c r="N361" s="1" t="s">
        <v>131</v>
      </c>
      <c r="O361" s="13"/>
      <c r="P361" s="1"/>
      <c r="Q361" s="4"/>
      <c r="R361" s="1" t="s">
        <v>137</v>
      </c>
      <c r="S361" s="1" t="s">
        <v>137</v>
      </c>
      <c r="T361" s="1" t="s">
        <v>47</v>
      </c>
      <c r="U361" s="1" t="s">
        <v>4301</v>
      </c>
      <c r="V361" s="4"/>
      <c r="W361" s="4"/>
      <c r="X361" s="4"/>
    </row>
    <row r="362">
      <c r="A362" s="1" t="s">
        <v>10367</v>
      </c>
      <c r="B362" s="1" t="s">
        <v>4293</v>
      </c>
      <c r="C362" s="1" t="s">
        <v>10368</v>
      </c>
      <c r="D362" s="1" t="s">
        <v>273</v>
      </c>
      <c r="E362" s="1" t="s">
        <v>330</v>
      </c>
      <c r="F362" s="1" t="s">
        <v>356</v>
      </c>
      <c r="G362" s="1" t="s">
        <v>875</v>
      </c>
      <c r="H362" s="3">
        <v>43983.0</v>
      </c>
      <c r="I362" s="3">
        <v>43983.0</v>
      </c>
      <c r="J362" s="3">
        <v>43983.0</v>
      </c>
      <c r="K362" s="1" t="s">
        <v>215</v>
      </c>
      <c r="L362" s="1" t="s">
        <v>160</v>
      </c>
      <c r="M362" s="1" t="s">
        <v>216</v>
      </c>
      <c r="N362" s="1" t="s">
        <v>131</v>
      </c>
      <c r="O362" s="4"/>
      <c r="P362" s="1"/>
      <c r="Q362" s="4"/>
      <c r="R362" s="1" t="s">
        <v>137</v>
      </c>
      <c r="S362" s="1" t="s">
        <v>137</v>
      </c>
      <c r="T362" s="1" t="s">
        <v>47</v>
      </c>
      <c r="U362" s="1" t="s">
        <v>4301</v>
      </c>
      <c r="V362" s="4"/>
      <c r="W362" s="4"/>
      <c r="X362" s="4"/>
    </row>
    <row r="363">
      <c r="A363" s="1" t="s">
        <v>10379</v>
      </c>
      <c r="B363" s="1" t="s">
        <v>4293</v>
      </c>
      <c r="C363" s="1" t="s">
        <v>10380</v>
      </c>
      <c r="D363" s="1" t="s">
        <v>593</v>
      </c>
      <c r="E363" s="1" t="s">
        <v>520</v>
      </c>
      <c r="F363" s="1" t="s">
        <v>522</v>
      </c>
      <c r="G363" s="1" t="s">
        <v>3889</v>
      </c>
      <c r="H363" s="3">
        <v>44481.0</v>
      </c>
      <c r="I363" s="3">
        <v>44615.0</v>
      </c>
      <c r="J363" s="3">
        <v>44615.0</v>
      </c>
      <c r="K363" s="1" t="s">
        <v>215</v>
      </c>
      <c r="L363" s="1" t="s">
        <v>160</v>
      </c>
      <c r="M363" s="1" t="s">
        <v>216</v>
      </c>
      <c r="N363" s="1" t="s">
        <v>131</v>
      </c>
      <c r="O363" s="13"/>
      <c r="P363" s="1"/>
      <c r="Q363" s="4"/>
      <c r="R363" s="1" t="s">
        <v>137</v>
      </c>
      <c r="S363" s="1" t="s">
        <v>137</v>
      </c>
      <c r="T363" s="1" t="s">
        <v>47</v>
      </c>
      <c r="U363" s="1" t="s">
        <v>4301</v>
      </c>
      <c r="V363" s="4"/>
      <c r="W363" s="4"/>
      <c r="X363" s="4"/>
    </row>
    <row r="364">
      <c r="A364" s="1" t="s">
        <v>2428</v>
      </c>
      <c r="B364" s="1" t="s">
        <v>146</v>
      </c>
      <c r="C364" s="1" t="s">
        <v>2430</v>
      </c>
      <c r="D364" s="1" t="s">
        <v>194</v>
      </c>
      <c r="E364" s="1" t="s">
        <v>454</v>
      </c>
      <c r="F364" s="1" t="s">
        <v>455</v>
      </c>
      <c r="G364" s="1" t="s">
        <v>510</v>
      </c>
      <c r="H364" s="3">
        <v>46129.0</v>
      </c>
      <c r="I364" s="3"/>
      <c r="J364" s="3"/>
      <c r="K364" s="1" t="s">
        <v>124</v>
      </c>
      <c r="L364" s="1" t="s">
        <v>160</v>
      </c>
      <c r="M364" s="1" t="s">
        <v>162</v>
      </c>
      <c r="N364" s="1" t="s">
        <v>131</v>
      </c>
      <c r="O364" s="13"/>
      <c r="P364" s="1" t="s">
        <v>485</v>
      </c>
      <c r="Q364" s="4"/>
      <c r="R364" s="1" t="s">
        <v>137</v>
      </c>
      <c r="S364" s="1" t="s">
        <v>137</v>
      </c>
      <c r="T364" s="1" t="s">
        <v>47</v>
      </c>
      <c r="U364" s="1"/>
      <c r="V364" s="4"/>
      <c r="W364" s="4"/>
      <c r="X364" s="4"/>
    </row>
    <row r="365">
      <c r="A365" s="1" t="s">
        <v>10010</v>
      </c>
      <c r="B365" s="1" t="s">
        <v>4293</v>
      </c>
      <c r="C365" s="1" t="s">
        <v>10395</v>
      </c>
      <c r="D365" s="1" t="s">
        <v>313</v>
      </c>
      <c r="E365" s="1" t="s">
        <v>292</v>
      </c>
      <c r="F365" s="1" t="s">
        <v>293</v>
      </c>
      <c r="G365" s="1" t="s">
        <v>316</v>
      </c>
      <c r="H365" s="3">
        <v>45705.0</v>
      </c>
      <c r="I365" s="3">
        <v>46174.0</v>
      </c>
      <c r="J365" s="3">
        <v>46174.0</v>
      </c>
      <c r="K365" s="1" t="s">
        <v>215</v>
      </c>
      <c r="L365" s="1" t="s">
        <v>160</v>
      </c>
      <c r="M365" s="1" t="s">
        <v>216</v>
      </c>
      <c r="N365" s="1" t="s">
        <v>131</v>
      </c>
      <c r="O365" s="13"/>
      <c r="P365" s="4"/>
      <c r="Q365" s="4"/>
      <c r="R365" s="1" t="s">
        <v>137</v>
      </c>
      <c r="S365" s="1" t="s">
        <v>137</v>
      </c>
      <c r="T365" s="1" t="s">
        <v>47</v>
      </c>
      <c r="U365" s="1" t="s">
        <v>4301</v>
      </c>
      <c r="V365" s="4"/>
      <c r="W365" s="4"/>
      <c r="X365" s="4"/>
    </row>
    <row r="366">
      <c r="A366" s="1" t="s">
        <v>6268</v>
      </c>
      <c r="B366" s="1" t="s">
        <v>4293</v>
      </c>
      <c r="C366" s="1" t="s">
        <v>10405</v>
      </c>
      <c r="D366" s="1" t="s">
        <v>1477</v>
      </c>
      <c r="E366" s="1" t="s">
        <v>175</v>
      </c>
      <c r="F366" s="1" t="s">
        <v>245</v>
      </c>
      <c r="G366" s="1" t="s">
        <v>3430</v>
      </c>
      <c r="H366" s="3">
        <v>45293.0</v>
      </c>
      <c r="I366" s="3">
        <v>45349.0</v>
      </c>
      <c r="J366" s="3">
        <v>45349.0</v>
      </c>
      <c r="K366" s="1" t="s">
        <v>215</v>
      </c>
      <c r="L366" s="1" t="s">
        <v>160</v>
      </c>
      <c r="M366" s="1" t="s">
        <v>216</v>
      </c>
      <c r="N366" s="1" t="s">
        <v>131</v>
      </c>
      <c r="O366" s="13"/>
      <c r="P366" s="4"/>
      <c r="Q366" s="4"/>
      <c r="R366" s="1" t="s">
        <v>137</v>
      </c>
      <c r="S366" s="1" t="s">
        <v>137</v>
      </c>
      <c r="T366" s="1" t="s">
        <v>47</v>
      </c>
      <c r="U366" s="1" t="s">
        <v>4301</v>
      </c>
      <c r="V366" s="4"/>
      <c r="W366" s="4"/>
      <c r="X366" s="4"/>
    </row>
    <row r="367">
      <c r="A367" s="1" t="s">
        <v>10376</v>
      </c>
      <c r="B367" s="1" t="s">
        <v>4293</v>
      </c>
      <c r="C367" s="1" t="s">
        <v>10418</v>
      </c>
      <c r="D367" s="1" t="s">
        <v>313</v>
      </c>
      <c r="E367" s="1" t="s">
        <v>175</v>
      </c>
      <c r="F367" s="1" t="s">
        <v>1116</v>
      </c>
      <c r="G367" s="1" t="s">
        <v>3300</v>
      </c>
      <c r="H367" s="3">
        <v>44629.0</v>
      </c>
      <c r="I367" s="3">
        <v>43532.0</v>
      </c>
      <c r="J367" s="3">
        <v>43532.0</v>
      </c>
      <c r="K367" s="1" t="s">
        <v>215</v>
      </c>
      <c r="L367" s="1" t="s">
        <v>160</v>
      </c>
      <c r="M367" s="1" t="s">
        <v>216</v>
      </c>
      <c r="N367" s="1" t="s">
        <v>131</v>
      </c>
      <c r="O367" s="13"/>
      <c r="P367" s="4"/>
      <c r="Q367" s="4"/>
      <c r="R367" s="1" t="s">
        <v>137</v>
      </c>
      <c r="S367" s="1" t="s">
        <v>137</v>
      </c>
      <c r="T367" s="1" t="s">
        <v>47</v>
      </c>
      <c r="U367" s="1" t="s">
        <v>4301</v>
      </c>
      <c r="V367" s="4"/>
      <c r="W367" s="4"/>
      <c r="X367" s="4"/>
    </row>
    <row r="368">
      <c r="A368" s="1" t="s">
        <v>5745</v>
      </c>
      <c r="B368" s="1" t="s">
        <v>4293</v>
      </c>
      <c r="C368" s="1" t="s">
        <v>10431</v>
      </c>
      <c r="D368" s="1" t="s">
        <v>492</v>
      </c>
      <c r="E368" s="1" t="s">
        <v>292</v>
      </c>
      <c r="F368" s="1" t="s">
        <v>962</v>
      </c>
      <c r="G368" s="1" t="s">
        <v>9279</v>
      </c>
      <c r="H368" s="3">
        <v>45930.0</v>
      </c>
      <c r="I368" s="3"/>
      <c r="J368" s="3"/>
      <c r="K368" s="1" t="s">
        <v>124</v>
      </c>
      <c r="L368" s="1" t="s">
        <v>160</v>
      </c>
      <c r="M368" s="1" t="s">
        <v>253</v>
      </c>
      <c r="N368" s="1" t="s">
        <v>131</v>
      </c>
      <c r="O368" s="13"/>
      <c r="P368" s="4"/>
      <c r="Q368" s="4"/>
      <c r="R368" s="1" t="s">
        <v>137</v>
      </c>
      <c r="S368" s="1" t="s">
        <v>137</v>
      </c>
      <c r="T368" s="1" t="s">
        <v>47</v>
      </c>
      <c r="U368" s="1" t="s">
        <v>4301</v>
      </c>
      <c r="V368" s="4"/>
      <c r="W368" s="4"/>
      <c r="X368" s="4"/>
    </row>
    <row r="369">
      <c r="A369" s="1" t="s">
        <v>7195</v>
      </c>
      <c r="B369" s="1" t="s">
        <v>4293</v>
      </c>
      <c r="C369" s="1" t="s">
        <v>10445</v>
      </c>
      <c r="D369" s="1" t="s">
        <v>678</v>
      </c>
      <c r="E369" s="1" t="s">
        <v>454</v>
      </c>
      <c r="F369" s="1" t="s">
        <v>637</v>
      </c>
      <c r="G369" s="1" t="s">
        <v>638</v>
      </c>
      <c r="H369" s="3">
        <v>42802.0</v>
      </c>
      <c r="I369" s="3">
        <v>42802.0</v>
      </c>
      <c r="J369" s="3">
        <v>42802.0</v>
      </c>
      <c r="K369" s="1" t="s">
        <v>215</v>
      </c>
      <c r="L369" s="1" t="s">
        <v>160</v>
      </c>
      <c r="M369" s="1" t="s">
        <v>216</v>
      </c>
      <c r="N369" s="1" t="s">
        <v>131</v>
      </c>
      <c r="O369" s="13"/>
      <c r="P369" s="4"/>
      <c r="Q369" s="4"/>
      <c r="R369" s="1" t="s">
        <v>137</v>
      </c>
      <c r="S369" s="1" t="s">
        <v>137</v>
      </c>
      <c r="T369" s="1" t="s">
        <v>47</v>
      </c>
      <c r="U369" s="1" t="s">
        <v>4301</v>
      </c>
      <c r="V369" s="4"/>
      <c r="W369" s="4"/>
      <c r="X369" s="4"/>
    </row>
    <row r="370">
      <c r="A370" s="1" t="s">
        <v>7459</v>
      </c>
      <c r="B370" s="1" t="s">
        <v>4293</v>
      </c>
      <c r="C370" s="1" t="s">
        <v>10463</v>
      </c>
      <c r="D370" s="1" t="s">
        <v>1291</v>
      </c>
      <c r="E370" s="1" t="s">
        <v>292</v>
      </c>
      <c r="F370" s="1" t="s">
        <v>494</v>
      </c>
      <c r="G370" s="1" t="s">
        <v>496</v>
      </c>
      <c r="H370" s="3">
        <v>45139.0</v>
      </c>
      <c r="I370" s="3">
        <v>45671.0</v>
      </c>
      <c r="J370" s="3">
        <v>45671.0</v>
      </c>
      <c r="K370" s="1" t="s">
        <v>215</v>
      </c>
      <c r="L370" s="1" t="s">
        <v>160</v>
      </c>
      <c r="M370" s="1" t="s">
        <v>216</v>
      </c>
      <c r="N370" s="1" t="s">
        <v>131</v>
      </c>
      <c r="O370" s="13"/>
      <c r="P370" s="1"/>
      <c r="Q370" s="4"/>
      <c r="R370" s="1" t="s">
        <v>137</v>
      </c>
      <c r="S370" s="1" t="s">
        <v>137</v>
      </c>
      <c r="T370" s="1" t="s">
        <v>47</v>
      </c>
      <c r="U370" s="1" t="s">
        <v>4301</v>
      </c>
      <c r="V370" s="4"/>
      <c r="W370" s="4"/>
      <c r="X370" s="4"/>
    </row>
    <row r="371">
      <c r="A371" s="1" t="s">
        <v>10483</v>
      </c>
      <c r="B371" s="1" t="s">
        <v>4293</v>
      </c>
      <c r="C371" s="1" t="s">
        <v>10484</v>
      </c>
      <c r="D371" s="1" t="s">
        <v>313</v>
      </c>
      <c r="E371" s="1" t="s">
        <v>292</v>
      </c>
      <c r="F371" s="1" t="s">
        <v>962</v>
      </c>
      <c r="G371" s="1" t="s">
        <v>2048</v>
      </c>
      <c r="H371" s="3">
        <v>44806.0</v>
      </c>
      <c r="I371" s="3">
        <v>45127.0</v>
      </c>
      <c r="J371" s="3">
        <v>45127.0</v>
      </c>
      <c r="K371" s="1" t="s">
        <v>215</v>
      </c>
      <c r="L371" s="1" t="s">
        <v>160</v>
      </c>
      <c r="M371" s="1" t="s">
        <v>216</v>
      </c>
      <c r="N371" s="1" t="s">
        <v>131</v>
      </c>
      <c r="O371" s="13"/>
      <c r="P371" s="1"/>
      <c r="Q371" s="4"/>
      <c r="R371" s="1" t="s">
        <v>137</v>
      </c>
      <c r="S371" s="1" t="s">
        <v>137</v>
      </c>
      <c r="T371" s="1" t="s">
        <v>47</v>
      </c>
      <c r="U371" s="1" t="s">
        <v>4301</v>
      </c>
      <c r="V371" s="4"/>
      <c r="W371" s="4"/>
      <c r="X371" s="4"/>
    </row>
    <row r="372">
      <c r="A372" s="1" t="s">
        <v>8653</v>
      </c>
      <c r="B372" s="1" t="s">
        <v>4293</v>
      </c>
      <c r="C372" s="1" t="s">
        <v>10508</v>
      </c>
      <c r="D372" s="1" t="s">
        <v>1798</v>
      </c>
      <c r="E372" s="1" t="s">
        <v>175</v>
      </c>
      <c r="F372" s="1" t="s">
        <v>1116</v>
      </c>
      <c r="G372" s="1" t="s">
        <v>3300</v>
      </c>
      <c r="H372" s="3">
        <v>44692.0</v>
      </c>
      <c r="I372" s="3">
        <v>44839.0</v>
      </c>
      <c r="J372" s="3">
        <v>44839.0</v>
      </c>
      <c r="K372" s="1" t="s">
        <v>215</v>
      </c>
      <c r="L372" s="1" t="s">
        <v>160</v>
      </c>
      <c r="M372" s="1" t="s">
        <v>216</v>
      </c>
      <c r="N372" s="1" t="s">
        <v>131</v>
      </c>
      <c r="O372" s="4"/>
      <c r="P372" s="1"/>
      <c r="Q372" s="4"/>
      <c r="R372" s="1" t="s">
        <v>137</v>
      </c>
      <c r="S372" s="1" t="s">
        <v>137</v>
      </c>
      <c r="T372" s="1" t="s">
        <v>47</v>
      </c>
      <c r="U372" s="1" t="s">
        <v>4301</v>
      </c>
      <c r="V372" s="4"/>
      <c r="W372" s="4"/>
      <c r="X372" s="4"/>
    </row>
    <row r="373">
      <c r="A373" s="1" t="s">
        <v>4763</v>
      </c>
      <c r="B373" s="1" t="s">
        <v>2964</v>
      </c>
      <c r="C373" s="1" t="s">
        <v>10536</v>
      </c>
      <c r="D373" s="1" t="s">
        <v>518</v>
      </c>
      <c r="E373" s="1" t="s">
        <v>520</v>
      </c>
      <c r="F373" s="1" t="s">
        <v>522</v>
      </c>
      <c r="G373" s="1" t="s">
        <v>710</v>
      </c>
      <c r="H373" s="3">
        <v>46272.0</v>
      </c>
      <c r="I373" s="3"/>
      <c r="J373" s="3"/>
      <c r="K373" s="1" t="s">
        <v>124</v>
      </c>
      <c r="L373" s="1" t="s">
        <v>98</v>
      </c>
      <c r="M373" s="1" t="s">
        <v>162</v>
      </c>
      <c r="N373" s="1" t="s">
        <v>131</v>
      </c>
      <c r="O373" s="13"/>
      <c r="P373" s="1" t="s">
        <v>3022</v>
      </c>
      <c r="Q373" s="4"/>
      <c r="R373" s="1" t="s">
        <v>137</v>
      </c>
      <c r="S373" s="1" t="s">
        <v>137</v>
      </c>
      <c r="T373" s="1" t="s">
        <v>47</v>
      </c>
      <c r="U373" s="1"/>
      <c r="V373" s="4"/>
      <c r="W373" s="4"/>
      <c r="X373" s="4"/>
    </row>
    <row r="374">
      <c r="A374" s="1" t="s">
        <v>2376</v>
      </c>
      <c r="B374" s="1" t="s">
        <v>146</v>
      </c>
      <c r="C374" s="1" t="s">
        <v>2450</v>
      </c>
      <c r="D374" s="1" t="s">
        <v>273</v>
      </c>
      <c r="E374" s="1" t="s">
        <v>330</v>
      </c>
      <c r="F374" s="1" t="s">
        <v>331</v>
      </c>
      <c r="G374" s="1" t="s">
        <v>333</v>
      </c>
      <c r="H374" s="3">
        <v>46129.0</v>
      </c>
      <c r="I374" s="3"/>
      <c r="J374" s="3"/>
      <c r="K374" s="1" t="s">
        <v>124</v>
      </c>
      <c r="L374" s="1" t="s">
        <v>160</v>
      </c>
      <c r="M374" s="1" t="s">
        <v>162</v>
      </c>
      <c r="N374" s="1" t="s">
        <v>131</v>
      </c>
      <c r="O374" s="13"/>
      <c r="P374" s="1" t="s">
        <v>2452</v>
      </c>
      <c r="Q374" s="4"/>
      <c r="R374" s="1" t="s">
        <v>137</v>
      </c>
      <c r="S374" s="1" t="s">
        <v>137</v>
      </c>
      <c r="T374" s="1" t="s">
        <v>47</v>
      </c>
      <c r="U374" s="1" t="s">
        <v>4149</v>
      </c>
      <c r="V374" s="4"/>
      <c r="W374" s="4"/>
      <c r="X374" s="4"/>
    </row>
    <row r="375">
      <c r="A375" s="1" t="s">
        <v>8513</v>
      </c>
      <c r="B375" s="1" t="s">
        <v>4293</v>
      </c>
      <c r="C375" s="1" t="s">
        <v>10585</v>
      </c>
      <c r="D375" s="1" t="s">
        <v>1258</v>
      </c>
      <c r="E375" s="1" t="s">
        <v>292</v>
      </c>
      <c r="F375" s="1" t="s">
        <v>468</v>
      </c>
      <c r="G375" s="1" t="s">
        <v>998</v>
      </c>
      <c r="H375" s="3">
        <v>44543.0</v>
      </c>
      <c r="I375" s="3">
        <v>44719.0</v>
      </c>
      <c r="J375" s="3">
        <v>44719.0</v>
      </c>
      <c r="K375" s="1" t="s">
        <v>215</v>
      </c>
      <c r="L375" s="1" t="s">
        <v>160</v>
      </c>
      <c r="M375" s="1" t="s">
        <v>216</v>
      </c>
      <c r="N375" s="1" t="s">
        <v>131</v>
      </c>
      <c r="O375" s="13"/>
      <c r="P375" s="4"/>
      <c r="Q375" s="4"/>
      <c r="R375" s="1" t="s">
        <v>137</v>
      </c>
      <c r="S375" s="1" t="s">
        <v>137</v>
      </c>
      <c r="T375" s="1" t="s">
        <v>47</v>
      </c>
      <c r="U375" s="1" t="s">
        <v>4301</v>
      </c>
      <c r="V375" s="4"/>
      <c r="W375" s="4"/>
      <c r="X375" s="4"/>
    </row>
    <row r="376">
      <c r="A376" s="1" t="s">
        <v>7239</v>
      </c>
      <c r="B376" s="1" t="s">
        <v>4293</v>
      </c>
      <c r="C376" s="1" t="s">
        <v>10613</v>
      </c>
      <c r="D376" s="1" t="s">
        <v>2198</v>
      </c>
      <c r="E376" s="1" t="s">
        <v>292</v>
      </c>
      <c r="F376" s="1" t="s">
        <v>494</v>
      </c>
      <c r="G376" s="1" t="s">
        <v>2278</v>
      </c>
      <c r="H376" s="3">
        <v>45016.0</v>
      </c>
      <c r="I376" s="3">
        <v>45105.0</v>
      </c>
      <c r="J376" s="3">
        <v>45105.0</v>
      </c>
      <c r="K376" s="1" t="s">
        <v>215</v>
      </c>
      <c r="L376" s="1" t="s">
        <v>160</v>
      </c>
      <c r="M376" s="1" t="s">
        <v>216</v>
      </c>
      <c r="N376" s="1" t="s">
        <v>131</v>
      </c>
      <c r="O376" s="13"/>
      <c r="P376" s="4"/>
      <c r="Q376" s="4"/>
      <c r="R376" s="1" t="s">
        <v>137</v>
      </c>
      <c r="S376" s="1" t="s">
        <v>137</v>
      </c>
      <c r="T376" s="1" t="s">
        <v>47</v>
      </c>
      <c r="U376" s="1" t="s">
        <v>4301</v>
      </c>
      <c r="V376" s="4"/>
      <c r="W376" s="4"/>
      <c r="X376" s="4"/>
    </row>
    <row r="377">
      <c r="A377" s="1" t="s">
        <v>8857</v>
      </c>
      <c r="B377" s="1" t="s">
        <v>4293</v>
      </c>
      <c r="C377" s="1" t="s">
        <v>10635</v>
      </c>
      <c r="D377" s="1" t="s">
        <v>313</v>
      </c>
      <c r="E377" s="1" t="s">
        <v>175</v>
      </c>
      <c r="F377" s="1" t="s">
        <v>1767</v>
      </c>
      <c r="G377" s="1" t="s">
        <v>1768</v>
      </c>
      <c r="H377" s="3">
        <v>45385.0</v>
      </c>
      <c r="I377" s="3">
        <v>45600.0</v>
      </c>
      <c r="J377" s="3">
        <v>45600.0</v>
      </c>
      <c r="K377" s="1" t="s">
        <v>215</v>
      </c>
      <c r="L377" s="1" t="s">
        <v>160</v>
      </c>
      <c r="M377" s="1" t="s">
        <v>216</v>
      </c>
      <c r="N377" s="1" t="s">
        <v>131</v>
      </c>
      <c r="O377" s="13"/>
      <c r="P377" s="4"/>
      <c r="Q377" s="4"/>
      <c r="R377" s="1" t="s">
        <v>137</v>
      </c>
      <c r="S377" s="1" t="s">
        <v>137</v>
      </c>
      <c r="T377" s="1" t="s">
        <v>47</v>
      </c>
      <c r="U377" s="1" t="s">
        <v>4301</v>
      </c>
      <c r="V377" s="4"/>
      <c r="W377" s="4"/>
      <c r="X377" s="4"/>
    </row>
    <row r="378">
      <c r="A378" s="1" t="s">
        <v>10646</v>
      </c>
      <c r="B378" s="1" t="s">
        <v>4293</v>
      </c>
      <c r="C378" s="1" t="s">
        <v>10650</v>
      </c>
      <c r="D378" s="1" t="s">
        <v>777</v>
      </c>
      <c r="E378" s="1" t="s">
        <v>119</v>
      </c>
      <c r="F378" s="1" t="s">
        <v>2522</v>
      </c>
      <c r="G378" s="1" t="s">
        <v>2522</v>
      </c>
      <c r="H378" s="3">
        <v>45649.0</v>
      </c>
      <c r="I378" s="3">
        <v>45887.0</v>
      </c>
      <c r="J378" s="3">
        <v>45887.0</v>
      </c>
      <c r="K378" s="1" t="s">
        <v>215</v>
      </c>
      <c r="L378" s="1" t="s">
        <v>160</v>
      </c>
      <c r="M378" s="1" t="s">
        <v>216</v>
      </c>
      <c r="N378" s="1" t="s">
        <v>131</v>
      </c>
      <c r="O378" s="13"/>
      <c r="P378" s="4"/>
      <c r="Q378" s="4"/>
      <c r="R378" s="1" t="s">
        <v>137</v>
      </c>
      <c r="S378" s="1" t="s">
        <v>137</v>
      </c>
      <c r="T378" s="1" t="s">
        <v>47</v>
      </c>
      <c r="U378" s="1" t="s">
        <v>4301</v>
      </c>
      <c r="V378" s="4"/>
      <c r="W378" s="4"/>
      <c r="X378" s="4"/>
    </row>
    <row r="379">
      <c r="A379" s="1" t="s">
        <v>10676</v>
      </c>
      <c r="B379" s="1" t="s">
        <v>4293</v>
      </c>
      <c r="C379" s="1" t="s">
        <v>10679</v>
      </c>
      <c r="D379" s="1" t="s">
        <v>678</v>
      </c>
      <c r="E379" s="1" t="s">
        <v>3379</v>
      </c>
      <c r="F379" s="1" t="s">
        <v>9045</v>
      </c>
      <c r="G379" s="1" t="s">
        <v>9045</v>
      </c>
      <c r="H379" s="3">
        <v>44263.0</v>
      </c>
      <c r="I379" s="3">
        <v>44517.0</v>
      </c>
      <c r="J379" s="3">
        <v>44517.0</v>
      </c>
      <c r="K379" s="1" t="s">
        <v>215</v>
      </c>
      <c r="L379" s="1" t="s">
        <v>160</v>
      </c>
      <c r="M379" s="1" t="s">
        <v>216</v>
      </c>
      <c r="N379" s="1" t="s">
        <v>131</v>
      </c>
      <c r="O379" s="13"/>
      <c r="P379" s="4"/>
      <c r="Q379" s="4"/>
      <c r="R379" s="1" t="s">
        <v>137</v>
      </c>
      <c r="S379" s="1" t="s">
        <v>137</v>
      </c>
      <c r="T379" s="1" t="s">
        <v>47</v>
      </c>
      <c r="U379" s="1" t="s">
        <v>4301</v>
      </c>
      <c r="V379" s="4"/>
      <c r="W379" s="4"/>
      <c r="X379" s="4"/>
    </row>
    <row r="380">
      <c r="A380" s="1" t="s">
        <v>7922</v>
      </c>
      <c r="B380" s="1" t="s">
        <v>4293</v>
      </c>
      <c r="C380" s="1" t="s">
        <v>10688</v>
      </c>
      <c r="D380" s="1" t="s">
        <v>60</v>
      </c>
      <c r="E380" s="1" t="s">
        <v>520</v>
      </c>
      <c r="F380" s="1" t="s">
        <v>1179</v>
      </c>
      <c r="G380" s="1" t="s">
        <v>8894</v>
      </c>
      <c r="H380" s="3">
        <v>43039.0</v>
      </c>
      <c r="I380" s="3">
        <v>43143.0</v>
      </c>
      <c r="J380" s="3">
        <v>43143.0</v>
      </c>
      <c r="K380" s="1" t="s">
        <v>215</v>
      </c>
      <c r="L380" s="1" t="s">
        <v>160</v>
      </c>
      <c r="M380" s="1" t="s">
        <v>216</v>
      </c>
      <c r="N380" s="1" t="s">
        <v>131</v>
      </c>
      <c r="O380" s="13"/>
      <c r="P380" s="4"/>
      <c r="Q380" s="4"/>
      <c r="R380" s="1" t="s">
        <v>137</v>
      </c>
      <c r="S380" s="1" t="s">
        <v>137</v>
      </c>
      <c r="T380" s="1" t="s">
        <v>47</v>
      </c>
      <c r="U380" s="1" t="s">
        <v>4301</v>
      </c>
      <c r="V380" s="4"/>
      <c r="W380" s="4"/>
      <c r="X380" s="4"/>
    </row>
    <row r="381">
      <c r="A381" s="1" t="s">
        <v>10705</v>
      </c>
      <c r="B381" s="1" t="s">
        <v>4293</v>
      </c>
      <c r="C381" s="1" t="s">
        <v>10709</v>
      </c>
      <c r="D381" s="1" t="s">
        <v>388</v>
      </c>
      <c r="E381" s="1" t="s">
        <v>889</v>
      </c>
      <c r="F381" s="1" t="s">
        <v>2385</v>
      </c>
      <c r="G381" s="1" t="s">
        <v>10712</v>
      </c>
      <c r="H381" s="3">
        <v>45281.0</v>
      </c>
      <c r="I381" s="3"/>
      <c r="J381" s="3"/>
      <c r="K381" s="1" t="s">
        <v>124</v>
      </c>
      <c r="L381" s="1" t="s">
        <v>160</v>
      </c>
      <c r="M381" s="1" t="s">
        <v>253</v>
      </c>
      <c r="N381" s="1" t="s">
        <v>131</v>
      </c>
      <c r="O381" s="13"/>
      <c r="P381" s="4"/>
      <c r="Q381" s="4"/>
      <c r="R381" s="1" t="s">
        <v>137</v>
      </c>
      <c r="S381" s="1" t="s">
        <v>137</v>
      </c>
      <c r="T381" s="1" t="s">
        <v>47</v>
      </c>
      <c r="U381" s="1" t="s">
        <v>4301</v>
      </c>
      <c r="V381" s="4"/>
      <c r="W381" s="4"/>
      <c r="X381" s="4"/>
    </row>
    <row r="382">
      <c r="A382" s="1" t="s">
        <v>10729</v>
      </c>
      <c r="B382" s="1" t="s">
        <v>4293</v>
      </c>
      <c r="C382" s="1" t="s">
        <v>10731</v>
      </c>
      <c r="D382" s="1" t="s">
        <v>650</v>
      </c>
      <c r="E382" s="1" t="s">
        <v>292</v>
      </c>
      <c r="F382" s="1" t="s">
        <v>576</v>
      </c>
      <c r="G382" s="1" t="s">
        <v>577</v>
      </c>
      <c r="H382" s="3">
        <v>45769.0</v>
      </c>
      <c r="I382" s="3">
        <v>46002.0</v>
      </c>
      <c r="J382" s="3">
        <v>46002.0</v>
      </c>
      <c r="K382" s="1" t="s">
        <v>215</v>
      </c>
      <c r="L382" s="1" t="s">
        <v>160</v>
      </c>
      <c r="M382" s="1" t="s">
        <v>216</v>
      </c>
      <c r="N382" s="1" t="s">
        <v>131</v>
      </c>
      <c r="O382" s="13"/>
      <c r="P382" s="4"/>
      <c r="Q382" s="4"/>
      <c r="R382" s="1" t="s">
        <v>137</v>
      </c>
      <c r="S382" s="1" t="s">
        <v>137</v>
      </c>
      <c r="T382" s="1" t="s">
        <v>47</v>
      </c>
      <c r="U382" s="1" t="s">
        <v>4301</v>
      </c>
      <c r="V382" s="4"/>
      <c r="W382" s="4"/>
      <c r="X382" s="4"/>
    </row>
    <row r="383">
      <c r="A383" s="1" t="s">
        <v>10278</v>
      </c>
      <c r="B383" s="1" t="s">
        <v>4293</v>
      </c>
      <c r="C383" s="1" t="s">
        <v>10748</v>
      </c>
      <c r="D383" s="1" t="s">
        <v>2198</v>
      </c>
      <c r="E383" s="1" t="s">
        <v>175</v>
      </c>
      <c r="F383" s="1" t="s">
        <v>763</v>
      </c>
      <c r="G383" s="1" t="s">
        <v>764</v>
      </c>
      <c r="H383" s="3">
        <v>45014.0</v>
      </c>
      <c r="I383" s="3">
        <v>45106.0</v>
      </c>
      <c r="J383" s="3">
        <v>45106.0</v>
      </c>
      <c r="K383" s="1" t="s">
        <v>215</v>
      </c>
      <c r="L383" s="1" t="s">
        <v>160</v>
      </c>
      <c r="M383" s="1" t="s">
        <v>216</v>
      </c>
      <c r="N383" s="1" t="s">
        <v>131</v>
      </c>
      <c r="O383" s="13"/>
      <c r="P383" s="1"/>
      <c r="Q383" s="4"/>
      <c r="R383" s="1" t="s">
        <v>137</v>
      </c>
      <c r="S383" s="1" t="s">
        <v>137</v>
      </c>
      <c r="T383" s="1" t="s">
        <v>47</v>
      </c>
      <c r="U383" s="1" t="s">
        <v>4301</v>
      </c>
      <c r="V383" s="4"/>
      <c r="W383" s="4"/>
      <c r="X383" s="4"/>
    </row>
    <row r="384">
      <c r="A384" s="1" t="s">
        <v>8919</v>
      </c>
      <c r="B384" s="1" t="s">
        <v>4293</v>
      </c>
      <c r="C384" s="1" t="s">
        <v>10768</v>
      </c>
      <c r="D384" s="1" t="s">
        <v>172</v>
      </c>
      <c r="E384" s="1" t="s">
        <v>292</v>
      </c>
      <c r="F384" s="1" t="s">
        <v>293</v>
      </c>
      <c r="G384" s="1" t="s">
        <v>2091</v>
      </c>
      <c r="H384" s="3">
        <v>43555.0</v>
      </c>
      <c r="I384" s="3">
        <v>43808.0</v>
      </c>
      <c r="J384" s="3">
        <v>43808.0</v>
      </c>
      <c r="K384" s="1" t="s">
        <v>215</v>
      </c>
      <c r="L384" s="1" t="s">
        <v>160</v>
      </c>
      <c r="M384" s="1" t="s">
        <v>216</v>
      </c>
      <c r="N384" s="1" t="s">
        <v>131</v>
      </c>
      <c r="O384" s="13"/>
      <c r="P384" s="1"/>
      <c r="Q384" s="4"/>
      <c r="R384" s="1" t="s">
        <v>137</v>
      </c>
      <c r="S384" s="1" t="s">
        <v>137</v>
      </c>
      <c r="T384" s="1" t="s">
        <v>47</v>
      </c>
      <c r="U384" s="1" t="s">
        <v>4301</v>
      </c>
      <c r="V384" s="4"/>
      <c r="W384" s="4"/>
      <c r="X384" s="4"/>
    </row>
    <row r="385">
      <c r="A385" s="1" t="s">
        <v>7142</v>
      </c>
      <c r="B385" s="1" t="s">
        <v>4293</v>
      </c>
      <c r="C385" s="1" t="s">
        <v>10783</v>
      </c>
      <c r="D385" s="1" t="s">
        <v>1823</v>
      </c>
      <c r="E385" s="1" t="s">
        <v>175</v>
      </c>
      <c r="F385" s="1" t="s">
        <v>763</v>
      </c>
      <c r="G385" s="1" t="s">
        <v>3768</v>
      </c>
      <c r="H385" s="3">
        <v>44328.0</v>
      </c>
      <c r="I385" s="3">
        <v>44358.0</v>
      </c>
      <c r="J385" s="3">
        <v>44358.0</v>
      </c>
      <c r="K385" s="1" t="s">
        <v>215</v>
      </c>
      <c r="L385" s="1" t="s">
        <v>160</v>
      </c>
      <c r="M385" s="1" t="s">
        <v>216</v>
      </c>
      <c r="N385" s="1" t="s">
        <v>131</v>
      </c>
      <c r="O385" s="13"/>
      <c r="P385" s="1"/>
      <c r="Q385" s="4"/>
      <c r="R385" s="1" t="s">
        <v>137</v>
      </c>
      <c r="S385" s="1" t="s">
        <v>137</v>
      </c>
      <c r="T385" s="1" t="s">
        <v>47</v>
      </c>
      <c r="U385" s="1" t="s">
        <v>4301</v>
      </c>
      <c r="V385" s="4"/>
      <c r="W385" s="4"/>
      <c r="X385" s="4"/>
    </row>
    <row r="386">
      <c r="A386" s="1" t="s">
        <v>2484</v>
      </c>
      <c r="B386" s="1" t="s">
        <v>146</v>
      </c>
      <c r="C386" s="1" t="s">
        <v>2485</v>
      </c>
      <c r="D386" s="1" t="s">
        <v>754</v>
      </c>
      <c r="E386" s="1" t="s">
        <v>175</v>
      </c>
      <c r="F386" s="1" t="s">
        <v>177</v>
      </c>
      <c r="G386" s="1" t="s">
        <v>483</v>
      </c>
      <c r="H386" s="3">
        <v>46129.0</v>
      </c>
      <c r="I386" s="3"/>
      <c r="J386" s="3"/>
      <c r="K386" s="1" t="s">
        <v>124</v>
      </c>
      <c r="L386" s="1" t="s">
        <v>160</v>
      </c>
      <c r="M386" s="1" t="s">
        <v>162</v>
      </c>
      <c r="N386" s="1" t="s">
        <v>131</v>
      </c>
      <c r="O386" s="13"/>
      <c r="P386" s="1" t="s">
        <v>5108</v>
      </c>
      <c r="Q386" s="4"/>
      <c r="R386" s="1" t="s">
        <v>137</v>
      </c>
      <c r="S386" s="1" t="s">
        <v>137</v>
      </c>
      <c r="T386" s="1" t="s">
        <v>47</v>
      </c>
      <c r="U386" s="1" t="s">
        <v>4173</v>
      </c>
      <c r="V386" s="4"/>
      <c r="W386" s="4"/>
      <c r="X386" s="4"/>
    </row>
    <row r="387">
      <c r="A387" s="1" t="s">
        <v>8151</v>
      </c>
      <c r="B387" s="1" t="s">
        <v>4293</v>
      </c>
      <c r="C387" s="1" t="s">
        <v>10816</v>
      </c>
      <c r="D387" s="1" t="s">
        <v>518</v>
      </c>
      <c r="E387" s="1" t="s">
        <v>520</v>
      </c>
      <c r="F387" s="1" t="s">
        <v>522</v>
      </c>
      <c r="G387" s="1" t="s">
        <v>4985</v>
      </c>
      <c r="H387" s="3">
        <v>44531.0</v>
      </c>
      <c r="I387" s="3">
        <v>44631.0</v>
      </c>
      <c r="J387" s="3">
        <v>44631.0</v>
      </c>
      <c r="K387" s="1" t="s">
        <v>215</v>
      </c>
      <c r="L387" s="1" t="s">
        <v>160</v>
      </c>
      <c r="M387" s="1" t="s">
        <v>216</v>
      </c>
      <c r="N387" s="1" t="s">
        <v>131</v>
      </c>
      <c r="O387" s="13"/>
      <c r="P387" s="4"/>
      <c r="Q387" s="4"/>
      <c r="R387" s="1" t="s">
        <v>137</v>
      </c>
      <c r="S387" s="1" t="s">
        <v>137</v>
      </c>
      <c r="T387" s="1" t="s">
        <v>47</v>
      </c>
      <c r="U387" s="1" t="s">
        <v>4301</v>
      </c>
      <c r="V387" s="4"/>
      <c r="W387" s="4"/>
      <c r="X387" s="4"/>
    </row>
    <row r="388">
      <c r="A388" s="1" t="s">
        <v>10830</v>
      </c>
      <c r="B388" s="1" t="s">
        <v>4293</v>
      </c>
      <c r="C388" s="1" t="s">
        <v>10834</v>
      </c>
      <c r="D388" s="1" t="s">
        <v>518</v>
      </c>
      <c r="E388" s="1" t="s">
        <v>520</v>
      </c>
      <c r="F388" s="1" t="s">
        <v>522</v>
      </c>
      <c r="G388" s="1" t="s">
        <v>710</v>
      </c>
      <c r="H388" s="3">
        <v>43983.0</v>
      </c>
      <c r="I388" s="3">
        <v>44104.0</v>
      </c>
      <c r="J388" s="3">
        <v>44104.0</v>
      </c>
      <c r="K388" s="1" t="s">
        <v>215</v>
      </c>
      <c r="L388" s="1" t="s">
        <v>160</v>
      </c>
      <c r="M388" s="1" t="s">
        <v>216</v>
      </c>
      <c r="N388" s="1" t="s">
        <v>131</v>
      </c>
      <c r="O388" s="13"/>
      <c r="P388" s="1"/>
      <c r="Q388" s="4"/>
      <c r="R388" s="1" t="s">
        <v>137</v>
      </c>
      <c r="S388" s="1" t="s">
        <v>137</v>
      </c>
      <c r="T388" s="1" t="s">
        <v>47</v>
      </c>
      <c r="U388" s="1" t="s">
        <v>4301</v>
      </c>
      <c r="V388" s="4"/>
      <c r="W388" s="4"/>
      <c r="X388" s="4"/>
    </row>
    <row r="389">
      <c r="A389" s="1" t="s">
        <v>7811</v>
      </c>
      <c r="B389" s="1" t="s">
        <v>4293</v>
      </c>
      <c r="C389" s="1" t="s">
        <v>10848</v>
      </c>
      <c r="D389" s="1" t="s">
        <v>518</v>
      </c>
      <c r="E389" s="1" t="s">
        <v>520</v>
      </c>
      <c r="F389" s="1" t="s">
        <v>522</v>
      </c>
      <c r="G389" s="1" t="s">
        <v>6067</v>
      </c>
      <c r="H389" s="3">
        <v>44182.0</v>
      </c>
      <c r="I389" s="3">
        <v>44538.0</v>
      </c>
      <c r="J389" s="3">
        <v>44538.0</v>
      </c>
      <c r="K389" s="1" t="s">
        <v>215</v>
      </c>
      <c r="L389" s="1" t="s">
        <v>160</v>
      </c>
      <c r="M389" s="1" t="s">
        <v>216</v>
      </c>
      <c r="N389" s="1" t="s">
        <v>131</v>
      </c>
      <c r="O389" s="13"/>
      <c r="P389" s="1"/>
      <c r="Q389" s="4"/>
      <c r="R389" s="1" t="s">
        <v>137</v>
      </c>
      <c r="S389" s="1" t="s">
        <v>137</v>
      </c>
      <c r="T389" s="1" t="s">
        <v>47</v>
      </c>
      <c r="U389" s="1" t="s">
        <v>4301</v>
      </c>
      <c r="V389" s="4"/>
      <c r="W389" s="4"/>
      <c r="X389" s="4"/>
    </row>
    <row r="390">
      <c r="A390" s="1" t="s">
        <v>7992</v>
      </c>
      <c r="B390" s="1" t="s">
        <v>4293</v>
      </c>
      <c r="C390" s="1" t="s">
        <v>10861</v>
      </c>
      <c r="D390" s="1" t="s">
        <v>1477</v>
      </c>
      <c r="E390" s="1" t="s">
        <v>292</v>
      </c>
      <c r="F390" s="1" t="s">
        <v>494</v>
      </c>
      <c r="G390" s="1" t="s">
        <v>496</v>
      </c>
      <c r="H390" s="3">
        <v>45338.0</v>
      </c>
      <c r="I390" s="3">
        <v>45502.0</v>
      </c>
      <c r="J390" s="3">
        <v>45502.0</v>
      </c>
      <c r="K390" s="1" t="s">
        <v>215</v>
      </c>
      <c r="L390" s="1" t="s">
        <v>160</v>
      </c>
      <c r="M390" s="1" t="s">
        <v>216</v>
      </c>
      <c r="N390" s="1" t="s">
        <v>131</v>
      </c>
      <c r="O390" s="13"/>
      <c r="P390" s="1"/>
      <c r="Q390" s="4"/>
      <c r="R390" s="1" t="s">
        <v>137</v>
      </c>
      <c r="S390" s="1" t="s">
        <v>137</v>
      </c>
      <c r="T390" s="1" t="s">
        <v>47</v>
      </c>
      <c r="U390" s="1" t="s">
        <v>4301</v>
      </c>
      <c r="V390" s="4"/>
      <c r="W390" s="4"/>
      <c r="X390" s="4"/>
    </row>
    <row r="391">
      <c r="A391" s="1" t="s">
        <v>2501</v>
      </c>
      <c r="B391" s="1" t="s">
        <v>2502</v>
      </c>
      <c r="C391" s="1" t="s">
        <v>2503</v>
      </c>
      <c r="D391" s="1" t="s">
        <v>509</v>
      </c>
      <c r="E391" s="1" t="s">
        <v>454</v>
      </c>
      <c r="F391" s="1" t="s">
        <v>612</v>
      </c>
      <c r="G391" s="1" t="s">
        <v>613</v>
      </c>
      <c r="H391" s="3">
        <v>46188.0</v>
      </c>
      <c r="I391" s="3">
        <v>46314.0</v>
      </c>
      <c r="J391" s="3"/>
      <c r="K391" s="1" t="s">
        <v>124</v>
      </c>
      <c r="L391" s="1" t="s">
        <v>160</v>
      </c>
      <c r="M391" s="1" t="s">
        <v>460</v>
      </c>
      <c r="N391" s="1" t="s">
        <v>131</v>
      </c>
      <c r="O391" s="13"/>
      <c r="P391" s="1" t="s">
        <v>2505</v>
      </c>
      <c r="Q391" s="4"/>
      <c r="R391" s="1" t="s">
        <v>137</v>
      </c>
      <c r="S391" s="1" t="s">
        <v>137</v>
      </c>
      <c r="T391" s="1" t="s">
        <v>47</v>
      </c>
      <c r="U391" s="1" t="s">
        <v>4259</v>
      </c>
      <c r="V391" s="4"/>
      <c r="W391" s="4"/>
      <c r="X391" s="4"/>
    </row>
    <row r="392">
      <c r="A392" s="1" t="s">
        <v>10883</v>
      </c>
      <c r="B392" s="1" t="s">
        <v>4293</v>
      </c>
      <c r="C392" s="1" t="s">
        <v>10885</v>
      </c>
      <c r="D392" s="1" t="s">
        <v>548</v>
      </c>
      <c r="E392" s="1" t="s">
        <v>520</v>
      </c>
      <c r="F392" s="1" t="s">
        <v>522</v>
      </c>
      <c r="G392" s="1" t="s">
        <v>3269</v>
      </c>
      <c r="H392" s="3">
        <v>44553.0</v>
      </c>
      <c r="I392" s="3">
        <v>44378.0</v>
      </c>
      <c r="J392" s="3">
        <v>44378.0</v>
      </c>
      <c r="K392" s="1" t="s">
        <v>215</v>
      </c>
      <c r="L392" s="1" t="s">
        <v>160</v>
      </c>
      <c r="M392" s="1" t="s">
        <v>216</v>
      </c>
      <c r="N392" s="1" t="s">
        <v>131</v>
      </c>
      <c r="O392" s="13"/>
      <c r="P392" s="4"/>
      <c r="Q392" s="4"/>
      <c r="R392" s="1" t="s">
        <v>137</v>
      </c>
      <c r="S392" s="1" t="s">
        <v>137</v>
      </c>
      <c r="T392" s="1" t="s">
        <v>47</v>
      </c>
      <c r="U392" s="1" t="s">
        <v>4301</v>
      </c>
      <c r="V392" s="4"/>
      <c r="W392" s="4"/>
      <c r="X392" s="4"/>
    </row>
    <row r="393">
      <c r="A393" s="1" t="s">
        <v>9402</v>
      </c>
      <c r="B393" s="1" t="s">
        <v>4293</v>
      </c>
      <c r="C393" s="1" t="s">
        <v>10903</v>
      </c>
      <c r="D393" s="1" t="s">
        <v>1291</v>
      </c>
      <c r="E393" s="1" t="s">
        <v>292</v>
      </c>
      <c r="F393" s="1" t="s">
        <v>494</v>
      </c>
      <c r="G393" s="1" t="s">
        <v>1362</v>
      </c>
      <c r="H393" s="3">
        <v>44922.0</v>
      </c>
      <c r="I393" s="3">
        <v>45223.0</v>
      </c>
      <c r="J393" s="3">
        <v>45223.0</v>
      </c>
      <c r="K393" s="1" t="s">
        <v>215</v>
      </c>
      <c r="L393" s="1" t="s">
        <v>160</v>
      </c>
      <c r="M393" s="1" t="s">
        <v>216</v>
      </c>
      <c r="N393" s="1" t="s">
        <v>131</v>
      </c>
      <c r="O393" s="13"/>
      <c r="P393" s="4"/>
      <c r="Q393" s="4"/>
      <c r="R393" s="1" t="s">
        <v>137</v>
      </c>
      <c r="S393" s="1" t="s">
        <v>137</v>
      </c>
      <c r="T393" s="1" t="s">
        <v>47</v>
      </c>
      <c r="U393" s="1" t="s">
        <v>4301</v>
      </c>
      <c r="V393" s="4"/>
      <c r="W393" s="4"/>
      <c r="X393" s="4"/>
    </row>
    <row r="394">
      <c r="A394" s="1" t="s">
        <v>7645</v>
      </c>
      <c r="B394" s="1" t="s">
        <v>4293</v>
      </c>
      <c r="C394" s="1" t="s">
        <v>10913</v>
      </c>
      <c r="D394" s="1" t="s">
        <v>1932</v>
      </c>
      <c r="E394" s="1" t="s">
        <v>292</v>
      </c>
      <c r="F394" s="1" t="s">
        <v>962</v>
      </c>
      <c r="G394" s="1" t="s">
        <v>2607</v>
      </c>
      <c r="H394" s="3">
        <v>43748.0</v>
      </c>
      <c r="I394" s="3">
        <v>43748.0</v>
      </c>
      <c r="J394" s="3">
        <v>43748.0</v>
      </c>
      <c r="K394" s="1" t="s">
        <v>215</v>
      </c>
      <c r="L394" s="1" t="s">
        <v>160</v>
      </c>
      <c r="M394" s="1" t="s">
        <v>216</v>
      </c>
      <c r="N394" s="1" t="s">
        <v>131</v>
      </c>
      <c r="O394" s="13"/>
      <c r="P394" s="4"/>
      <c r="Q394" s="4"/>
      <c r="R394" s="1" t="s">
        <v>137</v>
      </c>
      <c r="S394" s="1" t="s">
        <v>137</v>
      </c>
      <c r="T394" s="1" t="s">
        <v>47</v>
      </c>
      <c r="U394" s="1" t="s">
        <v>4301</v>
      </c>
      <c r="V394" s="4"/>
      <c r="W394" s="4"/>
      <c r="X394" s="4"/>
    </row>
    <row r="395">
      <c r="A395" s="1" t="s">
        <v>9451</v>
      </c>
      <c r="B395" s="1" t="s">
        <v>4293</v>
      </c>
      <c r="C395" s="1" t="s">
        <v>10927</v>
      </c>
      <c r="D395" s="1" t="s">
        <v>1477</v>
      </c>
      <c r="E395" s="1" t="s">
        <v>292</v>
      </c>
      <c r="F395" s="1" t="s">
        <v>962</v>
      </c>
      <c r="G395" s="1" t="s">
        <v>2607</v>
      </c>
      <c r="H395" s="3">
        <v>45261.0</v>
      </c>
      <c r="I395" s="3">
        <v>45261.0</v>
      </c>
      <c r="J395" s="3">
        <v>45261.0</v>
      </c>
      <c r="K395" s="1" t="s">
        <v>215</v>
      </c>
      <c r="L395" s="1" t="s">
        <v>160</v>
      </c>
      <c r="M395" s="1" t="s">
        <v>216</v>
      </c>
      <c r="N395" s="1" t="s">
        <v>131</v>
      </c>
      <c r="O395" s="13"/>
      <c r="P395" s="4"/>
      <c r="Q395" s="4"/>
      <c r="R395" s="1" t="s">
        <v>137</v>
      </c>
      <c r="S395" s="1" t="s">
        <v>137</v>
      </c>
      <c r="T395" s="1" t="s">
        <v>47</v>
      </c>
      <c r="U395" s="1" t="s">
        <v>4301</v>
      </c>
      <c r="V395" s="4"/>
      <c r="W395" s="4"/>
      <c r="X395" s="4"/>
    </row>
    <row r="396">
      <c r="A396" s="1" t="s">
        <v>10184</v>
      </c>
      <c r="B396" s="1" t="s">
        <v>4293</v>
      </c>
      <c r="C396" s="1" t="s">
        <v>10948</v>
      </c>
      <c r="D396" s="1" t="s">
        <v>152</v>
      </c>
      <c r="E396" s="1" t="s">
        <v>175</v>
      </c>
      <c r="F396" s="1" t="s">
        <v>763</v>
      </c>
      <c r="G396" s="1" t="s">
        <v>764</v>
      </c>
      <c r="H396" s="3">
        <v>44973.0</v>
      </c>
      <c r="I396" s="3">
        <v>45015.0</v>
      </c>
      <c r="J396" s="3">
        <v>45015.0</v>
      </c>
      <c r="K396" s="1" t="s">
        <v>215</v>
      </c>
      <c r="L396" s="1" t="s">
        <v>160</v>
      </c>
      <c r="M396" s="1" t="s">
        <v>216</v>
      </c>
      <c r="N396" s="1" t="s">
        <v>131</v>
      </c>
      <c r="O396" s="13"/>
      <c r="P396" s="1"/>
      <c r="Q396" s="4"/>
      <c r="R396" s="1" t="s">
        <v>137</v>
      </c>
      <c r="S396" s="1" t="s">
        <v>137</v>
      </c>
      <c r="T396" s="1" t="s">
        <v>47</v>
      </c>
      <c r="U396" s="1" t="s">
        <v>4301</v>
      </c>
      <c r="V396" s="4"/>
      <c r="W396" s="4"/>
      <c r="X396" s="4"/>
    </row>
    <row r="397">
      <c r="A397" s="1" t="s">
        <v>2525</v>
      </c>
      <c r="B397" s="1" t="s">
        <v>116</v>
      </c>
      <c r="C397" s="1" t="s">
        <v>2527</v>
      </c>
      <c r="D397" s="1" t="s">
        <v>1823</v>
      </c>
      <c r="E397" s="1" t="s">
        <v>175</v>
      </c>
      <c r="F397" s="1" t="s">
        <v>569</v>
      </c>
      <c r="G397" s="1" t="s">
        <v>570</v>
      </c>
      <c r="H397" s="3">
        <v>46196.0</v>
      </c>
      <c r="I397" s="3">
        <v>46318.0</v>
      </c>
      <c r="J397" s="3"/>
      <c r="K397" s="1" t="s">
        <v>124</v>
      </c>
      <c r="L397" s="1" t="s">
        <v>160</v>
      </c>
      <c r="M397" s="1" t="s">
        <v>162</v>
      </c>
      <c r="N397" s="1" t="s">
        <v>131</v>
      </c>
      <c r="O397" s="13"/>
      <c r="P397" s="1"/>
      <c r="Q397" s="4"/>
      <c r="R397" s="1" t="s">
        <v>665</v>
      </c>
      <c r="S397" s="1" t="s">
        <v>665</v>
      </c>
      <c r="T397" s="1" t="s">
        <v>666</v>
      </c>
      <c r="U397" s="1" t="s">
        <v>4372</v>
      </c>
      <c r="V397" s="4"/>
      <c r="W397" s="4"/>
      <c r="X397" s="4"/>
    </row>
    <row r="398">
      <c r="A398" s="1" t="s">
        <v>10968</v>
      </c>
      <c r="B398" s="1" t="s">
        <v>4293</v>
      </c>
      <c r="C398" s="1" t="s">
        <v>10971</v>
      </c>
      <c r="D398" s="1" t="s">
        <v>1823</v>
      </c>
      <c r="E398" s="1" t="s">
        <v>292</v>
      </c>
      <c r="F398" s="1" t="s">
        <v>293</v>
      </c>
      <c r="G398" s="1" t="s">
        <v>3014</v>
      </c>
      <c r="H398" s="3">
        <v>44246.0</v>
      </c>
      <c r="I398" s="3">
        <v>44516.0</v>
      </c>
      <c r="J398" s="3">
        <v>44516.0</v>
      </c>
      <c r="K398" s="1" t="s">
        <v>215</v>
      </c>
      <c r="L398" s="1" t="s">
        <v>160</v>
      </c>
      <c r="M398" s="1" t="s">
        <v>216</v>
      </c>
      <c r="N398" s="1" t="s">
        <v>131</v>
      </c>
      <c r="O398" s="4"/>
      <c r="P398" s="1"/>
      <c r="Q398" s="4"/>
      <c r="R398" s="1" t="s">
        <v>137</v>
      </c>
      <c r="S398" s="1" t="s">
        <v>137</v>
      </c>
      <c r="T398" s="1" t="s">
        <v>47</v>
      </c>
      <c r="U398" s="1" t="s">
        <v>4301</v>
      </c>
      <c r="V398" s="4"/>
      <c r="W398" s="4"/>
      <c r="X398" s="4"/>
    </row>
    <row r="399">
      <c r="A399" s="1" t="s">
        <v>2359</v>
      </c>
      <c r="B399" s="1" t="s">
        <v>146</v>
      </c>
      <c r="C399" s="1" t="s">
        <v>2541</v>
      </c>
      <c r="D399" s="1" t="s">
        <v>1798</v>
      </c>
      <c r="E399" s="1" t="s">
        <v>175</v>
      </c>
      <c r="F399" s="1" t="s">
        <v>569</v>
      </c>
      <c r="G399" s="1" t="s">
        <v>1842</v>
      </c>
      <c r="H399" s="3">
        <v>46129.0</v>
      </c>
      <c r="I399" s="3"/>
      <c r="J399" s="3"/>
      <c r="K399" s="1" t="s">
        <v>124</v>
      </c>
      <c r="L399" s="1" t="s">
        <v>160</v>
      </c>
      <c r="M399" s="1" t="s">
        <v>162</v>
      </c>
      <c r="N399" s="1" t="s">
        <v>131</v>
      </c>
      <c r="O399" s="4"/>
      <c r="P399" s="1" t="s">
        <v>485</v>
      </c>
      <c r="Q399" s="4"/>
      <c r="R399" s="1" t="s">
        <v>137</v>
      </c>
      <c r="S399" s="1" t="s">
        <v>137</v>
      </c>
      <c r="T399" s="1" t="s">
        <v>47</v>
      </c>
      <c r="U399" s="1" t="s">
        <v>10998</v>
      </c>
      <c r="V399" s="4"/>
      <c r="W399" s="4"/>
      <c r="X399" s="4"/>
    </row>
    <row r="400">
      <c r="A400" s="1" t="s">
        <v>7742</v>
      </c>
      <c r="B400" s="1" t="s">
        <v>4293</v>
      </c>
      <c r="C400" s="1" t="s">
        <v>11002</v>
      </c>
      <c r="D400" s="1" t="s">
        <v>1477</v>
      </c>
      <c r="E400" s="1" t="s">
        <v>119</v>
      </c>
      <c r="F400" s="1" t="s">
        <v>8013</v>
      </c>
      <c r="G400" s="1" t="s">
        <v>8013</v>
      </c>
      <c r="H400" s="3">
        <v>45560.0</v>
      </c>
      <c r="I400" s="3">
        <v>45826.0</v>
      </c>
      <c r="J400" s="3">
        <v>45826.0</v>
      </c>
      <c r="K400" s="1" t="s">
        <v>215</v>
      </c>
      <c r="L400" s="1" t="s">
        <v>160</v>
      </c>
      <c r="M400" s="1" t="s">
        <v>216</v>
      </c>
      <c r="N400" s="1" t="s">
        <v>131</v>
      </c>
      <c r="O400" s="4"/>
      <c r="P400" s="4"/>
      <c r="Q400" s="4"/>
      <c r="R400" s="1" t="s">
        <v>137</v>
      </c>
      <c r="S400" s="1" t="s">
        <v>137</v>
      </c>
      <c r="T400" s="1" t="s">
        <v>47</v>
      </c>
      <c r="U400" s="1" t="s">
        <v>4301</v>
      </c>
      <c r="V400" s="4"/>
      <c r="W400" s="4"/>
      <c r="X400" s="4"/>
    </row>
    <row r="401">
      <c r="A401" s="1" t="s">
        <v>6121</v>
      </c>
      <c r="B401" s="1" t="s">
        <v>4293</v>
      </c>
      <c r="C401" s="1" t="s">
        <v>11016</v>
      </c>
      <c r="D401" s="1" t="s">
        <v>1242</v>
      </c>
      <c r="E401" s="1" t="s">
        <v>292</v>
      </c>
      <c r="F401" s="1" t="s">
        <v>11018</v>
      </c>
      <c r="G401" s="1" t="s">
        <v>11018</v>
      </c>
      <c r="H401" s="3">
        <v>45204.0</v>
      </c>
      <c r="I401" s="3">
        <v>45352.0</v>
      </c>
      <c r="J401" s="3">
        <v>45352.0</v>
      </c>
      <c r="K401" s="1" t="s">
        <v>215</v>
      </c>
      <c r="L401" s="1" t="s">
        <v>160</v>
      </c>
      <c r="M401" s="1" t="s">
        <v>216</v>
      </c>
      <c r="N401" s="1" t="s">
        <v>131</v>
      </c>
      <c r="O401" s="4"/>
      <c r="P401" s="1"/>
      <c r="Q401" s="4"/>
      <c r="R401" s="1" t="s">
        <v>137</v>
      </c>
      <c r="S401" s="1" t="s">
        <v>137</v>
      </c>
      <c r="T401" s="1" t="s">
        <v>47</v>
      </c>
      <c r="U401" s="1" t="s">
        <v>4301</v>
      </c>
      <c r="V401" s="4"/>
      <c r="W401" s="4"/>
      <c r="X401" s="4"/>
    </row>
    <row r="402">
      <c r="A402" s="1" t="s">
        <v>8985</v>
      </c>
      <c r="B402" s="1" t="s">
        <v>4293</v>
      </c>
      <c r="C402" s="1" t="s">
        <v>11027</v>
      </c>
      <c r="D402" s="1" t="s">
        <v>417</v>
      </c>
      <c r="E402" s="1" t="s">
        <v>3003</v>
      </c>
      <c r="F402" s="1" t="s">
        <v>3003</v>
      </c>
      <c r="G402" s="1" t="s">
        <v>3004</v>
      </c>
      <c r="H402" s="3">
        <v>45656.0</v>
      </c>
      <c r="I402" s="3">
        <v>45925.0</v>
      </c>
      <c r="J402" s="3">
        <v>45925.0</v>
      </c>
      <c r="K402" s="1" t="s">
        <v>215</v>
      </c>
      <c r="L402" s="1" t="s">
        <v>160</v>
      </c>
      <c r="M402" s="1" t="s">
        <v>216</v>
      </c>
      <c r="N402" s="1" t="s">
        <v>131</v>
      </c>
      <c r="O402" s="4"/>
      <c r="P402" s="1"/>
      <c r="Q402" s="4"/>
      <c r="R402" s="1" t="s">
        <v>137</v>
      </c>
      <c r="S402" s="1" t="s">
        <v>137</v>
      </c>
      <c r="T402" s="1" t="s">
        <v>47</v>
      </c>
      <c r="U402" s="1" t="s">
        <v>4301</v>
      </c>
      <c r="V402" s="4"/>
      <c r="W402" s="4"/>
      <c r="X402" s="4"/>
    </row>
    <row r="403">
      <c r="A403" s="1" t="s">
        <v>10144</v>
      </c>
      <c r="B403" s="1" t="s">
        <v>4293</v>
      </c>
      <c r="C403" s="1" t="s">
        <v>11039</v>
      </c>
      <c r="D403" s="1" t="s">
        <v>518</v>
      </c>
      <c r="E403" s="1" t="s">
        <v>520</v>
      </c>
      <c r="F403" s="1" t="s">
        <v>522</v>
      </c>
      <c r="G403" s="1" t="s">
        <v>4985</v>
      </c>
      <c r="H403" s="3">
        <v>44558.0</v>
      </c>
      <c r="I403" s="3">
        <v>44520.0</v>
      </c>
      <c r="J403" s="3">
        <v>44520.0</v>
      </c>
      <c r="K403" s="1" t="s">
        <v>215</v>
      </c>
      <c r="L403" s="1" t="s">
        <v>160</v>
      </c>
      <c r="M403" s="1" t="s">
        <v>216</v>
      </c>
      <c r="N403" s="1" t="s">
        <v>131</v>
      </c>
      <c r="O403" s="4"/>
      <c r="P403" s="1"/>
      <c r="Q403" s="4"/>
      <c r="R403" s="1" t="s">
        <v>137</v>
      </c>
      <c r="S403" s="1" t="s">
        <v>137</v>
      </c>
      <c r="T403" s="1" t="s">
        <v>47</v>
      </c>
      <c r="U403" s="1" t="s">
        <v>4301</v>
      </c>
      <c r="V403" s="4"/>
      <c r="W403" s="4"/>
      <c r="X403" s="4"/>
    </row>
    <row r="404">
      <c r="A404" s="1" t="s">
        <v>2301</v>
      </c>
      <c r="B404" s="1" t="s">
        <v>116</v>
      </c>
      <c r="C404" s="1" t="s">
        <v>2558</v>
      </c>
      <c r="D404" s="1" t="s">
        <v>1477</v>
      </c>
      <c r="E404" s="1" t="s">
        <v>153</v>
      </c>
      <c r="F404" s="1" t="s">
        <v>155</v>
      </c>
      <c r="G404" s="1" t="s">
        <v>157</v>
      </c>
      <c r="H404" s="3">
        <v>46129.0</v>
      </c>
      <c r="I404" s="3"/>
      <c r="J404" s="3"/>
      <c r="K404" s="1" t="s">
        <v>215</v>
      </c>
      <c r="L404" s="1" t="s">
        <v>71</v>
      </c>
      <c r="M404" s="1" t="s">
        <v>253</v>
      </c>
      <c r="N404" s="1" t="s">
        <v>131</v>
      </c>
      <c r="O404" s="3">
        <v>46292.0</v>
      </c>
      <c r="P404" s="1" t="s">
        <v>164</v>
      </c>
      <c r="Q404" s="4"/>
      <c r="R404" s="1" t="s">
        <v>137</v>
      </c>
      <c r="S404" s="1" t="s">
        <v>137</v>
      </c>
      <c r="T404" s="1" t="s">
        <v>47</v>
      </c>
      <c r="U404" s="1"/>
      <c r="V404" s="4"/>
      <c r="W404" s="4"/>
      <c r="X404" s="4"/>
    </row>
    <row r="405">
      <c r="A405" s="1" t="s">
        <v>11055</v>
      </c>
      <c r="B405" s="1" t="s">
        <v>4293</v>
      </c>
      <c r="C405" s="1" t="s">
        <v>11057</v>
      </c>
      <c r="D405" s="1" t="s">
        <v>1360</v>
      </c>
      <c r="E405" s="1" t="s">
        <v>209</v>
      </c>
      <c r="F405" s="1" t="s">
        <v>398</v>
      </c>
      <c r="G405" s="1" t="s">
        <v>1587</v>
      </c>
      <c r="H405" s="3">
        <v>45070.0</v>
      </c>
      <c r="I405" s="3">
        <v>45107.0</v>
      </c>
      <c r="J405" s="3">
        <v>45107.0</v>
      </c>
      <c r="K405" s="1" t="s">
        <v>215</v>
      </c>
      <c r="L405" s="1" t="s">
        <v>160</v>
      </c>
      <c r="M405" s="1" t="s">
        <v>216</v>
      </c>
      <c r="N405" s="1" t="s">
        <v>131</v>
      </c>
      <c r="O405" s="13"/>
      <c r="P405" s="4"/>
      <c r="Q405" s="4"/>
      <c r="R405" s="1" t="s">
        <v>137</v>
      </c>
      <c r="S405" s="1" t="s">
        <v>137</v>
      </c>
      <c r="T405" s="1" t="s">
        <v>47</v>
      </c>
      <c r="U405" s="1" t="s">
        <v>4301</v>
      </c>
      <c r="V405" s="4"/>
      <c r="W405" s="4"/>
      <c r="X405" s="4"/>
    </row>
    <row r="406">
      <c r="A406" s="1" t="s">
        <v>6661</v>
      </c>
      <c r="B406" s="1" t="s">
        <v>4293</v>
      </c>
      <c r="C406" s="1" t="s">
        <v>11069</v>
      </c>
      <c r="D406" s="1" t="s">
        <v>2276</v>
      </c>
      <c r="E406" s="1" t="s">
        <v>175</v>
      </c>
      <c r="F406" s="1" t="s">
        <v>177</v>
      </c>
      <c r="G406" s="1"/>
      <c r="H406" s="3">
        <v>43301.0</v>
      </c>
      <c r="I406" s="3">
        <v>43360.0</v>
      </c>
      <c r="J406" s="3">
        <v>43360.0</v>
      </c>
      <c r="K406" s="1" t="s">
        <v>215</v>
      </c>
      <c r="L406" s="1" t="s">
        <v>160</v>
      </c>
      <c r="M406" s="1" t="s">
        <v>216</v>
      </c>
      <c r="N406" s="1" t="s">
        <v>131</v>
      </c>
      <c r="O406" s="13"/>
      <c r="P406" s="4"/>
      <c r="Q406" s="4"/>
      <c r="R406" s="1" t="s">
        <v>137</v>
      </c>
      <c r="S406" s="1" t="s">
        <v>137</v>
      </c>
      <c r="T406" s="1" t="s">
        <v>47</v>
      </c>
      <c r="U406" s="1" t="s">
        <v>4301</v>
      </c>
      <c r="V406" s="4"/>
      <c r="W406" s="4"/>
      <c r="X406" s="4"/>
    </row>
    <row r="407">
      <c r="A407" s="1" t="s">
        <v>10628</v>
      </c>
      <c r="B407" s="1" t="s">
        <v>4293</v>
      </c>
      <c r="C407" s="1" t="s">
        <v>11082</v>
      </c>
      <c r="D407" s="1" t="s">
        <v>2198</v>
      </c>
      <c r="E407" s="1" t="s">
        <v>175</v>
      </c>
      <c r="F407" s="1" t="s">
        <v>3592</v>
      </c>
      <c r="G407" s="1" t="s">
        <v>3593</v>
      </c>
      <c r="H407" s="3">
        <v>44469.0</v>
      </c>
      <c r="I407" s="3">
        <v>44623.0</v>
      </c>
      <c r="J407" s="3">
        <v>44623.0</v>
      </c>
      <c r="K407" s="1" t="s">
        <v>215</v>
      </c>
      <c r="L407" s="1" t="s">
        <v>160</v>
      </c>
      <c r="M407" s="1" t="s">
        <v>216</v>
      </c>
      <c r="N407" s="1" t="s">
        <v>131</v>
      </c>
      <c r="O407" s="13"/>
      <c r="P407" s="4"/>
      <c r="Q407" s="4"/>
      <c r="R407" s="1" t="s">
        <v>137</v>
      </c>
      <c r="S407" s="1" t="s">
        <v>137</v>
      </c>
      <c r="T407" s="1" t="s">
        <v>47</v>
      </c>
      <c r="U407" s="1" t="s">
        <v>4301</v>
      </c>
      <c r="V407" s="4"/>
      <c r="W407" s="4"/>
      <c r="X407" s="4"/>
    </row>
    <row r="408">
      <c r="A408" s="1" t="s">
        <v>7256</v>
      </c>
      <c r="B408" s="1" t="s">
        <v>4293</v>
      </c>
      <c r="C408" s="1" t="s">
        <v>11096</v>
      </c>
      <c r="D408" s="1" t="s">
        <v>593</v>
      </c>
      <c r="E408" s="1" t="s">
        <v>330</v>
      </c>
      <c r="F408" s="1" t="s">
        <v>356</v>
      </c>
      <c r="G408" s="1" t="s">
        <v>429</v>
      </c>
      <c r="H408" s="3">
        <v>44981.0</v>
      </c>
      <c r="I408" s="3">
        <v>45035.0</v>
      </c>
      <c r="J408" s="3">
        <v>45035.0</v>
      </c>
      <c r="K408" s="1" t="s">
        <v>215</v>
      </c>
      <c r="L408" s="1" t="s">
        <v>160</v>
      </c>
      <c r="M408" s="1" t="s">
        <v>216</v>
      </c>
      <c r="N408" s="1" t="s">
        <v>131</v>
      </c>
      <c r="O408" s="13"/>
      <c r="P408" s="4"/>
      <c r="Q408" s="4"/>
      <c r="R408" s="1" t="s">
        <v>137</v>
      </c>
      <c r="S408" s="1" t="s">
        <v>137</v>
      </c>
      <c r="T408" s="1" t="s">
        <v>47</v>
      </c>
      <c r="U408" s="1" t="s">
        <v>4301</v>
      </c>
      <c r="V408" s="4"/>
      <c r="W408" s="4"/>
      <c r="X408" s="4"/>
    </row>
    <row r="409">
      <c r="A409" s="1" t="s">
        <v>10402</v>
      </c>
      <c r="B409" s="1" t="s">
        <v>4293</v>
      </c>
      <c r="C409" s="1" t="s">
        <v>11113</v>
      </c>
      <c r="D409" s="1" t="s">
        <v>1823</v>
      </c>
      <c r="E409" s="1" t="s">
        <v>292</v>
      </c>
      <c r="F409" s="1" t="s">
        <v>962</v>
      </c>
      <c r="G409" s="1"/>
      <c r="H409" s="3">
        <v>44704.0</v>
      </c>
      <c r="I409" s="3">
        <v>44840.0</v>
      </c>
      <c r="J409" s="3">
        <v>44840.0</v>
      </c>
      <c r="K409" s="1" t="s">
        <v>215</v>
      </c>
      <c r="L409" s="1" t="s">
        <v>160</v>
      </c>
      <c r="M409" s="1" t="s">
        <v>216</v>
      </c>
      <c r="N409" s="1" t="s">
        <v>131</v>
      </c>
      <c r="O409" s="13"/>
      <c r="P409" s="4"/>
      <c r="Q409" s="4"/>
      <c r="R409" s="1" t="s">
        <v>137</v>
      </c>
      <c r="S409" s="1" t="s">
        <v>137</v>
      </c>
      <c r="T409" s="1" t="s">
        <v>47</v>
      </c>
      <c r="U409" s="1" t="s">
        <v>4301</v>
      </c>
      <c r="V409" s="4"/>
      <c r="W409" s="4"/>
      <c r="X409" s="4"/>
    </row>
    <row r="410">
      <c r="A410" s="1" t="s">
        <v>9339</v>
      </c>
      <c r="B410" s="1" t="s">
        <v>4293</v>
      </c>
      <c r="C410" s="1" t="s">
        <v>11151</v>
      </c>
      <c r="D410" s="1" t="s">
        <v>1291</v>
      </c>
      <c r="E410" s="1" t="s">
        <v>292</v>
      </c>
      <c r="F410" s="1" t="s">
        <v>962</v>
      </c>
      <c r="G410" s="1" t="s">
        <v>963</v>
      </c>
      <c r="H410" s="3">
        <v>44293.0</v>
      </c>
      <c r="I410" s="3">
        <v>44293.0</v>
      </c>
      <c r="J410" s="3">
        <v>44293.0</v>
      </c>
      <c r="K410" s="1" t="s">
        <v>215</v>
      </c>
      <c r="L410" s="1" t="s">
        <v>160</v>
      </c>
      <c r="M410" s="1" t="s">
        <v>216</v>
      </c>
      <c r="N410" s="1" t="s">
        <v>131</v>
      </c>
      <c r="O410" s="13"/>
      <c r="P410" s="4"/>
      <c r="Q410" s="4"/>
      <c r="R410" s="1" t="s">
        <v>137</v>
      </c>
      <c r="S410" s="1" t="s">
        <v>137</v>
      </c>
      <c r="T410" s="1" t="s">
        <v>47</v>
      </c>
      <c r="U410" s="1" t="s">
        <v>4301</v>
      </c>
      <c r="V410" s="4"/>
      <c r="W410" s="4"/>
      <c r="X410" s="4"/>
    </row>
    <row r="411">
      <c r="A411" s="1" t="s">
        <v>5835</v>
      </c>
      <c r="B411" s="1" t="s">
        <v>4293</v>
      </c>
      <c r="C411" s="1" t="s">
        <v>11177</v>
      </c>
      <c r="D411" s="1" t="s">
        <v>2276</v>
      </c>
      <c r="E411" s="1" t="s">
        <v>175</v>
      </c>
      <c r="F411" s="1" t="s">
        <v>1767</v>
      </c>
      <c r="G411" s="1" t="s">
        <v>3835</v>
      </c>
      <c r="H411" s="3">
        <v>45630.0</v>
      </c>
      <c r="I411" s="3">
        <v>45693.0</v>
      </c>
      <c r="J411" s="3">
        <v>45693.0</v>
      </c>
      <c r="K411" s="1" t="s">
        <v>215</v>
      </c>
      <c r="L411" s="1" t="s">
        <v>160</v>
      </c>
      <c r="M411" s="1" t="s">
        <v>216</v>
      </c>
      <c r="N411" s="1" t="s">
        <v>131</v>
      </c>
      <c r="O411" s="13"/>
      <c r="P411" s="1"/>
      <c r="Q411" s="4"/>
      <c r="R411" s="1" t="s">
        <v>137</v>
      </c>
      <c r="S411" s="1" t="s">
        <v>137</v>
      </c>
      <c r="T411" s="1" t="s">
        <v>47</v>
      </c>
      <c r="U411" s="1" t="s">
        <v>4301</v>
      </c>
      <c r="V411" s="4"/>
      <c r="W411" s="4"/>
      <c r="X411" s="4"/>
    </row>
    <row r="412">
      <c r="A412" s="1" t="s">
        <v>11195</v>
      </c>
      <c r="B412" s="1" t="s">
        <v>4293</v>
      </c>
      <c r="C412" s="1" t="s">
        <v>11201</v>
      </c>
      <c r="D412" s="1" t="s">
        <v>273</v>
      </c>
      <c r="E412" s="1" t="s">
        <v>330</v>
      </c>
      <c r="F412" s="1" t="s">
        <v>356</v>
      </c>
      <c r="G412" s="1" t="s">
        <v>3203</v>
      </c>
      <c r="H412" s="3">
        <v>45205.0</v>
      </c>
      <c r="I412" s="3"/>
      <c r="J412" s="3"/>
      <c r="K412" s="1" t="s">
        <v>124</v>
      </c>
      <c r="L412" s="1" t="s">
        <v>160</v>
      </c>
      <c r="M412" s="1" t="s">
        <v>253</v>
      </c>
      <c r="N412" s="1" t="s">
        <v>131</v>
      </c>
      <c r="O412" s="13"/>
      <c r="P412" s="1"/>
      <c r="Q412" s="4"/>
      <c r="R412" s="1" t="s">
        <v>137</v>
      </c>
      <c r="S412" s="1" t="s">
        <v>137</v>
      </c>
      <c r="T412" s="1" t="s">
        <v>47</v>
      </c>
      <c r="U412" s="1" t="s">
        <v>4301</v>
      </c>
      <c r="V412" s="4"/>
      <c r="W412" s="4"/>
      <c r="X412" s="4"/>
    </row>
    <row r="413">
      <c r="A413" s="1" t="s">
        <v>10724</v>
      </c>
      <c r="B413" s="1" t="s">
        <v>4293</v>
      </c>
      <c r="C413" s="1" t="s">
        <v>11229</v>
      </c>
      <c r="D413" s="1" t="s">
        <v>388</v>
      </c>
      <c r="E413" s="1" t="s">
        <v>292</v>
      </c>
      <c r="F413" s="1" t="s">
        <v>962</v>
      </c>
      <c r="G413" s="1" t="s">
        <v>5046</v>
      </c>
      <c r="H413" s="3">
        <v>44922.0</v>
      </c>
      <c r="I413" s="3">
        <v>44922.0</v>
      </c>
      <c r="J413" s="3">
        <v>44922.0</v>
      </c>
      <c r="K413" s="1" t="s">
        <v>215</v>
      </c>
      <c r="L413" s="1" t="s">
        <v>160</v>
      </c>
      <c r="M413" s="1" t="s">
        <v>216</v>
      </c>
      <c r="N413" s="1" t="s">
        <v>131</v>
      </c>
      <c r="O413" s="4"/>
      <c r="P413" s="1"/>
      <c r="Q413" s="4"/>
      <c r="R413" s="1" t="s">
        <v>137</v>
      </c>
      <c r="S413" s="1" t="s">
        <v>137</v>
      </c>
      <c r="T413" s="1" t="s">
        <v>47</v>
      </c>
      <c r="U413" s="1" t="s">
        <v>4301</v>
      </c>
      <c r="V413" s="4"/>
      <c r="W413" s="4"/>
      <c r="X413" s="4"/>
    </row>
    <row r="414">
      <c r="A414" s="1" t="s">
        <v>2294</v>
      </c>
      <c r="B414" s="1" t="s">
        <v>146</v>
      </c>
      <c r="C414" s="1" t="s">
        <v>2581</v>
      </c>
      <c r="D414" s="1" t="s">
        <v>313</v>
      </c>
      <c r="E414" s="1" t="s">
        <v>209</v>
      </c>
      <c r="F414" s="1" t="s">
        <v>398</v>
      </c>
      <c r="G414" s="1" t="s">
        <v>2039</v>
      </c>
      <c r="H414" s="3">
        <v>46128.0</v>
      </c>
      <c r="I414" s="3"/>
      <c r="J414" s="3"/>
      <c r="K414" s="1" t="s">
        <v>124</v>
      </c>
      <c r="L414" s="1" t="s">
        <v>98</v>
      </c>
      <c r="M414" s="1" t="s">
        <v>335</v>
      </c>
      <c r="N414" s="1" t="s">
        <v>131</v>
      </c>
      <c r="O414" s="4"/>
      <c r="P414" s="1" t="s">
        <v>1591</v>
      </c>
      <c r="Q414" s="4"/>
      <c r="R414" s="1" t="s">
        <v>137</v>
      </c>
      <c r="S414" s="1" t="s">
        <v>137</v>
      </c>
      <c r="T414" s="1" t="s">
        <v>47</v>
      </c>
      <c r="U414" s="1" t="s">
        <v>3740</v>
      </c>
      <c r="V414" s="4"/>
      <c r="W414" s="4"/>
      <c r="X414" s="4"/>
    </row>
    <row r="415">
      <c r="A415" s="1" t="s">
        <v>7710</v>
      </c>
      <c r="B415" s="1" t="s">
        <v>4293</v>
      </c>
      <c r="C415" s="1" t="s">
        <v>11293</v>
      </c>
      <c r="D415" s="1" t="s">
        <v>118</v>
      </c>
      <c r="E415" s="1" t="s">
        <v>330</v>
      </c>
      <c r="F415" s="1" t="s">
        <v>356</v>
      </c>
      <c r="G415" s="1" t="s">
        <v>429</v>
      </c>
      <c r="H415" s="3">
        <v>45504.0</v>
      </c>
      <c r="I415" s="3">
        <v>45743.0</v>
      </c>
      <c r="J415" s="3">
        <v>45743.0</v>
      </c>
      <c r="K415" s="1" t="s">
        <v>215</v>
      </c>
      <c r="L415" s="1" t="s">
        <v>160</v>
      </c>
      <c r="M415" s="1" t="s">
        <v>216</v>
      </c>
      <c r="N415" s="1" t="s">
        <v>131</v>
      </c>
      <c r="O415" s="13"/>
      <c r="P415" s="4"/>
      <c r="Q415" s="4"/>
      <c r="R415" s="1" t="s">
        <v>137</v>
      </c>
      <c r="S415" s="1" t="s">
        <v>137</v>
      </c>
      <c r="T415" s="1" t="s">
        <v>47</v>
      </c>
      <c r="U415" s="1" t="s">
        <v>4301</v>
      </c>
      <c r="V415" s="4"/>
      <c r="W415" s="4"/>
      <c r="X415" s="4"/>
    </row>
    <row r="416">
      <c r="A416" s="1" t="s">
        <v>11311</v>
      </c>
      <c r="B416" s="1" t="s">
        <v>4293</v>
      </c>
      <c r="C416" s="1" t="s">
        <v>11313</v>
      </c>
      <c r="D416" s="1" t="s">
        <v>2198</v>
      </c>
      <c r="E416" s="1" t="s">
        <v>175</v>
      </c>
      <c r="F416" s="1" t="s">
        <v>245</v>
      </c>
      <c r="G416" s="1" t="s">
        <v>4968</v>
      </c>
      <c r="H416" s="3">
        <v>45744.0</v>
      </c>
      <c r="I416" s="3">
        <v>45744.0</v>
      </c>
      <c r="J416" s="3">
        <v>45744.0</v>
      </c>
      <c r="K416" s="1" t="s">
        <v>215</v>
      </c>
      <c r="L416" s="1" t="s">
        <v>160</v>
      </c>
      <c r="M416" s="1" t="s">
        <v>216</v>
      </c>
      <c r="N416" s="1" t="s">
        <v>131</v>
      </c>
      <c r="O416" s="13"/>
      <c r="P416" s="4"/>
      <c r="Q416" s="4"/>
      <c r="R416" s="1" t="s">
        <v>137</v>
      </c>
      <c r="S416" s="1" t="s">
        <v>137</v>
      </c>
      <c r="T416" s="1" t="s">
        <v>47</v>
      </c>
      <c r="U416" s="1" t="s">
        <v>4301</v>
      </c>
      <c r="V416" s="4"/>
      <c r="W416" s="4"/>
      <c r="X416" s="4"/>
    </row>
    <row r="417">
      <c r="A417" s="1" t="s">
        <v>8285</v>
      </c>
      <c r="B417" s="1" t="s">
        <v>4293</v>
      </c>
      <c r="C417" s="1" t="s">
        <v>11325</v>
      </c>
      <c r="D417" s="1"/>
      <c r="E417" s="1"/>
      <c r="F417" s="1"/>
      <c r="G417" s="1"/>
      <c r="H417" s="3">
        <v>43551.0</v>
      </c>
      <c r="I417" s="3">
        <v>43731.0</v>
      </c>
      <c r="J417" s="3">
        <v>43731.0</v>
      </c>
      <c r="K417" s="1" t="s">
        <v>215</v>
      </c>
      <c r="L417" s="1" t="s">
        <v>160</v>
      </c>
      <c r="M417" s="1" t="s">
        <v>216</v>
      </c>
      <c r="N417" s="1" t="s">
        <v>131</v>
      </c>
      <c r="O417" s="13"/>
      <c r="P417" s="4"/>
      <c r="Q417" s="4"/>
      <c r="R417" s="1" t="s">
        <v>137</v>
      </c>
      <c r="S417" s="1" t="s">
        <v>137</v>
      </c>
      <c r="T417" s="1" t="s">
        <v>47</v>
      </c>
      <c r="U417" s="1" t="s">
        <v>4301</v>
      </c>
      <c r="V417" s="4"/>
      <c r="W417" s="4"/>
      <c r="X417" s="4"/>
    </row>
    <row r="418">
      <c r="A418" s="1" t="s">
        <v>10336</v>
      </c>
      <c r="B418" s="1" t="s">
        <v>4293</v>
      </c>
      <c r="C418" s="1" t="s">
        <v>11340</v>
      </c>
      <c r="D418" s="1" t="s">
        <v>313</v>
      </c>
      <c r="E418" s="1" t="s">
        <v>691</v>
      </c>
      <c r="F418" s="1" t="s">
        <v>11345</v>
      </c>
      <c r="G418" s="1" t="s">
        <v>11347</v>
      </c>
      <c r="H418" s="3">
        <v>45288.0</v>
      </c>
      <c r="I418" s="3">
        <v>45576.0</v>
      </c>
      <c r="J418" s="3">
        <v>45576.0</v>
      </c>
      <c r="K418" s="1" t="s">
        <v>215</v>
      </c>
      <c r="L418" s="1" t="s">
        <v>160</v>
      </c>
      <c r="M418" s="1" t="s">
        <v>216</v>
      </c>
      <c r="N418" s="1" t="s">
        <v>131</v>
      </c>
      <c r="O418" s="4"/>
      <c r="P418" s="4"/>
      <c r="Q418" s="4"/>
      <c r="R418" s="1" t="s">
        <v>137</v>
      </c>
      <c r="S418" s="1" t="s">
        <v>137</v>
      </c>
      <c r="T418" s="1" t="s">
        <v>47</v>
      </c>
      <c r="U418" s="1" t="s">
        <v>4301</v>
      </c>
      <c r="V418" s="4"/>
      <c r="W418" s="4"/>
      <c r="X418" s="4"/>
    </row>
    <row r="419">
      <c r="A419" s="1" t="s">
        <v>11360</v>
      </c>
      <c r="B419" s="1" t="s">
        <v>4293</v>
      </c>
      <c r="C419" s="1" t="s">
        <v>11362</v>
      </c>
      <c r="D419" s="1" t="s">
        <v>1823</v>
      </c>
      <c r="E419" s="1" t="s">
        <v>175</v>
      </c>
      <c r="F419" s="1" t="s">
        <v>1116</v>
      </c>
      <c r="G419" s="1" t="s">
        <v>11367</v>
      </c>
      <c r="H419" s="3">
        <v>44196.0</v>
      </c>
      <c r="I419" s="3">
        <v>44259.0</v>
      </c>
      <c r="J419" s="3">
        <v>44259.0</v>
      </c>
      <c r="K419" s="1" t="s">
        <v>215</v>
      </c>
      <c r="L419" s="1" t="s">
        <v>160</v>
      </c>
      <c r="M419" s="1" t="s">
        <v>216</v>
      </c>
      <c r="N419" s="1" t="s">
        <v>131</v>
      </c>
      <c r="O419" s="4"/>
      <c r="P419" s="4"/>
      <c r="Q419" s="4"/>
      <c r="R419" s="1" t="s">
        <v>137</v>
      </c>
      <c r="S419" s="1" t="s">
        <v>137</v>
      </c>
      <c r="T419" s="1" t="s">
        <v>47</v>
      </c>
      <c r="U419" s="1" t="s">
        <v>4301</v>
      </c>
      <c r="V419" s="4"/>
      <c r="W419" s="4"/>
      <c r="X419" s="4"/>
    </row>
    <row r="420">
      <c r="A420" s="1" t="s">
        <v>9225</v>
      </c>
      <c r="B420" s="1" t="s">
        <v>4293</v>
      </c>
      <c r="C420" s="1" t="s">
        <v>2598</v>
      </c>
      <c r="D420" s="1" t="s">
        <v>1067</v>
      </c>
      <c r="E420" s="1" t="s">
        <v>330</v>
      </c>
      <c r="F420" s="1" t="s">
        <v>663</v>
      </c>
      <c r="G420" s="1" t="s">
        <v>1068</v>
      </c>
      <c r="H420" s="3">
        <v>44225.0</v>
      </c>
      <c r="I420" s="3">
        <v>44424.0</v>
      </c>
      <c r="J420" s="3">
        <v>44424.0</v>
      </c>
      <c r="K420" s="1" t="s">
        <v>215</v>
      </c>
      <c r="L420" s="1" t="s">
        <v>160</v>
      </c>
      <c r="M420" s="1" t="s">
        <v>216</v>
      </c>
      <c r="N420" s="1" t="s">
        <v>131</v>
      </c>
      <c r="O420" s="13"/>
      <c r="P420" s="4"/>
      <c r="Q420" s="4"/>
      <c r="R420" s="1" t="s">
        <v>137</v>
      </c>
      <c r="S420" s="1" t="s">
        <v>137</v>
      </c>
      <c r="T420" s="1" t="s">
        <v>47</v>
      </c>
      <c r="U420" s="1" t="s">
        <v>4301</v>
      </c>
      <c r="V420" s="4"/>
      <c r="W420" s="4"/>
      <c r="X420" s="4"/>
    </row>
    <row r="421">
      <c r="A421" s="1" t="s">
        <v>8954</v>
      </c>
      <c r="B421" s="1" t="s">
        <v>4293</v>
      </c>
      <c r="C421" s="1" t="s">
        <v>2605</v>
      </c>
      <c r="D421" s="1" t="s">
        <v>1932</v>
      </c>
      <c r="E421" s="1" t="s">
        <v>292</v>
      </c>
      <c r="F421" s="1" t="s">
        <v>962</v>
      </c>
      <c r="G421" s="1" t="s">
        <v>2607</v>
      </c>
      <c r="H421" s="3">
        <v>44539.0</v>
      </c>
      <c r="I421" s="3">
        <v>44781.0</v>
      </c>
      <c r="J421" s="3">
        <v>44781.0</v>
      </c>
      <c r="K421" s="1" t="s">
        <v>215</v>
      </c>
      <c r="L421" s="1" t="s">
        <v>160</v>
      </c>
      <c r="M421" s="1" t="s">
        <v>216</v>
      </c>
      <c r="N421" s="1" t="s">
        <v>131</v>
      </c>
      <c r="O421" s="13"/>
      <c r="P421" s="1"/>
      <c r="Q421" s="4"/>
      <c r="R421" s="1" t="s">
        <v>137</v>
      </c>
      <c r="S421" s="1" t="s">
        <v>137</v>
      </c>
      <c r="T421" s="1" t="s">
        <v>47</v>
      </c>
      <c r="U421" s="1" t="s">
        <v>4301</v>
      </c>
      <c r="V421" s="4"/>
      <c r="W421" s="4"/>
      <c r="X421" s="4"/>
    </row>
    <row r="422">
      <c r="A422" s="1" t="s">
        <v>7587</v>
      </c>
      <c r="B422" s="1" t="s">
        <v>4293</v>
      </c>
      <c r="C422" s="1" t="s">
        <v>11414</v>
      </c>
      <c r="D422" s="1" t="s">
        <v>243</v>
      </c>
      <c r="E422" s="1" t="s">
        <v>175</v>
      </c>
      <c r="F422" s="1" t="s">
        <v>3592</v>
      </c>
      <c r="G422" s="1" t="s">
        <v>3593</v>
      </c>
      <c r="H422" s="3">
        <v>44182.0</v>
      </c>
      <c r="I422" s="3">
        <v>44341.0</v>
      </c>
      <c r="J422" s="3">
        <v>44341.0</v>
      </c>
      <c r="K422" s="1" t="s">
        <v>215</v>
      </c>
      <c r="L422" s="1" t="s">
        <v>160</v>
      </c>
      <c r="M422" s="1" t="s">
        <v>216</v>
      </c>
      <c r="N422" s="1" t="s">
        <v>131</v>
      </c>
      <c r="O422" s="13"/>
      <c r="P422" s="1"/>
      <c r="Q422" s="4"/>
      <c r="R422" s="1" t="s">
        <v>137</v>
      </c>
      <c r="S422" s="1" t="s">
        <v>137</v>
      </c>
      <c r="T422" s="1" t="s">
        <v>47</v>
      </c>
      <c r="U422" s="1" t="s">
        <v>4301</v>
      </c>
      <c r="V422" s="4"/>
      <c r="W422" s="4"/>
      <c r="X422" s="4"/>
    </row>
    <row r="423">
      <c r="A423" s="1" t="s">
        <v>5465</v>
      </c>
      <c r="B423" s="1" t="s">
        <v>4293</v>
      </c>
      <c r="C423" s="1" t="s">
        <v>11426</v>
      </c>
      <c r="D423" s="1" t="s">
        <v>657</v>
      </c>
      <c r="E423" s="1" t="s">
        <v>2621</v>
      </c>
      <c r="F423" s="1" t="s">
        <v>2622</v>
      </c>
      <c r="G423" s="1" t="s">
        <v>2623</v>
      </c>
      <c r="H423" s="3">
        <v>45645.0</v>
      </c>
      <c r="I423" s="3">
        <v>45824.0</v>
      </c>
      <c r="J423" s="3">
        <v>45824.0</v>
      </c>
      <c r="K423" s="1" t="s">
        <v>215</v>
      </c>
      <c r="L423" s="1" t="s">
        <v>160</v>
      </c>
      <c r="M423" s="1" t="s">
        <v>216</v>
      </c>
      <c r="N423" s="1" t="s">
        <v>131</v>
      </c>
      <c r="O423" s="4"/>
      <c r="P423" s="1"/>
      <c r="Q423" s="4"/>
      <c r="R423" s="1" t="s">
        <v>137</v>
      </c>
      <c r="S423" s="1" t="s">
        <v>137</v>
      </c>
      <c r="T423" s="1" t="s">
        <v>47</v>
      </c>
      <c r="U423" s="1" t="s">
        <v>4301</v>
      </c>
      <c r="V423" s="4"/>
      <c r="W423" s="4"/>
      <c r="X423" s="4"/>
    </row>
    <row r="424">
      <c r="A424" s="1" t="s">
        <v>2481</v>
      </c>
      <c r="B424" s="1" t="s">
        <v>2631</v>
      </c>
      <c r="C424" s="1" t="s">
        <v>2632</v>
      </c>
      <c r="D424" s="1" t="s">
        <v>1291</v>
      </c>
      <c r="E424" s="1" t="s">
        <v>292</v>
      </c>
      <c r="F424" s="1" t="s">
        <v>468</v>
      </c>
      <c r="G424" s="1" t="s">
        <v>998</v>
      </c>
      <c r="H424" s="3">
        <v>46147.0</v>
      </c>
      <c r="I424" s="3">
        <v>46303.0</v>
      </c>
      <c r="J424" s="4"/>
      <c r="K424" s="1" t="s">
        <v>124</v>
      </c>
      <c r="L424" s="1" t="s">
        <v>98</v>
      </c>
      <c r="M424" s="1" t="s">
        <v>253</v>
      </c>
      <c r="N424" s="1" t="s">
        <v>131</v>
      </c>
      <c r="O424" s="4"/>
      <c r="P424" s="1" t="s">
        <v>2635</v>
      </c>
      <c r="Q424" s="4"/>
      <c r="R424" s="1" t="s">
        <v>137</v>
      </c>
      <c r="S424" s="1" t="s">
        <v>137</v>
      </c>
      <c r="T424" s="1" t="s">
        <v>47</v>
      </c>
      <c r="U424" s="1" t="s">
        <v>4199</v>
      </c>
      <c r="V424" s="4"/>
      <c r="W424" s="4"/>
      <c r="X424" s="4"/>
    </row>
    <row r="425">
      <c r="A425" s="1" t="s">
        <v>2643</v>
      </c>
      <c r="B425" s="1" t="s">
        <v>2644</v>
      </c>
      <c r="C425" s="1" t="s">
        <v>2639</v>
      </c>
      <c r="D425" s="1" t="s">
        <v>273</v>
      </c>
      <c r="E425" s="1" t="s">
        <v>330</v>
      </c>
      <c r="F425" s="1" t="s">
        <v>356</v>
      </c>
      <c r="G425" s="1" t="s">
        <v>875</v>
      </c>
      <c r="H425" s="3">
        <v>46244.0</v>
      </c>
      <c r="I425" s="3">
        <v>46419.0</v>
      </c>
      <c r="J425" s="3"/>
      <c r="K425" s="1" t="s">
        <v>124</v>
      </c>
      <c r="L425" s="1" t="s">
        <v>98</v>
      </c>
      <c r="M425" s="1" t="s">
        <v>162</v>
      </c>
      <c r="N425" s="1" t="s">
        <v>131</v>
      </c>
      <c r="O425" s="13"/>
      <c r="P425" s="4"/>
      <c r="Q425" s="4"/>
      <c r="R425" s="1" t="s">
        <v>665</v>
      </c>
      <c r="S425" s="1" t="s">
        <v>665</v>
      </c>
      <c r="T425" s="1" t="s">
        <v>666</v>
      </c>
      <c r="U425" s="1" t="s">
        <v>4559</v>
      </c>
      <c r="V425" s="4"/>
      <c r="W425" s="4"/>
      <c r="X425" s="4"/>
    </row>
    <row r="426">
      <c r="A426" s="1" t="s">
        <v>9873</v>
      </c>
      <c r="B426" s="1" t="s">
        <v>4293</v>
      </c>
      <c r="C426" s="1" t="s">
        <v>11472</v>
      </c>
      <c r="D426" s="1" t="s">
        <v>960</v>
      </c>
      <c r="E426" s="1" t="s">
        <v>292</v>
      </c>
      <c r="F426" s="1" t="s">
        <v>962</v>
      </c>
      <c r="G426" s="1" t="s">
        <v>5600</v>
      </c>
      <c r="H426" s="3">
        <v>43690.0</v>
      </c>
      <c r="I426" s="3">
        <v>43752.0</v>
      </c>
      <c r="J426" s="3">
        <v>43752.0</v>
      </c>
      <c r="K426" s="1" t="s">
        <v>215</v>
      </c>
      <c r="L426" s="1" t="s">
        <v>160</v>
      </c>
      <c r="M426" s="1" t="s">
        <v>216</v>
      </c>
      <c r="N426" s="1" t="s">
        <v>131</v>
      </c>
      <c r="O426" s="4"/>
      <c r="P426" s="1"/>
      <c r="Q426" s="4"/>
      <c r="R426" s="1" t="s">
        <v>137</v>
      </c>
      <c r="S426" s="1" t="s">
        <v>137</v>
      </c>
      <c r="T426" s="1" t="s">
        <v>47</v>
      </c>
      <c r="U426" s="1" t="s">
        <v>4301</v>
      </c>
      <c r="V426" s="4"/>
      <c r="W426" s="4"/>
      <c r="X426" s="4"/>
    </row>
    <row r="427">
      <c r="A427" s="1" t="s">
        <v>8924</v>
      </c>
      <c r="B427" s="1" t="s">
        <v>4293</v>
      </c>
      <c r="C427" s="1" t="s">
        <v>11490</v>
      </c>
      <c r="D427" s="1" t="s">
        <v>417</v>
      </c>
      <c r="E427" s="1" t="s">
        <v>292</v>
      </c>
      <c r="F427" s="1" t="s">
        <v>962</v>
      </c>
      <c r="G427" s="1" t="s">
        <v>5046</v>
      </c>
      <c r="H427" s="3">
        <v>44721.0</v>
      </c>
      <c r="I427" s="3">
        <v>44858.0</v>
      </c>
      <c r="J427" s="3">
        <v>44858.0</v>
      </c>
      <c r="K427" s="1" t="s">
        <v>215</v>
      </c>
      <c r="L427" s="1" t="s">
        <v>160</v>
      </c>
      <c r="M427" s="1" t="s">
        <v>216</v>
      </c>
      <c r="N427" s="1" t="s">
        <v>131</v>
      </c>
      <c r="O427" s="4"/>
      <c r="P427" s="1"/>
      <c r="Q427" s="4"/>
      <c r="R427" s="1" t="s">
        <v>137</v>
      </c>
      <c r="S427" s="1" t="s">
        <v>137</v>
      </c>
      <c r="T427" s="1" t="s">
        <v>47</v>
      </c>
      <c r="U427" s="1" t="s">
        <v>4301</v>
      </c>
      <c r="V427" s="4"/>
      <c r="W427" s="4"/>
      <c r="X427" s="4"/>
    </row>
    <row r="428">
      <c r="A428" s="1" t="s">
        <v>9394</v>
      </c>
      <c r="B428" s="1" t="s">
        <v>4293</v>
      </c>
      <c r="C428" s="1" t="s">
        <v>11516</v>
      </c>
      <c r="D428" s="1" t="s">
        <v>678</v>
      </c>
      <c r="E428" s="1" t="s">
        <v>454</v>
      </c>
      <c r="F428" s="1" t="s">
        <v>6808</v>
      </c>
      <c r="G428" s="1" t="s">
        <v>6809</v>
      </c>
      <c r="H428" s="3">
        <v>45331.0</v>
      </c>
      <c r="I428" s="3">
        <v>45446.0</v>
      </c>
      <c r="J428" s="3">
        <v>45446.0</v>
      </c>
      <c r="K428" s="1" t="s">
        <v>215</v>
      </c>
      <c r="L428" s="1" t="s">
        <v>160</v>
      </c>
      <c r="M428" s="1" t="s">
        <v>216</v>
      </c>
      <c r="N428" s="1" t="s">
        <v>131</v>
      </c>
      <c r="O428" s="13"/>
      <c r="P428" s="1"/>
      <c r="Q428" s="4"/>
      <c r="R428" s="1" t="s">
        <v>137</v>
      </c>
      <c r="S428" s="1" t="s">
        <v>137</v>
      </c>
      <c r="T428" s="1" t="s">
        <v>47</v>
      </c>
      <c r="U428" s="1" t="s">
        <v>4301</v>
      </c>
      <c r="V428" s="4"/>
      <c r="W428" s="4"/>
      <c r="X428" s="4"/>
    </row>
    <row r="429">
      <c r="A429" s="1" t="s">
        <v>11539</v>
      </c>
      <c r="B429" s="1" t="s">
        <v>116</v>
      </c>
      <c r="C429" s="1" t="s">
        <v>11542</v>
      </c>
      <c r="D429" s="1" t="s">
        <v>388</v>
      </c>
      <c r="E429" s="1" t="s">
        <v>175</v>
      </c>
      <c r="F429" s="1" t="s">
        <v>585</v>
      </c>
      <c r="G429" s="1" t="s">
        <v>780</v>
      </c>
      <c r="H429" s="3">
        <v>46273.0</v>
      </c>
      <c r="I429" s="3"/>
      <c r="J429" s="3"/>
      <c r="K429" s="1" t="s">
        <v>124</v>
      </c>
      <c r="L429" s="1" t="s">
        <v>71</v>
      </c>
      <c r="M429" s="1" t="s">
        <v>162</v>
      </c>
      <c r="N429" s="1" t="s">
        <v>131</v>
      </c>
      <c r="O429" s="13"/>
      <c r="P429" s="1" t="s">
        <v>5108</v>
      </c>
      <c r="Q429" s="4"/>
      <c r="R429" s="1" t="s">
        <v>137</v>
      </c>
      <c r="S429" s="1" t="s">
        <v>137</v>
      </c>
      <c r="T429" s="1" t="s">
        <v>47</v>
      </c>
      <c r="U429" s="1" t="s">
        <v>11560</v>
      </c>
      <c r="V429" s="4"/>
      <c r="W429" s="4"/>
      <c r="X429" s="4"/>
    </row>
    <row r="430">
      <c r="A430" s="1" t="s">
        <v>8071</v>
      </c>
      <c r="B430" s="1" t="s">
        <v>4293</v>
      </c>
      <c r="C430" s="1" t="s">
        <v>11565</v>
      </c>
      <c r="D430" s="1" t="s">
        <v>593</v>
      </c>
      <c r="E430" s="1" t="s">
        <v>153</v>
      </c>
      <c r="F430" s="1" t="s">
        <v>11569</v>
      </c>
      <c r="G430" s="1" t="s">
        <v>11571</v>
      </c>
      <c r="H430" s="3">
        <v>44985.0</v>
      </c>
      <c r="I430" s="3">
        <v>45743.0</v>
      </c>
      <c r="J430" s="3">
        <v>45743.0</v>
      </c>
      <c r="K430" s="1" t="s">
        <v>215</v>
      </c>
      <c r="L430" s="1" t="s">
        <v>160</v>
      </c>
      <c r="M430" s="1" t="s">
        <v>216</v>
      </c>
      <c r="N430" s="1" t="s">
        <v>131</v>
      </c>
      <c r="O430" s="13"/>
      <c r="P430" s="4"/>
      <c r="Q430" s="4"/>
      <c r="R430" s="1" t="s">
        <v>137</v>
      </c>
      <c r="S430" s="1" t="s">
        <v>137</v>
      </c>
      <c r="T430" s="1" t="s">
        <v>47</v>
      </c>
      <c r="U430" s="1" t="s">
        <v>4301</v>
      </c>
      <c r="V430" s="4"/>
      <c r="W430" s="4"/>
      <c r="X430" s="4"/>
    </row>
    <row r="431">
      <c r="A431" s="1" t="s">
        <v>10407</v>
      </c>
      <c r="B431" s="1" t="s">
        <v>4293</v>
      </c>
      <c r="C431" s="1" t="s">
        <v>11595</v>
      </c>
      <c r="D431" s="1" t="s">
        <v>831</v>
      </c>
      <c r="E431" s="1" t="s">
        <v>175</v>
      </c>
      <c r="F431" s="1" t="s">
        <v>3592</v>
      </c>
      <c r="G431" s="1" t="s">
        <v>11601</v>
      </c>
      <c r="H431" s="3">
        <v>45226.0</v>
      </c>
      <c r="I431" s="3">
        <v>45509.0</v>
      </c>
      <c r="J431" s="3">
        <v>45509.0</v>
      </c>
      <c r="K431" s="1" t="s">
        <v>215</v>
      </c>
      <c r="L431" s="1" t="s">
        <v>160</v>
      </c>
      <c r="M431" s="1" t="s">
        <v>216</v>
      </c>
      <c r="N431" s="1" t="s">
        <v>131</v>
      </c>
      <c r="O431" s="13"/>
      <c r="P431" s="4"/>
      <c r="Q431" s="4"/>
      <c r="R431" s="1" t="s">
        <v>137</v>
      </c>
      <c r="S431" s="1" t="s">
        <v>137</v>
      </c>
      <c r="T431" s="1" t="s">
        <v>47</v>
      </c>
      <c r="U431" s="1" t="s">
        <v>4301</v>
      </c>
      <c r="V431" s="4"/>
      <c r="W431" s="4"/>
      <c r="X431" s="4"/>
    </row>
    <row r="432">
      <c r="A432" s="1" t="s">
        <v>11622</v>
      </c>
      <c r="B432" s="1" t="s">
        <v>116</v>
      </c>
      <c r="C432" s="1" t="s">
        <v>11626</v>
      </c>
      <c r="D432" s="1" t="s">
        <v>172</v>
      </c>
      <c r="E432" s="1" t="s">
        <v>175</v>
      </c>
      <c r="F432" s="1" t="s">
        <v>177</v>
      </c>
      <c r="G432" s="1" t="s">
        <v>483</v>
      </c>
      <c r="H432" s="3">
        <v>46289.0</v>
      </c>
      <c r="I432" s="3">
        <v>46440.0</v>
      </c>
      <c r="J432" s="13"/>
      <c r="K432" s="1" t="s">
        <v>124</v>
      </c>
      <c r="L432" s="1" t="s">
        <v>160</v>
      </c>
      <c r="M432" s="1" t="s">
        <v>162</v>
      </c>
      <c r="N432" s="1" t="s">
        <v>131</v>
      </c>
      <c r="O432" s="13"/>
      <c r="P432" s="4"/>
      <c r="Q432" s="4"/>
      <c r="R432" s="1" t="s">
        <v>665</v>
      </c>
      <c r="S432" s="1" t="s">
        <v>665</v>
      </c>
      <c r="T432" s="1" t="s">
        <v>666</v>
      </c>
      <c r="U432" s="1" t="s">
        <v>11651</v>
      </c>
      <c r="V432" s="4"/>
      <c r="W432" s="4"/>
      <c r="X432" s="4"/>
    </row>
    <row r="433">
      <c r="A433" s="1" t="s">
        <v>10860</v>
      </c>
      <c r="B433" s="1" t="s">
        <v>4293</v>
      </c>
      <c r="C433" s="1" t="s">
        <v>11656</v>
      </c>
      <c r="D433" s="1" t="s">
        <v>313</v>
      </c>
      <c r="E433" s="1" t="s">
        <v>175</v>
      </c>
      <c r="F433" s="1" t="s">
        <v>1767</v>
      </c>
      <c r="G433" s="1" t="s">
        <v>1768</v>
      </c>
      <c r="H433" s="3">
        <v>44967.0</v>
      </c>
      <c r="I433" s="3"/>
      <c r="J433" s="3"/>
      <c r="K433" s="1" t="s">
        <v>124</v>
      </c>
      <c r="L433" s="1" t="s">
        <v>160</v>
      </c>
      <c r="M433" s="1" t="s">
        <v>253</v>
      </c>
      <c r="N433" s="1" t="s">
        <v>131</v>
      </c>
      <c r="O433" s="13"/>
      <c r="P433" s="4"/>
      <c r="Q433" s="4"/>
      <c r="R433" s="1" t="s">
        <v>137</v>
      </c>
      <c r="S433" s="1" t="s">
        <v>137</v>
      </c>
      <c r="T433" s="1" t="s">
        <v>47</v>
      </c>
      <c r="U433" s="1" t="s">
        <v>4301</v>
      </c>
      <c r="V433" s="4"/>
      <c r="W433" s="4"/>
      <c r="X433" s="4"/>
    </row>
    <row r="434">
      <c r="A434" s="1" t="s">
        <v>9111</v>
      </c>
      <c r="B434" s="1" t="s">
        <v>4293</v>
      </c>
      <c r="C434" s="1" t="s">
        <v>11686</v>
      </c>
      <c r="D434" s="1" t="s">
        <v>509</v>
      </c>
      <c r="E434" s="1" t="s">
        <v>454</v>
      </c>
      <c r="F434" s="1" t="s">
        <v>637</v>
      </c>
      <c r="G434" s="1" t="s">
        <v>2554</v>
      </c>
      <c r="H434" s="3">
        <v>45358.0</v>
      </c>
      <c r="I434" s="3">
        <v>45670.0</v>
      </c>
      <c r="J434" s="3">
        <v>45670.0</v>
      </c>
      <c r="K434" s="1" t="s">
        <v>215</v>
      </c>
      <c r="L434" s="1" t="s">
        <v>160</v>
      </c>
      <c r="M434" s="1" t="s">
        <v>216</v>
      </c>
      <c r="N434" s="1" t="s">
        <v>131</v>
      </c>
      <c r="O434" s="13"/>
      <c r="P434" s="4"/>
      <c r="Q434" s="4"/>
      <c r="R434" s="1" t="s">
        <v>137</v>
      </c>
      <c r="S434" s="1" t="s">
        <v>137</v>
      </c>
      <c r="T434" s="1" t="s">
        <v>47</v>
      </c>
      <c r="U434" s="1" t="s">
        <v>4301</v>
      </c>
      <c r="V434" s="4"/>
      <c r="W434" s="4"/>
      <c r="X434" s="4"/>
    </row>
    <row r="435">
      <c r="A435" s="1" t="s">
        <v>6472</v>
      </c>
      <c r="B435" s="1" t="s">
        <v>4293</v>
      </c>
      <c r="C435" s="1" t="s">
        <v>2699</v>
      </c>
      <c r="D435" s="1" t="s">
        <v>1360</v>
      </c>
      <c r="E435" s="1" t="s">
        <v>292</v>
      </c>
      <c r="F435" s="1" t="s">
        <v>293</v>
      </c>
      <c r="G435" s="1" t="s">
        <v>2091</v>
      </c>
      <c r="H435" s="3">
        <v>45914.0</v>
      </c>
      <c r="I435" s="3">
        <v>44901.0</v>
      </c>
      <c r="J435" s="3">
        <v>44901.0</v>
      </c>
      <c r="K435" s="1" t="s">
        <v>215</v>
      </c>
      <c r="L435" s="1" t="s">
        <v>160</v>
      </c>
      <c r="M435" s="1" t="s">
        <v>216</v>
      </c>
      <c r="N435" s="1" t="s">
        <v>131</v>
      </c>
      <c r="O435" s="13"/>
      <c r="P435" s="1"/>
      <c r="Q435" s="4"/>
      <c r="R435" s="1" t="s">
        <v>137</v>
      </c>
      <c r="S435" s="1" t="s">
        <v>137</v>
      </c>
      <c r="T435" s="1" t="s">
        <v>47</v>
      </c>
      <c r="U435" s="1" t="s">
        <v>4301</v>
      </c>
      <c r="V435" s="4"/>
      <c r="W435" s="4"/>
      <c r="X435" s="4"/>
    </row>
    <row r="436">
      <c r="A436" s="1" t="s">
        <v>10458</v>
      </c>
      <c r="B436" s="1" t="s">
        <v>4293</v>
      </c>
      <c r="C436" s="1" t="s">
        <v>11734</v>
      </c>
      <c r="D436" s="1" t="s">
        <v>1823</v>
      </c>
      <c r="E436" s="1" t="s">
        <v>119</v>
      </c>
      <c r="F436" s="1" t="s">
        <v>389</v>
      </c>
      <c r="G436" s="1" t="s">
        <v>389</v>
      </c>
      <c r="H436" s="3">
        <v>45140.0</v>
      </c>
      <c r="I436" s="3">
        <v>45355.0</v>
      </c>
      <c r="J436" s="3">
        <v>45355.0</v>
      </c>
      <c r="K436" s="1" t="s">
        <v>215</v>
      </c>
      <c r="L436" s="1" t="s">
        <v>160</v>
      </c>
      <c r="M436" s="1" t="s">
        <v>216</v>
      </c>
      <c r="N436" s="1" t="s">
        <v>131</v>
      </c>
      <c r="O436" s="13"/>
      <c r="P436" s="1"/>
      <c r="Q436" s="4"/>
      <c r="R436" s="1" t="s">
        <v>137</v>
      </c>
      <c r="S436" s="1" t="s">
        <v>137</v>
      </c>
      <c r="T436" s="1" t="s">
        <v>47</v>
      </c>
      <c r="U436" s="1" t="s">
        <v>4301</v>
      </c>
      <c r="V436" s="4"/>
      <c r="W436" s="4"/>
      <c r="X436" s="4"/>
    </row>
    <row r="437">
      <c r="A437" s="1" t="s">
        <v>8240</v>
      </c>
      <c r="B437" s="1" t="s">
        <v>4293</v>
      </c>
      <c r="C437" s="1" t="s">
        <v>11761</v>
      </c>
      <c r="D437" s="1"/>
      <c r="E437" s="1"/>
      <c r="F437" s="1"/>
      <c r="G437" s="1"/>
      <c r="H437" s="3">
        <v>43766.0</v>
      </c>
      <c r="I437" s="3">
        <v>43556.0</v>
      </c>
      <c r="J437" s="3">
        <v>43556.0</v>
      </c>
      <c r="K437" s="1" t="s">
        <v>215</v>
      </c>
      <c r="L437" s="1" t="s">
        <v>160</v>
      </c>
      <c r="M437" s="1" t="s">
        <v>216</v>
      </c>
      <c r="N437" s="1" t="s">
        <v>131</v>
      </c>
      <c r="O437" s="13"/>
      <c r="P437" s="4"/>
      <c r="Q437" s="4"/>
      <c r="R437" s="1" t="s">
        <v>137</v>
      </c>
      <c r="S437" s="1" t="s">
        <v>137</v>
      </c>
      <c r="T437" s="1" t="s">
        <v>47</v>
      </c>
      <c r="U437" s="1" t="s">
        <v>4301</v>
      </c>
      <c r="V437" s="4"/>
      <c r="W437" s="4"/>
      <c r="X437" s="4"/>
    </row>
    <row r="438">
      <c r="A438" s="1" t="s">
        <v>2715</v>
      </c>
      <c r="B438" s="1" t="s">
        <v>116</v>
      </c>
      <c r="C438" s="1" t="s">
        <v>2716</v>
      </c>
      <c r="D438" s="1" t="s">
        <v>172</v>
      </c>
      <c r="E438" s="1" t="s">
        <v>175</v>
      </c>
      <c r="F438" s="1" t="s">
        <v>1767</v>
      </c>
      <c r="G438" s="1" t="s">
        <v>1768</v>
      </c>
      <c r="H438" s="3">
        <v>46129.0</v>
      </c>
      <c r="I438" s="3"/>
      <c r="J438" s="3"/>
      <c r="K438" s="1" t="s">
        <v>124</v>
      </c>
      <c r="L438" s="1" t="s">
        <v>71</v>
      </c>
      <c r="M438" s="1" t="s">
        <v>162</v>
      </c>
      <c r="N438" s="1" t="s">
        <v>131</v>
      </c>
      <c r="O438" s="13"/>
      <c r="P438" s="1"/>
      <c r="Q438" s="4"/>
      <c r="R438" s="1" t="s">
        <v>137</v>
      </c>
      <c r="S438" s="1" t="s">
        <v>137</v>
      </c>
      <c r="T438" s="1" t="s">
        <v>47</v>
      </c>
      <c r="U438" s="1"/>
      <c r="V438" s="4"/>
      <c r="W438" s="4"/>
      <c r="X438" s="4"/>
    </row>
    <row r="439">
      <c r="A439" s="1" t="s">
        <v>2732</v>
      </c>
      <c r="B439" s="1" t="s">
        <v>116</v>
      </c>
      <c r="C439" s="1" t="s">
        <v>2735</v>
      </c>
      <c r="D439" s="1" t="s">
        <v>1477</v>
      </c>
      <c r="E439" s="1" t="s">
        <v>175</v>
      </c>
      <c r="F439" s="1" t="s">
        <v>177</v>
      </c>
      <c r="G439" s="1" t="s">
        <v>1778</v>
      </c>
      <c r="H439" s="3">
        <v>46247.0</v>
      </c>
      <c r="I439" s="3"/>
      <c r="J439" s="3"/>
      <c r="K439" s="1" t="s">
        <v>124</v>
      </c>
      <c r="L439" s="1" t="s">
        <v>71</v>
      </c>
      <c r="M439" s="1" t="s">
        <v>162</v>
      </c>
      <c r="N439" s="1" t="s">
        <v>131</v>
      </c>
      <c r="O439" s="13"/>
      <c r="P439" s="1" t="s">
        <v>2737</v>
      </c>
      <c r="Q439" s="4"/>
      <c r="R439" s="1" t="s">
        <v>137</v>
      </c>
      <c r="S439" s="1" t="s">
        <v>137</v>
      </c>
      <c r="T439" s="1" t="s">
        <v>47</v>
      </c>
      <c r="U439" s="1" t="s">
        <v>11830</v>
      </c>
      <c r="V439" s="4"/>
      <c r="W439" s="4"/>
      <c r="X439" s="4"/>
    </row>
    <row r="440">
      <c r="A440" s="1" t="s">
        <v>10786</v>
      </c>
      <c r="B440" s="1" t="s">
        <v>4293</v>
      </c>
      <c r="C440" s="1" t="s">
        <v>11838</v>
      </c>
      <c r="D440" s="1" t="s">
        <v>313</v>
      </c>
      <c r="E440" s="1" t="s">
        <v>175</v>
      </c>
      <c r="F440" s="1" t="s">
        <v>1767</v>
      </c>
      <c r="G440" s="1" t="s">
        <v>2199</v>
      </c>
      <c r="H440" s="3">
        <v>44317.0</v>
      </c>
      <c r="I440" s="3">
        <v>44317.0</v>
      </c>
      <c r="J440" s="3">
        <v>44317.0</v>
      </c>
      <c r="K440" s="1" t="s">
        <v>215</v>
      </c>
      <c r="L440" s="1" t="s">
        <v>160</v>
      </c>
      <c r="M440" s="1" t="s">
        <v>216</v>
      </c>
      <c r="N440" s="1" t="s">
        <v>131</v>
      </c>
      <c r="O440" s="13"/>
      <c r="P440" s="4"/>
      <c r="Q440" s="4"/>
      <c r="R440" s="1" t="s">
        <v>137</v>
      </c>
      <c r="S440" s="1" t="s">
        <v>137</v>
      </c>
      <c r="T440" s="1" t="s">
        <v>47</v>
      </c>
      <c r="U440" s="1" t="s">
        <v>4301</v>
      </c>
      <c r="V440" s="4"/>
      <c r="W440" s="4"/>
      <c r="X440" s="4"/>
    </row>
    <row r="441">
      <c r="A441" s="1" t="s">
        <v>6147</v>
      </c>
      <c r="B441" s="1" t="s">
        <v>4293</v>
      </c>
      <c r="C441" s="1" t="s">
        <v>11863</v>
      </c>
      <c r="D441" s="1" t="s">
        <v>509</v>
      </c>
      <c r="E441" s="1" t="s">
        <v>119</v>
      </c>
      <c r="F441" s="1" t="s">
        <v>1338</v>
      </c>
      <c r="G441" s="1" t="s">
        <v>1338</v>
      </c>
      <c r="H441" s="3">
        <v>45554.0</v>
      </c>
      <c r="I441" s="3">
        <v>45631.0</v>
      </c>
      <c r="J441" s="3">
        <v>45631.0</v>
      </c>
      <c r="K441" s="1" t="s">
        <v>215</v>
      </c>
      <c r="L441" s="1" t="s">
        <v>160</v>
      </c>
      <c r="M441" s="1" t="s">
        <v>216</v>
      </c>
      <c r="N441" s="1" t="s">
        <v>131</v>
      </c>
      <c r="O441" s="13"/>
      <c r="P441" s="4"/>
      <c r="Q441" s="4"/>
      <c r="R441" s="1" t="s">
        <v>137</v>
      </c>
      <c r="S441" s="1" t="s">
        <v>137</v>
      </c>
      <c r="T441" s="1" t="s">
        <v>47</v>
      </c>
      <c r="U441" s="1" t="s">
        <v>4301</v>
      </c>
      <c r="V441" s="4"/>
      <c r="W441" s="4"/>
      <c r="X441" s="4"/>
    </row>
    <row r="442">
      <c r="A442" s="1" t="s">
        <v>9599</v>
      </c>
      <c r="B442" s="1" t="s">
        <v>4293</v>
      </c>
      <c r="C442" s="1" t="s">
        <v>11896</v>
      </c>
      <c r="D442" s="1" t="s">
        <v>1798</v>
      </c>
      <c r="E442" s="1" t="s">
        <v>175</v>
      </c>
      <c r="F442" s="1" t="s">
        <v>1116</v>
      </c>
      <c r="G442" s="1" t="s">
        <v>1118</v>
      </c>
      <c r="H442" s="3">
        <v>45905.0</v>
      </c>
      <c r="I442" s="3"/>
      <c r="J442" s="3"/>
      <c r="K442" s="1" t="s">
        <v>124</v>
      </c>
      <c r="L442" s="1" t="s">
        <v>160</v>
      </c>
      <c r="M442" s="1" t="s">
        <v>253</v>
      </c>
      <c r="N442" s="1" t="s">
        <v>131</v>
      </c>
      <c r="O442" s="13"/>
      <c r="P442" s="4"/>
      <c r="Q442" s="4"/>
      <c r="R442" s="1" t="s">
        <v>137</v>
      </c>
      <c r="S442" s="1" t="s">
        <v>137</v>
      </c>
      <c r="T442" s="1" t="s">
        <v>47</v>
      </c>
      <c r="U442" s="1" t="s">
        <v>4301</v>
      </c>
      <c r="V442" s="4"/>
      <c r="W442" s="4"/>
      <c r="X442" s="4"/>
    </row>
    <row r="443">
      <c r="A443" s="1" t="s">
        <v>7894</v>
      </c>
      <c r="B443" s="1" t="s">
        <v>4293</v>
      </c>
      <c r="C443" s="1" t="s">
        <v>11929</v>
      </c>
      <c r="D443" s="1" t="s">
        <v>1798</v>
      </c>
      <c r="E443" s="1" t="s">
        <v>175</v>
      </c>
      <c r="F443" s="1" t="s">
        <v>763</v>
      </c>
      <c r="G443" s="1" t="s">
        <v>764</v>
      </c>
      <c r="H443" s="3">
        <v>44280.0</v>
      </c>
      <c r="I443" s="3">
        <v>44280.0</v>
      </c>
      <c r="J443" s="3">
        <v>44280.0</v>
      </c>
      <c r="K443" s="1" t="s">
        <v>215</v>
      </c>
      <c r="L443" s="1" t="s">
        <v>160</v>
      </c>
      <c r="M443" s="1" t="s">
        <v>216</v>
      </c>
      <c r="N443" s="1" t="s">
        <v>131</v>
      </c>
      <c r="O443" s="13"/>
      <c r="P443" s="1"/>
      <c r="Q443" s="4"/>
      <c r="R443" s="1" t="s">
        <v>137</v>
      </c>
      <c r="S443" s="1" t="s">
        <v>137</v>
      </c>
      <c r="T443" s="1" t="s">
        <v>47</v>
      </c>
      <c r="U443" s="1" t="s">
        <v>4301</v>
      </c>
      <c r="V443" s="4"/>
      <c r="W443" s="4"/>
      <c r="X443" s="4"/>
    </row>
    <row r="444">
      <c r="A444" s="1" t="s">
        <v>5672</v>
      </c>
      <c r="B444" s="1" t="s">
        <v>4293</v>
      </c>
      <c r="C444" s="1" t="s">
        <v>11959</v>
      </c>
      <c r="D444" s="1" t="s">
        <v>593</v>
      </c>
      <c r="E444" s="1" t="s">
        <v>330</v>
      </c>
      <c r="F444" s="1" t="s">
        <v>663</v>
      </c>
      <c r="G444" s="1" t="s">
        <v>3576</v>
      </c>
      <c r="H444" s="3">
        <v>43959.0</v>
      </c>
      <c r="I444" s="3">
        <v>44011.0</v>
      </c>
      <c r="J444" s="3">
        <v>44011.0</v>
      </c>
      <c r="K444" s="1" t="s">
        <v>215</v>
      </c>
      <c r="L444" s="1" t="s">
        <v>160</v>
      </c>
      <c r="M444" s="1" t="s">
        <v>216</v>
      </c>
      <c r="N444" s="1" t="s">
        <v>131</v>
      </c>
      <c r="O444" s="4"/>
      <c r="P444" s="1"/>
      <c r="Q444" s="4"/>
      <c r="R444" s="1" t="s">
        <v>137</v>
      </c>
      <c r="S444" s="1" t="s">
        <v>137</v>
      </c>
      <c r="T444" s="1" t="s">
        <v>47</v>
      </c>
      <c r="U444" s="1" t="s">
        <v>4301</v>
      </c>
      <c r="V444" s="4"/>
      <c r="W444" s="4"/>
      <c r="X444" s="4"/>
    </row>
    <row r="445">
      <c r="A445" s="1" t="s">
        <v>9936</v>
      </c>
      <c r="B445" s="1" t="s">
        <v>4293</v>
      </c>
      <c r="C445" s="1" t="s">
        <v>11983</v>
      </c>
      <c r="D445" s="1" t="s">
        <v>1823</v>
      </c>
      <c r="E445" s="1" t="s">
        <v>292</v>
      </c>
      <c r="F445" s="1" t="s">
        <v>962</v>
      </c>
      <c r="G445" s="1" t="s">
        <v>9279</v>
      </c>
      <c r="H445" s="3">
        <v>45979.0</v>
      </c>
      <c r="I445" s="3"/>
      <c r="J445" s="3"/>
      <c r="K445" s="1" t="s">
        <v>124</v>
      </c>
      <c r="L445" s="1" t="s">
        <v>160</v>
      </c>
      <c r="M445" s="1" t="s">
        <v>253</v>
      </c>
      <c r="N445" s="1" t="s">
        <v>131</v>
      </c>
      <c r="O445" s="13"/>
      <c r="P445" s="4"/>
      <c r="Q445" s="4"/>
      <c r="R445" s="1" t="s">
        <v>137</v>
      </c>
      <c r="S445" s="1" t="s">
        <v>137</v>
      </c>
      <c r="T445" s="1" t="s">
        <v>47</v>
      </c>
      <c r="U445" s="1" t="s">
        <v>4301</v>
      </c>
      <c r="V445" s="4"/>
      <c r="W445" s="4"/>
      <c r="X445" s="4"/>
    </row>
    <row r="446">
      <c r="A446" s="1" t="s">
        <v>8661</v>
      </c>
      <c r="B446" s="1" t="s">
        <v>4293</v>
      </c>
      <c r="C446" s="1" t="s">
        <v>11999</v>
      </c>
      <c r="D446" s="1" t="s">
        <v>1932</v>
      </c>
      <c r="E446" s="1" t="s">
        <v>889</v>
      </c>
      <c r="F446" s="1" t="s">
        <v>2385</v>
      </c>
      <c r="G446" s="1"/>
      <c r="H446" s="3">
        <v>45281.0</v>
      </c>
      <c r="I446" s="3">
        <v>45596.0</v>
      </c>
      <c r="J446" s="3">
        <v>45596.0</v>
      </c>
      <c r="K446" s="1" t="s">
        <v>215</v>
      </c>
      <c r="L446" s="1" t="s">
        <v>160</v>
      </c>
      <c r="M446" s="1" t="s">
        <v>216</v>
      </c>
      <c r="N446" s="1" t="s">
        <v>131</v>
      </c>
      <c r="O446" s="13"/>
      <c r="P446" s="1"/>
      <c r="Q446" s="4"/>
      <c r="R446" s="1" t="s">
        <v>137</v>
      </c>
      <c r="S446" s="1" t="s">
        <v>137</v>
      </c>
      <c r="T446" s="1" t="s">
        <v>47</v>
      </c>
      <c r="U446" s="1" t="s">
        <v>4301</v>
      </c>
      <c r="V446" s="4"/>
      <c r="W446" s="4"/>
      <c r="X446" s="4"/>
    </row>
    <row r="447">
      <c r="A447" s="1" t="s">
        <v>2255</v>
      </c>
      <c r="B447" s="1" t="s">
        <v>2760</v>
      </c>
      <c r="C447" s="1" t="s">
        <v>2762</v>
      </c>
      <c r="D447" s="1" t="s">
        <v>396</v>
      </c>
      <c r="E447" s="1" t="s">
        <v>292</v>
      </c>
      <c r="F447" s="1" t="s">
        <v>576</v>
      </c>
      <c r="G447" s="1" t="s">
        <v>835</v>
      </c>
      <c r="H447" s="3">
        <v>46125.0</v>
      </c>
      <c r="I447" s="3">
        <v>46356.0</v>
      </c>
      <c r="J447" s="3"/>
      <c r="K447" s="1" t="s">
        <v>124</v>
      </c>
      <c r="L447" s="1" t="s">
        <v>160</v>
      </c>
      <c r="M447" s="1" t="s">
        <v>460</v>
      </c>
      <c r="N447" s="1" t="s">
        <v>131</v>
      </c>
      <c r="O447" s="13"/>
      <c r="P447" s="1" t="s">
        <v>2768</v>
      </c>
      <c r="Q447" s="4"/>
      <c r="R447" s="1" t="s">
        <v>137</v>
      </c>
      <c r="S447" s="1" t="s">
        <v>137</v>
      </c>
      <c r="T447" s="1" t="s">
        <v>47</v>
      </c>
      <c r="U447" s="1" t="s">
        <v>3686</v>
      </c>
      <c r="V447" s="4"/>
      <c r="W447" s="4"/>
      <c r="X447" s="4"/>
    </row>
    <row r="448">
      <c r="A448" s="1" t="s">
        <v>10810</v>
      </c>
      <c r="B448" s="1" t="s">
        <v>4293</v>
      </c>
      <c r="C448" s="1" t="s">
        <v>12066</v>
      </c>
      <c r="D448" s="1" t="s">
        <v>678</v>
      </c>
      <c r="E448" s="1" t="s">
        <v>454</v>
      </c>
      <c r="F448" s="1" t="s">
        <v>455</v>
      </c>
      <c r="G448" s="1" t="s">
        <v>456</v>
      </c>
      <c r="H448" s="3">
        <v>43374.0</v>
      </c>
      <c r="I448" s="3">
        <v>44805.0</v>
      </c>
      <c r="J448" s="3">
        <v>44805.0</v>
      </c>
      <c r="K448" s="1" t="s">
        <v>215</v>
      </c>
      <c r="L448" s="1" t="s">
        <v>160</v>
      </c>
      <c r="M448" s="1" t="s">
        <v>216</v>
      </c>
      <c r="N448" s="1" t="s">
        <v>131</v>
      </c>
      <c r="O448" s="13"/>
      <c r="P448" s="4"/>
      <c r="Q448" s="4"/>
      <c r="R448" s="1" t="s">
        <v>137</v>
      </c>
      <c r="S448" s="1" t="s">
        <v>137</v>
      </c>
      <c r="T448" s="1" t="s">
        <v>47</v>
      </c>
      <c r="U448" s="1" t="s">
        <v>4301</v>
      </c>
      <c r="V448" s="4"/>
      <c r="W448" s="4"/>
      <c r="X448" s="4"/>
    </row>
    <row r="449">
      <c r="A449" s="1" t="s">
        <v>10255</v>
      </c>
      <c r="B449" s="1" t="s">
        <v>4293</v>
      </c>
      <c r="C449" s="1" t="s">
        <v>12091</v>
      </c>
      <c r="D449" s="1" t="s">
        <v>1469</v>
      </c>
      <c r="E449" s="1" t="s">
        <v>119</v>
      </c>
      <c r="F449" s="1" t="s">
        <v>12097</v>
      </c>
      <c r="G449" s="1" t="s">
        <v>12097</v>
      </c>
      <c r="H449" s="3">
        <v>44761.0</v>
      </c>
      <c r="I449" s="3">
        <v>45077.0</v>
      </c>
      <c r="J449" s="3">
        <v>45077.0</v>
      </c>
      <c r="K449" s="1" t="s">
        <v>215</v>
      </c>
      <c r="L449" s="1" t="s">
        <v>160</v>
      </c>
      <c r="M449" s="1" t="s">
        <v>216</v>
      </c>
      <c r="N449" s="1" t="s">
        <v>131</v>
      </c>
      <c r="O449" s="13"/>
      <c r="P449" s="4"/>
      <c r="Q449" s="4"/>
      <c r="R449" s="1" t="s">
        <v>137</v>
      </c>
      <c r="S449" s="1" t="s">
        <v>137</v>
      </c>
      <c r="T449" s="1" t="s">
        <v>47</v>
      </c>
      <c r="U449" s="1" t="s">
        <v>4301</v>
      </c>
      <c r="V449" s="4"/>
      <c r="W449" s="4"/>
      <c r="X449" s="4"/>
    </row>
    <row r="450">
      <c r="A450" s="1" t="s">
        <v>10609</v>
      </c>
      <c r="B450" s="1" t="s">
        <v>4293</v>
      </c>
      <c r="C450" s="1" t="s">
        <v>12119</v>
      </c>
      <c r="D450" s="1" t="s">
        <v>1823</v>
      </c>
      <c r="E450" s="1" t="s">
        <v>292</v>
      </c>
      <c r="F450" s="1" t="s">
        <v>962</v>
      </c>
      <c r="G450" s="1" t="s">
        <v>4470</v>
      </c>
      <c r="H450" s="3">
        <v>45812.0</v>
      </c>
      <c r="I450" s="3">
        <v>45966.0</v>
      </c>
      <c r="J450" s="3">
        <v>45966.0</v>
      </c>
      <c r="K450" s="1" t="s">
        <v>215</v>
      </c>
      <c r="L450" s="1" t="s">
        <v>160</v>
      </c>
      <c r="M450" s="1" t="s">
        <v>216</v>
      </c>
      <c r="N450" s="1" t="s">
        <v>131</v>
      </c>
      <c r="O450" s="13"/>
      <c r="P450" s="1"/>
      <c r="Q450" s="4"/>
      <c r="R450" s="1" t="s">
        <v>137</v>
      </c>
      <c r="S450" s="1" t="s">
        <v>137</v>
      </c>
      <c r="T450" s="1" t="s">
        <v>47</v>
      </c>
      <c r="U450" s="1" t="s">
        <v>4301</v>
      </c>
      <c r="V450" s="4"/>
      <c r="W450" s="4"/>
      <c r="X450" s="4"/>
    </row>
    <row r="451">
      <c r="A451" s="1" t="s">
        <v>11936</v>
      </c>
      <c r="B451" s="1" t="s">
        <v>4293</v>
      </c>
      <c r="C451" s="1" t="s">
        <v>12139</v>
      </c>
      <c r="D451" s="1" t="s">
        <v>831</v>
      </c>
      <c r="E451" s="1" t="s">
        <v>209</v>
      </c>
      <c r="F451" s="1" t="s">
        <v>398</v>
      </c>
      <c r="G451" s="1" t="s">
        <v>12144</v>
      </c>
      <c r="H451" s="3">
        <v>45300.0</v>
      </c>
      <c r="I451" s="3">
        <v>45502.0</v>
      </c>
      <c r="J451" s="3">
        <v>45502.0</v>
      </c>
      <c r="K451" s="1" t="s">
        <v>215</v>
      </c>
      <c r="L451" s="1" t="s">
        <v>160</v>
      </c>
      <c r="M451" s="1" t="s">
        <v>216</v>
      </c>
      <c r="N451" s="1" t="s">
        <v>131</v>
      </c>
      <c r="O451" s="13"/>
      <c r="P451" s="1"/>
      <c r="Q451" s="4"/>
      <c r="R451" s="1" t="s">
        <v>137</v>
      </c>
      <c r="S451" s="1" t="s">
        <v>137</v>
      </c>
      <c r="T451" s="1" t="s">
        <v>47</v>
      </c>
      <c r="U451" s="1" t="s">
        <v>4301</v>
      </c>
      <c r="V451" s="4"/>
      <c r="W451" s="4"/>
      <c r="X451" s="4"/>
    </row>
    <row r="452">
      <c r="A452" s="1" t="s">
        <v>6876</v>
      </c>
      <c r="B452" s="1" t="s">
        <v>4293</v>
      </c>
      <c r="C452" s="1" t="s">
        <v>12163</v>
      </c>
      <c r="D452" s="1" t="s">
        <v>1477</v>
      </c>
      <c r="E452" s="1" t="s">
        <v>292</v>
      </c>
      <c r="F452" s="1" t="s">
        <v>494</v>
      </c>
      <c r="G452" s="1" t="s">
        <v>2278</v>
      </c>
      <c r="H452" s="3">
        <v>45412.0</v>
      </c>
      <c r="I452" s="3">
        <v>45608.0</v>
      </c>
      <c r="J452" s="3">
        <v>45608.0</v>
      </c>
      <c r="K452" s="1" t="s">
        <v>215</v>
      </c>
      <c r="L452" s="1" t="s">
        <v>160</v>
      </c>
      <c r="M452" s="1" t="s">
        <v>216</v>
      </c>
      <c r="N452" s="1" t="s">
        <v>131</v>
      </c>
      <c r="O452" s="4"/>
      <c r="P452" s="4"/>
      <c r="Q452" s="4"/>
      <c r="R452" s="1" t="s">
        <v>137</v>
      </c>
      <c r="S452" s="1" t="s">
        <v>137</v>
      </c>
      <c r="T452" s="1" t="s">
        <v>47</v>
      </c>
      <c r="U452" s="1" t="s">
        <v>4301</v>
      </c>
      <c r="V452" s="4"/>
      <c r="W452" s="4"/>
      <c r="X452" s="4"/>
    </row>
    <row r="453">
      <c r="A453" s="1" t="s">
        <v>12188</v>
      </c>
      <c r="B453" s="1" t="s">
        <v>4293</v>
      </c>
      <c r="C453" s="1" t="s">
        <v>12193</v>
      </c>
      <c r="D453" s="1" t="s">
        <v>172</v>
      </c>
      <c r="E453" s="1" t="s">
        <v>12195</v>
      </c>
      <c r="F453" s="1" t="s">
        <v>12195</v>
      </c>
      <c r="G453" s="1" t="s">
        <v>12195</v>
      </c>
      <c r="H453" s="3">
        <v>45322.0</v>
      </c>
      <c r="I453" s="3">
        <v>45504.0</v>
      </c>
      <c r="J453" s="3">
        <v>45504.0</v>
      </c>
      <c r="K453" s="1" t="s">
        <v>215</v>
      </c>
      <c r="L453" s="1" t="s">
        <v>160</v>
      </c>
      <c r="M453" s="1" t="s">
        <v>216</v>
      </c>
      <c r="N453" s="1" t="s">
        <v>131</v>
      </c>
      <c r="O453" s="13"/>
      <c r="P453" s="1"/>
      <c r="Q453" s="4"/>
      <c r="R453" s="1" t="s">
        <v>137</v>
      </c>
      <c r="S453" s="1" t="s">
        <v>137</v>
      </c>
      <c r="T453" s="1" t="s">
        <v>47</v>
      </c>
      <c r="U453" s="1" t="s">
        <v>4301</v>
      </c>
      <c r="V453" s="4"/>
      <c r="W453" s="4"/>
      <c r="X453" s="4"/>
    </row>
    <row r="454">
      <c r="A454" s="1" t="s">
        <v>2820</v>
      </c>
      <c r="B454" s="1" t="s">
        <v>146</v>
      </c>
      <c r="C454" s="1" t="s">
        <v>2821</v>
      </c>
      <c r="D454" s="1" t="s">
        <v>831</v>
      </c>
      <c r="E454" s="1" t="s">
        <v>175</v>
      </c>
      <c r="F454" s="1" t="s">
        <v>585</v>
      </c>
      <c r="G454" s="1" t="s">
        <v>780</v>
      </c>
      <c r="H454" s="3">
        <v>46128.0</v>
      </c>
      <c r="I454" s="3"/>
      <c r="J454" s="3"/>
      <c r="K454" s="1" t="s">
        <v>124</v>
      </c>
      <c r="L454" s="1" t="s">
        <v>160</v>
      </c>
      <c r="M454" s="1" t="s">
        <v>162</v>
      </c>
      <c r="N454" s="1" t="s">
        <v>131</v>
      </c>
      <c r="O454" s="13"/>
      <c r="P454" s="1" t="s">
        <v>485</v>
      </c>
      <c r="Q454" s="4"/>
      <c r="R454" s="1" t="s">
        <v>137</v>
      </c>
      <c r="S454" s="1" t="s">
        <v>137</v>
      </c>
      <c r="T454" s="1" t="s">
        <v>47</v>
      </c>
      <c r="U454" s="1"/>
      <c r="V454" s="4"/>
      <c r="W454" s="4"/>
      <c r="X454" s="4"/>
    </row>
    <row r="455">
      <c r="A455" s="1" t="s">
        <v>12240</v>
      </c>
      <c r="B455" s="1" t="s">
        <v>116</v>
      </c>
      <c r="C455" s="1" t="s">
        <v>2821</v>
      </c>
      <c r="D455" s="1" t="s">
        <v>831</v>
      </c>
      <c r="E455" s="1" t="s">
        <v>175</v>
      </c>
      <c r="F455" s="1" t="s">
        <v>585</v>
      </c>
      <c r="G455" s="1" t="s">
        <v>780</v>
      </c>
      <c r="H455" s="3">
        <v>46295.0</v>
      </c>
      <c r="I455" s="3"/>
      <c r="J455" s="3"/>
      <c r="K455" s="1" t="s">
        <v>124</v>
      </c>
      <c r="L455" s="1" t="s">
        <v>71</v>
      </c>
      <c r="M455" s="1" t="s">
        <v>162</v>
      </c>
      <c r="N455" s="1" t="s">
        <v>131</v>
      </c>
      <c r="O455" s="13"/>
      <c r="P455" s="1" t="s">
        <v>10967</v>
      </c>
      <c r="Q455" s="4"/>
      <c r="R455" s="1" t="s">
        <v>137</v>
      </c>
      <c r="S455" s="1" t="s">
        <v>137</v>
      </c>
      <c r="T455" s="1" t="s">
        <v>47</v>
      </c>
      <c r="U455" s="1"/>
      <c r="V455" s="4"/>
      <c r="W455" s="4"/>
      <c r="X455" s="4"/>
    </row>
    <row r="456">
      <c r="A456" s="1" t="s">
        <v>12260</v>
      </c>
      <c r="B456" s="1" t="s">
        <v>4293</v>
      </c>
      <c r="C456" s="1" t="s">
        <v>12264</v>
      </c>
      <c r="D456" s="1" t="s">
        <v>1798</v>
      </c>
      <c r="E456" s="1" t="s">
        <v>175</v>
      </c>
      <c r="F456" s="1" t="s">
        <v>763</v>
      </c>
      <c r="G456" s="1" t="s">
        <v>1825</v>
      </c>
      <c r="H456" s="3">
        <v>44508.0</v>
      </c>
      <c r="I456" s="3">
        <v>44595.0</v>
      </c>
      <c r="J456" s="3">
        <v>44595.0</v>
      </c>
      <c r="K456" s="1" t="s">
        <v>215</v>
      </c>
      <c r="L456" s="1" t="s">
        <v>160</v>
      </c>
      <c r="M456" s="1" t="s">
        <v>216</v>
      </c>
      <c r="N456" s="1" t="s">
        <v>131</v>
      </c>
      <c r="O456" s="13"/>
      <c r="P456" s="4"/>
      <c r="Q456" s="4"/>
      <c r="R456" s="1" t="s">
        <v>137</v>
      </c>
      <c r="S456" s="1" t="s">
        <v>137</v>
      </c>
      <c r="T456" s="1" t="s">
        <v>47</v>
      </c>
      <c r="U456" s="1" t="s">
        <v>4301</v>
      </c>
      <c r="V456" s="4"/>
      <c r="W456" s="4"/>
      <c r="X456" s="4"/>
    </row>
    <row r="457">
      <c r="A457" s="1" t="s">
        <v>6408</v>
      </c>
      <c r="B457" s="1" t="s">
        <v>4293</v>
      </c>
      <c r="C457" s="1" t="s">
        <v>12288</v>
      </c>
      <c r="D457" s="1" t="s">
        <v>678</v>
      </c>
      <c r="E457" s="1" t="s">
        <v>454</v>
      </c>
      <c r="F457" s="1" t="s">
        <v>3395</v>
      </c>
      <c r="G457" s="1" t="s">
        <v>8695</v>
      </c>
      <c r="H457" s="3">
        <v>45555.0</v>
      </c>
      <c r="I457" s="3">
        <v>45762.0</v>
      </c>
      <c r="J457" s="3">
        <v>45762.0</v>
      </c>
      <c r="K457" s="1" t="s">
        <v>215</v>
      </c>
      <c r="L457" s="1" t="s">
        <v>160</v>
      </c>
      <c r="M457" s="1" t="s">
        <v>216</v>
      </c>
      <c r="N457" s="1" t="s">
        <v>131</v>
      </c>
      <c r="O457" s="13"/>
      <c r="P457" s="4"/>
      <c r="Q457" s="4"/>
      <c r="R457" s="1" t="s">
        <v>137</v>
      </c>
      <c r="S457" s="1" t="s">
        <v>137</v>
      </c>
      <c r="T457" s="1" t="s">
        <v>47</v>
      </c>
      <c r="U457" s="1" t="s">
        <v>4301</v>
      </c>
      <c r="V457" s="4"/>
      <c r="W457" s="4"/>
      <c r="X457" s="4"/>
    </row>
    <row r="458">
      <c r="A458" s="1" t="s">
        <v>11865</v>
      </c>
      <c r="B458" s="1" t="s">
        <v>4293</v>
      </c>
      <c r="C458" s="1" t="s">
        <v>12303</v>
      </c>
      <c r="D458" s="1" t="s">
        <v>1823</v>
      </c>
      <c r="E458" s="1" t="s">
        <v>292</v>
      </c>
      <c r="F458" s="1" t="s">
        <v>962</v>
      </c>
      <c r="G458" s="1" t="s">
        <v>4470</v>
      </c>
      <c r="H458" s="3">
        <v>44270.0</v>
      </c>
      <c r="I458" s="3">
        <v>44305.0</v>
      </c>
      <c r="J458" s="3">
        <v>44305.0</v>
      </c>
      <c r="K458" s="1" t="s">
        <v>215</v>
      </c>
      <c r="L458" s="1" t="s">
        <v>160</v>
      </c>
      <c r="M458" s="1" t="s">
        <v>216</v>
      </c>
      <c r="N458" s="1" t="s">
        <v>131</v>
      </c>
      <c r="O458" s="4"/>
      <c r="P458" s="1"/>
      <c r="Q458" s="4"/>
      <c r="R458" s="1" t="s">
        <v>137</v>
      </c>
      <c r="S458" s="1" t="s">
        <v>137</v>
      </c>
      <c r="T458" s="1" t="s">
        <v>47</v>
      </c>
      <c r="U458" s="1" t="s">
        <v>4301</v>
      </c>
      <c r="V458" s="4"/>
      <c r="W458" s="4"/>
      <c r="X458" s="4"/>
    </row>
    <row r="459">
      <c r="A459" s="1" t="s">
        <v>11981</v>
      </c>
      <c r="B459" s="1" t="s">
        <v>4293</v>
      </c>
      <c r="C459" s="1" t="s">
        <v>12324</v>
      </c>
      <c r="D459" s="1" t="s">
        <v>548</v>
      </c>
      <c r="E459" s="1" t="s">
        <v>520</v>
      </c>
      <c r="F459" s="1" t="s">
        <v>522</v>
      </c>
      <c r="G459" s="1" t="s">
        <v>3269</v>
      </c>
      <c r="H459" s="3">
        <v>44287.0</v>
      </c>
      <c r="I459" s="3">
        <v>44287.0</v>
      </c>
      <c r="J459" s="3">
        <v>44287.0</v>
      </c>
      <c r="K459" s="1" t="s">
        <v>215</v>
      </c>
      <c r="L459" s="1" t="s">
        <v>160</v>
      </c>
      <c r="M459" s="1" t="s">
        <v>216</v>
      </c>
      <c r="N459" s="1" t="s">
        <v>131</v>
      </c>
      <c r="O459" s="4"/>
      <c r="P459" s="1"/>
      <c r="Q459" s="4"/>
      <c r="R459" s="1" t="s">
        <v>137</v>
      </c>
      <c r="S459" s="1" t="s">
        <v>137</v>
      </c>
      <c r="T459" s="1" t="s">
        <v>47</v>
      </c>
      <c r="U459" s="1" t="s">
        <v>4301</v>
      </c>
      <c r="V459" s="4"/>
      <c r="W459" s="4"/>
      <c r="X459" s="4"/>
    </row>
    <row r="460">
      <c r="A460" s="1" t="s">
        <v>12341</v>
      </c>
      <c r="B460" s="1" t="s">
        <v>4293</v>
      </c>
      <c r="C460" s="1" t="s">
        <v>12345</v>
      </c>
      <c r="D460" s="1" t="s">
        <v>1477</v>
      </c>
      <c r="E460" s="1" t="s">
        <v>175</v>
      </c>
      <c r="F460" s="1" t="s">
        <v>763</v>
      </c>
      <c r="G460" s="1" t="s">
        <v>1825</v>
      </c>
      <c r="H460" s="3">
        <v>45693.0</v>
      </c>
      <c r="I460" s="3">
        <v>45735.0</v>
      </c>
      <c r="J460" s="3">
        <v>45735.0</v>
      </c>
      <c r="K460" s="1" t="s">
        <v>215</v>
      </c>
      <c r="L460" s="1" t="s">
        <v>160</v>
      </c>
      <c r="M460" s="1" t="s">
        <v>216</v>
      </c>
      <c r="N460" s="1" t="s">
        <v>131</v>
      </c>
      <c r="O460" s="13"/>
      <c r="P460" s="1"/>
      <c r="Q460" s="4"/>
      <c r="R460" s="1" t="s">
        <v>137</v>
      </c>
      <c r="S460" s="1" t="s">
        <v>137</v>
      </c>
      <c r="T460" s="1" t="s">
        <v>47</v>
      </c>
      <c r="U460" s="1" t="s">
        <v>4301</v>
      </c>
      <c r="V460" s="4"/>
      <c r="W460" s="4"/>
      <c r="X460" s="4"/>
    </row>
    <row r="461">
      <c r="A461" s="1" t="s">
        <v>9003</v>
      </c>
      <c r="B461" s="1" t="s">
        <v>4293</v>
      </c>
      <c r="C461" s="1" t="s">
        <v>12359</v>
      </c>
      <c r="D461" s="1" t="s">
        <v>388</v>
      </c>
      <c r="E461" s="1" t="s">
        <v>438</v>
      </c>
      <c r="F461" s="1" t="s">
        <v>3240</v>
      </c>
      <c r="G461" s="1" t="s">
        <v>12363</v>
      </c>
      <c r="H461" s="3">
        <v>45187.0</v>
      </c>
      <c r="I461" s="3">
        <v>45454.0</v>
      </c>
      <c r="J461" s="3">
        <v>45454.0</v>
      </c>
      <c r="K461" s="1" t="s">
        <v>215</v>
      </c>
      <c r="L461" s="1" t="s">
        <v>160</v>
      </c>
      <c r="M461" s="1" t="s">
        <v>216</v>
      </c>
      <c r="N461" s="1" t="s">
        <v>131</v>
      </c>
      <c r="O461" s="13"/>
      <c r="P461" s="1"/>
      <c r="Q461" s="4"/>
      <c r="R461" s="1" t="s">
        <v>137</v>
      </c>
      <c r="S461" s="1" t="s">
        <v>137</v>
      </c>
      <c r="T461" s="1" t="s">
        <v>47</v>
      </c>
      <c r="U461" s="1" t="s">
        <v>4301</v>
      </c>
      <c r="V461" s="4"/>
      <c r="W461" s="4"/>
      <c r="X461" s="4"/>
    </row>
    <row r="462">
      <c r="A462" s="1" t="s">
        <v>12216</v>
      </c>
      <c r="B462" s="1" t="s">
        <v>4293</v>
      </c>
      <c r="C462" s="1" t="s">
        <v>12375</v>
      </c>
      <c r="D462" s="1" t="s">
        <v>831</v>
      </c>
      <c r="E462" s="1" t="s">
        <v>175</v>
      </c>
      <c r="F462" s="1" t="s">
        <v>585</v>
      </c>
      <c r="G462" s="1" t="s">
        <v>780</v>
      </c>
      <c r="H462" s="3">
        <v>45429.0</v>
      </c>
      <c r="I462" s="3">
        <v>45735.0</v>
      </c>
      <c r="J462" s="3">
        <v>45735.0</v>
      </c>
      <c r="K462" s="1" t="s">
        <v>215</v>
      </c>
      <c r="L462" s="1" t="s">
        <v>160</v>
      </c>
      <c r="M462" s="1" t="s">
        <v>216</v>
      </c>
      <c r="N462" s="1" t="s">
        <v>131</v>
      </c>
      <c r="O462" s="13"/>
      <c r="P462" s="1"/>
      <c r="Q462" s="4"/>
      <c r="R462" s="1" t="s">
        <v>137</v>
      </c>
      <c r="S462" s="1" t="s">
        <v>137</v>
      </c>
      <c r="T462" s="1" t="s">
        <v>47</v>
      </c>
      <c r="U462" s="1" t="s">
        <v>4301</v>
      </c>
      <c r="V462" s="4"/>
      <c r="W462" s="4"/>
      <c r="X462" s="4"/>
    </row>
    <row r="463">
      <c r="A463" s="1" t="s">
        <v>2325</v>
      </c>
      <c r="B463" s="1" t="s">
        <v>116</v>
      </c>
      <c r="C463" s="1" t="s">
        <v>2844</v>
      </c>
      <c r="D463" s="1" t="s">
        <v>960</v>
      </c>
      <c r="E463" s="1" t="s">
        <v>2845</v>
      </c>
      <c r="F463" s="1" t="s">
        <v>2846</v>
      </c>
      <c r="G463" s="1" t="s">
        <v>2848</v>
      </c>
      <c r="H463" s="3">
        <v>46129.0</v>
      </c>
      <c r="I463" s="13"/>
      <c r="J463" s="13"/>
      <c r="K463" s="1" t="s">
        <v>124</v>
      </c>
      <c r="L463" s="1" t="s">
        <v>98</v>
      </c>
      <c r="M463" s="1" t="s">
        <v>162</v>
      </c>
      <c r="N463" s="1" t="s">
        <v>131</v>
      </c>
      <c r="O463" s="13"/>
      <c r="P463" s="1" t="s">
        <v>596</v>
      </c>
      <c r="Q463" s="4"/>
      <c r="R463" s="1" t="s">
        <v>137</v>
      </c>
      <c r="S463" s="1" t="s">
        <v>137</v>
      </c>
      <c r="T463" s="1" t="s">
        <v>47</v>
      </c>
      <c r="U463" s="1" t="s">
        <v>3837</v>
      </c>
      <c r="V463" s="4"/>
      <c r="W463" s="4"/>
      <c r="X463" s="4"/>
    </row>
    <row r="464">
      <c r="A464" s="1" t="s">
        <v>2327</v>
      </c>
      <c r="B464" s="1" t="s">
        <v>116</v>
      </c>
      <c r="C464" s="1" t="s">
        <v>2851</v>
      </c>
      <c r="D464" s="1" t="s">
        <v>1242</v>
      </c>
      <c r="E464" s="1" t="s">
        <v>175</v>
      </c>
      <c r="F464" s="1" t="s">
        <v>177</v>
      </c>
      <c r="G464" s="1" t="s">
        <v>503</v>
      </c>
      <c r="H464" s="3">
        <v>46167.0</v>
      </c>
      <c r="I464" s="3"/>
      <c r="J464" s="3"/>
      <c r="K464" s="1" t="s">
        <v>124</v>
      </c>
      <c r="L464" s="1" t="s">
        <v>71</v>
      </c>
      <c r="M464" s="1" t="s">
        <v>335</v>
      </c>
      <c r="N464" s="1" t="s">
        <v>131</v>
      </c>
      <c r="O464" s="13"/>
      <c r="P464" s="1" t="s">
        <v>803</v>
      </c>
      <c r="Q464" s="4"/>
      <c r="R464" s="1" t="s">
        <v>137</v>
      </c>
      <c r="S464" s="1" t="s">
        <v>137</v>
      </c>
      <c r="T464" s="1" t="s">
        <v>47</v>
      </c>
      <c r="U464" s="1" t="s">
        <v>3845</v>
      </c>
      <c r="V464" s="4"/>
      <c r="W464" s="4"/>
      <c r="X464" s="4"/>
    </row>
    <row r="465">
      <c r="A465" s="1" t="s">
        <v>10986</v>
      </c>
      <c r="B465" s="1" t="s">
        <v>4293</v>
      </c>
      <c r="C465" s="1" t="s">
        <v>12414</v>
      </c>
      <c r="D465" s="1" t="s">
        <v>960</v>
      </c>
      <c r="E465" s="1" t="s">
        <v>292</v>
      </c>
      <c r="F465" s="1" t="s">
        <v>962</v>
      </c>
      <c r="G465" s="1" t="s">
        <v>963</v>
      </c>
      <c r="H465" s="3">
        <v>44348.0</v>
      </c>
      <c r="I465" s="3">
        <v>44348.0</v>
      </c>
      <c r="J465" s="3">
        <v>44348.0</v>
      </c>
      <c r="K465" s="1" t="s">
        <v>215</v>
      </c>
      <c r="L465" s="1" t="s">
        <v>160</v>
      </c>
      <c r="M465" s="1" t="s">
        <v>216</v>
      </c>
      <c r="N465" s="1" t="s">
        <v>131</v>
      </c>
      <c r="O465" s="4"/>
      <c r="P465" s="4"/>
      <c r="Q465" s="4"/>
      <c r="R465" s="1" t="s">
        <v>137</v>
      </c>
      <c r="S465" s="1" t="s">
        <v>137</v>
      </c>
      <c r="T465" s="1" t="s">
        <v>47</v>
      </c>
      <c r="U465" s="1" t="s">
        <v>4301</v>
      </c>
      <c r="V465" s="4"/>
      <c r="W465" s="4"/>
      <c r="X465" s="4"/>
    </row>
    <row r="466">
      <c r="A466" s="1" t="s">
        <v>9939</v>
      </c>
      <c r="B466" s="1" t="s">
        <v>4293</v>
      </c>
      <c r="C466" s="1" t="s">
        <v>2886</v>
      </c>
      <c r="D466" s="1" t="s">
        <v>1469</v>
      </c>
      <c r="E466" s="1" t="s">
        <v>292</v>
      </c>
      <c r="F466" s="1" t="s">
        <v>468</v>
      </c>
      <c r="G466" s="1" t="s">
        <v>998</v>
      </c>
      <c r="H466" s="3">
        <v>44676.0</v>
      </c>
      <c r="I466" s="3">
        <v>44881.0</v>
      </c>
      <c r="J466" s="3">
        <v>44881.0</v>
      </c>
      <c r="K466" s="1" t="s">
        <v>215</v>
      </c>
      <c r="L466" s="1" t="s">
        <v>160</v>
      </c>
      <c r="M466" s="1" t="s">
        <v>216</v>
      </c>
      <c r="N466" s="1" t="s">
        <v>131</v>
      </c>
      <c r="O466" s="13"/>
      <c r="P466" s="1"/>
      <c r="Q466" s="4"/>
      <c r="R466" s="1" t="s">
        <v>137</v>
      </c>
      <c r="S466" s="1" t="s">
        <v>137</v>
      </c>
      <c r="T466" s="1" t="s">
        <v>47</v>
      </c>
      <c r="U466" s="1" t="s">
        <v>4301</v>
      </c>
      <c r="V466" s="4"/>
      <c r="W466" s="4"/>
      <c r="X466" s="4"/>
    </row>
    <row r="467">
      <c r="A467" s="1" t="s">
        <v>11690</v>
      </c>
      <c r="B467" s="1" t="s">
        <v>4293</v>
      </c>
      <c r="C467" s="1" t="s">
        <v>12445</v>
      </c>
      <c r="D467" s="1" t="s">
        <v>388</v>
      </c>
      <c r="E467" s="1" t="s">
        <v>175</v>
      </c>
      <c r="F467" s="1" t="s">
        <v>3128</v>
      </c>
      <c r="G467" s="1" t="s">
        <v>7170</v>
      </c>
      <c r="H467" s="3">
        <v>45106.0</v>
      </c>
      <c r="I467" s="3">
        <v>45233.0</v>
      </c>
      <c r="J467" s="3">
        <v>45233.0</v>
      </c>
      <c r="K467" s="1" t="s">
        <v>215</v>
      </c>
      <c r="L467" s="1" t="s">
        <v>160</v>
      </c>
      <c r="M467" s="1" t="s">
        <v>216</v>
      </c>
      <c r="N467" s="1" t="s">
        <v>131</v>
      </c>
      <c r="O467" s="13"/>
      <c r="P467" s="1"/>
      <c r="Q467" s="4"/>
      <c r="R467" s="1" t="s">
        <v>137</v>
      </c>
      <c r="S467" s="1" t="s">
        <v>137</v>
      </c>
      <c r="T467" s="1" t="s">
        <v>47</v>
      </c>
      <c r="U467" s="1" t="s">
        <v>4301</v>
      </c>
      <c r="V467" s="4"/>
      <c r="W467" s="4"/>
      <c r="X467" s="4"/>
    </row>
    <row r="468">
      <c r="A468" s="1" t="s">
        <v>2905</v>
      </c>
      <c r="B468" s="1" t="s">
        <v>116</v>
      </c>
      <c r="C468" s="1" t="s">
        <v>2894</v>
      </c>
      <c r="D468" s="1" t="s">
        <v>678</v>
      </c>
      <c r="E468" s="1" t="s">
        <v>454</v>
      </c>
      <c r="F468" s="1" t="s">
        <v>612</v>
      </c>
      <c r="G468" s="1" t="s">
        <v>613</v>
      </c>
      <c r="H468" s="3">
        <v>46114.0</v>
      </c>
      <c r="I468" s="3"/>
      <c r="J468" s="3"/>
      <c r="K468" s="1" t="s">
        <v>124</v>
      </c>
      <c r="L468" s="1" t="s">
        <v>98</v>
      </c>
      <c r="M468" s="1" t="s">
        <v>162</v>
      </c>
      <c r="N468" s="1" t="s">
        <v>131</v>
      </c>
      <c r="O468" s="13"/>
      <c r="P468" s="1" t="s">
        <v>741</v>
      </c>
      <c r="Q468" s="4"/>
      <c r="R468" s="1" t="s">
        <v>137</v>
      </c>
      <c r="S468" s="1" t="s">
        <v>137</v>
      </c>
      <c r="T468" s="1" t="s">
        <v>47</v>
      </c>
      <c r="U468" s="1" t="s">
        <v>2912</v>
      </c>
      <c r="V468" s="4"/>
      <c r="W468" s="4"/>
      <c r="X468" s="4"/>
    </row>
    <row r="469">
      <c r="A469" s="1" t="s">
        <v>8114</v>
      </c>
      <c r="B469" s="1" t="s">
        <v>4293</v>
      </c>
      <c r="C469" s="1" t="s">
        <v>12471</v>
      </c>
      <c r="D469" s="1" t="s">
        <v>678</v>
      </c>
      <c r="E469" s="1" t="s">
        <v>454</v>
      </c>
      <c r="F469" s="1" t="s">
        <v>612</v>
      </c>
      <c r="G469" s="1" t="s">
        <v>613</v>
      </c>
      <c r="H469" s="3">
        <v>45415.0</v>
      </c>
      <c r="I469" s="3">
        <v>45596.0</v>
      </c>
      <c r="J469" s="3">
        <v>45596.0</v>
      </c>
      <c r="K469" s="1" t="s">
        <v>215</v>
      </c>
      <c r="L469" s="1" t="s">
        <v>160</v>
      </c>
      <c r="M469" s="1" t="s">
        <v>216</v>
      </c>
      <c r="N469" s="1" t="s">
        <v>131</v>
      </c>
      <c r="O469" s="13"/>
      <c r="P469" s="4"/>
      <c r="Q469" s="4"/>
      <c r="R469" s="1" t="s">
        <v>137</v>
      </c>
      <c r="S469" s="1" t="s">
        <v>137</v>
      </c>
      <c r="T469" s="1" t="s">
        <v>47</v>
      </c>
      <c r="U469" s="1" t="s">
        <v>4301</v>
      </c>
      <c r="V469" s="4"/>
      <c r="W469" s="4"/>
      <c r="X469" s="4"/>
    </row>
    <row r="470">
      <c r="A470" s="1" t="s">
        <v>8301</v>
      </c>
      <c r="B470" s="1" t="s">
        <v>4293</v>
      </c>
      <c r="C470" s="1" t="s">
        <v>12491</v>
      </c>
      <c r="D470" s="1" t="s">
        <v>5847</v>
      </c>
      <c r="E470" s="1" t="s">
        <v>175</v>
      </c>
      <c r="F470" s="1" t="s">
        <v>245</v>
      </c>
      <c r="G470" s="1" t="s">
        <v>8194</v>
      </c>
      <c r="H470" s="3">
        <v>42873.0</v>
      </c>
      <c r="I470" s="3">
        <v>42886.0</v>
      </c>
      <c r="J470" s="3">
        <v>42886.0</v>
      </c>
      <c r="K470" s="1" t="s">
        <v>215</v>
      </c>
      <c r="L470" s="1" t="s">
        <v>160</v>
      </c>
      <c r="M470" s="1" t="s">
        <v>216</v>
      </c>
      <c r="N470" s="1" t="s">
        <v>131</v>
      </c>
      <c r="O470" s="13"/>
      <c r="P470" s="4"/>
      <c r="Q470" s="4"/>
      <c r="R470" s="1" t="s">
        <v>137</v>
      </c>
      <c r="S470" s="1" t="s">
        <v>137</v>
      </c>
      <c r="T470" s="1" t="s">
        <v>47</v>
      </c>
      <c r="U470" s="1" t="s">
        <v>4301</v>
      </c>
      <c r="V470" s="4"/>
      <c r="W470" s="4"/>
      <c r="X470" s="4"/>
    </row>
    <row r="471">
      <c r="A471" s="1" t="s">
        <v>10441</v>
      </c>
      <c r="B471" s="1" t="s">
        <v>4293</v>
      </c>
      <c r="C471" s="1" t="s">
        <v>12504</v>
      </c>
      <c r="D471" s="1" t="s">
        <v>1477</v>
      </c>
      <c r="E471" s="1" t="s">
        <v>292</v>
      </c>
      <c r="F471" s="1" t="s">
        <v>494</v>
      </c>
      <c r="G471" s="1" t="s">
        <v>1362</v>
      </c>
      <c r="H471" s="3">
        <v>45765.0</v>
      </c>
      <c r="I471" s="3">
        <v>45936.0</v>
      </c>
      <c r="J471" s="3">
        <v>45936.0</v>
      </c>
      <c r="K471" s="1" t="s">
        <v>215</v>
      </c>
      <c r="L471" s="1" t="s">
        <v>160</v>
      </c>
      <c r="M471" s="1" t="s">
        <v>216</v>
      </c>
      <c r="N471" s="1" t="s">
        <v>131</v>
      </c>
      <c r="O471" s="13"/>
      <c r="P471" s="4"/>
      <c r="Q471" s="4"/>
      <c r="R471" s="1" t="s">
        <v>137</v>
      </c>
      <c r="S471" s="1" t="s">
        <v>137</v>
      </c>
      <c r="T471" s="1" t="s">
        <v>47</v>
      </c>
      <c r="U471" s="1" t="s">
        <v>4301</v>
      </c>
      <c r="V471" s="4"/>
      <c r="W471" s="4"/>
      <c r="X471" s="4"/>
    </row>
    <row r="472">
      <c r="A472" s="1" t="s">
        <v>12192</v>
      </c>
      <c r="B472" s="1" t="s">
        <v>4293</v>
      </c>
      <c r="C472" s="1" t="s">
        <v>2931</v>
      </c>
      <c r="D472" s="1" t="s">
        <v>1477</v>
      </c>
      <c r="E472" s="1" t="s">
        <v>292</v>
      </c>
      <c r="F472" s="1" t="s">
        <v>494</v>
      </c>
      <c r="G472" s="1" t="s">
        <v>1362</v>
      </c>
      <c r="H472" s="3">
        <v>45888.0</v>
      </c>
      <c r="I472" s="3">
        <v>46085.0</v>
      </c>
      <c r="J472" s="3">
        <v>46085.0</v>
      </c>
      <c r="K472" s="1" t="s">
        <v>215</v>
      </c>
      <c r="L472" s="1" t="s">
        <v>160</v>
      </c>
      <c r="M472" s="1" t="s">
        <v>216</v>
      </c>
      <c r="N472" s="1" t="s">
        <v>131</v>
      </c>
      <c r="O472" s="13"/>
      <c r="P472" s="4"/>
      <c r="Q472" s="4"/>
      <c r="R472" s="1" t="s">
        <v>137</v>
      </c>
      <c r="S472" s="1" t="s">
        <v>137</v>
      </c>
      <c r="T472" s="1" t="s">
        <v>47</v>
      </c>
      <c r="U472" s="1" t="s">
        <v>4301</v>
      </c>
      <c r="V472" s="4"/>
      <c r="W472" s="4"/>
      <c r="X472" s="4"/>
    </row>
    <row r="473">
      <c r="A473" s="1" t="s">
        <v>10103</v>
      </c>
      <c r="B473" s="1" t="s">
        <v>4293</v>
      </c>
      <c r="C473" s="1" t="s">
        <v>12535</v>
      </c>
      <c r="D473" s="1" t="s">
        <v>1477</v>
      </c>
      <c r="E473" s="1" t="s">
        <v>292</v>
      </c>
      <c r="F473" s="1" t="s">
        <v>494</v>
      </c>
      <c r="G473" s="1" t="s">
        <v>1362</v>
      </c>
      <c r="H473" s="3">
        <v>45883.0</v>
      </c>
      <c r="I473" s="3">
        <v>45980.0</v>
      </c>
      <c r="J473" s="3">
        <v>45980.0</v>
      </c>
      <c r="K473" s="1" t="s">
        <v>215</v>
      </c>
      <c r="L473" s="1" t="s">
        <v>160</v>
      </c>
      <c r="M473" s="1" t="s">
        <v>216</v>
      </c>
      <c r="N473" s="1" t="s">
        <v>131</v>
      </c>
      <c r="O473" s="13"/>
      <c r="P473" s="1"/>
      <c r="Q473" s="4"/>
      <c r="R473" s="1" t="s">
        <v>137</v>
      </c>
      <c r="S473" s="1" t="s">
        <v>137</v>
      </c>
      <c r="T473" s="1" t="s">
        <v>47</v>
      </c>
      <c r="U473" s="1" t="s">
        <v>4301</v>
      </c>
      <c r="V473" s="4"/>
      <c r="W473" s="4"/>
      <c r="X473" s="4"/>
    </row>
    <row r="474">
      <c r="A474" s="1" t="s">
        <v>8960</v>
      </c>
      <c r="B474" s="1" t="s">
        <v>4293</v>
      </c>
      <c r="C474" s="1" t="s">
        <v>12557</v>
      </c>
      <c r="D474" s="1" t="s">
        <v>1477</v>
      </c>
      <c r="E474" s="1" t="s">
        <v>292</v>
      </c>
      <c r="F474" s="1" t="s">
        <v>494</v>
      </c>
      <c r="G474" s="1" t="s">
        <v>496</v>
      </c>
      <c r="H474" s="3">
        <v>44994.0</v>
      </c>
      <c r="I474" s="3">
        <v>45218.0</v>
      </c>
      <c r="J474" s="3">
        <v>45218.0</v>
      </c>
      <c r="K474" s="1" t="s">
        <v>215</v>
      </c>
      <c r="L474" s="1" t="s">
        <v>160</v>
      </c>
      <c r="M474" s="1" t="s">
        <v>216</v>
      </c>
      <c r="N474" s="1" t="s">
        <v>131</v>
      </c>
      <c r="O474" s="13"/>
      <c r="P474" s="1"/>
      <c r="Q474" s="4"/>
      <c r="R474" s="1" t="s">
        <v>137</v>
      </c>
      <c r="S474" s="1" t="s">
        <v>137</v>
      </c>
      <c r="T474" s="1" t="s">
        <v>47</v>
      </c>
      <c r="U474" s="1" t="s">
        <v>4301</v>
      </c>
      <c r="V474" s="4"/>
      <c r="W474" s="4"/>
      <c r="X474" s="4"/>
    </row>
    <row r="475">
      <c r="A475" s="1" t="s">
        <v>7568</v>
      </c>
      <c r="B475" s="1" t="s">
        <v>4293</v>
      </c>
      <c r="C475" s="1" t="s">
        <v>12586</v>
      </c>
      <c r="D475" s="1" t="s">
        <v>1823</v>
      </c>
      <c r="E475" s="1" t="s">
        <v>292</v>
      </c>
      <c r="F475" s="1" t="s">
        <v>293</v>
      </c>
      <c r="G475" s="1" t="s">
        <v>2091</v>
      </c>
      <c r="H475" s="3">
        <v>45650.0</v>
      </c>
      <c r="I475" s="3">
        <v>45945.0</v>
      </c>
      <c r="J475" s="3">
        <v>45945.0</v>
      </c>
      <c r="K475" s="1" t="s">
        <v>215</v>
      </c>
      <c r="L475" s="1" t="s">
        <v>160</v>
      </c>
      <c r="M475" s="1" t="s">
        <v>216</v>
      </c>
      <c r="N475" s="1" t="s">
        <v>131</v>
      </c>
      <c r="O475" s="13"/>
      <c r="P475" s="4"/>
      <c r="Q475" s="4"/>
      <c r="R475" s="1" t="s">
        <v>137</v>
      </c>
      <c r="S475" s="1" t="s">
        <v>137</v>
      </c>
      <c r="T475" s="1" t="s">
        <v>47</v>
      </c>
      <c r="U475" s="1" t="s">
        <v>4301</v>
      </c>
      <c r="V475" s="4"/>
      <c r="W475" s="4"/>
      <c r="X475" s="4"/>
    </row>
    <row r="476">
      <c r="A476" s="1" t="s">
        <v>11783</v>
      </c>
      <c r="B476" s="1" t="s">
        <v>4293</v>
      </c>
      <c r="C476" s="1" t="s">
        <v>12613</v>
      </c>
      <c r="D476" s="1" t="s">
        <v>1477</v>
      </c>
      <c r="E476" s="1" t="s">
        <v>153</v>
      </c>
      <c r="F476" s="1" t="s">
        <v>155</v>
      </c>
      <c r="G476" s="1" t="s">
        <v>3617</v>
      </c>
      <c r="H476" s="3">
        <v>45636.0</v>
      </c>
      <c r="I476" s="3">
        <v>45636.0</v>
      </c>
      <c r="J476" s="3">
        <v>45636.0</v>
      </c>
      <c r="K476" s="1" t="s">
        <v>215</v>
      </c>
      <c r="L476" s="1" t="s">
        <v>160</v>
      </c>
      <c r="M476" s="1" t="s">
        <v>216</v>
      </c>
      <c r="N476" s="1" t="s">
        <v>131</v>
      </c>
      <c r="O476" s="4"/>
      <c r="P476" s="1"/>
      <c r="Q476" s="4"/>
      <c r="R476" s="1" t="s">
        <v>137</v>
      </c>
      <c r="S476" s="1" t="s">
        <v>137</v>
      </c>
      <c r="T476" s="1" t="s">
        <v>47</v>
      </c>
      <c r="U476" s="1" t="s">
        <v>4301</v>
      </c>
      <c r="V476" s="4"/>
      <c r="W476" s="4"/>
      <c r="X476" s="4"/>
    </row>
    <row r="477">
      <c r="A477" s="1" t="s">
        <v>10849</v>
      </c>
      <c r="B477" s="1" t="s">
        <v>4293</v>
      </c>
      <c r="C477" s="1" t="s">
        <v>2939</v>
      </c>
      <c r="D477" s="1" t="s">
        <v>1823</v>
      </c>
      <c r="E477" s="1" t="s">
        <v>292</v>
      </c>
      <c r="F477" s="1" t="s">
        <v>576</v>
      </c>
      <c r="G477" s="1" t="s">
        <v>2297</v>
      </c>
      <c r="H477" s="3">
        <v>45642.0</v>
      </c>
      <c r="I477" s="3">
        <v>45832.0</v>
      </c>
      <c r="J477" s="3">
        <v>45832.0</v>
      </c>
      <c r="K477" s="1" t="s">
        <v>215</v>
      </c>
      <c r="L477" s="1" t="s">
        <v>160</v>
      </c>
      <c r="M477" s="1" t="s">
        <v>216</v>
      </c>
      <c r="N477" s="1" t="s">
        <v>131</v>
      </c>
      <c r="O477" s="13"/>
      <c r="P477" s="1"/>
      <c r="Q477" s="4"/>
      <c r="R477" s="1" t="s">
        <v>137</v>
      </c>
      <c r="S477" s="1" t="s">
        <v>137</v>
      </c>
      <c r="T477" s="1" t="s">
        <v>47</v>
      </c>
      <c r="U477" s="1" t="s">
        <v>4301</v>
      </c>
      <c r="V477" s="4"/>
      <c r="W477" s="4"/>
      <c r="X477" s="4"/>
    </row>
    <row r="478">
      <c r="A478" s="1" t="s">
        <v>4716</v>
      </c>
      <c r="B478" s="1" t="s">
        <v>116</v>
      </c>
      <c r="C478" s="1" t="s">
        <v>12666</v>
      </c>
      <c r="D478" s="1" t="s">
        <v>678</v>
      </c>
      <c r="E478" s="1" t="s">
        <v>3379</v>
      </c>
      <c r="F478" s="1" t="s">
        <v>3380</v>
      </c>
      <c r="G478" s="1" t="s">
        <v>3380</v>
      </c>
      <c r="H478" s="3">
        <v>46254.0</v>
      </c>
      <c r="I478" s="3">
        <v>46399.0</v>
      </c>
      <c r="J478" s="3"/>
      <c r="K478" s="1" t="s">
        <v>124</v>
      </c>
      <c r="L478" s="1" t="s">
        <v>98</v>
      </c>
      <c r="M478" s="1" t="s">
        <v>162</v>
      </c>
      <c r="N478" s="1" t="s">
        <v>131</v>
      </c>
      <c r="O478" s="13"/>
      <c r="P478" s="1" t="s">
        <v>12680</v>
      </c>
      <c r="Q478" s="4"/>
      <c r="R478" s="1" t="s">
        <v>137</v>
      </c>
      <c r="S478" s="1" t="s">
        <v>137</v>
      </c>
      <c r="T478" s="1" t="s">
        <v>47</v>
      </c>
      <c r="U478" s="1" t="s">
        <v>4727</v>
      </c>
      <c r="V478" s="4"/>
      <c r="W478" s="4"/>
      <c r="X478" s="4"/>
    </row>
    <row r="479">
      <c r="A479" s="1" t="s">
        <v>6713</v>
      </c>
      <c r="B479" s="1" t="s">
        <v>4293</v>
      </c>
      <c r="C479" s="1" t="s">
        <v>2944</v>
      </c>
      <c r="D479" s="1" t="s">
        <v>273</v>
      </c>
      <c r="E479" s="1" t="s">
        <v>330</v>
      </c>
      <c r="F479" s="1" t="s">
        <v>356</v>
      </c>
      <c r="G479" s="1" t="s">
        <v>429</v>
      </c>
      <c r="H479" s="3">
        <v>43675.0</v>
      </c>
      <c r="I479" s="3">
        <v>43936.0</v>
      </c>
      <c r="J479" s="3">
        <v>43936.0</v>
      </c>
      <c r="K479" s="1" t="s">
        <v>215</v>
      </c>
      <c r="L479" s="1" t="s">
        <v>160</v>
      </c>
      <c r="M479" s="1" t="s">
        <v>216</v>
      </c>
      <c r="N479" s="1" t="s">
        <v>131</v>
      </c>
      <c r="O479" s="13"/>
      <c r="P479" s="4"/>
      <c r="Q479" s="4"/>
      <c r="R479" s="1" t="s">
        <v>137</v>
      </c>
      <c r="S479" s="1" t="s">
        <v>137</v>
      </c>
      <c r="T479" s="1" t="s">
        <v>47</v>
      </c>
      <c r="U479" s="1" t="s">
        <v>4301</v>
      </c>
      <c r="V479" s="4"/>
      <c r="W479" s="4"/>
      <c r="X479" s="4"/>
    </row>
    <row r="480">
      <c r="A480" s="1" t="s">
        <v>7521</v>
      </c>
      <c r="B480" s="1" t="s">
        <v>4293</v>
      </c>
      <c r="C480" s="1" t="s">
        <v>12712</v>
      </c>
      <c r="D480" s="1" t="s">
        <v>1477</v>
      </c>
      <c r="E480" s="1" t="s">
        <v>292</v>
      </c>
      <c r="F480" s="1" t="s">
        <v>962</v>
      </c>
      <c r="G480" s="1" t="s">
        <v>963</v>
      </c>
      <c r="H480" s="3">
        <v>45587.0</v>
      </c>
      <c r="I480" s="3">
        <v>45791.0</v>
      </c>
      <c r="J480" s="3">
        <v>45791.0</v>
      </c>
      <c r="K480" s="1" t="s">
        <v>215</v>
      </c>
      <c r="L480" s="1" t="s">
        <v>160</v>
      </c>
      <c r="M480" s="1" t="s">
        <v>216</v>
      </c>
      <c r="N480" s="1" t="s">
        <v>131</v>
      </c>
      <c r="O480" s="13"/>
      <c r="P480" s="1"/>
      <c r="Q480" s="4"/>
      <c r="R480" s="1" t="s">
        <v>137</v>
      </c>
      <c r="S480" s="1" t="s">
        <v>137</v>
      </c>
      <c r="T480" s="1" t="s">
        <v>47</v>
      </c>
      <c r="U480" s="1" t="s">
        <v>4301</v>
      </c>
      <c r="V480" s="4"/>
      <c r="W480" s="4"/>
      <c r="X480" s="4"/>
    </row>
    <row r="481">
      <c r="A481" s="1" t="s">
        <v>8972</v>
      </c>
      <c r="B481" s="1" t="s">
        <v>4293</v>
      </c>
      <c r="C481" s="1" t="s">
        <v>12741</v>
      </c>
      <c r="D481" s="1" t="s">
        <v>1798</v>
      </c>
      <c r="E481" s="1" t="s">
        <v>292</v>
      </c>
      <c r="F481" s="1" t="s">
        <v>962</v>
      </c>
      <c r="G481" s="1" t="s">
        <v>1969</v>
      </c>
      <c r="H481" s="3">
        <v>45250.0</v>
      </c>
      <c r="I481" s="3">
        <v>45499.0</v>
      </c>
      <c r="J481" s="3">
        <v>45499.0</v>
      </c>
      <c r="K481" s="1" t="s">
        <v>215</v>
      </c>
      <c r="L481" s="1" t="s">
        <v>160</v>
      </c>
      <c r="M481" s="1" t="s">
        <v>216</v>
      </c>
      <c r="N481" s="1" t="s">
        <v>131</v>
      </c>
      <c r="O481" s="13"/>
      <c r="P481" s="1"/>
      <c r="Q481" s="4"/>
      <c r="R481" s="1" t="s">
        <v>137</v>
      </c>
      <c r="S481" s="1" t="s">
        <v>137</v>
      </c>
      <c r="T481" s="1" t="s">
        <v>47</v>
      </c>
      <c r="U481" s="1" t="s">
        <v>4301</v>
      </c>
      <c r="V481" s="4"/>
      <c r="W481" s="4"/>
      <c r="X481" s="4"/>
    </row>
    <row r="482">
      <c r="A482" s="1" t="s">
        <v>2739</v>
      </c>
      <c r="B482" s="1" t="s">
        <v>2964</v>
      </c>
      <c r="C482" s="1" t="s">
        <v>2965</v>
      </c>
      <c r="D482" s="1" t="s">
        <v>1469</v>
      </c>
      <c r="E482" s="1" t="s">
        <v>438</v>
      </c>
      <c r="F482" s="1" t="s">
        <v>440</v>
      </c>
      <c r="G482" s="1" t="s">
        <v>441</v>
      </c>
      <c r="H482" s="3">
        <v>46189.0</v>
      </c>
      <c r="I482" s="3">
        <v>46374.0</v>
      </c>
      <c r="J482" s="3"/>
      <c r="K482" s="1" t="s">
        <v>124</v>
      </c>
      <c r="L482" s="1" t="s">
        <v>98</v>
      </c>
      <c r="M482" s="1" t="s">
        <v>162</v>
      </c>
      <c r="N482" s="1" t="s">
        <v>365</v>
      </c>
      <c r="O482" s="13"/>
      <c r="P482" s="1" t="s">
        <v>1591</v>
      </c>
      <c r="Q482" s="4"/>
      <c r="R482" s="1" t="s">
        <v>137</v>
      </c>
      <c r="S482" s="1" t="s">
        <v>137</v>
      </c>
      <c r="T482" s="1" t="s">
        <v>47</v>
      </c>
      <c r="U482" s="1" t="s">
        <v>4348</v>
      </c>
      <c r="V482" s="4"/>
      <c r="W482" s="4"/>
      <c r="X482" s="4"/>
    </row>
    <row r="483">
      <c r="A483" s="1" t="s">
        <v>12396</v>
      </c>
      <c r="B483" s="1" t="s">
        <v>4293</v>
      </c>
      <c r="C483" s="1" t="s">
        <v>12791</v>
      </c>
      <c r="D483" s="1" t="s">
        <v>518</v>
      </c>
      <c r="E483" s="1" t="s">
        <v>520</v>
      </c>
      <c r="F483" s="1" t="s">
        <v>522</v>
      </c>
      <c r="G483" s="1" t="s">
        <v>6067</v>
      </c>
      <c r="H483" s="3">
        <v>44201.0</v>
      </c>
      <c r="I483" s="3">
        <v>44271.0</v>
      </c>
      <c r="J483" s="3">
        <v>44271.0</v>
      </c>
      <c r="K483" s="1" t="s">
        <v>215</v>
      </c>
      <c r="L483" s="1" t="s">
        <v>160</v>
      </c>
      <c r="M483" s="1" t="s">
        <v>216</v>
      </c>
      <c r="N483" s="1" t="s">
        <v>131</v>
      </c>
      <c r="O483" s="13"/>
      <c r="P483" s="4"/>
      <c r="Q483" s="4"/>
      <c r="R483" s="1" t="s">
        <v>137</v>
      </c>
      <c r="S483" s="1" t="s">
        <v>137</v>
      </c>
      <c r="T483" s="1" t="s">
        <v>47</v>
      </c>
      <c r="U483" s="1" t="s">
        <v>4301</v>
      </c>
      <c r="V483" s="4"/>
      <c r="W483" s="4"/>
      <c r="X483" s="4"/>
    </row>
    <row r="484">
      <c r="A484" s="1" t="s">
        <v>12812</v>
      </c>
      <c r="B484" s="1" t="s">
        <v>4293</v>
      </c>
      <c r="C484" s="1" t="s">
        <v>2978</v>
      </c>
      <c r="D484" s="1" t="s">
        <v>417</v>
      </c>
      <c r="E484" s="1" t="s">
        <v>292</v>
      </c>
      <c r="F484" s="1" t="s">
        <v>576</v>
      </c>
      <c r="G484" s="1" t="s">
        <v>1603</v>
      </c>
      <c r="H484" s="3">
        <v>45947.0</v>
      </c>
      <c r="I484" s="3"/>
      <c r="J484" s="3"/>
      <c r="K484" s="1" t="s">
        <v>124</v>
      </c>
      <c r="L484" s="1" t="s">
        <v>160</v>
      </c>
      <c r="M484" s="1" t="s">
        <v>253</v>
      </c>
      <c r="N484" s="1" t="s">
        <v>131</v>
      </c>
      <c r="O484" s="13"/>
      <c r="P484" s="4"/>
      <c r="Q484" s="4"/>
      <c r="R484" s="1" t="s">
        <v>137</v>
      </c>
      <c r="S484" s="1" t="s">
        <v>137</v>
      </c>
      <c r="T484" s="1" t="s">
        <v>47</v>
      </c>
      <c r="U484" s="1" t="s">
        <v>4301</v>
      </c>
      <c r="V484" s="4"/>
      <c r="W484" s="4"/>
      <c r="X484" s="4"/>
    </row>
    <row r="485">
      <c r="A485" s="1" t="s">
        <v>11465</v>
      </c>
      <c r="B485" s="1" t="s">
        <v>4293</v>
      </c>
      <c r="C485" s="1" t="s">
        <v>12838</v>
      </c>
      <c r="D485" s="1" t="s">
        <v>243</v>
      </c>
      <c r="E485" s="1" t="s">
        <v>292</v>
      </c>
      <c r="F485" s="1" t="s">
        <v>962</v>
      </c>
      <c r="G485" s="1" t="s">
        <v>2607</v>
      </c>
      <c r="H485" s="3">
        <v>44272.0</v>
      </c>
      <c r="I485" s="3">
        <v>44545.0</v>
      </c>
      <c r="J485" s="3">
        <v>44545.0</v>
      </c>
      <c r="K485" s="1" t="s">
        <v>215</v>
      </c>
      <c r="L485" s="1" t="s">
        <v>160</v>
      </c>
      <c r="M485" s="1" t="s">
        <v>216</v>
      </c>
      <c r="N485" s="1" t="s">
        <v>131</v>
      </c>
      <c r="O485" s="13"/>
      <c r="P485" s="4"/>
      <c r="Q485" s="4"/>
      <c r="R485" s="1" t="s">
        <v>137</v>
      </c>
      <c r="S485" s="1" t="s">
        <v>137</v>
      </c>
      <c r="T485" s="1" t="s">
        <v>47</v>
      </c>
      <c r="U485" s="1" t="s">
        <v>4301</v>
      </c>
      <c r="V485" s="4"/>
      <c r="W485" s="4"/>
      <c r="X485" s="4"/>
    </row>
    <row r="486">
      <c r="A486" s="1" t="s">
        <v>8581</v>
      </c>
      <c r="B486" s="1" t="s">
        <v>4293</v>
      </c>
      <c r="C486" s="1" t="s">
        <v>12854</v>
      </c>
      <c r="D486" s="1" t="s">
        <v>243</v>
      </c>
      <c r="E486" s="1" t="s">
        <v>292</v>
      </c>
      <c r="F486" s="1" t="s">
        <v>962</v>
      </c>
      <c r="G486" s="1" t="s">
        <v>5600</v>
      </c>
      <c r="H486" s="3">
        <v>43545.0</v>
      </c>
      <c r="I486" s="3">
        <v>43525.0</v>
      </c>
      <c r="J486" s="3">
        <v>43525.0</v>
      </c>
      <c r="K486" s="1" t="s">
        <v>215</v>
      </c>
      <c r="L486" s="1" t="s">
        <v>160</v>
      </c>
      <c r="M486" s="1" t="s">
        <v>216</v>
      </c>
      <c r="N486" s="1" t="s">
        <v>131</v>
      </c>
      <c r="O486" s="13"/>
      <c r="P486" s="4"/>
      <c r="Q486" s="4"/>
      <c r="R486" s="1" t="s">
        <v>137</v>
      </c>
      <c r="S486" s="1" t="s">
        <v>137</v>
      </c>
      <c r="T486" s="1" t="s">
        <v>47</v>
      </c>
      <c r="U486" s="1" t="s">
        <v>4301</v>
      </c>
      <c r="V486" s="4"/>
      <c r="W486" s="4"/>
      <c r="X486" s="4"/>
    </row>
    <row r="487">
      <c r="A487" s="1" t="s">
        <v>8572</v>
      </c>
      <c r="B487" s="1" t="s">
        <v>4293</v>
      </c>
      <c r="C487" s="1" t="s">
        <v>12870</v>
      </c>
      <c r="D487" s="1" t="s">
        <v>243</v>
      </c>
      <c r="E487" s="1" t="s">
        <v>175</v>
      </c>
      <c r="F487" s="1" t="s">
        <v>177</v>
      </c>
      <c r="G487" s="1" t="s">
        <v>1778</v>
      </c>
      <c r="H487" s="3">
        <v>43158.0</v>
      </c>
      <c r="I487" s="3">
        <v>43210.0</v>
      </c>
      <c r="J487" s="3">
        <v>43210.0</v>
      </c>
      <c r="K487" s="1" t="s">
        <v>215</v>
      </c>
      <c r="L487" s="1" t="s">
        <v>160</v>
      </c>
      <c r="M487" s="1" t="s">
        <v>216</v>
      </c>
      <c r="N487" s="1" t="s">
        <v>131</v>
      </c>
      <c r="O487" s="13"/>
      <c r="P487" s="4"/>
      <c r="Q487" s="4"/>
      <c r="R487" s="1" t="s">
        <v>137</v>
      </c>
      <c r="S487" s="1" t="s">
        <v>137</v>
      </c>
      <c r="T487" s="1" t="s">
        <v>47</v>
      </c>
      <c r="U487" s="1" t="s">
        <v>4301</v>
      </c>
      <c r="V487" s="4"/>
      <c r="W487" s="4"/>
      <c r="X487" s="4"/>
    </row>
    <row r="488">
      <c r="A488" s="1" t="s">
        <v>8360</v>
      </c>
      <c r="B488" s="1" t="s">
        <v>4293</v>
      </c>
      <c r="C488" s="1" t="s">
        <v>12890</v>
      </c>
      <c r="D488" s="1" t="s">
        <v>960</v>
      </c>
      <c r="E488" s="1" t="s">
        <v>292</v>
      </c>
      <c r="F488" s="1" t="s">
        <v>494</v>
      </c>
      <c r="G488" s="1" t="s">
        <v>1362</v>
      </c>
      <c r="H488" s="3">
        <v>44498.0</v>
      </c>
      <c r="I488" s="3">
        <v>44602.0</v>
      </c>
      <c r="J488" s="3">
        <v>44602.0</v>
      </c>
      <c r="K488" s="1" t="s">
        <v>215</v>
      </c>
      <c r="L488" s="1" t="s">
        <v>160</v>
      </c>
      <c r="M488" s="1" t="s">
        <v>216</v>
      </c>
      <c r="N488" s="1" t="s">
        <v>131</v>
      </c>
      <c r="O488" s="13"/>
      <c r="P488" s="4"/>
      <c r="Q488" s="4"/>
      <c r="R488" s="1" t="s">
        <v>137</v>
      </c>
      <c r="S488" s="1" t="s">
        <v>137</v>
      </c>
      <c r="T488" s="1" t="s">
        <v>47</v>
      </c>
      <c r="U488" s="1" t="s">
        <v>4301</v>
      </c>
      <c r="V488" s="4"/>
      <c r="W488" s="4"/>
      <c r="X488" s="4"/>
    </row>
    <row r="489">
      <c r="A489" s="1" t="s">
        <v>9540</v>
      </c>
      <c r="B489" s="1" t="s">
        <v>4293</v>
      </c>
      <c r="C489" s="1" t="s">
        <v>12911</v>
      </c>
      <c r="D489" s="1" t="s">
        <v>1469</v>
      </c>
      <c r="E489" s="1" t="s">
        <v>2621</v>
      </c>
      <c r="F489" s="1" t="s">
        <v>3312</v>
      </c>
      <c r="G489" s="1" t="s">
        <v>3313</v>
      </c>
      <c r="H489" s="3">
        <v>45586.0</v>
      </c>
      <c r="I489" s="3">
        <v>45859.0</v>
      </c>
      <c r="J489" s="3">
        <v>45859.0</v>
      </c>
      <c r="K489" s="1" t="s">
        <v>215</v>
      </c>
      <c r="L489" s="1" t="s">
        <v>160</v>
      </c>
      <c r="M489" s="1" t="s">
        <v>216</v>
      </c>
      <c r="N489" s="1" t="s">
        <v>131</v>
      </c>
      <c r="O489" s="13"/>
      <c r="P489" s="4"/>
      <c r="Q489" s="4"/>
      <c r="R489" s="1" t="s">
        <v>137</v>
      </c>
      <c r="S489" s="1" t="s">
        <v>137</v>
      </c>
      <c r="T489" s="1" t="s">
        <v>47</v>
      </c>
      <c r="U489" s="1" t="s">
        <v>4301</v>
      </c>
      <c r="V489" s="4"/>
      <c r="W489" s="4"/>
      <c r="X489" s="4"/>
    </row>
    <row r="490">
      <c r="A490" s="1" t="s">
        <v>11071</v>
      </c>
      <c r="B490" s="1" t="s">
        <v>4293</v>
      </c>
      <c r="C490" s="1" t="s">
        <v>12933</v>
      </c>
      <c r="D490" s="1" t="s">
        <v>273</v>
      </c>
      <c r="E490" s="1" t="s">
        <v>330</v>
      </c>
      <c r="F490" s="1" t="s">
        <v>356</v>
      </c>
      <c r="G490" s="1" t="s">
        <v>875</v>
      </c>
      <c r="H490" s="3">
        <v>45190.0</v>
      </c>
      <c r="I490" s="3">
        <v>45746.0</v>
      </c>
      <c r="J490" s="3">
        <v>45746.0</v>
      </c>
      <c r="K490" s="1" t="s">
        <v>215</v>
      </c>
      <c r="L490" s="1" t="s">
        <v>160</v>
      </c>
      <c r="M490" s="1" t="s">
        <v>216</v>
      </c>
      <c r="N490" s="1" t="s">
        <v>131</v>
      </c>
      <c r="O490" s="13"/>
      <c r="P490" s="4"/>
      <c r="Q490" s="4"/>
      <c r="R490" s="1" t="s">
        <v>137</v>
      </c>
      <c r="S490" s="1" t="s">
        <v>137</v>
      </c>
      <c r="T490" s="1" t="s">
        <v>47</v>
      </c>
      <c r="U490" s="1" t="s">
        <v>4301</v>
      </c>
      <c r="V490" s="4"/>
      <c r="W490" s="4"/>
      <c r="X490" s="4"/>
    </row>
    <row r="491">
      <c r="A491" s="1" t="s">
        <v>7615</v>
      </c>
      <c r="B491" s="1" t="s">
        <v>4293</v>
      </c>
      <c r="C491" s="1" t="s">
        <v>12950</v>
      </c>
      <c r="D491" s="1" t="s">
        <v>313</v>
      </c>
      <c r="E491" s="1" t="s">
        <v>292</v>
      </c>
      <c r="F491" s="1" t="s">
        <v>962</v>
      </c>
      <c r="G491" s="1" t="s">
        <v>4470</v>
      </c>
      <c r="H491" s="3">
        <v>45014.0</v>
      </c>
      <c r="I491" s="3">
        <v>45016.0</v>
      </c>
      <c r="J491" s="3">
        <v>45016.0</v>
      </c>
      <c r="K491" s="1" t="s">
        <v>215</v>
      </c>
      <c r="L491" s="1" t="s">
        <v>160</v>
      </c>
      <c r="M491" s="1" t="s">
        <v>216</v>
      </c>
      <c r="N491" s="1" t="s">
        <v>131</v>
      </c>
      <c r="O491" s="13"/>
      <c r="P491" s="4"/>
      <c r="Q491" s="4"/>
      <c r="R491" s="1" t="s">
        <v>137</v>
      </c>
      <c r="S491" s="1" t="s">
        <v>137</v>
      </c>
      <c r="T491" s="1" t="s">
        <v>47</v>
      </c>
      <c r="U491" s="1" t="s">
        <v>4301</v>
      </c>
      <c r="V491" s="4"/>
      <c r="W491" s="4"/>
      <c r="X491" s="4"/>
    </row>
    <row r="492">
      <c r="A492" s="1" t="s">
        <v>9310</v>
      </c>
      <c r="B492" s="1" t="s">
        <v>4293</v>
      </c>
      <c r="C492" s="1" t="s">
        <v>1573</v>
      </c>
      <c r="D492" s="1" t="s">
        <v>313</v>
      </c>
      <c r="E492" s="1" t="s">
        <v>292</v>
      </c>
      <c r="F492" s="1" t="s">
        <v>962</v>
      </c>
      <c r="G492" s="1" t="s">
        <v>2048</v>
      </c>
      <c r="H492" s="3">
        <v>45020.0</v>
      </c>
      <c r="I492" s="3">
        <v>45350.0</v>
      </c>
      <c r="J492" s="3">
        <v>45350.0</v>
      </c>
      <c r="K492" s="1" t="s">
        <v>215</v>
      </c>
      <c r="L492" s="1" t="s">
        <v>160</v>
      </c>
      <c r="M492" s="1" t="s">
        <v>216</v>
      </c>
      <c r="N492" s="1" t="s">
        <v>131</v>
      </c>
      <c r="O492" s="13"/>
      <c r="P492" s="4"/>
      <c r="Q492" s="4"/>
      <c r="R492" s="1" t="s">
        <v>137</v>
      </c>
      <c r="S492" s="1" t="s">
        <v>137</v>
      </c>
      <c r="T492" s="1" t="s">
        <v>47</v>
      </c>
      <c r="U492" s="1" t="s">
        <v>4301</v>
      </c>
      <c r="V492" s="4"/>
      <c r="W492" s="4"/>
      <c r="X492" s="4"/>
    </row>
    <row r="493">
      <c r="A493" s="1" t="s">
        <v>11419</v>
      </c>
      <c r="B493" s="1" t="s">
        <v>4293</v>
      </c>
      <c r="C493" s="1" t="s">
        <v>12990</v>
      </c>
      <c r="D493" s="1" t="s">
        <v>313</v>
      </c>
      <c r="E493" s="1" t="s">
        <v>3379</v>
      </c>
      <c r="F493" s="1" t="s">
        <v>9045</v>
      </c>
      <c r="G493" s="1" t="s">
        <v>9045</v>
      </c>
      <c r="H493" s="3">
        <v>45357.0</v>
      </c>
      <c r="I493" s="3">
        <v>45677.0</v>
      </c>
      <c r="J493" s="3">
        <v>45677.0</v>
      </c>
      <c r="K493" s="1" t="s">
        <v>215</v>
      </c>
      <c r="L493" s="1" t="s">
        <v>160</v>
      </c>
      <c r="M493" s="1" t="s">
        <v>216</v>
      </c>
      <c r="N493" s="1" t="s">
        <v>131</v>
      </c>
      <c r="O493" s="13"/>
      <c r="P493" s="4"/>
      <c r="Q493" s="4"/>
      <c r="R493" s="1" t="s">
        <v>137</v>
      </c>
      <c r="S493" s="1" t="s">
        <v>137</v>
      </c>
      <c r="T493" s="1" t="s">
        <v>47</v>
      </c>
      <c r="U493" s="1" t="s">
        <v>4301</v>
      </c>
      <c r="V493" s="4"/>
      <c r="W493" s="4"/>
      <c r="X493" s="4"/>
    </row>
    <row r="494">
      <c r="A494" s="1" t="s">
        <v>7575</v>
      </c>
      <c r="B494" s="1" t="s">
        <v>4293</v>
      </c>
      <c r="C494" s="1" t="s">
        <v>13008</v>
      </c>
      <c r="D494" s="1" t="s">
        <v>388</v>
      </c>
      <c r="E494" s="1" t="s">
        <v>292</v>
      </c>
      <c r="F494" s="1" t="s">
        <v>494</v>
      </c>
      <c r="G494" s="1" t="s">
        <v>496</v>
      </c>
      <c r="H494" s="3">
        <v>45105.0</v>
      </c>
      <c r="I494" s="3">
        <v>45415.0</v>
      </c>
      <c r="J494" s="3">
        <v>45415.0</v>
      </c>
      <c r="K494" s="1" t="s">
        <v>215</v>
      </c>
      <c r="L494" s="1" t="s">
        <v>160</v>
      </c>
      <c r="M494" s="1" t="s">
        <v>216</v>
      </c>
      <c r="N494" s="1" t="s">
        <v>131</v>
      </c>
      <c r="O494" s="13"/>
      <c r="P494" s="4"/>
      <c r="Q494" s="4"/>
      <c r="R494" s="1" t="s">
        <v>137</v>
      </c>
      <c r="S494" s="1" t="s">
        <v>137</v>
      </c>
      <c r="T494" s="1" t="s">
        <v>47</v>
      </c>
      <c r="U494" s="1" t="s">
        <v>4301</v>
      </c>
      <c r="V494" s="4"/>
      <c r="W494" s="4"/>
      <c r="X494" s="4"/>
    </row>
    <row r="495">
      <c r="A495" s="1" t="s">
        <v>5946</v>
      </c>
      <c r="B495" s="1" t="s">
        <v>4293</v>
      </c>
      <c r="C495" s="1" t="s">
        <v>13025</v>
      </c>
      <c r="D495" s="1" t="s">
        <v>243</v>
      </c>
      <c r="E495" s="1" t="s">
        <v>119</v>
      </c>
      <c r="F495" s="1" t="s">
        <v>8013</v>
      </c>
      <c r="G495" s="1" t="s">
        <v>8013</v>
      </c>
      <c r="H495" s="3">
        <v>44302.0</v>
      </c>
      <c r="I495" s="3">
        <v>44392.0</v>
      </c>
      <c r="J495" s="3">
        <v>44392.0</v>
      </c>
      <c r="K495" s="1" t="s">
        <v>215</v>
      </c>
      <c r="L495" s="1" t="s">
        <v>160</v>
      </c>
      <c r="M495" s="1" t="s">
        <v>216</v>
      </c>
      <c r="N495" s="1" t="s">
        <v>131</v>
      </c>
      <c r="O495" s="13"/>
      <c r="P495" s="4"/>
      <c r="Q495" s="4"/>
      <c r="R495" s="1" t="s">
        <v>137</v>
      </c>
      <c r="S495" s="1" t="s">
        <v>137</v>
      </c>
      <c r="T495" s="1" t="s">
        <v>47</v>
      </c>
      <c r="U495" s="1" t="s">
        <v>4301</v>
      </c>
      <c r="V495" s="4"/>
      <c r="W495" s="4"/>
      <c r="X495" s="4"/>
    </row>
    <row r="496">
      <c r="A496" s="1" t="s">
        <v>12501</v>
      </c>
      <c r="B496" s="1" t="s">
        <v>4293</v>
      </c>
      <c r="C496" s="1" t="s">
        <v>13039</v>
      </c>
      <c r="D496" s="1" t="s">
        <v>1477</v>
      </c>
      <c r="E496" s="1" t="s">
        <v>175</v>
      </c>
      <c r="F496" s="1" t="s">
        <v>763</v>
      </c>
      <c r="G496" s="1" t="s">
        <v>1825</v>
      </c>
      <c r="H496" s="3">
        <v>45693.0</v>
      </c>
      <c r="I496" s="3">
        <v>45735.0</v>
      </c>
      <c r="J496" s="3">
        <v>45735.0</v>
      </c>
      <c r="K496" s="1" t="s">
        <v>215</v>
      </c>
      <c r="L496" s="1" t="s">
        <v>160</v>
      </c>
      <c r="M496" s="1" t="s">
        <v>216</v>
      </c>
      <c r="N496" s="1" t="s">
        <v>131</v>
      </c>
      <c r="O496" s="13"/>
      <c r="P496" s="4"/>
      <c r="Q496" s="4"/>
      <c r="R496" s="1" t="s">
        <v>137</v>
      </c>
      <c r="S496" s="1" t="s">
        <v>137</v>
      </c>
      <c r="T496" s="1" t="s">
        <v>47</v>
      </c>
      <c r="U496" s="1" t="s">
        <v>4301</v>
      </c>
      <c r="V496" s="4"/>
      <c r="W496" s="4"/>
      <c r="X496" s="4"/>
    </row>
    <row r="497">
      <c r="A497" s="1" t="s">
        <v>6451</v>
      </c>
      <c r="B497" s="1" t="s">
        <v>4293</v>
      </c>
      <c r="C497" s="1" t="s">
        <v>13053</v>
      </c>
      <c r="D497" s="1" t="s">
        <v>960</v>
      </c>
      <c r="E497" s="1" t="s">
        <v>209</v>
      </c>
      <c r="F497" s="1" t="s">
        <v>398</v>
      </c>
      <c r="G497" s="1" t="s">
        <v>1587</v>
      </c>
      <c r="H497" s="3">
        <v>44692.0</v>
      </c>
      <c r="I497" s="3">
        <v>45200.0</v>
      </c>
      <c r="J497" s="3">
        <v>45200.0</v>
      </c>
      <c r="K497" s="1" t="s">
        <v>215</v>
      </c>
      <c r="L497" s="1" t="s">
        <v>160</v>
      </c>
      <c r="M497" s="1" t="s">
        <v>216</v>
      </c>
      <c r="N497" s="1" t="s">
        <v>131</v>
      </c>
      <c r="O497" s="13"/>
      <c r="P497" s="4"/>
      <c r="Q497" s="4"/>
      <c r="R497" s="1" t="s">
        <v>137</v>
      </c>
      <c r="S497" s="1" t="s">
        <v>137</v>
      </c>
      <c r="T497" s="1" t="s">
        <v>47</v>
      </c>
      <c r="U497" s="1" t="s">
        <v>4301</v>
      </c>
      <c r="V497" s="4"/>
      <c r="W497" s="4"/>
      <c r="X497" s="4"/>
    </row>
    <row r="498">
      <c r="A498" s="1" t="s">
        <v>11152</v>
      </c>
      <c r="B498" s="1" t="s">
        <v>4293</v>
      </c>
      <c r="C498" s="1" t="s">
        <v>13062</v>
      </c>
      <c r="D498" s="1" t="s">
        <v>593</v>
      </c>
      <c r="E498" s="1" t="s">
        <v>330</v>
      </c>
      <c r="F498" s="1" t="s">
        <v>663</v>
      </c>
      <c r="G498" s="1" t="s">
        <v>2835</v>
      </c>
      <c r="H498" s="3">
        <v>44328.0</v>
      </c>
      <c r="I498" s="3">
        <v>44329.0</v>
      </c>
      <c r="J498" s="3">
        <v>44329.0</v>
      </c>
      <c r="K498" s="1" t="s">
        <v>215</v>
      </c>
      <c r="L498" s="1" t="s">
        <v>160</v>
      </c>
      <c r="M498" s="1" t="s">
        <v>216</v>
      </c>
      <c r="N498" s="1" t="s">
        <v>131</v>
      </c>
      <c r="O498" s="13"/>
      <c r="P498" s="4"/>
      <c r="Q498" s="4"/>
      <c r="R498" s="1" t="s">
        <v>137</v>
      </c>
      <c r="S498" s="1" t="s">
        <v>137</v>
      </c>
      <c r="T498" s="1" t="s">
        <v>47</v>
      </c>
      <c r="U498" s="1" t="s">
        <v>4301</v>
      </c>
      <c r="V498" s="4"/>
      <c r="W498" s="4"/>
      <c r="X498" s="4"/>
    </row>
    <row r="499">
      <c r="A499" s="1" t="s">
        <v>7961</v>
      </c>
      <c r="B499" s="1" t="s">
        <v>4293</v>
      </c>
      <c r="C499" s="1" t="s">
        <v>2995</v>
      </c>
      <c r="D499" s="1" t="s">
        <v>919</v>
      </c>
      <c r="E499" s="1" t="s">
        <v>292</v>
      </c>
      <c r="F499" s="1" t="s">
        <v>494</v>
      </c>
      <c r="G499" s="1" t="s">
        <v>2278</v>
      </c>
      <c r="H499" s="3">
        <v>45792.0</v>
      </c>
      <c r="I499" s="3">
        <v>46078.0</v>
      </c>
      <c r="J499" s="3">
        <v>46078.0</v>
      </c>
      <c r="K499" s="1" t="s">
        <v>215</v>
      </c>
      <c r="L499" s="1" t="s">
        <v>160</v>
      </c>
      <c r="M499" s="1" t="s">
        <v>216</v>
      </c>
      <c r="N499" s="1" t="s">
        <v>131</v>
      </c>
      <c r="O499" s="4"/>
      <c r="P499" s="4"/>
      <c r="Q499" s="4"/>
      <c r="R499" s="1" t="s">
        <v>137</v>
      </c>
      <c r="S499" s="1" t="s">
        <v>137</v>
      </c>
      <c r="T499" s="1" t="s">
        <v>47</v>
      </c>
      <c r="U499" s="1" t="s">
        <v>4301</v>
      </c>
      <c r="V499" s="4"/>
      <c r="W499" s="4"/>
      <c r="X499" s="4"/>
    </row>
    <row r="500">
      <c r="A500" s="1" t="s">
        <v>11260</v>
      </c>
      <c r="B500" s="1" t="s">
        <v>4293</v>
      </c>
      <c r="C500" s="1" t="s">
        <v>13092</v>
      </c>
      <c r="D500" s="1" t="s">
        <v>548</v>
      </c>
      <c r="E500" s="1" t="s">
        <v>520</v>
      </c>
      <c r="F500" s="1" t="s">
        <v>1229</v>
      </c>
      <c r="G500" s="1" t="s">
        <v>6014</v>
      </c>
      <c r="H500" s="3">
        <v>44136.0</v>
      </c>
      <c r="I500" s="3">
        <v>44136.0</v>
      </c>
      <c r="J500" s="3">
        <v>44136.0</v>
      </c>
      <c r="K500" s="1" t="s">
        <v>215</v>
      </c>
      <c r="L500" s="1" t="s">
        <v>160</v>
      </c>
      <c r="M500" s="1" t="s">
        <v>216</v>
      </c>
      <c r="N500" s="1" t="s">
        <v>131</v>
      </c>
      <c r="O500" s="13"/>
      <c r="P500" s="4"/>
      <c r="Q500" s="4"/>
      <c r="R500" s="1" t="s">
        <v>137</v>
      </c>
      <c r="S500" s="1" t="s">
        <v>137</v>
      </c>
      <c r="T500" s="1" t="s">
        <v>47</v>
      </c>
      <c r="U500" s="1" t="s">
        <v>4301</v>
      </c>
      <c r="V500" s="4"/>
      <c r="W500" s="4"/>
      <c r="X500" s="4"/>
    </row>
    <row r="501">
      <c r="A501" s="1" t="s">
        <v>9916</v>
      </c>
      <c r="B501" s="1" t="s">
        <v>4293</v>
      </c>
      <c r="C501" s="1" t="s">
        <v>13098</v>
      </c>
      <c r="D501" s="1" t="s">
        <v>1360</v>
      </c>
      <c r="E501" s="1" t="s">
        <v>175</v>
      </c>
      <c r="F501" s="1" t="s">
        <v>177</v>
      </c>
      <c r="G501" s="1" t="s">
        <v>1778</v>
      </c>
      <c r="H501" s="3">
        <v>43259.0</v>
      </c>
      <c r="I501" s="3">
        <v>43315.0</v>
      </c>
      <c r="J501" s="3">
        <v>43315.0</v>
      </c>
      <c r="K501" s="1" t="s">
        <v>215</v>
      </c>
      <c r="L501" s="1" t="s">
        <v>160</v>
      </c>
      <c r="M501" s="1" t="s">
        <v>216</v>
      </c>
      <c r="N501" s="1" t="s">
        <v>131</v>
      </c>
      <c r="O501" s="13"/>
      <c r="P501" s="4"/>
      <c r="Q501" s="4"/>
      <c r="R501" s="1" t="s">
        <v>137</v>
      </c>
      <c r="S501" s="1" t="s">
        <v>137</v>
      </c>
      <c r="T501" s="1" t="s">
        <v>47</v>
      </c>
      <c r="U501" s="1" t="s">
        <v>4301</v>
      </c>
      <c r="V501" s="4"/>
      <c r="W501" s="4"/>
      <c r="X501" s="4"/>
    </row>
    <row r="502">
      <c r="A502" s="1" t="s">
        <v>8552</v>
      </c>
      <c r="B502" s="1" t="s">
        <v>4293</v>
      </c>
      <c r="C502" s="1" t="s">
        <v>13110</v>
      </c>
      <c r="D502" s="1" t="s">
        <v>518</v>
      </c>
      <c r="E502" s="1" t="s">
        <v>520</v>
      </c>
      <c r="F502" s="1" t="s">
        <v>522</v>
      </c>
      <c r="G502" s="1" t="s">
        <v>6067</v>
      </c>
      <c r="H502" s="3">
        <v>44294.0</v>
      </c>
      <c r="I502" s="3">
        <v>44294.0</v>
      </c>
      <c r="J502" s="3">
        <v>44294.0</v>
      </c>
      <c r="K502" s="1" t="s">
        <v>215</v>
      </c>
      <c r="L502" s="1" t="s">
        <v>160</v>
      </c>
      <c r="M502" s="1" t="s">
        <v>216</v>
      </c>
      <c r="N502" s="1" t="s">
        <v>131</v>
      </c>
      <c r="O502" s="13"/>
      <c r="P502" s="4"/>
      <c r="Q502" s="4"/>
      <c r="R502" s="1" t="s">
        <v>137</v>
      </c>
      <c r="S502" s="1" t="s">
        <v>137</v>
      </c>
      <c r="T502" s="1" t="s">
        <v>47</v>
      </c>
      <c r="U502" s="1" t="s">
        <v>4301</v>
      </c>
      <c r="V502" s="4"/>
      <c r="W502" s="4"/>
      <c r="X502" s="4"/>
    </row>
    <row r="503">
      <c r="A503" s="1" t="s">
        <v>10264</v>
      </c>
      <c r="B503" s="1" t="s">
        <v>4293</v>
      </c>
      <c r="C503" s="1" t="s">
        <v>13125</v>
      </c>
      <c r="D503" s="1" t="s">
        <v>388</v>
      </c>
      <c r="E503" s="1" t="s">
        <v>292</v>
      </c>
      <c r="F503" s="1" t="s">
        <v>962</v>
      </c>
      <c r="G503" s="1" t="s">
        <v>5046</v>
      </c>
      <c r="H503" s="3">
        <v>44421.0</v>
      </c>
      <c r="I503" s="3">
        <v>44490.0</v>
      </c>
      <c r="J503" s="3">
        <v>44490.0</v>
      </c>
      <c r="K503" s="1" t="s">
        <v>215</v>
      </c>
      <c r="L503" s="1" t="s">
        <v>160</v>
      </c>
      <c r="M503" s="1" t="s">
        <v>216</v>
      </c>
      <c r="N503" s="1" t="s">
        <v>131</v>
      </c>
      <c r="O503" s="13"/>
      <c r="P503" s="4"/>
      <c r="Q503" s="4"/>
      <c r="R503" s="1" t="s">
        <v>137</v>
      </c>
      <c r="S503" s="1" t="s">
        <v>137</v>
      </c>
      <c r="T503" s="1" t="s">
        <v>47</v>
      </c>
      <c r="U503" s="1" t="s">
        <v>4301</v>
      </c>
      <c r="V503" s="4"/>
      <c r="W503" s="4"/>
      <c r="X503" s="4"/>
    </row>
    <row r="504">
      <c r="A504" s="1" t="s">
        <v>11079</v>
      </c>
      <c r="B504" s="1" t="s">
        <v>4293</v>
      </c>
      <c r="C504" s="1" t="s">
        <v>13135</v>
      </c>
      <c r="D504" s="1" t="s">
        <v>313</v>
      </c>
      <c r="E504" s="1" t="s">
        <v>438</v>
      </c>
      <c r="F504" s="1" t="s">
        <v>13137</v>
      </c>
      <c r="G504" s="1" t="s">
        <v>13140</v>
      </c>
      <c r="H504" s="3">
        <v>44785.0</v>
      </c>
      <c r="I504" s="3">
        <v>44935.0</v>
      </c>
      <c r="J504" s="3">
        <v>44935.0</v>
      </c>
      <c r="K504" s="1" t="s">
        <v>215</v>
      </c>
      <c r="L504" s="1" t="s">
        <v>160</v>
      </c>
      <c r="M504" s="1" t="s">
        <v>216</v>
      </c>
      <c r="N504" s="1" t="s">
        <v>131</v>
      </c>
      <c r="O504" s="13"/>
      <c r="P504" s="4"/>
      <c r="Q504" s="4"/>
      <c r="R504" s="1" t="s">
        <v>137</v>
      </c>
      <c r="S504" s="1" t="s">
        <v>137</v>
      </c>
      <c r="T504" s="1" t="s">
        <v>47</v>
      </c>
      <c r="U504" s="1" t="s">
        <v>4301</v>
      </c>
      <c r="V504" s="4"/>
      <c r="W504" s="4"/>
      <c r="X504" s="4"/>
    </row>
    <row r="505">
      <c r="A505" s="1" t="s">
        <v>8270</v>
      </c>
      <c r="B505" s="1" t="s">
        <v>4293</v>
      </c>
      <c r="C505" s="1" t="s">
        <v>13149</v>
      </c>
      <c r="D505" s="1" t="s">
        <v>313</v>
      </c>
      <c r="E505" s="1" t="s">
        <v>175</v>
      </c>
      <c r="F505" s="1" t="s">
        <v>1116</v>
      </c>
      <c r="G505" s="1" t="s">
        <v>6737</v>
      </c>
      <c r="H505" s="3">
        <v>43796.0</v>
      </c>
      <c r="I505" s="3">
        <v>43920.0</v>
      </c>
      <c r="J505" s="3">
        <v>43920.0</v>
      </c>
      <c r="K505" s="1" t="s">
        <v>215</v>
      </c>
      <c r="L505" s="1" t="s">
        <v>160</v>
      </c>
      <c r="M505" s="1" t="s">
        <v>216</v>
      </c>
      <c r="N505" s="1" t="s">
        <v>131</v>
      </c>
      <c r="O505" s="13"/>
      <c r="P505" s="1"/>
      <c r="Q505" s="4"/>
      <c r="R505" s="1" t="s">
        <v>137</v>
      </c>
      <c r="S505" s="1" t="s">
        <v>137</v>
      </c>
      <c r="T505" s="1" t="s">
        <v>47</v>
      </c>
      <c r="U505" s="1" t="s">
        <v>4301</v>
      </c>
      <c r="V505" s="4"/>
      <c r="W505" s="4"/>
      <c r="X505" s="4"/>
    </row>
    <row r="506">
      <c r="A506" s="1" t="s">
        <v>7213</v>
      </c>
      <c r="B506" s="1" t="s">
        <v>4293</v>
      </c>
      <c r="C506" s="1" t="s">
        <v>13164</v>
      </c>
      <c r="D506" s="1" t="s">
        <v>1258</v>
      </c>
      <c r="E506" s="1" t="s">
        <v>292</v>
      </c>
      <c r="F506" s="1" t="s">
        <v>962</v>
      </c>
      <c r="G506" s="1" t="s">
        <v>1969</v>
      </c>
      <c r="H506" s="3">
        <v>45215.0</v>
      </c>
      <c r="I506" s="3">
        <v>45377.0</v>
      </c>
      <c r="J506" s="3">
        <v>45377.0</v>
      </c>
      <c r="K506" s="1" t="s">
        <v>215</v>
      </c>
      <c r="L506" s="1" t="s">
        <v>160</v>
      </c>
      <c r="M506" s="1" t="s">
        <v>216</v>
      </c>
      <c r="N506" s="1" t="s">
        <v>131</v>
      </c>
      <c r="O506" s="13"/>
      <c r="P506" s="1"/>
      <c r="Q506" s="4"/>
      <c r="R506" s="1" t="s">
        <v>137</v>
      </c>
      <c r="S506" s="1" t="s">
        <v>137</v>
      </c>
      <c r="T506" s="1" t="s">
        <v>47</v>
      </c>
      <c r="U506" s="1" t="s">
        <v>4301</v>
      </c>
      <c r="V506" s="4"/>
      <c r="W506" s="4"/>
      <c r="X506" s="4"/>
    </row>
    <row r="507">
      <c r="A507" s="1" t="s">
        <v>10791</v>
      </c>
      <c r="B507" s="1" t="s">
        <v>4293</v>
      </c>
      <c r="C507" s="1" t="s">
        <v>13176</v>
      </c>
      <c r="D507" s="1" t="s">
        <v>273</v>
      </c>
      <c r="E507" s="1" t="s">
        <v>330</v>
      </c>
      <c r="F507" s="1" t="s">
        <v>356</v>
      </c>
      <c r="G507" s="1" t="s">
        <v>3072</v>
      </c>
      <c r="H507" s="3">
        <v>44742.0</v>
      </c>
      <c r="I507" s="3">
        <v>44896.0</v>
      </c>
      <c r="J507" s="3">
        <v>44896.0</v>
      </c>
      <c r="K507" s="1" t="s">
        <v>215</v>
      </c>
      <c r="L507" s="1" t="s">
        <v>160</v>
      </c>
      <c r="M507" s="1" t="s">
        <v>216</v>
      </c>
      <c r="N507" s="1" t="s">
        <v>131</v>
      </c>
      <c r="O507" s="13"/>
      <c r="P507" s="4"/>
      <c r="Q507" s="4"/>
      <c r="R507" s="1" t="s">
        <v>137</v>
      </c>
      <c r="S507" s="1" t="s">
        <v>137</v>
      </c>
      <c r="T507" s="1" t="s">
        <v>47</v>
      </c>
      <c r="U507" s="1" t="s">
        <v>4301</v>
      </c>
      <c r="V507" s="4"/>
      <c r="W507" s="4"/>
      <c r="X507" s="4"/>
    </row>
    <row r="508">
      <c r="A508" s="1" t="s">
        <v>12441</v>
      </c>
      <c r="B508" s="1" t="s">
        <v>4293</v>
      </c>
      <c r="C508" s="1" t="s">
        <v>13188</v>
      </c>
      <c r="D508" s="1" t="s">
        <v>919</v>
      </c>
      <c r="E508" s="1" t="s">
        <v>175</v>
      </c>
      <c r="F508" s="1" t="s">
        <v>1767</v>
      </c>
      <c r="G508" s="1" t="s">
        <v>2199</v>
      </c>
      <c r="H508" s="3">
        <v>44314.0</v>
      </c>
      <c r="I508" s="3">
        <v>44273.0</v>
      </c>
      <c r="J508" s="3">
        <v>44273.0</v>
      </c>
      <c r="K508" s="1" t="s">
        <v>215</v>
      </c>
      <c r="L508" s="1" t="s">
        <v>160</v>
      </c>
      <c r="M508" s="1" t="s">
        <v>216</v>
      </c>
      <c r="N508" s="1" t="s">
        <v>131</v>
      </c>
      <c r="O508" s="13"/>
      <c r="P508" s="1"/>
      <c r="Q508" s="4"/>
      <c r="R508" s="1" t="s">
        <v>137</v>
      </c>
      <c r="S508" s="1" t="s">
        <v>137</v>
      </c>
      <c r="T508" s="1" t="s">
        <v>47</v>
      </c>
      <c r="U508" s="1" t="s">
        <v>4301</v>
      </c>
      <c r="V508" s="4"/>
      <c r="W508" s="4"/>
      <c r="X508" s="4"/>
    </row>
    <row r="509">
      <c r="A509" s="1" t="s">
        <v>11047</v>
      </c>
      <c r="B509" s="1" t="s">
        <v>4293</v>
      </c>
      <c r="C509" s="1" t="s">
        <v>3013</v>
      </c>
      <c r="D509" s="1" t="s">
        <v>1823</v>
      </c>
      <c r="E509" s="1" t="s">
        <v>292</v>
      </c>
      <c r="F509" s="1" t="s">
        <v>293</v>
      </c>
      <c r="G509" s="1" t="s">
        <v>3014</v>
      </c>
      <c r="H509" s="3">
        <v>45358.0</v>
      </c>
      <c r="I509" s="3">
        <v>45471.0</v>
      </c>
      <c r="J509" s="3">
        <v>45471.0</v>
      </c>
      <c r="K509" s="1" t="s">
        <v>215</v>
      </c>
      <c r="L509" s="1" t="s">
        <v>160</v>
      </c>
      <c r="M509" s="1" t="s">
        <v>216</v>
      </c>
      <c r="N509" s="1" t="s">
        <v>131</v>
      </c>
      <c r="O509" s="13"/>
      <c r="P509" s="1"/>
      <c r="Q509" s="4"/>
      <c r="R509" s="1" t="s">
        <v>137</v>
      </c>
      <c r="S509" s="1" t="s">
        <v>137</v>
      </c>
      <c r="T509" s="1" t="s">
        <v>47</v>
      </c>
      <c r="U509" s="1" t="s">
        <v>4301</v>
      </c>
      <c r="V509" s="4"/>
      <c r="W509" s="4"/>
      <c r="X509" s="4"/>
    </row>
    <row r="510">
      <c r="A510" s="1" t="s">
        <v>3012</v>
      </c>
      <c r="B510" s="1" t="s">
        <v>116</v>
      </c>
      <c r="C510" s="1" t="s">
        <v>3013</v>
      </c>
      <c r="D510" s="1" t="s">
        <v>1823</v>
      </c>
      <c r="E510" s="1" t="s">
        <v>292</v>
      </c>
      <c r="F510" s="1" t="s">
        <v>293</v>
      </c>
      <c r="G510" s="1" t="s">
        <v>3014</v>
      </c>
      <c r="H510" s="3">
        <v>46129.0</v>
      </c>
      <c r="I510" s="3"/>
      <c r="J510" s="3"/>
      <c r="K510" s="1" t="s">
        <v>124</v>
      </c>
      <c r="L510" s="1" t="s">
        <v>98</v>
      </c>
      <c r="M510" s="1" t="s">
        <v>162</v>
      </c>
      <c r="N510" s="1" t="s">
        <v>131</v>
      </c>
      <c r="O510" s="13"/>
      <c r="P510" s="1" t="s">
        <v>485</v>
      </c>
      <c r="Q510" s="4"/>
      <c r="R510" s="1" t="s">
        <v>137</v>
      </c>
      <c r="S510" s="1" t="s">
        <v>137</v>
      </c>
      <c r="T510" s="1" t="s">
        <v>47</v>
      </c>
      <c r="U510" s="1"/>
      <c r="V510" s="4"/>
      <c r="W510" s="4"/>
      <c r="X510" s="4"/>
    </row>
    <row r="511">
      <c r="A511" s="1" t="s">
        <v>9683</v>
      </c>
      <c r="B511" s="1" t="s">
        <v>4293</v>
      </c>
      <c r="C511" s="1" t="s">
        <v>13217</v>
      </c>
      <c r="D511" s="1" t="s">
        <v>273</v>
      </c>
      <c r="E511" s="1" t="s">
        <v>175</v>
      </c>
      <c r="F511" s="1" t="s">
        <v>1767</v>
      </c>
      <c r="G511" s="1" t="s">
        <v>2199</v>
      </c>
      <c r="H511" s="3">
        <v>44287.0</v>
      </c>
      <c r="I511" s="3">
        <v>44298.0</v>
      </c>
      <c r="J511" s="3">
        <v>44298.0</v>
      </c>
      <c r="K511" s="1" t="s">
        <v>215</v>
      </c>
      <c r="L511" s="1" t="s">
        <v>160</v>
      </c>
      <c r="M511" s="1" t="s">
        <v>216</v>
      </c>
      <c r="N511" s="1" t="s">
        <v>131</v>
      </c>
      <c r="O511" s="13"/>
      <c r="P511" s="1"/>
      <c r="Q511" s="4"/>
      <c r="R511" s="1" t="s">
        <v>137</v>
      </c>
      <c r="S511" s="1" t="s">
        <v>137</v>
      </c>
      <c r="T511" s="1" t="s">
        <v>47</v>
      </c>
      <c r="U511" s="1" t="s">
        <v>4301</v>
      </c>
      <c r="V511" s="4"/>
      <c r="W511" s="4"/>
      <c r="X511" s="4"/>
    </row>
    <row r="512">
      <c r="A512" s="1" t="s">
        <v>10307</v>
      </c>
      <c r="B512" s="1" t="s">
        <v>4293</v>
      </c>
      <c r="C512" s="1" t="s">
        <v>13229</v>
      </c>
      <c r="D512" s="1" t="s">
        <v>273</v>
      </c>
      <c r="E512" s="1" t="s">
        <v>330</v>
      </c>
      <c r="F512" s="1" t="s">
        <v>356</v>
      </c>
      <c r="G512" s="1" t="s">
        <v>3072</v>
      </c>
      <c r="H512" s="3">
        <v>44293.0</v>
      </c>
      <c r="I512" s="3">
        <v>44293.0</v>
      </c>
      <c r="J512" s="3">
        <v>44293.0</v>
      </c>
      <c r="K512" s="1" t="s">
        <v>215</v>
      </c>
      <c r="L512" s="1" t="s">
        <v>160</v>
      </c>
      <c r="M512" s="1" t="s">
        <v>216</v>
      </c>
      <c r="N512" s="1" t="s">
        <v>131</v>
      </c>
      <c r="O512" s="13"/>
      <c r="P512" s="1"/>
      <c r="Q512" s="4"/>
      <c r="R512" s="1" t="s">
        <v>137</v>
      </c>
      <c r="S512" s="1" t="s">
        <v>137</v>
      </c>
      <c r="T512" s="1" t="s">
        <v>47</v>
      </c>
      <c r="U512" s="1" t="s">
        <v>4301</v>
      </c>
      <c r="V512" s="4"/>
      <c r="W512" s="4"/>
      <c r="X512" s="4"/>
    </row>
    <row r="513">
      <c r="A513" s="1" t="s">
        <v>2337</v>
      </c>
      <c r="B513" s="1" t="s">
        <v>116</v>
      </c>
      <c r="C513" s="1" t="s">
        <v>3021</v>
      </c>
      <c r="D513" s="1" t="s">
        <v>960</v>
      </c>
      <c r="E513" s="1" t="s">
        <v>292</v>
      </c>
      <c r="F513" s="1" t="s">
        <v>494</v>
      </c>
      <c r="G513" s="1" t="s">
        <v>1784</v>
      </c>
      <c r="H513" s="3">
        <v>46129.0</v>
      </c>
      <c r="I513" s="3">
        <v>46253.0</v>
      </c>
      <c r="J513" s="3"/>
      <c r="K513" s="1" t="s">
        <v>124</v>
      </c>
      <c r="L513" s="1" t="s">
        <v>98</v>
      </c>
      <c r="M513" s="1" t="s">
        <v>253</v>
      </c>
      <c r="N513" s="1" t="s">
        <v>131</v>
      </c>
      <c r="O513" s="13"/>
      <c r="P513" s="1" t="s">
        <v>3022</v>
      </c>
      <c r="Q513" s="4"/>
      <c r="R513" s="1" t="s">
        <v>137</v>
      </c>
      <c r="S513" s="1" t="s">
        <v>137</v>
      </c>
      <c r="T513" s="1" t="s">
        <v>47</v>
      </c>
      <c r="U513" s="1" t="s">
        <v>3900</v>
      </c>
      <c r="V513" s="4"/>
      <c r="W513" s="4"/>
      <c r="X513" s="4"/>
    </row>
    <row r="514">
      <c r="A514" s="1" t="s">
        <v>10876</v>
      </c>
      <c r="B514" s="1" t="s">
        <v>4293</v>
      </c>
      <c r="C514" s="1" t="s">
        <v>13251</v>
      </c>
      <c r="D514" s="1" t="s">
        <v>593</v>
      </c>
      <c r="E514" s="1" t="s">
        <v>330</v>
      </c>
      <c r="F514" s="1" t="s">
        <v>331</v>
      </c>
      <c r="G514" s="1" t="s">
        <v>721</v>
      </c>
      <c r="H514" s="3">
        <v>44343.0</v>
      </c>
      <c r="I514" s="3">
        <v>44587.0</v>
      </c>
      <c r="J514" s="3">
        <v>44587.0</v>
      </c>
      <c r="K514" s="1" t="s">
        <v>215</v>
      </c>
      <c r="L514" s="1" t="s">
        <v>160</v>
      </c>
      <c r="M514" s="1" t="s">
        <v>216</v>
      </c>
      <c r="N514" s="1" t="s">
        <v>131</v>
      </c>
      <c r="O514" s="13"/>
      <c r="P514" s="1"/>
      <c r="Q514" s="4"/>
      <c r="R514" s="1" t="s">
        <v>137</v>
      </c>
      <c r="S514" s="1" t="s">
        <v>137</v>
      </c>
      <c r="T514" s="1" t="s">
        <v>47</v>
      </c>
      <c r="U514" s="1" t="s">
        <v>4301</v>
      </c>
      <c r="V514" s="4"/>
      <c r="W514" s="4"/>
      <c r="X514" s="4"/>
    </row>
    <row r="515">
      <c r="A515" s="1" t="s">
        <v>10449</v>
      </c>
      <c r="B515" s="1" t="s">
        <v>4293</v>
      </c>
      <c r="C515" s="1" t="s">
        <v>3028</v>
      </c>
      <c r="D515" s="1" t="s">
        <v>388</v>
      </c>
      <c r="E515" s="1" t="s">
        <v>292</v>
      </c>
      <c r="F515" s="1" t="s">
        <v>293</v>
      </c>
      <c r="G515" s="1" t="s">
        <v>2091</v>
      </c>
      <c r="H515" s="3">
        <v>45910.0</v>
      </c>
      <c r="I515" s="13"/>
      <c r="J515" s="13"/>
      <c r="K515" s="1" t="s">
        <v>124</v>
      </c>
      <c r="L515" s="1" t="s">
        <v>160</v>
      </c>
      <c r="M515" s="1" t="s">
        <v>253</v>
      </c>
      <c r="N515" s="1" t="s">
        <v>131</v>
      </c>
      <c r="O515" s="13"/>
      <c r="P515" s="1"/>
      <c r="Q515" s="4"/>
      <c r="R515" s="1" t="s">
        <v>137</v>
      </c>
      <c r="S515" s="1" t="s">
        <v>137</v>
      </c>
      <c r="T515" s="1" t="s">
        <v>47</v>
      </c>
      <c r="U515" s="1" t="s">
        <v>4301</v>
      </c>
      <c r="V515" s="4"/>
      <c r="W515" s="4"/>
      <c r="X515" s="4"/>
    </row>
    <row r="516">
      <c r="A516" s="1" t="s">
        <v>1575</v>
      </c>
      <c r="B516" s="1" t="s">
        <v>3034</v>
      </c>
      <c r="C516" s="1" t="s">
        <v>3028</v>
      </c>
      <c r="D516" s="1" t="s">
        <v>291</v>
      </c>
      <c r="E516" s="1" t="s">
        <v>292</v>
      </c>
      <c r="F516" s="1" t="s">
        <v>293</v>
      </c>
      <c r="G516" s="1" t="s">
        <v>2091</v>
      </c>
      <c r="H516" s="3">
        <v>46034.0</v>
      </c>
      <c r="I516" s="3"/>
      <c r="J516" s="3"/>
      <c r="K516" s="1" t="s">
        <v>124</v>
      </c>
      <c r="L516" s="1" t="s">
        <v>251</v>
      </c>
      <c r="M516" s="1" t="s">
        <v>162</v>
      </c>
      <c r="N516" s="1" t="s">
        <v>131</v>
      </c>
      <c r="O516" s="13"/>
      <c r="P516" s="1" t="s">
        <v>3041</v>
      </c>
      <c r="Q516" s="4"/>
      <c r="R516" s="1" t="s">
        <v>137</v>
      </c>
      <c r="S516" s="1" t="s">
        <v>137</v>
      </c>
      <c r="T516" s="1" t="s">
        <v>47</v>
      </c>
      <c r="U516" s="1" t="s">
        <v>3045</v>
      </c>
      <c r="V516" s="4"/>
      <c r="W516" s="4"/>
      <c r="X516" s="4"/>
    </row>
    <row r="517">
      <c r="A517" s="1" t="s">
        <v>9360</v>
      </c>
      <c r="B517" s="1" t="s">
        <v>4293</v>
      </c>
      <c r="C517" s="1" t="s">
        <v>13286</v>
      </c>
      <c r="D517" s="1" t="s">
        <v>396</v>
      </c>
      <c r="E517" s="1" t="s">
        <v>292</v>
      </c>
      <c r="F517" s="1" t="s">
        <v>962</v>
      </c>
      <c r="G517" s="1" t="s">
        <v>5046</v>
      </c>
      <c r="H517" s="3">
        <v>44623.0</v>
      </c>
      <c r="I517" s="3">
        <v>44858.0</v>
      </c>
      <c r="J517" s="3">
        <v>44858.0</v>
      </c>
      <c r="K517" s="1" t="s">
        <v>215</v>
      </c>
      <c r="L517" s="1" t="s">
        <v>160</v>
      </c>
      <c r="M517" s="1" t="s">
        <v>216</v>
      </c>
      <c r="N517" s="1" t="s">
        <v>131</v>
      </c>
      <c r="O517" s="4"/>
      <c r="P517" s="4"/>
      <c r="Q517" s="4"/>
      <c r="R517" s="1" t="s">
        <v>137</v>
      </c>
      <c r="S517" s="1" t="s">
        <v>137</v>
      </c>
      <c r="T517" s="1" t="s">
        <v>47</v>
      </c>
      <c r="U517" s="1" t="s">
        <v>4301</v>
      </c>
      <c r="V517" s="4"/>
      <c r="W517" s="4"/>
      <c r="X517" s="4"/>
    </row>
    <row r="518">
      <c r="A518" s="1" t="s">
        <v>8177</v>
      </c>
      <c r="B518" s="1" t="s">
        <v>4293</v>
      </c>
      <c r="C518" s="1" t="s">
        <v>13300</v>
      </c>
      <c r="D518" s="1" t="s">
        <v>152</v>
      </c>
      <c r="E518" s="1" t="s">
        <v>119</v>
      </c>
      <c r="F518" s="1" t="s">
        <v>389</v>
      </c>
      <c r="G518" s="1" t="s">
        <v>389</v>
      </c>
      <c r="H518" s="3">
        <v>45468.0</v>
      </c>
      <c r="I518" s="3">
        <v>45536.0</v>
      </c>
      <c r="J518" s="3">
        <v>45536.0</v>
      </c>
      <c r="K518" s="1" t="s">
        <v>215</v>
      </c>
      <c r="L518" s="1" t="s">
        <v>160</v>
      </c>
      <c r="M518" s="1" t="s">
        <v>216</v>
      </c>
      <c r="N518" s="1" t="s">
        <v>131</v>
      </c>
      <c r="O518" s="13"/>
      <c r="P518" s="4"/>
      <c r="Q518" s="4"/>
      <c r="R518" s="1" t="s">
        <v>137</v>
      </c>
      <c r="S518" s="1" t="s">
        <v>137</v>
      </c>
      <c r="T518" s="1" t="s">
        <v>47</v>
      </c>
      <c r="U518" s="1" t="s">
        <v>4301</v>
      </c>
      <c r="V518" s="4"/>
      <c r="W518" s="4"/>
      <c r="X518" s="4"/>
    </row>
    <row r="519">
      <c r="A519" s="1" t="s">
        <v>6971</v>
      </c>
      <c r="B519" s="1" t="s">
        <v>4293</v>
      </c>
      <c r="C519" s="1" t="s">
        <v>13313</v>
      </c>
      <c r="D519" s="1" t="s">
        <v>417</v>
      </c>
      <c r="E519" s="1" t="s">
        <v>3003</v>
      </c>
      <c r="F519" s="1" t="s">
        <v>3003</v>
      </c>
      <c r="G519" s="1" t="s">
        <v>3004</v>
      </c>
      <c r="H519" s="3">
        <v>43619.0</v>
      </c>
      <c r="I519" s="3">
        <v>43860.0</v>
      </c>
      <c r="J519" s="3">
        <v>43860.0</v>
      </c>
      <c r="K519" s="1" t="s">
        <v>215</v>
      </c>
      <c r="L519" s="1" t="s">
        <v>160</v>
      </c>
      <c r="M519" s="1" t="s">
        <v>216</v>
      </c>
      <c r="N519" s="1" t="s">
        <v>131</v>
      </c>
      <c r="O519" s="4"/>
      <c r="P519" s="4"/>
      <c r="Q519" s="4"/>
      <c r="R519" s="1" t="s">
        <v>137</v>
      </c>
      <c r="S519" s="1" t="s">
        <v>137</v>
      </c>
      <c r="T519" s="1" t="s">
        <v>47</v>
      </c>
      <c r="U519" s="1" t="s">
        <v>4301</v>
      </c>
      <c r="V519" s="4"/>
      <c r="W519" s="4"/>
      <c r="X519" s="4"/>
    </row>
    <row r="520">
      <c r="A520" s="1" t="s">
        <v>8689</v>
      </c>
      <c r="B520" s="1" t="s">
        <v>4293</v>
      </c>
      <c r="C520" s="1" t="s">
        <v>13320</v>
      </c>
      <c r="D520" s="1" t="s">
        <v>1932</v>
      </c>
      <c r="E520" s="1" t="s">
        <v>292</v>
      </c>
      <c r="F520" s="1" t="s">
        <v>494</v>
      </c>
      <c r="G520" s="1" t="s">
        <v>496</v>
      </c>
      <c r="H520" s="3">
        <v>44848.0</v>
      </c>
      <c r="I520" s="3">
        <v>45062.0</v>
      </c>
      <c r="J520" s="3">
        <v>45062.0</v>
      </c>
      <c r="K520" s="1" t="s">
        <v>215</v>
      </c>
      <c r="L520" s="1" t="s">
        <v>160</v>
      </c>
      <c r="M520" s="1" t="s">
        <v>216</v>
      </c>
      <c r="N520" s="1" t="s">
        <v>131</v>
      </c>
      <c r="O520" s="4"/>
      <c r="P520" s="4"/>
      <c r="Q520" s="4"/>
      <c r="R520" s="1" t="s">
        <v>137</v>
      </c>
      <c r="S520" s="1" t="s">
        <v>137</v>
      </c>
      <c r="T520" s="1" t="s">
        <v>47</v>
      </c>
      <c r="U520" s="1" t="s">
        <v>4301</v>
      </c>
      <c r="V520" s="4"/>
      <c r="W520" s="4"/>
      <c r="X520" s="4"/>
    </row>
    <row r="521">
      <c r="A521" s="1" t="s">
        <v>7437</v>
      </c>
      <c r="B521" s="1" t="s">
        <v>4293</v>
      </c>
      <c r="C521" s="1" t="s">
        <v>13331</v>
      </c>
      <c r="D521" s="1" t="s">
        <v>172</v>
      </c>
      <c r="E521" s="1" t="s">
        <v>12195</v>
      </c>
      <c r="F521" s="1" t="s">
        <v>12195</v>
      </c>
      <c r="G521" s="1" t="s">
        <v>12195</v>
      </c>
      <c r="H521" s="3">
        <v>44408.0</v>
      </c>
      <c r="I521" s="3">
        <v>44501.0</v>
      </c>
      <c r="J521" s="3">
        <v>44501.0</v>
      </c>
      <c r="K521" s="1" t="s">
        <v>215</v>
      </c>
      <c r="L521" s="1" t="s">
        <v>160</v>
      </c>
      <c r="M521" s="1" t="s">
        <v>216</v>
      </c>
      <c r="N521" s="1" t="s">
        <v>131</v>
      </c>
      <c r="O521" s="13"/>
      <c r="P521" s="4"/>
      <c r="Q521" s="4"/>
      <c r="R521" s="1" t="s">
        <v>137</v>
      </c>
      <c r="S521" s="1" t="s">
        <v>137</v>
      </c>
      <c r="T521" s="1" t="s">
        <v>47</v>
      </c>
      <c r="U521" s="1" t="s">
        <v>4301</v>
      </c>
      <c r="V521" s="4"/>
      <c r="W521" s="4"/>
      <c r="X521" s="4"/>
    </row>
    <row r="522">
      <c r="A522" s="1" t="s">
        <v>6701</v>
      </c>
      <c r="B522" s="1" t="s">
        <v>4293</v>
      </c>
      <c r="C522" s="1" t="s">
        <v>13340</v>
      </c>
      <c r="D522" s="1" t="s">
        <v>417</v>
      </c>
      <c r="E522" s="1" t="s">
        <v>292</v>
      </c>
      <c r="F522" s="1" t="s">
        <v>576</v>
      </c>
      <c r="G522" s="1" t="s">
        <v>1603</v>
      </c>
      <c r="H522" s="3">
        <v>45698.0</v>
      </c>
      <c r="I522" s="3">
        <v>45882.0</v>
      </c>
      <c r="J522" s="3">
        <v>45882.0</v>
      </c>
      <c r="K522" s="1" t="s">
        <v>215</v>
      </c>
      <c r="L522" s="1" t="s">
        <v>160</v>
      </c>
      <c r="M522" s="1" t="s">
        <v>216</v>
      </c>
      <c r="N522" s="1" t="s">
        <v>131</v>
      </c>
      <c r="O522" s="13"/>
      <c r="P522" s="4"/>
      <c r="Q522" s="4"/>
      <c r="R522" s="1" t="s">
        <v>137</v>
      </c>
      <c r="S522" s="1" t="s">
        <v>137</v>
      </c>
      <c r="T522" s="1" t="s">
        <v>47</v>
      </c>
      <c r="U522" s="1" t="s">
        <v>4301</v>
      </c>
      <c r="V522" s="4"/>
      <c r="W522" s="4"/>
      <c r="X522" s="4"/>
    </row>
    <row r="523">
      <c r="A523" s="1" t="s">
        <v>13351</v>
      </c>
      <c r="B523" s="1" t="s">
        <v>4293</v>
      </c>
      <c r="C523" s="1" t="s">
        <v>13353</v>
      </c>
      <c r="D523" s="1" t="s">
        <v>1067</v>
      </c>
      <c r="E523" s="1" t="s">
        <v>330</v>
      </c>
      <c r="F523" s="1" t="s">
        <v>663</v>
      </c>
      <c r="G523" s="1" t="s">
        <v>1068</v>
      </c>
      <c r="H523" s="3">
        <v>45936.0</v>
      </c>
      <c r="I523" s="3"/>
      <c r="J523" s="3"/>
      <c r="K523" s="1" t="s">
        <v>124</v>
      </c>
      <c r="L523" s="1" t="s">
        <v>160</v>
      </c>
      <c r="M523" s="1" t="s">
        <v>253</v>
      </c>
      <c r="N523" s="1" t="s">
        <v>131</v>
      </c>
      <c r="O523" s="13"/>
      <c r="P523" s="4"/>
      <c r="Q523" s="4"/>
      <c r="R523" s="1" t="s">
        <v>137</v>
      </c>
      <c r="S523" s="1" t="s">
        <v>137</v>
      </c>
      <c r="T523" s="1" t="s">
        <v>47</v>
      </c>
      <c r="U523" s="1" t="s">
        <v>4301</v>
      </c>
      <c r="V523" s="4"/>
      <c r="W523" s="4"/>
      <c r="X523" s="4"/>
    </row>
    <row r="524">
      <c r="A524" s="1" t="s">
        <v>11443</v>
      </c>
      <c r="B524" s="1" t="s">
        <v>4293</v>
      </c>
      <c r="C524" s="1" t="s">
        <v>13363</v>
      </c>
      <c r="D524" s="1" t="s">
        <v>152</v>
      </c>
      <c r="E524" s="1" t="s">
        <v>292</v>
      </c>
      <c r="F524" s="1" t="s">
        <v>962</v>
      </c>
      <c r="G524" s="1" t="s">
        <v>5600</v>
      </c>
      <c r="H524" s="3">
        <v>45650.0</v>
      </c>
      <c r="I524" s="3">
        <v>45882.0</v>
      </c>
      <c r="J524" s="3">
        <v>45882.0</v>
      </c>
      <c r="K524" s="1" t="s">
        <v>215</v>
      </c>
      <c r="L524" s="1" t="s">
        <v>160</v>
      </c>
      <c r="M524" s="1" t="s">
        <v>216</v>
      </c>
      <c r="N524" s="1" t="s">
        <v>131</v>
      </c>
      <c r="O524" s="13"/>
      <c r="P524" s="4"/>
      <c r="Q524" s="4"/>
      <c r="R524" s="1" t="s">
        <v>137</v>
      </c>
      <c r="S524" s="1" t="s">
        <v>137</v>
      </c>
      <c r="T524" s="1" t="s">
        <v>47</v>
      </c>
      <c r="U524" s="1" t="s">
        <v>4301</v>
      </c>
      <c r="V524" s="4"/>
      <c r="W524" s="4"/>
      <c r="X524" s="4"/>
    </row>
    <row r="525">
      <c r="A525" s="1" t="s">
        <v>8420</v>
      </c>
      <c r="B525" s="1" t="s">
        <v>4293</v>
      </c>
      <c r="C525" s="1" t="s">
        <v>3062</v>
      </c>
      <c r="D525" s="1" t="s">
        <v>1291</v>
      </c>
      <c r="E525" s="1" t="s">
        <v>292</v>
      </c>
      <c r="F525" s="1" t="s">
        <v>468</v>
      </c>
      <c r="G525" s="1" t="s">
        <v>1758</v>
      </c>
      <c r="H525" s="3">
        <v>44497.0</v>
      </c>
      <c r="I525" s="3">
        <v>44497.0</v>
      </c>
      <c r="J525" s="3">
        <v>44497.0</v>
      </c>
      <c r="K525" s="1" t="s">
        <v>215</v>
      </c>
      <c r="L525" s="1" t="s">
        <v>160</v>
      </c>
      <c r="M525" s="1" t="s">
        <v>216</v>
      </c>
      <c r="N525" s="1" t="s">
        <v>131</v>
      </c>
      <c r="O525" s="13"/>
      <c r="P525" s="4"/>
      <c r="Q525" s="4"/>
      <c r="R525" s="1" t="s">
        <v>137</v>
      </c>
      <c r="S525" s="1" t="s">
        <v>137</v>
      </c>
      <c r="T525" s="1" t="s">
        <v>47</v>
      </c>
      <c r="U525" s="1" t="s">
        <v>4301</v>
      </c>
      <c r="V525" s="4"/>
      <c r="W525" s="4"/>
      <c r="X525" s="4"/>
    </row>
    <row r="526">
      <c r="A526" s="1" t="s">
        <v>10382</v>
      </c>
      <c r="B526" s="1" t="s">
        <v>4293</v>
      </c>
      <c r="C526" s="1" t="s">
        <v>13390</v>
      </c>
      <c r="D526" s="1" t="s">
        <v>593</v>
      </c>
      <c r="E526" s="1" t="s">
        <v>330</v>
      </c>
      <c r="F526" s="1" t="s">
        <v>663</v>
      </c>
      <c r="G526" s="1" t="s">
        <v>3576</v>
      </c>
      <c r="H526" s="3">
        <v>45254.0</v>
      </c>
      <c r="I526" s="3">
        <v>45387.0</v>
      </c>
      <c r="J526" s="3">
        <v>45387.0</v>
      </c>
      <c r="K526" s="1" t="s">
        <v>215</v>
      </c>
      <c r="L526" s="1" t="s">
        <v>160</v>
      </c>
      <c r="M526" s="1" t="s">
        <v>216</v>
      </c>
      <c r="N526" s="1" t="s">
        <v>131</v>
      </c>
      <c r="O526" s="13"/>
      <c r="P526" s="1"/>
      <c r="Q526" s="4"/>
      <c r="R526" s="1" t="s">
        <v>137</v>
      </c>
      <c r="S526" s="1" t="s">
        <v>137</v>
      </c>
      <c r="T526" s="1" t="s">
        <v>47</v>
      </c>
      <c r="U526" s="1" t="s">
        <v>4301</v>
      </c>
      <c r="V526" s="4"/>
      <c r="W526" s="4"/>
      <c r="X526" s="4"/>
    </row>
    <row r="527">
      <c r="A527" s="1" t="s">
        <v>6923</v>
      </c>
      <c r="B527" s="1" t="s">
        <v>4293</v>
      </c>
      <c r="C527" s="1" t="s">
        <v>13400</v>
      </c>
      <c r="D527" s="1" t="s">
        <v>1291</v>
      </c>
      <c r="E527" s="1" t="s">
        <v>175</v>
      </c>
      <c r="F527" s="1" t="s">
        <v>3592</v>
      </c>
      <c r="G527" s="1" t="s">
        <v>6164</v>
      </c>
      <c r="H527" s="3">
        <v>44985.0</v>
      </c>
      <c r="I527" s="3">
        <v>45372.0</v>
      </c>
      <c r="J527" s="3">
        <v>45372.0</v>
      </c>
      <c r="K527" s="1" t="s">
        <v>215</v>
      </c>
      <c r="L527" s="1" t="s">
        <v>160</v>
      </c>
      <c r="M527" s="1" t="s">
        <v>216</v>
      </c>
      <c r="N527" s="1" t="s">
        <v>131</v>
      </c>
      <c r="O527" s="13"/>
      <c r="P527" s="1"/>
      <c r="Q527" s="4"/>
      <c r="R527" s="1" t="s">
        <v>137</v>
      </c>
      <c r="S527" s="1" t="s">
        <v>137</v>
      </c>
      <c r="T527" s="1" t="s">
        <v>47</v>
      </c>
      <c r="U527" s="1" t="s">
        <v>4301</v>
      </c>
      <c r="V527" s="4"/>
      <c r="W527" s="4"/>
      <c r="X527" s="4"/>
    </row>
    <row r="528">
      <c r="A528" s="1" t="s">
        <v>8108</v>
      </c>
      <c r="B528" s="1" t="s">
        <v>4293</v>
      </c>
      <c r="C528" s="1" t="s">
        <v>13409</v>
      </c>
      <c r="D528" s="1" t="s">
        <v>960</v>
      </c>
      <c r="E528" s="1" t="s">
        <v>175</v>
      </c>
      <c r="F528" s="1" t="s">
        <v>3592</v>
      </c>
      <c r="G528" s="1" t="s">
        <v>6164</v>
      </c>
      <c r="H528" s="3">
        <v>44344.0</v>
      </c>
      <c r="I528" s="3">
        <v>44643.0</v>
      </c>
      <c r="J528" s="3">
        <v>44643.0</v>
      </c>
      <c r="K528" s="1" t="s">
        <v>215</v>
      </c>
      <c r="L528" s="1" t="s">
        <v>160</v>
      </c>
      <c r="M528" s="1" t="s">
        <v>216</v>
      </c>
      <c r="N528" s="1" t="s">
        <v>131</v>
      </c>
      <c r="O528" s="13"/>
      <c r="P528" s="4"/>
      <c r="Q528" s="4"/>
      <c r="R528" s="1" t="s">
        <v>137</v>
      </c>
      <c r="S528" s="1" t="s">
        <v>137</v>
      </c>
      <c r="T528" s="1" t="s">
        <v>47</v>
      </c>
      <c r="U528" s="1" t="s">
        <v>4301</v>
      </c>
      <c r="V528" s="4"/>
      <c r="W528" s="4"/>
      <c r="X528" s="4"/>
    </row>
    <row r="529">
      <c r="A529" s="1" t="s">
        <v>6779</v>
      </c>
      <c r="B529" s="1" t="s">
        <v>4293</v>
      </c>
      <c r="C529" s="1" t="s">
        <v>13424</v>
      </c>
      <c r="D529" s="1" t="s">
        <v>1258</v>
      </c>
      <c r="E529" s="1" t="s">
        <v>119</v>
      </c>
      <c r="F529" s="1" t="s">
        <v>2522</v>
      </c>
      <c r="G529" s="1" t="s">
        <v>2522</v>
      </c>
      <c r="H529" s="3">
        <v>44832.0</v>
      </c>
      <c r="I529" s="3">
        <v>45049.0</v>
      </c>
      <c r="J529" s="3">
        <v>45049.0</v>
      </c>
      <c r="K529" s="1" t="s">
        <v>215</v>
      </c>
      <c r="L529" s="1" t="s">
        <v>160</v>
      </c>
      <c r="M529" s="1" t="s">
        <v>216</v>
      </c>
      <c r="N529" s="1" t="s">
        <v>131</v>
      </c>
      <c r="O529" s="13"/>
      <c r="P529" s="1"/>
      <c r="Q529" s="4"/>
      <c r="R529" s="1" t="s">
        <v>137</v>
      </c>
      <c r="S529" s="1" t="s">
        <v>137</v>
      </c>
      <c r="T529" s="1" t="s">
        <v>47</v>
      </c>
      <c r="U529" s="1" t="s">
        <v>4301</v>
      </c>
      <c r="V529" s="4"/>
      <c r="W529" s="4"/>
      <c r="X529" s="4"/>
    </row>
    <row r="530">
      <c r="A530" s="1" t="s">
        <v>13438</v>
      </c>
      <c r="B530" s="1" t="s">
        <v>4293</v>
      </c>
      <c r="C530" s="1" t="s">
        <v>13440</v>
      </c>
      <c r="D530" s="1" t="s">
        <v>1823</v>
      </c>
      <c r="E530" s="1"/>
      <c r="F530" s="1"/>
      <c r="G530" s="1"/>
      <c r="H530" s="3">
        <v>45269.0</v>
      </c>
      <c r="I530" s="3"/>
      <c r="J530" s="3"/>
      <c r="K530" s="1" t="s">
        <v>124</v>
      </c>
      <c r="L530" s="1" t="s">
        <v>160</v>
      </c>
      <c r="M530" s="1" t="s">
        <v>253</v>
      </c>
      <c r="N530" s="1" t="s">
        <v>131</v>
      </c>
      <c r="O530" s="13"/>
      <c r="P530" s="1"/>
      <c r="Q530" s="4"/>
      <c r="R530" s="1" t="s">
        <v>137</v>
      </c>
      <c r="S530" s="1" t="s">
        <v>137</v>
      </c>
      <c r="T530" s="1" t="s">
        <v>47</v>
      </c>
      <c r="U530" s="1" t="s">
        <v>4301</v>
      </c>
      <c r="V530" s="4"/>
      <c r="W530" s="4"/>
      <c r="X530" s="4"/>
    </row>
    <row r="531">
      <c r="A531" s="1" t="s">
        <v>4875</v>
      </c>
      <c r="B531" s="1" t="s">
        <v>116</v>
      </c>
      <c r="C531" s="1" t="s">
        <v>13450</v>
      </c>
      <c r="D531" s="1" t="s">
        <v>1258</v>
      </c>
      <c r="E531" s="1" t="s">
        <v>209</v>
      </c>
      <c r="F531" s="1" t="s">
        <v>398</v>
      </c>
      <c r="G531" s="1" t="s">
        <v>399</v>
      </c>
      <c r="H531" s="3">
        <v>46280.0</v>
      </c>
      <c r="I531" s="3">
        <v>46468.0</v>
      </c>
      <c r="J531" s="3"/>
      <c r="K531" s="1" t="s">
        <v>124</v>
      </c>
      <c r="L531" s="1" t="s">
        <v>160</v>
      </c>
      <c r="M531" s="1" t="s">
        <v>162</v>
      </c>
      <c r="N531" s="1" t="s">
        <v>131</v>
      </c>
      <c r="O531" s="13"/>
      <c r="P531" s="1" t="s">
        <v>13456</v>
      </c>
      <c r="Q531" s="4"/>
      <c r="R531" s="1" t="s">
        <v>137</v>
      </c>
      <c r="S531" s="1" t="s">
        <v>137</v>
      </c>
      <c r="T531" s="1" t="s">
        <v>47</v>
      </c>
      <c r="U531" s="1" t="s">
        <v>4889</v>
      </c>
      <c r="V531" s="4"/>
      <c r="W531" s="4"/>
      <c r="X531" s="4"/>
    </row>
    <row r="532">
      <c r="A532" s="1" t="s">
        <v>10245</v>
      </c>
      <c r="B532" s="1" t="s">
        <v>4293</v>
      </c>
      <c r="C532" s="1" t="s">
        <v>3092</v>
      </c>
      <c r="D532" s="1" t="s">
        <v>273</v>
      </c>
      <c r="E532" s="1" t="s">
        <v>330</v>
      </c>
      <c r="F532" s="1" t="s">
        <v>356</v>
      </c>
      <c r="G532" s="1" t="s">
        <v>875</v>
      </c>
      <c r="H532" s="3">
        <v>44553.0</v>
      </c>
      <c r="I532" s="3">
        <v>44446.0</v>
      </c>
      <c r="J532" s="3">
        <v>44446.0</v>
      </c>
      <c r="K532" s="1" t="s">
        <v>215</v>
      </c>
      <c r="L532" s="1" t="s">
        <v>160</v>
      </c>
      <c r="M532" s="1" t="s">
        <v>216</v>
      </c>
      <c r="N532" s="1" t="s">
        <v>131</v>
      </c>
      <c r="O532" s="13"/>
      <c r="P532" s="4"/>
      <c r="Q532" s="4"/>
      <c r="R532" s="1" t="s">
        <v>137</v>
      </c>
      <c r="S532" s="1" t="s">
        <v>137</v>
      </c>
      <c r="T532" s="1" t="s">
        <v>47</v>
      </c>
      <c r="U532" s="1" t="s">
        <v>4301</v>
      </c>
      <c r="V532" s="4"/>
      <c r="W532" s="4"/>
      <c r="X532" s="4"/>
    </row>
    <row r="533">
      <c r="A533" s="1" t="s">
        <v>8534</v>
      </c>
      <c r="B533" s="1" t="s">
        <v>4293</v>
      </c>
      <c r="C533" s="1" t="s">
        <v>13477</v>
      </c>
      <c r="D533" s="1" t="s">
        <v>1932</v>
      </c>
      <c r="E533" s="1" t="s">
        <v>292</v>
      </c>
      <c r="F533" s="1" t="s">
        <v>962</v>
      </c>
      <c r="G533" s="1" t="s">
        <v>963</v>
      </c>
      <c r="H533" s="3">
        <v>44862.0</v>
      </c>
      <c r="I533" s="3">
        <v>44978.0</v>
      </c>
      <c r="J533" s="3">
        <v>44978.0</v>
      </c>
      <c r="K533" s="1" t="s">
        <v>215</v>
      </c>
      <c r="L533" s="1" t="s">
        <v>160</v>
      </c>
      <c r="M533" s="1" t="s">
        <v>216</v>
      </c>
      <c r="N533" s="1" t="s">
        <v>131</v>
      </c>
      <c r="O533" s="13"/>
      <c r="P533" s="4"/>
      <c r="Q533" s="4"/>
      <c r="R533" s="1" t="s">
        <v>137</v>
      </c>
      <c r="S533" s="1" t="s">
        <v>137</v>
      </c>
      <c r="T533" s="1" t="s">
        <v>47</v>
      </c>
      <c r="U533" s="1" t="s">
        <v>4301</v>
      </c>
      <c r="V533" s="4"/>
      <c r="W533" s="4"/>
      <c r="X533" s="4"/>
    </row>
    <row r="534">
      <c r="A534" s="1" t="s">
        <v>13489</v>
      </c>
      <c r="B534" s="1" t="s">
        <v>116</v>
      </c>
      <c r="C534" s="1" t="s">
        <v>13492</v>
      </c>
      <c r="D534" s="1" t="s">
        <v>388</v>
      </c>
      <c r="E534" s="1" t="s">
        <v>292</v>
      </c>
      <c r="F534" s="1" t="s">
        <v>576</v>
      </c>
      <c r="G534" s="1" t="s">
        <v>998</v>
      </c>
      <c r="H534" s="3">
        <v>46293.0</v>
      </c>
      <c r="I534" s="3"/>
      <c r="J534" s="3"/>
      <c r="K534" s="1" t="s">
        <v>124</v>
      </c>
      <c r="L534" s="1" t="s">
        <v>98</v>
      </c>
      <c r="M534" s="1" t="s">
        <v>162</v>
      </c>
      <c r="N534" s="1" t="s">
        <v>131</v>
      </c>
      <c r="O534" s="13"/>
      <c r="P534" s="4"/>
      <c r="Q534" s="4"/>
      <c r="R534" s="1" t="s">
        <v>137</v>
      </c>
      <c r="S534" s="1" t="s">
        <v>137</v>
      </c>
      <c r="T534" s="1" t="s">
        <v>47</v>
      </c>
      <c r="U534" s="1"/>
      <c r="V534" s="4"/>
      <c r="W534" s="4"/>
      <c r="X534" s="4"/>
    </row>
    <row r="535">
      <c r="A535" s="1" t="s">
        <v>7868</v>
      </c>
      <c r="B535" s="1" t="s">
        <v>4293</v>
      </c>
      <c r="C535" s="1" t="s">
        <v>13502</v>
      </c>
      <c r="D535" s="1" t="s">
        <v>417</v>
      </c>
      <c r="E535" s="1" t="s">
        <v>292</v>
      </c>
      <c r="F535" s="1" t="s">
        <v>576</v>
      </c>
      <c r="G535" s="1" t="s">
        <v>1603</v>
      </c>
      <c r="H535" s="3">
        <v>45653.0</v>
      </c>
      <c r="I535" s="3">
        <v>45903.0</v>
      </c>
      <c r="J535" s="3">
        <v>45903.0</v>
      </c>
      <c r="K535" s="1" t="s">
        <v>215</v>
      </c>
      <c r="L535" s="1" t="s">
        <v>160</v>
      </c>
      <c r="M535" s="1" t="s">
        <v>216</v>
      </c>
      <c r="N535" s="1" t="s">
        <v>131</v>
      </c>
      <c r="O535" s="13"/>
      <c r="P535" s="4"/>
      <c r="Q535" s="4"/>
      <c r="R535" s="1" t="s">
        <v>137</v>
      </c>
      <c r="S535" s="1" t="s">
        <v>137</v>
      </c>
      <c r="T535" s="1" t="s">
        <v>47</v>
      </c>
      <c r="U535" s="1" t="s">
        <v>4301</v>
      </c>
      <c r="V535" s="4"/>
      <c r="W535" s="4"/>
      <c r="X535" s="4"/>
    </row>
    <row r="536">
      <c r="A536" s="1" t="s">
        <v>8913</v>
      </c>
      <c r="B536" s="1" t="s">
        <v>4293</v>
      </c>
      <c r="C536" s="1" t="s">
        <v>13517</v>
      </c>
      <c r="D536" s="1" t="s">
        <v>509</v>
      </c>
      <c r="E536" s="1" t="s">
        <v>454</v>
      </c>
      <c r="F536" s="1" t="s">
        <v>455</v>
      </c>
      <c r="G536" s="1" t="s">
        <v>456</v>
      </c>
      <c r="H536" s="3">
        <v>43553.0</v>
      </c>
      <c r="I536" s="3">
        <v>43784.0</v>
      </c>
      <c r="J536" s="3">
        <v>43784.0</v>
      </c>
      <c r="K536" s="1" t="s">
        <v>215</v>
      </c>
      <c r="L536" s="1" t="s">
        <v>160</v>
      </c>
      <c r="M536" s="1" t="s">
        <v>216</v>
      </c>
      <c r="N536" s="1" t="s">
        <v>131</v>
      </c>
      <c r="O536" s="13"/>
      <c r="P536" s="4"/>
      <c r="Q536" s="4"/>
      <c r="R536" s="1" t="s">
        <v>137</v>
      </c>
      <c r="S536" s="1" t="s">
        <v>137</v>
      </c>
      <c r="T536" s="1" t="s">
        <v>47</v>
      </c>
      <c r="U536" s="1" t="s">
        <v>4301</v>
      </c>
      <c r="V536" s="4"/>
      <c r="W536" s="4"/>
      <c r="X536" s="4"/>
    </row>
    <row r="537">
      <c r="A537" s="1" t="s">
        <v>6283</v>
      </c>
      <c r="B537" s="1" t="s">
        <v>4293</v>
      </c>
      <c r="C537" s="1" t="s">
        <v>13530</v>
      </c>
      <c r="D537" s="1" t="s">
        <v>1291</v>
      </c>
      <c r="E537" s="1" t="s">
        <v>292</v>
      </c>
      <c r="F537" s="1" t="s">
        <v>494</v>
      </c>
      <c r="G537" s="1" t="s">
        <v>1478</v>
      </c>
      <c r="H537" s="3">
        <v>44405.0</v>
      </c>
      <c r="I537" s="3">
        <v>44784.0</v>
      </c>
      <c r="J537" s="3">
        <v>44784.0</v>
      </c>
      <c r="K537" s="1" t="s">
        <v>215</v>
      </c>
      <c r="L537" s="1" t="s">
        <v>160</v>
      </c>
      <c r="M537" s="1" t="s">
        <v>216</v>
      </c>
      <c r="N537" s="1" t="s">
        <v>131</v>
      </c>
      <c r="O537" s="13"/>
      <c r="P537" s="4"/>
      <c r="Q537" s="4"/>
      <c r="R537" s="1" t="s">
        <v>137</v>
      </c>
      <c r="S537" s="1" t="s">
        <v>137</v>
      </c>
      <c r="T537" s="1" t="s">
        <v>47</v>
      </c>
      <c r="U537" s="1" t="s">
        <v>4301</v>
      </c>
      <c r="V537" s="4"/>
      <c r="W537" s="4"/>
      <c r="X537" s="4"/>
    </row>
    <row r="538">
      <c r="A538" s="1" t="s">
        <v>10595</v>
      </c>
      <c r="B538" s="1" t="s">
        <v>4293</v>
      </c>
      <c r="C538" s="1" t="s">
        <v>13548</v>
      </c>
      <c r="D538" s="1" t="s">
        <v>152</v>
      </c>
      <c r="E538" s="1" t="s">
        <v>292</v>
      </c>
      <c r="F538" s="1" t="s">
        <v>962</v>
      </c>
      <c r="G538" s="1" t="s">
        <v>5600</v>
      </c>
      <c r="H538" s="3">
        <v>44553.0</v>
      </c>
      <c r="I538" s="3">
        <v>44790.0</v>
      </c>
      <c r="J538" s="3">
        <v>44790.0</v>
      </c>
      <c r="K538" s="1" t="s">
        <v>215</v>
      </c>
      <c r="L538" s="1" t="s">
        <v>160</v>
      </c>
      <c r="M538" s="1" t="s">
        <v>216</v>
      </c>
      <c r="N538" s="1" t="s">
        <v>131</v>
      </c>
      <c r="O538" s="13"/>
      <c r="P538" s="4"/>
      <c r="Q538" s="4"/>
      <c r="R538" s="1" t="s">
        <v>137</v>
      </c>
      <c r="S538" s="1" t="s">
        <v>137</v>
      </c>
      <c r="T538" s="1" t="s">
        <v>47</v>
      </c>
      <c r="U538" s="1" t="s">
        <v>4301</v>
      </c>
      <c r="V538" s="4"/>
      <c r="W538" s="4"/>
      <c r="X538" s="4"/>
    </row>
    <row r="539">
      <c r="A539" s="1" t="s">
        <v>7205</v>
      </c>
      <c r="B539" s="1" t="s">
        <v>4293</v>
      </c>
      <c r="C539" s="1" t="s">
        <v>13561</v>
      </c>
      <c r="D539" s="1" t="s">
        <v>593</v>
      </c>
      <c r="E539" s="1" t="s">
        <v>330</v>
      </c>
      <c r="F539" s="1" t="s">
        <v>663</v>
      </c>
      <c r="G539" s="1" t="s">
        <v>2835</v>
      </c>
      <c r="H539" s="3">
        <v>45034.0</v>
      </c>
      <c r="I539" s="3">
        <v>45825.0</v>
      </c>
      <c r="J539" s="3">
        <v>45825.0</v>
      </c>
      <c r="K539" s="1" t="s">
        <v>215</v>
      </c>
      <c r="L539" s="1" t="s">
        <v>160</v>
      </c>
      <c r="M539" s="1" t="s">
        <v>216</v>
      </c>
      <c r="N539" s="1" t="s">
        <v>131</v>
      </c>
      <c r="O539" s="13"/>
      <c r="P539" s="4"/>
      <c r="Q539" s="4"/>
      <c r="R539" s="1" t="s">
        <v>137</v>
      </c>
      <c r="S539" s="1" t="s">
        <v>137</v>
      </c>
      <c r="T539" s="1" t="s">
        <v>47</v>
      </c>
      <c r="U539" s="1" t="s">
        <v>4301</v>
      </c>
      <c r="V539" s="4"/>
      <c r="W539" s="4"/>
      <c r="X539" s="4"/>
    </row>
    <row r="540">
      <c r="A540" s="1" t="s">
        <v>7153</v>
      </c>
      <c r="B540" s="1" t="s">
        <v>4293</v>
      </c>
      <c r="C540" s="1" t="s">
        <v>13573</v>
      </c>
      <c r="D540" s="1" t="s">
        <v>1823</v>
      </c>
      <c r="E540" s="1" t="s">
        <v>153</v>
      </c>
      <c r="F540" s="1" t="s">
        <v>13577</v>
      </c>
      <c r="G540" s="1"/>
      <c r="H540" s="3">
        <v>45229.0</v>
      </c>
      <c r="I540" s="3">
        <v>45426.0</v>
      </c>
      <c r="J540" s="3">
        <v>45426.0</v>
      </c>
      <c r="K540" s="1" t="s">
        <v>215</v>
      </c>
      <c r="L540" s="1" t="s">
        <v>160</v>
      </c>
      <c r="M540" s="1" t="s">
        <v>216</v>
      </c>
      <c r="N540" s="1" t="s">
        <v>131</v>
      </c>
      <c r="O540" s="13"/>
      <c r="P540" s="4"/>
      <c r="Q540" s="4"/>
      <c r="R540" s="1" t="s">
        <v>137</v>
      </c>
      <c r="S540" s="1" t="s">
        <v>137</v>
      </c>
      <c r="T540" s="1" t="s">
        <v>47</v>
      </c>
      <c r="U540" s="1" t="s">
        <v>4301</v>
      </c>
      <c r="V540" s="4"/>
      <c r="W540" s="4"/>
      <c r="X540" s="4"/>
    </row>
    <row r="541">
      <c r="A541" s="1" t="s">
        <v>10036</v>
      </c>
      <c r="B541" s="1" t="s">
        <v>4293</v>
      </c>
      <c r="C541" s="1" t="s">
        <v>13584</v>
      </c>
      <c r="D541" s="1" t="s">
        <v>1823</v>
      </c>
      <c r="E541" s="1" t="s">
        <v>153</v>
      </c>
      <c r="F541" s="1" t="s">
        <v>155</v>
      </c>
      <c r="G541" s="1" t="s">
        <v>3617</v>
      </c>
      <c r="H541" s="3">
        <v>45229.0</v>
      </c>
      <c r="I541" s="3">
        <v>45426.0</v>
      </c>
      <c r="J541" s="3">
        <v>45426.0</v>
      </c>
      <c r="K541" s="1" t="s">
        <v>215</v>
      </c>
      <c r="L541" s="1" t="s">
        <v>160</v>
      </c>
      <c r="M541" s="1" t="s">
        <v>216</v>
      </c>
      <c r="N541" s="1" t="s">
        <v>131</v>
      </c>
      <c r="O541" s="13"/>
      <c r="P541" s="4"/>
      <c r="Q541" s="4"/>
      <c r="R541" s="1" t="s">
        <v>137</v>
      </c>
      <c r="S541" s="1" t="s">
        <v>137</v>
      </c>
      <c r="T541" s="1" t="s">
        <v>47</v>
      </c>
      <c r="U541" s="1" t="s">
        <v>4301</v>
      </c>
      <c r="V541" s="4"/>
      <c r="W541" s="4"/>
      <c r="X541" s="4"/>
    </row>
    <row r="542">
      <c r="A542" s="1" t="s">
        <v>9594</v>
      </c>
      <c r="B542" s="1" t="s">
        <v>4293</v>
      </c>
      <c r="C542" s="1" t="s">
        <v>13596</v>
      </c>
      <c r="D542" s="1" t="s">
        <v>1477</v>
      </c>
      <c r="E542" s="1" t="s">
        <v>292</v>
      </c>
      <c r="F542" s="1" t="s">
        <v>962</v>
      </c>
      <c r="G542" s="1" t="s">
        <v>5600</v>
      </c>
      <c r="H542" s="3">
        <v>45755.0</v>
      </c>
      <c r="I542" s="3">
        <v>45777.0</v>
      </c>
      <c r="J542" s="3">
        <v>45777.0</v>
      </c>
      <c r="K542" s="1" t="s">
        <v>215</v>
      </c>
      <c r="L542" s="1" t="s">
        <v>160</v>
      </c>
      <c r="M542" s="1" t="s">
        <v>216</v>
      </c>
      <c r="N542" s="1" t="s">
        <v>131</v>
      </c>
      <c r="O542" s="13"/>
      <c r="P542" s="4"/>
      <c r="Q542" s="4"/>
      <c r="R542" s="1" t="s">
        <v>137</v>
      </c>
      <c r="S542" s="1" t="s">
        <v>137</v>
      </c>
      <c r="T542" s="1" t="s">
        <v>47</v>
      </c>
      <c r="U542" s="1" t="s">
        <v>4301</v>
      </c>
      <c r="V542" s="4"/>
      <c r="W542" s="4"/>
      <c r="X542" s="4"/>
    </row>
    <row r="543">
      <c r="A543" s="1" t="s">
        <v>9819</v>
      </c>
      <c r="B543" s="1" t="s">
        <v>4293</v>
      </c>
      <c r="C543" s="1" t="s">
        <v>13609</v>
      </c>
      <c r="D543" s="1" t="s">
        <v>1477</v>
      </c>
      <c r="E543" s="1" t="s">
        <v>292</v>
      </c>
      <c r="F543" s="1" t="s">
        <v>962</v>
      </c>
      <c r="G543" s="1" t="s">
        <v>5600</v>
      </c>
      <c r="H543" s="3">
        <v>43882.0</v>
      </c>
      <c r="I543" s="3">
        <v>44053.0</v>
      </c>
      <c r="J543" s="3">
        <v>44053.0</v>
      </c>
      <c r="K543" s="1" t="s">
        <v>215</v>
      </c>
      <c r="L543" s="1" t="s">
        <v>160</v>
      </c>
      <c r="M543" s="1" t="s">
        <v>216</v>
      </c>
      <c r="N543" s="1" t="s">
        <v>131</v>
      </c>
      <c r="O543" s="13"/>
      <c r="P543" s="4"/>
      <c r="Q543" s="4"/>
      <c r="R543" s="1" t="s">
        <v>137</v>
      </c>
      <c r="S543" s="1" t="s">
        <v>137</v>
      </c>
      <c r="T543" s="1" t="s">
        <v>47</v>
      </c>
      <c r="U543" s="1" t="s">
        <v>4301</v>
      </c>
      <c r="V543" s="4"/>
      <c r="W543" s="4"/>
      <c r="X543" s="4"/>
    </row>
    <row r="544">
      <c r="A544" s="1" t="s">
        <v>7635</v>
      </c>
      <c r="B544" s="1" t="s">
        <v>4293</v>
      </c>
      <c r="C544" s="1" t="s">
        <v>13626</v>
      </c>
      <c r="D544" s="1" t="s">
        <v>1477</v>
      </c>
      <c r="E544" s="1" t="s">
        <v>889</v>
      </c>
      <c r="F544" s="1" t="s">
        <v>2385</v>
      </c>
      <c r="G544" s="1"/>
      <c r="H544" s="3">
        <v>44704.0</v>
      </c>
      <c r="I544" s="3">
        <v>44812.0</v>
      </c>
      <c r="J544" s="3">
        <v>44812.0</v>
      </c>
      <c r="K544" s="1" t="s">
        <v>215</v>
      </c>
      <c r="L544" s="1" t="s">
        <v>160</v>
      </c>
      <c r="M544" s="1" t="s">
        <v>216</v>
      </c>
      <c r="N544" s="1" t="s">
        <v>131</v>
      </c>
      <c r="O544" s="13"/>
      <c r="P544" s="4"/>
      <c r="Q544" s="4"/>
      <c r="R544" s="1" t="s">
        <v>137</v>
      </c>
      <c r="S544" s="1" t="s">
        <v>137</v>
      </c>
      <c r="T544" s="1" t="s">
        <v>47</v>
      </c>
      <c r="U544" s="1" t="s">
        <v>4301</v>
      </c>
      <c r="V544" s="4"/>
      <c r="W544" s="4"/>
      <c r="X544" s="4"/>
    </row>
    <row r="545">
      <c r="A545" s="1" t="s">
        <v>11991</v>
      </c>
      <c r="B545" s="1" t="s">
        <v>4293</v>
      </c>
      <c r="C545" s="1" t="s">
        <v>13642</v>
      </c>
      <c r="D545" s="1" t="s">
        <v>291</v>
      </c>
      <c r="E545" s="1" t="s">
        <v>292</v>
      </c>
      <c r="F545" s="1" t="s">
        <v>293</v>
      </c>
      <c r="G545" s="1" t="s">
        <v>295</v>
      </c>
      <c r="H545" s="3">
        <v>45887.0</v>
      </c>
      <c r="I545" s="3">
        <v>46141.0</v>
      </c>
      <c r="J545" s="3">
        <v>46141.0</v>
      </c>
      <c r="K545" s="1" t="s">
        <v>215</v>
      </c>
      <c r="L545" s="1" t="s">
        <v>160</v>
      </c>
      <c r="M545" s="1" t="s">
        <v>216</v>
      </c>
      <c r="N545" s="1" t="s">
        <v>131</v>
      </c>
      <c r="O545" s="13"/>
      <c r="P545" s="4"/>
      <c r="Q545" s="4"/>
      <c r="R545" s="1" t="s">
        <v>137</v>
      </c>
      <c r="S545" s="1" t="s">
        <v>137</v>
      </c>
      <c r="T545" s="1" t="s">
        <v>47</v>
      </c>
      <c r="U545" s="1" t="s">
        <v>4301</v>
      </c>
      <c r="V545" s="4"/>
      <c r="W545" s="4"/>
      <c r="X545" s="4"/>
    </row>
    <row r="546">
      <c r="A546" s="1" t="s">
        <v>8995</v>
      </c>
      <c r="B546" s="1" t="s">
        <v>4293</v>
      </c>
      <c r="C546" s="1" t="s">
        <v>13658</v>
      </c>
      <c r="D546" s="1" t="s">
        <v>152</v>
      </c>
      <c r="E546" s="1" t="s">
        <v>292</v>
      </c>
      <c r="F546" s="1" t="s">
        <v>494</v>
      </c>
      <c r="G546" s="1" t="s">
        <v>1784</v>
      </c>
      <c r="H546" s="3">
        <v>45251.0</v>
      </c>
      <c r="I546" s="3">
        <v>45491.0</v>
      </c>
      <c r="J546" s="3">
        <v>45491.0</v>
      </c>
      <c r="K546" s="1" t="s">
        <v>215</v>
      </c>
      <c r="L546" s="1" t="s">
        <v>160</v>
      </c>
      <c r="M546" s="1" t="s">
        <v>216</v>
      </c>
      <c r="N546" s="1" t="s">
        <v>131</v>
      </c>
      <c r="O546" s="13"/>
      <c r="P546" s="4"/>
      <c r="Q546" s="4"/>
      <c r="R546" s="1" t="s">
        <v>137</v>
      </c>
      <c r="S546" s="1" t="s">
        <v>137</v>
      </c>
      <c r="T546" s="1" t="s">
        <v>47</v>
      </c>
      <c r="U546" s="1" t="s">
        <v>4301</v>
      </c>
      <c r="V546" s="4"/>
      <c r="W546" s="4"/>
      <c r="X546" s="4"/>
    </row>
    <row r="547">
      <c r="A547" s="1" t="s">
        <v>12086</v>
      </c>
      <c r="B547" s="1" t="s">
        <v>4293</v>
      </c>
      <c r="C547" s="1" t="s">
        <v>13671</v>
      </c>
      <c r="D547" s="1" t="s">
        <v>1932</v>
      </c>
      <c r="E547" s="1" t="s">
        <v>454</v>
      </c>
      <c r="F547" s="1" t="s">
        <v>3395</v>
      </c>
      <c r="G547" s="1" t="s">
        <v>3396</v>
      </c>
      <c r="H547" s="3">
        <v>44741.0</v>
      </c>
      <c r="I547" s="3">
        <v>44909.0</v>
      </c>
      <c r="J547" s="3">
        <v>44909.0</v>
      </c>
      <c r="K547" s="1" t="s">
        <v>215</v>
      </c>
      <c r="L547" s="1" t="s">
        <v>160</v>
      </c>
      <c r="M547" s="1" t="s">
        <v>216</v>
      </c>
      <c r="N547" s="1" t="s">
        <v>131</v>
      </c>
      <c r="O547" s="13"/>
      <c r="P547" s="1"/>
      <c r="Q547" s="4"/>
      <c r="R547" s="1" t="s">
        <v>137</v>
      </c>
      <c r="S547" s="1" t="s">
        <v>137</v>
      </c>
      <c r="T547" s="1" t="s">
        <v>47</v>
      </c>
      <c r="U547" s="1" t="s">
        <v>4301</v>
      </c>
      <c r="V547" s="4"/>
      <c r="W547" s="4"/>
      <c r="X547" s="4"/>
    </row>
    <row r="548">
      <c r="A548" s="1" t="s">
        <v>13680</v>
      </c>
      <c r="B548" s="1" t="s">
        <v>116</v>
      </c>
      <c r="C548" s="1" t="s">
        <v>13681</v>
      </c>
      <c r="D548" s="1" t="s">
        <v>388</v>
      </c>
      <c r="E548" s="1" t="s">
        <v>292</v>
      </c>
      <c r="F548" s="1" t="s">
        <v>494</v>
      </c>
      <c r="G548" s="1" t="s">
        <v>1478</v>
      </c>
      <c r="H548" s="3">
        <v>46290.0</v>
      </c>
      <c r="I548" s="3"/>
      <c r="J548" s="3"/>
      <c r="K548" s="1" t="s">
        <v>124</v>
      </c>
      <c r="L548" s="1" t="s">
        <v>98</v>
      </c>
      <c r="M548" s="1" t="s">
        <v>162</v>
      </c>
      <c r="N548" s="1" t="s">
        <v>131</v>
      </c>
      <c r="O548" s="13"/>
      <c r="P548" s="1"/>
      <c r="Q548" s="4"/>
      <c r="R548" s="1" t="s">
        <v>4945</v>
      </c>
      <c r="S548" s="1" t="s">
        <v>4945</v>
      </c>
      <c r="T548" s="1" t="s">
        <v>4946</v>
      </c>
      <c r="U548" s="1"/>
      <c r="V548" s="4"/>
      <c r="W548" s="4"/>
      <c r="X548" s="4"/>
    </row>
    <row r="549">
      <c r="A549" s="1" t="s">
        <v>2817</v>
      </c>
      <c r="B549" s="1" t="s">
        <v>116</v>
      </c>
      <c r="C549" s="1" t="s">
        <v>3105</v>
      </c>
      <c r="D549" s="1" t="s">
        <v>919</v>
      </c>
      <c r="E549" s="1" t="s">
        <v>330</v>
      </c>
      <c r="F549" s="1" t="s">
        <v>663</v>
      </c>
      <c r="G549" s="1" t="s">
        <v>664</v>
      </c>
      <c r="H549" s="3">
        <v>46203.0</v>
      </c>
      <c r="I549" s="3">
        <v>46363.0</v>
      </c>
      <c r="J549" s="3"/>
      <c r="K549" s="1" t="s">
        <v>124</v>
      </c>
      <c r="L549" s="1" t="s">
        <v>71</v>
      </c>
      <c r="M549" s="1" t="s">
        <v>162</v>
      </c>
      <c r="N549" s="1" t="s">
        <v>472</v>
      </c>
      <c r="O549" s="13"/>
      <c r="P549" s="4"/>
      <c r="Q549" s="4"/>
      <c r="R549" s="1" t="s">
        <v>665</v>
      </c>
      <c r="S549" s="1" t="s">
        <v>665</v>
      </c>
      <c r="T549" s="1" t="s">
        <v>666</v>
      </c>
      <c r="U549" s="1" t="s">
        <v>4384</v>
      </c>
      <c r="V549" s="4"/>
      <c r="W549" s="4"/>
      <c r="X549" s="4"/>
    </row>
    <row r="550">
      <c r="A550" s="1" t="s">
        <v>8903</v>
      </c>
      <c r="B550" s="1" t="s">
        <v>4293</v>
      </c>
      <c r="C550" s="1" t="s">
        <v>3107</v>
      </c>
      <c r="D550" s="1" t="s">
        <v>831</v>
      </c>
      <c r="E550" s="1" t="s">
        <v>292</v>
      </c>
      <c r="F550" s="1" t="s">
        <v>468</v>
      </c>
      <c r="G550" s="1" t="s">
        <v>998</v>
      </c>
      <c r="H550" s="3">
        <v>45282.0</v>
      </c>
      <c r="I550" s="3">
        <v>45499.0</v>
      </c>
      <c r="J550" s="3">
        <v>45499.0</v>
      </c>
      <c r="K550" s="1" t="s">
        <v>215</v>
      </c>
      <c r="L550" s="1" t="s">
        <v>160</v>
      </c>
      <c r="M550" s="1" t="s">
        <v>216</v>
      </c>
      <c r="N550" s="1" t="s">
        <v>131</v>
      </c>
      <c r="O550" s="13"/>
      <c r="P550" s="1"/>
      <c r="Q550" s="4"/>
      <c r="R550" s="1" t="s">
        <v>137</v>
      </c>
      <c r="S550" s="1" t="s">
        <v>137</v>
      </c>
      <c r="T550" s="1" t="s">
        <v>47</v>
      </c>
      <c r="U550" s="1" t="s">
        <v>4301</v>
      </c>
      <c r="V550" s="4"/>
      <c r="W550" s="4"/>
      <c r="X550" s="4"/>
    </row>
    <row r="551">
      <c r="A551" s="1" t="s">
        <v>4933</v>
      </c>
      <c r="B551" s="1" t="s">
        <v>2964</v>
      </c>
      <c r="C551" s="1" t="s">
        <v>13695</v>
      </c>
      <c r="D551" s="1" t="s">
        <v>152</v>
      </c>
      <c r="E551" s="1" t="s">
        <v>292</v>
      </c>
      <c r="F551" s="1" t="s">
        <v>494</v>
      </c>
      <c r="G551" s="1" t="s">
        <v>496</v>
      </c>
      <c r="H551" s="3">
        <v>46281.0</v>
      </c>
      <c r="I551" s="3"/>
      <c r="J551" s="3"/>
      <c r="K551" s="1" t="s">
        <v>124</v>
      </c>
      <c r="L551" s="1" t="s">
        <v>98</v>
      </c>
      <c r="M551" s="1" t="s">
        <v>162</v>
      </c>
      <c r="N551" s="1" t="s">
        <v>131</v>
      </c>
      <c r="O551" s="13"/>
      <c r="P551" s="1"/>
      <c r="Q551" s="4"/>
      <c r="R551" s="1" t="s">
        <v>4945</v>
      </c>
      <c r="S551" s="1" t="s">
        <v>4945</v>
      </c>
      <c r="T551" s="1" t="s">
        <v>4946</v>
      </c>
      <c r="U551" s="1" t="s">
        <v>4949</v>
      </c>
      <c r="V551" s="4"/>
      <c r="W551" s="4"/>
      <c r="X551" s="4"/>
    </row>
    <row r="552">
      <c r="A552" s="1" t="s">
        <v>12376</v>
      </c>
      <c r="B552" s="1" t="s">
        <v>4293</v>
      </c>
      <c r="C552" s="1" t="s">
        <v>13703</v>
      </c>
      <c r="D552" s="1" t="s">
        <v>243</v>
      </c>
      <c r="E552" s="1" t="s">
        <v>175</v>
      </c>
      <c r="F552" s="1" t="s">
        <v>245</v>
      </c>
      <c r="G552" s="1" t="s">
        <v>247</v>
      </c>
      <c r="H552" s="3">
        <v>45034.0</v>
      </c>
      <c r="I552" s="3">
        <v>45267.0</v>
      </c>
      <c r="J552" s="3">
        <v>45267.0</v>
      </c>
      <c r="K552" s="1" t="s">
        <v>215</v>
      </c>
      <c r="L552" s="1" t="s">
        <v>160</v>
      </c>
      <c r="M552" s="1" t="s">
        <v>216</v>
      </c>
      <c r="N552" s="1" t="s">
        <v>131</v>
      </c>
      <c r="O552" s="13"/>
      <c r="P552" s="1"/>
      <c r="Q552" s="4"/>
      <c r="R552" s="1" t="s">
        <v>137</v>
      </c>
      <c r="S552" s="1" t="s">
        <v>137</v>
      </c>
      <c r="T552" s="1" t="s">
        <v>47</v>
      </c>
      <c r="U552" s="1" t="s">
        <v>4301</v>
      </c>
      <c r="V552" s="4"/>
      <c r="W552" s="4"/>
      <c r="X552" s="4"/>
    </row>
    <row r="553">
      <c r="A553" s="1" t="s">
        <v>11184</v>
      </c>
      <c r="B553" s="1" t="s">
        <v>4293</v>
      </c>
      <c r="C553" s="1" t="s">
        <v>13711</v>
      </c>
      <c r="D553" s="1" t="s">
        <v>194</v>
      </c>
      <c r="E553" s="1" t="s">
        <v>454</v>
      </c>
      <c r="F553" s="1" t="s">
        <v>637</v>
      </c>
      <c r="G553" s="1" t="s">
        <v>1513</v>
      </c>
      <c r="H553" s="3">
        <v>44495.0</v>
      </c>
      <c r="I553" s="3">
        <v>44726.0</v>
      </c>
      <c r="J553" s="3">
        <v>44726.0</v>
      </c>
      <c r="K553" s="1" t="s">
        <v>215</v>
      </c>
      <c r="L553" s="1" t="s">
        <v>160</v>
      </c>
      <c r="M553" s="1" t="s">
        <v>216</v>
      </c>
      <c r="N553" s="1" t="s">
        <v>131</v>
      </c>
      <c r="O553" s="13"/>
      <c r="P553" s="1"/>
      <c r="Q553" s="4"/>
      <c r="R553" s="1" t="s">
        <v>137</v>
      </c>
      <c r="S553" s="1" t="s">
        <v>137</v>
      </c>
      <c r="T553" s="1" t="s">
        <v>47</v>
      </c>
      <c r="U553" s="1" t="s">
        <v>4301</v>
      </c>
      <c r="V553" s="4"/>
      <c r="W553" s="4"/>
      <c r="X553" s="4"/>
    </row>
    <row r="554">
      <c r="A554" s="1" t="s">
        <v>2038</v>
      </c>
      <c r="B554" s="1" t="s">
        <v>3114</v>
      </c>
      <c r="C554" s="1" t="s">
        <v>3110</v>
      </c>
      <c r="D554" s="1" t="s">
        <v>273</v>
      </c>
      <c r="E554" s="1" t="s">
        <v>330</v>
      </c>
      <c r="F554" s="1" t="s">
        <v>331</v>
      </c>
      <c r="G554" s="1" t="s">
        <v>333</v>
      </c>
      <c r="H554" s="3">
        <v>46090.0</v>
      </c>
      <c r="I554" s="3">
        <v>46231.0</v>
      </c>
      <c r="J554" s="3"/>
      <c r="K554" s="1" t="s">
        <v>124</v>
      </c>
      <c r="L554" s="1" t="s">
        <v>160</v>
      </c>
      <c r="M554" s="1" t="s">
        <v>162</v>
      </c>
      <c r="N554" s="1" t="s">
        <v>131</v>
      </c>
      <c r="O554" s="13"/>
      <c r="P554" s="1" t="s">
        <v>485</v>
      </c>
      <c r="Q554" s="4"/>
      <c r="R554" s="1" t="s">
        <v>137</v>
      </c>
      <c r="S554" s="1" t="s">
        <v>137</v>
      </c>
      <c r="T554" s="1" t="s">
        <v>47</v>
      </c>
      <c r="U554" s="1" t="s">
        <v>3115</v>
      </c>
      <c r="V554" s="4"/>
      <c r="W554" s="4"/>
      <c r="X554" s="4"/>
    </row>
    <row r="555">
      <c r="A555" s="1" t="s">
        <v>12715</v>
      </c>
      <c r="B555" s="1" t="s">
        <v>4293</v>
      </c>
      <c r="C555" s="1" t="s">
        <v>13732</v>
      </c>
      <c r="D555" s="1" t="s">
        <v>313</v>
      </c>
      <c r="E555" s="1" t="s">
        <v>175</v>
      </c>
      <c r="F555" s="1" t="s">
        <v>763</v>
      </c>
      <c r="G555" s="1" t="s">
        <v>3768</v>
      </c>
      <c r="H555" s="3">
        <v>43586.0</v>
      </c>
      <c r="I555" s="3">
        <v>43586.0</v>
      </c>
      <c r="J555" s="3">
        <v>43586.0</v>
      </c>
      <c r="K555" s="1" t="s">
        <v>215</v>
      </c>
      <c r="L555" s="1" t="s">
        <v>160</v>
      </c>
      <c r="M555" s="1" t="s">
        <v>216</v>
      </c>
      <c r="N555" s="1" t="s">
        <v>131</v>
      </c>
      <c r="O555" s="13"/>
      <c r="P555" s="1"/>
      <c r="Q555" s="4"/>
      <c r="R555" s="1" t="s">
        <v>137</v>
      </c>
      <c r="S555" s="1" t="s">
        <v>137</v>
      </c>
      <c r="T555" s="1" t="s">
        <v>47</v>
      </c>
      <c r="U555" s="1" t="s">
        <v>4301</v>
      </c>
      <c r="V555" s="4"/>
      <c r="W555" s="4"/>
      <c r="X555" s="4"/>
    </row>
    <row r="556">
      <c r="A556" s="1" t="s">
        <v>6053</v>
      </c>
      <c r="B556" s="1" t="s">
        <v>4293</v>
      </c>
      <c r="C556" s="1" t="s">
        <v>13737</v>
      </c>
      <c r="D556" s="1" t="s">
        <v>1832</v>
      </c>
      <c r="E556" s="1" t="s">
        <v>454</v>
      </c>
      <c r="F556" s="1" t="s">
        <v>6808</v>
      </c>
      <c r="G556" s="1" t="s">
        <v>6809</v>
      </c>
      <c r="H556" s="3">
        <v>44272.0</v>
      </c>
      <c r="I556" s="3">
        <v>44272.0</v>
      </c>
      <c r="J556" s="3">
        <v>44272.0</v>
      </c>
      <c r="K556" s="1" t="s">
        <v>215</v>
      </c>
      <c r="L556" s="1" t="s">
        <v>160</v>
      </c>
      <c r="M556" s="1" t="s">
        <v>216</v>
      </c>
      <c r="N556" s="1" t="s">
        <v>131</v>
      </c>
      <c r="O556" s="13"/>
      <c r="P556" s="1"/>
      <c r="Q556" s="4"/>
      <c r="R556" s="1" t="s">
        <v>137</v>
      </c>
      <c r="S556" s="1" t="s">
        <v>137</v>
      </c>
      <c r="T556" s="1" t="s">
        <v>47</v>
      </c>
      <c r="U556" s="1" t="s">
        <v>4301</v>
      </c>
      <c r="V556" s="4"/>
      <c r="W556" s="4"/>
      <c r="X556" s="4"/>
    </row>
    <row r="557">
      <c r="A557" s="1" t="s">
        <v>2933</v>
      </c>
      <c r="B557" s="1" t="s">
        <v>3119</v>
      </c>
      <c r="C557" s="1" t="s">
        <v>3120</v>
      </c>
      <c r="D557" s="1" t="s">
        <v>273</v>
      </c>
      <c r="E557" s="1" t="s">
        <v>330</v>
      </c>
      <c r="F557" s="1" t="s">
        <v>331</v>
      </c>
      <c r="G557" s="1" t="s">
        <v>333</v>
      </c>
      <c r="H557" s="3">
        <v>46209.0</v>
      </c>
      <c r="I557" s="3">
        <v>46342.0</v>
      </c>
      <c r="J557" s="3"/>
      <c r="K557" s="1" t="s">
        <v>124</v>
      </c>
      <c r="L557" s="1" t="s">
        <v>98</v>
      </c>
      <c r="M557" s="1" t="s">
        <v>335</v>
      </c>
      <c r="N557" s="1" t="s">
        <v>131</v>
      </c>
      <c r="O557" s="13"/>
      <c r="P557" s="1" t="s">
        <v>2218</v>
      </c>
      <c r="Q557" s="4"/>
      <c r="R557" s="1" t="s">
        <v>665</v>
      </c>
      <c r="S557" s="1" t="s">
        <v>665</v>
      </c>
      <c r="T557" s="1" t="s">
        <v>666</v>
      </c>
      <c r="U557" s="1" t="s">
        <v>4492</v>
      </c>
      <c r="V557" s="4"/>
      <c r="W557" s="4"/>
      <c r="X557" s="4"/>
    </row>
    <row r="558">
      <c r="A558" s="1" t="s">
        <v>12164</v>
      </c>
      <c r="B558" s="1" t="s">
        <v>4293</v>
      </c>
      <c r="C558" s="1" t="s">
        <v>13759</v>
      </c>
      <c r="D558" s="1" t="s">
        <v>1477</v>
      </c>
      <c r="E558" s="1" t="s">
        <v>292</v>
      </c>
      <c r="F558" s="1" t="s">
        <v>494</v>
      </c>
      <c r="G558" s="1" t="s">
        <v>496</v>
      </c>
      <c r="H558" s="3">
        <v>45812.0</v>
      </c>
      <c r="I558" s="3">
        <v>45992.0</v>
      </c>
      <c r="J558" s="3">
        <v>45992.0</v>
      </c>
      <c r="K558" s="1" t="s">
        <v>215</v>
      </c>
      <c r="L558" s="1" t="s">
        <v>160</v>
      </c>
      <c r="M558" s="1" t="s">
        <v>216</v>
      </c>
      <c r="N558" s="1" t="s">
        <v>131</v>
      </c>
      <c r="O558" s="13"/>
      <c r="P558" s="4"/>
      <c r="Q558" s="4"/>
      <c r="R558" s="1" t="s">
        <v>137</v>
      </c>
      <c r="S558" s="1" t="s">
        <v>137</v>
      </c>
      <c r="T558" s="1" t="s">
        <v>47</v>
      </c>
      <c r="U558" s="1" t="s">
        <v>4301</v>
      </c>
      <c r="V558" s="4"/>
      <c r="W558" s="4"/>
      <c r="X558" s="4"/>
    </row>
    <row r="559">
      <c r="A559" s="1" t="s">
        <v>6950</v>
      </c>
      <c r="B559" s="1" t="s">
        <v>4293</v>
      </c>
      <c r="C559" s="1" t="s">
        <v>13768</v>
      </c>
      <c r="D559" s="1" t="s">
        <v>650</v>
      </c>
      <c r="E559" s="1" t="s">
        <v>12195</v>
      </c>
      <c r="F559" s="1" t="s">
        <v>12195</v>
      </c>
      <c r="G559" s="1" t="s">
        <v>12195</v>
      </c>
      <c r="H559" s="3">
        <v>45226.0</v>
      </c>
      <c r="I559" s="3">
        <v>45532.0</v>
      </c>
      <c r="J559" s="3">
        <v>45532.0</v>
      </c>
      <c r="K559" s="1" t="s">
        <v>215</v>
      </c>
      <c r="L559" s="1" t="s">
        <v>160</v>
      </c>
      <c r="M559" s="1" t="s">
        <v>216</v>
      </c>
      <c r="N559" s="1" t="s">
        <v>131</v>
      </c>
      <c r="O559" s="13"/>
      <c r="P559" s="4"/>
      <c r="Q559" s="4"/>
      <c r="R559" s="1" t="s">
        <v>137</v>
      </c>
      <c r="S559" s="1" t="s">
        <v>137</v>
      </c>
      <c r="T559" s="1" t="s">
        <v>47</v>
      </c>
      <c r="U559" s="1" t="s">
        <v>4301</v>
      </c>
      <c r="V559" s="4"/>
      <c r="W559" s="4"/>
      <c r="X559" s="4"/>
    </row>
    <row r="560">
      <c r="A560" s="1" t="s">
        <v>13775</v>
      </c>
      <c r="B560" s="1" t="s">
        <v>4293</v>
      </c>
      <c r="C560" s="1" t="s">
        <v>13777</v>
      </c>
      <c r="D560" s="1" t="s">
        <v>593</v>
      </c>
      <c r="E560" s="1" t="s">
        <v>330</v>
      </c>
      <c r="F560" s="1" t="s">
        <v>663</v>
      </c>
      <c r="G560" s="1" t="s">
        <v>6222</v>
      </c>
      <c r="H560" s="3">
        <v>45684.0</v>
      </c>
      <c r="I560" s="3"/>
      <c r="J560" s="3"/>
      <c r="K560" s="1" t="s">
        <v>124</v>
      </c>
      <c r="L560" s="1" t="s">
        <v>160</v>
      </c>
      <c r="M560" s="1" t="s">
        <v>253</v>
      </c>
      <c r="N560" s="1" t="s">
        <v>131</v>
      </c>
      <c r="O560" s="13"/>
      <c r="P560" s="4"/>
      <c r="Q560" s="4"/>
      <c r="R560" s="1" t="s">
        <v>137</v>
      </c>
      <c r="S560" s="1" t="s">
        <v>137</v>
      </c>
      <c r="T560" s="1" t="s">
        <v>47</v>
      </c>
      <c r="U560" s="1" t="s">
        <v>4301</v>
      </c>
      <c r="V560" s="4"/>
      <c r="W560" s="4"/>
      <c r="X560" s="4"/>
    </row>
    <row r="561">
      <c r="A561" s="1" t="s">
        <v>10435</v>
      </c>
      <c r="B561" s="1" t="s">
        <v>4293</v>
      </c>
      <c r="C561" s="1" t="s">
        <v>13781</v>
      </c>
      <c r="D561" s="1" t="s">
        <v>593</v>
      </c>
      <c r="E561" s="1" t="s">
        <v>330</v>
      </c>
      <c r="F561" s="1" t="s">
        <v>663</v>
      </c>
      <c r="G561" s="1" t="s">
        <v>664</v>
      </c>
      <c r="H561" s="3">
        <v>45033.0</v>
      </c>
      <c r="I561" s="3">
        <v>45404.0</v>
      </c>
      <c r="J561" s="3">
        <v>45404.0</v>
      </c>
      <c r="K561" s="1" t="s">
        <v>215</v>
      </c>
      <c r="L561" s="1" t="s">
        <v>160</v>
      </c>
      <c r="M561" s="1" t="s">
        <v>216</v>
      </c>
      <c r="N561" s="1" t="s">
        <v>131</v>
      </c>
      <c r="O561" s="13"/>
      <c r="P561" s="4"/>
      <c r="Q561" s="4"/>
      <c r="R561" s="1" t="s">
        <v>137</v>
      </c>
      <c r="S561" s="1" t="s">
        <v>137</v>
      </c>
      <c r="T561" s="1" t="s">
        <v>47</v>
      </c>
      <c r="U561" s="1" t="s">
        <v>4301</v>
      </c>
      <c r="V561" s="4"/>
      <c r="W561" s="4"/>
      <c r="X561" s="4"/>
    </row>
    <row r="562">
      <c r="A562" s="1" t="s">
        <v>9763</v>
      </c>
      <c r="B562" s="1" t="s">
        <v>4293</v>
      </c>
      <c r="C562" s="1" t="s">
        <v>13794</v>
      </c>
      <c r="D562" s="1" t="s">
        <v>1291</v>
      </c>
      <c r="E562" s="1" t="s">
        <v>292</v>
      </c>
      <c r="F562" s="1" t="s">
        <v>494</v>
      </c>
      <c r="G562" s="1" t="s">
        <v>3632</v>
      </c>
      <c r="H562" s="3">
        <v>45106.0</v>
      </c>
      <c r="I562" s="3">
        <v>45106.0</v>
      </c>
      <c r="J562" s="3">
        <v>45106.0</v>
      </c>
      <c r="K562" s="1" t="s">
        <v>215</v>
      </c>
      <c r="L562" s="1" t="s">
        <v>160</v>
      </c>
      <c r="M562" s="1" t="s">
        <v>216</v>
      </c>
      <c r="N562" s="1" t="s">
        <v>131</v>
      </c>
      <c r="O562" s="13"/>
      <c r="P562" s="4"/>
      <c r="Q562" s="4"/>
      <c r="R562" s="1" t="s">
        <v>137</v>
      </c>
      <c r="S562" s="1" t="s">
        <v>137</v>
      </c>
      <c r="T562" s="1" t="s">
        <v>47</v>
      </c>
      <c r="U562" s="1" t="s">
        <v>4301</v>
      </c>
      <c r="V562" s="4"/>
      <c r="W562" s="4"/>
      <c r="X562" s="4"/>
    </row>
    <row r="563">
      <c r="A563" s="1" t="s">
        <v>8366</v>
      </c>
      <c r="B563" s="1" t="s">
        <v>4293</v>
      </c>
      <c r="C563" s="1" t="s">
        <v>13803</v>
      </c>
      <c r="D563" s="1" t="s">
        <v>180</v>
      </c>
      <c r="E563" s="1" t="s">
        <v>520</v>
      </c>
      <c r="F563" s="1" t="s">
        <v>1671</v>
      </c>
      <c r="G563" s="1" t="s">
        <v>13805</v>
      </c>
      <c r="H563" s="3">
        <v>44060.0</v>
      </c>
      <c r="I563" s="3">
        <v>44111.0</v>
      </c>
      <c r="J563" s="3">
        <v>44111.0</v>
      </c>
      <c r="K563" s="1" t="s">
        <v>215</v>
      </c>
      <c r="L563" s="1" t="s">
        <v>160</v>
      </c>
      <c r="M563" s="1" t="s">
        <v>216</v>
      </c>
      <c r="N563" s="1" t="s">
        <v>131</v>
      </c>
      <c r="O563" s="13"/>
      <c r="P563" s="4"/>
      <c r="Q563" s="4"/>
      <c r="R563" s="1" t="s">
        <v>137</v>
      </c>
      <c r="S563" s="1" t="s">
        <v>137</v>
      </c>
      <c r="T563" s="1" t="s">
        <v>47</v>
      </c>
      <c r="U563" s="1" t="s">
        <v>4301</v>
      </c>
      <c r="V563" s="4"/>
      <c r="W563" s="4"/>
      <c r="X563" s="4"/>
    </row>
    <row r="564">
      <c r="A564" s="1" t="s">
        <v>9570</v>
      </c>
      <c r="B564" s="1" t="s">
        <v>4293</v>
      </c>
      <c r="C564" s="1" t="s">
        <v>13811</v>
      </c>
      <c r="D564" s="1" t="s">
        <v>417</v>
      </c>
      <c r="E564" s="1" t="s">
        <v>292</v>
      </c>
      <c r="F564" s="1" t="s">
        <v>576</v>
      </c>
      <c r="G564" s="1" t="s">
        <v>1088</v>
      </c>
      <c r="H564" s="3">
        <v>45619.0</v>
      </c>
      <c r="I564" s="3">
        <v>45876.0</v>
      </c>
      <c r="J564" s="3">
        <v>45876.0</v>
      </c>
      <c r="K564" s="1" t="s">
        <v>215</v>
      </c>
      <c r="L564" s="1" t="s">
        <v>160</v>
      </c>
      <c r="M564" s="1" t="s">
        <v>216</v>
      </c>
      <c r="N564" s="1" t="s">
        <v>131</v>
      </c>
      <c r="O564" s="13"/>
      <c r="P564" s="4"/>
      <c r="Q564" s="4"/>
      <c r="R564" s="1" t="s">
        <v>137</v>
      </c>
      <c r="S564" s="1" t="s">
        <v>137</v>
      </c>
      <c r="T564" s="1" t="s">
        <v>47</v>
      </c>
      <c r="U564" s="1" t="s">
        <v>4301</v>
      </c>
      <c r="V564" s="4"/>
      <c r="W564" s="4"/>
      <c r="X564" s="4"/>
    </row>
    <row r="565">
      <c r="A565" s="1" t="s">
        <v>8629</v>
      </c>
      <c r="B565" s="1" t="s">
        <v>4293</v>
      </c>
      <c r="C565" s="1" t="s">
        <v>13818</v>
      </c>
      <c r="D565" s="1" t="s">
        <v>518</v>
      </c>
      <c r="E565" s="1" t="s">
        <v>520</v>
      </c>
      <c r="F565" s="1" t="s">
        <v>522</v>
      </c>
      <c r="G565" s="1" t="s">
        <v>6067</v>
      </c>
      <c r="H565" s="3">
        <v>45426.0</v>
      </c>
      <c r="I565" s="3">
        <v>45643.0</v>
      </c>
      <c r="J565" s="3">
        <v>45643.0</v>
      </c>
      <c r="K565" s="1" t="s">
        <v>215</v>
      </c>
      <c r="L565" s="1" t="s">
        <v>160</v>
      </c>
      <c r="M565" s="1" t="s">
        <v>216</v>
      </c>
      <c r="N565" s="1" t="s">
        <v>131</v>
      </c>
      <c r="O565" s="13"/>
      <c r="P565" s="4"/>
      <c r="Q565" s="4"/>
      <c r="R565" s="1" t="s">
        <v>137</v>
      </c>
      <c r="S565" s="1" t="s">
        <v>137</v>
      </c>
      <c r="T565" s="1" t="s">
        <v>47</v>
      </c>
      <c r="U565" s="1" t="s">
        <v>4301</v>
      </c>
      <c r="V565" s="4"/>
      <c r="W565" s="4"/>
      <c r="X565" s="4"/>
    </row>
    <row r="566">
      <c r="A566" s="1" t="s">
        <v>12411</v>
      </c>
      <c r="B566" s="1" t="s">
        <v>4293</v>
      </c>
      <c r="C566" s="1" t="s">
        <v>13825</v>
      </c>
      <c r="D566" s="1" t="s">
        <v>2198</v>
      </c>
      <c r="E566" s="1" t="s">
        <v>175</v>
      </c>
      <c r="F566" s="1" t="s">
        <v>763</v>
      </c>
      <c r="G566" s="1" t="s">
        <v>3768</v>
      </c>
      <c r="H566" s="3">
        <v>45790.0</v>
      </c>
      <c r="I566" s="3">
        <v>46027.0</v>
      </c>
      <c r="J566" s="3">
        <v>46027.0</v>
      </c>
      <c r="K566" s="1" t="s">
        <v>215</v>
      </c>
      <c r="L566" s="1" t="s">
        <v>160</v>
      </c>
      <c r="M566" s="1" t="s">
        <v>216</v>
      </c>
      <c r="N566" s="1" t="s">
        <v>131</v>
      </c>
      <c r="O566" s="13"/>
      <c r="P566" s="4"/>
      <c r="Q566" s="4"/>
      <c r="R566" s="1" t="s">
        <v>137</v>
      </c>
      <c r="S566" s="1" t="s">
        <v>137</v>
      </c>
      <c r="T566" s="1" t="s">
        <v>47</v>
      </c>
      <c r="U566" s="1" t="s">
        <v>4301</v>
      </c>
      <c r="V566" s="4"/>
      <c r="W566" s="4"/>
      <c r="X566" s="4"/>
    </row>
    <row r="567">
      <c r="A567" s="1" t="s">
        <v>6745</v>
      </c>
      <c r="B567" s="1" t="s">
        <v>4293</v>
      </c>
      <c r="C567" s="1" t="s">
        <v>13830</v>
      </c>
      <c r="D567" s="1" t="s">
        <v>417</v>
      </c>
      <c r="E567" s="1" t="s">
        <v>292</v>
      </c>
      <c r="F567" s="1" t="s">
        <v>494</v>
      </c>
      <c r="G567" s="1" t="s">
        <v>2278</v>
      </c>
      <c r="H567" s="3">
        <v>44183.0</v>
      </c>
      <c r="I567" s="3">
        <v>44308.0</v>
      </c>
      <c r="J567" s="3">
        <v>44308.0</v>
      </c>
      <c r="K567" s="1" t="s">
        <v>215</v>
      </c>
      <c r="L567" s="1" t="s">
        <v>160</v>
      </c>
      <c r="M567" s="1" t="s">
        <v>216</v>
      </c>
      <c r="N567" s="1" t="s">
        <v>131</v>
      </c>
      <c r="O567" s="13"/>
      <c r="P567" s="4"/>
      <c r="Q567" s="4"/>
      <c r="R567" s="1" t="s">
        <v>137</v>
      </c>
      <c r="S567" s="1" t="s">
        <v>137</v>
      </c>
      <c r="T567" s="1" t="s">
        <v>47</v>
      </c>
      <c r="U567" s="1" t="s">
        <v>4301</v>
      </c>
      <c r="V567" s="4"/>
      <c r="W567" s="4"/>
      <c r="X567" s="4"/>
    </row>
    <row r="568">
      <c r="A568" s="1" t="s">
        <v>6866</v>
      </c>
      <c r="B568" s="1" t="s">
        <v>4293</v>
      </c>
      <c r="C568" s="1" t="s">
        <v>13836</v>
      </c>
      <c r="D568" s="1" t="s">
        <v>388</v>
      </c>
      <c r="E568" s="1" t="s">
        <v>175</v>
      </c>
      <c r="F568" s="1" t="s">
        <v>3128</v>
      </c>
      <c r="G568" s="1" t="s">
        <v>7170</v>
      </c>
      <c r="H568" s="3">
        <v>42831.0</v>
      </c>
      <c r="I568" s="3">
        <v>42852.0</v>
      </c>
      <c r="J568" s="3">
        <v>42852.0</v>
      </c>
      <c r="K568" s="1" t="s">
        <v>215</v>
      </c>
      <c r="L568" s="1" t="s">
        <v>160</v>
      </c>
      <c r="M568" s="1" t="s">
        <v>216</v>
      </c>
      <c r="N568" s="1" t="s">
        <v>131</v>
      </c>
      <c r="O568" s="13"/>
      <c r="P568" s="4"/>
      <c r="Q568" s="4"/>
      <c r="R568" s="1" t="s">
        <v>137</v>
      </c>
      <c r="S568" s="1" t="s">
        <v>137</v>
      </c>
      <c r="T568" s="1" t="s">
        <v>47</v>
      </c>
      <c r="U568" s="1" t="s">
        <v>4301</v>
      </c>
      <c r="V568" s="4"/>
      <c r="W568" s="4"/>
      <c r="X568" s="4"/>
    </row>
    <row r="569">
      <c r="A569" s="1" t="s">
        <v>8315</v>
      </c>
      <c r="B569" s="1" t="s">
        <v>4293</v>
      </c>
      <c r="C569" s="1" t="s">
        <v>13841</v>
      </c>
      <c r="D569" s="1" t="s">
        <v>172</v>
      </c>
      <c r="E569" s="1" t="s">
        <v>175</v>
      </c>
      <c r="F569" s="1" t="s">
        <v>3592</v>
      </c>
      <c r="G569" s="1" t="s">
        <v>5540</v>
      </c>
      <c r="H569" s="3">
        <v>44958.0</v>
      </c>
      <c r="I569" s="3">
        <v>45307.0</v>
      </c>
      <c r="J569" s="3">
        <v>45307.0</v>
      </c>
      <c r="K569" s="1" t="s">
        <v>215</v>
      </c>
      <c r="L569" s="1" t="s">
        <v>160</v>
      </c>
      <c r="M569" s="1" t="s">
        <v>216</v>
      </c>
      <c r="N569" s="1" t="s">
        <v>131</v>
      </c>
      <c r="O569" s="13"/>
      <c r="P569" s="4"/>
      <c r="Q569" s="4"/>
      <c r="R569" s="1" t="s">
        <v>137</v>
      </c>
      <c r="S569" s="1" t="s">
        <v>137</v>
      </c>
      <c r="T569" s="1" t="s">
        <v>47</v>
      </c>
      <c r="U569" s="1" t="s">
        <v>4301</v>
      </c>
      <c r="V569" s="4"/>
      <c r="W569" s="4"/>
      <c r="X569" s="4"/>
    </row>
    <row r="570">
      <c r="A570" s="1" t="s">
        <v>6319</v>
      </c>
      <c r="B570" s="1" t="s">
        <v>4293</v>
      </c>
      <c r="C570" s="1" t="s">
        <v>13845</v>
      </c>
      <c r="D570" s="1" t="s">
        <v>313</v>
      </c>
      <c r="E570" s="1" t="s">
        <v>175</v>
      </c>
      <c r="F570" s="1" t="s">
        <v>763</v>
      </c>
      <c r="G570" s="1" t="s">
        <v>764</v>
      </c>
      <c r="H570" s="3">
        <v>45299.0</v>
      </c>
      <c r="I570" s="3">
        <v>45322.0</v>
      </c>
      <c r="J570" s="3">
        <v>45322.0</v>
      </c>
      <c r="K570" s="1" t="s">
        <v>215</v>
      </c>
      <c r="L570" s="1" t="s">
        <v>160</v>
      </c>
      <c r="M570" s="1" t="s">
        <v>216</v>
      </c>
      <c r="N570" s="1" t="s">
        <v>131</v>
      </c>
      <c r="O570" s="13"/>
      <c r="P570" s="4"/>
      <c r="Q570" s="4"/>
      <c r="R570" s="1" t="s">
        <v>137</v>
      </c>
      <c r="S570" s="1" t="s">
        <v>137</v>
      </c>
      <c r="T570" s="1" t="s">
        <v>47</v>
      </c>
      <c r="U570" s="1" t="s">
        <v>4301</v>
      </c>
      <c r="V570" s="4"/>
      <c r="W570" s="4"/>
      <c r="X570" s="4"/>
    </row>
    <row r="571">
      <c r="A571" s="1" t="s">
        <v>8020</v>
      </c>
      <c r="B571" s="1" t="s">
        <v>4293</v>
      </c>
      <c r="C571" s="1" t="s">
        <v>13849</v>
      </c>
      <c r="D571" s="1" t="s">
        <v>417</v>
      </c>
      <c r="E571" s="1" t="s">
        <v>292</v>
      </c>
      <c r="F571" s="1" t="s">
        <v>468</v>
      </c>
      <c r="G571" s="1" t="s">
        <v>470</v>
      </c>
      <c r="H571" s="3">
        <v>43446.0</v>
      </c>
      <c r="I571" s="3">
        <v>43451.0</v>
      </c>
      <c r="J571" s="3">
        <v>43451.0</v>
      </c>
      <c r="K571" s="1" t="s">
        <v>215</v>
      </c>
      <c r="L571" s="1" t="s">
        <v>160</v>
      </c>
      <c r="M571" s="1" t="s">
        <v>216</v>
      </c>
      <c r="N571" s="1" t="s">
        <v>131</v>
      </c>
      <c r="O571" s="13"/>
      <c r="P571" s="1"/>
      <c r="Q571" s="4"/>
      <c r="R571" s="1" t="s">
        <v>137</v>
      </c>
      <c r="S571" s="1" t="s">
        <v>137</v>
      </c>
      <c r="T571" s="1" t="s">
        <v>47</v>
      </c>
      <c r="U571" s="1" t="s">
        <v>4301</v>
      </c>
      <c r="V571" s="4"/>
      <c r="W571" s="4"/>
      <c r="X571" s="4"/>
    </row>
    <row r="572">
      <c r="A572" s="1" t="s">
        <v>8825</v>
      </c>
      <c r="B572" s="1" t="s">
        <v>4293</v>
      </c>
      <c r="C572" s="1" t="s">
        <v>13854</v>
      </c>
      <c r="D572" s="1" t="s">
        <v>1932</v>
      </c>
      <c r="E572" s="1" t="s">
        <v>175</v>
      </c>
      <c r="F572" s="1" t="s">
        <v>177</v>
      </c>
      <c r="G572" s="1" t="s">
        <v>503</v>
      </c>
      <c r="H572" s="3">
        <v>44470.0</v>
      </c>
      <c r="I572" s="3">
        <v>44469.0</v>
      </c>
      <c r="J572" s="3">
        <v>44469.0</v>
      </c>
      <c r="K572" s="1" t="s">
        <v>215</v>
      </c>
      <c r="L572" s="1" t="s">
        <v>160</v>
      </c>
      <c r="M572" s="1" t="s">
        <v>216</v>
      </c>
      <c r="N572" s="1" t="s">
        <v>131</v>
      </c>
      <c r="O572" s="4"/>
      <c r="P572" s="1"/>
      <c r="Q572" s="4"/>
      <c r="R572" s="1" t="s">
        <v>137</v>
      </c>
      <c r="S572" s="1" t="s">
        <v>137</v>
      </c>
      <c r="T572" s="1" t="s">
        <v>47</v>
      </c>
      <c r="U572" s="1" t="s">
        <v>4301</v>
      </c>
      <c r="V572" s="4"/>
      <c r="W572" s="4"/>
      <c r="X572" s="4"/>
    </row>
    <row r="573">
      <c r="A573" s="1" t="s">
        <v>4988</v>
      </c>
      <c r="B573" s="1" t="s">
        <v>4293</v>
      </c>
      <c r="C573" s="1" t="s">
        <v>13868</v>
      </c>
      <c r="D573" s="1" t="s">
        <v>593</v>
      </c>
      <c r="E573" s="1" t="s">
        <v>330</v>
      </c>
      <c r="F573" s="1" t="s">
        <v>356</v>
      </c>
      <c r="G573" s="1" t="s">
        <v>5006</v>
      </c>
      <c r="H573" s="3">
        <v>45086.0</v>
      </c>
      <c r="I573" s="3">
        <v>45383.0</v>
      </c>
      <c r="J573" s="3">
        <v>45383.0</v>
      </c>
      <c r="K573" s="1" t="s">
        <v>215</v>
      </c>
      <c r="L573" s="1" t="s">
        <v>160</v>
      </c>
      <c r="M573" s="1" t="s">
        <v>216</v>
      </c>
      <c r="N573" s="1" t="s">
        <v>131</v>
      </c>
      <c r="O573" s="13"/>
      <c r="P573" s="4"/>
      <c r="Q573" s="4"/>
      <c r="R573" s="1" t="s">
        <v>137</v>
      </c>
      <c r="S573" s="1" t="s">
        <v>137</v>
      </c>
      <c r="T573" s="1" t="s">
        <v>47</v>
      </c>
      <c r="U573" s="1" t="s">
        <v>4301</v>
      </c>
      <c r="V573" s="4"/>
      <c r="W573" s="4"/>
      <c r="X573" s="4"/>
    </row>
    <row r="574">
      <c r="A574" s="1" t="s">
        <v>7886</v>
      </c>
      <c r="B574" s="1" t="s">
        <v>4293</v>
      </c>
      <c r="C574" s="1" t="s">
        <v>3151</v>
      </c>
      <c r="D574" s="1" t="s">
        <v>388</v>
      </c>
      <c r="E574" s="1" t="s">
        <v>889</v>
      </c>
      <c r="F574" s="1" t="s">
        <v>1193</v>
      </c>
      <c r="G574" s="1" t="s">
        <v>2278</v>
      </c>
      <c r="H574" s="3">
        <v>45167.0</v>
      </c>
      <c r="I574" s="3">
        <v>45362.0</v>
      </c>
      <c r="J574" s="3">
        <v>45362.0</v>
      </c>
      <c r="K574" s="1" t="s">
        <v>215</v>
      </c>
      <c r="L574" s="1" t="s">
        <v>160</v>
      </c>
      <c r="M574" s="1" t="s">
        <v>216</v>
      </c>
      <c r="N574" s="1" t="s">
        <v>131</v>
      </c>
      <c r="O574" s="13"/>
      <c r="P574" s="1"/>
      <c r="Q574" s="4"/>
      <c r="R574" s="1" t="s">
        <v>137</v>
      </c>
      <c r="S574" s="1" t="s">
        <v>137</v>
      </c>
      <c r="T574" s="1" t="s">
        <v>47</v>
      </c>
      <c r="U574" s="1" t="s">
        <v>4301</v>
      </c>
      <c r="V574" s="4"/>
      <c r="W574" s="4"/>
      <c r="X574" s="4"/>
    </row>
    <row r="575">
      <c r="A575" s="1" t="s">
        <v>7429</v>
      </c>
      <c r="B575" s="1" t="s">
        <v>4293</v>
      </c>
      <c r="C575" s="1" t="s">
        <v>13887</v>
      </c>
      <c r="D575" s="1" t="s">
        <v>273</v>
      </c>
      <c r="E575" s="1" t="s">
        <v>330</v>
      </c>
      <c r="F575" s="1" t="s">
        <v>663</v>
      </c>
      <c r="G575" s="1" t="s">
        <v>664</v>
      </c>
      <c r="H575" s="3">
        <v>44560.0</v>
      </c>
      <c r="I575" s="3">
        <v>43928.0</v>
      </c>
      <c r="J575" s="3">
        <v>43928.0</v>
      </c>
      <c r="K575" s="1" t="s">
        <v>215</v>
      </c>
      <c r="L575" s="1" t="s">
        <v>160</v>
      </c>
      <c r="M575" s="1" t="s">
        <v>216</v>
      </c>
      <c r="N575" s="1" t="s">
        <v>131</v>
      </c>
      <c r="O575" s="13"/>
      <c r="P575" s="1"/>
      <c r="Q575" s="4"/>
      <c r="R575" s="1" t="s">
        <v>137</v>
      </c>
      <c r="S575" s="1" t="s">
        <v>137</v>
      </c>
      <c r="T575" s="1" t="s">
        <v>47</v>
      </c>
      <c r="U575" s="1" t="s">
        <v>4301</v>
      </c>
      <c r="V575" s="4"/>
      <c r="W575" s="4"/>
      <c r="X575" s="4"/>
    </row>
    <row r="576">
      <c r="A576" s="1" t="s">
        <v>7579</v>
      </c>
      <c r="B576" s="1" t="s">
        <v>4293</v>
      </c>
      <c r="C576" s="1" t="s">
        <v>13893</v>
      </c>
      <c r="D576" s="1" t="s">
        <v>678</v>
      </c>
      <c r="E576" s="1" t="s">
        <v>454</v>
      </c>
      <c r="F576" s="1" t="s">
        <v>455</v>
      </c>
      <c r="G576" s="1" t="s">
        <v>738</v>
      </c>
      <c r="H576" s="3">
        <v>45219.0</v>
      </c>
      <c r="I576" s="3">
        <v>45414.0</v>
      </c>
      <c r="J576" s="3">
        <v>45414.0</v>
      </c>
      <c r="K576" s="1" t="s">
        <v>215</v>
      </c>
      <c r="L576" s="1" t="s">
        <v>160</v>
      </c>
      <c r="M576" s="1" t="s">
        <v>216</v>
      </c>
      <c r="N576" s="1" t="s">
        <v>131</v>
      </c>
      <c r="O576" s="13"/>
      <c r="P576" s="1"/>
      <c r="Q576" s="4"/>
      <c r="R576" s="1" t="s">
        <v>137</v>
      </c>
      <c r="S576" s="1" t="s">
        <v>137</v>
      </c>
      <c r="T576" s="1" t="s">
        <v>47</v>
      </c>
      <c r="U576" s="1" t="s">
        <v>4301</v>
      </c>
      <c r="V576" s="4"/>
      <c r="W576" s="4"/>
      <c r="X576" s="4"/>
    </row>
    <row r="577">
      <c r="A577" s="1" t="s">
        <v>7366</v>
      </c>
      <c r="B577" s="1" t="s">
        <v>4293</v>
      </c>
      <c r="C577" s="1" t="s">
        <v>13900</v>
      </c>
      <c r="D577" s="1" t="s">
        <v>417</v>
      </c>
      <c r="E577" s="1" t="s">
        <v>292</v>
      </c>
      <c r="F577" s="1" t="s">
        <v>576</v>
      </c>
      <c r="G577" s="1" t="s">
        <v>577</v>
      </c>
      <c r="H577" s="3">
        <v>44012.0</v>
      </c>
      <c r="I577" s="3">
        <v>44299.0</v>
      </c>
      <c r="J577" s="3">
        <v>44299.0</v>
      </c>
      <c r="K577" s="1" t="s">
        <v>215</v>
      </c>
      <c r="L577" s="1" t="s">
        <v>160</v>
      </c>
      <c r="M577" s="1" t="s">
        <v>216</v>
      </c>
      <c r="N577" s="1" t="s">
        <v>131</v>
      </c>
      <c r="O577" s="13"/>
      <c r="P577" s="1"/>
      <c r="Q577" s="4"/>
      <c r="R577" s="1" t="s">
        <v>137</v>
      </c>
      <c r="S577" s="1" t="s">
        <v>137</v>
      </c>
      <c r="T577" s="1" t="s">
        <v>47</v>
      </c>
      <c r="U577" s="1" t="s">
        <v>4301</v>
      </c>
      <c r="V577" s="4"/>
      <c r="W577" s="4"/>
      <c r="X577" s="4"/>
    </row>
    <row r="578">
      <c r="A578" s="1" t="s">
        <v>13907</v>
      </c>
      <c r="B578" s="1" t="s">
        <v>146</v>
      </c>
      <c r="C578" s="1" t="s">
        <v>13908</v>
      </c>
      <c r="D578" s="1" t="s">
        <v>194</v>
      </c>
      <c r="E578" s="1" t="s">
        <v>454</v>
      </c>
      <c r="F578" s="1" t="s">
        <v>612</v>
      </c>
      <c r="G578" s="1" t="s">
        <v>613</v>
      </c>
      <c r="H578" s="3">
        <v>46290.0</v>
      </c>
      <c r="I578" s="3"/>
      <c r="J578" s="3"/>
      <c r="K578" s="1" t="s">
        <v>124</v>
      </c>
      <c r="L578" s="1" t="s">
        <v>98</v>
      </c>
      <c r="M578" s="1" t="s">
        <v>162</v>
      </c>
      <c r="N578" s="1" t="s">
        <v>131</v>
      </c>
      <c r="O578" s="13"/>
      <c r="P578" s="1"/>
      <c r="Q578" s="4"/>
      <c r="R578" s="1" t="s">
        <v>137</v>
      </c>
      <c r="S578" s="1" t="s">
        <v>137</v>
      </c>
      <c r="T578" s="1" t="s">
        <v>47</v>
      </c>
      <c r="U578" s="1"/>
      <c r="V578" s="4"/>
      <c r="W578" s="4"/>
      <c r="X578" s="4"/>
    </row>
    <row r="579">
      <c r="A579" s="1" t="s">
        <v>13808</v>
      </c>
      <c r="B579" s="1" t="s">
        <v>116</v>
      </c>
      <c r="C579" s="1" t="s">
        <v>13916</v>
      </c>
      <c r="D579" s="1" t="s">
        <v>678</v>
      </c>
      <c r="E579" s="1" t="s">
        <v>454</v>
      </c>
      <c r="F579" s="1" t="s">
        <v>455</v>
      </c>
      <c r="G579" s="1" t="s">
        <v>510</v>
      </c>
      <c r="H579" s="3">
        <v>46254.0</v>
      </c>
      <c r="I579" s="3"/>
      <c r="J579" s="13"/>
      <c r="K579" s="1" t="s">
        <v>124</v>
      </c>
      <c r="L579" s="1" t="s">
        <v>98</v>
      </c>
      <c r="M579" s="1" t="s">
        <v>162</v>
      </c>
      <c r="N579" s="1" t="s">
        <v>131</v>
      </c>
      <c r="O579" s="13"/>
      <c r="P579" s="1" t="s">
        <v>5028</v>
      </c>
      <c r="Q579" s="4"/>
      <c r="R579" s="1" t="s">
        <v>137</v>
      </c>
      <c r="S579" s="1" t="s">
        <v>137</v>
      </c>
      <c r="T579" s="1" t="s">
        <v>47</v>
      </c>
      <c r="U579" s="1" t="s">
        <v>13921</v>
      </c>
      <c r="V579" s="4"/>
      <c r="W579" s="4"/>
      <c r="X579" s="4"/>
    </row>
    <row r="580">
      <c r="A580" s="1" t="s">
        <v>6631</v>
      </c>
      <c r="B580" s="1" t="s">
        <v>4293</v>
      </c>
      <c r="C580" s="1" t="s">
        <v>13924</v>
      </c>
      <c r="D580" s="1" t="s">
        <v>194</v>
      </c>
      <c r="E580" s="1" t="s">
        <v>454</v>
      </c>
      <c r="F580" s="1" t="s">
        <v>455</v>
      </c>
      <c r="G580" s="1" t="s">
        <v>510</v>
      </c>
      <c r="H580" s="3">
        <v>45930.0</v>
      </c>
      <c r="I580" s="3"/>
      <c r="J580" s="3"/>
      <c r="K580" s="1" t="s">
        <v>124</v>
      </c>
      <c r="L580" s="1" t="s">
        <v>160</v>
      </c>
      <c r="M580" s="1" t="s">
        <v>253</v>
      </c>
      <c r="N580" s="1" t="s">
        <v>131</v>
      </c>
      <c r="O580" s="3"/>
      <c r="P580" s="1"/>
      <c r="Q580" s="4"/>
      <c r="R580" s="1" t="s">
        <v>137</v>
      </c>
      <c r="S580" s="1" t="s">
        <v>137</v>
      </c>
      <c r="T580" s="1" t="s">
        <v>47</v>
      </c>
      <c r="U580" s="1" t="s">
        <v>4301</v>
      </c>
      <c r="V580" s="4"/>
      <c r="W580" s="4"/>
      <c r="X580" s="4"/>
    </row>
    <row r="581">
      <c r="A581" s="1" t="s">
        <v>10213</v>
      </c>
      <c r="B581" s="1" t="s">
        <v>4293</v>
      </c>
      <c r="C581" s="1" t="s">
        <v>13936</v>
      </c>
      <c r="D581" s="1" t="s">
        <v>518</v>
      </c>
      <c r="E581" s="1" t="s">
        <v>12195</v>
      </c>
      <c r="F581" s="1" t="s">
        <v>12195</v>
      </c>
      <c r="G581" s="1" t="s">
        <v>12195</v>
      </c>
      <c r="H581" s="3">
        <v>45107.0</v>
      </c>
      <c r="I581" s="3">
        <v>45296.0</v>
      </c>
      <c r="J581" s="3">
        <v>45296.0</v>
      </c>
      <c r="K581" s="1" t="s">
        <v>215</v>
      </c>
      <c r="L581" s="1" t="s">
        <v>160</v>
      </c>
      <c r="M581" s="1" t="s">
        <v>216</v>
      </c>
      <c r="N581" s="1" t="s">
        <v>131</v>
      </c>
      <c r="O581" s="3"/>
      <c r="P581" s="1"/>
      <c r="Q581" s="4"/>
      <c r="R581" s="1" t="s">
        <v>137</v>
      </c>
      <c r="S581" s="1" t="s">
        <v>137</v>
      </c>
      <c r="T581" s="1" t="s">
        <v>47</v>
      </c>
      <c r="U581" s="1" t="s">
        <v>4301</v>
      </c>
      <c r="V581" s="4"/>
      <c r="W581" s="4"/>
      <c r="X581" s="4"/>
    </row>
    <row r="582">
      <c r="A582" s="1" t="s">
        <v>2487</v>
      </c>
      <c r="B582" s="1" t="s">
        <v>116</v>
      </c>
      <c r="C582" s="1" t="s">
        <v>3165</v>
      </c>
      <c r="D582" s="1" t="s">
        <v>417</v>
      </c>
      <c r="E582" s="1" t="s">
        <v>292</v>
      </c>
      <c r="F582" s="1" t="s">
        <v>576</v>
      </c>
      <c r="G582" s="1" t="s">
        <v>2859</v>
      </c>
      <c r="H582" s="3">
        <v>46148.0</v>
      </c>
      <c r="I582" s="3">
        <v>46314.0</v>
      </c>
      <c r="J582" s="3"/>
      <c r="K582" s="1" t="s">
        <v>124</v>
      </c>
      <c r="L582" s="1" t="s">
        <v>98</v>
      </c>
      <c r="M582" s="1" t="s">
        <v>460</v>
      </c>
      <c r="N582" s="1" t="s">
        <v>131</v>
      </c>
      <c r="O582" s="4"/>
      <c r="P582" s="1" t="s">
        <v>13469</v>
      </c>
      <c r="Q582" s="4"/>
      <c r="R582" s="1" t="s">
        <v>137</v>
      </c>
      <c r="S582" s="1" t="s">
        <v>137</v>
      </c>
      <c r="T582" s="1" t="s">
        <v>47</v>
      </c>
      <c r="U582" s="1" t="s">
        <v>4205</v>
      </c>
      <c r="V582" s="4"/>
      <c r="W582" s="4"/>
      <c r="X582" s="4"/>
    </row>
    <row r="583">
      <c r="A583" s="1" t="s">
        <v>11792</v>
      </c>
      <c r="B583" s="1" t="s">
        <v>4293</v>
      </c>
      <c r="C583" s="1" t="s">
        <v>13948</v>
      </c>
      <c r="D583" s="1" t="s">
        <v>194</v>
      </c>
      <c r="E583" s="1" t="s">
        <v>454</v>
      </c>
      <c r="F583" s="1" t="s">
        <v>637</v>
      </c>
      <c r="G583" s="1" t="s">
        <v>2554</v>
      </c>
      <c r="H583" s="3">
        <v>45177.0</v>
      </c>
      <c r="I583" s="3">
        <v>45181.0</v>
      </c>
      <c r="J583" s="3">
        <v>45181.0</v>
      </c>
      <c r="K583" s="1" t="s">
        <v>215</v>
      </c>
      <c r="L583" s="1" t="s">
        <v>160</v>
      </c>
      <c r="M583" s="1" t="s">
        <v>216</v>
      </c>
      <c r="N583" s="1" t="s">
        <v>131</v>
      </c>
      <c r="O583" s="3"/>
      <c r="P583" s="1"/>
      <c r="Q583" s="4"/>
      <c r="R583" s="1" t="s">
        <v>137</v>
      </c>
      <c r="S583" s="1" t="s">
        <v>137</v>
      </c>
      <c r="T583" s="1" t="s">
        <v>47</v>
      </c>
      <c r="U583" s="1" t="s">
        <v>4301</v>
      </c>
      <c r="V583" s="4"/>
      <c r="W583" s="4"/>
      <c r="X583" s="4"/>
    </row>
    <row r="584">
      <c r="A584" s="1" t="s">
        <v>11297</v>
      </c>
      <c r="B584" s="1" t="s">
        <v>4293</v>
      </c>
      <c r="C584" s="1" t="s">
        <v>13956</v>
      </c>
      <c r="D584" s="1" t="s">
        <v>1932</v>
      </c>
      <c r="E584" s="1" t="s">
        <v>175</v>
      </c>
      <c r="F584" s="1" t="s">
        <v>763</v>
      </c>
      <c r="G584" s="1" t="s">
        <v>1825</v>
      </c>
      <c r="H584" s="3">
        <v>44242.0</v>
      </c>
      <c r="I584" s="3">
        <v>44255.0</v>
      </c>
      <c r="J584" s="3">
        <v>44255.0</v>
      </c>
      <c r="K584" s="1" t="s">
        <v>215</v>
      </c>
      <c r="L584" s="1" t="s">
        <v>160</v>
      </c>
      <c r="M584" s="1" t="s">
        <v>216</v>
      </c>
      <c r="N584" s="1" t="s">
        <v>131</v>
      </c>
      <c r="O584" s="3"/>
      <c r="P584" s="1"/>
      <c r="Q584" s="4"/>
      <c r="R584" s="1" t="s">
        <v>137</v>
      </c>
      <c r="S584" s="1" t="s">
        <v>137</v>
      </c>
      <c r="T584" s="1" t="s">
        <v>47</v>
      </c>
      <c r="U584" s="1" t="s">
        <v>4301</v>
      </c>
      <c r="V584" s="4"/>
      <c r="W584" s="4"/>
      <c r="X584" s="4"/>
    </row>
    <row r="585">
      <c r="A585" s="1" t="s">
        <v>7232</v>
      </c>
      <c r="B585" s="1" t="s">
        <v>4293</v>
      </c>
      <c r="C585" s="1" t="s">
        <v>13963</v>
      </c>
      <c r="D585" s="1" t="s">
        <v>1823</v>
      </c>
      <c r="E585" s="1" t="s">
        <v>175</v>
      </c>
      <c r="F585" s="1" t="s">
        <v>1116</v>
      </c>
      <c r="G585" s="1" t="s">
        <v>11367</v>
      </c>
      <c r="H585" s="3">
        <v>44330.0</v>
      </c>
      <c r="I585" s="3">
        <v>44391.0</v>
      </c>
      <c r="J585" s="3">
        <v>44391.0</v>
      </c>
      <c r="K585" s="1" t="s">
        <v>215</v>
      </c>
      <c r="L585" s="1" t="s">
        <v>160</v>
      </c>
      <c r="M585" s="1" t="s">
        <v>216</v>
      </c>
      <c r="N585" s="1" t="s">
        <v>131</v>
      </c>
      <c r="O585" s="3"/>
      <c r="P585" s="1"/>
      <c r="Q585" s="4"/>
      <c r="R585" s="1" t="s">
        <v>137</v>
      </c>
      <c r="S585" s="1" t="s">
        <v>137</v>
      </c>
      <c r="T585" s="1" t="s">
        <v>47</v>
      </c>
      <c r="U585" s="1" t="s">
        <v>4301</v>
      </c>
      <c r="V585" s="4"/>
      <c r="W585" s="4"/>
      <c r="X585" s="4"/>
    </row>
    <row r="586">
      <c r="A586" s="1" t="s">
        <v>8784</v>
      </c>
      <c r="B586" s="1" t="s">
        <v>4293</v>
      </c>
      <c r="C586" s="1" t="s">
        <v>13980</v>
      </c>
      <c r="D586" s="1" t="s">
        <v>1932</v>
      </c>
      <c r="E586" s="1" t="s">
        <v>175</v>
      </c>
      <c r="F586" s="1" t="s">
        <v>763</v>
      </c>
      <c r="G586" s="1" t="s">
        <v>1825</v>
      </c>
      <c r="H586" s="3">
        <v>44560.0</v>
      </c>
      <c r="I586" s="3">
        <v>44515.0</v>
      </c>
      <c r="J586" s="3">
        <v>44515.0</v>
      </c>
      <c r="K586" s="1" t="s">
        <v>215</v>
      </c>
      <c r="L586" s="1" t="s">
        <v>160</v>
      </c>
      <c r="M586" s="1" t="s">
        <v>216</v>
      </c>
      <c r="N586" s="1" t="s">
        <v>131</v>
      </c>
      <c r="O586" s="3"/>
      <c r="P586" s="1"/>
      <c r="Q586" s="4"/>
      <c r="R586" s="1" t="s">
        <v>137</v>
      </c>
      <c r="S586" s="1" t="s">
        <v>137</v>
      </c>
      <c r="T586" s="1" t="s">
        <v>47</v>
      </c>
      <c r="U586" s="1" t="s">
        <v>4301</v>
      </c>
      <c r="V586" s="4"/>
      <c r="W586" s="4"/>
      <c r="X586" s="4"/>
    </row>
    <row r="587">
      <c r="A587" s="1" t="s">
        <v>8085</v>
      </c>
      <c r="B587" s="1" t="s">
        <v>4293</v>
      </c>
      <c r="C587" s="1" t="s">
        <v>3183</v>
      </c>
      <c r="D587" s="1" t="s">
        <v>273</v>
      </c>
      <c r="E587" s="1" t="s">
        <v>330</v>
      </c>
      <c r="F587" s="1" t="s">
        <v>356</v>
      </c>
      <c r="G587" s="1" t="s">
        <v>875</v>
      </c>
      <c r="H587" s="3">
        <v>43952.0</v>
      </c>
      <c r="I587" s="3">
        <v>44335.0</v>
      </c>
      <c r="J587" s="3">
        <v>44335.0</v>
      </c>
      <c r="K587" s="1" t="s">
        <v>215</v>
      </c>
      <c r="L587" s="1" t="s">
        <v>160</v>
      </c>
      <c r="M587" s="1" t="s">
        <v>216</v>
      </c>
      <c r="N587" s="1" t="s">
        <v>131</v>
      </c>
      <c r="O587" s="3"/>
      <c r="P587" s="1"/>
      <c r="Q587" s="4"/>
      <c r="R587" s="1" t="s">
        <v>137</v>
      </c>
      <c r="S587" s="1" t="s">
        <v>137</v>
      </c>
      <c r="T587" s="1" t="s">
        <v>47</v>
      </c>
      <c r="U587" s="1" t="s">
        <v>4301</v>
      </c>
      <c r="V587" s="4"/>
      <c r="W587" s="4"/>
      <c r="X587" s="4"/>
    </row>
    <row r="588">
      <c r="A588" s="1" t="s">
        <v>2928</v>
      </c>
      <c r="B588" s="1" t="s">
        <v>116</v>
      </c>
      <c r="C588" s="1" t="s">
        <v>3183</v>
      </c>
      <c r="D588" s="1" t="s">
        <v>273</v>
      </c>
      <c r="E588" s="1" t="s">
        <v>330</v>
      </c>
      <c r="F588" s="1" t="s">
        <v>356</v>
      </c>
      <c r="G588" s="1" t="s">
        <v>875</v>
      </c>
      <c r="H588" s="3">
        <v>46224.0</v>
      </c>
      <c r="I588" s="3">
        <v>46266.0</v>
      </c>
      <c r="J588" s="3">
        <v>46266.0</v>
      </c>
      <c r="K588" s="1" t="s">
        <v>215</v>
      </c>
      <c r="L588" s="1" t="s">
        <v>98</v>
      </c>
      <c r="M588" s="1" t="s">
        <v>216</v>
      </c>
      <c r="N588" s="1" t="s">
        <v>131</v>
      </c>
      <c r="O588" s="3">
        <v>46266.0</v>
      </c>
      <c r="P588" s="1" t="s">
        <v>529</v>
      </c>
      <c r="Q588" s="4"/>
      <c r="R588" s="1" t="s">
        <v>137</v>
      </c>
      <c r="S588" s="1" t="s">
        <v>137</v>
      </c>
      <c r="T588" s="1" t="s">
        <v>47</v>
      </c>
      <c r="U588" s="1" t="s">
        <v>4471</v>
      </c>
      <c r="V588" s="4"/>
      <c r="W588" s="4"/>
      <c r="X588" s="4"/>
    </row>
    <row r="589">
      <c r="A589" s="1" t="s">
        <v>12455</v>
      </c>
      <c r="B589" s="1" t="s">
        <v>4293</v>
      </c>
      <c r="C589" s="1" t="s">
        <v>14014</v>
      </c>
      <c r="D589" s="1" t="s">
        <v>919</v>
      </c>
      <c r="E589" s="1" t="s">
        <v>175</v>
      </c>
      <c r="F589" s="1" t="s">
        <v>1767</v>
      </c>
      <c r="G589" s="1" t="s">
        <v>2199</v>
      </c>
      <c r="H589" s="3">
        <v>44560.0</v>
      </c>
      <c r="I589" s="3">
        <v>43978.0</v>
      </c>
      <c r="J589" s="3">
        <v>43978.0</v>
      </c>
      <c r="K589" s="1" t="s">
        <v>215</v>
      </c>
      <c r="L589" s="1" t="s">
        <v>160</v>
      </c>
      <c r="M589" s="1" t="s">
        <v>216</v>
      </c>
      <c r="N589" s="1" t="s">
        <v>131</v>
      </c>
      <c r="O589" s="13"/>
      <c r="P589" s="1"/>
      <c r="Q589" s="4"/>
      <c r="R589" s="1" t="s">
        <v>137</v>
      </c>
      <c r="S589" s="1" t="s">
        <v>137</v>
      </c>
      <c r="T589" s="1" t="s">
        <v>47</v>
      </c>
      <c r="U589" s="1" t="s">
        <v>4301</v>
      </c>
      <c r="V589" s="4"/>
      <c r="W589" s="4"/>
      <c r="X589" s="4"/>
    </row>
    <row r="590">
      <c r="A590" s="1" t="s">
        <v>12522</v>
      </c>
      <c r="B590" s="1" t="s">
        <v>4293</v>
      </c>
      <c r="C590" s="1" t="s">
        <v>14025</v>
      </c>
      <c r="D590" s="1" t="s">
        <v>417</v>
      </c>
      <c r="E590" s="1" t="s">
        <v>3379</v>
      </c>
      <c r="F590" s="1" t="s">
        <v>9045</v>
      </c>
      <c r="G590" s="1" t="s">
        <v>9045</v>
      </c>
      <c r="H590" s="3">
        <v>44944.0</v>
      </c>
      <c r="I590" s="3">
        <v>44968.0</v>
      </c>
      <c r="J590" s="3">
        <v>44968.0</v>
      </c>
      <c r="K590" s="1" t="s">
        <v>215</v>
      </c>
      <c r="L590" s="1" t="s">
        <v>160</v>
      </c>
      <c r="M590" s="1" t="s">
        <v>216</v>
      </c>
      <c r="N590" s="1" t="s">
        <v>131</v>
      </c>
      <c r="O590" s="13"/>
      <c r="P590" s="1"/>
      <c r="Q590" s="4"/>
      <c r="R590" s="1" t="s">
        <v>137</v>
      </c>
      <c r="S590" s="1" t="s">
        <v>137</v>
      </c>
      <c r="T590" s="1" t="s">
        <v>47</v>
      </c>
      <c r="U590" s="1" t="s">
        <v>4301</v>
      </c>
      <c r="V590" s="4"/>
      <c r="W590" s="4"/>
      <c r="X590" s="4"/>
    </row>
    <row r="591">
      <c r="A591" s="1" t="s">
        <v>2247</v>
      </c>
      <c r="B591" s="1" t="s">
        <v>116</v>
      </c>
      <c r="C591" s="1" t="s">
        <v>3187</v>
      </c>
      <c r="D591" s="1" t="s">
        <v>3188</v>
      </c>
      <c r="E591" s="1" t="s">
        <v>292</v>
      </c>
      <c r="F591" s="1" t="s">
        <v>494</v>
      </c>
      <c r="G591" s="1" t="s">
        <v>1478</v>
      </c>
      <c r="H591" s="3">
        <v>46125.0</v>
      </c>
      <c r="I591" s="3">
        <v>46314.0</v>
      </c>
      <c r="J591" s="3"/>
      <c r="K591" s="1" t="s">
        <v>124</v>
      </c>
      <c r="L591" s="1" t="s">
        <v>160</v>
      </c>
      <c r="M591" s="1" t="s">
        <v>460</v>
      </c>
      <c r="N591" s="1" t="s">
        <v>131</v>
      </c>
      <c r="O591" s="4"/>
      <c r="P591" s="1" t="s">
        <v>3195</v>
      </c>
      <c r="Q591" s="4"/>
      <c r="R591" s="1" t="s">
        <v>137</v>
      </c>
      <c r="S591" s="1" t="s">
        <v>137</v>
      </c>
      <c r="T591" s="1" t="s">
        <v>47</v>
      </c>
      <c r="U591" s="1" t="s">
        <v>3661</v>
      </c>
      <c r="V591" s="4"/>
      <c r="W591" s="4"/>
      <c r="X591" s="4"/>
    </row>
    <row r="592">
      <c r="A592" s="1" t="s">
        <v>9337</v>
      </c>
      <c r="B592" s="1" t="s">
        <v>4293</v>
      </c>
      <c r="C592" s="1" t="s">
        <v>14043</v>
      </c>
      <c r="D592" s="1" t="s">
        <v>593</v>
      </c>
      <c r="E592" s="1" t="s">
        <v>330</v>
      </c>
      <c r="F592" s="1" t="s">
        <v>663</v>
      </c>
      <c r="G592" s="1" t="s">
        <v>923</v>
      </c>
      <c r="H592" s="3">
        <v>45631.0</v>
      </c>
      <c r="I592" s="3"/>
      <c r="J592" s="3"/>
      <c r="K592" s="1" t="s">
        <v>124</v>
      </c>
      <c r="L592" s="1" t="s">
        <v>160</v>
      </c>
      <c r="M592" s="1" t="s">
        <v>253</v>
      </c>
      <c r="N592" s="1" t="s">
        <v>131</v>
      </c>
      <c r="O592" s="4"/>
      <c r="P592" s="4"/>
      <c r="Q592" s="4"/>
      <c r="R592" s="1" t="s">
        <v>137</v>
      </c>
      <c r="S592" s="1" t="s">
        <v>137</v>
      </c>
      <c r="T592" s="1" t="s">
        <v>47</v>
      </c>
      <c r="U592" s="1" t="s">
        <v>4301</v>
      </c>
      <c r="V592" s="4"/>
      <c r="W592" s="4"/>
      <c r="X592" s="4"/>
    </row>
    <row r="593">
      <c r="A593" s="1" t="s">
        <v>12290</v>
      </c>
      <c r="B593" s="1" t="s">
        <v>4293</v>
      </c>
      <c r="C593" s="1" t="s">
        <v>14053</v>
      </c>
      <c r="D593" s="1" t="s">
        <v>678</v>
      </c>
      <c r="E593" s="1" t="s">
        <v>454</v>
      </c>
      <c r="F593" s="1" t="s">
        <v>637</v>
      </c>
      <c r="G593" s="1" t="s">
        <v>703</v>
      </c>
      <c r="H593" s="3">
        <v>44468.0</v>
      </c>
      <c r="I593" s="3">
        <v>44657.0</v>
      </c>
      <c r="J593" s="3">
        <v>44657.0</v>
      </c>
      <c r="K593" s="1" t="s">
        <v>215</v>
      </c>
      <c r="L593" s="1" t="s">
        <v>160</v>
      </c>
      <c r="M593" s="1" t="s">
        <v>216</v>
      </c>
      <c r="N593" s="1" t="s">
        <v>131</v>
      </c>
      <c r="O593" s="4"/>
      <c r="P593" s="1"/>
      <c r="Q593" s="4"/>
      <c r="R593" s="1" t="s">
        <v>137</v>
      </c>
      <c r="S593" s="1" t="s">
        <v>137</v>
      </c>
      <c r="T593" s="1" t="s">
        <v>47</v>
      </c>
      <c r="U593" s="1" t="s">
        <v>4301</v>
      </c>
      <c r="V593" s="4"/>
      <c r="W593" s="4"/>
      <c r="X593" s="4"/>
    </row>
    <row r="594">
      <c r="A594" s="1" t="s">
        <v>11681</v>
      </c>
      <c r="B594" s="1" t="s">
        <v>4293</v>
      </c>
      <c r="C594" s="1" t="s">
        <v>14060</v>
      </c>
      <c r="D594" s="1" t="s">
        <v>14061</v>
      </c>
      <c r="E594" s="1" t="s">
        <v>889</v>
      </c>
      <c r="F594" s="1" t="s">
        <v>2385</v>
      </c>
      <c r="G594" s="1"/>
      <c r="H594" s="3">
        <v>45562.0</v>
      </c>
      <c r="I594" s="3">
        <v>45908.0</v>
      </c>
      <c r="J594" s="3">
        <v>45908.0</v>
      </c>
      <c r="K594" s="1" t="s">
        <v>215</v>
      </c>
      <c r="L594" s="1" t="s">
        <v>160</v>
      </c>
      <c r="M594" s="1" t="s">
        <v>216</v>
      </c>
      <c r="N594" s="1" t="s">
        <v>131</v>
      </c>
      <c r="O594" s="4"/>
      <c r="P594" s="1"/>
      <c r="Q594" s="4"/>
      <c r="R594" s="1" t="s">
        <v>137</v>
      </c>
      <c r="S594" s="1" t="s">
        <v>137</v>
      </c>
      <c r="T594" s="1" t="s">
        <v>47</v>
      </c>
      <c r="U594" s="1" t="s">
        <v>4301</v>
      </c>
      <c r="V594" s="4"/>
      <c r="W594" s="4"/>
      <c r="X594" s="4"/>
    </row>
    <row r="595">
      <c r="A595" s="1" t="s">
        <v>9742</v>
      </c>
      <c r="B595" s="1" t="s">
        <v>4293</v>
      </c>
      <c r="C595" s="1" t="s">
        <v>14067</v>
      </c>
      <c r="D595" s="1" t="s">
        <v>1272</v>
      </c>
      <c r="E595" s="1" t="s">
        <v>520</v>
      </c>
      <c r="F595" s="1" t="s">
        <v>1179</v>
      </c>
      <c r="G595" s="1" t="s">
        <v>7840</v>
      </c>
      <c r="H595" s="3">
        <v>44908.0</v>
      </c>
      <c r="I595" s="3"/>
      <c r="J595" s="3"/>
      <c r="K595" s="1" t="s">
        <v>124</v>
      </c>
      <c r="L595" s="1" t="s">
        <v>160</v>
      </c>
      <c r="M595" s="1" t="s">
        <v>253</v>
      </c>
      <c r="N595" s="1" t="s">
        <v>131</v>
      </c>
      <c r="O595" s="4"/>
      <c r="P595" s="1"/>
      <c r="Q595" s="4"/>
      <c r="R595" s="1" t="s">
        <v>137</v>
      </c>
      <c r="S595" s="1" t="s">
        <v>137</v>
      </c>
      <c r="T595" s="1" t="s">
        <v>47</v>
      </c>
      <c r="U595" s="1" t="s">
        <v>4301</v>
      </c>
      <c r="V595" s="4"/>
      <c r="W595" s="4"/>
      <c r="X595" s="4"/>
    </row>
    <row r="596">
      <c r="A596" s="1" t="s">
        <v>6225</v>
      </c>
      <c r="B596" s="1" t="s">
        <v>4293</v>
      </c>
      <c r="C596" s="1" t="s">
        <v>14073</v>
      </c>
      <c r="D596" s="1" t="s">
        <v>518</v>
      </c>
      <c r="E596" s="1" t="s">
        <v>520</v>
      </c>
      <c r="F596" s="1" t="s">
        <v>522</v>
      </c>
      <c r="G596" s="1" t="s">
        <v>4985</v>
      </c>
      <c r="H596" s="3">
        <v>45266.0</v>
      </c>
      <c r="I596" s="3">
        <v>45315.0</v>
      </c>
      <c r="J596" s="3">
        <v>45315.0</v>
      </c>
      <c r="K596" s="1" t="s">
        <v>215</v>
      </c>
      <c r="L596" s="1" t="s">
        <v>160</v>
      </c>
      <c r="M596" s="1" t="s">
        <v>216</v>
      </c>
      <c r="N596" s="1" t="s">
        <v>131</v>
      </c>
      <c r="O596" s="4"/>
      <c r="P596" s="1"/>
      <c r="Q596" s="4"/>
      <c r="R596" s="1" t="s">
        <v>137</v>
      </c>
      <c r="S596" s="1" t="s">
        <v>137</v>
      </c>
      <c r="T596" s="1" t="s">
        <v>47</v>
      </c>
      <c r="U596" s="1" t="s">
        <v>4301</v>
      </c>
      <c r="V596" s="4"/>
      <c r="W596" s="4"/>
      <c r="X596" s="4"/>
    </row>
    <row r="597">
      <c r="A597" s="1" t="s">
        <v>9196</v>
      </c>
      <c r="B597" s="1" t="s">
        <v>4293</v>
      </c>
      <c r="C597" s="1" t="s">
        <v>14082</v>
      </c>
      <c r="D597" s="1" t="s">
        <v>388</v>
      </c>
      <c r="E597" s="1" t="s">
        <v>292</v>
      </c>
      <c r="F597" s="1" t="s">
        <v>962</v>
      </c>
      <c r="G597" s="1" t="s">
        <v>5046</v>
      </c>
      <c r="H597" s="3">
        <v>44008.0</v>
      </c>
      <c r="I597" s="3">
        <v>44102.0</v>
      </c>
      <c r="J597" s="3">
        <v>44102.0</v>
      </c>
      <c r="K597" s="1" t="s">
        <v>215</v>
      </c>
      <c r="L597" s="1" t="s">
        <v>160</v>
      </c>
      <c r="M597" s="1" t="s">
        <v>216</v>
      </c>
      <c r="N597" s="1" t="s">
        <v>131</v>
      </c>
      <c r="O597" s="4"/>
      <c r="P597" s="1"/>
      <c r="Q597" s="4"/>
      <c r="R597" s="1" t="s">
        <v>137</v>
      </c>
      <c r="S597" s="1" t="s">
        <v>137</v>
      </c>
      <c r="T597" s="1" t="s">
        <v>47</v>
      </c>
      <c r="U597" s="1" t="s">
        <v>4301</v>
      </c>
      <c r="V597" s="4"/>
      <c r="W597" s="4"/>
      <c r="X597" s="4"/>
    </row>
    <row r="598">
      <c r="A598" s="1" t="s">
        <v>4780</v>
      </c>
      <c r="B598" s="1" t="s">
        <v>116</v>
      </c>
      <c r="C598" s="1" t="s">
        <v>3228</v>
      </c>
      <c r="D598" s="1" t="s">
        <v>831</v>
      </c>
      <c r="E598" s="1" t="s">
        <v>175</v>
      </c>
      <c r="F598" s="1" t="s">
        <v>585</v>
      </c>
      <c r="G598" s="1" t="s">
        <v>780</v>
      </c>
      <c r="H598" s="3">
        <v>46273.0</v>
      </c>
      <c r="I598" s="3">
        <v>46433.0</v>
      </c>
      <c r="J598" s="3"/>
      <c r="K598" s="1" t="s">
        <v>124</v>
      </c>
      <c r="L598" s="1" t="s">
        <v>71</v>
      </c>
      <c r="M598" s="1" t="s">
        <v>162</v>
      </c>
      <c r="N598" s="1" t="s">
        <v>131</v>
      </c>
      <c r="O598" s="4"/>
      <c r="P598" s="1" t="s">
        <v>5108</v>
      </c>
      <c r="Q598" s="4"/>
      <c r="R598" s="1" t="s">
        <v>137</v>
      </c>
      <c r="S598" s="1" t="s">
        <v>137</v>
      </c>
      <c r="T598" s="1" t="s">
        <v>47</v>
      </c>
      <c r="U598" s="1" t="s">
        <v>4790</v>
      </c>
      <c r="V598" s="4"/>
      <c r="W598" s="4"/>
      <c r="X598" s="4"/>
    </row>
    <row r="599">
      <c r="A599" s="1" t="s">
        <v>10127</v>
      </c>
      <c r="B599" s="1" t="s">
        <v>4293</v>
      </c>
      <c r="C599" s="1" t="s">
        <v>14099</v>
      </c>
      <c r="D599" s="1" t="s">
        <v>180</v>
      </c>
      <c r="E599" s="1" t="s">
        <v>520</v>
      </c>
      <c r="F599" s="1" t="s">
        <v>1671</v>
      </c>
      <c r="G599" s="1" t="s">
        <v>3492</v>
      </c>
      <c r="H599" s="3">
        <v>44378.0</v>
      </c>
      <c r="I599" s="3">
        <v>44378.0</v>
      </c>
      <c r="J599" s="3">
        <v>44378.0</v>
      </c>
      <c r="K599" s="1" t="s">
        <v>215</v>
      </c>
      <c r="L599" s="1" t="s">
        <v>160</v>
      </c>
      <c r="M599" s="1" t="s">
        <v>216</v>
      </c>
      <c r="N599" s="1" t="s">
        <v>131</v>
      </c>
      <c r="O599" s="4"/>
      <c r="P599" s="4"/>
      <c r="Q599" s="4"/>
      <c r="R599" s="1" t="s">
        <v>137</v>
      </c>
      <c r="S599" s="1" t="s">
        <v>137</v>
      </c>
      <c r="T599" s="1" t="s">
        <v>47</v>
      </c>
      <c r="U599" s="1" t="s">
        <v>4301</v>
      </c>
      <c r="V599" s="4"/>
      <c r="W599" s="4"/>
      <c r="X599" s="4"/>
    </row>
    <row r="600">
      <c r="A600" s="1" t="s">
        <v>6905</v>
      </c>
      <c r="B600" s="1" t="s">
        <v>4293</v>
      </c>
      <c r="C600" s="1" t="s">
        <v>14109</v>
      </c>
      <c r="D600" s="1" t="s">
        <v>960</v>
      </c>
      <c r="E600" s="1" t="s">
        <v>292</v>
      </c>
      <c r="F600" s="1" t="s">
        <v>494</v>
      </c>
      <c r="G600" s="1" t="s">
        <v>3632</v>
      </c>
      <c r="H600" s="3">
        <v>44314.0</v>
      </c>
      <c r="I600" s="3">
        <v>44308.0</v>
      </c>
      <c r="J600" s="3">
        <v>44308.0</v>
      </c>
      <c r="K600" s="1" t="s">
        <v>215</v>
      </c>
      <c r="L600" s="1" t="s">
        <v>160</v>
      </c>
      <c r="M600" s="1" t="s">
        <v>216</v>
      </c>
      <c r="N600" s="1" t="s">
        <v>131</v>
      </c>
      <c r="O600" s="4"/>
      <c r="P600" s="4"/>
      <c r="Q600" s="4"/>
      <c r="R600" s="1" t="s">
        <v>137</v>
      </c>
      <c r="S600" s="1" t="s">
        <v>137</v>
      </c>
      <c r="T600" s="1" t="s">
        <v>47</v>
      </c>
      <c r="U600" s="1" t="s">
        <v>4301</v>
      </c>
      <c r="V600" s="4"/>
      <c r="W600" s="4"/>
      <c r="X600" s="4"/>
    </row>
    <row r="601">
      <c r="A601" s="1" t="s">
        <v>7385</v>
      </c>
      <c r="B601" s="1" t="s">
        <v>4293</v>
      </c>
      <c r="C601" s="1" t="s">
        <v>14114</v>
      </c>
      <c r="D601" s="1" t="s">
        <v>172</v>
      </c>
      <c r="E601" s="1" t="s">
        <v>175</v>
      </c>
      <c r="F601" s="1" t="s">
        <v>177</v>
      </c>
      <c r="G601" s="1" t="s">
        <v>672</v>
      </c>
      <c r="H601" s="3">
        <v>45161.0</v>
      </c>
      <c r="I601" s="3">
        <v>45161.0</v>
      </c>
      <c r="J601" s="3">
        <v>45161.0</v>
      </c>
      <c r="K601" s="1" t="s">
        <v>215</v>
      </c>
      <c r="L601" s="1" t="s">
        <v>160</v>
      </c>
      <c r="M601" s="1" t="s">
        <v>216</v>
      </c>
      <c r="N601" s="1" t="s">
        <v>131</v>
      </c>
      <c r="O601" s="4"/>
      <c r="P601" s="4"/>
      <c r="Q601" s="4"/>
      <c r="R601" s="1" t="s">
        <v>137</v>
      </c>
      <c r="S601" s="1" t="s">
        <v>137</v>
      </c>
      <c r="T601" s="1" t="s">
        <v>47</v>
      </c>
      <c r="U601" s="1" t="s">
        <v>4301</v>
      </c>
      <c r="V601" s="4"/>
      <c r="W601" s="4"/>
      <c r="X601" s="4"/>
    </row>
    <row r="602">
      <c r="A602" s="1" t="s">
        <v>7854</v>
      </c>
      <c r="B602" s="1" t="s">
        <v>4293</v>
      </c>
      <c r="C602" s="1" t="s">
        <v>14127</v>
      </c>
      <c r="D602" s="1" t="s">
        <v>548</v>
      </c>
      <c r="E602" s="1" t="s">
        <v>520</v>
      </c>
      <c r="F602" s="1" t="s">
        <v>1229</v>
      </c>
      <c r="G602" s="1" t="s">
        <v>1231</v>
      </c>
      <c r="H602" s="3">
        <v>44075.0</v>
      </c>
      <c r="I602" s="3">
        <v>44075.0</v>
      </c>
      <c r="J602" s="3">
        <v>44075.0</v>
      </c>
      <c r="K602" s="1" t="s">
        <v>215</v>
      </c>
      <c r="L602" s="1" t="s">
        <v>160</v>
      </c>
      <c r="M602" s="1" t="s">
        <v>216</v>
      </c>
      <c r="N602" s="1" t="s">
        <v>131</v>
      </c>
      <c r="O602" s="4"/>
      <c r="P602" s="4"/>
      <c r="Q602" s="4"/>
      <c r="R602" s="1" t="s">
        <v>137</v>
      </c>
      <c r="S602" s="1" t="s">
        <v>137</v>
      </c>
      <c r="T602" s="1" t="s">
        <v>47</v>
      </c>
      <c r="U602" s="1" t="s">
        <v>4301</v>
      </c>
      <c r="V602" s="4"/>
      <c r="W602" s="4"/>
      <c r="X602" s="4"/>
    </row>
    <row r="603">
      <c r="A603" s="1" t="s">
        <v>13950</v>
      </c>
      <c r="B603" s="1" t="s">
        <v>4293</v>
      </c>
      <c r="C603" s="1" t="s">
        <v>14133</v>
      </c>
      <c r="D603" s="1" t="s">
        <v>509</v>
      </c>
      <c r="E603" s="1" t="s">
        <v>454</v>
      </c>
      <c r="F603" s="1" t="s">
        <v>455</v>
      </c>
      <c r="G603" s="1" t="s">
        <v>738</v>
      </c>
      <c r="H603" s="3">
        <v>46052.0</v>
      </c>
      <c r="I603" s="3"/>
      <c r="J603" s="3"/>
      <c r="K603" s="1" t="s">
        <v>124</v>
      </c>
      <c r="L603" s="1" t="s">
        <v>160</v>
      </c>
      <c r="M603" s="1" t="s">
        <v>253</v>
      </c>
      <c r="N603" s="1" t="s">
        <v>131</v>
      </c>
      <c r="O603" s="4"/>
      <c r="P603" s="1"/>
      <c r="Q603" s="4"/>
      <c r="R603" s="1" t="s">
        <v>137</v>
      </c>
      <c r="S603" s="1" t="s">
        <v>137</v>
      </c>
      <c r="T603" s="1" t="s">
        <v>47</v>
      </c>
      <c r="U603" s="1" t="s">
        <v>4301</v>
      </c>
      <c r="V603" s="4"/>
      <c r="W603" s="4"/>
      <c r="X603" s="4"/>
    </row>
    <row r="604">
      <c r="A604" s="1" t="s">
        <v>9121</v>
      </c>
      <c r="B604" s="1" t="s">
        <v>4293</v>
      </c>
      <c r="C604" s="1" t="s">
        <v>14143</v>
      </c>
      <c r="D604" s="1" t="s">
        <v>388</v>
      </c>
      <c r="E604" s="1" t="s">
        <v>292</v>
      </c>
      <c r="F604" s="1" t="s">
        <v>962</v>
      </c>
      <c r="G604" s="1" t="s">
        <v>5046</v>
      </c>
      <c r="H604" s="3">
        <v>45919.0</v>
      </c>
      <c r="I604" s="3">
        <v>46189.0</v>
      </c>
      <c r="J604" s="3">
        <v>46189.0</v>
      </c>
      <c r="K604" s="1" t="s">
        <v>124</v>
      </c>
      <c r="L604" s="1" t="s">
        <v>160</v>
      </c>
      <c r="M604" s="1" t="s">
        <v>253</v>
      </c>
      <c r="N604" s="1" t="s">
        <v>131</v>
      </c>
      <c r="O604" s="4"/>
      <c r="P604" s="1" t="s">
        <v>3561</v>
      </c>
      <c r="Q604" s="4"/>
      <c r="R604" s="1" t="s">
        <v>137</v>
      </c>
      <c r="S604" s="1" t="s">
        <v>137</v>
      </c>
      <c r="T604" s="1" t="s">
        <v>47</v>
      </c>
      <c r="U604" s="1" t="s">
        <v>4301</v>
      </c>
      <c r="V604" s="4"/>
      <c r="W604" s="4"/>
      <c r="X604" s="4"/>
    </row>
    <row r="605">
      <c r="A605" s="1" t="s">
        <v>10703</v>
      </c>
      <c r="B605" s="1" t="s">
        <v>4293</v>
      </c>
      <c r="C605" s="1" t="s">
        <v>14160</v>
      </c>
      <c r="D605" s="1" t="s">
        <v>1477</v>
      </c>
      <c r="E605" s="1" t="s">
        <v>175</v>
      </c>
      <c r="F605" s="1" t="s">
        <v>1767</v>
      </c>
      <c r="G605" s="1" t="s">
        <v>3430</v>
      </c>
      <c r="H605" s="3">
        <v>44895.0</v>
      </c>
      <c r="I605" s="3">
        <v>45033.0</v>
      </c>
      <c r="J605" s="3">
        <v>45033.0</v>
      </c>
      <c r="K605" s="1" t="s">
        <v>215</v>
      </c>
      <c r="L605" s="1" t="s">
        <v>160</v>
      </c>
      <c r="M605" s="1" t="s">
        <v>216</v>
      </c>
      <c r="N605" s="1" t="s">
        <v>131</v>
      </c>
      <c r="O605" s="4"/>
      <c r="P605" s="4"/>
      <c r="Q605" s="4"/>
      <c r="R605" s="1" t="s">
        <v>137</v>
      </c>
      <c r="S605" s="1" t="s">
        <v>137</v>
      </c>
      <c r="T605" s="1" t="s">
        <v>47</v>
      </c>
      <c r="U605" s="1" t="s">
        <v>4301</v>
      </c>
      <c r="V605" s="4"/>
      <c r="W605" s="4"/>
      <c r="X605" s="4"/>
    </row>
    <row r="606">
      <c r="A606" s="1" t="s">
        <v>6184</v>
      </c>
      <c r="B606" s="1" t="s">
        <v>4293</v>
      </c>
      <c r="C606" s="1" t="s">
        <v>14167</v>
      </c>
      <c r="D606" s="1" t="s">
        <v>777</v>
      </c>
      <c r="E606" s="1" t="s">
        <v>292</v>
      </c>
      <c r="F606" s="1" t="s">
        <v>962</v>
      </c>
      <c r="G606" s="1" t="s">
        <v>5046</v>
      </c>
      <c r="H606" s="3">
        <v>43679.0</v>
      </c>
      <c r="I606" s="3">
        <v>43990.0</v>
      </c>
      <c r="J606" s="3">
        <v>43990.0</v>
      </c>
      <c r="K606" s="1" t="s">
        <v>215</v>
      </c>
      <c r="L606" s="1" t="s">
        <v>160</v>
      </c>
      <c r="M606" s="1" t="s">
        <v>216</v>
      </c>
      <c r="N606" s="1" t="s">
        <v>131</v>
      </c>
      <c r="O606" s="4"/>
      <c r="P606" s="4"/>
      <c r="Q606" s="4"/>
      <c r="R606" s="1" t="s">
        <v>137</v>
      </c>
      <c r="S606" s="1" t="s">
        <v>137</v>
      </c>
      <c r="T606" s="1" t="s">
        <v>47</v>
      </c>
      <c r="U606" s="1" t="s">
        <v>4301</v>
      </c>
      <c r="V606" s="4"/>
      <c r="W606" s="4"/>
      <c r="X606" s="4"/>
    </row>
    <row r="607">
      <c r="A607" s="1" t="s">
        <v>10578</v>
      </c>
      <c r="B607" s="1" t="s">
        <v>4293</v>
      </c>
      <c r="C607" s="1" t="s">
        <v>14183</v>
      </c>
      <c r="D607" s="1" t="s">
        <v>417</v>
      </c>
      <c r="E607" s="1" t="s">
        <v>175</v>
      </c>
      <c r="F607" s="1" t="s">
        <v>585</v>
      </c>
      <c r="G607" s="1" t="s">
        <v>1529</v>
      </c>
      <c r="H607" s="3">
        <v>44216.0</v>
      </c>
      <c r="I607" s="3">
        <v>44225.0</v>
      </c>
      <c r="J607" s="3">
        <v>44225.0</v>
      </c>
      <c r="K607" s="1" t="s">
        <v>215</v>
      </c>
      <c r="L607" s="1" t="s">
        <v>160</v>
      </c>
      <c r="M607" s="1" t="s">
        <v>216</v>
      </c>
      <c r="N607" s="1" t="s">
        <v>131</v>
      </c>
      <c r="O607" s="4"/>
      <c r="P607" s="4"/>
      <c r="Q607" s="4"/>
      <c r="R607" s="1" t="s">
        <v>137</v>
      </c>
      <c r="S607" s="1" t="s">
        <v>137</v>
      </c>
      <c r="T607" s="1" t="s">
        <v>47</v>
      </c>
      <c r="U607" s="1" t="s">
        <v>4301</v>
      </c>
      <c r="V607" s="4"/>
      <c r="W607" s="4"/>
      <c r="X607" s="4"/>
    </row>
    <row r="608">
      <c r="A608" s="1" t="s">
        <v>8441</v>
      </c>
      <c r="B608" s="1" t="s">
        <v>4293</v>
      </c>
      <c r="C608" s="1" t="s">
        <v>14194</v>
      </c>
      <c r="D608" s="1" t="s">
        <v>960</v>
      </c>
      <c r="E608" s="1" t="s">
        <v>292</v>
      </c>
      <c r="F608" s="1" t="s">
        <v>468</v>
      </c>
      <c r="G608" s="1" t="s">
        <v>1758</v>
      </c>
      <c r="H608" s="3">
        <v>45490.0</v>
      </c>
      <c r="I608" s="3">
        <v>45686.0</v>
      </c>
      <c r="J608" s="3">
        <v>45686.0</v>
      </c>
      <c r="K608" s="1" t="s">
        <v>215</v>
      </c>
      <c r="L608" s="1" t="s">
        <v>160</v>
      </c>
      <c r="M608" s="1" t="s">
        <v>216</v>
      </c>
      <c r="N608" s="1" t="s">
        <v>131</v>
      </c>
      <c r="O608" s="4"/>
      <c r="P608" s="4"/>
      <c r="Q608" s="4"/>
      <c r="R608" s="1" t="s">
        <v>137</v>
      </c>
      <c r="S608" s="1" t="s">
        <v>137</v>
      </c>
      <c r="T608" s="1" t="s">
        <v>47</v>
      </c>
      <c r="U608" s="1" t="s">
        <v>4301</v>
      </c>
      <c r="V608" s="4"/>
      <c r="W608" s="4"/>
      <c r="X608" s="4"/>
    </row>
    <row r="609">
      <c r="A609" s="1" t="s">
        <v>9284</v>
      </c>
      <c r="B609" s="1" t="s">
        <v>4293</v>
      </c>
      <c r="C609" s="1" t="s">
        <v>14205</v>
      </c>
      <c r="D609" s="1" t="s">
        <v>650</v>
      </c>
      <c r="E609" s="1" t="s">
        <v>175</v>
      </c>
      <c r="F609" s="1" t="s">
        <v>585</v>
      </c>
      <c r="G609" s="1" t="s">
        <v>1529</v>
      </c>
      <c r="H609" s="3">
        <v>43809.0</v>
      </c>
      <c r="I609" s="3">
        <v>43879.0</v>
      </c>
      <c r="J609" s="3">
        <v>43879.0</v>
      </c>
      <c r="K609" s="1" t="s">
        <v>215</v>
      </c>
      <c r="L609" s="1" t="s">
        <v>160</v>
      </c>
      <c r="M609" s="1" t="s">
        <v>216</v>
      </c>
      <c r="N609" s="1" t="s">
        <v>131</v>
      </c>
      <c r="O609" s="4"/>
      <c r="P609" s="4"/>
      <c r="Q609" s="4"/>
      <c r="R609" s="1" t="s">
        <v>137</v>
      </c>
      <c r="S609" s="1" t="s">
        <v>137</v>
      </c>
      <c r="T609" s="1" t="s">
        <v>47</v>
      </c>
      <c r="U609" s="1" t="s">
        <v>4301</v>
      </c>
      <c r="V609" s="4"/>
      <c r="W609" s="4"/>
      <c r="X609" s="4"/>
    </row>
    <row r="610">
      <c r="A610" s="1" t="s">
        <v>8764</v>
      </c>
      <c r="B610" s="1" t="s">
        <v>4293</v>
      </c>
      <c r="C610" s="1" t="s">
        <v>14212</v>
      </c>
      <c r="D610" s="1" t="s">
        <v>960</v>
      </c>
      <c r="E610" s="1" t="s">
        <v>292</v>
      </c>
      <c r="F610" s="1" t="s">
        <v>468</v>
      </c>
      <c r="G610" s="1" t="s">
        <v>1758</v>
      </c>
      <c r="H610" s="3">
        <v>45730.0</v>
      </c>
      <c r="I610" s="3">
        <v>45882.0</v>
      </c>
      <c r="J610" s="3">
        <v>45882.0</v>
      </c>
      <c r="K610" s="1" t="s">
        <v>215</v>
      </c>
      <c r="L610" s="1" t="s">
        <v>160</v>
      </c>
      <c r="M610" s="1" t="s">
        <v>216</v>
      </c>
      <c r="N610" s="1" t="s">
        <v>131</v>
      </c>
      <c r="O610" s="4"/>
      <c r="P610" s="1"/>
      <c r="Q610" s="4"/>
      <c r="R610" s="1" t="s">
        <v>137</v>
      </c>
      <c r="S610" s="1" t="s">
        <v>137</v>
      </c>
      <c r="T610" s="1" t="s">
        <v>47</v>
      </c>
      <c r="U610" s="1" t="s">
        <v>4301</v>
      </c>
      <c r="V610" s="4"/>
      <c r="W610" s="4"/>
      <c r="X610" s="4"/>
    </row>
    <row r="611">
      <c r="A611" s="1" t="s">
        <v>10044</v>
      </c>
      <c r="B611" s="1" t="s">
        <v>4293</v>
      </c>
      <c r="C611" s="1" t="s">
        <v>14217</v>
      </c>
      <c r="D611" s="1" t="s">
        <v>152</v>
      </c>
      <c r="E611" s="1" t="s">
        <v>175</v>
      </c>
      <c r="F611" s="1" t="s">
        <v>177</v>
      </c>
      <c r="G611" s="1" t="s">
        <v>1778</v>
      </c>
      <c r="H611" s="3">
        <v>45021.0</v>
      </c>
      <c r="I611" s="3">
        <v>45201.0</v>
      </c>
      <c r="J611" s="3">
        <v>45201.0</v>
      </c>
      <c r="K611" s="1" t="s">
        <v>215</v>
      </c>
      <c r="L611" s="1" t="s">
        <v>160</v>
      </c>
      <c r="M611" s="1" t="s">
        <v>216</v>
      </c>
      <c r="N611" s="1" t="s">
        <v>131</v>
      </c>
      <c r="O611" s="4"/>
      <c r="P611" s="1"/>
      <c r="Q611" s="4"/>
      <c r="R611" s="1" t="s">
        <v>137</v>
      </c>
      <c r="S611" s="1" t="s">
        <v>137</v>
      </c>
      <c r="T611" s="1" t="s">
        <v>47</v>
      </c>
      <c r="U611" s="1" t="s">
        <v>4301</v>
      </c>
      <c r="V611" s="4"/>
      <c r="W611" s="4"/>
      <c r="X611" s="4"/>
    </row>
    <row r="612">
      <c r="A612" s="1" t="s">
        <v>8453</v>
      </c>
      <c r="B612" s="1" t="s">
        <v>4293</v>
      </c>
      <c r="C612" s="1" t="s">
        <v>3239</v>
      </c>
      <c r="D612" s="1" t="s">
        <v>831</v>
      </c>
      <c r="E612" s="1" t="s">
        <v>438</v>
      </c>
      <c r="F612" s="1" t="s">
        <v>3240</v>
      </c>
      <c r="G612" s="1" t="s">
        <v>3241</v>
      </c>
      <c r="H612" s="3">
        <v>45208.0</v>
      </c>
      <c r="I612" s="3">
        <v>45261.0</v>
      </c>
      <c r="J612" s="3">
        <v>45261.0</v>
      </c>
      <c r="K612" s="1" t="s">
        <v>215</v>
      </c>
      <c r="L612" s="1" t="s">
        <v>160</v>
      </c>
      <c r="M612" s="1" t="s">
        <v>216</v>
      </c>
      <c r="N612" s="1" t="s">
        <v>131</v>
      </c>
      <c r="O612" s="4"/>
      <c r="P612" s="4"/>
      <c r="Q612" s="4"/>
      <c r="R612" s="1" t="s">
        <v>137</v>
      </c>
      <c r="S612" s="1" t="s">
        <v>137</v>
      </c>
      <c r="T612" s="1" t="s">
        <v>47</v>
      </c>
      <c r="U612" s="1" t="s">
        <v>4301</v>
      </c>
      <c r="V612" s="4"/>
      <c r="W612" s="4"/>
      <c r="X612" s="4"/>
    </row>
    <row r="613">
      <c r="A613" s="1" t="s">
        <v>9496</v>
      </c>
      <c r="B613" s="1" t="s">
        <v>4293</v>
      </c>
      <c r="C613" s="1" t="s">
        <v>14222</v>
      </c>
      <c r="D613" s="1" t="s">
        <v>831</v>
      </c>
      <c r="E613" s="1" t="s">
        <v>691</v>
      </c>
      <c r="F613" s="1" t="s">
        <v>2998</v>
      </c>
      <c r="G613" s="1" t="s">
        <v>14223</v>
      </c>
      <c r="H613" s="3">
        <v>45593.0</v>
      </c>
      <c r="I613" s="3">
        <v>45820.0</v>
      </c>
      <c r="J613" s="3">
        <v>45820.0</v>
      </c>
      <c r="K613" s="1" t="s">
        <v>215</v>
      </c>
      <c r="L613" s="1" t="s">
        <v>160</v>
      </c>
      <c r="M613" s="1" t="s">
        <v>216</v>
      </c>
      <c r="N613" s="1" t="s">
        <v>131</v>
      </c>
      <c r="O613" s="4"/>
      <c r="P613" s="1"/>
      <c r="Q613" s="4"/>
      <c r="R613" s="1" t="s">
        <v>137</v>
      </c>
      <c r="S613" s="1" t="s">
        <v>137</v>
      </c>
      <c r="T613" s="1" t="s">
        <v>47</v>
      </c>
      <c r="U613" s="1" t="s">
        <v>4301</v>
      </c>
      <c r="V613" s="4"/>
      <c r="W613" s="4"/>
      <c r="X613" s="4"/>
    </row>
    <row r="614">
      <c r="A614" s="1" t="s">
        <v>6965</v>
      </c>
      <c r="B614" s="1" t="s">
        <v>4293</v>
      </c>
      <c r="C614" s="1" t="s">
        <v>14226</v>
      </c>
      <c r="D614" s="1" t="s">
        <v>388</v>
      </c>
      <c r="E614" s="1" t="s">
        <v>175</v>
      </c>
      <c r="F614" s="1" t="s">
        <v>3128</v>
      </c>
      <c r="G614" s="1" t="s">
        <v>7170</v>
      </c>
      <c r="H614" s="3">
        <v>44308.0</v>
      </c>
      <c r="I614" s="3">
        <v>44489.0</v>
      </c>
      <c r="J614" s="3">
        <v>44489.0</v>
      </c>
      <c r="K614" s="1" t="s">
        <v>215</v>
      </c>
      <c r="L614" s="1" t="s">
        <v>160</v>
      </c>
      <c r="M614" s="1" t="s">
        <v>216</v>
      </c>
      <c r="N614" s="1" t="s">
        <v>131</v>
      </c>
      <c r="O614" s="4"/>
      <c r="P614" s="1"/>
      <c r="Q614" s="4"/>
      <c r="R614" s="1" t="s">
        <v>137</v>
      </c>
      <c r="S614" s="1" t="s">
        <v>137</v>
      </c>
      <c r="T614" s="1" t="s">
        <v>47</v>
      </c>
      <c r="U614" s="1" t="s">
        <v>4301</v>
      </c>
      <c r="V614" s="4"/>
      <c r="W614" s="4"/>
      <c r="X614" s="4"/>
    </row>
    <row r="615">
      <c r="A615" s="1" t="s">
        <v>14125</v>
      </c>
      <c r="B615" s="1" t="s">
        <v>4293</v>
      </c>
      <c r="C615" s="1" t="s">
        <v>14229</v>
      </c>
      <c r="D615" s="1"/>
      <c r="E615" s="1"/>
      <c r="F615" s="1"/>
      <c r="G615" s="1"/>
      <c r="H615" s="3">
        <v>45793.0</v>
      </c>
      <c r="I615" s="3"/>
      <c r="J615" s="3"/>
      <c r="K615" s="1" t="s">
        <v>124</v>
      </c>
      <c r="L615" s="1" t="s">
        <v>160</v>
      </c>
      <c r="M615" s="1" t="s">
        <v>253</v>
      </c>
      <c r="N615" s="1" t="s">
        <v>131</v>
      </c>
      <c r="O615" s="4"/>
      <c r="P615" s="1"/>
      <c r="Q615" s="4"/>
      <c r="R615" s="1" t="s">
        <v>137</v>
      </c>
      <c r="S615" s="1" t="s">
        <v>137</v>
      </c>
      <c r="T615" s="1" t="s">
        <v>47</v>
      </c>
      <c r="U615" s="1" t="s">
        <v>4301</v>
      </c>
      <c r="V615" s="4"/>
      <c r="W615" s="4"/>
      <c r="X615" s="4"/>
    </row>
    <row r="616">
      <c r="A616" s="1" t="s">
        <v>5255</v>
      </c>
      <c r="B616" s="1" t="s">
        <v>4293</v>
      </c>
      <c r="C616" s="1" t="s">
        <v>14232</v>
      </c>
      <c r="D616" s="1" t="s">
        <v>313</v>
      </c>
      <c r="E616" s="1" t="s">
        <v>292</v>
      </c>
      <c r="F616" s="1" t="s">
        <v>962</v>
      </c>
      <c r="G616" s="1" t="s">
        <v>4470</v>
      </c>
      <c r="H616" s="3">
        <v>44284.0</v>
      </c>
      <c r="I616" s="3">
        <v>44421.0</v>
      </c>
      <c r="J616" s="3">
        <v>44421.0</v>
      </c>
      <c r="K616" s="1" t="s">
        <v>215</v>
      </c>
      <c r="L616" s="1" t="s">
        <v>160</v>
      </c>
      <c r="M616" s="1" t="s">
        <v>216</v>
      </c>
      <c r="N616" s="1" t="s">
        <v>131</v>
      </c>
      <c r="O616" s="4"/>
      <c r="P616" s="1"/>
      <c r="Q616" s="4"/>
      <c r="R616" s="1" t="s">
        <v>137</v>
      </c>
      <c r="S616" s="1" t="s">
        <v>137</v>
      </c>
      <c r="T616" s="1" t="s">
        <v>47</v>
      </c>
      <c r="U616" s="1" t="s">
        <v>4301</v>
      </c>
      <c r="V616" s="4"/>
      <c r="W616" s="4"/>
      <c r="X616" s="4"/>
    </row>
    <row r="617">
      <c r="A617" s="1" t="s">
        <v>10326</v>
      </c>
      <c r="B617" s="1" t="s">
        <v>4293</v>
      </c>
      <c r="C617" s="1" t="s">
        <v>14236</v>
      </c>
      <c r="D617" s="1" t="s">
        <v>2198</v>
      </c>
      <c r="E617" s="1" t="s">
        <v>153</v>
      </c>
      <c r="F617" s="1" t="s">
        <v>274</v>
      </c>
      <c r="G617" s="1"/>
      <c r="H617" s="3">
        <v>45792.0</v>
      </c>
      <c r="I617" s="3">
        <v>46148.0</v>
      </c>
      <c r="J617" s="3">
        <v>46148.0</v>
      </c>
      <c r="K617" s="1" t="s">
        <v>215</v>
      </c>
      <c r="L617" s="1" t="s">
        <v>160</v>
      </c>
      <c r="M617" s="1" t="s">
        <v>216</v>
      </c>
      <c r="N617" s="1" t="s">
        <v>131</v>
      </c>
      <c r="O617" s="4"/>
      <c r="P617" s="1"/>
      <c r="Q617" s="4"/>
      <c r="R617" s="1" t="s">
        <v>137</v>
      </c>
      <c r="S617" s="1" t="s">
        <v>137</v>
      </c>
      <c r="T617" s="1" t="s">
        <v>47</v>
      </c>
      <c r="U617" s="1" t="s">
        <v>4301</v>
      </c>
      <c r="V617" s="4"/>
      <c r="W617" s="4"/>
      <c r="X617" s="4"/>
    </row>
    <row r="618">
      <c r="A618" s="1" t="s">
        <v>2962</v>
      </c>
      <c r="B618" s="1" t="s">
        <v>3246</v>
      </c>
      <c r="C618" s="1" t="s">
        <v>3247</v>
      </c>
      <c r="D618" s="1" t="s">
        <v>1932</v>
      </c>
      <c r="E618" s="1" t="s">
        <v>175</v>
      </c>
      <c r="F618" s="1" t="s">
        <v>177</v>
      </c>
      <c r="G618" s="1" t="s">
        <v>503</v>
      </c>
      <c r="H618" s="3">
        <v>46237.0</v>
      </c>
      <c r="I618" s="3">
        <v>46426.0</v>
      </c>
      <c r="J618" s="3"/>
      <c r="K618" s="1" t="s">
        <v>124</v>
      </c>
      <c r="L618" s="1" t="s">
        <v>160</v>
      </c>
      <c r="M618" s="1" t="s">
        <v>300</v>
      </c>
      <c r="N618" s="1" t="s">
        <v>131</v>
      </c>
      <c r="O618" s="4"/>
      <c r="P618" s="1" t="s">
        <v>726</v>
      </c>
      <c r="Q618" s="4"/>
      <c r="R618" s="1" t="s">
        <v>137</v>
      </c>
      <c r="S618" s="1" t="s">
        <v>137</v>
      </c>
      <c r="T618" s="1" t="s">
        <v>47</v>
      </c>
      <c r="U618" s="1" t="s">
        <v>4525</v>
      </c>
      <c r="V618" s="4"/>
      <c r="W618" s="4"/>
      <c r="X618" s="4"/>
    </row>
    <row r="619">
      <c r="A619" s="1" t="s">
        <v>8353</v>
      </c>
      <c r="B619" s="1" t="s">
        <v>4293</v>
      </c>
      <c r="C619" s="1" t="s">
        <v>14242</v>
      </c>
      <c r="D619" s="1" t="s">
        <v>4065</v>
      </c>
      <c r="E619" s="1" t="s">
        <v>3379</v>
      </c>
      <c r="F619" s="1" t="s">
        <v>9045</v>
      </c>
      <c r="G619" s="1" t="s">
        <v>9045</v>
      </c>
      <c r="H619" s="3">
        <v>45090.0</v>
      </c>
      <c r="I619" s="3">
        <v>45268.0</v>
      </c>
      <c r="J619" s="3">
        <v>45268.0</v>
      </c>
      <c r="K619" s="1" t="s">
        <v>215</v>
      </c>
      <c r="L619" s="1" t="s">
        <v>160</v>
      </c>
      <c r="M619" s="1" t="s">
        <v>216</v>
      </c>
      <c r="N619" s="1" t="s">
        <v>131</v>
      </c>
      <c r="O619" s="4"/>
      <c r="P619" s="1"/>
      <c r="Q619" s="4"/>
      <c r="R619" s="1" t="s">
        <v>137</v>
      </c>
      <c r="S619" s="1" t="s">
        <v>137</v>
      </c>
      <c r="T619" s="1" t="s">
        <v>47</v>
      </c>
      <c r="U619" s="1" t="s">
        <v>4301</v>
      </c>
      <c r="V619" s="4"/>
      <c r="W619" s="4"/>
      <c r="X619" s="4"/>
    </row>
    <row r="620">
      <c r="A620" s="1" t="s">
        <v>8219</v>
      </c>
      <c r="B620" s="1" t="s">
        <v>4293</v>
      </c>
      <c r="C620" s="1" t="s">
        <v>14246</v>
      </c>
      <c r="D620" s="1"/>
      <c r="E620" s="1"/>
      <c r="F620" s="1"/>
      <c r="G620" s="1"/>
      <c r="H620" s="3">
        <v>45088.0</v>
      </c>
      <c r="I620" s="3">
        <v>45016.0</v>
      </c>
      <c r="J620" s="3">
        <v>45016.0</v>
      </c>
      <c r="K620" s="1" t="s">
        <v>215</v>
      </c>
      <c r="L620" s="1" t="s">
        <v>160</v>
      </c>
      <c r="M620" s="1" t="s">
        <v>216</v>
      </c>
      <c r="N620" s="1" t="s">
        <v>131</v>
      </c>
      <c r="O620" s="4"/>
      <c r="P620" s="1"/>
      <c r="Q620" s="4"/>
      <c r="R620" s="1" t="s">
        <v>137</v>
      </c>
      <c r="S620" s="1" t="s">
        <v>137</v>
      </c>
      <c r="T620" s="1" t="s">
        <v>47</v>
      </c>
      <c r="U620" s="1" t="s">
        <v>4301</v>
      </c>
      <c r="V620" s="4"/>
      <c r="W620" s="4"/>
      <c r="X620" s="4"/>
    </row>
    <row r="621">
      <c r="A621" s="1" t="s">
        <v>8705</v>
      </c>
      <c r="B621" s="1" t="s">
        <v>4293</v>
      </c>
      <c r="C621" s="1" t="s">
        <v>14249</v>
      </c>
      <c r="D621" s="1" t="s">
        <v>396</v>
      </c>
      <c r="E621" s="1" t="s">
        <v>691</v>
      </c>
      <c r="F621" s="1" t="s">
        <v>1142</v>
      </c>
      <c r="G621" s="1" t="s">
        <v>2478</v>
      </c>
      <c r="H621" s="3">
        <v>45260.0</v>
      </c>
      <c r="I621" s="3">
        <v>45429.0</v>
      </c>
      <c r="J621" s="3">
        <v>45429.0</v>
      </c>
      <c r="K621" s="1" t="s">
        <v>215</v>
      </c>
      <c r="L621" s="1" t="s">
        <v>160</v>
      </c>
      <c r="M621" s="1" t="s">
        <v>216</v>
      </c>
      <c r="N621" s="1" t="s">
        <v>131</v>
      </c>
      <c r="O621" s="4"/>
      <c r="P621" s="1"/>
      <c r="Q621" s="4"/>
      <c r="R621" s="1" t="s">
        <v>137</v>
      </c>
      <c r="S621" s="1" t="s">
        <v>137</v>
      </c>
      <c r="T621" s="1" t="s">
        <v>47</v>
      </c>
      <c r="U621" s="1" t="s">
        <v>4301</v>
      </c>
      <c r="V621" s="4"/>
      <c r="W621" s="4"/>
      <c r="X621" s="4"/>
    </row>
    <row r="622">
      <c r="A622" s="1" t="s">
        <v>2186</v>
      </c>
      <c r="B622" s="1" t="s">
        <v>116</v>
      </c>
      <c r="C622" s="1" t="s">
        <v>3249</v>
      </c>
      <c r="D622" s="1" t="s">
        <v>313</v>
      </c>
      <c r="E622" s="1" t="s">
        <v>292</v>
      </c>
      <c r="F622" s="1" t="s">
        <v>293</v>
      </c>
      <c r="G622" s="1" t="s">
        <v>295</v>
      </c>
      <c r="H622" s="3">
        <v>46119.0</v>
      </c>
      <c r="I622" s="3">
        <v>46244.0</v>
      </c>
      <c r="J622" s="3"/>
      <c r="K622" s="1" t="s">
        <v>124</v>
      </c>
      <c r="L622" s="1" t="s">
        <v>98</v>
      </c>
      <c r="M622" s="1" t="s">
        <v>460</v>
      </c>
      <c r="N622" s="1" t="s">
        <v>131</v>
      </c>
      <c r="O622" s="4"/>
      <c r="P622" s="1" t="s">
        <v>1792</v>
      </c>
      <c r="Q622" s="4"/>
      <c r="R622" s="1" t="s">
        <v>137</v>
      </c>
      <c r="S622" s="1" t="s">
        <v>137</v>
      </c>
      <c r="T622" s="1" t="s">
        <v>47</v>
      </c>
      <c r="U622" s="1" t="s">
        <v>3627</v>
      </c>
      <c r="V622" s="4"/>
      <c r="W622" s="4"/>
      <c r="X622" s="4"/>
    </row>
    <row r="623">
      <c r="A623" s="1" t="s">
        <v>9926</v>
      </c>
      <c r="B623" s="1" t="s">
        <v>4293</v>
      </c>
      <c r="C623" s="1" t="s">
        <v>14255</v>
      </c>
      <c r="D623" s="1" t="s">
        <v>1798</v>
      </c>
      <c r="E623" s="1" t="s">
        <v>292</v>
      </c>
      <c r="F623" s="1" t="s">
        <v>962</v>
      </c>
      <c r="G623" s="1" t="s">
        <v>1969</v>
      </c>
      <c r="H623" s="3">
        <v>44910.0</v>
      </c>
      <c r="I623" s="3">
        <v>45206.0</v>
      </c>
      <c r="J623" s="3">
        <v>45206.0</v>
      </c>
      <c r="K623" s="1" t="s">
        <v>215</v>
      </c>
      <c r="L623" s="1" t="s">
        <v>160</v>
      </c>
      <c r="M623" s="1" t="s">
        <v>216</v>
      </c>
      <c r="N623" s="1" t="s">
        <v>131</v>
      </c>
      <c r="O623" s="4"/>
      <c r="P623" s="4"/>
      <c r="Q623" s="4"/>
      <c r="R623" s="1" t="s">
        <v>137</v>
      </c>
      <c r="S623" s="1" t="s">
        <v>137</v>
      </c>
      <c r="T623" s="1" t="s">
        <v>47</v>
      </c>
      <c r="U623" s="1" t="s">
        <v>4301</v>
      </c>
      <c r="V623" s="4"/>
      <c r="W623" s="4"/>
      <c r="X623" s="4"/>
    </row>
    <row r="624">
      <c r="A624" s="1" t="s">
        <v>13961</v>
      </c>
      <c r="B624" s="1" t="s">
        <v>4293</v>
      </c>
      <c r="C624" s="1" t="s">
        <v>14259</v>
      </c>
      <c r="D624" s="1" t="s">
        <v>777</v>
      </c>
      <c r="E624" s="1" t="s">
        <v>292</v>
      </c>
      <c r="F624" s="1" t="s">
        <v>962</v>
      </c>
      <c r="G624" s="1" t="s">
        <v>9279</v>
      </c>
      <c r="H624" s="3">
        <v>45831.0</v>
      </c>
      <c r="I624" s="3"/>
      <c r="J624" s="3"/>
      <c r="K624" s="1" t="s">
        <v>124</v>
      </c>
      <c r="L624" s="1" t="s">
        <v>160</v>
      </c>
      <c r="M624" s="1" t="s">
        <v>253</v>
      </c>
      <c r="N624" s="1" t="s">
        <v>131</v>
      </c>
      <c r="R624" s="1" t="s">
        <v>137</v>
      </c>
      <c r="S624" s="1" t="s">
        <v>137</v>
      </c>
      <c r="T624" s="1" t="s">
        <v>47</v>
      </c>
      <c r="U624" s="1" t="s">
        <v>4301</v>
      </c>
    </row>
    <row r="625">
      <c r="A625" s="1" t="s">
        <v>11135</v>
      </c>
      <c r="B625" s="1" t="s">
        <v>4293</v>
      </c>
      <c r="C625" s="1" t="s">
        <v>14263</v>
      </c>
      <c r="D625" s="1" t="s">
        <v>313</v>
      </c>
      <c r="E625" s="1" t="s">
        <v>175</v>
      </c>
      <c r="F625" s="1" t="s">
        <v>1116</v>
      </c>
      <c r="G625" s="1" t="s">
        <v>1118</v>
      </c>
      <c r="H625" s="3">
        <v>44501.0</v>
      </c>
      <c r="I625" s="3">
        <v>44699.0</v>
      </c>
      <c r="J625" s="3">
        <v>44699.0</v>
      </c>
      <c r="K625" s="1" t="s">
        <v>215</v>
      </c>
      <c r="L625" s="1" t="s">
        <v>160</v>
      </c>
      <c r="M625" s="1" t="s">
        <v>216</v>
      </c>
      <c r="N625" s="1" t="s">
        <v>131</v>
      </c>
      <c r="R625" s="1" t="s">
        <v>137</v>
      </c>
      <c r="S625" s="1" t="s">
        <v>137</v>
      </c>
      <c r="T625" s="1" t="s">
        <v>47</v>
      </c>
      <c r="U625" s="1" t="s">
        <v>4301</v>
      </c>
    </row>
    <row r="626">
      <c r="A626" s="1" t="s">
        <v>9294</v>
      </c>
      <c r="B626" s="1" t="s">
        <v>4293</v>
      </c>
      <c r="C626" s="1" t="s">
        <v>3254</v>
      </c>
      <c r="D626" s="1" t="s">
        <v>509</v>
      </c>
      <c r="E626" s="1" t="s">
        <v>454</v>
      </c>
      <c r="F626" s="1" t="s">
        <v>455</v>
      </c>
      <c r="G626" s="1" t="s">
        <v>456</v>
      </c>
      <c r="H626" s="3">
        <v>45516.0</v>
      </c>
      <c r="I626" s="3">
        <v>45742.0</v>
      </c>
      <c r="J626" s="3">
        <v>45742.0</v>
      </c>
      <c r="K626" s="1" t="s">
        <v>215</v>
      </c>
      <c r="L626" s="1" t="s">
        <v>160</v>
      </c>
      <c r="M626" s="1" t="s">
        <v>216</v>
      </c>
      <c r="N626" s="1" t="s">
        <v>131</v>
      </c>
      <c r="R626" s="1" t="s">
        <v>137</v>
      </c>
      <c r="S626" s="1" t="s">
        <v>137</v>
      </c>
      <c r="T626" s="1" t="s">
        <v>47</v>
      </c>
      <c r="U626" s="1" t="s">
        <v>4301</v>
      </c>
    </row>
    <row r="627">
      <c r="A627" s="1" t="s">
        <v>8679</v>
      </c>
      <c r="B627" s="1" t="s">
        <v>4293</v>
      </c>
      <c r="C627" s="1" t="s">
        <v>14268</v>
      </c>
      <c r="D627" s="1" t="s">
        <v>194</v>
      </c>
      <c r="E627" s="1" t="s">
        <v>454</v>
      </c>
      <c r="F627" s="1" t="s">
        <v>455</v>
      </c>
      <c r="G627" s="1" t="s">
        <v>510</v>
      </c>
      <c r="H627" s="3">
        <v>43847.0</v>
      </c>
      <c r="I627" s="3">
        <v>43899.0</v>
      </c>
      <c r="J627" s="3">
        <v>43899.0</v>
      </c>
      <c r="K627" s="1" t="s">
        <v>215</v>
      </c>
      <c r="L627" s="1" t="s">
        <v>160</v>
      </c>
      <c r="M627" s="1" t="s">
        <v>216</v>
      </c>
      <c r="N627" s="1" t="s">
        <v>131</v>
      </c>
      <c r="R627" s="1" t="s">
        <v>137</v>
      </c>
      <c r="S627" s="1" t="s">
        <v>137</v>
      </c>
      <c r="T627" s="1" t="s">
        <v>47</v>
      </c>
      <c r="U627" s="1" t="s">
        <v>4301</v>
      </c>
    </row>
    <row r="628">
      <c r="A628" s="1" t="s">
        <v>10291</v>
      </c>
      <c r="B628" s="1" t="s">
        <v>4293</v>
      </c>
      <c r="C628" s="1" t="s">
        <v>3257</v>
      </c>
      <c r="D628" s="1" t="s">
        <v>118</v>
      </c>
      <c r="E628" s="1" t="s">
        <v>330</v>
      </c>
      <c r="F628" s="1" t="s">
        <v>356</v>
      </c>
      <c r="G628" s="1" t="s">
        <v>429</v>
      </c>
      <c r="H628" s="3">
        <v>45552.0</v>
      </c>
      <c r="I628" s="3">
        <v>45749.0</v>
      </c>
      <c r="J628" s="3">
        <v>45749.0</v>
      </c>
      <c r="K628" s="1" t="s">
        <v>215</v>
      </c>
      <c r="L628" s="1" t="s">
        <v>160</v>
      </c>
      <c r="M628" s="1" t="s">
        <v>216</v>
      </c>
      <c r="N628" s="1" t="s">
        <v>131</v>
      </c>
      <c r="P628" s="1"/>
      <c r="R628" s="1" t="s">
        <v>137</v>
      </c>
      <c r="S628" s="1" t="s">
        <v>137</v>
      </c>
      <c r="T628" s="1" t="s">
        <v>47</v>
      </c>
      <c r="U628" s="1" t="s">
        <v>4301</v>
      </c>
    </row>
    <row r="629">
      <c r="A629" s="1" t="s">
        <v>11376</v>
      </c>
      <c r="B629" s="1" t="s">
        <v>4293</v>
      </c>
      <c r="C629" s="1" t="s">
        <v>14270</v>
      </c>
      <c r="D629" s="1" t="s">
        <v>518</v>
      </c>
      <c r="E629" s="1" t="s">
        <v>520</v>
      </c>
      <c r="F629" s="1" t="s">
        <v>522</v>
      </c>
      <c r="G629" s="1" t="s">
        <v>6067</v>
      </c>
      <c r="H629" s="3">
        <v>44992.0</v>
      </c>
      <c r="I629" s="3">
        <v>45163.0</v>
      </c>
      <c r="J629" s="3">
        <v>45163.0</v>
      </c>
      <c r="K629" s="1" t="s">
        <v>215</v>
      </c>
      <c r="L629" s="1" t="s">
        <v>160</v>
      </c>
      <c r="M629" s="1" t="s">
        <v>216</v>
      </c>
      <c r="N629" s="1" t="s">
        <v>131</v>
      </c>
      <c r="P629" s="1"/>
      <c r="R629" s="1" t="s">
        <v>137</v>
      </c>
      <c r="S629" s="1" t="s">
        <v>137</v>
      </c>
      <c r="T629" s="1" t="s">
        <v>47</v>
      </c>
      <c r="U629" s="1" t="s">
        <v>4301</v>
      </c>
    </row>
    <row r="630">
      <c r="A630" s="1" t="s">
        <v>11757</v>
      </c>
      <c r="B630" s="1" t="s">
        <v>4293</v>
      </c>
      <c r="C630" s="1" t="s">
        <v>14272</v>
      </c>
      <c r="D630" s="1" t="s">
        <v>548</v>
      </c>
      <c r="E630" s="1" t="s">
        <v>520</v>
      </c>
      <c r="F630" s="1" t="s">
        <v>522</v>
      </c>
      <c r="G630" s="1" t="s">
        <v>3269</v>
      </c>
      <c r="H630" s="3">
        <v>44560.0</v>
      </c>
      <c r="I630" s="3">
        <v>43923.0</v>
      </c>
      <c r="J630" s="3">
        <v>43923.0</v>
      </c>
      <c r="K630" s="1" t="s">
        <v>215</v>
      </c>
      <c r="L630" s="1" t="s">
        <v>160</v>
      </c>
      <c r="M630" s="1" t="s">
        <v>216</v>
      </c>
      <c r="N630" s="1" t="s">
        <v>131</v>
      </c>
      <c r="R630" s="1" t="s">
        <v>137</v>
      </c>
      <c r="S630" s="1" t="s">
        <v>137</v>
      </c>
      <c r="T630" s="1" t="s">
        <v>47</v>
      </c>
      <c r="U630" s="1" t="s">
        <v>4301</v>
      </c>
    </row>
    <row r="631">
      <c r="A631" s="1" t="s">
        <v>11534</v>
      </c>
      <c r="B631" s="1" t="s">
        <v>4293</v>
      </c>
      <c r="C631" s="1" t="s">
        <v>14273</v>
      </c>
      <c r="D631" s="1" t="s">
        <v>678</v>
      </c>
      <c r="E631" s="1" t="s">
        <v>454</v>
      </c>
      <c r="F631" s="1" t="s">
        <v>637</v>
      </c>
      <c r="G631" s="1" t="s">
        <v>638</v>
      </c>
      <c r="H631" s="3">
        <v>45730.0</v>
      </c>
      <c r="I631" s="3">
        <v>45825.0</v>
      </c>
      <c r="J631" s="3">
        <v>45825.0</v>
      </c>
      <c r="K631" s="1" t="s">
        <v>215</v>
      </c>
      <c r="L631" s="1" t="s">
        <v>160</v>
      </c>
      <c r="M631" s="1" t="s">
        <v>216</v>
      </c>
      <c r="N631" s="1" t="s">
        <v>131</v>
      </c>
      <c r="P631" s="1"/>
      <c r="R631" s="1" t="s">
        <v>137</v>
      </c>
      <c r="S631" s="1" t="s">
        <v>137</v>
      </c>
      <c r="T631" s="1" t="s">
        <v>47</v>
      </c>
      <c r="U631" s="1" t="s">
        <v>4301</v>
      </c>
    </row>
    <row r="632">
      <c r="A632" s="1" t="s">
        <v>14039</v>
      </c>
      <c r="B632" s="1" t="s">
        <v>4293</v>
      </c>
      <c r="C632" s="1" t="s">
        <v>14275</v>
      </c>
      <c r="D632" s="1" t="s">
        <v>118</v>
      </c>
      <c r="E632" s="1" t="s">
        <v>330</v>
      </c>
      <c r="F632" s="1" t="s">
        <v>663</v>
      </c>
      <c r="G632" s="1" t="s">
        <v>2835</v>
      </c>
      <c r="H632" s="3">
        <v>45065.0</v>
      </c>
      <c r="I632" s="3"/>
      <c r="J632" s="3"/>
      <c r="K632" s="1" t="s">
        <v>124</v>
      </c>
      <c r="L632" s="1" t="s">
        <v>160</v>
      </c>
      <c r="M632" s="1" t="s">
        <v>253</v>
      </c>
      <c r="N632" s="1" t="s">
        <v>131</v>
      </c>
      <c r="P632" s="1"/>
      <c r="R632" s="1" t="s">
        <v>137</v>
      </c>
      <c r="S632" s="1" t="s">
        <v>137</v>
      </c>
      <c r="T632" s="1" t="s">
        <v>47</v>
      </c>
      <c r="U632" s="1" t="s">
        <v>4301</v>
      </c>
    </row>
    <row r="633">
      <c r="A633" s="1" t="s">
        <v>8432</v>
      </c>
      <c r="B633" s="1" t="s">
        <v>4293</v>
      </c>
      <c r="C633" s="1" t="s">
        <v>3271</v>
      </c>
      <c r="D633" s="1" t="s">
        <v>678</v>
      </c>
      <c r="E633" s="1" t="s">
        <v>454</v>
      </c>
      <c r="F633" s="1" t="s">
        <v>637</v>
      </c>
      <c r="G633" s="1" t="s">
        <v>2554</v>
      </c>
      <c r="H633" s="3">
        <v>45229.0</v>
      </c>
      <c r="I633" s="3">
        <v>45399.0</v>
      </c>
      <c r="J633" s="3">
        <v>45399.0</v>
      </c>
      <c r="K633" s="1" t="s">
        <v>215</v>
      </c>
      <c r="L633" s="1" t="s">
        <v>160</v>
      </c>
      <c r="M633" s="1" t="s">
        <v>216</v>
      </c>
      <c r="N633" s="1" t="s">
        <v>131</v>
      </c>
      <c r="P633" s="1"/>
      <c r="R633" s="1" t="s">
        <v>137</v>
      </c>
      <c r="S633" s="1" t="s">
        <v>137</v>
      </c>
      <c r="T633" s="1" t="s">
        <v>47</v>
      </c>
      <c r="U633" s="1" t="s">
        <v>4301</v>
      </c>
    </row>
    <row r="634">
      <c r="A634" s="1" t="s">
        <v>11312</v>
      </c>
      <c r="B634" s="1" t="s">
        <v>4293</v>
      </c>
      <c r="C634" s="1" t="s">
        <v>14277</v>
      </c>
      <c r="D634" s="1" t="s">
        <v>1272</v>
      </c>
      <c r="E634" s="1" t="s">
        <v>520</v>
      </c>
      <c r="F634" s="1" t="s">
        <v>1671</v>
      </c>
      <c r="G634" s="1" t="s">
        <v>5959</v>
      </c>
      <c r="H634" s="3">
        <v>44405.0</v>
      </c>
      <c r="I634" s="3">
        <v>44377.0</v>
      </c>
      <c r="J634" s="3">
        <v>44377.0</v>
      </c>
      <c r="K634" s="1" t="s">
        <v>215</v>
      </c>
      <c r="L634" s="1" t="s">
        <v>160</v>
      </c>
      <c r="M634" s="1" t="s">
        <v>216</v>
      </c>
      <c r="N634" s="1" t="s">
        <v>131</v>
      </c>
      <c r="P634" s="1"/>
      <c r="R634" s="1" t="s">
        <v>137</v>
      </c>
      <c r="S634" s="1" t="s">
        <v>137</v>
      </c>
      <c r="T634" s="1" t="s">
        <v>47</v>
      </c>
      <c r="U634" s="1" t="s">
        <v>4301</v>
      </c>
    </row>
    <row r="635">
      <c r="A635" s="1" t="s">
        <v>8199</v>
      </c>
      <c r="B635" s="1" t="s">
        <v>4293</v>
      </c>
      <c r="C635" s="1" t="s">
        <v>14280</v>
      </c>
      <c r="D635" s="1" t="s">
        <v>172</v>
      </c>
      <c r="E635" s="1" t="s">
        <v>119</v>
      </c>
      <c r="F635" s="1" t="s">
        <v>3319</v>
      </c>
      <c r="G635" s="1" t="s">
        <v>3319</v>
      </c>
      <c r="H635" s="3">
        <v>44409.0</v>
      </c>
      <c r="I635" s="3">
        <v>44409.0</v>
      </c>
      <c r="J635" s="3">
        <v>44409.0</v>
      </c>
      <c r="K635" s="1" t="s">
        <v>215</v>
      </c>
      <c r="L635" s="1" t="s">
        <v>160</v>
      </c>
      <c r="M635" s="1" t="s">
        <v>216</v>
      </c>
      <c r="N635" s="1" t="s">
        <v>131</v>
      </c>
      <c r="P635" s="1"/>
      <c r="R635" s="1" t="s">
        <v>137</v>
      </c>
      <c r="S635" s="1" t="s">
        <v>137</v>
      </c>
      <c r="T635" s="1" t="s">
        <v>47</v>
      </c>
      <c r="U635" s="1" t="s">
        <v>4301</v>
      </c>
    </row>
    <row r="636">
      <c r="A636" s="1" t="s">
        <v>4694</v>
      </c>
      <c r="B636" s="1" t="s">
        <v>4697</v>
      </c>
      <c r="C636" s="1" t="s">
        <v>14283</v>
      </c>
      <c r="D636" s="1" t="s">
        <v>1469</v>
      </c>
      <c r="E636" s="1" t="s">
        <v>292</v>
      </c>
      <c r="F636" s="1" t="s">
        <v>576</v>
      </c>
      <c r="G636" s="1" t="s">
        <v>577</v>
      </c>
      <c r="H636" s="3">
        <v>46253.0</v>
      </c>
      <c r="I636" s="3"/>
      <c r="J636" s="3"/>
      <c r="K636" s="1" t="s">
        <v>124</v>
      </c>
      <c r="L636" s="1" t="s">
        <v>251</v>
      </c>
      <c r="M636" s="1" t="s">
        <v>162</v>
      </c>
      <c r="N636" s="1" t="s">
        <v>131</v>
      </c>
      <c r="P636" s="1" t="s">
        <v>3561</v>
      </c>
      <c r="R636" s="1" t="s">
        <v>137</v>
      </c>
      <c r="S636" s="1" t="s">
        <v>137</v>
      </c>
      <c r="T636" s="1" t="s">
        <v>47</v>
      </c>
      <c r="U636" s="1" t="s">
        <v>4709</v>
      </c>
    </row>
    <row r="637">
      <c r="A637" s="1" t="s">
        <v>9978</v>
      </c>
      <c r="B637" s="1" t="s">
        <v>4293</v>
      </c>
      <c r="C637" s="1" t="s">
        <v>14286</v>
      </c>
      <c r="D637" s="1" t="s">
        <v>593</v>
      </c>
      <c r="E637" s="1" t="s">
        <v>330</v>
      </c>
      <c r="F637" s="1" t="s">
        <v>663</v>
      </c>
      <c r="G637" s="1" t="s">
        <v>923</v>
      </c>
      <c r="H637" s="3">
        <v>43224.0</v>
      </c>
      <c r="I637" s="3">
        <v>43269.0</v>
      </c>
      <c r="J637" s="3">
        <v>43269.0</v>
      </c>
      <c r="K637" s="1" t="s">
        <v>215</v>
      </c>
      <c r="L637" s="1" t="s">
        <v>160</v>
      </c>
      <c r="M637" s="1" t="s">
        <v>216</v>
      </c>
      <c r="N637" s="1" t="s">
        <v>131</v>
      </c>
      <c r="P637" s="1"/>
      <c r="R637" s="1" t="s">
        <v>137</v>
      </c>
      <c r="S637" s="1" t="s">
        <v>137</v>
      </c>
      <c r="T637" s="1" t="s">
        <v>47</v>
      </c>
      <c r="U637" s="1" t="s">
        <v>4301</v>
      </c>
    </row>
    <row r="638">
      <c r="A638" s="1" t="s">
        <v>10741</v>
      </c>
      <c r="B638" s="1" t="s">
        <v>4293</v>
      </c>
      <c r="C638" s="1" t="s">
        <v>14289</v>
      </c>
      <c r="D638" s="1" t="s">
        <v>273</v>
      </c>
      <c r="E638" s="1" t="s">
        <v>330</v>
      </c>
      <c r="F638" s="1" t="s">
        <v>356</v>
      </c>
      <c r="G638" s="1" t="s">
        <v>875</v>
      </c>
      <c r="H638" s="3">
        <v>44286.0</v>
      </c>
      <c r="I638" s="3">
        <v>44356.0</v>
      </c>
      <c r="J638" s="3">
        <v>44356.0</v>
      </c>
      <c r="K638" s="1" t="s">
        <v>215</v>
      </c>
      <c r="L638" s="1" t="s">
        <v>160</v>
      </c>
      <c r="M638" s="1" t="s">
        <v>216</v>
      </c>
      <c r="N638" s="1" t="s">
        <v>131</v>
      </c>
      <c r="P638" s="1"/>
      <c r="R638" s="1" t="s">
        <v>137</v>
      </c>
      <c r="S638" s="1" t="s">
        <v>137</v>
      </c>
      <c r="T638" s="1" t="s">
        <v>47</v>
      </c>
      <c r="U638" s="1" t="s">
        <v>4301</v>
      </c>
    </row>
    <row r="639">
      <c r="A639" s="1" t="s">
        <v>14182</v>
      </c>
      <c r="B639" s="1" t="s">
        <v>14291</v>
      </c>
      <c r="C639" s="1" t="s">
        <v>14292</v>
      </c>
      <c r="D639" s="1" t="s">
        <v>194</v>
      </c>
      <c r="E639" s="1" t="s">
        <v>3379</v>
      </c>
      <c r="F639" s="1" t="s">
        <v>3380</v>
      </c>
      <c r="G639" s="1" t="s">
        <v>3380</v>
      </c>
      <c r="H639" s="3">
        <v>46290.0</v>
      </c>
      <c r="I639" s="3"/>
      <c r="J639" s="3"/>
      <c r="K639" s="1" t="s">
        <v>124</v>
      </c>
      <c r="L639" s="1" t="s">
        <v>251</v>
      </c>
      <c r="M639" s="1" t="s">
        <v>162</v>
      </c>
      <c r="N639" s="1" t="s">
        <v>131</v>
      </c>
      <c r="P639" s="1" t="s">
        <v>14187</v>
      </c>
      <c r="R639" s="1" t="s">
        <v>137</v>
      </c>
      <c r="S639" s="1" t="s">
        <v>137</v>
      </c>
      <c r="T639" s="1" t="s">
        <v>47</v>
      </c>
      <c r="U639" s="1"/>
    </row>
    <row r="640">
      <c r="A640" s="1" t="s">
        <v>9130</v>
      </c>
      <c r="B640" s="1" t="s">
        <v>4293</v>
      </c>
      <c r="C640" s="1" t="s">
        <v>14296</v>
      </c>
      <c r="D640" s="1" t="s">
        <v>1291</v>
      </c>
      <c r="E640" s="1" t="s">
        <v>292</v>
      </c>
      <c r="F640" s="1" t="s">
        <v>962</v>
      </c>
      <c r="G640" s="1" t="s">
        <v>963</v>
      </c>
      <c r="H640" s="3">
        <v>44558.0</v>
      </c>
      <c r="I640" s="3">
        <v>44732.0</v>
      </c>
      <c r="J640" s="3">
        <v>44732.0</v>
      </c>
      <c r="K640" s="1" t="s">
        <v>215</v>
      </c>
      <c r="L640" s="1" t="s">
        <v>160</v>
      </c>
      <c r="M640" s="1" t="s">
        <v>216</v>
      </c>
      <c r="N640" s="1" t="s">
        <v>131</v>
      </c>
      <c r="R640" s="1" t="s">
        <v>137</v>
      </c>
      <c r="S640" s="1" t="s">
        <v>137</v>
      </c>
      <c r="T640" s="1" t="s">
        <v>47</v>
      </c>
      <c r="U640" s="1" t="s">
        <v>4301</v>
      </c>
    </row>
    <row r="641">
      <c r="A641" s="1" t="s">
        <v>7903</v>
      </c>
      <c r="B641" s="1" t="s">
        <v>4293</v>
      </c>
      <c r="C641" s="1" t="s">
        <v>14299</v>
      </c>
      <c r="D641" s="1" t="s">
        <v>593</v>
      </c>
      <c r="E641" s="1" t="s">
        <v>889</v>
      </c>
      <c r="F641" s="1" t="s">
        <v>890</v>
      </c>
      <c r="G641" s="1" t="s">
        <v>14300</v>
      </c>
      <c r="H641" s="3">
        <v>45077.0</v>
      </c>
      <c r="I641" s="3">
        <v>45169.0</v>
      </c>
      <c r="J641" s="3">
        <v>45169.0</v>
      </c>
      <c r="K641" s="1" t="s">
        <v>215</v>
      </c>
      <c r="L641" s="1" t="s">
        <v>160</v>
      </c>
      <c r="M641" s="1" t="s">
        <v>216</v>
      </c>
      <c r="N641" s="1" t="s">
        <v>131</v>
      </c>
      <c r="R641" s="1" t="s">
        <v>137</v>
      </c>
      <c r="S641" s="1" t="s">
        <v>137</v>
      </c>
      <c r="T641" s="1" t="s">
        <v>47</v>
      </c>
      <c r="U641" s="1" t="s">
        <v>4301</v>
      </c>
    </row>
    <row r="642">
      <c r="A642" s="1" t="s">
        <v>12423</v>
      </c>
      <c r="B642" s="1" t="s">
        <v>4293</v>
      </c>
      <c r="C642" s="1" t="s">
        <v>14302</v>
      </c>
      <c r="D642" s="1" t="s">
        <v>1823</v>
      </c>
      <c r="E642" s="1" t="s">
        <v>175</v>
      </c>
      <c r="F642" s="1" t="s">
        <v>763</v>
      </c>
      <c r="G642" s="1" t="s">
        <v>1825</v>
      </c>
      <c r="H642" s="3">
        <v>45063.0</v>
      </c>
      <c r="I642" s="3">
        <v>45016.0</v>
      </c>
      <c r="J642" s="3">
        <v>45016.0</v>
      </c>
      <c r="K642" s="1" t="s">
        <v>215</v>
      </c>
      <c r="L642" s="1" t="s">
        <v>160</v>
      </c>
      <c r="M642" s="1" t="s">
        <v>216</v>
      </c>
      <c r="N642" s="1" t="s">
        <v>131</v>
      </c>
      <c r="P642" s="1"/>
      <c r="R642" s="1" t="s">
        <v>137</v>
      </c>
      <c r="S642" s="1" t="s">
        <v>137</v>
      </c>
      <c r="T642" s="1" t="s">
        <v>47</v>
      </c>
      <c r="U642" s="1" t="s">
        <v>4301</v>
      </c>
    </row>
    <row r="643">
      <c r="A643" s="1" t="s">
        <v>12337</v>
      </c>
      <c r="B643" s="1" t="s">
        <v>4293</v>
      </c>
      <c r="C643" s="1" t="s">
        <v>14304</v>
      </c>
      <c r="D643" s="1" t="s">
        <v>1469</v>
      </c>
      <c r="E643" s="1" t="s">
        <v>175</v>
      </c>
      <c r="F643" s="1" t="s">
        <v>585</v>
      </c>
      <c r="G643" s="1" t="s">
        <v>780</v>
      </c>
      <c r="H643" s="3">
        <v>43005.0</v>
      </c>
      <c r="I643" s="3">
        <v>43119.0</v>
      </c>
      <c r="J643" s="3">
        <v>43119.0</v>
      </c>
      <c r="K643" s="1" t="s">
        <v>215</v>
      </c>
      <c r="L643" s="1" t="s">
        <v>160</v>
      </c>
      <c r="M643" s="1" t="s">
        <v>216</v>
      </c>
      <c r="N643" s="1" t="s">
        <v>131</v>
      </c>
      <c r="P643" s="1"/>
      <c r="R643" s="1" t="s">
        <v>137</v>
      </c>
      <c r="S643" s="1" t="s">
        <v>137</v>
      </c>
      <c r="T643" s="1" t="s">
        <v>47</v>
      </c>
      <c r="U643" s="1" t="s">
        <v>4301</v>
      </c>
    </row>
    <row r="644">
      <c r="A644" s="1" t="s">
        <v>14037</v>
      </c>
      <c r="B644" s="1" t="s">
        <v>4293</v>
      </c>
      <c r="C644" s="1" t="s">
        <v>3290</v>
      </c>
      <c r="D644" s="1" t="s">
        <v>172</v>
      </c>
      <c r="E644" s="1" t="s">
        <v>292</v>
      </c>
      <c r="F644" s="1" t="s">
        <v>293</v>
      </c>
      <c r="G644" s="1" t="s">
        <v>3053</v>
      </c>
      <c r="H644" s="3">
        <v>45772.0</v>
      </c>
      <c r="I644" s="3"/>
      <c r="J644" s="3"/>
      <c r="K644" s="1" t="s">
        <v>124</v>
      </c>
      <c r="L644" s="1" t="s">
        <v>160</v>
      </c>
      <c r="M644" s="1" t="s">
        <v>253</v>
      </c>
      <c r="N644" s="1" t="s">
        <v>131</v>
      </c>
      <c r="R644" s="1" t="s">
        <v>137</v>
      </c>
      <c r="S644" s="1" t="s">
        <v>137</v>
      </c>
      <c r="T644" s="1" t="s">
        <v>47</v>
      </c>
      <c r="U644" s="1" t="s">
        <v>4301</v>
      </c>
    </row>
    <row r="645">
      <c r="A645" s="1" t="s">
        <v>8721</v>
      </c>
      <c r="B645" s="1" t="s">
        <v>4293</v>
      </c>
      <c r="C645" s="1" t="s">
        <v>14308</v>
      </c>
      <c r="D645" s="1" t="s">
        <v>1477</v>
      </c>
      <c r="E645" s="1" t="s">
        <v>292</v>
      </c>
      <c r="F645" s="1" t="s">
        <v>494</v>
      </c>
      <c r="G645" s="1" t="s">
        <v>1784</v>
      </c>
      <c r="H645" s="3">
        <v>45188.0</v>
      </c>
      <c r="I645" s="3">
        <v>45558.0</v>
      </c>
      <c r="J645" s="3">
        <v>45558.0</v>
      </c>
      <c r="K645" s="1" t="s">
        <v>215</v>
      </c>
      <c r="L645" s="1" t="s">
        <v>160</v>
      </c>
      <c r="M645" s="1" t="s">
        <v>216</v>
      </c>
      <c r="N645" s="1" t="s">
        <v>131</v>
      </c>
      <c r="P645" s="1"/>
      <c r="R645" s="1" t="s">
        <v>137</v>
      </c>
      <c r="S645" s="1" t="s">
        <v>137</v>
      </c>
      <c r="T645" s="1" t="s">
        <v>47</v>
      </c>
      <c r="U645" s="1" t="s">
        <v>4301</v>
      </c>
    </row>
    <row r="646">
      <c r="A646" s="1" t="s">
        <v>11823</v>
      </c>
      <c r="B646" s="1" t="s">
        <v>4293</v>
      </c>
      <c r="C646" s="1" t="s">
        <v>14311</v>
      </c>
      <c r="D646" s="1" t="s">
        <v>960</v>
      </c>
      <c r="E646" s="1" t="s">
        <v>691</v>
      </c>
      <c r="F646" s="1" t="s">
        <v>2998</v>
      </c>
      <c r="G646" s="1" t="s">
        <v>14223</v>
      </c>
      <c r="H646" s="3">
        <v>45558.0</v>
      </c>
      <c r="I646" s="3">
        <v>45558.0</v>
      </c>
      <c r="J646" s="3">
        <v>45558.0</v>
      </c>
      <c r="K646" s="1" t="s">
        <v>215</v>
      </c>
      <c r="L646" s="1" t="s">
        <v>160</v>
      </c>
      <c r="M646" s="1" t="s">
        <v>216</v>
      </c>
      <c r="N646" s="1" t="s">
        <v>131</v>
      </c>
      <c r="R646" s="1" t="s">
        <v>137</v>
      </c>
      <c r="S646" s="1" t="s">
        <v>137</v>
      </c>
      <c r="T646" s="1" t="s">
        <v>47</v>
      </c>
      <c r="U646" s="1" t="s">
        <v>4301</v>
      </c>
    </row>
    <row r="647">
      <c r="A647" s="1" t="s">
        <v>9560</v>
      </c>
      <c r="B647" s="1" t="s">
        <v>4293</v>
      </c>
      <c r="C647" s="1" t="s">
        <v>14313</v>
      </c>
      <c r="D647" s="1" t="s">
        <v>1477</v>
      </c>
      <c r="E647" s="1" t="s">
        <v>292</v>
      </c>
      <c r="F647" s="1" t="s">
        <v>494</v>
      </c>
      <c r="G647" s="1" t="s">
        <v>2278</v>
      </c>
      <c r="H647" s="3">
        <v>44389.0</v>
      </c>
      <c r="I647" s="3">
        <v>44419.0</v>
      </c>
      <c r="J647" s="3">
        <v>44419.0</v>
      </c>
      <c r="K647" s="1" t="s">
        <v>215</v>
      </c>
      <c r="L647" s="1" t="s">
        <v>160</v>
      </c>
      <c r="M647" s="1" t="s">
        <v>216</v>
      </c>
      <c r="N647" s="1" t="s">
        <v>131</v>
      </c>
      <c r="P647" s="1"/>
      <c r="R647" s="1" t="s">
        <v>137</v>
      </c>
      <c r="S647" s="1" t="s">
        <v>137</v>
      </c>
      <c r="T647" s="1" t="s">
        <v>47</v>
      </c>
      <c r="U647" s="1" t="s">
        <v>4301</v>
      </c>
    </row>
    <row r="648">
      <c r="A648" s="1" t="s">
        <v>8696</v>
      </c>
      <c r="B648" s="1" t="s">
        <v>4293</v>
      </c>
      <c r="C648" s="1" t="s">
        <v>14316</v>
      </c>
      <c r="D648" s="1" t="s">
        <v>1477</v>
      </c>
      <c r="E648" s="1" t="s">
        <v>292</v>
      </c>
      <c r="F648" s="1" t="s">
        <v>962</v>
      </c>
      <c r="G648" s="1" t="s">
        <v>2607</v>
      </c>
      <c r="H648" s="3">
        <v>45405.0</v>
      </c>
      <c r="I648" s="3">
        <v>45777.0</v>
      </c>
      <c r="J648" s="3">
        <v>45777.0</v>
      </c>
      <c r="K648" s="1" t="s">
        <v>215</v>
      </c>
      <c r="L648" s="1" t="s">
        <v>160</v>
      </c>
      <c r="M648" s="1" t="s">
        <v>216</v>
      </c>
      <c r="N648" s="1" t="s">
        <v>131</v>
      </c>
      <c r="P648" s="1"/>
      <c r="R648" s="1" t="s">
        <v>137</v>
      </c>
      <c r="S648" s="1" t="s">
        <v>137</v>
      </c>
      <c r="T648" s="1" t="s">
        <v>47</v>
      </c>
      <c r="U648" s="1" t="s">
        <v>4301</v>
      </c>
    </row>
    <row r="649">
      <c r="A649" s="1" t="s">
        <v>11108</v>
      </c>
      <c r="B649" s="1" t="s">
        <v>4293</v>
      </c>
      <c r="C649" s="1" t="s">
        <v>14321</v>
      </c>
      <c r="D649" s="1" t="s">
        <v>650</v>
      </c>
      <c r="E649" s="1" t="s">
        <v>175</v>
      </c>
      <c r="F649" s="1" t="s">
        <v>3128</v>
      </c>
      <c r="G649" s="1" t="s">
        <v>3129</v>
      </c>
      <c r="H649" s="3">
        <v>44901.0</v>
      </c>
      <c r="I649" s="3">
        <v>45035.0</v>
      </c>
      <c r="J649" s="3">
        <v>45035.0</v>
      </c>
      <c r="K649" s="1" t="s">
        <v>215</v>
      </c>
      <c r="L649" s="1" t="s">
        <v>160</v>
      </c>
      <c r="M649" s="1" t="s">
        <v>216</v>
      </c>
      <c r="N649" s="1" t="s">
        <v>131</v>
      </c>
      <c r="P649" s="1"/>
      <c r="R649" s="1" t="s">
        <v>137</v>
      </c>
      <c r="S649" s="1" t="s">
        <v>137</v>
      </c>
      <c r="T649" s="1" t="s">
        <v>47</v>
      </c>
      <c r="U649" s="1" t="s">
        <v>4301</v>
      </c>
    </row>
    <row r="650">
      <c r="A650" s="1" t="s">
        <v>8493</v>
      </c>
      <c r="B650" s="1" t="s">
        <v>4293</v>
      </c>
      <c r="C650" s="1" t="s">
        <v>14324</v>
      </c>
      <c r="D650" s="1" t="s">
        <v>1272</v>
      </c>
      <c r="E650" s="1" t="s">
        <v>520</v>
      </c>
      <c r="F650" s="1" t="s">
        <v>1179</v>
      </c>
      <c r="G650" s="1" t="s">
        <v>4584</v>
      </c>
      <c r="H650" s="3">
        <v>44558.0</v>
      </c>
      <c r="I650" s="3">
        <v>44561.0</v>
      </c>
      <c r="J650" s="3">
        <v>44561.0</v>
      </c>
      <c r="K650" s="1" t="s">
        <v>215</v>
      </c>
      <c r="L650" s="1" t="s">
        <v>160</v>
      </c>
      <c r="M650" s="1" t="s">
        <v>216</v>
      </c>
      <c r="N650" s="1" t="s">
        <v>131</v>
      </c>
      <c r="P650" s="1"/>
      <c r="R650" s="1" t="s">
        <v>137</v>
      </c>
      <c r="S650" s="1" t="s">
        <v>137</v>
      </c>
      <c r="T650" s="1" t="s">
        <v>47</v>
      </c>
      <c r="U650" s="1" t="s">
        <v>4301</v>
      </c>
    </row>
    <row r="651">
      <c r="A651" s="1" t="s">
        <v>2350</v>
      </c>
      <c r="B651" s="1" t="s">
        <v>116</v>
      </c>
      <c r="C651" s="1" t="s">
        <v>3292</v>
      </c>
      <c r="D651" s="1" t="s">
        <v>960</v>
      </c>
      <c r="E651" s="1" t="s">
        <v>175</v>
      </c>
      <c r="F651" s="1" t="s">
        <v>177</v>
      </c>
      <c r="G651" s="1" t="s">
        <v>503</v>
      </c>
      <c r="H651" s="3">
        <v>46129.0</v>
      </c>
      <c r="I651" s="3"/>
      <c r="J651" s="3"/>
      <c r="K651" s="1" t="s">
        <v>124</v>
      </c>
      <c r="L651" s="1" t="s">
        <v>71</v>
      </c>
      <c r="M651" s="1" t="s">
        <v>335</v>
      </c>
      <c r="N651" s="1" t="s">
        <v>131</v>
      </c>
      <c r="P651" s="1" t="s">
        <v>1844</v>
      </c>
      <c r="R651" s="1" t="s">
        <v>137</v>
      </c>
      <c r="S651" s="1" t="s">
        <v>137</v>
      </c>
      <c r="T651" s="1" t="s">
        <v>47</v>
      </c>
      <c r="U651" s="1" t="s">
        <v>3996</v>
      </c>
    </row>
    <row r="652">
      <c r="A652" s="1" t="s">
        <v>9514</v>
      </c>
      <c r="B652" s="1" t="s">
        <v>4293</v>
      </c>
      <c r="C652" s="1" t="s">
        <v>14325</v>
      </c>
      <c r="D652" s="1" t="s">
        <v>1477</v>
      </c>
      <c r="E652" s="1" t="s">
        <v>175</v>
      </c>
      <c r="F652" s="1" t="s">
        <v>245</v>
      </c>
      <c r="G652" s="1" t="s">
        <v>4968</v>
      </c>
      <c r="H652" s="3">
        <v>45096.0</v>
      </c>
      <c r="I652" s="3">
        <v>45167.0</v>
      </c>
      <c r="J652" s="3">
        <v>45167.0</v>
      </c>
      <c r="K652" s="1" t="s">
        <v>215</v>
      </c>
      <c r="L652" s="1" t="s">
        <v>160</v>
      </c>
      <c r="M652" s="1" t="s">
        <v>216</v>
      </c>
      <c r="N652" s="1" t="s">
        <v>131</v>
      </c>
      <c r="R652" s="1" t="s">
        <v>137</v>
      </c>
      <c r="S652" s="1" t="s">
        <v>137</v>
      </c>
      <c r="T652" s="1" t="s">
        <v>47</v>
      </c>
      <c r="U652" s="1" t="s">
        <v>4301</v>
      </c>
    </row>
    <row r="653">
      <c r="A653" s="1" t="s">
        <v>7022</v>
      </c>
      <c r="B653" s="1" t="s">
        <v>4293</v>
      </c>
      <c r="C653" s="1" t="s">
        <v>14327</v>
      </c>
      <c r="D653" s="1" t="s">
        <v>313</v>
      </c>
      <c r="E653" s="1" t="s">
        <v>119</v>
      </c>
      <c r="F653" s="1" t="s">
        <v>8013</v>
      </c>
      <c r="G653" s="1" t="s">
        <v>8013</v>
      </c>
      <c r="H653" s="3">
        <v>44735.0</v>
      </c>
      <c r="I653" s="3">
        <v>44903.0</v>
      </c>
      <c r="J653" s="3">
        <v>44903.0</v>
      </c>
      <c r="K653" s="1" t="s">
        <v>215</v>
      </c>
      <c r="L653" s="1" t="s">
        <v>160</v>
      </c>
      <c r="M653" s="1" t="s">
        <v>216</v>
      </c>
      <c r="N653" s="1" t="s">
        <v>131</v>
      </c>
      <c r="R653" s="1" t="s">
        <v>137</v>
      </c>
      <c r="S653" s="1" t="s">
        <v>137</v>
      </c>
      <c r="T653" s="1" t="s">
        <v>47</v>
      </c>
      <c r="U653" s="1" t="s">
        <v>4301</v>
      </c>
    </row>
    <row r="654">
      <c r="A654" s="1" t="s">
        <v>10865</v>
      </c>
      <c r="B654" s="1" t="s">
        <v>4293</v>
      </c>
      <c r="C654" s="1" t="s">
        <v>14329</v>
      </c>
      <c r="D654" s="1" t="s">
        <v>1477</v>
      </c>
      <c r="E654" s="1" t="s">
        <v>292</v>
      </c>
      <c r="F654" s="1" t="s">
        <v>494</v>
      </c>
      <c r="G654" s="1" t="s">
        <v>1362</v>
      </c>
      <c r="H654" s="3">
        <v>43866.0</v>
      </c>
      <c r="I654" s="3">
        <v>44041.0</v>
      </c>
      <c r="J654" s="3">
        <v>44041.0</v>
      </c>
      <c r="K654" s="1" t="s">
        <v>215</v>
      </c>
      <c r="L654" s="1" t="s">
        <v>160</v>
      </c>
      <c r="M654" s="1" t="s">
        <v>216</v>
      </c>
      <c r="N654" s="1" t="s">
        <v>131</v>
      </c>
      <c r="R654" s="1" t="s">
        <v>137</v>
      </c>
      <c r="S654" s="1" t="s">
        <v>137</v>
      </c>
      <c r="T654" s="1" t="s">
        <v>47</v>
      </c>
      <c r="U654" s="1" t="s">
        <v>4301</v>
      </c>
    </row>
    <row r="655">
      <c r="A655" s="1" t="s">
        <v>9236</v>
      </c>
      <c r="B655" s="1" t="s">
        <v>4293</v>
      </c>
      <c r="C655" s="1" t="s">
        <v>14330</v>
      </c>
      <c r="D655" s="1" t="s">
        <v>172</v>
      </c>
      <c r="E655" s="1" t="s">
        <v>292</v>
      </c>
      <c r="F655" s="1" t="s">
        <v>962</v>
      </c>
      <c r="G655" s="1" t="s">
        <v>2048</v>
      </c>
      <c r="H655" s="3">
        <v>44455.0</v>
      </c>
      <c r="I655" s="3">
        <v>44537.0</v>
      </c>
      <c r="J655" s="3">
        <v>44537.0</v>
      </c>
      <c r="K655" s="1" t="s">
        <v>215</v>
      </c>
      <c r="L655" s="1" t="s">
        <v>160</v>
      </c>
      <c r="M655" s="1" t="s">
        <v>216</v>
      </c>
      <c r="N655" s="1" t="s">
        <v>131</v>
      </c>
      <c r="P655" s="1"/>
      <c r="R655" s="1" t="s">
        <v>137</v>
      </c>
      <c r="S655" s="1" t="s">
        <v>137</v>
      </c>
      <c r="T655" s="1" t="s">
        <v>47</v>
      </c>
      <c r="U655" s="1" t="s">
        <v>4301</v>
      </c>
    </row>
    <row r="656">
      <c r="A656" s="1" t="s">
        <v>7500</v>
      </c>
      <c r="B656" s="1" t="s">
        <v>4293</v>
      </c>
      <c r="C656" s="1" t="s">
        <v>14333</v>
      </c>
      <c r="D656" s="1" t="s">
        <v>194</v>
      </c>
      <c r="E656" s="1" t="s">
        <v>292</v>
      </c>
      <c r="F656" s="1" t="s">
        <v>962</v>
      </c>
      <c r="G656" s="1" t="s">
        <v>963</v>
      </c>
      <c r="H656" s="3">
        <v>44284.0</v>
      </c>
      <c r="I656" s="3">
        <v>44383.0</v>
      </c>
      <c r="J656" s="3">
        <v>44383.0</v>
      </c>
      <c r="K656" s="1" t="s">
        <v>215</v>
      </c>
      <c r="L656" s="1" t="s">
        <v>160</v>
      </c>
      <c r="M656" s="1" t="s">
        <v>216</v>
      </c>
      <c r="N656" s="1" t="s">
        <v>131</v>
      </c>
      <c r="P656" s="1"/>
      <c r="R656" s="1" t="s">
        <v>137</v>
      </c>
      <c r="S656" s="1" t="s">
        <v>137</v>
      </c>
      <c r="T656" s="1" t="s">
        <v>47</v>
      </c>
      <c r="U656" s="1" t="s">
        <v>4301</v>
      </c>
    </row>
    <row r="657">
      <c r="A657" s="1" t="s">
        <v>12659</v>
      </c>
      <c r="B657" s="1" t="s">
        <v>4293</v>
      </c>
      <c r="C657" s="1" t="s">
        <v>14334</v>
      </c>
      <c r="D657" s="1" t="s">
        <v>1932</v>
      </c>
      <c r="E657" s="1" t="s">
        <v>175</v>
      </c>
      <c r="F657" s="1" t="s">
        <v>763</v>
      </c>
      <c r="G657" s="1" t="s">
        <v>2818</v>
      </c>
      <c r="H657" s="3">
        <v>45307.0</v>
      </c>
      <c r="I657" s="3">
        <v>45425.0</v>
      </c>
      <c r="J657" s="3">
        <v>45425.0</v>
      </c>
      <c r="K657" s="1" t="s">
        <v>215</v>
      </c>
      <c r="L657" s="1" t="s">
        <v>160</v>
      </c>
      <c r="M657" s="1" t="s">
        <v>216</v>
      </c>
      <c r="N657" s="1" t="s">
        <v>131</v>
      </c>
      <c r="R657" s="1" t="s">
        <v>137</v>
      </c>
      <c r="S657" s="1" t="s">
        <v>137</v>
      </c>
      <c r="T657" s="1" t="s">
        <v>47</v>
      </c>
      <c r="U657" s="1" t="s">
        <v>4301</v>
      </c>
    </row>
    <row r="658">
      <c r="A658" s="1" t="s">
        <v>11052</v>
      </c>
      <c r="B658" s="1" t="s">
        <v>4293</v>
      </c>
      <c r="C658" s="1" t="s">
        <v>14337</v>
      </c>
      <c r="D658" s="1" t="s">
        <v>1477</v>
      </c>
      <c r="E658" s="1" t="s">
        <v>292</v>
      </c>
      <c r="F658" s="1" t="s">
        <v>962</v>
      </c>
      <c r="G658" s="1" t="s">
        <v>2607</v>
      </c>
      <c r="H658" s="3">
        <v>43817.0</v>
      </c>
      <c r="I658" s="3">
        <v>43836.0</v>
      </c>
      <c r="J658" s="3">
        <v>43836.0</v>
      </c>
      <c r="K658" s="1" t="s">
        <v>215</v>
      </c>
      <c r="L658" s="1" t="s">
        <v>160</v>
      </c>
      <c r="M658" s="1" t="s">
        <v>216</v>
      </c>
      <c r="N658" s="1" t="s">
        <v>131</v>
      </c>
      <c r="P658" s="1"/>
      <c r="R658" s="1" t="s">
        <v>137</v>
      </c>
      <c r="S658" s="1" t="s">
        <v>137</v>
      </c>
      <c r="T658" s="1" t="s">
        <v>47</v>
      </c>
      <c r="U658" s="1" t="s">
        <v>4301</v>
      </c>
    </row>
    <row r="659">
      <c r="A659" s="1" t="s">
        <v>12612</v>
      </c>
      <c r="B659" s="1" t="s">
        <v>4293</v>
      </c>
      <c r="C659" s="1" t="s">
        <v>14339</v>
      </c>
      <c r="D659" s="1" t="s">
        <v>1823</v>
      </c>
      <c r="E659" s="1" t="s">
        <v>175</v>
      </c>
      <c r="F659" s="1" t="s">
        <v>1767</v>
      </c>
      <c r="G659" s="1" t="s">
        <v>2199</v>
      </c>
      <c r="H659" s="3">
        <v>45176.0</v>
      </c>
      <c r="I659" s="3">
        <v>45287.0</v>
      </c>
      <c r="J659" s="3">
        <v>45287.0</v>
      </c>
      <c r="K659" s="1" t="s">
        <v>215</v>
      </c>
      <c r="L659" s="1" t="s">
        <v>160</v>
      </c>
      <c r="M659" s="1" t="s">
        <v>216</v>
      </c>
      <c r="N659" s="1" t="s">
        <v>131</v>
      </c>
      <c r="R659" s="1" t="s">
        <v>137</v>
      </c>
      <c r="S659" s="1" t="s">
        <v>137</v>
      </c>
      <c r="T659" s="1" t="s">
        <v>47</v>
      </c>
      <c r="U659" s="1" t="s">
        <v>4301</v>
      </c>
    </row>
    <row r="660">
      <c r="A660" s="1" t="s">
        <v>10426</v>
      </c>
      <c r="B660" s="1" t="s">
        <v>4293</v>
      </c>
      <c r="C660" s="1" t="s">
        <v>3306</v>
      </c>
      <c r="D660" s="1" t="s">
        <v>831</v>
      </c>
      <c r="E660" s="1" t="s">
        <v>292</v>
      </c>
      <c r="F660" s="1" t="s">
        <v>576</v>
      </c>
      <c r="G660" s="1" t="s">
        <v>998</v>
      </c>
      <c r="H660" s="3">
        <v>44855.0</v>
      </c>
      <c r="I660" s="3">
        <v>45056.0</v>
      </c>
      <c r="J660" s="3">
        <v>45056.0</v>
      </c>
      <c r="K660" s="1" t="s">
        <v>215</v>
      </c>
      <c r="L660" s="1" t="s">
        <v>160</v>
      </c>
      <c r="M660" s="1" t="s">
        <v>216</v>
      </c>
      <c r="N660" s="1" t="s">
        <v>131</v>
      </c>
      <c r="P660" s="1"/>
      <c r="R660" s="1" t="s">
        <v>137</v>
      </c>
      <c r="S660" s="1" t="s">
        <v>137</v>
      </c>
      <c r="T660" s="1" t="s">
        <v>47</v>
      </c>
      <c r="U660" s="1" t="s">
        <v>4301</v>
      </c>
    </row>
    <row r="661">
      <c r="A661" s="1" t="s">
        <v>10052</v>
      </c>
      <c r="B661" s="1" t="s">
        <v>4293</v>
      </c>
      <c r="C661" s="1" t="s">
        <v>14343</v>
      </c>
      <c r="D661" s="1" t="s">
        <v>650</v>
      </c>
      <c r="E661" s="1" t="s">
        <v>292</v>
      </c>
      <c r="F661" s="1" t="s">
        <v>962</v>
      </c>
      <c r="G661" s="1" t="s">
        <v>9279</v>
      </c>
      <c r="H661" s="3">
        <v>45832.0</v>
      </c>
      <c r="I661" s="3">
        <v>45925.0</v>
      </c>
      <c r="J661" s="3">
        <v>45925.0</v>
      </c>
      <c r="K661" s="1" t="s">
        <v>215</v>
      </c>
      <c r="L661" s="1" t="s">
        <v>160</v>
      </c>
      <c r="M661" s="1" t="s">
        <v>216</v>
      </c>
      <c r="N661" s="1" t="s">
        <v>131</v>
      </c>
      <c r="P661" s="1"/>
      <c r="R661" s="1" t="s">
        <v>137</v>
      </c>
      <c r="S661" s="1" t="s">
        <v>137</v>
      </c>
      <c r="T661" s="1" t="s">
        <v>47</v>
      </c>
      <c r="U661" s="1" t="s">
        <v>4301</v>
      </c>
    </row>
    <row r="662">
      <c r="A662" s="1" t="s">
        <v>6913</v>
      </c>
      <c r="B662" s="1" t="s">
        <v>4293</v>
      </c>
      <c r="C662" s="1" t="s">
        <v>14346</v>
      </c>
      <c r="D662" s="1" t="s">
        <v>1798</v>
      </c>
      <c r="E662" s="1" t="s">
        <v>292</v>
      </c>
      <c r="F662" s="1" t="s">
        <v>962</v>
      </c>
      <c r="G662" s="1" t="s">
        <v>5046</v>
      </c>
      <c r="H662" s="3">
        <v>44228.0</v>
      </c>
      <c r="I662" s="3">
        <v>44228.0</v>
      </c>
      <c r="J662" s="3">
        <v>44228.0</v>
      </c>
      <c r="K662" s="1" t="s">
        <v>215</v>
      </c>
      <c r="L662" s="1" t="s">
        <v>160</v>
      </c>
      <c r="M662" s="1" t="s">
        <v>216</v>
      </c>
      <c r="N662" s="1" t="s">
        <v>131</v>
      </c>
      <c r="P662" s="1"/>
      <c r="R662" s="1" t="s">
        <v>137</v>
      </c>
      <c r="S662" s="1" t="s">
        <v>137</v>
      </c>
      <c r="T662" s="1" t="s">
        <v>47</v>
      </c>
      <c r="U662" s="1" t="s">
        <v>4301</v>
      </c>
    </row>
    <row r="663">
      <c r="A663" s="1" t="s">
        <v>10881</v>
      </c>
      <c r="B663" s="1" t="s">
        <v>4293</v>
      </c>
      <c r="C663" s="1" t="s">
        <v>3316</v>
      </c>
      <c r="D663" s="1" t="s">
        <v>152</v>
      </c>
      <c r="E663" s="1" t="s">
        <v>292</v>
      </c>
      <c r="F663" s="1" t="s">
        <v>494</v>
      </c>
      <c r="G663" s="1" t="s">
        <v>1478</v>
      </c>
      <c r="H663" s="3">
        <v>45107.0</v>
      </c>
      <c r="I663" s="3">
        <v>45372.0</v>
      </c>
      <c r="J663" s="3">
        <v>45372.0</v>
      </c>
      <c r="K663" s="1" t="s">
        <v>215</v>
      </c>
      <c r="L663" s="1" t="s">
        <v>160</v>
      </c>
      <c r="M663" s="1" t="s">
        <v>216</v>
      </c>
      <c r="N663" s="1" t="s">
        <v>131</v>
      </c>
      <c r="P663" s="1"/>
      <c r="R663" s="1" t="s">
        <v>137</v>
      </c>
      <c r="S663" s="1" t="s">
        <v>137</v>
      </c>
      <c r="T663" s="1" t="s">
        <v>47</v>
      </c>
      <c r="U663" s="1" t="s">
        <v>4301</v>
      </c>
    </row>
    <row r="664">
      <c r="A664" s="1" t="s">
        <v>2954</v>
      </c>
      <c r="B664" s="1" t="s">
        <v>116</v>
      </c>
      <c r="C664" s="1" t="s">
        <v>3316</v>
      </c>
      <c r="D664" s="1" t="s">
        <v>152</v>
      </c>
      <c r="E664" s="1" t="s">
        <v>292</v>
      </c>
      <c r="F664" s="1" t="s">
        <v>494</v>
      </c>
      <c r="G664" s="1" t="s">
        <v>1478</v>
      </c>
      <c r="H664" s="3">
        <v>46238.0</v>
      </c>
      <c r="I664" s="3"/>
      <c r="J664" s="3"/>
      <c r="K664" s="1" t="s">
        <v>124</v>
      </c>
      <c r="L664" s="1" t="s">
        <v>71</v>
      </c>
      <c r="M664" s="1" t="s">
        <v>335</v>
      </c>
      <c r="N664" s="1" t="s">
        <v>131</v>
      </c>
      <c r="P664" s="1" t="s">
        <v>803</v>
      </c>
      <c r="R664" s="1" t="s">
        <v>137</v>
      </c>
      <c r="S664" s="1" t="s">
        <v>137</v>
      </c>
      <c r="T664" s="1" t="s">
        <v>47</v>
      </c>
      <c r="U664" s="1" t="s">
        <v>4500</v>
      </c>
    </row>
    <row r="665">
      <c r="A665" s="1" t="s">
        <v>11284</v>
      </c>
      <c r="B665" s="1" t="s">
        <v>4293</v>
      </c>
      <c r="C665" s="1" t="s">
        <v>1491</v>
      </c>
      <c r="D665" s="1" t="s">
        <v>180</v>
      </c>
      <c r="E665" s="1" t="s">
        <v>520</v>
      </c>
      <c r="F665" s="1" t="s">
        <v>1671</v>
      </c>
      <c r="G665" s="1" t="s">
        <v>1673</v>
      </c>
      <c r="H665" s="3">
        <v>44378.0</v>
      </c>
      <c r="I665" s="3">
        <v>44378.0</v>
      </c>
      <c r="J665" s="3">
        <v>44378.0</v>
      </c>
      <c r="K665" s="1" t="s">
        <v>215</v>
      </c>
      <c r="L665" s="1" t="s">
        <v>160</v>
      </c>
      <c r="M665" s="1" t="s">
        <v>216</v>
      </c>
      <c r="N665" s="1" t="s">
        <v>131</v>
      </c>
      <c r="P665" s="1"/>
      <c r="R665" s="1" t="s">
        <v>137</v>
      </c>
      <c r="S665" s="1" t="s">
        <v>137</v>
      </c>
      <c r="T665" s="1" t="s">
        <v>47</v>
      </c>
      <c r="U665" s="1" t="s">
        <v>4301</v>
      </c>
    </row>
    <row r="666">
      <c r="A666" s="1" t="s">
        <v>5692</v>
      </c>
      <c r="B666" s="1" t="s">
        <v>4293</v>
      </c>
      <c r="C666" s="1" t="s">
        <v>14353</v>
      </c>
      <c r="D666" s="1" t="s">
        <v>313</v>
      </c>
      <c r="E666" s="1" t="s">
        <v>175</v>
      </c>
      <c r="F666" s="1" t="s">
        <v>1767</v>
      </c>
      <c r="G666" s="1" t="s">
        <v>3835</v>
      </c>
      <c r="H666" s="3">
        <v>44580.0</v>
      </c>
      <c r="I666" s="3">
        <v>44678.0</v>
      </c>
      <c r="J666" s="3">
        <v>44678.0</v>
      </c>
      <c r="K666" s="1" t="s">
        <v>215</v>
      </c>
      <c r="L666" s="1" t="s">
        <v>160</v>
      </c>
      <c r="M666" s="1" t="s">
        <v>216</v>
      </c>
      <c r="N666" s="1" t="s">
        <v>131</v>
      </c>
      <c r="P666" s="1"/>
      <c r="R666" s="1" t="s">
        <v>137</v>
      </c>
      <c r="S666" s="1" t="s">
        <v>137</v>
      </c>
      <c r="T666" s="1" t="s">
        <v>47</v>
      </c>
      <c r="U666" s="1" t="s">
        <v>4301</v>
      </c>
    </row>
    <row r="667">
      <c r="A667" s="1" t="s">
        <v>9610</v>
      </c>
      <c r="B667" s="1" t="s">
        <v>4293</v>
      </c>
      <c r="C667" s="1" t="s">
        <v>14355</v>
      </c>
      <c r="D667" s="1" t="s">
        <v>1477</v>
      </c>
      <c r="E667" s="1" t="s">
        <v>292</v>
      </c>
      <c r="F667" s="1" t="s">
        <v>962</v>
      </c>
      <c r="G667" s="1" t="s">
        <v>963</v>
      </c>
      <c r="H667" s="3">
        <v>45663.0</v>
      </c>
      <c r="I667" s="3">
        <v>45742.0</v>
      </c>
      <c r="J667" s="3">
        <v>45742.0</v>
      </c>
      <c r="K667" s="1" t="s">
        <v>215</v>
      </c>
      <c r="L667" s="1" t="s">
        <v>160</v>
      </c>
      <c r="M667" s="1" t="s">
        <v>216</v>
      </c>
      <c r="N667" s="1" t="s">
        <v>131</v>
      </c>
      <c r="P667" s="1"/>
      <c r="R667" s="1" t="s">
        <v>137</v>
      </c>
      <c r="S667" s="1" t="s">
        <v>137</v>
      </c>
      <c r="T667" s="1" t="s">
        <v>47</v>
      </c>
      <c r="U667" s="1" t="s">
        <v>4301</v>
      </c>
    </row>
    <row r="668">
      <c r="A668" s="1" t="s">
        <v>8813</v>
      </c>
      <c r="B668" s="1" t="s">
        <v>4293</v>
      </c>
      <c r="C668" s="1" t="s">
        <v>14357</v>
      </c>
      <c r="D668" s="1" t="s">
        <v>1798</v>
      </c>
      <c r="E668" s="1" t="s">
        <v>175</v>
      </c>
      <c r="F668" s="1" t="s">
        <v>763</v>
      </c>
      <c r="G668" s="1" t="s">
        <v>3768</v>
      </c>
      <c r="H668" s="3">
        <v>45069.0</v>
      </c>
      <c r="I668" s="3">
        <v>45100.0</v>
      </c>
      <c r="J668" s="3">
        <v>45100.0</v>
      </c>
      <c r="K668" s="1" t="s">
        <v>215</v>
      </c>
      <c r="L668" s="1" t="s">
        <v>160</v>
      </c>
      <c r="M668" s="1" t="s">
        <v>216</v>
      </c>
      <c r="N668" s="1" t="s">
        <v>131</v>
      </c>
      <c r="P668" s="1"/>
      <c r="R668" s="1" t="s">
        <v>137</v>
      </c>
      <c r="S668" s="1" t="s">
        <v>137</v>
      </c>
      <c r="T668" s="1" t="s">
        <v>47</v>
      </c>
      <c r="U668" s="1" t="s">
        <v>4301</v>
      </c>
    </row>
    <row r="669">
      <c r="A669" s="1" t="s">
        <v>6613</v>
      </c>
      <c r="B669" s="1" t="s">
        <v>4293</v>
      </c>
      <c r="C669" s="1" t="s">
        <v>14360</v>
      </c>
      <c r="D669" s="1" t="s">
        <v>313</v>
      </c>
      <c r="E669" s="1" t="s">
        <v>292</v>
      </c>
      <c r="F669" s="1" t="s">
        <v>293</v>
      </c>
      <c r="G669" s="1" t="s">
        <v>316</v>
      </c>
      <c r="H669" s="3">
        <v>45432.0</v>
      </c>
      <c r="I669" s="3">
        <v>45804.0</v>
      </c>
      <c r="J669" s="3">
        <v>45804.0</v>
      </c>
      <c r="K669" s="1" t="s">
        <v>215</v>
      </c>
      <c r="L669" s="1" t="s">
        <v>160</v>
      </c>
      <c r="M669" s="1" t="s">
        <v>216</v>
      </c>
      <c r="N669" s="1" t="s">
        <v>131</v>
      </c>
      <c r="P669" s="1"/>
      <c r="R669" s="1" t="s">
        <v>137</v>
      </c>
      <c r="S669" s="1" t="s">
        <v>137</v>
      </c>
      <c r="T669" s="1" t="s">
        <v>47</v>
      </c>
      <c r="U669" s="1" t="s">
        <v>4301</v>
      </c>
    </row>
    <row r="670">
      <c r="A670" s="1" t="s">
        <v>6897</v>
      </c>
      <c r="B670" s="1" t="s">
        <v>4293</v>
      </c>
      <c r="C670" s="1" t="s">
        <v>14361</v>
      </c>
      <c r="D670" s="1" t="s">
        <v>492</v>
      </c>
      <c r="E670" s="1" t="s">
        <v>292</v>
      </c>
      <c r="F670" s="1" t="s">
        <v>576</v>
      </c>
      <c r="G670" s="1" t="s">
        <v>2859</v>
      </c>
      <c r="H670" s="3">
        <v>45832.0</v>
      </c>
      <c r="I670" s="3">
        <v>46065.0</v>
      </c>
      <c r="J670" s="3">
        <v>46065.0</v>
      </c>
      <c r="K670" s="1" t="s">
        <v>215</v>
      </c>
      <c r="L670" s="1" t="s">
        <v>160</v>
      </c>
      <c r="M670" s="1" t="s">
        <v>216</v>
      </c>
      <c r="N670" s="1" t="s">
        <v>131</v>
      </c>
      <c r="P670" s="1"/>
      <c r="R670" s="1" t="s">
        <v>137</v>
      </c>
      <c r="S670" s="1" t="s">
        <v>137</v>
      </c>
      <c r="T670" s="1" t="s">
        <v>47</v>
      </c>
      <c r="U670" s="1" t="s">
        <v>4301</v>
      </c>
    </row>
    <row r="671">
      <c r="A671" s="1" t="s">
        <v>11211</v>
      </c>
      <c r="B671" s="1" t="s">
        <v>4293</v>
      </c>
      <c r="C671" s="1" t="s">
        <v>14364</v>
      </c>
      <c r="D671" s="1" t="s">
        <v>1067</v>
      </c>
      <c r="E671" s="1" t="s">
        <v>330</v>
      </c>
      <c r="F671" s="1" t="s">
        <v>663</v>
      </c>
      <c r="G671" s="1" t="s">
        <v>1068</v>
      </c>
      <c r="H671" s="3">
        <v>44986.0</v>
      </c>
      <c r="I671" s="3">
        <v>45188.0</v>
      </c>
      <c r="J671" s="3">
        <v>45188.0</v>
      </c>
      <c r="K671" s="1" t="s">
        <v>215</v>
      </c>
      <c r="L671" s="1" t="s">
        <v>160</v>
      </c>
      <c r="M671" s="1" t="s">
        <v>216</v>
      </c>
      <c r="N671" s="1" t="s">
        <v>131</v>
      </c>
      <c r="P671" s="1"/>
      <c r="R671" s="1" t="s">
        <v>137</v>
      </c>
      <c r="S671" s="1" t="s">
        <v>137</v>
      </c>
      <c r="T671" s="1" t="s">
        <v>47</v>
      </c>
      <c r="U671" s="1" t="s">
        <v>4301</v>
      </c>
    </row>
    <row r="672">
      <c r="A672" s="1" t="s">
        <v>2262</v>
      </c>
      <c r="B672" s="1" t="s">
        <v>116</v>
      </c>
      <c r="C672" s="1" t="s">
        <v>3318</v>
      </c>
      <c r="D672" s="1" t="s">
        <v>172</v>
      </c>
      <c r="E672" s="1" t="s">
        <v>119</v>
      </c>
      <c r="F672" s="1" t="s">
        <v>3319</v>
      </c>
      <c r="G672" s="1" t="s">
        <v>3319</v>
      </c>
      <c r="H672" s="3">
        <v>46127.0</v>
      </c>
      <c r="I672" s="3">
        <v>46409.0</v>
      </c>
      <c r="K672" s="1" t="s">
        <v>124</v>
      </c>
      <c r="L672" s="1" t="s">
        <v>160</v>
      </c>
      <c r="M672" s="1" t="s">
        <v>162</v>
      </c>
      <c r="N672" s="1" t="s">
        <v>131</v>
      </c>
      <c r="P672" s="1" t="s">
        <v>529</v>
      </c>
      <c r="R672" s="1" t="s">
        <v>137</v>
      </c>
      <c r="S672" s="1" t="s">
        <v>137</v>
      </c>
      <c r="T672" s="1" t="s">
        <v>47</v>
      </c>
      <c r="U672" s="1" t="s">
        <v>3700</v>
      </c>
    </row>
    <row r="673">
      <c r="A673" s="1" t="s">
        <v>2725</v>
      </c>
      <c r="B673" s="1" t="s">
        <v>116</v>
      </c>
      <c r="C673" s="1" t="s">
        <v>3321</v>
      </c>
      <c r="D673" s="1" t="s">
        <v>118</v>
      </c>
      <c r="E673" s="1" t="s">
        <v>330</v>
      </c>
      <c r="F673" s="1" t="s">
        <v>663</v>
      </c>
      <c r="G673" s="1" t="s">
        <v>923</v>
      </c>
      <c r="H673" s="3">
        <v>46183.0</v>
      </c>
      <c r="I673" s="3">
        <v>46321.0</v>
      </c>
      <c r="J673" s="3"/>
      <c r="K673" s="1" t="s">
        <v>124</v>
      </c>
      <c r="L673" s="1" t="s">
        <v>160</v>
      </c>
      <c r="M673" s="1" t="s">
        <v>162</v>
      </c>
      <c r="N673" s="1" t="s">
        <v>131</v>
      </c>
      <c r="P673" s="1" t="s">
        <v>3322</v>
      </c>
      <c r="R673" s="1" t="s">
        <v>137</v>
      </c>
      <c r="S673" s="1" t="s">
        <v>137</v>
      </c>
      <c r="T673" s="1" t="s">
        <v>47</v>
      </c>
      <c r="U673" s="1" t="s">
        <v>4321</v>
      </c>
    </row>
    <row r="674">
      <c r="A674" s="1" t="s">
        <v>6582</v>
      </c>
      <c r="B674" s="1" t="s">
        <v>4293</v>
      </c>
      <c r="C674" s="1" t="s">
        <v>14367</v>
      </c>
      <c r="D674" s="1" t="s">
        <v>417</v>
      </c>
      <c r="E674" s="1" t="s">
        <v>292</v>
      </c>
      <c r="F674" s="1" t="s">
        <v>293</v>
      </c>
      <c r="G674" s="1"/>
      <c r="H674" s="3">
        <v>44358.0</v>
      </c>
      <c r="I674" s="3">
        <v>44490.0</v>
      </c>
      <c r="J674" s="3">
        <v>44490.0</v>
      </c>
      <c r="K674" s="1" t="s">
        <v>215</v>
      </c>
      <c r="L674" s="1" t="s">
        <v>160</v>
      </c>
      <c r="M674" s="1" t="s">
        <v>216</v>
      </c>
      <c r="N674" s="1" t="s">
        <v>131</v>
      </c>
      <c r="P674" s="1"/>
      <c r="R674" s="1" t="s">
        <v>137</v>
      </c>
      <c r="S674" s="1" t="s">
        <v>137</v>
      </c>
      <c r="T674" s="1" t="s">
        <v>47</v>
      </c>
      <c r="U674" s="1" t="s">
        <v>4301</v>
      </c>
    </row>
    <row r="675">
      <c r="A675" s="1" t="s">
        <v>9893</v>
      </c>
      <c r="B675" s="1" t="s">
        <v>4293</v>
      </c>
      <c r="C675" s="1" t="s">
        <v>14369</v>
      </c>
      <c r="D675" s="1" t="s">
        <v>1477</v>
      </c>
      <c r="E675" s="1" t="s">
        <v>292</v>
      </c>
      <c r="F675" s="1" t="s">
        <v>494</v>
      </c>
      <c r="G675" s="1" t="s">
        <v>496</v>
      </c>
      <c r="H675" s="3">
        <v>43353.0</v>
      </c>
      <c r="I675" s="3">
        <v>43430.0</v>
      </c>
      <c r="J675" s="3">
        <v>43430.0</v>
      </c>
      <c r="K675" s="1" t="s">
        <v>215</v>
      </c>
      <c r="L675" s="1" t="s">
        <v>160</v>
      </c>
      <c r="M675" s="1" t="s">
        <v>216</v>
      </c>
      <c r="N675" s="1" t="s">
        <v>131</v>
      </c>
      <c r="P675" s="1"/>
      <c r="R675" s="1" t="s">
        <v>137</v>
      </c>
      <c r="S675" s="1" t="s">
        <v>137</v>
      </c>
      <c r="T675" s="1" t="s">
        <v>47</v>
      </c>
      <c r="U675" s="1" t="s">
        <v>4301</v>
      </c>
    </row>
    <row r="676">
      <c r="A676" s="1" t="s">
        <v>2705</v>
      </c>
      <c r="B676" s="1" t="s">
        <v>3326</v>
      </c>
      <c r="C676" s="1" t="s">
        <v>3327</v>
      </c>
      <c r="D676" s="1" t="s">
        <v>291</v>
      </c>
      <c r="E676" s="1" t="s">
        <v>889</v>
      </c>
      <c r="F676" s="1" t="s">
        <v>1983</v>
      </c>
      <c r="G676" s="1" t="s">
        <v>1984</v>
      </c>
      <c r="H676" s="3">
        <v>46177.0</v>
      </c>
      <c r="I676" s="3">
        <v>46349.0</v>
      </c>
      <c r="J676" s="3"/>
      <c r="K676" s="1" t="s">
        <v>124</v>
      </c>
      <c r="L676" s="1" t="s">
        <v>98</v>
      </c>
      <c r="M676" s="1" t="s">
        <v>335</v>
      </c>
      <c r="N676" s="1" t="s">
        <v>131</v>
      </c>
      <c r="P676" s="1" t="s">
        <v>3329</v>
      </c>
      <c r="R676" s="1" t="s">
        <v>137</v>
      </c>
      <c r="S676" s="1" t="s">
        <v>137</v>
      </c>
      <c r="T676" s="1" t="s">
        <v>47</v>
      </c>
      <c r="U676" s="1" t="s">
        <v>4272</v>
      </c>
    </row>
    <row r="677">
      <c r="A677" s="1" t="s">
        <v>3331</v>
      </c>
      <c r="B677" s="1" t="s">
        <v>116</v>
      </c>
      <c r="C677" s="1" t="s">
        <v>3327</v>
      </c>
      <c r="D677" s="1" t="s">
        <v>291</v>
      </c>
      <c r="E677" s="1" t="s">
        <v>889</v>
      </c>
      <c r="F677" s="1" t="s">
        <v>1983</v>
      </c>
      <c r="G677" s="1" t="s">
        <v>1984</v>
      </c>
      <c r="H677" s="3">
        <v>46234.0</v>
      </c>
      <c r="I677" s="3"/>
      <c r="J677" s="3"/>
      <c r="K677" s="1" t="s">
        <v>124</v>
      </c>
      <c r="L677" s="1" t="s">
        <v>98</v>
      </c>
      <c r="M677" s="1" t="s">
        <v>162</v>
      </c>
      <c r="N677" s="1" t="s">
        <v>131</v>
      </c>
      <c r="P677" s="1" t="s">
        <v>2768</v>
      </c>
      <c r="R677" s="1" t="s">
        <v>137</v>
      </c>
      <c r="S677" s="1" t="s">
        <v>137</v>
      </c>
      <c r="T677" s="1" t="s">
        <v>47</v>
      </c>
      <c r="U677" s="1" t="s">
        <v>3643</v>
      </c>
    </row>
    <row r="678">
      <c r="A678" s="1" t="s">
        <v>8851</v>
      </c>
      <c r="B678" s="1" t="s">
        <v>4293</v>
      </c>
      <c r="C678" s="1" t="s">
        <v>14374</v>
      </c>
      <c r="D678" s="1" t="s">
        <v>396</v>
      </c>
      <c r="E678" s="1" t="s">
        <v>292</v>
      </c>
      <c r="F678" s="1" t="s">
        <v>576</v>
      </c>
      <c r="G678" s="1" t="s">
        <v>2859</v>
      </c>
      <c r="H678" s="3">
        <v>44440.0</v>
      </c>
      <c r="I678" s="3">
        <v>44651.0</v>
      </c>
      <c r="J678" s="3">
        <v>44651.0</v>
      </c>
      <c r="K678" s="1" t="s">
        <v>215</v>
      </c>
      <c r="L678" s="1" t="s">
        <v>160</v>
      </c>
      <c r="M678" s="1" t="s">
        <v>216</v>
      </c>
      <c r="N678" s="1" t="s">
        <v>131</v>
      </c>
      <c r="R678" s="1" t="s">
        <v>137</v>
      </c>
      <c r="S678" s="1" t="s">
        <v>137</v>
      </c>
      <c r="T678" s="1" t="s">
        <v>47</v>
      </c>
      <c r="U678" s="1" t="s">
        <v>4301</v>
      </c>
    </row>
    <row r="679">
      <c r="A679" s="1" t="s">
        <v>8892</v>
      </c>
      <c r="B679" s="1" t="s">
        <v>4293</v>
      </c>
      <c r="C679" s="1" t="s">
        <v>14376</v>
      </c>
      <c r="D679" s="1" t="s">
        <v>313</v>
      </c>
      <c r="E679" s="1" t="s">
        <v>330</v>
      </c>
      <c r="F679" s="1" t="s">
        <v>356</v>
      </c>
      <c r="G679" s="1" t="s">
        <v>864</v>
      </c>
      <c r="H679" s="3">
        <v>45642.0</v>
      </c>
      <c r="I679" s="3">
        <v>46175.0</v>
      </c>
      <c r="J679" s="3">
        <v>46175.0</v>
      </c>
      <c r="K679" s="1" t="s">
        <v>215</v>
      </c>
      <c r="L679" s="1" t="s">
        <v>160</v>
      </c>
      <c r="M679" s="1" t="s">
        <v>216</v>
      </c>
      <c r="N679" s="1" t="s">
        <v>131</v>
      </c>
      <c r="R679" s="1" t="s">
        <v>137</v>
      </c>
      <c r="S679" s="1" t="s">
        <v>137</v>
      </c>
      <c r="T679" s="1" t="s">
        <v>47</v>
      </c>
      <c r="U679" s="1" t="s">
        <v>4301</v>
      </c>
    </row>
    <row r="680">
      <c r="A680" s="1" t="s">
        <v>10677</v>
      </c>
      <c r="B680" s="1" t="s">
        <v>4293</v>
      </c>
      <c r="C680" s="1" t="s">
        <v>14378</v>
      </c>
      <c r="D680" s="1" t="s">
        <v>1798</v>
      </c>
      <c r="E680" s="1" t="s">
        <v>175</v>
      </c>
      <c r="F680" s="1" t="s">
        <v>763</v>
      </c>
      <c r="G680" s="1" t="s">
        <v>764</v>
      </c>
      <c r="H680" s="3">
        <v>44971.0</v>
      </c>
      <c r="I680" s="3">
        <v>45112.0</v>
      </c>
      <c r="J680" s="3">
        <v>45112.0</v>
      </c>
      <c r="K680" s="1" t="s">
        <v>215</v>
      </c>
      <c r="L680" s="1" t="s">
        <v>160</v>
      </c>
      <c r="M680" s="1" t="s">
        <v>216</v>
      </c>
      <c r="N680" s="1" t="s">
        <v>131</v>
      </c>
      <c r="R680" s="1" t="s">
        <v>137</v>
      </c>
      <c r="S680" s="1" t="s">
        <v>137</v>
      </c>
      <c r="T680" s="1" t="s">
        <v>47</v>
      </c>
      <c r="U680" s="1" t="s">
        <v>4301</v>
      </c>
    </row>
    <row r="681">
      <c r="A681" s="1" t="s">
        <v>14106</v>
      </c>
      <c r="B681" s="1" t="s">
        <v>4293</v>
      </c>
      <c r="C681" s="1" t="s">
        <v>14380</v>
      </c>
      <c r="D681" s="1" t="s">
        <v>1291</v>
      </c>
      <c r="E681" s="1" t="s">
        <v>292</v>
      </c>
      <c r="F681" s="1" t="s">
        <v>962</v>
      </c>
      <c r="G681" s="1" t="s">
        <v>2607</v>
      </c>
      <c r="H681" s="3">
        <v>45961.0</v>
      </c>
      <c r="I681" s="3"/>
      <c r="J681" s="3"/>
      <c r="K681" s="1" t="s">
        <v>124</v>
      </c>
      <c r="L681" s="1" t="s">
        <v>160</v>
      </c>
      <c r="M681" s="1" t="s">
        <v>253</v>
      </c>
      <c r="N681" s="1" t="s">
        <v>131</v>
      </c>
      <c r="R681" s="1" t="s">
        <v>137</v>
      </c>
      <c r="S681" s="1" t="s">
        <v>137</v>
      </c>
      <c r="T681" s="1" t="s">
        <v>47</v>
      </c>
      <c r="U681" s="1" t="s">
        <v>4301</v>
      </c>
    </row>
    <row r="682">
      <c r="A682" s="1" t="s">
        <v>9807</v>
      </c>
      <c r="B682" s="1" t="s">
        <v>4293</v>
      </c>
      <c r="C682" s="1" t="s">
        <v>14383</v>
      </c>
      <c r="D682" s="1" t="s">
        <v>1823</v>
      </c>
      <c r="E682" s="1" t="s">
        <v>175</v>
      </c>
      <c r="F682" s="1" t="s">
        <v>1116</v>
      </c>
      <c r="G682" s="1" t="s">
        <v>6737</v>
      </c>
      <c r="H682" s="3">
        <v>44483.0</v>
      </c>
      <c r="I682" s="3">
        <v>44622.0</v>
      </c>
      <c r="J682" s="3">
        <v>44622.0</v>
      </c>
      <c r="K682" s="1" t="s">
        <v>215</v>
      </c>
      <c r="L682" s="1" t="s">
        <v>160</v>
      </c>
      <c r="M682" s="1" t="s">
        <v>216</v>
      </c>
      <c r="N682" s="1" t="s">
        <v>131</v>
      </c>
      <c r="P682" s="1"/>
      <c r="R682" s="1" t="s">
        <v>137</v>
      </c>
      <c r="S682" s="1" t="s">
        <v>137</v>
      </c>
      <c r="T682" s="1" t="s">
        <v>47</v>
      </c>
      <c r="U682" s="1" t="s">
        <v>4301</v>
      </c>
    </row>
    <row r="683">
      <c r="A683" s="1" t="s">
        <v>12749</v>
      </c>
      <c r="B683" s="1" t="s">
        <v>4293</v>
      </c>
      <c r="C683" s="1" t="s">
        <v>14384</v>
      </c>
      <c r="D683" s="1" t="s">
        <v>313</v>
      </c>
      <c r="E683" s="1" t="s">
        <v>175</v>
      </c>
      <c r="F683" s="1" t="s">
        <v>763</v>
      </c>
      <c r="G683" s="1" t="s">
        <v>764</v>
      </c>
      <c r="H683" s="3">
        <v>46232.0</v>
      </c>
      <c r="I683" s="3">
        <v>46398.0</v>
      </c>
      <c r="J683" s="3"/>
      <c r="K683" s="1" t="s">
        <v>124</v>
      </c>
      <c r="L683" s="1" t="s">
        <v>160</v>
      </c>
      <c r="M683" s="1" t="s">
        <v>300</v>
      </c>
      <c r="N683" s="1" t="s">
        <v>131</v>
      </c>
      <c r="P683" s="1" t="s">
        <v>9744</v>
      </c>
      <c r="R683" s="1" t="s">
        <v>137</v>
      </c>
      <c r="S683" s="1" t="s">
        <v>137</v>
      </c>
      <c r="T683" s="1" t="s">
        <v>47</v>
      </c>
      <c r="U683" s="1" t="s">
        <v>14386</v>
      </c>
    </row>
    <row r="684">
      <c r="A684" s="1" t="s">
        <v>12300</v>
      </c>
      <c r="B684" s="1" t="s">
        <v>4293</v>
      </c>
      <c r="C684" s="1" t="s">
        <v>14387</v>
      </c>
      <c r="D684" s="1" t="s">
        <v>172</v>
      </c>
      <c r="E684" s="1" t="s">
        <v>292</v>
      </c>
      <c r="F684" s="1" t="s">
        <v>293</v>
      </c>
      <c r="G684" s="1" t="s">
        <v>2091</v>
      </c>
      <c r="H684" s="3">
        <v>45833.0</v>
      </c>
      <c r="I684" s="3">
        <v>45999.0</v>
      </c>
      <c r="J684" s="3">
        <v>45999.0</v>
      </c>
      <c r="K684" s="1" t="s">
        <v>215</v>
      </c>
      <c r="L684" s="1" t="s">
        <v>160</v>
      </c>
      <c r="M684" s="1" t="s">
        <v>216</v>
      </c>
      <c r="N684" s="1" t="s">
        <v>131</v>
      </c>
      <c r="P684" s="1"/>
      <c r="R684" s="1" t="s">
        <v>137</v>
      </c>
      <c r="S684" s="1" t="s">
        <v>137</v>
      </c>
      <c r="T684" s="1" t="s">
        <v>47</v>
      </c>
      <c r="U684" s="1" t="s">
        <v>4301</v>
      </c>
    </row>
    <row r="685">
      <c r="A685" s="1" t="s">
        <v>10359</v>
      </c>
      <c r="B685" s="1" t="s">
        <v>4293</v>
      </c>
      <c r="C685" s="1" t="s">
        <v>14389</v>
      </c>
      <c r="D685" s="1" t="s">
        <v>1823</v>
      </c>
      <c r="E685" s="1" t="s">
        <v>175</v>
      </c>
      <c r="F685" s="1" t="s">
        <v>569</v>
      </c>
      <c r="G685" s="1" t="s">
        <v>798</v>
      </c>
      <c r="H685" s="3">
        <v>44257.0</v>
      </c>
      <c r="I685" s="3">
        <v>44257.0</v>
      </c>
      <c r="J685" s="3">
        <v>44257.0</v>
      </c>
      <c r="K685" s="1" t="s">
        <v>215</v>
      </c>
      <c r="L685" s="1" t="s">
        <v>160</v>
      </c>
      <c r="M685" s="1" t="s">
        <v>216</v>
      </c>
      <c r="N685" s="1" t="s">
        <v>131</v>
      </c>
      <c r="P685" s="1"/>
      <c r="R685" s="1" t="s">
        <v>137</v>
      </c>
      <c r="S685" s="1" t="s">
        <v>137</v>
      </c>
      <c r="T685" s="1" t="s">
        <v>47</v>
      </c>
      <c r="U685" s="1" t="s">
        <v>4301</v>
      </c>
    </row>
    <row r="686">
      <c r="A686" s="1" t="s">
        <v>6888</v>
      </c>
      <c r="B686" s="1" t="s">
        <v>4293</v>
      </c>
      <c r="C686" s="1" t="s">
        <v>14392</v>
      </c>
      <c r="D686" s="1" t="s">
        <v>273</v>
      </c>
      <c r="E686" s="1" t="s">
        <v>330</v>
      </c>
      <c r="F686" s="1" t="s">
        <v>356</v>
      </c>
      <c r="G686" s="1" t="s">
        <v>5006</v>
      </c>
      <c r="H686" s="3">
        <v>44061.0</v>
      </c>
      <c r="I686" s="3">
        <v>44356.0</v>
      </c>
      <c r="J686" s="3">
        <v>44356.0</v>
      </c>
      <c r="K686" s="1" t="s">
        <v>215</v>
      </c>
      <c r="L686" s="1" t="s">
        <v>160</v>
      </c>
      <c r="M686" s="1" t="s">
        <v>216</v>
      </c>
      <c r="N686" s="1" t="s">
        <v>131</v>
      </c>
      <c r="R686" s="1" t="s">
        <v>137</v>
      </c>
      <c r="S686" s="1" t="s">
        <v>137</v>
      </c>
      <c r="T686" s="1" t="s">
        <v>47</v>
      </c>
      <c r="U686" s="1" t="s">
        <v>4301</v>
      </c>
    </row>
    <row r="687">
      <c r="A687" s="1" t="s">
        <v>9027</v>
      </c>
      <c r="B687" s="1" t="s">
        <v>4293</v>
      </c>
      <c r="C687" s="1" t="s">
        <v>14394</v>
      </c>
      <c r="D687" s="1" t="s">
        <v>518</v>
      </c>
      <c r="E687" s="1" t="s">
        <v>520</v>
      </c>
      <c r="F687" s="1" t="s">
        <v>522</v>
      </c>
      <c r="G687" s="1" t="s">
        <v>6067</v>
      </c>
      <c r="H687" s="3">
        <v>45176.0</v>
      </c>
      <c r="I687" s="3">
        <v>45393.0</v>
      </c>
      <c r="J687" s="3">
        <v>45393.0</v>
      </c>
      <c r="K687" s="1" t="s">
        <v>215</v>
      </c>
      <c r="L687" s="1" t="s">
        <v>160</v>
      </c>
      <c r="M687" s="1" t="s">
        <v>216</v>
      </c>
      <c r="N687" s="1" t="s">
        <v>131</v>
      </c>
      <c r="P687" s="1"/>
      <c r="R687" s="1" t="s">
        <v>137</v>
      </c>
      <c r="S687" s="1" t="s">
        <v>137</v>
      </c>
      <c r="T687" s="1" t="s">
        <v>47</v>
      </c>
      <c r="U687" s="1" t="s">
        <v>4301</v>
      </c>
    </row>
    <row r="688">
      <c r="A688" s="1" t="s">
        <v>13018</v>
      </c>
      <c r="B688" s="1" t="s">
        <v>4293</v>
      </c>
      <c r="C688" s="1" t="s">
        <v>14396</v>
      </c>
      <c r="D688" s="1" t="s">
        <v>313</v>
      </c>
      <c r="E688" s="1" t="s">
        <v>175</v>
      </c>
      <c r="F688" s="1" t="s">
        <v>569</v>
      </c>
      <c r="G688" s="1" t="s">
        <v>1842</v>
      </c>
      <c r="H688" s="3">
        <v>45847.0</v>
      </c>
      <c r="I688" s="3"/>
      <c r="J688" s="3"/>
      <c r="K688" s="1" t="s">
        <v>124</v>
      </c>
      <c r="L688" s="1" t="s">
        <v>160</v>
      </c>
      <c r="M688" s="1" t="s">
        <v>253</v>
      </c>
      <c r="N688" s="1" t="s">
        <v>131</v>
      </c>
      <c r="R688" s="1" t="s">
        <v>137</v>
      </c>
      <c r="S688" s="1" t="s">
        <v>137</v>
      </c>
      <c r="T688" s="1" t="s">
        <v>47</v>
      </c>
      <c r="U688" s="1" t="s">
        <v>4301</v>
      </c>
    </row>
    <row r="689">
      <c r="A689" s="1" t="s">
        <v>10027</v>
      </c>
      <c r="B689" s="1" t="s">
        <v>4293</v>
      </c>
      <c r="C689" s="1" t="s">
        <v>3348</v>
      </c>
      <c r="D689" s="1" t="s">
        <v>313</v>
      </c>
      <c r="E689" s="1" t="s">
        <v>292</v>
      </c>
      <c r="F689" s="1" t="s">
        <v>468</v>
      </c>
      <c r="G689" s="1" t="s">
        <v>470</v>
      </c>
      <c r="H689" s="3">
        <v>45888.0</v>
      </c>
      <c r="I689" s="3">
        <v>46049.0</v>
      </c>
      <c r="J689" s="3">
        <v>46049.0</v>
      </c>
      <c r="K689" s="1" t="s">
        <v>215</v>
      </c>
      <c r="L689" s="1" t="s">
        <v>160</v>
      </c>
      <c r="M689" s="1" t="s">
        <v>216</v>
      </c>
      <c r="N689" s="1" t="s">
        <v>131</v>
      </c>
      <c r="P689" s="1"/>
      <c r="R689" s="1" t="s">
        <v>137</v>
      </c>
      <c r="S689" s="1" t="s">
        <v>137</v>
      </c>
      <c r="T689" s="1" t="s">
        <v>47</v>
      </c>
      <c r="U689" s="1" t="s">
        <v>4301</v>
      </c>
    </row>
    <row r="690">
      <c r="A690" s="1" t="s">
        <v>10537</v>
      </c>
      <c r="B690" s="1" t="s">
        <v>4293</v>
      </c>
      <c r="C690" s="1" t="s">
        <v>14400</v>
      </c>
      <c r="D690" s="1" t="s">
        <v>273</v>
      </c>
      <c r="E690" s="1" t="s">
        <v>175</v>
      </c>
      <c r="F690" s="1" t="s">
        <v>763</v>
      </c>
      <c r="G690" s="1" t="s">
        <v>2818</v>
      </c>
      <c r="H690" s="3">
        <v>44560.0</v>
      </c>
      <c r="I690" s="3">
        <v>43964.0</v>
      </c>
      <c r="J690" s="3">
        <v>43964.0</v>
      </c>
      <c r="K690" s="1" t="s">
        <v>215</v>
      </c>
      <c r="L690" s="1" t="s">
        <v>160</v>
      </c>
      <c r="M690" s="1" t="s">
        <v>216</v>
      </c>
      <c r="N690" s="1" t="s">
        <v>131</v>
      </c>
      <c r="P690" s="1"/>
      <c r="R690" s="1" t="s">
        <v>137</v>
      </c>
      <c r="S690" s="1" t="s">
        <v>137</v>
      </c>
      <c r="T690" s="1" t="s">
        <v>47</v>
      </c>
      <c r="U690" s="1" t="s">
        <v>4301</v>
      </c>
    </row>
    <row r="691">
      <c r="A691" s="1" t="s">
        <v>7169</v>
      </c>
      <c r="B691" s="1" t="s">
        <v>4293</v>
      </c>
      <c r="C691" s="1" t="s">
        <v>14402</v>
      </c>
      <c r="D691" s="1" t="s">
        <v>417</v>
      </c>
      <c r="E691" s="1" t="s">
        <v>175</v>
      </c>
      <c r="F691" s="1" t="s">
        <v>585</v>
      </c>
      <c r="G691" s="1" t="s">
        <v>780</v>
      </c>
      <c r="H691" s="3">
        <v>43425.0</v>
      </c>
      <c r="I691" s="3">
        <v>43455.0</v>
      </c>
      <c r="J691" s="3">
        <v>43455.0</v>
      </c>
      <c r="K691" s="1" t="s">
        <v>215</v>
      </c>
      <c r="L691" s="1" t="s">
        <v>160</v>
      </c>
      <c r="M691" s="1" t="s">
        <v>216</v>
      </c>
      <c r="N691" s="1" t="s">
        <v>131</v>
      </c>
      <c r="P691" s="1"/>
      <c r="R691" s="1" t="s">
        <v>137</v>
      </c>
      <c r="S691" s="1" t="s">
        <v>137</v>
      </c>
      <c r="T691" s="1" t="s">
        <v>47</v>
      </c>
      <c r="U691" s="1" t="s">
        <v>4301</v>
      </c>
    </row>
    <row r="692">
      <c r="A692" s="1" t="s">
        <v>9186</v>
      </c>
      <c r="B692" s="1" t="s">
        <v>4293</v>
      </c>
      <c r="C692" s="1" t="s">
        <v>14403</v>
      </c>
      <c r="D692" s="1" t="s">
        <v>678</v>
      </c>
      <c r="E692" s="1" t="s">
        <v>454</v>
      </c>
      <c r="F692" s="1" t="s">
        <v>455</v>
      </c>
      <c r="G692" s="1" t="s">
        <v>510</v>
      </c>
      <c r="H692" s="3">
        <v>43502.0</v>
      </c>
      <c r="I692" s="3">
        <v>43501.0</v>
      </c>
      <c r="J692" s="3">
        <v>43501.0</v>
      </c>
      <c r="K692" s="1" t="s">
        <v>215</v>
      </c>
      <c r="L692" s="1" t="s">
        <v>160</v>
      </c>
      <c r="M692" s="1" t="s">
        <v>216</v>
      </c>
      <c r="N692" s="1" t="s">
        <v>131</v>
      </c>
      <c r="P692" s="1"/>
      <c r="R692" s="1" t="s">
        <v>137</v>
      </c>
      <c r="S692" s="1" t="s">
        <v>137</v>
      </c>
      <c r="T692" s="1" t="s">
        <v>47</v>
      </c>
      <c r="U692" s="1" t="s">
        <v>4301</v>
      </c>
    </row>
    <row r="693">
      <c r="A693" s="1" t="s">
        <v>3358</v>
      </c>
      <c r="B693" s="1" t="s">
        <v>116</v>
      </c>
      <c r="C693" s="1" t="s">
        <v>3359</v>
      </c>
      <c r="D693" s="1" t="s">
        <v>1823</v>
      </c>
      <c r="E693" s="1" t="s">
        <v>175</v>
      </c>
      <c r="F693" s="1" t="s">
        <v>569</v>
      </c>
      <c r="G693" s="1" t="s">
        <v>570</v>
      </c>
      <c r="H693" s="3">
        <v>46129.0</v>
      </c>
      <c r="I693" s="3"/>
      <c r="J693" s="3"/>
      <c r="K693" s="1" t="s">
        <v>124</v>
      </c>
      <c r="L693" s="1" t="s">
        <v>71</v>
      </c>
      <c r="M693" s="1" t="s">
        <v>162</v>
      </c>
      <c r="N693" s="1" t="s">
        <v>131</v>
      </c>
      <c r="P693" s="1" t="s">
        <v>3650</v>
      </c>
      <c r="R693" s="1" t="s">
        <v>137</v>
      </c>
      <c r="S693" s="1" t="s">
        <v>137</v>
      </c>
      <c r="T693" s="1" t="s">
        <v>47</v>
      </c>
      <c r="U693" s="1" t="s">
        <v>14406</v>
      </c>
    </row>
    <row r="694">
      <c r="A694" s="1" t="s">
        <v>5200</v>
      </c>
      <c r="B694" s="1" t="s">
        <v>4293</v>
      </c>
      <c r="C694" s="1" t="s">
        <v>14407</v>
      </c>
      <c r="D694" s="1" t="s">
        <v>1477</v>
      </c>
      <c r="E694" s="1" t="s">
        <v>153</v>
      </c>
      <c r="F694" s="1" t="s">
        <v>13577</v>
      </c>
      <c r="G694" s="1"/>
      <c r="H694" s="3">
        <v>45845.0</v>
      </c>
      <c r="I694" s="3"/>
      <c r="J694" s="3"/>
      <c r="K694" s="1" t="s">
        <v>124</v>
      </c>
      <c r="L694" s="1" t="s">
        <v>160</v>
      </c>
      <c r="M694" s="1" t="s">
        <v>253</v>
      </c>
      <c r="N694" s="1" t="s">
        <v>131</v>
      </c>
      <c r="R694" s="1" t="s">
        <v>137</v>
      </c>
      <c r="S694" s="1" t="s">
        <v>137</v>
      </c>
      <c r="T694" s="1" t="s">
        <v>47</v>
      </c>
      <c r="U694" s="1" t="s">
        <v>4301</v>
      </c>
    </row>
    <row r="695">
      <c r="A695" s="1" t="s">
        <v>12224</v>
      </c>
      <c r="B695" s="1" t="s">
        <v>4293</v>
      </c>
      <c r="C695" s="1" t="s">
        <v>14408</v>
      </c>
      <c r="D695" s="1" t="s">
        <v>417</v>
      </c>
      <c r="E695" s="1" t="s">
        <v>292</v>
      </c>
      <c r="F695" s="1" t="s">
        <v>293</v>
      </c>
      <c r="G695" s="1" t="s">
        <v>3053</v>
      </c>
      <c r="H695" s="3">
        <v>44274.0</v>
      </c>
      <c r="I695" s="3">
        <v>44532.0</v>
      </c>
      <c r="J695" s="3">
        <v>44532.0</v>
      </c>
      <c r="K695" s="1" t="s">
        <v>215</v>
      </c>
      <c r="L695" s="1" t="s">
        <v>160</v>
      </c>
      <c r="M695" s="1" t="s">
        <v>216</v>
      </c>
      <c r="N695" s="1" t="s">
        <v>131</v>
      </c>
      <c r="P695" s="1"/>
      <c r="R695" s="1" t="s">
        <v>137</v>
      </c>
      <c r="S695" s="1" t="s">
        <v>137</v>
      </c>
      <c r="T695" s="1" t="s">
        <v>47</v>
      </c>
      <c r="U695" s="1" t="s">
        <v>4301</v>
      </c>
    </row>
    <row r="696">
      <c r="A696" s="1" t="s">
        <v>5309</v>
      </c>
      <c r="B696" s="1" t="s">
        <v>4293</v>
      </c>
      <c r="C696" s="1" t="s">
        <v>14410</v>
      </c>
      <c r="D696" s="1" t="s">
        <v>1477</v>
      </c>
      <c r="E696" s="1" t="s">
        <v>292</v>
      </c>
      <c r="F696" s="1" t="s">
        <v>962</v>
      </c>
      <c r="G696" s="1" t="s">
        <v>2607</v>
      </c>
      <c r="H696" s="3">
        <v>45699.0</v>
      </c>
      <c r="I696" s="3">
        <v>45791.0</v>
      </c>
      <c r="J696" s="3">
        <v>45791.0</v>
      </c>
      <c r="K696" s="1" t="s">
        <v>215</v>
      </c>
      <c r="L696" s="1" t="s">
        <v>160</v>
      </c>
      <c r="M696" s="1" t="s">
        <v>216</v>
      </c>
      <c r="N696" s="1" t="s">
        <v>131</v>
      </c>
      <c r="P696" s="1"/>
      <c r="R696" s="1" t="s">
        <v>137</v>
      </c>
      <c r="S696" s="1" t="s">
        <v>137</v>
      </c>
      <c r="T696" s="1" t="s">
        <v>47</v>
      </c>
      <c r="U696" s="1" t="s">
        <v>4301</v>
      </c>
    </row>
    <row r="697">
      <c r="A697" s="1" t="s">
        <v>8143</v>
      </c>
      <c r="B697" s="1" t="s">
        <v>4293</v>
      </c>
      <c r="C697" s="1" t="s">
        <v>14412</v>
      </c>
      <c r="D697" s="1" t="s">
        <v>313</v>
      </c>
      <c r="E697" s="1" t="s">
        <v>175</v>
      </c>
      <c r="F697" s="1" t="s">
        <v>1116</v>
      </c>
      <c r="G697" s="1" t="s">
        <v>11367</v>
      </c>
      <c r="H697" s="3">
        <v>44071.0</v>
      </c>
      <c r="I697" s="3">
        <v>44097.0</v>
      </c>
      <c r="J697" s="3">
        <v>44097.0</v>
      </c>
      <c r="K697" s="1" t="s">
        <v>215</v>
      </c>
      <c r="L697" s="1" t="s">
        <v>160</v>
      </c>
      <c r="M697" s="1" t="s">
        <v>216</v>
      </c>
      <c r="N697" s="1" t="s">
        <v>131</v>
      </c>
      <c r="P697" s="1"/>
      <c r="R697" s="1" t="s">
        <v>137</v>
      </c>
      <c r="S697" s="1" t="s">
        <v>137</v>
      </c>
      <c r="T697" s="1" t="s">
        <v>47</v>
      </c>
      <c r="U697" s="1" t="s">
        <v>4301</v>
      </c>
    </row>
    <row r="698">
      <c r="A698" s="1" t="s">
        <v>7042</v>
      </c>
      <c r="B698" s="1" t="s">
        <v>4293</v>
      </c>
      <c r="C698" s="1" t="s">
        <v>14413</v>
      </c>
      <c r="D698" s="1" t="s">
        <v>960</v>
      </c>
      <c r="E698" s="1" t="s">
        <v>292</v>
      </c>
      <c r="F698" s="1" t="s">
        <v>494</v>
      </c>
      <c r="G698" s="1" t="s">
        <v>3632</v>
      </c>
      <c r="H698" s="3">
        <v>43825.0</v>
      </c>
      <c r="I698" s="3">
        <v>43984.0</v>
      </c>
      <c r="J698" s="3">
        <v>43984.0</v>
      </c>
      <c r="K698" s="1" t="s">
        <v>215</v>
      </c>
      <c r="L698" s="1" t="s">
        <v>160</v>
      </c>
      <c r="M698" s="1" t="s">
        <v>216</v>
      </c>
      <c r="N698" s="1" t="s">
        <v>131</v>
      </c>
      <c r="P698" s="1"/>
      <c r="R698" s="1" t="s">
        <v>137</v>
      </c>
      <c r="S698" s="1" t="s">
        <v>137</v>
      </c>
      <c r="T698" s="1" t="s">
        <v>47</v>
      </c>
      <c r="U698" s="1" t="s">
        <v>4301</v>
      </c>
    </row>
    <row r="699">
      <c r="A699" s="1" t="s">
        <v>2150</v>
      </c>
      <c r="B699" s="1" t="s">
        <v>2413</v>
      </c>
      <c r="C699" s="1" t="s">
        <v>3368</v>
      </c>
      <c r="D699" s="1" t="s">
        <v>657</v>
      </c>
      <c r="E699" s="1" t="s">
        <v>292</v>
      </c>
      <c r="F699" s="1" t="s">
        <v>293</v>
      </c>
      <c r="G699" s="1" t="s">
        <v>561</v>
      </c>
      <c r="H699" s="3">
        <v>46113.0</v>
      </c>
      <c r="I699" s="3">
        <v>46281.0</v>
      </c>
      <c r="J699" s="3"/>
      <c r="K699" s="1" t="s">
        <v>124</v>
      </c>
      <c r="L699" s="1" t="s">
        <v>98</v>
      </c>
      <c r="M699" s="1" t="s">
        <v>460</v>
      </c>
      <c r="N699" s="1" t="s">
        <v>131</v>
      </c>
      <c r="P699" s="1" t="s">
        <v>3369</v>
      </c>
      <c r="R699" s="1" t="s">
        <v>137</v>
      </c>
      <c r="S699" s="1" t="s">
        <v>137</v>
      </c>
      <c r="T699" s="1" t="s">
        <v>47</v>
      </c>
      <c r="U699" s="1" t="s">
        <v>3585</v>
      </c>
    </row>
    <row r="700">
      <c r="A700" s="1" t="s">
        <v>7832</v>
      </c>
      <c r="B700" s="1" t="s">
        <v>4293</v>
      </c>
      <c r="C700" s="1" t="s">
        <v>14416</v>
      </c>
      <c r="D700" s="1" t="s">
        <v>1932</v>
      </c>
      <c r="E700" s="1"/>
      <c r="F700" s="1"/>
      <c r="G700" s="1"/>
      <c r="H700" s="3">
        <v>43796.0</v>
      </c>
      <c r="I700" s="3">
        <v>43970.0</v>
      </c>
      <c r="J700" s="3">
        <v>43970.0</v>
      </c>
      <c r="K700" s="1" t="s">
        <v>215</v>
      </c>
      <c r="L700" s="1" t="s">
        <v>160</v>
      </c>
      <c r="M700" s="1" t="s">
        <v>216</v>
      </c>
      <c r="N700" s="1" t="s">
        <v>131</v>
      </c>
      <c r="P700" s="1"/>
      <c r="R700" s="1" t="s">
        <v>137</v>
      </c>
      <c r="S700" s="1" t="s">
        <v>137</v>
      </c>
      <c r="T700" s="1" t="s">
        <v>47</v>
      </c>
      <c r="U700" s="1" t="s">
        <v>4301</v>
      </c>
    </row>
    <row r="701">
      <c r="A701" s="1" t="s">
        <v>5021</v>
      </c>
      <c r="B701" s="1" t="s">
        <v>4293</v>
      </c>
      <c r="C701" s="1" t="s">
        <v>14417</v>
      </c>
      <c r="D701" s="1" t="s">
        <v>273</v>
      </c>
      <c r="E701" s="1" t="s">
        <v>330</v>
      </c>
      <c r="F701" s="1" t="s">
        <v>356</v>
      </c>
      <c r="G701" s="1" t="s">
        <v>875</v>
      </c>
      <c r="H701" s="3">
        <v>44575.0</v>
      </c>
      <c r="I701" s="3">
        <v>44803.0</v>
      </c>
      <c r="J701" s="3">
        <v>44803.0</v>
      </c>
      <c r="K701" s="1" t="s">
        <v>215</v>
      </c>
      <c r="L701" s="1" t="s">
        <v>160</v>
      </c>
      <c r="M701" s="1" t="s">
        <v>216</v>
      </c>
      <c r="N701" s="1" t="s">
        <v>131</v>
      </c>
      <c r="P701" s="1"/>
      <c r="R701" s="1" t="s">
        <v>137</v>
      </c>
      <c r="S701" s="1" t="s">
        <v>137</v>
      </c>
      <c r="T701" s="1" t="s">
        <v>47</v>
      </c>
      <c r="U701" s="1" t="s">
        <v>4301</v>
      </c>
    </row>
    <row r="702">
      <c r="A702" s="1" t="s">
        <v>10453</v>
      </c>
      <c r="B702" s="1" t="s">
        <v>4293</v>
      </c>
      <c r="C702" s="1" t="s">
        <v>14418</v>
      </c>
      <c r="D702" s="1" t="s">
        <v>1477</v>
      </c>
      <c r="E702" s="1" t="s">
        <v>292</v>
      </c>
      <c r="F702" s="1" t="s">
        <v>494</v>
      </c>
      <c r="G702" s="1" t="s">
        <v>1478</v>
      </c>
      <c r="H702" s="3">
        <v>45240.0</v>
      </c>
      <c r="I702" s="3">
        <v>45376.0</v>
      </c>
      <c r="J702" s="3">
        <v>45376.0</v>
      </c>
      <c r="K702" s="1" t="s">
        <v>215</v>
      </c>
      <c r="L702" s="1" t="s">
        <v>160</v>
      </c>
      <c r="M702" s="1" t="s">
        <v>216</v>
      </c>
      <c r="N702" s="1" t="s">
        <v>131</v>
      </c>
      <c r="P702" s="1"/>
      <c r="R702" s="1" t="s">
        <v>137</v>
      </c>
      <c r="S702" s="1" t="s">
        <v>137</v>
      </c>
      <c r="T702" s="1" t="s">
        <v>47</v>
      </c>
      <c r="U702" s="1" t="s">
        <v>4301</v>
      </c>
    </row>
    <row r="703">
      <c r="A703" s="1" t="s">
        <v>7823</v>
      </c>
      <c r="B703" s="1" t="s">
        <v>4293</v>
      </c>
      <c r="C703" s="1" t="s">
        <v>14420</v>
      </c>
      <c r="D703" s="1" t="s">
        <v>172</v>
      </c>
      <c r="E703" s="1" t="s">
        <v>3379</v>
      </c>
      <c r="F703" s="1" t="s">
        <v>9045</v>
      </c>
      <c r="G703" s="1" t="s">
        <v>9045</v>
      </c>
      <c r="H703" s="3">
        <v>45260.0</v>
      </c>
      <c r="I703" s="3">
        <v>45572.0</v>
      </c>
      <c r="J703" s="3">
        <v>45572.0</v>
      </c>
      <c r="K703" s="1" t="s">
        <v>215</v>
      </c>
      <c r="L703" s="1" t="s">
        <v>160</v>
      </c>
      <c r="M703" s="1" t="s">
        <v>216</v>
      </c>
      <c r="N703" s="1" t="s">
        <v>131</v>
      </c>
      <c r="P703" s="1"/>
      <c r="R703" s="1" t="s">
        <v>137</v>
      </c>
      <c r="S703" s="1" t="s">
        <v>137</v>
      </c>
      <c r="T703" s="1" t="s">
        <v>47</v>
      </c>
      <c r="U703" s="1" t="s">
        <v>4301</v>
      </c>
    </row>
    <row r="704">
      <c r="A704" s="1" t="s">
        <v>3372</v>
      </c>
      <c r="B704" s="1" t="s">
        <v>116</v>
      </c>
      <c r="C704" s="1" t="s">
        <v>3373</v>
      </c>
      <c r="D704" s="1" t="s">
        <v>1469</v>
      </c>
      <c r="E704" s="1" t="s">
        <v>175</v>
      </c>
      <c r="F704" s="1" t="s">
        <v>585</v>
      </c>
      <c r="G704" s="1" t="s">
        <v>1529</v>
      </c>
      <c r="H704" s="3">
        <v>46129.0</v>
      </c>
      <c r="I704" s="3"/>
      <c r="J704" s="3"/>
      <c r="K704" s="1" t="s">
        <v>124</v>
      </c>
      <c r="L704" s="1" t="s">
        <v>71</v>
      </c>
      <c r="M704" s="1" t="s">
        <v>162</v>
      </c>
      <c r="N704" s="1" t="s">
        <v>131</v>
      </c>
      <c r="P704" s="1" t="s">
        <v>485</v>
      </c>
      <c r="R704" s="1" t="s">
        <v>137</v>
      </c>
      <c r="S704" s="1" t="s">
        <v>137</v>
      </c>
      <c r="T704" s="1" t="s">
        <v>47</v>
      </c>
      <c r="U704" s="1"/>
    </row>
    <row r="705">
      <c r="A705" s="1" t="s">
        <v>10421</v>
      </c>
      <c r="B705" s="1" t="s">
        <v>4293</v>
      </c>
      <c r="C705" s="1" t="s">
        <v>14422</v>
      </c>
      <c r="D705" s="1" t="s">
        <v>118</v>
      </c>
      <c r="E705" s="1" t="s">
        <v>330</v>
      </c>
      <c r="F705" s="1" t="s">
        <v>663</v>
      </c>
      <c r="G705" s="1" t="s">
        <v>3889</v>
      </c>
      <c r="H705" s="3">
        <v>44918.0</v>
      </c>
      <c r="I705" s="3">
        <v>45020.0</v>
      </c>
      <c r="J705" s="3">
        <v>45020.0</v>
      </c>
      <c r="K705" s="1" t="s">
        <v>215</v>
      </c>
      <c r="L705" s="1" t="s">
        <v>160</v>
      </c>
      <c r="M705" s="1" t="s">
        <v>216</v>
      </c>
      <c r="N705" s="1" t="s">
        <v>131</v>
      </c>
      <c r="P705" s="1"/>
      <c r="R705" s="1" t="s">
        <v>137</v>
      </c>
      <c r="S705" s="1" t="s">
        <v>137</v>
      </c>
      <c r="T705" s="1" t="s">
        <v>47</v>
      </c>
      <c r="U705" s="1" t="s">
        <v>4301</v>
      </c>
    </row>
    <row r="706">
      <c r="A706" s="1" t="s">
        <v>3382</v>
      </c>
      <c r="B706" s="1" t="s">
        <v>116</v>
      </c>
      <c r="C706" s="1" t="s">
        <v>3383</v>
      </c>
      <c r="D706" s="1" t="s">
        <v>243</v>
      </c>
      <c r="E706" s="1" t="s">
        <v>175</v>
      </c>
      <c r="F706" s="1" t="s">
        <v>1767</v>
      </c>
      <c r="G706" s="1" t="s">
        <v>1768</v>
      </c>
      <c r="H706" s="3">
        <v>46129.0</v>
      </c>
      <c r="I706" s="3">
        <v>46365.0</v>
      </c>
      <c r="J706" s="3"/>
      <c r="K706" s="1" t="s">
        <v>124</v>
      </c>
      <c r="L706" s="1" t="s">
        <v>71</v>
      </c>
      <c r="M706" s="1" t="s">
        <v>335</v>
      </c>
      <c r="N706" s="1" t="s">
        <v>131</v>
      </c>
      <c r="P706" s="1" t="s">
        <v>3384</v>
      </c>
      <c r="R706" s="1" t="s">
        <v>137</v>
      </c>
      <c r="S706" s="1" t="s">
        <v>137</v>
      </c>
      <c r="T706" s="1" t="s">
        <v>47</v>
      </c>
      <c r="U706" s="1" t="s">
        <v>3923</v>
      </c>
    </row>
    <row r="707">
      <c r="A707" s="1" t="s">
        <v>6482</v>
      </c>
      <c r="B707" s="1" t="s">
        <v>4293</v>
      </c>
      <c r="C707" s="1" t="s">
        <v>14425</v>
      </c>
      <c r="D707" s="1" t="s">
        <v>1477</v>
      </c>
      <c r="E707" s="1" t="s">
        <v>175</v>
      </c>
      <c r="F707" s="1" t="s">
        <v>1767</v>
      </c>
      <c r="G707" s="1" t="s">
        <v>1768</v>
      </c>
      <c r="H707" s="3">
        <v>43278.0</v>
      </c>
      <c r="I707" s="3">
        <v>43441.0</v>
      </c>
      <c r="J707" s="3">
        <v>43441.0</v>
      </c>
      <c r="K707" s="1" t="s">
        <v>215</v>
      </c>
      <c r="L707" s="1" t="s">
        <v>160</v>
      </c>
      <c r="M707" s="1" t="s">
        <v>216</v>
      </c>
      <c r="N707" s="1" t="s">
        <v>131</v>
      </c>
      <c r="P707" s="1"/>
      <c r="R707" s="1" t="s">
        <v>137</v>
      </c>
      <c r="S707" s="1" t="s">
        <v>137</v>
      </c>
      <c r="T707" s="1" t="s">
        <v>47</v>
      </c>
      <c r="U707" s="1" t="s">
        <v>4301</v>
      </c>
    </row>
    <row r="708">
      <c r="A708" s="1" t="s">
        <v>10569</v>
      </c>
      <c r="B708" s="1" t="s">
        <v>4293</v>
      </c>
      <c r="C708" s="1" t="s">
        <v>14428</v>
      </c>
      <c r="D708" s="1" t="s">
        <v>1823</v>
      </c>
      <c r="E708" s="1" t="s">
        <v>153</v>
      </c>
      <c r="F708" s="1" t="s">
        <v>274</v>
      </c>
      <c r="G708" s="1" t="s">
        <v>276</v>
      </c>
      <c r="H708" s="3">
        <v>44133.0</v>
      </c>
      <c r="I708" s="3">
        <v>44400.0</v>
      </c>
      <c r="J708" s="3">
        <v>44400.0</v>
      </c>
      <c r="K708" s="1" t="s">
        <v>215</v>
      </c>
      <c r="L708" s="1" t="s">
        <v>160</v>
      </c>
      <c r="M708" s="1" t="s">
        <v>216</v>
      </c>
      <c r="N708" s="1" t="s">
        <v>131</v>
      </c>
      <c r="P708" s="1"/>
      <c r="R708" s="1" t="s">
        <v>137</v>
      </c>
      <c r="S708" s="1" t="s">
        <v>137</v>
      </c>
      <c r="T708" s="1" t="s">
        <v>47</v>
      </c>
      <c r="U708" s="1" t="s">
        <v>4301</v>
      </c>
    </row>
    <row r="709">
      <c r="A709" s="1" t="s">
        <v>7007</v>
      </c>
      <c r="B709" s="1" t="s">
        <v>4293</v>
      </c>
      <c r="C709" s="1" t="s">
        <v>14431</v>
      </c>
      <c r="D709" s="1" t="s">
        <v>152</v>
      </c>
      <c r="E709" s="1" t="s">
        <v>292</v>
      </c>
      <c r="F709" s="1" t="s">
        <v>962</v>
      </c>
      <c r="G709" s="1" t="s">
        <v>963</v>
      </c>
      <c r="H709" s="3">
        <v>44343.0</v>
      </c>
      <c r="I709" s="3">
        <v>44440.0</v>
      </c>
      <c r="J709" s="3">
        <v>44440.0</v>
      </c>
      <c r="K709" s="1" t="s">
        <v>215</v>
      </c>
      <c r="L709" s="1" t="s">
        <v>160</v>
      </c>
      <c r="M709" s="1" t="s">
        <v>216</v>
      </c>
      <c r="N709" s="1" t="s">
        <v>131</v>
      </c>
      <c r="P709" s="1"/>
      <c r="R709" s="1" t="s">
        <v>137</v>
      </c>
      <c r="S709" s="1" t="s">
        <v>137</v>
      </c>
      <c r="T709" s="1" t="s">
        <v>47</v>
      </c>
      <c r="U709" s="1" t="s">
        <v>4301</v>
      </c>
    </row>
    <row r="710">
      <c r="A710" s="1" t="s">
        <v>10348</v>
      </c>
      <c r="B710" s="1" t="s">
        <v>4293</v>
      </c>
      <c r="C710" s="1" t="s">
        <v>14432</v>
      </c>
      <c r="D710" s="1" t="s">
        <v>388</v>
      </c>
      <c r="E710" s="1" t="s">
        <v>292</v>
      </c>
      <c r="F710" s="1" t="s">
        <v>962</v>
      </c>
      <c r="G710" s="1" t="s">
        <v>5046</v>
      </c>
      <c r="H710" s="3">
        <v>45414.0</v>
      </c>
      <c r="I710" s="3">
        <v>45789.0</v>
      </c>
      <c r="J710" s="3">
        <v>45789.0</v>
      </c>
      <c r="K710" s="1" t="s">
        <v>215</v>
      </c>
      <c r="L710" s="1" t="s">
        <v>160</v>
      </c>
      <c r="M710" s="1" t="s">
        <v>216</v>
      </c>
      <c r="N710" s="1" t="s">
        <v>131</v>
      </c>
      <c r="P710" s="1"/>
      <c r="R710" s="1" t="s">
        <v>137</v>
      </c>
      <c r="S710" s="1" t="s">
        <v>137</v>
      </c>
      <c r="T710" s="1" t="s">
        <v>47</v>
      </c>
      <c r="U710" s="1" t="s">
        <v>4301</v>
      </c>
    </row>
    <row r="711">
      <c r="A711" s="1" t="s">
        <v>2073</v>
      </c>
      <c r="B711" s="1" t="s">
        <v>3388</v>
      </c>
      <c r="C711" s="1" t="s">
        <v>3389</v>
      </c>
      <c r="D711" s="1" t="s">
        <v>831</v>
      </c>
      <c r="E711" s="1" t="s">
        <v>292</v>
      </c>
      <c r="F711" s="1" t="s">
        <v>576</v>
      </c>
      <c r="G711" s="1" t="s">
        <v>577</v>
      </c>
      <c r="H711" s="3">
        <v>46097.0</v>
      </c>
      <c r="I711" s="3">
        <v>46310.0</v>
      </c>
      <c r="J711" s="3"/>
      <c r="K711" s="1" t="s">
        <v>124</v>
      </c>
      <c r="L711" s="1" t="s">
        <v>160</v>
      </c>
      <c r="M711" s="1" t="s">
        <v>253</v>
      </c>
      <c r="N711" s="1" t="s">
        <v>131</v>
      </c>
      <c r="P711" s="1" t="s">
        <v>2635</v>
      </c>
      <c r="R711" s="1" t="s">
        <v>137</v>
      </c>
      <c r="S711" s="1" t="s">
        <v>137</v>
      </c>
      <c r="T711" s="1" t="s">
        <v>47</v>
      </c>
      <c r="U711" s="1" t="s">
        <v>3519</v>
      </c>
    </row>
    <row r="712">
      <c r="A712" s="1" t="s">
        <v>8322</v>
      </c>
      <c r="B712" s="1" t="s">
        <v>4293</v>
      </c>
      <c r="C712" s="1" t="s">
        <v>14437</v>
      </c>
      <c r="D712" s="1" t="s">
        <v>2276</v>
      </c>
      <c r="E712" s="1" t="s">
        <v>175</v>
      </c>
      <c r="F712" s="1" t="s">
        <v>763</v>
      </c>
      <c r="G712" s="1" t="s">
        <v>764</v>
      </c>
      <c r="H712" s="3">
        <v>44466.0</v>
      </c>
      <c r="I712" s="3">
        <v>44531.0</v>
      </c>
      <c r="J712" s="3">
        <v>44531.0</v>
      </c>
      <c r="K712" s="1" t="s">
        <v>215</v>
      </c>
      <c r="L712" s="1" t="s">
        <v>160</v>
      </c>
      <c r="M712" s="1" t="s">
        <v>216</v>
      </c>
      <c r="N712" s="1" t="s">
        <v>131</v>
      </c>
      <c r="P712" s="1"/>
      <c r="R712" s="1" t="s">
        <v>137</v>
      </c>
      <c r="S712" s="1" t="s">
        <v>137</v>
      </c>
      <c r="T712" s="1" t="s">
        <v>47</v>
      </c>
      <c r="U712" s="1" t="s">
        <v>4301</v>
      </c>
    </row>
    <row r="713">
      <c r="A713" s="1" t="s">
        <v>7751</v>
      </c>
      <c r="B713" s="1" t="s">
        <v>4293</v>
      </c>
      <c r="C713" s="1" t="s">
        <v>14439</v>
      </c>
      <c r="D713" s="1" t="s">
        <v>1291</v>
      </c>
      <c r="E713" s="1" t="s">
        <v>292</v>
      </c>
      <c r="F713" s="1" t="s">
        <v>494</v>
      </c>
      <c r="G713" s="1" t="s">
        <v>1784</v>
      </c>
      <c r="H713" s="3">
        <v>45419.0</v>
      </c>
      <c r="I713" s="3">
        <v>45567.0</v>
      </c>
      <c r="J713" s="3">
        <v>45567.0</v>
      </c>
      <c r="K713" s="1" t="s">
        <v>215</v>
      </c>
      <c r="L713" s="1" t="s">
        <v>160</v>
      </c>
      <c r="M713" s="1" t="s">
        <v>216</v>
      </c>
      <c r="N713" s="1" t="s">
        <v>131</v>
      </c>
      <c r="P713" s="1"/>
      <c r="R713" s="1" t="s">
        <v>137</v>
      </c>
      <c r="S713" s="1" t="s">
        <v>137</v>
      </c>
      <c r="T713" s="1" t="s">
        <v>47</v>
      </c>
      <c r="U713" s="1" t="s">
        <v>4301</v>
      </c>
    </row>
    <row r="714">
      <c r="A714" s="1" t="s">
        <v>10897</v>
      </c>
      <c r="B714" s="1" t="s">
        <v>4293</v>
      </c>
      <c r="C714" s="1" t="s">
        <v>14442</v>
      </c>
      <c r="D714" s="1" t="s">
        <v>1242</v>
      </c>
      <c r="E714" s="1" t="s">
        <v>292</v>
      </c>
      <c r="F714" s="1" t="s">
        <v>494</v>
      </c>
      <c r="G714" s="1" t="s">
        <v>3632</v>
      </c>
      <c r="H714" s="3">
        <v>43662.0</v>
      </c>
      <c r="I714" s="3">
        <v>43872.0</v>
      </c>
      <c r="J714" s="3">
        <v>43872.0</v>
      </c>
      <c r="K714" s="1" t="s">
        <v>215</v>
      </c>
      <c r="L714" s="1" t="s">
        <v>160</v>
      </c>
      <c r="M714" s="1" t="s">
        <v>216</v>
      </c>
      <c r="N714" s="1" t="s">
        <v>131</v>
      </c>
      <c r="P714" s="1"/>
      <c r="R714" s="1" t="s">
        <v>137</v>
      </c>
      <c r="S714" s="1" t="s">
        <v>137</v>
      </c>
      <c r="T714" s="1" t="s">
        <v>47</v>
      </c>
      <c r="U714" s="1" t="s">
        <v>4301</v>
      </c>
    </row>
    <row r="715">
      <c r="A715" s="1" t="s">
        <v>4896</v>
      </c>
      <c r="B715" s="1" t="s">
        <v>4898</v>
      </c>
      <c r="C715" s="1" t="s">
        <v>14445</v>
      </c>
      <c r="D715" s="1" t="s">
        <v>2347</v>
      </c>
      <c r="E715" s="1" t="s">
        <v>153</v>
      </c>
      <c r="F715" s="1" t="s">
        <v>274</v>
      </c>
      <c r="G715" s="1" t="s">
        <v>276</v>
      </c>
      <c r="H715" s="3">
        <v>46356.0</v>
      </c>
      <c r="I715" s="3">
        <v>46491.0</v>
      </c>
      <c r="J715" s="3"/>
      <c r="K715" s="1" t="s">
        <v>124</v>
      </c>
      <c r="L715" s="1" t="s">
        <v>71</v>
      </c>
      <c r="M715" s="1" t="s">
        <v>129</v>
      </c>
      <c r="N715" s="1" t="s">
        <v>131</v>
      </c>
      <c r="P715" s="1" t="s">
        <v>13857</v>
      </c>
      <c r="R715" s="1" t="s">
        <v>137</v>
      </c>
      <c r="S715" s="1" t="s">
        <v>137</v>
      </c>
      <c r="T715" s="1" t="s">
        <v>47</v>
      </c>
      <c r="U715" s="1" t="s">
        <v>4910</v>
      </c>
    </row>
    <row r="716">
      <c r="A716" s="1" t="s">
        <v>11900</v>
      </c>
      <c r="B716" s="1" t="s">
        <v>4293</v>
      </c>
      <c r="C716" s="1" t="s">
        <v>14446</v>
      </c>
      <c r="D716" s="1" t="s">
        <v>1477</v>
      </c>
      <c r="E716" s="1" t="s">
        <v>153</v>
      </c>
      <c r="F716" s="1" t="s">
        <v>13577</v>
      </c>
      <c r="G716" s="1" t="s">
        <v>13577</v>
      </c>
      <c r="H716" s="3">
        <v>45737.0</v>
      </c>
      <c r="I716" s="3">
        <v>45910.0</v>
      </c>
      <c r="J716" s="3">
        <v>45910.0</v>
      </c>
      <c r="K716" s="1" t="s">
        <v>215</v>
      </c>
      <c r="L716" s="1" t="s">
        <v>160</v>
      </c>
      <c r="M716" s="1" t="s">
        <v>216</v>
      </c>
      <c r="N716" s="1" t="s">
        <v>131</v>
      </c>
      <c r="R716" s="1" t="s">
        <v>137</v>
      </c>
      <c r="S716" s="1" t="s">
        <v>137</v>
      </c>
      <c r="T716" s="1" t="s">
        <v>47</v>
      </c>
      <c r="U716" s="1" t="s">
        <v>4301</v>
      </c>
    </row>
    <row r="717">
      <c r="A717" s="1" t="s">
        <v>6758</v>
      </c>
      <c r="B717" s="1" t="s">
        <v>4293</v>
      </c>
      <c r="C717" s="1" t="s">
        <v>14449</v>
      </c>
      <c r="D717" s="1" t="s">
        <v>313</v>
      </c>
      <c r="E717" s="1" t="s">
        <v>292</v>
      </c>
      <c r="F717" s="1" t="s">
        <v>962</v>
      </c>
      <c r="G717" s="1" t="s">
        <v>4470</v>
      </c>
      <c r="H717" s="3">
        <v>44166.0</v>
      </c>
      <c r="I717" s="3">
        <v>44166.0</v>
      </c>
      <c r="J717" s="3">
        <v>44166.0</v>
      </c>
      <c r="K717" s="1" t="s">
        <v>215</v>
      </c>
      <c r="L717" s="1" t="s">
        <v>160</v>
      </c>
      <c r="M717" s="1" t="s">
        <v>216</v>
      </c>
      <c r="N717" s="1" t="s">
        <v>131</v>
      </c>
      <c r="R717" s="1" t="s">
        <v>137</v>
      </c>
      <c r="S717" s="1" t="s">
        <v>137</v>
      </c>
      <c r="T717" s="1" t="s">
        <v>47</v>
      </c>
      <c r="U717" s="1" t="s">
        <v>4301</v>
      </c>
    </row>
    <row r="718">
      <c r="A718" s="1" t="s">
        <v>10955</v>
      </c>
      <c r="B718" s="1" t="s">
        <v>4293</v>
      </c>
      <c r="C718" s="1" t="s">
        <v>14450</v>
      </c>
      <c r="D718" s="1" t="s">
        <v>1258</v>
      </c>
      <c r="E718" s="1" t="s">
        <v>292</v>
      </c>
      <c r="F718" s="1" t="s">
        <v>962</v>
      </c>
      <c r="G718" s="1" t="s">
        <v>1969</v>
      </c>
      <c r="H718" s="3">
        <v>45190.0</v>
      </c>
      <c r="I718" s="3">
        <v>45427.0</v>
      </c>
      <c r="J718" s="3">
        <v>45427.0</v>
      </c>
      <c r="K718" s="1" t="s">
        <v>215</v>
      </c>
      <c r="L718" s="1" t="s">
        <v>160</v>
      </c>
      <c r="M718" s="1" t="s">
        <v>216</v>
      </c>
      <c r="N718" s="1" t="s">
        <v>131</v>
      </c>
      <c r="R718" s="1" t="s">
        <v>137</v>
      </c>
      <c r="S718" s="1" t="s">
        <v>137</v>
      </c>
      <c r="T718" s="1" t="s">
        <v>47</v>
      </c>
      <c r="U718" s="1" t="s">
        <v>4301</v>
      </c>
    </row>
    <row r="719">
      <c r="A719" s="1" t="s">
        <v>9959</v>
      </c>
      <c r="B719" s="1" t="s">
        <v>4293</v>
      </c>
      <c r="C719" s="1" t="s">
        <v>14453</v>
      </c>
      <c r="D719" s="1" t="s">
        <v>152</v>
      </c>
      <c r="E719" s="1" t="s">
        <v>292</v>
      </c>
      <c r="F719" s="1" t="s">
        <v>494</v>
      </c>
      <c r="G719" s="1" t="s">
        <v>1784</v>
      </c>
      <c r="H719" s="3">
        <v>44642.0</v>
      </c>
      <c r="I719" s="3">
        <v>44782.0</v>
      </c>
      <c r="J719" s="3">
        <v>44782.0</v>
      </c>
      <c r="K719" s="1" t="s">
        <v>215</v>
      </c>
      <c r="L719" s="1" t="s">
        <v>160</v>
      </c>
      <c r="M719" s="1" t="s">
        <v>216</v>
      </c>
      <c r="N719" s="1" t="s">
        <v>131</v>
      </c>
      <c r="R719" s="1" t="s">
        <v>137</v>
      </c>
      <c r="S719" s="1" t="s">
        <v>137</v>
      </c>
      <c r="T719" s="1" t="s">
        <v>47</v>
      </c>
      <c r="U719" s="1" t="s">
        <v>4301</v>
      </c>
    </row>
    <row r="720">
      <c r="A720" s="1" t="s">
        <v>11085</v>
      </c>
      <c r="B720" s="1" t="s">
        <v>4293</v>
      </c>
      <c r="C720" s="1" t="s">
        <v>14455</v>
      </c>
      <c r="D720" s="1" t="s">
        <v>152</v>
      </c>
      <c r="E720" s="1"/>
      <c r="F720" s="1"/>
      <c r="G720" s="1"/>
      <c r="H720" s="3">
        <v>43742.0</v>
      </c>
      <c r="I720" s="3">
        <v>43787.0</v>
      </c>
      <c r="J720" s="3">
        <v>43787.0</v>
      </c>
      <c r="K720" s="1" t="s">
        <v>215</v>
      </c>
      <c r="L720" s="1" t="s">
        <v>160</v>
      </c>
      <c r="M720" s="1" t="s">
        <v>216</v>
      </c>
      <c r="N720" s="1" t="s">
        <v>131</v>
      </c>
      <c r="R720" s="1" t="s">
        <v>137</v>
      </c>
      <c r="S720" s="1" t="s">
        <v>137</v>
      </c>
      <c r="T720" s="1" t="s">
        <v>47</v>
      </c>
      <c r="U720" s="1" t="s">
        <v>4301</v>
      </c>
    </row>
    <row r="721">
      <c r="A721" s="1" t="s">
        <v>9666</v>
      </c>
      <c r="B721" s="1" t="s">
        <v>4293</v>
      </c>
      <c r="C721" s="1" t="s">
        <v>14457</v>
      </c>
      <c r="D721" s="1" t="s">
        <v>172</v>
      </c>
      <c r="E721" s="1" t="s">
        <v>175</v>
      </c>
      <c r="F721" s="1" t="s">
        <v>3592</v>
      </c>
      <c r="G721" s="1" t="s">
        <v>11601</v>
      </c>
      <c r="H721" s="3">
        <v>45423.0</v>
      </c>
      <c r="I721" s="3">
        <v>45715.0</v>
      </c>
      <c r="J721" s="3">
        <v>45715.0</v>
      </c>
      <c r="K721" s="1" t="s">
        <v>215</v>
      </c>
      <c r="L721" s="1" t="s">
        <v>160</v>
      </c>
      <c r="M721" s="1" t="s">
        <v>216</v>
      </c>
      <c r="N721" s="1" t="s">
        <v>131</v>
      </c>
      <c r="R721" s="1" t="s">
        <v>137</v>
      </c>
      <c r="S721" s="1" t="s">
        <v>137</v>
      </c>
      <c r="T721" s="1" t="s">
        <v>47</v>
      </c>
      <c r="U721" s="1" t="s">
        <v>4301</v>
      </c>
    </row>
    <row r="722">
      <c r="A722" s="1" t="s">
        <v>14024</v>
      </c>
      <c r="B722" s="1" t="s">
        <v>4293</v>
      </c>
      <c r="C722" s="1" t="s">
        <v>14460</v>
      </c>
      <c r="D722" s="1" t="s">
        <v>960</v>
      </c>
      <c r="E722" s="1" t="s">
        <v>175</v>
      </c>
      <c r="F722" s="1" t="s">
        <v>1767</v>
      </c>
      <c r="G722" s="1" t="s">
        <v>3430</v>
      </c>
      <c r="H722" s="3">
        <v>44799.0</v>
      </c>
      <c r="I722" s="3"/>
      <c r="J722" s="3"/>
      <c r="K722" s="1" t="s">
        <v>124</v>
      </c>
      <c r="L722" s="1" t="s">
        <v>160</v>
      </c>
      <c r="M722" s="1" t="s">
        <v>253</v>
      </c>
      <c r="N722" s="1" t="s">
        <v>131</v>
      </c>
      <c r="R722" s="1" t="s">
        <v>137</v>
      </c>
      <c r="S722" s="1" t="s">
        <v>137</v>
      </c>
      <c r="T722" s="1" t="s">
        <v>47</v>
      </c>
      <c r="U722" s="1" t="s">
        <v>4301</v>
      </c>
    </row>
    <row r="723">
      <c r="A723" s="1" t="s">
        <v>12764</v>
      </c>
      <c r="B723" s="1" t="s">
        <v>4293</v>
      </c>
      <c r="C723" s="1" t="s">
        <v>14462</v>
      </c>
      <c r="D723" s="1" t="s">
        <v>1776</v>
      </c>
      <c r="E723" s="1" t="s">
        <v>119</v>
      </c>
      <c r="F723" s="1" t="s">
        <v>389</v>
      </c>
      <c r="G723" s="1" t="s">
        <v>389</v>
      </c>
      <c r="H723" s="3">
        <v>43434.0</v>
      </c>
      <c r="I723" s="3">
        <v>43551.0</v>
      </c>
      <c r="J723" s="3">
        <v>43551.0</v>
      </c>
      <c r="K723" s="1" t="s">
        <v>215</v>
      </c>
      <c r="L723" s="1" t="s">
        <v>160</v>
      </c>
      <c r="M723" s="1" t="s">
        <v>216</v>
      </c>
      <c r="N723" s="1" t="s">
        <v>131</v>
      </c>
      <c r="P723" s="1"/>
      <c r="R723" s="1" t="s">
        <v>137</v>
      </c>
      <c r="S723" s="1" t="s">
        <v>137</v>
      </c>
      <c r="T723" s="1" t="s">
        <v>47</v>
      </c>
      <c r="U723" s="1" t="s">
        <v>4301</v>
      </c>
    </row>
    <row r="724">
      <c r="A724" s="1" t="s">
        <v>7289</v>
      </c>
      <c r="B724" s="1" t="s">
        <v>4293</v>
      </c>
      <c r="C724" s="1" t="s">
        <v>14465</v>
      </c>
      <c r="D724" s="1" t="s">
        <v>518</v>
      </c>
      <c r="E724" s="1" t="s">
        <v>520</v>
      </c>
      <c r="F724" s="1" t="s">
        <v>522</v>
      </c>
      <c r="G724" s="1" t="s">
        <v>6067</v>
      </c>
      <c r="H724" s="3">
        <v>44560.0</v>
      </c>
      <c r="I724" s="3">
        <v>43861.0</v>
      </c>
      <c r="J724" s="3">
        <v>43861.0</v>
      </c>
      <c r="K724" s="1" t="s">
        <v>215</v>
      </c>
      <c r="L724" s="1" t="s">
        <v>160</v>
      </c>
      <c r="M724" s="1" t="s">
        <v>216</v>
      </c>
      <c r="N724" s="1" t="s">
        <v>131</v>
      </c>
      <c r="P724" s="1"/>
      <c r="R724" s="1" t="s">
        <v>137</v>
      </c>
      <c r="S724" s="1" t="s">
        <v>137</v>
      </c>
      <c r="T724" s="1" t="s">
        <v>47</v>
      </c>
      <c r="U724" s="1" t="s">
        <v>4301</v>
      </c>
    </row>
    <row r="725">
      <c r="A725" s="1" t="s">
        <v>8503</v>
      </c>
      <c r="B725" s="1" t="s">
        <v>4293</v>
      </c>
      <c r="C725" s="1" t="s">
        <v>14466</v>
      </c>
      <c r="D725" s="1" t="s">
        <v>313</v>
      </c>
      <c r="E725" s="1" t="s">
        <v>175</v>
      </c>
      <c r="F725" s="1" t="s">
        <v>569</v>
      </c>
      <c r="G725" s="1" t="s">
        <v>1842</v>
      </c>
      <c r="H725" s="3">
        <v>45790.0</v>
      </c>
      <c r="I725" s="3">
        <v>46042.0</v>
      </c>
      <c r="J725" s="3">
        <v>46042.0</v>
      </c>
      <c r="K725" s="1" t="s">
        <v>215</v>
      </c>
      <c r="L725" s="1" t="s">
        <v>160</v>
      </c>
      <c r="M725" s="1" t="s">
        <v>216</v>
      </c>
      <c r="N725" s="1" t="s">
        <v>131</v>
      </c>
      <c r="R725" s="1" t="s">
        <v>137</v>
      </c>
      <c r="S725" s="1" t="s">
        <v>137</v>
      </c>
      <c r="T725" s="1" t="s">
        <v>47</v>
      </c>
      <c r="U725" s="1" t="s">
        <v>4301</v>
      </c>
    </row>
    <row r="726">
      <c r="A726" s="1" t="s">
        <v>10671</v>
      </c>
      <c r="B726" s="1" t="s">
        <v>4293</v>
      </c>
      <c r="C726" s="1" t="s">
        <v>14468</v>
      </c>
      <c r="D726" s="1" t="s">
        <v>509</v>
      </c>
      <c r="E726" s="1" t="s">
        <v>454</v>
      </c>
      <c r="F726" s="1" t="s">
        <v>6808</v>
      </c>
      <c r="G726" s="1" t="s">
        <v>6809</v>
      </c>
      <c r="H726" s="3">
        <v>44314.0</v>
      </c>
      <c r="I726" s="3">
        <v>44376.0</v>
      </c>
      <c r="J726" s="3">
        <v>44376.0</v>
      </c>
      <c r="K726" s="1" t="s">
        <v>215</v>
      </c>
      <c r="L726" s="1" t="s">
        <v>160</v>
      </c>
      <c r="M726" s="1" t="s">
        <v>216</v>
      </c>
      <c r="N726" s="1" t="s">
        <v>131</v>
      </c>
      <c r="P726" s="1"/>
      <c r="R726" s="1" t="s">
        <v>137</v>
      </c>
      <c r="S726" s="1" t="s">
        <v>137</v>
      </c>
      <c r="T726" s="1" t="s">
        <v>47</v>
      </c>
      <c r="U726" s="1" t="s">
        <v>4301</v>
      </c>
    </row>
    <row r="727">
      <c r="A727" s="1" t="s">
        <v>10560</v>
      </c>
      <c r="B727" s="1" t="s">
        <v>4293</v>
      </c>
      <c r="C727" s="1" t="s">
        <v>14469</v>
      </c>
      <c r="D727" s="1" t="s">
        <v>518</v>
      </c>
      <c r="E727" s="1" t="s">
        <v>520</v>
      </c>
      <c r="F727" s="1" t="s">
        <v>522</v>
      </c>
      <c r="G727" s="1" t="s">
        <v>6067</v>
      </c>
      <c r="H727" s="3">
        <v>44297.0</v>
      </c>
      <c r="I727" s="3">
        <v>44297.0</v>
      </c>
      <c r="J727" s="3">
        <v>44297.0</v>
      </c>
      <c r="K727" s="1" t="s">
        <v>215</v>
      </c>
      <c r="L727" s="1" t="s">
        <v>160</v>
      </c>
      <c r="M727" s="1" t="s">
        <v>216</v>
      </c>
      <c r="N727" s="1" t="s">
        <v>131</v>
      </c>
      <c r="R727" s="1" t="s">
        <v>137</v>
      </c>
      <c r="S727" s="1" t="s">
        <v>137</v>
      </c>
      <c r="T727" s="1" t="s">
        <v>47</v>
      </c>
      <c r="U727" s="1" t="s">
        <v>4301</v>
      </c>
    </row>
    <row r="728">
      <c r="A728" s="1" t="s">
        <v>11577</v>
      </c>
      <c r="B728" s="1" t="s">
        <v>4293</v>
      </c>
      <c r="C728" s="1" t="s">
        <v>14472</v>
      </c>
      <c r="D728" s="1" t="s">
        <v>273</v>
      </c>
      <c r="E728" s="1" t="s">
        <v>330</v>
      </c>
      <c r="F728" s="1" t="s">
        <v>356</v>
      </c>
      <c r="G728" s="1" t="s">
        <v>359</v>
      </c>
      <c r="H728" s="3">
        <v>44974.0</v>
      </c>
      <c r="I728" s="3">
        <v>45369.0</v>
      </c>
      <c r="J728" s="3">
        <v>45369.0</v>
      </c>
      <c r="K728" s="1" t="s">
        <v>215</v>
      </c>
      <c r="L728" s="1" t="s">
        <v>160</v>
      </c>
      <c r="M728" s="1" t="s">
        <v>216</v>
      </c>
      <c r="N728" s="1" t="s">
        <v>131</v>
      </c>
      <c r="P728" s="1"/>
      <c r="R728" s="1" t="s">
        <v>137</v>
      </c>
      <c r="S728" s="1" t="s">
        <v>137</v>
      </c>
      <c r="T728" s="1" t="s">
        <v>47</v>
      </c>
      <c r="U728" s="1" t="s">
        <v>4301</v>
      </c>
    </row>
    <row r="729">
      <c r="A729" s="1" t="s">
        <v>8564</v>
      </c>
      <c r="B729" s="1" t="s">
        <v>4293</v>
      </c>
      <c r="C729" s="1" t="s">
        <v>14473</v>
      </c>
      <c r="D729" s="1" t="s">
        <v>1469</v>
      </c>
      <c r="E729" s="1" t="s">
        <v>292</v>
      </c>
      <c r="F729" s="1" t="s">
        <v>576</v>
      </c>
      <c r="G729" s="1" t="s">
        <v>2297</v>
      </c>
      <c r="H729" s="3">
        <v>44915.0</v>
      </c>
      <c r="I729" s="3">
        <v>45148.0</v>
      </c>
      <c r="J729" s="3">
        <v>45148.0</v>
      </c>
      <c r="K729" s="1" t="s">
        <v>215</v>
      </c>
      <c r="L729" s="1" t="s">
        <v>160</v>
      </c>
      <c r="M729" s="1" t="s">
        <v>216</v>
      </c>
      <c r="N729" s="1" t="s">
        <v>131</v>
      </c>
      <c r="P729" s="1"/>
      <c r="R729" s="1" t="s">
        <v>137</v>
      </c>
      <c r="S729" s="1" t="s">
        <v>137</v>
      </c>
      <c r="T729" s="1" t="s">
        <v>47</v>
      </c>
      <c r="U729" s="1" t="s">
        <v>4301</v>
      </c>
    </row>
    <row r="730">
      <c r="A730" s="1" t="s">
        <v>9638</v>
      </c>
      <c r="B730" s="1" t="s">
        <v>4293</v>
      </c>
      <c r="C730" s="1" t="s">
        <v>14476</v>
      </c>
      <c r="D730" s="1" t="s">
        <v>593</v>
      </c>
      <c r="E730" s="1" t="s">
        <v>175</v>
      </c>
      <c r="F730" s="1" t="s">
        <v>763</v>
      </c>
      <c r="G730" s="1" t="s">
        <v>764</v>
      </c>
      <c r="H730" s="3">
        <v>44729.0</v>
      </c>
      <c r="I730" s="3">
        <v>44827.0</v>
      </c>
      <c r="J730" s="3">
        <v>44827.0</v>
      </c>
      <c r="K730" s="1" t="s">
        <v>215</v>
      </c>
      <c r="L730" s="1" t="s">
        <v>160</v>
      </c>
      <c r="M730" s="1" t="s">
        <v>216</v>
      </c>
      <c r="N730" s="1" t="s">
        <v>131</v>
      </c>
      <c r="P730" s="1"/>
      <c r="R730" s="1" t="s">
        <v>137</v>
      </c>
      <c r="S730" s="1" t="s">
        <v>137</v>
      </c>
      <c r="T730" s="1" t="s">
        <v>47</v>
      </c>
      <c r="U730" s="1" t="s">
        <v>4301</v>
      </c>
    </row>
    <row r="731">
      <c r="A731" s="1" t="s">
        <v>10713</v>
      </c>
      <c r="B731" s="1" t="s">
        <v>4293</v>
      </c>
      <c r="C731" s="1" t="s">
        <v>14477</v>
      </c>
      <c r="D731" s="1" t="s">
        <v>313</v>
      </c>
      <c r="E731" s="1" t="s">
        <v>175</v>
      </c>
      <c r="F731" s="1" t="s">
        <v>1767</v>
      </c>
      <c r="G731" s="1" t="s">
        <v>2199</v>
      </c>
      <c r="H731" s="3">
        <v>44314.0</v>
      </c>
      <c r="I731" s="3">
        <v>44241.0</v>
      </c>
      <c r="J731" s="3">
        <v>44241.0</v>
      </c>
      <c r="K731" s="1" t="s">
        <v>215</v>
      </c>
      <c r="L731" s="1" t="s">
        <v>160</v>
      </c>
      <c r="M731" s="1" t="s">
        <v>216</v>
      </c>
      <c r="N731" s="1" t="s">
        <v>131</v>
      </c>
      <c r="P731" s="1"/>
      <c r="R731" s="1" t="s">
        <v>137</v>
      </c>
      <c r="S731" s="1" t="s">
        <v>137</v>
      </c>
      <c r="T731" s="1" t="s">
        <v>47</v>
      </c>
      <c r="U731" s="1" t="s">
        <v>4301</v>
      </c>
    </row>
    <row r="732">
      <c r="A732" s="1" t="s">
        <v>3413</v>
      </c>
      <c r="B732" s="1" t="s">
        <v>3246</v>
      </c>
      <c r="C732" s="1" t="s">
        <v>3414</v>
      </c>
      <c r="D732" s="1" t="s">
        <v>291</v>
      </c>
      <c r="E732" s="1" t="s">
        <v>175</v>
      </c>
      <c r="F732" s="1" t="s">
        <v>177</v>
      </c>
      <c r="G732" s="1" t="s">
        <v>672</v>
      </c>
      <c r="H732" s="3">
        <v>46209.0</v>
      </c>
      <c r="I732" s="3">
        <v>46349.0</v>
      </c>
      <c r="J732" s="3"/>
      <c r="K732" s="1" t="s">
        <v>124</v>
      </c>
      <c r="L732" s="1" t="s">
        <v>160</v>
      </c>
      <c r="M732" s="1" t="s">
        <v>162</v>
      </c>
      <c r="N732" s="1" t="s">
        <v>131</v>
      </c>
      <c r="P732" s="1" t="s">
        <v>726</v>
      </c>
      <c r="R732" s="1" t="s">
        <v>137</v>
      </c>
      <c r="S732" s="1" t="s">
        <v>137</v>
      </c>
      <c r="T732" s="1" t="s">
        <v>47</v>
      </c>
      <c r="U732" s="1" t="s">
        <v>3416</v>
      </c>
    </row>
    <row r="733">
      <c r="A733" s="1" t="s">
        <v>12507</v>
      </c>
      <c r="B733" s="1" t="s">
        <v>4293</v>
      </c>
      <c r="C733" s="1" t="s">
        <v>14481</v>
      </c>
      <c r="D733" s="1" t="s">
        <v>172</v>
      </c>
      <c r="E733" s="1" t="s">
        <v>175</v>
      </c>
      <c r="F733" s="1" t="s">
        <v>763</v>
      </c>
      <c r="G733" s="1" t="s">
        <v>3768</v>
      </c>
      <c r="H733" s="3">
        <v>44197.0</v>
      </c>
      <c r="I733" s="3">
        <v>44197.0</v>
      </c>
      <c r="J733" s="3">
        <v>44197.0</v>
      </c>
      <c r="K733" s="1" t="s">
        <v>215</v>
      </c>
      <c r="L733" s="1" t="s">
        <v>160</v>
      </c>
      <c r="M733" s="1" t="s">
        <v>216</v>
      </c>
      <c r="N733" s="1" t="s">
        <v>131</v>
      </c>
      <c r="P733" s="1"/>
      <c r="R733" s="1" t="s">
        <v>137</v>
      </c>
      <c r="S733" s="1" t="s">
        <v>137</v>
      </c>
      <c r="T733" s="1" t="s">
        <v>47</v>
      </c>
      <c r="U733" s="1" t="s">
        <v>4301</v>
      </c>
    </row>
    <row r="734">
      <c r="A734" s="1" t="s">
        <v>10539</v>
      </c>
      <c r="B734" s="1" t="s">
        <v>4293</v>
      </c>
      <c r="C734" s="1" t="s">
        <v>14483</v>
      </c>
      <c r="D734" s="1" t="s">
        <v>593</v>
      </c>
      <c r="E734" s="1" t="s">
        <v>153</v>
      </c>
      <c r="F734" s="1" t="s">
        <v>274</v>
      </c>
      <c r="G734" s="1" t="s">
        <v>276</v>
      </c>
      <c r="H734" s="3">
        <v>45929.0</v>
      </c>
      <c r="I734" s="3"/>
      <c r="J734" s="3"/>
      <c r="K734" s="1" t="s">
        <v>124</v>
      </c>
      <c r="L734" s="1" t="s">
        <v>160</v>
      </c>
      <c r="M734" s="1" t="s">
        <v>253</v>
      </c>
      <c r="N734" s="1" t="s">
        <v>131</v>
      </c>
      <c r="P734" s="1"/>
      <c r="R734" s="1" t="s">
        <v>137</v>
      </c>
      <c r="S734" s="1" t="s">
        <v>137</v>
      </c>
      <c r="T734" s="1" t="s">
        <v>47</v>
      </c>
      <c r="U734" s="1" t="s">
        <v>4301</v>
      </c>
    </row>
    <row r="735">
      <c r="A735" s="1" t="s">
        <v>11228</v>
      </c>
      <c r="B735" s="1" t="s">
        <v>4293</v>
      </c>
      <c r="C735" s="1" t="s">
        <v>14485</v>
      </c>
      <c r="D735" s="1" t="s">
        <v>548</v>
      </c>
      <c r="E735" s="1" t="s">
        <v>520</v>
      </c>
      <c r="F735" s="1" t="s">
        <v>522</v>
      </c>
      <c r="G735" s="1" t="s">
        <v>550</v>
      </c>
      <c r="H735" s="3">
        <v>44378.0</v>
      </c>
      <c r="I735" s="3">
        <v>44378.0</v>
      </c>
      <c r="J735" s="3">
        <v>44378.0</v>
      </c>
      <c r="K735" s="1" t="s">
        <v>215</v>
      </c>
      <c r="L735" s="1" t="s">
        <v>160</v>
      </c>
      <c r="M735" s="1" t="s">
        <v>216</v>
      </c>
      <c r="N735" s="1" t="s">
        <v>131</v>
      </c>
      <c r="P735" s="1"/>
      <c r="R735" s="1" t="s">
        <v>137</v>
      </c>
      <c r="S735" s="1" t="s">
        <v>137</v>
      </c>
      <c r="T735" s="1" t="s">
        <v>47</v>
      </c>
      <c r="U735" s="1" t="s">
        <v>4301</v>
      </c>
    </row>
    <row r="736">
      <c r="A736" s="1" t="s">
        <v>12703</v>
      </c>
      <c r="B736" s="1" t="s">
        <v>4293</v>
      </c>
      <c r="C736" s="1" t="s">
        <v>14487</v>
      </c>
      <c r="D736" s="1" t="s">
        <v>593</v>
      </c>
      <c r="E736" s="1" t="s">
        <v>175</v>
      </c>
      <c r="F736" s="1" t="s">
        <v>763</v>
      </c>
      <c r="G736" s="1" t="s">
        <v>1825</v>
      </c>
      <c r="H736" s="3">
        <v>44949.0</v>
      </c>
      <c r="I736" s="3">
        <v>44998.0</v>
      </c>
      <c r="J736" s="3">
        <v>44998.0</v>
      </c>
      <c r="K736" s="1" t="s">
        <v>215</v>
      </c>
      <c r="L736" s="1" t="s">
        <v>160</v>
      </c>
      <c r="M736" s="1" t="s">
        <v>216</v>
      </c>
      <c r="N736" s="1" t="s">
        <v>131</v>
      </c>
      <c r="P736" s="1"/>
      <c r="R736" s="1" t="s">
        <v>137</v>
      </c>
      <c r="S736" s="1" t="s">
        <v>137</v>
      </c>
      <c r="T736" s="1" t="s">
        <v>47</v>
      </c>
      <c r="U736" s="1" t="s">
        <v>4301</v>
      </c>
    </row>
    <row r="737">
      <c r="A737" s="1" t="s">
        <v>8606</v>
      </c>
      <c r="B737" s="1" t="s">
        <v>4293</v>
      </c>
      <c r="C737" s="1" t="s">
        <v>14489</v>
      </c>
      <c r="D737" s="1" t="s">
        <v>2198</v>
      </c>
      <c r="E737" s="1" t="s">
        <v>889</v>
      </c>
      <c r="F737" s="1" t="s">
        <v>2385</v>
      </c>
      <c r="G737" s="1" t="s">
        <v>3613</v>
      </c>
      <c r="H737" s="3">
        <v>43363.0</v>
      </c>
      <c r="I737" s="3">
        <v>43440.0</v>
      </c>
      <c r="J737" s="3">
        <v>43440.0</v>
      </c>
      <c r="K737" s="1" t="s">
        <v>215</v>
      </c>
      <c r="L737" s="1" t="s">
        <v>160</v>
      </c>
      <c r="M737" s="1" t="s">
        <v>216</v>
      </c>
      <c r="N737" s="1" t="s">
        <v>131</v>
      </c>
      <c r="P737" s="1"/>
      <c r="R737" s="1" t="s">
        <v>137</v>
      </c>
      <c r="S737" s="1" t="s">
        <v>137</v>
      </c>
      <c r="T737" s="1" t="s">
        <v>47</v>
      </c>
      <c r="U737" s="1" t="s">
        <v>4301</v>
      </c>
    </row>
    <row r="738">
      <c r="A738" s="1" t="s">
        <v>10370</v>
      </c>
      <c r="B738" s="1" t="s">
        <v>4293</v>
      </c>
      <c r="C738" s="1" t="s">
        <v>14491</v>
      </c>
      <c r="D738" s="1" t="s">
        <v>593</v>
      </c>
      <c r="E738" s="1" t="s">
        <v>330</v>
      </c>
      <c r="F738" s="1" t="s">
        <v>663</v>
      </c>
      <c r="G738" s="1" t="s">
        <v>3576</v>
      </c>
      <c r="H738" s="3">
        <v>45818.0</v>
      </c>
      <c r="I738" s="3">
        <v>46020.0</v>
      </c>
      <c r="J738" s="3">
        <v>46020.0</v>
      </c>
      <c r="K738" s="1" t="s">
        <v>215</v>
      </c>
      <c r="L738" s="1" t="s">
        <v>160</v>
      </c>
      <c r="M738" s="1" t="s">
        <v>216</v>
      </c>
      <c r="N738" s="1" t="s">
        <v>131</v>
      </c>
      <c r="P738" s="1"/>
      <c r="R738" s="1" t="s">
        <v>137</v>
      </c>
      <c r="S738" s="1" t="s">
        <v>137</v>
      </c>
      <c r="T738" s="1" t="s">
        <v>47</v>
      </c>
      <c r="U738" s="1" t="s">
        <v>4301</v>
      </c>
    </row>
    <row r="739">
      <c r="A739" s="1" t="s">
        <v>9551</v>
      </c>
      <c r="B739" s="1" t="s">
        <v>4293</v>
      </c>
      <c r="C739" s="1" t="s">
        <v>14494</v>
      </c>
      <c r="D739" s="1" t="s">
        <v>243</v>
      </c>
      <c r="E739" s="1" t="s">
        <v>292</v>
      </c>
      <c r="F739" s="1" t="s">
        <v>494</v>
      </c>
      <c r="G739" s="1" t="s">
        <v>2278</v>
      </c>
      <c r="H739" s="3">
        <v>43362.0</v>
      </c>
      <c r="I739" s="3">
        <v>43593.0</v>
      </c>
      <c r="J739" s="3">
        <v>43593.0</v>
      </c>
      <c r="K739" s="1" t="s">
        <v>215</v>
      </c>
      <c r="L739" s="1" t="s">
        <v>160</v>
      </c>
      <c r="M739" s="1" t="s">
        <v>216</v>
      </c>
      <c r="N739" s="1" t="s">
        <v>131</v>
      </c>
      <c r="P739" s="1"/>
      <c r="R739" s="1" t="s">
        <v>137</v>
      </c>
      <c r="S739" s="1" t="s">
        <v>137</v>
      </c>
      <c r="T739" s="1" t="s">
        <v>47</v>
      </c>
      <c r="U739" s="1" t="s">
        <v>4301</v>
      </c>
    </row>
    <row r="740">
      <c r="A740" s="1" t="s">
        <v>3475</v>
      </c>
      <c r="B740" s="1" t="s">
        <v>116</v>
      </c>
      <c r="C740" s="1" t="s">
        <v>3476</v>
      </c>
      <c r="D740" s="1" t="s">
        <v>172</v>
      </c>
      <c r="E740" s="1" t="s">
        <v>175</v>
      </c>
      <c r="F740" s="1" t="s">
        <v>177</v>
      </c>
      <c r="G740" s="1" t="s">
        <v>483</v>
      </c>
      <c r="H740" s="3">
        <v>46129.0</v>
      </c>
      <c r="I740" s="3"/>
      <c r="J740" s="3"/>
      <c r="K740" s="1" t="s">
        <v>124</v>
      </c>
      <c r="L740" s="1" t="s">
        <v>71</v>
      </c>
      <c r="M740" s="1" t="s">
        <v>162</v>
      </c>
      <c r="N740" s="1" t="s">
        <v>131</v>
      </c>
      <c r="P740" s="1" t="s">
        <v>3478</v>
      </c>
      <c r="R740" s="1" t="s">
        <v>137</v>
      </c>
      <c r="S740" s="1" t="s">
        <v>137</v>
      </c>
      <c r="T740" s="1" t="s">
        <v>47</v>
      </c>
      <c r="U740" s="1"/>
    </row>
    <row r="741">
      <c r="A741" s="1" t="s">
        <v>3479</v>
      </c>
      <c r="B741" s="1" t="s">
        <v>116</v>
      </c>
      <c r="C741" s="1" t="s">
        <v>3476</v>
      </c>
      <c r="D741" s="1" t="s">
        <v>172</v>
      </c>
      <c r="E741" s="1" t="s">
        <v>175</v>
      </c>
      <c r="F741" s="1" t="s">
        <v>177</v>
      </c>
      <c r="G741" s="1" t="s">
        <v>483</v>
      </c>
      <c r="H741" s="3">
        <v>46230.0</v>
      </c>
      <c r="I741" s="3"/>
      <c r="J741" s="3"/>
      <c r="K741" s="1" t="s">
        <v>124</v>
      </c>
      <c r="L741" s="1" t="s">
        <v>160</v>
      </c>
      <c r="M741" s="1" t="s">
        <v>162</v>
      </c>
      <c r="N741" s="1" t="s">
        <v>131</v>
      </c>
      <c r="P741" s="1" t="s">
        <v>3478</v>
      </c>
      <c r="R741" s="1" t="s">
        <v>137</v>
      </c>
      <c r="S741" s="1" t="s">
        <v>137</v>
      </c>
      <c r="T741" s="1" t="s">
        <v>47</v>
      </c>
      <c r="U741" s="1"/>
    </row>
    <row r="742">
      <c r="A742" s="1" t="s">
        <v>7083</v>
      </c>
      <c r="B742" s="1" t="s">
        <v>4293</v>
      </c>
      <c r="C742" s="1" t="s">
        <v>14499</v>
      </c>
      <c r="D742" s="1" t="s">
        <v>593</v>
      </c>
      <c r="E742" s="1" t="s">
        <v>119</v>
      </c>
      <c r="F742" s="1" t="s">
        <v>120</v>
      </c>
      <c r="G742" s="1" t="s">
        <v>120</v>
      </c>
      <c r="H742" s="3">
        <v>44292.0</v>
      </c>
      <c r="I742" s="3">
        <v>44470.0</v>
      </c>
      <c r="J742" s="3">
        <v>44470.0</v>
      </c>
      <c r="K742" s="1" t="s">
        <v>215</v>
      </c>
      <c r="L742" s="1" t="s">
        <v>160</v>
      </c>
      <c r="M742" s="1" t="s">
        <v>216</v>
      </c>
      <c r="N742" s="1" t="s">
        <v>131</v>
      </c>
      <c r="R742" s="1" t="s">
        <v>137</v>
      </c>
      <c r="S742" s="1" t="s">
        <v>137</v>
      </c>
      <c r="T742" s="1" t="s">
        <v>47</v>
      </c>
      <c r="U742" s="1" t="s">
        <v>4301</v>
      </c>
    </row>
    <row r="743">
      <c r="A743" s="1" t="s">
        <v>10416</v>
      </c>
      <c r="B743" s="1" t="s">
        <v>4293</v>
      </c>
      <c r="C743" s="1" t="s">
        <v>14502</v>
      </c>
      <c r="D743" s="1" t="s">
        <v>273</v>
      </c>
      <c r="E743" s="1" t="s">
        <v>330</v>
      </c>
      <c r="F743" s="1" t="s">
        <v>663</v>
      </c>
      <c r="G743" s="1" t="s">
        <v>664</v>
      </c>
      <c r="H743" s="3">
        <v>44321.0</v>
      </c>
      <c r="I743" s="3">
        <v>44531.0</v>
      </c>
      <c r="J743" s="3">
        <v>44531.0</v>
      </c>
      <c r="K743" s="1" t="s">
        <v>215</v>
      </c>
      <c r="L743" s="1" t="s">
        <v>160</v>
      </c>
      <c r="M743" s="1" t="s">
        <v>216</v>
      </c>
      <c r="N743" s="1" t="s">
        <v>131</v>
      </c>
      <c r="R743" s="1" t="s">
        <v>137</v>
      </c>
      <c r="S743" s="1" t="s">
        <v>137</v>
      </c>
      <c r="T743" s="1" t="s">
        <v>47</v>
      </c>
      <c r="U743" s="1" t="s">
        <v>4301</v>
      </c>
    </row>
    <row r="744">
      <c r="A744" s="1" t="s">
        <v>8596</v>
      </c>
      <c r="B744" s="1" t="s">
        <v>4293</v>
      </c>
      <c r="C744" s="1" t="s">
        <v>14505</v>
      </c>
      <c r="D744" s="1" t="s">
        <v>273</v>
      </c>
      <c r="E744" s="1" t="s">
        <v>330</v>
      </c>
      <c r="F744" s="1" t="s">
        <v>356</v>
      </c>
      <c r="G744" s="1" t="s">
        <v>875</v>
      </c>
      <c r="H744" s="3">
        <v>44712.0</v>
      </c>
      <c r="I744" s="3">
        <v>44756.0</v>
      </c>
      <c r="J744" s="3">
        <v>44756.0</v>
      </c>
      <c r="K744" s="1" t="s">
        <v>215</v>
      </c>
      <c r="L744" s="1" t="s">
        <v>160</v>
      </c>
      <c r="M744" s="1" t="s">
        <v>216</v>
      </c>
      <c r="N744" s="1" t="s">
        <v>131</v>
      </c>
      <c r="R744" s="1" t="s">
        <v>137</v>
      </c>
      <c r="S744" s="1" t="s">
        <v>137</v>
      </c>
      <c r="T744" s="1" t="s">
        <v>47</v>
      </c>
      <c r="U744" s="1" t="s">
        <v>4301</v>
      </c>
    </row>
    <row r="745">
      <c r="A745" s="1" t="s">
        <v>9090</v>
      </c>
      <c r="B745" s="1" t="s">
        <v>4293</v>
      </c>
      <c r="C745" s="1" t="s">
        <v>14507</v>
      </c>
      <c r="D745" s="1" t="s">
        <v>172</v>
      </c>
      <c r="E745" s="1" t="s">
        <v>292</v>
      </c>
      <c r="F745" s="1" t="s">
        <v>468</v>
      </c>
      <c r="G745" s="1" t="s">
        <v>470</v>
      </c>
      <c r="H745" s="3">
        <v>44826.0</v>
      </c>
      <c r="I745" s="3"/>
      <c r="J745" s="3"/>
      <c r="K745" s="1" t="s">
        <v>124</v>
      </c>
      <c r="L745" s="1" t="s">
        <v>160</v>
      </c>
      <c r="M745" s="1" t="s">
        <v>253</v>
      </c>
      <c r="N745" s="1" t="s">
        <v>131</v>
      </c>
      <c r="R745" s="1" t="s">
        <v>137</v>
      </c>
      <c r="S745" s="1" t="s">
        <v>137</v>
      </c>
      <c r="T745" s="1" t="s">
        <v>47</v>
      </c>
      <c r="U745" s="1" t="s">
        <v>4301</v>
      </c>
    </row>
    <row r="746">
      <c r="A746" s="1" t="s">
        <v>10527</v>
      </c>
      <c r="B746" s="1" t="s">
        <v>4293</v>
      </c>
      <c r="C746" s="1" t="s">
        <v>14509</v>
      </c>
      <c r="D746" s="1" t="s">
        <v>273</v>
      </c>
      <c r="E746" s="1" t="s">
        <v>330</v>
      </c>
      <c r="F746" s="1" t="s">
        <v>663</v>
      </c>
      <c r="G746" s="1" t="s">
        <v>2835</v>
      </c>
      <c r="H746" s="3">
        <v>44986.0</v>
      </c>
      <c r="I746" s="3">
        <v>45154.0</v>
      </c>
      <c r="J746" s="3">
        <v>45154.0</v>
      </c>
      <c r="K746" s="1" t="s">
        <v>215</v>
      </c>
      <c r="L746" s="1" t="s">
        <v>160</v>
      </c>
      <c r="M746" s="1" t="s">
        <v>216</v>
      </c>
      <c r="N746" s="1" t="s">
        <v>131</v>
      </c>
      <c r="R746" s="1" t="s">
        <v>137</v>
      </c>
      <c r="S746" s="1" t="s">
        <v>137</v>
      </c>
      <c r="T746" s="1" t="s">
        <v>47</v>
      </c>
      <c r="U746" s="1" t="s">
        <v>4301</v>
      </c>
    </row>
    <row r="747">
      <c r="A747" s="1" t="s">
        <v>12727</v>
      </c>
      <c r="B747" s="1" t="s">
        <v>4293</v>
      </c>
      <c r="C747" s="1" t="s">
        <v>14512</v>
      </c>
      <c r="D747" s="1" t="s">
        <v>1932</v>
      </c>
      <c r="E747" s="1" t="s">
        <v>175</v>
      </c>
      <c r="F747" s="1" t="s">
        <v>763</v>
      </c>
      <c r="G747" s="1" t="s">
        <v>1825</v>
      </c>
      <c r="H747" s="3">
        <v>44389.0</v>
      </c>
      <c r="I747" s="3">
        <v>44389.0</v>
      </c>
      <c r="J747" s="3">
        <v>44389.0</v>
      </c>
      <c r="K747" s="1" t="s">
        <v>215</v>
      </c>
      <c r="L747" s="1" t="s">
        <v>160</v>
      </c>
      <c r="M747" s="1" t="s">
        <v>216</v>
      </c>
      <c r="N747" s="1" t="s">
        <v>131</v>
      </c>
      <c r="R747" s="1" t="s">
        <v>137</v>
      </c>
      <c r="S747" s="1" t="s">
        <v>137</v>
      </c>
      <c r="T747" s="1" t="s">
        <v>47</v>
      </c>
      <c r="U747" s="1" t="s">
        <v>4301</v>
      </c>
    </row>
    <row r="748">
      <c r="A748" s="1" t="s">
        <v>8052</v>
      </c>
      <c r="B748" s="1" t="s">
        <v>4293</v>
      </c>
      <c r="C748" s="1" t="s">
        <v>3482</v>
      </c>
      <c r="D748" s="1"/>
      <c r="E748" s="1"/>
      <c r="F748" s="1"/>
      <c r="G748" s="1"/>
      <c r="H748" s="3">
        <v>44589.0</v>
      </c>
      <c r="I748" s="3">
        <v>44865.0</v>
      </c>
      <c r="J748" s="3">
        <v>44865.0</v>
      </c>
      <c r="K748" s="1" t="s">
        <v>215</v>
      </c>
      <c r="L748" s="1" t="s">
        <v>160</v>
      </c>
      <c r="M748" s="1" t="s">
        <v>216</v>
      </c>
      <c r="N748" s="1" t="s">
        <v>131</v>
      </c>
      <c r="R748" s="1" t="s">
        <v>137</v>
      </c>
      <c r="S748" s="1" t="s">
        <v>137</v>
      </c>
      <c r="T748" s="1" t="s">
        <v>47</v>
      </c>
      <c r="U748" s="1" t="s">
        <v>4301</v>
      </c>
    </row>
    <row r="749">
      <c r="A749" s="1" t="s">
        <v>12545</v>
      </c>
      <c r="B749" s="1" t="s">
        <v>4293</v>
      </c>
      <c r="C749" s="1" t="s">
        <v>14515</v>
      </c>
      <c r="D749" s="1" t="s">
        <v>172</v>
      </c>
      <c r="E749" s="1" t="s">
        <v>12195</v>
      </c>
      <c r="F749" s="1" t="s">
        <v>12195</v>
      </c>
      <c r="G749" s="1" t="s">
        <v>12195</v>
      </c>
      <c r="H749" s="3">
        <v>45656.0</v>
      </c>
      <c r="I749" s="3">
        <v>45848.0</v>
      </c>
      <c r="J749" s="3">
        <v>45848.0</v>
      </c>
      <c r="K749" s="1" t="s">
        <v>215</v>
      </c>
      <c r="L749" s="1" t="s">
        <v>160</v>
      </c>
      <c r="M749" s="1" t="s">
        <v>216</v>
      </c>
      <c r="N749" s="1" t="s">
        <v>131</v>
      </c>
      <c r="R749" s="1" t="s">
        <v>137</v>
      </c>
      <c r="S749" s="1" t="s">
        <v>137</v>
      </c>
      <c r="T749" s="1" t="s">
        <v>47</v>
      </c>
      <c r="U749" s="1" t="s">
        <v>4301</v>
      </c>
    </row>
    <row r="750">
      <c r="A750" s="1" t="s">
        <v>12461</v>
      </c>
      <c r="B750" s="1" t="s">
        <v>4293</v>
      </c>
      <c r="C750" s="1" t="s">
        <v>14518</v>
      </c>
      <c r="D750" s="1" t="s">
        <v>1477</v>
      </c>
      <c r="E750" s="1" t="s">
        <v>292</v>
      </c>
      <c r="F750" s="1" t="s">
        <v>962</v>
      </c>
      <c r="G750" s="1" t="s">
        <v>963</v>
      </c>
      <c r="H750" s="3">
        <v>45853.0</v>
      </c>
      <c r="I750" s="3">
        <v>45896.0</v>
      </c>
      <c r="J750" s="3">
        <v>45896.0</v>
      </c>
      <c r="K750" s="1" t="s">
        <v>215</v>
      </c>
      <c r="L750" s="1" t="s">
        <v>160</v>
      </c>
      <c r="M750" s="1" t="s">
        <v>216</v>
      </c>
      <c r="N750" s="1" t="s">
        <v>131</v>
      </c>
      <c r="R750" s="1" t="s">
        <v>137</v>
      </c>
      <c r="S750" s="1" t="s">
        <v>137</v>
      </c>
      <c r="T750" s="1" t="s">
        <v>47</v>
      </c>
      <c r="U750" s="1" t="s">
        <v>4301</v>
      </c>
    </row>
    <row r="751">
      <c r="A751" s="1" t="s">
        <v>12344</v>
      </c>
      <c r="B751" s="1" t="s">
        <v>4293</v>
      </c>
      <c r="C751" s="1" t="s">
        <v>14521</v>
      </c>
      <c r="D751" s="1" t="s">
        <v>172</v>
      </c>
      <c r="E751" s="1" t="s">
        <v>175</v>
      </c>
      <c r="F751" s="1" t="s">
        <v>177</v>
      </c>
      <c r="G751" s="1" t="s">
        <v>178</v>
      </c>
      <c r="H751" s="3">
        <v>43917.0</v>
      </c>
      <c r="I751" s="3">
        <v>44012.0</v>
      </c>
      <c r="J751" s="3">
        <v>44012.0</v>
      </c>
      <c r="K751" s="1" t="s">
        <v>215</v>
      </c>
      <c r="L751" s="1" t="s">
        <v>160</v>
      </c>
      <c r="M751" s="1" t="s">
        <v>216</v>
      </c>
      <c r="N751" s="1" t="s">
        <v>131</v>
      </c>
      <c r="R751" s="1" t="s">
        <v>137</v>
      </c>
      <c r="S751" s="1" t="s">
        <v>137</v>
      </c>
      <c r="T751" s="1" t="s">
        <v>47</v>
      </c>
      <c r="U751" s="1" t="s">
        <v>4301</v>
      </c>
    </row>
    <row r="752">
      <c r="A752" s="1" t="s">
        <v>12020</v>
      </c>
      <c r="B752" s="1" t="s">
        <v>4293</v>
      </c>
      <c r="C752" s="1" t="s">
        <v>14522</v>
      </c>
      <c r="D752" s="1" t="s">
        <v>754</v>
      </c>
      <c r="E752" s="1" t="s">
        <v>175</v>
      </c>
      <c r="F752" s="1" t="s">
        <v>177</v>
      </c>
      <c r="G752" s="1" t="s">
        <v>178</v>
      </c>
      <c r="H752" s="3">
        <v>45483.0</v>
      </c>
      <c r="I752" s="3">
        <v>46077.0</v>
      </c>
      <c r="J752" s="3">
        <v>46077.0</v>
      </c>
      <c r="K752" s="1" t="s">
        <v>215</v>
      </c>
      <c r="L752" s="1" t="s">
        <v>160</v>
      </c>
      <c r="M752" s="1" t="s">
        <v>216</v>
      </c>
      <c r="N752" s="1" t="s">
        <v>131</v>
      </c>
      <c r="R752" s="1" t="s">
        <v>137</v>
      </c>
      <c r="S752" s="1" t="s">
        <v>137</v>
      </c>
      <c r="T752" s="1" t="s">
        <v>47</v>
      </c>
      <c r="U752" s="1" t="s">
        <v>4301</v>
      </c>
    </row>
    <row r="753">
      <c r="A753" s="1" t="s">
        <v>12599</v>
      </c>
      <c r="B753" s="1" t="s">
        <v>4293</v>
      </c>
      <c r="C753" s="1" t="s">
        <v>14525</v>
      </c>
      <c r="D753" s="1" t="s">
        <v>1469</v>
      </c>
      <c r="E753" s="1" t="s">
        <v>12195</v>
      </c>
      <c r="F753" s="1" t="s">
        <v>12195</v>
      </c>
      <c r="G753" s="1" t="s">
        <v>12195</v>
      </c>
      <c r="H753" s="3">
        <v>45471.0</v>
      </c>
      <c r="I753" s="3">
        <v>45853.0</v>
      </c>
      <c r="J753" s="3">
        <v>45853.0</v>
      </c>
      <c r="K753" s="1" t="s">
        <v>215</v>
      </c>
      <c r="L753" s="1" t="s">
        <v>160</v>
      </c>
      <c r="M753" s="1" t="s">
        <v>216</v>
      </c>
      <c r="N753" s="1" t="s">
        <v>131</v>
      </c>
      <c r="R753" s="1" t="s">
        <v>137</v>
      </c>
      <c r="S753" s="1" t="s">
        <v>137</v>
      </c>
      <c r="T753" s="1" t="s">
        <v>47</v>
      </c>
      <c r="U753" s="1" t="s">
        <v>4301</v>
      </c>
    </row>
    <row r="754">
      <c r="A754" s="1" t="s">
        <v>6570</v>
      </c>
      <c r="B754" s="1" t="s">
        <v>4293</v>
      </c>
      <c r="C754" s="1" t="s">
        <v>14527</v>
      </c>
      <c r="D754" s="1" t="s">
        <v>1469</v>
      </c>
      <c r="E754" s="1" t="s">
        <v>292</v>
      </c>
      <c r="F754" s="1" t="s">
        <v>962</v>
      </c>
      <c r="G754" s="1" t="s">
        <v>5046</v>
      </c>
      <c r="H754" s="3">
        <v>45470.0</v>
      </c>
      <c r="I754" s="3">
        <v>45813.0</v>
      </c>
      <c r="J754" s="3">
        <v>45813.0</v>
      </c>
      <c r="K754" s="1" t="s">
        <v>215</v>
      </c>
      <c r="L754" s="1" t="s">
        <v>160</v>
      </c>
      <c r="M754" s="1" t="s">
        <v>216</v>
      </c>
      <c r="N754" s="1" t="s">
        <v>131</v>
      </c>
      <c r="R754" s="1" t="s">
        <v>137</v>
      </c>
      <c r="S754" s="1" t="s">
        <v>137</v>
      </c>
      <c r="T754" s="1" t="s">
        <v>47</v>
      </c>
      <c r="U754" s="1" t="s">
        <v>4301</v>
      </c>
    </row>
    <row r="755">
      <c r="A755" s="1" t="s">
        <v>11813</v>
      </c>
      <c r="B755" s="1" t="s">
        <v>4293</v>
      </c>
      <c r="C755" s="1" t="s">
        <v>14529</v>
      </c>
      <c r="D755" s="1" t="s">
        <v>313</v>
      </c>
      <c r="E755" s="1" t="s">
        <v>175</v>
      </c>
      <c r="F755" s="1" t="s">
        <v>1767</v>
      </c>
      <c r="G755" s="1" t="s">
        <v>3835</v>
      </c>
      <c r="H755" s="3">
        <v>43570.0</v>
      </c>
      <c r="I755" s="3">
        <v>43599.0</v>
      </c>
      <c r="J755" s="3">
        <v>43599.0</v>
      </c>
      <c r="K755" s="1" t="s">
        <v>215</v>
      </c>
      <c r="L755" s="1" t="s">
        <v>160</v>
      </c>
      <c r="M755" s="1" t="s">
        <v>216</v>
      </c>
      <c r="N755" s="1" t="s">
        <v>131</v>
      </c>
      <c r="R755" s="1" t="s">
        <v>137</v>
      </c>
      <c r="S755" s="1" t="s">
        <v>137</v>
      </c>
      <c r="T755" s="1" t="s">
        <v>47</v>
      </c>
      <c r="U755" s="1" t="s">
        <v>4301</v>
      </c>
    </row>
    <row r="756">
      <c r="A756" s="1" t="s">
        <v>9617</v>
      </c>
      <c r="B756" s="1" t="s">
        <v>4293</v>
      </c>
      <c r="C756" s="1" t="s">
        <v>14532</v>
      </c>
      <c r="D756" s="1" t="s">
        <v>291</v>
      </c>
      <c r="E756" s="1" t="s">
        <v>175</v>
      </c>
      <c r="F756" s="1" t="s">
        <v>3592</v>
      </c>
      <c r="G756" s="1" t="s">
        <v>5540</v>
      </c>
      <c r="H756" s="3">
        <v>44636.0</v>
      </c>
      <c r="I756" s="3">
        <v>44734.0</v>
      </c>
      <c r="J756" s="3">
        <v>44734.0</v>
      </c>
      <c r="K756" s="1" t="s">
        <v>215</v>
      </c>
      <c r="L756" s="1" t="s">
        <v>160</v>
      </c>
      <c r="M756" s="1" t="s">
        <v>216</v>
      </c>
      <c r="N756" s="1" t="s">
        <v>131</v>
      </c>
      <c r="P756" s="1"/>
      <c r="R756" s="1" t="s">
        <v>137</v>
      </c>
      <c r="S756" s="1" t="s">
        <v>137</v>
      </c>
      <c r="T756" s="1" t="s">
        <v>47</v>
      </c>
      <c r="U756" s="1" t="s">
        <v>4301</v>
      </c>
    </row>
    <row r="757">
      <c r="A757" s="1" t="s">
        <v>10273</v>
      </c>
      <c r="B757" s="1" t="s">
        <v>4293</v>
      </c>
      <c r="C757" s="1" t="s">
        <v>14538</v>
      </c>
      <c r="D757" s="1" t="s">
        <v>291</v>
      </c>
      <c r="E757" s="1" t="s">
        <v>292</v>
      </c>
      <c r="F757" s="1" t="s">
        <v>293</v>
      </c>
      <c r="G757" s="1" t="s">
        <v>2091</v>
      </c>
      <c r="H757" s="3">
        <v>43790.0</v>
      </c>
      <c r="I757" s="3">
        <v>43878.0</v>
      </c>
      <c r="J757" s="3">
        <v>43878.0</v>
      </c>
      <c r="K757" s="1" t="s">
        <v>215</v>
      </c>
      <c r="L757" s="1" t="s">
        <v>160</v>
      </c>
      <c r="M757" s="1" t="s">
        <v>216</v>
      </c>
      <c r="N757" s="1" t="s">
        <v>131</v>
      </c>
      <c r="P757" s="1"/>
      <c r="R757" s="1" t="s">
        <v>137</v>
      </c>
      <c r="S757" s="1" t="s">
        <v>137</v>
      </c>
      <c r="T757" s="1" t="s">
        <v>47</v>
      </c>
      <c r="U757" s="1" t="s">
        <v>4301</v>
      </c>
    </row>
    <row r="758">
      <c r="A758" s="1" t="s">
        <v>10641</v>
      </c>
      <c r="B758" s="1" t="s">
        <v>4293</v>
      </c>
      <c r="C758" s="1" t="s">
        <v>14550</v>
      </c>
      <c r="D758" s="1" t="s">
        <v>1477</v>
      </c>
      <c r="E758" s="1" t="s">
        <v>175</v>
      </c>
      <c r="F758" s="1" t="s">
        <v>763</v>
      </c>
      <c r="G758" s="1" t="s">
        <v>764</v>
      </c>
      <c r="H758" s="3">
        <v>44726.0</v>
      </c>
      <c r="I758" s="3">
        <v>44783.0</v>
      </c>
      <c r="J758" s="3">
        <v>44783.0</v>
      </c>
      <c r="K758" s="1" t="s">
        <v>215</v>
      </c>
      <c r="L758" s="1" t="s">
        <v>160</v>
      </c>
      <c r="M758" s="1" t="s">
        <v>216</v>
      </c>
      <c r="N758" s="1" t="s">
        <v>131</v>
      </c>
      <c r="R758" s="1" t="s">
        <v>137</v>
      </c>
      <c r="S758" s="1" t="s">
        <v>137</v>
      </c>
      <c r="T758" s="1" t="s">
        <v>47</v>
      </c>
      <c r="U758" s="1" t="s">
        <v>4301</v>
      </c>
    </row>
    <row r="759">
      <c r="A759" s="1" t="s">
        <v>8278</v>
      </c>
      <c r="B759" s="1" t="s">
        <v>4293</v>
      </c>
      <c r="C759" s="1" t="s">
        <v>3496</v>
      </c>
      <c r="D759" s="1" t="s">
        <v>1242</v>
      </c>
      <c r="E759" s="1" t="s">
        <v>3379</v>
      </c>
      <c r="F759" s="1" t="s">
        <v>3380</v>
      </c>
      <c r="G759" s="1" t="s">
        <v>3380</v>
      </c>
      <c r="H759" s="3">
        <v>44609.0</v>
      </c>
      <c r="I759" s="3">
        <v>44721.0</v>
      </c>
      <c r="J759" s="3">
        <v>44721.0</v>
      </c>
      <c r="K759" s="1" t="s">
        <v>215</v>
      </c>
      <c r="L759" s="1" t="s">
        <v>160</v>
      </c>
      <c r="M759" s="1" t="s">
        <v>216</v>
      </c>
      <c r="N759" s="1" t="s">
        <v>131</v>
      </c>
      <c r="P759" s="1"/>
      <c r="R759" s="1" t="s">
        <v>137</v>
      </c>
      <c r="S759" s="1" t="s">
        <v>137</v>
      </c>
      <c r="T759" s="1" t="s">
        <v>47</v>
      </c>
      <c r="U759" s="1" t="s">
        <v>4301</v>
      </c>
    </row>
    <row r="760">
      <c r="A760" s="1" t="s">
        <v>6940</v>
      </c>
      <c r="B760" s="1" t="s">
        <v>4293</v>
      </c>
      <c r="C760" s="1" t="s">
        <v>14568</v>
      </c>
      <c r="D760" s="1" t="s">
        <v>509</v>
      </c>
      <c r="E760" s="1" t="s">
        <v>454</v>
      </c>
      <c r="F760" s="1" t="s">
        <v>455</v>
      </c>
      <c r="G760" s="1" t="s">
        <v>738</v>
      </c>
      <c r="H760" s="3">
        <v>43371.0</v>
      </c>
      <c r="I760" s="3">
        <v>44518.0</v>
      </c>
      <c r="J760" s="3">
        <v>44518.0</v>
      </c>
      <c r="K760" s="1" t="s">
        <v>215</v>
      </c>
      <c r="L760" s="1" t="s">
        <v>160</v>
      </c>
      <c r="M760" s="1" t="s">
        <v>216</v>
      </c>
      <c r="N760" s="1" t="s">
        <v>131</v>
      </c>
      <c r="R760" s="1" t="s">
        <v>137</v>
      </c>
      <c r="S760" s="1" t="s">
        <v>137</v>
      </c>
      <c r="T760" s="1" t="s">
        <v>47</v>
      </c>
      <c r="U760" s="1" t="s">
        <v>4301</v>
      </c>
    </row>
    <row r="761">
      <c r="A761" s="1" t="s">
        <v>14075</v>
      </c>
      <c r="B761" s="1" t="s">
        <v>4293</v>
      </c>
      <c r="C761" s="1" t="s">
        <v>14580</v>
      </c>
      <c r="D761" s="1" t="s">
        <v>1823</v>
      </c>
      <c r="E761" s="1" t="s">
        <v>175</v>
      </c>
      <c r="F761" s="1" t="s">
        <v>1767</v>
      </c>
      <c r="G761" s="1" t="s">
        <v>3835</v>
      </c>
      <c r="H761" s="3">
        <v>45980.0</v>
      </c>
      <c r="I761" s="3"/>
      <c r="J761" s="3"/>
      <c r="K761" s="1" t="s">
        <v>124</v>
      </c>
      <c r="L761" s="1" t="s">
        <v>160</v>
      </c>
      <c r="M761" s="1" t="s">
        <v>253</v>
      </c>
      <c r="N761" s="1" t="s">
        <v>131</v>
      </c>
      <c r="P761" s="1"/>
      <c r="R761" s="1" t="s">
        <v>137</v>
      </c>
      <c r="S761" s="1" t="s">
        <v>137</v>
      </c>
      <c r="T761" s="1" t="s">
        <v>47</v>
      </c>
      <c r="U761" s="1" t="s">
        <v>4301</v>
      </c>
    </row>
    <row r="762">
      <c r="A762" s="1" t="s">
        <v>6215</v>
      </c>
      <c r="B762" s="1" t="s">
        <v>4293</v>
      </c>
      <c r="C762" s="1" t="s">
        <v>14582</v>
      </c>
      <c r="D762" s="1" t="s">
        <v>1477</v>
      </c>
      <c r="E762" s="1" t="s">
        <v>292</v>
      </c>
      <c r="F762" s="1" t="s">
        <v>494</v>
      </c>
      <c r="G762" s="1" t="s">
        <v>3632</v>
      </c>
      <c r="H762" s="3">
        <v>45126.0</v>
      </c>
      <c r="I762" s="3">
        <v>45313.0</v>
      </c>
      <c r="J762" s="3">
        <v>45313.0</v>
      </c>
      <c r="K762" s="1" t="s">
        <v>215</v>
      </c>
      <c r="L762" s="1" t="s">
        <v>160</v>
      </c>
      <c r="M762" s="1" t="s">
        <v>216</v>
      </c>
      <c r="N762" s="1" t="s">
        <v>131</v>
      </c>
      <c r="P762" s="1"/>
      <c r="R762" s="1" t="s">
        <v>137</v>
      </c>
      <c r="S762" s="1" t="s">
        <v>137</v>
      </c>
      <c r="T762" s="1" t="s">
        <v>47</v>
      </c>
      <c r="U762" s="1" t="s">
        <v>4301</v>
      </c>
    </row>
    <row r="763">
      <c r="A763" s="1" t="s">
        <v>7801</v>
      </c>
      <c r="B763" s="1" t="s">
        <v>4293</v>
      </c>
      <c r="C763" s="1" t="s">
        <v>14584</v>
      </c>
      <c r="D763" s="1" t="s">
        <v>60</v>
      </c>
      <c r="E763" s="1" t="s">
        <v>520</v>
      </c>
      <c r="F763" s="1" t="s">
        <v>1179</v>
      </c>
      <c r="G763" s="1" t="s">
        <v>8894</v>
      </c>
      <c r="H763" s="3">
        <v>45316.0</v>
      </c>
      <c r="I763" s="3">
        <v>45629.0</v>
      </c>
      <c r="J763" s="3">
        <v>45629.0</v>
      </c>
      <c r="K763" s="1" t="s">
        <v>215</v>
      </c>
      <c r="L763" s="1" t="s">
        <v>160</v>
      </c>
      <c r="M763" s="1" t="s">
        <v>216</v>
      </c>
      <c r="N763" s="1" t="s">
        <v>131</v>
      </c>
      <c r="P763" s="1"/>
      <c r="R763" s="1" t="s">
        <v>137</v>
      </c>
      <c r="S763" s="1" t="s">
        <v>137</v>
      </c>
      <c r="T763" s="1" t="s">
        <v>47</v>
      </c>
      <c r="U763" s="1" t="s">
        <v>4301</v>
      </c>
    </row>
    <row r="764">
      <c r="A764" s="1" t="s">
        <v>7188</v>
      </c>
      <c r="B764" s="1" t="s">
        <v>4293</v>
      </c>
      <c r="C764" s="1" t="s">
        <v>14587</v>
      </c>
      <c r="D764" s="1" t="s">
        <v>388</v>
      </c>
      <c r="E764" s="1" t="s">
        <v>292</v>
      </c>
      <c r="F764" s="1" t="s">
        <v>962</v>
      </c>
      <c r="G764" s="1" t="s">
        <v>9279</v>
      </c>
      <c r="H764" s="3">
        <v>43026.0</v>
      </c>
      <c r="I764" s="3">
        <v>42661.0</v>
      </c>
      <c r="J764" s="3">
        <v>42661.0</v>
      </c>
      <c r="K764" s="1" t="s">
        <v>215</v>
      </c>
      <c r="L764" s="1" t="s">
        <v>160</v>
      </c>
      <c r="M764" s="1" t="s">
        <v>216</v>
      </c>
      <c r="N764" s="1" t="s">
        <v>131</v>
      </c>
      <c r="P764" s="1"/>
      <c r="R764" s="1" t="s">
        <v>137</v>
      </c>
      <c r="S764" s="1" t="s">
        <v>137</v>
      </c>
      <c r="T764" s="1" t="s">
        <v>47</v>
      </c>
      <c r="U764" s="1" t="s">
        <v>4301</v>
      </c>
    </row>
    <row r="765">
      <c r="A765" s="1" t="s">
        <v>2967</v>
      </c>
      <c r="B765" s="1" t="s">
        <v>3246</v>
      </c>
      <c r="C765" s="1" t="s">
        <v>3512</v>
      </c>
      <c r="D765" s="1" t="s">
        <v>172</v>
      </c>
      <c r="E765" s="1" t="s">
        <v>175</v>
      </c>
      <c r="F765" s="1" t="s">
        <v>177</v>
      </c>
      <c r="G765" s="1" t="s">
        <v>178</v>
      </c>
      <c r="H765" s="3">
        <v>46230.0</v>
      </c>
      <c r="I765" s="3">
        <v>46370.0</v>
      </c>
      <c r="J765" s="3"/>
      <c r="K765" s="1" t="s">
        <v>124</v>
      </c>
      <c r="L765" s="1" t="s">
        <v>160</v>
      </c>
      <c r="M765" s="1" t="s">
        <v>300</v>
      </c>
      <c r="N765" s="1" t="s">
        <v>131</v>
      </c>
      <c r="P765" s="1" t="s">
        <v>726</v>
      </c>
      <c r="R765" s="1" t="s">
        <v>137</v>
      </c>
      <c r="S765" s="1" t="s">
        <v>137</v>
      </c>
      <c r="T765" s="1" t="s">
        <v>47</v>
      </c>
      <c r="U765" s="1" t="s">
        <v>4542</v>
      </c>
    </row>
    <row r="766">
      <c r="A766" s="1" t="s">
        <v>10321</v>
      </c>
      <c r="B766" s="1" t="s">
        <v>4293</v>
      </c>
      <c r="C766" s="1" t="s">
        <v>14592</v>
      </c>
      <c r="D766" s="1" t="s">
        <v>509</v>
      </c>
      <c r="E766" s="1" t="s">
        <v>454</v>
      </c>
      <c r="F766" s="1" t="s">
        <v>637</v>
      </c>
      <c r="G766" s="1" t="s">
        <v>703</v>
      </c>
      <c r="H766" s="3">
        <v>44756.0</v>
      </c>
      <c r="I766" s="3">
        <v>44910.0</v>
      </c>
      <c r="J766" s="3">
        <v>44910.0</v>
      </c>
      <c r="K766" s="1" t="s">
        <v>215</v>
      </c>
      <c r="L766" s="1" t="s">
        <v>160</v>
      </c>
      <c r="M766" s="1" t="s">
        <v>216</v>
      </c>
      <c r="N766" s="1" t="s">
        <v>131</v>
      </c>
      <c r="P766" s="1"/>
      <c r="R766" s="1" t="s">
        <v>137</v>
      </c>
      <c r="S766" s="1" t="s">
        <v>137</v>
      </c>
      <c r="T766" s="1" t="s">
        <v>47</v>
      </c>
      <c r="U766" s="1" t="s">
        <v>4301</v>
      </c>
    </row>
    <row r="767">
      <c r="A767" s="1" t="s">
        <v>9139</v>
      </c>
      <c r="B767" s="1" t="s">
        <v>4293</v>
      </c>
      <c r="C767" s="1" t="s">
        <v>14593</v>
      </c>
      <c r="D767" s="1" t="s">
        <v>273</v>
      </c>
      <c r="E767" s="1" t="s">
        <v>330</v>
      </c>
      <c r="F767" s="1" t="s">
        <v>356</v>
      </c>
      <c r="G767" s="1" t="s">
        <v>875</v>
      </c>
      <c r="H767" s="3">
        <v>45397.0</v>
      </c>
      <c r="I767" s="3">
        <v>45791.0</v>
      </c>
      <c r="J767" s="3">
        <v>45791.0</v>
      </c>
      <c r="K767" s="1" t="s">
        <v>215</v>
      </c>
      <c r="L767" s="1" t="s">
        <v>160</v>
      </c>
      <c r="M767" s="1" t="s">
        <v>216</v>
      </c>
      <c r="N767" s="1" t="s">
        <v>131</v>
      </c>
      <c r="P767" s="1"/>
      <c r="R767" s="1" t="s">
        <v>137</v>
      </c>
      <c r="S767" s="1" t="s">
        <v>137</v>
      </c>
      <c r="T767" s="1" t="s">
        <v>47</v>
      </c>
      <c r="U767" s="1" t="s">
        <v>4301</v>
      </c>
    </row>
    <row r="768">
      <c r="A768" s="1" t="s">
        <v>7845</v>
      </c>
      <c r="B768" s="1" t="s">
        <v>4293</v>
      </c>
      <c r="C768" s="1" t="s">
        <v>14596</v>
      </c>
      <c r="D768" s="1" t="s">
        <v>1272</v>
      </c>
      <c r="E768" s="1" t="s">
        <v>520</v>
      </c>
      <c r="F768" s="1" t="s">
        <v>1179</v>
      </c>
      <c r="G768" s="1" t="s">
        <v>14597</v>
      </c>
      <c r="H768" s="3">
        <v>44475.0</v>
      </c>
      <c r="I768" s="3">
        <v>44606.0</v>
      </c>
      <c r="J768" s="3">
        <v>44606.0</v>
      </c>
      <c r="K768" s="1" t="s">
        <v>215</v>
      </c>
      <c r="L768" s="1" t="s">
        <v>160</v>
      </c>
      <c r="M768" s="1" t="s">
        <v>216</v>
      </c>
      <c r="N768" s="1" t="s">
        <v>131</v>
      </c>
      <c r="P768" s="1"/>
      <c r="R768" s="1" t="s">
        <v>137</v>
      </c>
      <c r="S768" s="1" t="s">
        <v>137</v>
      </c>
      <c r="T768" s="1" t="s">
        <v>47</v>
      </c>
      <c r="U768" s="1" t="s">
        <v>4301</v>
      </c>
    </row>
    <row r="769">
      <c r="A769" s="1" t="s">
        <v>8347</v>
      </c>
      <c r="B769" s="1" t="s">
        <v>4293</v>
      </c>
      <c r="C769" s="1" t="s">
        <v>14599</v>
      </c>
      <c r="D769" s="1" t="s">
        <v>960</v>
      </c>
      <c r="E769" s="1" t="s">
        <v>3379</v>
      </c>
      <c r="F769" s="1" t="s">
        <v>9045</v>
      </c>
      <c r="G769" s="1" t="s">
        <v>9045</v>
      </c>
      <c r="H769" s="3">
        <v>45075.0</v>
      </c>
      <c r="I769" s="3">
        <v>45413.0</v>
      </c>
      <c r="J769" s="3">
        <v>45413.0</v>
      </c>
      <c r="K769" s="1" t="s">
        <v>215</v>
      </c>
      <c r="L769" s="1" t="s">
        <v>160</v>
      </c>
      <c r="M769" s="1" t="s">
        <v>216</v>
      </c>
      <c r="N769" s="1" t="s">
        <v>131</v>
      </c>
      <c r="P769" s="1"/>
      <c r="R769" s="1" t="s">
        <v>137</v>
      </c>
      <c r="S769" s="1" t="s">
        <v>137</v>
      </c>
      <c r="T769" s="1" t="s">
        <v>47</v>
      </c>
      <c r="U769" s="1" t="s">
        <v>4301</v>
      </c>
    </row>
    <row r="770">
      <c r="A770" s="1" t="s">
        <v>12349</v>
      </c>
      <c r="B770" s="1" t="s">
        <v>4293</v>
      </c>
      <c r="C770" s="1" t="s">
        <v>14601</v>
      </c>
      <c r="D770" s="1" t="s">
        <v>273</v>
      </c>
      <c r="E770" s="1" t="s">
        <v>175</v>
      </c>
      <c r="F770" s="1" t="s">
        <v>763</v>
      </c>
      <c r="G770" s="1" t="s">
        <v>2818</v>
      </c>
      <c r="H770" s="3">
        <v>44314.0</v>
      </c>
      <c r="I770" s="3">
        <v>44223.0</v>
      </c>
      <c r="J770" s="3">
        <v>44223.0</v>
      </c>
      <c r="K770" s="1" t="s">
        <v>215</v>
      </c>
      <c r="L770" s="1" t="s">
        <v>160</v>
      </c>
      <c r="M770" s="1" t="s">
        <v>216</v>
      </c>
      <c r="N770" s="1" t="s">
        <v>131</v>
      </c>
      <c r="P770" s="1"/>
      <c r="R770" s="1" t="s">
        <v>137</v>
      </c>
      <c r="S770" s="1" t="s">
        <v>137</v>
      </c>
      <c r="T770" s="1" t="s">
        <v>47</v>
      </c>
      <c r="U770" s="1" t="s">
        <v>4301</v>
      </c>
    </row>
    <row r="771">
      <c r="A771" s="1" t="s">
        <v>2011</v>
      </c>
      <c r="B771" s="1" t="s">
        <v>1567</v>
      </c>
      <c r="C771" s="1" t="s">
        <v>3533</v>
      </c>
      <c r="D771" s="1" t="s">
        <v>417</v>
      </c>
      <c r="E771" s="1" t="s">
        <v>438</v>
      </c>
      <c r="F771" s="1" t="s">
        <v>440</v>
      </c>
      <c r="G771" s="1" t="s">
        <v>441</v>
      </c>
      <c r="H771" s="3">
        <v>46084.0</v>
      </c>
      <c r="I771" s="3">
        <v>46370.0</v>
      </c>
      <c r="J771" s="3"/>
      <c r="K771" s="1" t="s">
        <v>124</v>
      </c>
      <c r="L771" s="1" t="s">
        <v>160</v>
      </c>
      <c r="M771" s="1" t="s">
        <v>363</v>
      </c>
      <c r="N771" s="1" t="s">
        <v>131</v>
      </c>
      <c r="P771" s="1" t="s">
        <v>3535</v>
      </c>
      <c r="R771" s="1" t="s">
        <v>137</v>
      </c>
      <c r="S771" s="1" t="s">
        <v>137</v>
      </c>
      <c r="T771" s="1" t="s">
        <v>47</v>
      </c>
      <c r="U771" s="1" t="s">
        <v>3501</v>
      </c>
    </row>
    <row r="772">
      <c r="A772" s="1" t="s">
        <v>10020</v>
      </c>
      <c r="B772" s="1" t="s">
        <v>4293</v>
      </c>
      <c r="C772" s="1" t="s">
        <v>14605</v>
      </c>
      <c r="D772" s="1" t="s">
        <v>417</v>
      </c>
      <c r="E772" s="1" t="s">
        <v>292</v>
      </c>
      <c r="F772" s="1" t="s">
        <v>576</v>
      </c>
      <c r="G772" s="1" t="s">
        <v>1603</v>
      </c>
      <c r="H772" s="3">
        <v>45404.0</v>
      </c>
      <c r="I772" s="3">
        <v>45593.0</v>
      </c>
      <c r="J772" s="3">
        <v>45593.0</v>
      </c>
      <c r="K772" s="1" t="s">
        <v>215</v>
      </c>
      <c r="L772" s="1" t="s">
        <v>160</v>
      </c>
      <c r="M772" s="1" t="s">
        <v>216</v>
      </c>
      <c r="N772" s="1" t="s">
        <v>131</v>
      </c>
      <c r="O772" s="3"/>
      <c r="P772" s="1"/>
      <c r="R772" s="1" t="s">
        <v>137</v>
      </c>
      <c r="S772" s="1" t="s">
        <v>137</v>
      </c>
      <c r="T772" s="1" t="s">
        <v>47</v>
      </c>
      <c r="U772" s="1" t="s">
        <v>4301</v>
      </c>
    </row>
    <row r="773">
      <c r="A773" s="1" t="s">
        <v>12101</v>
      </c>
      <c r="B773" s="1" t="s">
        <v>4293</v>
      </c>
      <c r="C773" s="1" t="s">
        <v>3544</v>
      </c>
      <c r="D773" s="1" t="s">
        <v>1291</v>
      </c>
      <c r="E773" s="1" t="s">
        <v>691</v>
      </c>
      <c r="F773" s="1" t="s">
        <v>1142</v>
      </c>
      <c r="G773" s="1" t="s">
        <v>1143</v>
      </c>
      <c r="H773" s="3">
        <v>45465.0</v>
      </c>
      <c r="I773" s="3">
        <v>45622.0</v>
      </c>
      <c r="J773" s="3">
        <v>45622.0</v>
      </c>
      <c r="K773" s="1" t="s">
        <v>215</v>
      </c>
      <c r="L773" s="1" t="s">
        <v>160</v>
      </c>
      <c r="M773" s="1" t="s">
        <v>216</v>
      </c>
      <c r="N773" s="1" t="s">
        <v>131</v>
      </c>
      <c r="O773" s="3"/>
      <c r="P773" s="1"/>
      <c r="R773" s="1" t="s">
        <v>137</v>
      </c>
      <c r="S773" s="1" t="s">
        <v>137</v>
      </c>
      <c r="T773" s="1" t="s">
        <v>47</v>
      </c>
      <c r="U773" s="1" t="s">
        <v>4301</v>
      </c>
    </row>
    <row r="774">
      <c r="A774" s="1" t="s">
        <v>3555</v>
      </c>
      <c r="B774" s="1" t="s">
        <v>116</v>
      </c>
      <c r="C774" s="1" t="s">
        <v>3548</v>
      </c>
      <c r="D774" s="1" t="s">
        <v>1291</v>
      </c>
      <c r="E774" s="1" t="s">
        <v>292</v>
      </c>
      <c r="F774" s="1" t="s">
        <v>494</v>
      </c>
      <c r="G774" s="1" t="s">
        <v>1784</v>
      </c>
      <c r="H774" s="3">
        <v>46129.0</v>
      </c>
      <c r="I774" s="3">
        <v>46218.0</v>
      </c>
      <c r="J774" s="3">
        <v>46218.0</v>
      </c>
      <c r="K774" s="1" t="s">
        <v>215</v>
      </c>
      <c r="L774" s="1" t="s">
        <v>71</v>
      </c>
      <c r="M774" s="1" t="s">
        <v>253</v>
      </c>
      <c r="N774" s="1" t="s">
        <v>131</v>
      </c>
      <c r="O774" s="3">
        <v>46295.0</v>
      </c>
      <c r="P774" s="1" t="s">
        <v>3561</v>
      </c>
      <c r="R774" s="1" t="s">
        <v>137</v>
      </c>
      <c r="S774" s="1" t="s">
        <v>137</v>
      </c>
      <c r="T774" s="1" t="s">
        <v>47</v>
      </c>
      <c r="U774" s="1" t="s">
        <v>4087</v>
      </c>
    </row>
    <row r="775">
      <c r="A775" s="1" t="s">
        <v>14090</v>
      </c>
      <c r="B775" s="1" t="s">
        <v>4293</v>
      </c>
      <c r="C775" s="1" t="s">
        <v>14618</v>
      </c>
      <c r="D775" s="1" t="s">
        <v>417</v>
      </c>
      <c r="E775" s="1" t="s">
        <v>3379</v>
      </c>
      <c r="F775" s="1" t="s">
        <v>9045</v>
      </c>
      <c r="G775" s="1" t="s">
        <v>9045</v>
      </c>
      <c r="H775" s="3">
        <v>45981.0</v>
      </c>
      <c r="I775" s="3"/>
      <c r="J775" s="3"/>
      <c r="K775" s="1" t="s">
        <v>124</v>
      </c>
      <c r="L775" s="1" t="s">
        <v>160</v>
      </c>
      <c r="M775" s="1" t="s">
        <v>253</v>
      </c>
      <c r="N775" s="1" t="s">
        <v>131</v>
      </c>
      <c r="O775" s="3"/>
      <c r="R775" s="1" t="s">
        <v>137</v>
      </c>
      <c r="S775" s="1" t="s">
        <v>137</v>
      </c>
      <c r="T775" s="1" t="s">
        <v>47</v>
      </c>
      <c r="U775" s="1" t="s">
        <v>4301</v>
      </c>
    </row>
    <row r="776">
      <c r="A776" s="1" t="s">
        <v>11770</v>
      </c>
      <c r="B776" s="1" t="s">
        <v>4293</v>
      </c>
      <c r="C776" s="1" t="s">
        <v>14620</v>
      </c>
      <c r="D776" s="1" t="s">
        <v>754</v>
      </c>
      <c r="E776" s="1" t="s">
        <v>3379</v>
      </c>
      <c r="F776" s="1" t="s">
        <v>9045</v>
      </c>
      <c r="G776" s="1" t="s">
        <v>9045</v>
      </c>
      <c r="H776" s="3">
        <v>44833.0</v>
      </c>
      <c r="I776" s="3">
        <v>45138.0</v>
      </c>
      <c r="J776" s="3">
        <v>45138.0</v>
      </c>
      <c r="K776" s="1" t="s">
        <v>215</v>
      </c>
      <c r="L776" s="1" t="s">
        <v>160</v>
      </c>
      <c r="M776" s="1" t="s">
        <v>216</v>
      </c>
      <c r="N776" s="1" t="s">
        <v>131</v>
      </c>
      <c r="R776" s="1" t="s">
        <v>137</v>
      </c>
      <c r="S776" s="1" t="s">
        <v>137</v>
      </c>
      <c r="T776" s="1" t="s">
        <v>47</v>
      </c>
      <c r="U776" s="1" t="s">
        <v>4301</v>
      </c>
    </row>
    <row r="777">
      <c r="A777" s="1" t="s">
        <v>10811</v>
      </c>
      <c r="B777" s="1" t="s">
        <v>4293</v>
      </c>
      <c r="C777" s="1" t="s">
        <v>14622</v>
      </c>
      <c r="D777" s="1" t="s">
        <v>754</v>
      </c>
      <c r="E777" s="1" t="s">
        <v>153</v>
      </c>
      <c r="F777" s="1" t="s">
        <v>155</v>
      </c>
      <c r="G777" s="1" t="s">
        <v>3617</v>
      </c>
      <c r="H777" s="3">
        <v>45560.0</v>
      </c>
      <c r="I777" s="3"/>
      <c r="J777" s="3"/>
      <c r="K777" s="1" t="s">
        <v>124</v>
      </c>
      <c r="L777" s="1" t="s">
        <v>160</v>
      </c>
      <c r="M777" s="1" t="s">
        <v>253</v>
      </c>
      <c r="N777" s="1" t="s">
        <v>131</v>
      </c>
      <c r="O777" s="3"/>
      <c r="R777" s="1" t="s">
        <v>137</v>
      </c>
      <c r="S777" s="1" t="s">
        <v>137</v>
      </c>
      <c r="T777" s="1" t="s">
        <v>47</v>
      </c>
      <c r="U777" s="1" t="s">
        <v>4301</v>
      </c>
    </row>
    <row r="778">
      <c r="A778" s="1" t="s">
        <v>6438</v>
      </c>
      <c r="B778" s="1" t="s">
        <v>4293</v>
      </c>
      <c r="C778" s="1" t="s">
        <v>14624</v>
      </c>
      <c r="D778" s="1" t="s">
        <v>273</v>
      </c>
      <c r="E778" s="1" t="s">
        <v>175</v>
      </c>
      <c r="F778" s="1" t="s">
        <v>763</v>
      </c>
      <c r="G778" s="1" t="s">
        <v>764</v>
      </c>
      <c r="H778" s="3">
        <v>44560.0</v>
      </c>
      <c r="I778" s="3">
        <v>43967.0</v>
      </c>
      <c r="J778" s="3">
        <v>43967.0</v>
      </c>
      <c r="K778" s="1" t="s">
        <v>215</v>
      </c>
      <c r="L778" s="1" t="s">
        <v>160</v>
      </c>
      <c r="M778" s="1" t="s">
        <v>216</v>
      </c>
      <c r="N778" s="1" t="s">
        <v>131</v>
      </c>
      <c r="O778" s="3"/>
      <c r="R778" s="1" t="s">
        <v>137</v>
      </c>
      <c r="S778" s="1" t="s">
        <v>137</v>
      </c>
      <c r="T778" s="1" t="s">
        <v>47</v>
      </c>
      <c r="U778" s="1" t="s">
        <v>4301</v>
      </c>
    </row>
    <row r="779">
      <c r="A779" s="1" t="s">
        <v>12648</v>
      </c>
      <c r="B779" s="1" t="s">
        <v>4293</v>
      </c>
      <c r="C779" s="1" t="s">
        <v>14626</v>
      </c>
      <c r="D779" s="1" t="s">
        <v>1477</v>
      </c>
      <c r="E779" s="1" t="s">
        <v>292</v>
      </c>
      <c r="F779" s="1" t="s">
        <v>962</v>
      </c>
      <c r="G779" s="1" t="s">
        <v>5600</v>
      </c>
      <c r="H779" s="3">
        <v>44998.0</v>
      </c>
      <c r="I779" s="3">
        <v>45302.0</v>
      </c>
      <c r="J779" s="3">
        <v>45302.0</v>
      </c>
      <c r="K779" s="1" t="s">
        <v>215</v>
      </c>
      <c r="L779" s="1" t="s">
        <v>160</v>
      </c>
      <c r="M779" s="1" t="s">
        <v>216</v>
      </c>
      <c r="N779" s="1" t="s">
        <v>131</v>
      </c>
      <c r="O779" s="3"/>
      <c r="R779" s="1" t="s">
        <v>137</v>
      </c>
      <c r="S779" s="1" t="s">
        <v>137</v>
      </c>
      <c r="T779" s="1" t="s">
        <v>47</v>
      </c>
      <c r="U779" s="1" t="s">
        <v>4301</v>
      </c>
    </row>
    <row r="780">
      <c r="A780" s="1" t="s">
        <v>11876</v>
      </c>
      <c r="B780" s="1" t="s">
        <v>4293</v>
      </c>
      <c r="C780" s="1" t="s">
        <v>14628</v>
      </c>
      <c r="D780" s="1" t="s">
        <v>313</v>
      </c>
      <c r="E780" s="1" t="s">
        <v>175</v>
      </c>
      <c r="F780" s="1" t="s">
        <v>1767</v>
      </c>
      <c r="G780" s="1" t="s">
        <v>2199</v>
      </c>
      <c r="H780" s="3">
        <v>44348.0</v>
      </c>
      <c r="I780" s="3">
        <v>44428.0</v>
      </c>
      <c r="J780" s="3">
        <v>44428.0</v>
      </c>
      <c r="K780" s="1" t="s">
        <v>215</v>
      </c>
      <c r="L780" s="1" t="s">
        <v>160</v>
      </c>
      <c r="M780" s="1" t="s">
        <v>216</v>
      </c>
      <c r="N780" s="1" t="s">
        <v>131</v>
      </c>
      <c r="O780" s="3"/>
      <c r="R780" s="1" t="s">
        <v>137</v>
      </c>
      <c r="S780" s="1" t="s">
        <v>137</v>
      </c>
      <c r="T780" s="1" t="s">
        <v>47</v>
      </c>
      <c r="U780" s="1" t="s">
        <v>4301</v>
      </c>
    </row>
    <row r="781">
      <c r="A781" s="1" t="s">
        <v>2334</v>
      </c>
      <c r="B781" s="1" t="s">
        <v>116</v>
      </c>
      <c r="C781" s="1" t="s">
        <v>3569</v>
      </c>
      <c r="D781" s="1" t="s">
        <v>194</v>
      </c>
      <c r="E781" s="1" t="s">
        <v>889</v>
      </c>
      <c r="F781" s="1" t="s">
        <v>2614</v>
      </c>
      <c r="G781" s="1" t="s">
        <v>2650</v>
      </c>
      <c r="H781" s="3">
        <v>46129.0</v>
      </c>
      <c r="I781" s="3">
        <v>46185.0</v>
      </c>
      <c r="J781" s="3">
        <v>46185.0</v>
      </c>
      <c r="K781" s="1" t="s">
        <v>215</v>
      </c>
      <c r="L781" s="1" t="s">
        <v>71</v>
      </c>
      <c r="M781" s="1" t="s">
        <v>216</v>
      </c>
      <c r="N781" s="1" t="s">
        <v>131</v>
      </c>
      <c r="O781" s="3">
        <v>46185.0</v>
      </c>
      <c r="R781" s="1" t="s">
        <v>137</v>
      </c>
      <c r="S781" s="1" t="s">
        <v>137</v>
      </c>
      <c r="T781" s="1" t="s">
        <v>47</v>
      </c>
      <c r="U781" s="1" t="s">
        <v>3894</v>
      </c>
    </row>
    <row r="782">
      <c r="A782" s="1" t="s">
        <v>7052</v>
      </c>
      <c r="B782" s="1" t="s">
        <v>4293</v>
      </c>
      <c r="C782" s="1" t="s">
        <v>14631</v>
      </c>
      <c r="D782" s="1" t="s">
        <v>118</v>
      </c>
      <c r="E782" s="1" t="s">
        <v>330</v>
      </c>
      <c r="F782" s="1" t="s">
        <v>356</v>
      </c>
      <c r="G782" s="1" t="s">
        <v>3203</v>
      </c>
      <c r="H782" s="3">
        <v>45420.0</v>
      </c>
      <c r="I782" s="3">
        <v>45467.0</v>
      </c>
      <c r="J782" s="3">
        <v>45467.0</v>
      </c>
      <c r="K782" s="1" t="s">
        <v>215</v>
      </c>
      <c r="L782" s="1" t="s">
        <v>160</v>
      </c>
      <c r="M782" s="1" t="s">
        <v>216</v>
      </c>
      <c r="N782" s="1" t="s">
        <v>131</v>
      </c>
      <c r="R782" s="1" t="s">
        <v>137</v>
      </c>
      <c r="S782" s="1" t="s">
        <v>137</v>
      </c>
      <c r="T782" s="1" t="s">
        <v>47</v>
      </c>
      <c r="U782" s="1" t="s">
        <v>4301</v>
      </c>
    </row>
    <row r="783">
      <c r="A783" s="1" t="s">
        <v>11009</v>
      </c>
      <c r="B783" s="1" t="s">
        <v>4293</v>
      </c>
      <c r="C783" s="1" t="s">
        <v>14634</v>
      </c>
      <c r="D783" s="1" t="s">
        <v>152</v>
      </c>
      <c r="E783" s="1" t="s">
        <v>119</v>
      </c>
      <c r="F783" s="1" t="s">
        <v>389</v>
      </c>
      <c r="G783" s="1" t="s">
        <v>389</v>
      </c>
      <c r="H783" s="3">
        <v>44148.0</v>
      </c>
      <c r="I783" s="3">
        <v>44301.0</v>
      </c>
      <c r="J783" s="3">
        <v>44301.0</v>
      </c>
      <c r="K783" s="1" t="s">
        <v>215</v>
      </c>
      <c r="L783" s="1" t="s">
        <v>160</v>
      </c>
      <c r="M783" s="1" t="s">
        <v>216</v>
      </c>
      <c r="N783" s="1" t="s">
        <v>131</v>
      </c>
      <c r="R783" s="1" t="s">
        <v>137</v>
      </c>
      <c r="S783" s="1" t="s">
        <v>137</v>
      </c>
      <c r="T783" s="1" t="s">
        <v>47</v>
      </c>
      <c r="U783" s="1" t="s">
        <v>4301</v>
      </c>
    </row>
    <row r="784">
      <c r="A784" s="1" t="s">
        <v>7130</v>
      </c>
      <c r="B784" s="1" t="s">
        <v>4293</v>
      </c>
      <c r="C784" s="1" t="s">
        <v>14636</v>
      </c>
      <c r="D784" s="1" t="s">
        <v>1477</v>
      </c>
      <c r="E784" s="1" t="s">
        <v>175</v>
      </c>
      <c r="F784" s="1" t="s">
        <v>763</v>
      </c>
      <c r="G784" s="1" t="s">
        <v>3768</v>
      </c>
      <c r="H784" s="3">
        <v>45832.0</v>
      </c>
      <c r="I784" s="3">
        <v>45909.0</v>
      </c>
      <c r="J784" s="3">
        <v>45909.0</v>
      </c>
      <c r="K784" s="1" t="s">
        <v>215</v>
      </c>
      <c r="L784" s="1" t="s">
        <v>160</v>
      </c>
      <c r="M784" s="1" t="s">
        <v>216</v>
      </c>
      <c r="N784" s="1" t="s">
        <v>131</v>
      </c>
      <c r="P784" s="1"/>
      <c r="R784" s="1" t="s">
        <v>137</v>
      </c>
      <c r="S784" s="1" t="s">
        <v>137</v>
      </c>
      <c r="T784" s="1" t="s">
        <v>47</v>
      </c>
      <c r="U784" s="1" t="s">
        <v>4301</v>
      </c>
    </row>
    <row r="785">
      <c r="A785" s="1" t="s">
        <v>6141</v>
      </c>
      <c r="B785" s="1" t="s">
        <v>4293</v>
      </c>
      <c r="C785" s="1" t="s">
        <v>14638</v>
      </c>
      <c r="D785" s="1" t="s">
        <v>1477</v>
      </c>
      <c r="E785" s="1" t="s">
        <v>209</v>
      </c>
      <c r="F785" s="1" t="s">
        <v>398</v>
      </c>
      <c r="G785" s="1" t="s">
        <v>1587</v>
      </c>
      <c r="H785" s="3">
        <v>44748.0</v>
      </c>
      <c r="I785" s="3">
        <v>45013.0</v>
      </c>
      <c r="J785" s="3">
        <v>45013.0</v>
      </c>
      <c r="K785" s="1" t="s">
        <v>215</v>
      </c>
      <c r="L785" s="1" t="s">
        <v>160</v>
      </c>
      <c r="M785" s="1" t="s">
        <v>216</v>
      </c>
      <c r="N785" s="1" t="s">
        <v>131</v>
      </c>
      <c r="P785" s="1"/>
      <c r="R785" s="1" t="s">
        <v>137</v>
      </c>
      <c r="S785" s="1" t="s">
        <v>137</v>
      </c>
      <c r="T785" s="1" t="s">
        <v>47</v>
      </c>
      <c r="U785" s="1" t="s">
        <v>4301</v>
      </c>
    </row>
    <row r="786">
      <c r="A786" s="1" t="s">
        <v>10354</v>
      </c>
      <c r="B786" s="1" t="s">
        <v>4293</v>
      </c>
      <c r="C786" s="1" t="s">
        <v>14641</v>
      </c>
      <c r="D786" s="1" t="s">
        <v>172</v>
      </c>
      <c r="E786" s="1" t="s">
        <v>292</v>
      </c>
      <c r="F786" s="1" t="s">
        <v>468</v>
      </c>
      <c r="G786" s="1" t="s">
        <v>1758</v>
      </c>
      <c r="H786" s="3">
        <v>45307.0</v>
      </c>
      <c r="I786" s="3">
        <v>45495.0</v>
      </c>
      <c r="J786" s="3">
        <v>45495.0</v>
      </c>
      <c r="K786" s="1" t="s">
        <v>215</v>
      </c>
      <c r="L786" s="1" t="s">
        <v>160</v>
      </c>
      <c r="M786" s="1" t="s">
        <v>216</v>
      </c>
      <c r="N786" s="1" t="s">
        <v>131</v>
      </c>
      <c r="R786" s="1" t="s">
        <v>137</v>
      </c>
      <c r="S786" s="1" t="s">
        <v>137</v>
      </c>
      <c r="T786" s="1" t="s">
        <v>47</v>
      </c>
      <c r="U786" s="1" t="s">
        <v>4301</v>
      </c>
    </row>
    <row r="787">
      <c r="A787" s="1" t="s">
        <v>9647</v>
      </c>
      <c r="B787" s="1" t="s">
        <v>4293</v>
      </c>
      <c r="C787" s="1" t="s">
        <v>14642</v>
      </c>
      <c r="D787" s="1" t="s">
        <v>657</v>
      </c>
      <c r="E787" s="1" t="s">
        <v>175</v>
      </c>
      <c r="F787" s="1" t="s">
        <v>3592</v>
      </c>
      <c r="G787" s="1" t="s">
        <v>11601</v>
      </c>
      <c r="H787" s="3">
        <v>44653.0</v>
      </c>
      <c r="I787" s="3">
        <v>44799.0</v>
      </c>
      <c r="J787" s="3">
        <v>44799.0</v>
      </c>
      <c r="K787" s="1" t="s">
        <v>215</v>
      </c>
      <c r="L787" s="1" t="s">
        <v>160</v>
      </c>
      <c r="M787" s="1" t="s">
        <v>216</v>
      </c>
      <c r="N787" s="1" t="s">
        <v>131</v>
      </c>
      <c r="P787" s="1"/>
      <c r="R787" s="1" t="s">
        <v>137</v>
      </c>
      <c r="S787" s="1" t="s">
        <v>137</v>
      </c>
      <c r="T787" s="1" t="s">
        <v>47</v>
      </c>
      <c r="U787" s="1" t="s">
        <v>4301</v>
      </c>
    </row>
    <row r="788">
      <c r="A788" s="1" t="s">
        <v>6930</v>
      </c>
      <c r="B788" s="1" t="s">
        <v>4293</v>
      </c>
      <c r="C788" s="1" t="s">
        <v>14645</v>
      </c>
      <c r="D788" s="1" t="s">
        <v>291</v>
      </c>
      <c r="E788" s="1" t="s">
        <v>292</v>
      </c>
      <c r="F788" s="1" t="s">
        <v>494</v>
      </c>
      <c r="G788" s="1" t="s">
        <v>1784</v>
      </c>
      <c r="H788" s="3">
        <v>45700.0</v>
      </c>
      <c r="I788" s="3">
        <v>45819.0</v>
      </c>
      <c r="J788" s="3">
        <v>45819.0</v>
      </c>
      <c r="K788" s="1" t="s">
        <v>215</v>
      </c>
      <c r="L788" s="1" t="s">
        <v>160</v>
      </c>
      <c r="M788" s="1" t="s">
        <v>216</v>
      </c>
      <c r="N788" s="1" t="s">
        <v>131</v>
      </c>
      <c r="R788" s="1" t="s">
        <v>137</v>
      </c>
      <c r="S788" s="1" t="s">
        <v>137</v>
      </c>
      <c r="T788" s="1" t="s">
        <v>47</v>
      </c>
      <c r="U788" s="1" t="s">
        <v>4301</v>
      </c>
    </row>
    <row r="789">
      <c r="A789" s="1" t="s">
        <v>12476</v>
      </c>
      <c r="B789" s="1" t="s">
        <v>4293</v>
      </c>
      <c r="C789" s="1" t="s">
        <v>14647</v>
      </c>
      <c r="D789" s="1" t="s">
        <v>518</v>
      </c>
      <c r="E789" s="1" t="s">
        <v>520</v>
      </c>
      <c r="F789" s="1" t="s">
        <v>522</v>
      </c>
      <c r="G789" s="1" t="s">
        <v>4985</v>
      </c>
      <c r="H789" s="3">
        <v>44314.0</v>
      </c>
      <c r="I789" s="3">
        <v>44295.0</v>
      </c>
      <c r="J789" s="3">
        <v>44295.0</v>
      </c>
      <c r="K789" s="1" t="s">
        <v>215</v>
      </c>
      <c r="L789" s="1" t="s">
        <v>160</v>
      </c>
      <c r="M789" s="1" t="s">
        <v>216</v>
      </c>
      <c r="N789" s="1" t="s">
        <v>131</v>
      </c>
      <c r="P789" s="1"/>
      <c r="R789" s="1" t="s">
        <v>137</v>
      </c>
      <c r="S789" s="1" t="s">
        <v>137</v>
      </c>
      <c r="T789" s="1" t="s">
        <v>47</v>
      </c>
      <c r="U789" s="1" t="s">
        <v>4301</v>
      </c>
    </row>
    <row r="790">
      <c r="A790" s="1" t="s">
        <v>5708</v>
      </c>
      <c r="B790" s="1" t="s">
        <v>4293</v>
      </c>
      <c r="C790" s="1" t="s">
        <v>14649</v>
      </c>
      <c r="D790" s="1" t="s">
        <v>1798</v>
      </c>
      <c r="E790" s="1" t="s">
        <v>175</v>
      </c>
      <c r="F790" s="1" t="s">
        <v>1116</v>
      </c>
      <c r="G790" s="1" t="s">
        <v>4621</v>
      </c>
      <c r="H790" s="3">
        <v>43452.0</v>
      </c>
      <c r="I790" s="3">
        <v>43592.0</v>
      </c>
      <c r="J790" s="3">
        <v>43592.0</v>
      </c>
      <c r="K790" s="1" t="s">
        <v>215</v>
      </c>
      <c r="L790" s="1" t="s">
        <v>160</v>
      </c>
      <c r="M790" s="1" t="s">
        <v>216</v>
      </c>
      <c r="N790" s="1" t="s">
        <v>131</v>
      </c>
      <c r="P790" s="1"/>
      <c r="R790" s="1" t="s">
        <v>137</v>
      </c>
      <c r="S790" s="1" t="s">
        <v>137</v>
      </c>
      <c r="T790" s="1" t="s">
        <v>47</v>
      </c>
      <c r="U790" s="1" t="s">
        <v>4301</v>
      </c>
    </row>
    <row r="791">
      <c r="A791" s="1" t="s">
        <v>12485</v>
      </c>
      <c r="B791" s="1" t="s">
        <v>4293</v>
      </c>
      <c r="C791" s="1" t="s">
        <v>14651</v>
      </c>
      <c r="D791" s="1" t="s">
        <v>777</v>
      </c>
      <c r="E791" s="1" t="s">
        <v>175</v>
      </c>
      <c r="F791" s="1" t="s">
        <v>763</v>
      </c>
      <c r="G791" s="1" t="s">
        <v>764</v>
      </c>
      <c r="H791" s="3">
        <v>44462.0</v>
      </c>
      <c r="I791" s="3">
        <v>44463.0</v>
      </c>
      <c r="J791" s="3">
        <v>44463.0</v>
      </c>
      <c r="K791" s="1" t="s">
        <v>215</v>
      </c>
      <c r="L791" s="1" t="s">
        <v>160</v>
      </c>
      <c r="M791" s="1" t="s">
        <v>216</v>
      </c>
      <c r="N791" s="1" t="s">
        <v>131</v>
      </c>
      <c r="P791" s="1"/>
      <c r="R791" s="1" t="s">
        <v>137</v>
      </c>
      <c r="S791" s="1" t="s">
        <v>137</v>
      </c>
      <c r="T791" s="1" t="s">
        <v>47</v>
      </c>
      <c r="U791" s="1" t="s">
        <v>4301</v>
      </c>
    </row>
    <row r="792">
      <c r="A792" s="1" t="s">
        <v>3573</v>
      </c>
      <c r="B792" s="1" t="s">
        <v>3246</v>
      </c>
      <c r="C792" s="1" t="s">
        <v>3575</v>
      </c>
      <c r="D792" s="1" t="s">
        <v>118</v>
      </c>
      <c r="E792" s="1" t="s">
        <v>330</v>
      </c>
      <c r="F792" s="1" t="s">
        <v>663</v>
      </c>
      <c r="G792" s="1" t="s">
        <v>3576</v>
      </c>
      <c r="H792" s="3">
        <v>46121.0</v>
      </c>
      <c r="K792" s="1" t="s">
        <v>124</v>
      </c>
      <c r="L792" s="1" t="s">
        <v>160</v>
      </c>
      <c r="M792" s="1" t="s">
        <v>129</v>
      </c>
      <c r="N792" s="1" t="s">
        <v>131</v>
      </c>
      <c r="P792" s="1"/>
      <c r="R792" s="1" t="s">
        <v>137</v>
      </c>
      <c r="S792" s="1" t="s">
        <v>137</v>
      </c>
      <c r="T792" s="1" t="s">
        <v>47</v>
      </c>
      <c r="U792" s="1"/>
    </row>
    <row r="793">
      <c r="A793" s="1" t="s">
        <v>2362</v>
      </c>
      <c r="B793" s="1" t="s">
        <v>116</v>
      </c>
      <c r="C793" s="1" t="s">
        <v>3578</v>
      </c>
      <c r="D793" s="1" t="s">
        <v>273</v>
      </c>
      <c r="E793" s="1" t="s">
        <v>330</v>
      </c>
      <c r="F793" s="1" t="s">
        <v>663</v>
      </c>
      <c r="G793" s="1" t="s">
        <v>664</v>
      </c>
      <c r="H793" s="3">
        <v>46129.0</v>
      </c>
      <c r="I793" s="3"/>
      <c r="J793" s="3"/>
      <c r="K793" s="1" t="s">
        <v>124</v>
      </c>
      <c r="L793" s="1" t="s">
        <v>71</v>
      </c>
      <c r="M793" s="1" t="s">
        <v>162</v>
      </c>
      <c r="N793" s="1" t="s">
        <v>131</v>
      </c>
      <c r="P793" s="1" t="s">
        <v>3581</v>
      </c>
      <c r="R793" s="1" t="s">
        <v>137</v>
      </c>
      <c r="S793" s="1" t="s">
        <v>137</v>
      </c>
      <c r="T793" s="1" t="s">
        <v>47</v>
      </c>
      <c r="U793" s="1" t="s">
        <v>14655</v>
      </c>
    </row>
    <row r="794">
      <c r="A794" s="1" t="s">
        <v>7063</v>
      </c>
      <c r="B794" s="1" t="s">
        <v>4293</v>
      </c>
      <c r="C794" s="1" t="s">
        <v>14656</v>
      </c>
      <c r="D794" s="1" t="s">
        <v>243</v>
      </c>
      <c r="E794" s="1" t="s">
        <v>292</v>
      </c>
      <c r="F794" s="1" t="s">
        <v>494</v>
      </c>
      <c r="G794" s="1" t="s">
        <v>2278</v>
      </c>
      <c r="H794" s="3">
        <v>45763.0</v>
      </c>
      <c r="I794" s="3">
        <v>46029.0</v>
      </c>
      <c r="J794" s="3">
        <v>46029.0</v>
      </c>
      <c r="K794" s="1" t="s">
        <v>215</v>
      </c>
      <c r="L794" s="1" t="s">
        <v>160</v>
      </c>
      <c r="M794" s="1" t="s">
        <v>216</v>
      </c>
      <c r="N794" s="1" t="s">
        <v>131</v>
      </c>
      <c r="R794" s="1" t="s">
        <v>137</v>
      </c>
      <c r="S794" s="1" t="s">
        <v>137</v>
      </c>
      <c r="T794" s="1" t="s">
        <v>47</v>
      </c>
      <c r="U794" s="1" t="s">
        <v>4301</v>
      </c>
    </row>
    <row r="795">
      <c r="A795" s="1" t="s">
        <v>12512</v>
      </c>
      <c r="B795" s="1" t="s">
        <v>4293</v>
      </c>
      <c r="C795" s="1" t="s">
        <v>14659</v>
      </c>
      <c r="D795" s="1" t="s">
        <v>1477</v>
      </c>
      <c r="E795" s="1" t="s">
        <v>292</v>
      </c>
      <c r="F795" s="1" t="s">
        <v>962</v>
      </c>
      <c r="G795" s="1" t="s">
        <v>5600</v>
      </c>
      <c r="H795" s="3">
        <v>45832.0</v>
      </c>
      <c r="I795" s="3">
        <v>45909.0</v>
      </c>
      <c r="J795" s="3">
        <v>45909.0</v>
      </c>
      <c r="K795" s="1" t="s">
        <v>215</v>
      </c>
      <c r="L795" s="1" t="s">
        <v>160</v>
      </c>
      <c r="M795" s="1" t="s">
        <v>216</v>
      </c>
      <c r="N795" s="1" t="s">
        <v>131</v>
      </c>
      <c r="P795" s="1"/>
      <c r="R795" s="1" t="s">
        <v>137</v>
      </c>
      <c r="S795" s="1" t="s">
        <v>137</v>
      </c>
      <c r="T795" s="1" t="s">
        <v>47</v>
      </c>
      <c r="U795" s="1" t="s">
        <v>4301</v>
      </c>
    </row>
    <row r="796">
      <c r="A796" s="1" t="s">
        <v>12360</v>
      </c>
      <c r="B796" s="1" t="s">
        <v>4293</v>
      </c>
      <c r="C796" s="1" t="s">
        <v>14660</v>
      </c>
      <c r="D796" s="1" t="s">
        <v>492</v>
      </c>
      <c r="E796" s="1" t="s">
        <v>175</v>
      </c>
      <c r="F796" s="1" t="s">
        <v>3128</v>
      </c>
      <c r="G796" s="1" t="s">
        <v>3129</v>
      </c>
      <c r="H796" s="3">
        <v>45098.0</v>
      </c>
      <c r="I796" s="3">
        <v>45379.0</v>
      </c>
      <c r="J796" s="3">
        <v>45379.0</v>
      </c>
      <c r="K796" s="1" t="s">
        <v>215</v>
      </c>
      <c r="L796" s="1" t="s">
        <v>160</v>
      </c>
      <c r="M796" s="1" t="s">
        <v>216</v>
      </c>
      <c r="N796" s="1" t="s">
        <v>131</v>
      </c>
      <c r="P796" s="1"/>
      <c r="R796" s="1" t="s">
        <v>137</v>
      </c>
      <c r="S796" s="1" t="s">
        <v>137</v>
      </c>
      <c r="T796" s="1" t="s">
        <v>47</v>
      </c>
      <c r="U796" s="1" t="s">
        <v>4301</v>
      </c>
    </row>
    <row r="797">
      <c r="A797" s="1" t="s">
        <v>8729</v>
      </c>
      <c r="B797" s="1" t="s">
        <v>4293</v>
      </c>
      <c r="C797" s="1" t="s">
        <v>14661</v>
      </c>
      <c r="D797" s="1" t="s">
        <v>152</v>
      </c>
      <c r="E797" s="1" t="s">
        <v>175</v>
      </c>
      <c r="F797" s="1" t="s">
        <v>245</v>
      </c>
      <c r="G797" s="1" t="s">
        <v>6501</v>
      </c>
      <c r="H797" s="3">
        <v>44692.0</v>
      </c>
      <c r="I797" s="3">
        <v>44929.0</v>
      </c>
      <c r="J797" s="3">
        <v>44929.0</v>
      </c>
      <c r="K797" s="1" t="s">
        <v>215</v>
      </c>
      <c r="L797" s="1" t="s">
        <v>160</v>
      </c>
      <c r="M797" s="1" t="s">
        <v>216</v>
      </c>
      <c r="N797" s="1" t="s">
        <v>131</v>
      </c>
      <c r="P797" s="1"/>
      <c r="R797" s="1" t="s">
        <v>137</v>
      </c>
      <c r="S797" s="1" t="s">
        <v>137</v>
      </c>
      <c r="T797" s="1" t="s">
        <v>47</v>
      </c>
      <c r="U797" s="1" t="s">
        <v>4301</v>
      </c>
    </row>
    <row r="798">
      <c r="A798" s="1" t="s">
        <v>8875</v>
      </c>
      <c r="B798" s="1" t="s">
        <v>4293</v>
      </c>
      <c r="C798" s="1" t="s">
        <v>14664</v>
      </c>
      <c r="D798" s="1" t="s">
        <v>919</v>
      </c>
      <c r="E798" s="1" t="s">
        <v>330</v>
      </c>
      <c r="F798" s="1" t="s">
        <v>663</v>
      </c>
      <c r="G798" s="1" t="s">
        <v>2835</v>
      </c>
      <c r="H798" s="3">
        <v>44820.0</v>
      </c>
      <c r="I798" s="3"/>
      <c r="K798" s="1" t="s">
        <v>124</v>
      </c>
      <c r="L798" s="1" t="s">
        <v>160</v>
      </c>
      <c r="M798" s="1" t="s">
        <v>253</v>
      </c>
      <c r="N798" s="1" t="s">
        <v>131</v>
      </c>
      <c r="P798" s="1"/>
      <c r="R798" s="1" t="s">
        <v>137</v>
      </c>
      <c r="S798" s="1" t="s">
        <v>137</v>
      </c>
      <c r="T798" s="1" t="s">
        <v>47</v>
      </c>
      <c r="U798" s="1" t="s">
        <v>4301</v>
      </c>
    </row>
    <row r="799">
      <c r="A799" s="1" t="s">
        <v>3590</v>
      </c>
      <c r="B799" s="1" t="s">
        <v>3246</v>
      </c>
      <c r="C799" s="1" t="s">
        <v>3591</v>
      </c>
      <c r="D799" s="1" t="s">
        <v>1477</v>
      </c>
      <c r="E799" s="1" t="s">
        <v>175</v>
      </c>
      <c r="F799" s="1" t="s">
        <v>3592</v>
      </c>
      <c r="G799" s="1" t="s">
        <v>3593</v>
      </c>
      <c r="H799" s="3">
        <v>46275.0</v>
      </c>
      <c r="I799" s="3">
        <v>46456.0</v>
      </c>
      <c r="J799" s="3"/>
      <c r="K799" s="1" t="s">
        <v>124</v>
      </c>
      <c r="L799" s="1" t="s">
        <v>71</v>
      </c>
      <c r="M799" s="1" t="s">
        <v>335</v>
      </c>
      <c r="N799" s="1" t="s">
        <v>131</v>
      </c>
      <c r="P799" s="1" t="s">
        <v>2077</v>
      </c>
      <c r="R799" s="1" t="s">
        <v>137</v>
      </c>
      <c r="S799" s="1" t="s">
        <v>137</v>
      </c>
      <c r="T799" s="1" t="s">
        <v>47</v>
      </c>
      <c r="U799" s="1" t="s">
        <v>4101</v>
      </c>
    </row>
    <row r="800">
      <c r="A800" s="1" t="s">
        <v>8645</v>
      </c>
      <c r="B800" s="1" t="s">
        <v>4293</v>
      </c>
      <c r="C800" s="1" t="s">
        <v>14667</v>
      </c>
      <c r="D800" s="1" t="s">
        <v>3408</v>
      </c>
      <c r="E800" s="1" t="s">
        <v>292</v>
      </c>
      <c r="F800" s="1" t="s">
        <v>962</v>
      </c>
      <c r="G800" s="1" t="s">
        <v>5046</v>
      </c>
      <c r="H800" s="3">
        <v>44419.0</v>
      </c>
      <c r="I800" s="3">
        <v>44435.0</v>
      </c>
      <c r="J800" s="3">
        <v>44435.0</v>
      </c>
      <c r="K800" s="1" t="s">
        <v>215</v>
      </c>
      <c r="L800" s="1" t="s">
        <v>160</v>
      </c>
      <c r="M800" s="1" t="s">
        <v>216</v>
      </c>
      <c r="N800" s="1" t="s">
        <v>131</v>
      </c>
      <c r="R800" s="1" t="s">
        <v>137</v>
      </c>
      <c r="S800" s="1" t="s">
        <v>137</v>
      </c>
      <c r="T800" s="1" t="s">
        <v>47</v>
      </c>
      <c r="U800" s="1" t="s">
        <v>4301</v>
      </c>
    </row>
    <row r="801">
      <c r="A801" s="1" t="s">
        <v>9691</v>
      </c>
      <c r="B801" s="1" t="s">
        <v>4293</v>
      </c>
      <c r="C801" s="1" t="s">
        <v>14670</v>
      </c>
      <c r="D801" s="1" t="s">
        <v>152</v>
      </c>
      <c r="E801" s="1" t="s">
        <v>292</v>
      </c>
      <c r="F801" s="1" t="s">
        <v>468</v>
      </c>
      <c r="G801" s="1" t="s">
        <v>1758</v>
      </c>
      <c r="H801" s="3">
        <v>43943.0</v>
      </c>
      <c r="I801" s="3">
        <v>43997.0</v>
      </c>
      <c r="J801" s="3">
        <v>43997.0</v>
      </c>
      <c r="K801" s="1" t="s">
        <v>215</v>
      </c>
      <c r="L801" s="1" t="s">
        <v>160</v>
      </c>
      <c r="M801" s="1" t="s">
        <v>216</v>
      </c>
      <c r="N801" s="1" t="s">
        <v>131</v>
      </c>
      <c r="R801" s="1" t="s">
        <v>137</v>
      </c>
      <c r="S801" s="1" t="s">
        <v>137</v>
      </c>
      <c r="T801" s="1" t="s">
        <v>47</v>
      </c>
      <c r="U801" s="1" t="s">
        <v>4301</v>
      </c>
    </row>
    <row r="802">
      <c r="A802" s="1" t="s">
        <v>7951</v>
      </c>
      <c r="B802" s="1" t="s">
        <v>4293</v>
      </c>
      <c r="C802" s="1" t="s">
        <v>14671</v>
      </c>
      <c r="D802" s="1" t="s">
        <v>777</v>
      </c>
      <c r="E802" s="1" t="s">
        <v>175</v>
      </c>
      <c r="F802" s="1" t="s">
        <v>3128</v>
      </c>
      <c r="G802" s="1" t="s">
        <v>9334</v>
      </c>
      <c r="H802" s="3">
        <v>45525.0</v>
      </c>
      <c r="I802" s="3">
        <v>45748.0</v>
      </c>
      <c r="J802" s="3">
        <v>45748.0</v>
      </c>
      <c r="K802" s="1" t="s">
        <v>215</v>
      </c>
      <c r="L802" s="1" t="s">
        <v>160</v>
      </c>
      <c r="M802" s="1" t="s">
        <v>216</v>
      </c>
      <c r="N802" s="1" t="s">
        <v>131</v>
      </c>
      <c r="R802" s="1" t="s">
        <v>137</v>
      </c>
      <c r="S802" s="1" t="s">
        <v>137</v>
      </c>
      <c r="T802" s="1" t="s">
        <v>47</v>
      </c>
      <c r="U802" s="1" t="s">
        <v>4301</v>
      </c>
    </row>
    <row r="803">
      <c r="A803" s="1" t="s">
        <v>8307</v>
      </c>
      <c r="B803" s="1" t="s">
        <v>4293</v>
      </c>
      <c r="C803" s="1" t="s">
        <v>14674</v>
      </c>
      <c r="D803" s="1" t="s">
        <v>1823</v>
      </c>
      <c r="E803" s="1" t="s">
        <v>292</v>
      </c>
      <c r="F803" s="1" t="s">
        <v>962</v>
      </c>
      <c r="G803" s="1" t="s">
        <v>4470</v>
      </c>
      <c r="H803" s="3">
        <v>43700.0</v>
      </c>
      <c r="I803" s="3">
        <v>43777.0</v>
      </c>
      <c r="J803" s="3">
        <v>43777.0</v>
      </c>
      <c r="K803" s="1" t="s">
        <v>215</v>
      </c>
      <c r="L803" s="1" t="s">
        <v>160</v>
      </c>
      <c r="M803" s="1" t="s">
        <v>216</v>
      </c>
      <c r="N803" s="1" t="s">
        <v>131</v>
      </c>
      <c r="R803" s="1" t="s">
        <v>137</v>
      </c>
      <c r="S803" s="1" t="s">
        <v>137</v>
      </c>
      <c r="T803" s="1" t="s">
        <v>47</v>
      </c>
      <c r="U803" s="1" t="s">
        <v>4301</v>
      </c>
    </row>
    <row r="804">
      <c r="A804" s="1" t="s">
        <v>7328</v>
      </c>
      <c r="B804" s="1" t="s">
        <v>4293</v>
      </c>
      <c r="C804" s="1" t="s">
        <v>14676</v>
      </c>
      <c r="D804" s="1" t="s">
        <v>1776</v>
      </c>
      <c r="E804" s="1" t="s">
        <v>119</v>
      </c>
      <c r="F804" s="1" t="s">
        <v>8013</v>
      </c>
      <c r="G804" s="1" t="s">
        <v>8013</v>
      </c>
      <c r="H804" s="3">
        <v>43816.0</v>
      </c>
      <c r="I804" s="3">
        <v>43816.0</v>
      </c>
      <c r="J804" s="3">
        <v>43816.0</v>
      </c>
      <c r="K804" s="1" t="s">
        <v>215</v>
      </c>
      <c r="L804" s="1" t="s">
        <v>160</v>
      </c>
      <c r="M804" s="1" t="s">
        <v>216</v>
      </c>
      <c r="N804" s="1" t="s">
        <v>131</v>
      </c>
      <c r="P804" s="1"/>
      <c r="R804" s="1" t="s">
        <v>137</v>
      </c>
      <c r="S804" s="1" t="s">
        <v>137</v>
      </c>
      <c r="T804" s="1" t="s">
        <v>47</v>
      </c>
      <c r="U804" s="1" t="s">
        <v>4301</v>
      </c>
    </row>
    <row r="805">
      <c r="A805" s="1" t="s">
        <v>6311</v>
      </c>
      <c r="B805" s="1" t="s">
        <v>4293</v>
      </c>
      <c r="C805" s="1" t="s">
        <v>14678</v>
      </c>
      <c r="D805" s="1" t="s">
        <v>291</v>
      </c>
      <c r="E805" s="1" t="s">
        <v>691</v>
      </c>
      <c r="F805" s="1" t="s">
        <v>11345</v>
      </c>
      <c r="G805" s="1" t="s">
        <v>11347</v>
      </c>
      <c r="H805" s="3">
        <v>44539.0</v>
      </c>
      <c r="I805" s="3">
        <v>44742.0</v>
      </c>
      <c r="J805" s="3">
        <v>44742.0</v>
      </c>
      <c r="K805" s="1" t="s">
        <v>215</v>
      </c>
      <c r="L805" s="1" t="s">
        <v>160</v>
      </c>
      <c r="M805" s="1" t="s">
        <v>216</v>
      </c>
      <c r="N805" s="1" t="s">
        <v>131</v>
      </c>
      <c r="P805" s="1"/>
      <c r="R805" s="1" t="s">
        <v>137</v>
      </c>
      <c r="S805" s="1" t="s">
        <v>137</v>
      </c>
      <c r="T805" s="1" t="s">
        <v>47</v>
      </c>
      <c r="U805" s="1" t="s">
        <v>4301</v>
      </c>
    </row>
    <row r="806">
      <c r="A806" s="1" t="s">
        <v>13954</v>
      </c>
      <c r="B806" s="1" t="s">
        <v>4293</v>
      </c>
      <c r="C806" s="1" t="s">
        <v>14681</v>
      </c>
      <c r="D806" s="1" t="s">
        <v>417</v>
      </c>
      <c r="E806" s="1" t="s">
        <v>292</v>
      </c>
      <c r="F806" s="1" t="s">
        <v>962</v>
      </c>
      <c r="G806" s="1" t="s">
        <v>5046</v>
      </c>
      <c r="H806" s="3">
        <v>45814.0</v>
      </c>
      <c r="I806" s="3"/>
      <c r="J806" s="3"/>
      <c r="K806" s="1" t="s">
        <v>124</v>
      </c>
      <c r="L806" s="1" t="s">
        <v>160</v>
      </c>
      <c r="M806" s="1" t="s">
        <v>253</v>
      </c>
      <c r="N806" s="1" t="s">
        <v>131</v>
      </c>
      <c r="R806" s="1" t="s">
        <v>137</v>
      </c>
      <c r="S806" s="1" t="s">
        <v>137</v>
      </c>
      <c r="T806" s="1" t="s">
        <v>47</v>
      </c>
      <c r="U806" s="1" t="s">
        <v>4301</v>
      </c>
    </row>
    <row r="807">
      <c r="A807" s="1" t="s">
        <v>6192</v>
      </c>
      <c r="B807" s="1" t="s">
        <v>4293</v>
      </c>
      <c r="C807" s="1" t="s">
        <v>14684</v>
      </c>
      <c r="D807" s="1" t="s">
        <v>1291</v>
      </c>
      <c r="E807" s="1" t="s">
        <v>292</v>
      </c>
      <c r="F807" s="1" t="s">
        <v>576</v>
      </c>
      <c r="G807" s="1" t="s">
        <v>998</v>
      </c>
      <c r="H807" s="3">
        <v>45770.0</v>
      </c>
      <c r="I807" s="3">
        <v>46084.0</v>
      </c>
      <c r="J807" s="3">
        <v>46084.0</v>
      </c>
      <c r="K807" s="1" t="s">
        <v>215</v>
      </c>
      <c r="L807" s="1" t="s">
        <v>160</v>
      </c>
      <c r="M807" s="1" t="s">
        <v>216</v>
      </c>
      <c r="N807" s="1" t="s">
        <v>131</v>
      </c>
      <c r="P807" s="1"/>
      <c r="R807" s="1" t="s">
        <v>137</v>
      </c>
      <c r="S807" s="1" t="s">
        <v>137</v>
      </c>
      <c r="T807" s="1" t="s">
        <v>47</v>
      </c>
      <c r="U807" s="1" t="s">
        <v>4301</v>
      </c>
    </row>
    <row r="808">
      <c r="A808" s="1" t="s">
        <v>10550</v>
      </c>
      <c r="B808" s="1" t="s">
        <v>4293</v>
      </c>
      <c r="C808" s="1" t="s">
        <v>14686</v>
      </c>
      <c r="D808" s="1" t="s">
        <v>273</v>
      </c>
      <c r="E808" s="1" t="s">
        <v>330</v>
      </c>
      <c r="F808" s="1" t="s">
        <v>331</v>
      </c>
      <c r="G808" s="1" t="s">
        <v>333</v>
      </c>
      <c r="H808" s="3">
        <v>44195.0</v>
      </c>
      <c r="I808" s="3">
        <v>44238.0</v>
      </c>
      <c r="J808" s="3">
        <v>44238.0</v>
      </c>
      <c r="K808" s="1" t="s">
        <v>215</v>
      </c>
      <c r="L808" s="1" t="s">
        <v>160</v>
      </c>
      <c r="M808" s="1" t="s">
        <v>216</v>
      </c>
      <c r="N808" s="1" t="s">
        <v>131</v>
      </c>
      <c r="P808" s="1"/>
      <c r="R808" s="1" t="s">
        <v>137</v>
      </c>
      <c r="S808" s="1" t="s">
        <v>137</v>
      </c>
      <c r="T808" s="1" t="s">
        <v>47</v>
      </c>
      <c r="U808" s="1" t="s">
        <v>4301</v>
      </c>
    </row>
    <row r="809">
      <c r="A809" s="1" t="s">
        <v>6983</v>
      </c>
      <c r="B809" s="1" t="s">
        <v>4293</v>
      </c>
      <c r="C809" s="1" t="s">
        <v>14688</v>
      </c>
      <c r="D809" s="1" t="s">
        <v>1477</v>
      </c>
      <c r="E809" s="1" t="s">
        <v>175</v>
      </c>
      <c r="F809" s="1" t="s">
        <v>245</v>
      </c>
      <c r="G809" s="1" t="s">
        <v>6501</v>
      </c>
      <c r="H809" s="3">
        <v>45125.0</v>
      </c>
      <c r="I809" s="3">
        <v>45567.0</v>
      </c>
      <c r="J809" s="3">
        <v>45567.0</v>
      </c>
      <c r="K809" s="1" t="s">
        <v>215</v>
      </c>
      <c r="L809" s="1" t="s">
        <v>160</v>
      </c>
      <c r="M809" s="1" t="s">
        <v>216</v>
      </c>
      <c r="N809" s="1" t="s">
        <v>131</v>
      </c>
      <c r="P809" s="1"/>
      <c r="R809" s="1" t="s">
        <v>137</v>
      </c>
      <c r="S809" s="1" t="s">
        <v>137</v>
      </c>
      <c r="T809" s="1" t="s">
        <v>47</v>
      </c>
      <c r="U809" s="1" t="s">
        <v>4301</v>
      </c>
    </row>
    <row r="810">
      <c r="A810" s="1" t="s">
        <v>11913</v>
      </c>
      <c r="B810" s="1" t="s">
        <v>4293</v>
      </c>
      <c r="C810" s="1" t="s">
        <v>14690</v>
      </c>
      <c r="D810" s="1" t="s">
        <v>273</v>
      </c>
      <c r="E810" s="1" t="s">
        <v>330</v>
      </c>
      <c r="F810" s="1" t="s">
        <v>356</v>
      </c>
      <c r="G810" s="1" t="s">
        <v>3203</v>
      </c>
      <c r="H810" s="3">
        <v>44985.0</v>
      </c>
      <c r="I810" s="3">
        <v>45196.0</v>
      </c>
      <c r="J810" s="3">
        <v>45196.0</v>
      </c>
      <c r="K810" s="1" t="s">
        <v>215</v>
      </c>
      <c r="L810" s="1" t="s">
        <v>160</v>
      </c>
      <c r="M810" s="1" t="s">
        <v>216</v>
      </c>
      <c r="N810" s="1" t="s">
        <v>131</v>
      </c>
      <c r="P810" s="1"/>
      <c r="R810" s="1" t="s">
        <v>137</v>
      </c>
      <c r="S810" s="1" t="s">
        <v>137</v>
      </c>
      <c r="T810" s="1" t="s">
        <v>47</v>
      </c>
      <c r="U810" s="1" t="s">
        <v>4301</v>
      </c>
    </row>
    <row r="811">
      <c r="A811" s="1" t="s">
        <v>10498</v>
      </c>
      <c r="B811" s="1" t="s">
        <v>4293</v>
      </c>
      <c r="C811" s="1" t="s">
        <v>14692</v>
      </c>
      <c r="D811" s="1" t="s">
        <v>593</v>
      </c>
      <c r="E811" s="1" t="s">
        <v>175</v>
      </c>
      <c r="F811" s="1" t="s">
        <v>10269</v>
      </c>
      <c r="G811" s="1" t="s">
        <v>10270</v>
      </c>
      <c r="H811" s="3">
        <v>44562.0</v>
      </c>
      <c r="I811" s="3">
        <v>44562.0</v>
      </c>
      <c r="J811" s="3">
        <v>44562.0</v>
      </c>
      <c r="K811" s="1" t="s">
        <v>215</v>
      </c>
      <c r="L811" s="1" t="s">
        <v>160</v>
      </c>
      <c r="M811" s="1" t="s">
        <v>216</v>
      </c>
      <c r="N811" s="1" t="s">
        <v>131</v>
      </c>
      <c r="P811" s="1"/>
      <c r="R811" s="1" t="s">
        <v>137</v>
      </c>
      <c r="S811" s="1" t="s">
        <v>137</v>
      </c>
      <c r="T811" s="1" t="s">
        <v>47</v>
      </c>
      <c r="U811" s="1" t="s">
        <v>4301</v>
      </c>
    </row>
    <row r="812">
      <c r="A812" s="1" t="s">
        <v>10203</v>
      </c>
      <c r="B812" s="1" t="s">
        <v>4293</v>
      </c>
      <c r="C812" s="1" t="s">
        <v>14695</v>
      </c>
      <c r="D812" s="1" t="s">
        <v>172</v>
      </c>
      <c r="E812" s="1" t="s">
        <v>175</v>
      </c>
      <c r="F812" s="1" t="s">
        <v>3592</v>
      </c>
      <c r="G812" s="1" t="s">
        <v>5540</v>
      </c>
      <c r="H812" s="3">
        <v>44741.0</v>
      </c>
      <c r="I812" s="3">
        <v>44866.0</v>
      </c>
      <c r="J812" s="3">
        <v>44866.0</v>
      </c>
      <c r="K812" s="1" t="s">
        <v>215</v>
      </c>
      <c r="L812" s="1" t="s">
        <v>160</v>
      </c>
      <c r="M812" s="1" t="s">
        <v>216</v>
      </c>
      <c r="N812" s="1" t="s">
        <v>131</v>
      </c>
      <c r="P812" s="1"/>
      <c r="R812" s="1" t="s">
        <v>137</v>
      </c>
      <c r="S812" s="1" t="s">
        <v>137</v>
      </c>
      <c r="T812" s="1" t="s">
        <v>47</v>
      </c>
      <c r="U812" s="1" t="s">
        <v>4301</v>
      </c>
    </row>
    <row r="813">
      <c r="A813" s="1" t="s">
        <v>2365</v>
      </c>
      <c r="B813" s="1" t="s">
        <v>116</v>
      </c>
      <c r="C813" s="1" t="s">
        <v>3612</v>
      </c>
      <c r="D813" s="1" t="s">
        <v>3188</v>
      </c>
      <c r="E813" s="1" t="s">
        <v>889</v>
      </c>
      <c r="F813" s="1" t="s">
        <v>2385</v>
      </c>
      <c r="G813" s="1" t="s">
        <v>3613</v>
      </c>
      <c r="H813" s="3">
        <v>46129.0</v>
      </c>
      <c r="I813" s="3">
        <v>46356.0</v>
      </c>
      <c r="J813" s="3"/>
      <c r="K813" s="1" t="s">
        <v>124</v>
      </c>
      <c r="L813" s="1" t="s">
        <v>98</v>
      </c>
      <c r="M813" s="1" t="s">
        <v>335</v>
      </c>
      <c r="N813" s="1" t="s">
        <v>131</v>
      </c>
      <c r="P813" s="1" t="s">
        <v>1591</v>
      </c>
      <c r="R813" s="1" t="s">
        <v>137</v>
      </c>
      <c r="S813" s="1" t="s">
        <v>137</v>
      </c>
      <c r="T813" s="1" t="s">
        <v>47</v>
      </c>
      <c r="U813" s="1" t="s">
        <v>4093</v>
      </c>
    </row>
    <row r="814">
      <c r="A814" s="1" t="s">
        <v>5728</v>
      </c>
      <c r="B814" s="1" t="s">
        <v>4293</v>
      </c>
      <c r="C814" s="1" t="s">
        <v>14698</v>
      </c>
      <c r="D814" s="1" t="s">
        <v>273</v>
      </c>
      <c r="E814" s="1" t="s">
        <v>330</v>
      </c>
      <c r="F814" s="1" t="s">
        <v>356</v>
      </c>
      <c r="G814" s="1" t="s">
        <v>875</v>
      </c>
      <c r="H814" s="3">
        <v>44188.0</v>
      </c>
      <c r="I814" s="3">
        <v>44285.0</v>
      </c>
      <c r="J814" s="3">
        <v>44285.0</v>
      </c>
      <c r="K814" s="1" t="s">
        <v>215</v>
      </c>
      <c r="L814" s="1" t="s">
        <v>160</v>
      </c>
      <c r="M814" s="1" t="s">
        <v>216</v>
      </c>
      <c r="N814" s="1" t="s">
        <v>131</v>
      </c>
      <c r="P814" s="1"/>
      <c r="R814" s="1" t="s">
        <v>137</v>
      </c>
      <c r="S814" s="1" t="s">
        <v>137</v>
      </c>
      <c r="T814" s="1" t="s">
        <v>47</v>
      </c>
      <c r="U814" s="1" t="s">
        <v>4301</v>
      </c>
    </row>
    <row r="815">
      <c r="A815" s="1" t="s">
        <v>7653</v>
      </c>
      <c r="B815" s="1" t="s">
        <v>4293</v>
      </c>
      <c r="C815" s="1" t="s">
        <v>14700</v>
      </c>
      <c r="D815" s="1" t="s">
        <v>1823</v>
      </c>
      <c r="E815" s="1" t="s">
        <v>175</v>
      </c>
      <c r="F815" s="1" t="s">
        <v>1116</v>
      </c>
      <c r="G815" s="1" t="s">
        <v>11367</v>
      </c>
      <c r="H815" s="3">
        <v>45279.0</v>
      </c>
      <c r="I815" s="3">
        <v>45383.0</v>
      </c>
      <c r="J815" s="3">
        <v>45383.0</v>
      </c>
      <c r="K815" s="1" t="s">
        <v>215</v>
      </c>
      <c r="L815" s="1" t="s">
        <v>160</v>
      </c>
      <c r="M815" s="1" t="s">
        <v>216</v>
      </c>
      <c r="N815" s="1" t="s">
        <v>131</v>
      </c>
      <c r="P815" s="1"/>
      <c r="R815" s="1" t="s">
        <v>137</v>
      </c>
      <c r="S815" s="1" t="s">
        <v>137</v>
      </c>
      <c r="T815" s="1" t="s">
        <v>47</v>
      </c>
      <c r="U815" s="1" t="s">
        <v>4301</v>
      </c>
    </row>
    <row r="816">
      <c r="A816" s="1" t="s">
        <v>7559</v>
      </c>
      <c r="B816" s="1" t="s">
        <v>4293</v>
      </c>
      <c r="C816" s="1" t="s">
        <v>14702</v>
      </c>
      <c r="D816" s="1" t="s">
        <v>754</v>
      </c>
      <c r="E816" s="1" t="s">
        <v>3379</v>
      </c>
      <c r="F816" s="1" t="s">
        <v>9045</v>
      </c>
      <c r="G816" s="1" t="s">
        <v>9045</v>
      </c>
      <c r="H816" s="3">
        <v>44539.0</v>
      </c>
      <c r="I816" s="3">
        <v>44886.0</v>
      </c>
      <c r="J816" s="3">
        <v>44886.0</v>
      </c>
      <c r="K816" s="1" t="s">
        <v>215</v>
      </c>
      <c r="L816" s="1" t="s">
        <v>160</v>
      </c>
      <c r="M816" s="1" t="s">
        <v>216</v>
      </c>
      <c r="N816" s="1" t="s">
        <v>131</v>
      </c>
      <c r="P816" s="1"/>
      <c r="R816" s="1" t="s">
        <v>137</v>
      </c>
      <c r="S816" s="1" t="s">
        <v>137</v>
      </c>
      <c r="T816" s="1" t="s">
        <v>47</v>
      </c>
      <c r="U816" s="1" t="s">
        <v>4301</v>
      </c>
    </row>
    <row r="817">
      <c r="A817" s="1" t="s">
        <v>2341</v>
      </c>
      <c r="B817" s="1" t="s">
        <v>116</v>
      </c>
      <c r="C817" s="1" t="s">
        <v>3629</v>
      </c>
      <c r="D817" s="1" t="s">
        <v>1477</v>
      </c>
      <c r="E817" s="1" t="s">
        <v>292</v>
      </c>
      <c r="F817" s="1" t="s">
        <v>494</v>
      </c>
      <c r="G817" s="1" t="s">
        <v>3632</v>
      </c>
      <c r="H817" s="3">
        <v>46129.0</v>
      </c>
      <c r="I817" s="3"/>
      <c r="J817" s="3"/>
      <c r="K817" s="1" t="s">
        <v>124</v>
      </c>
      <c r="L817" s="1" t="s">
        <v>71</v>
      </c>
      <c r="M817" s="1" t="s">
        <v>162</v>
      </c>
      <c r="N817" s="1" t="s">
        <v>131</v>
      </c>
      <c r="P817" s="1" t="s">
        <v>803</v>
      </c>
      <c r="R817" s="1" t="s">
        <v>137</v>
      </c>
      <c r="S817" s="1" t="s">
        <v>137</v>
      </c>
      <c r="T817" s="1" t="s">
        <v>47</v>
      </c>
      <c r="U817" s="1" t="s">
        <v>3633</v>
      </c>
    </row>
    <row r="818">
      <c r="A818" s="1" t="s">
        <v>7679</v>
      </c>
      <c r="B818" s="1" t="s">
        <v>4293</v>
      </c>
      <c r="C818" s="1" t="s">
        <v>14705</v>
      </c>
      <c r="D818" s="1" t="s">
        <v>593</v>
      </c>
      <c r="E818" s="1" t="s">
        <v>330</v>
      </c>
      <c r="F818" s="1" t="s">
        <v>663</v>
      </c>
      <c r="G818" s="1" t="s">
        <v>2835</v>
      </c>
      <c r="H818" s="3">
        <v>46301.0</v>
      </c>
      <c r="I818" s="3"/>
      <c r="J818" s="3"/>
      <c r="K818" s="1" t="s">
        <v>124</v>
      </c>
      <c r="L818" s="1" t="s">
        <v>160</v>
      </c>
      <c r="M818" s="1" t="s">
        <v>253</v>
      </c>
      <c r="N818" s="1" t="s">
        <v>131</v>
      </c>
      <c r="P818" s="1"/>
      <c r="R818" s="1" t="s">
        <v>137</v>
      </c>
      <c r="S818" s="1" t="s">
        <v>137</v>
      </c>
      <c r="T818" s="1" t="s">
        <v>47</v>
      </c>
      <c r="U818" s="1" t="s">
        <v>4301</v>
      </c>
    </row>
    <row r="819">
      <c r="A819" s="1" t="s">
        <v>4797</v>
      </c>
      <c r="B819" s="1" t="s">
        <v>116</v>
      </c>
      <c r="C819" s="1" t="s">
        <v>14708</v>
      </c>
      <c r="D819" s="1" t="s">
        <v>1776</v>
      </c>
      <c r="E819" s="1" t="s">
        <v>175</v>
      </c>
      <c r="F819" s="1" t="s">
        <v>177</v>
      </c>
      <c r="G819" s="1" t="s">
        <v>1778</v>
      </c>
      <c r="H819" s="3">
        <v>46273.0</v>
      </c>
      <c r="I819" s="3">
        <v>46405.0</v>
      </c>
      <c r="J819" s="3"/>
      <c r="K819" s="1" t="s">
        <v>124</v>
      </c>
      <c r="L819" s="1" t="s">
        <v>71</v>
      </c>
      <c r="M819" s="1" t="s">
        <v>162</v>
      </c>
      <c r="N819" s="1" t="s">
        <v>131</v>
      </c>
      <c r="P819" s="1" t="s">
        <v>5108</v>
      </c>
      <c r="R819" s="1" t="s">
        <v>137</v>
      </c>
      <c r="S819" s="1" t="s">
        <v>137</v>
      </c>
      <c r="T819" s="1" t="s">
        <v>47</v>
      </c>
      <c r="U819" s="1" t="s">
        <v>4810</v>
      </c>
    </row>
    <row r="820">
      <c r="A820" s="1" t="s">
        <v>9256</v>
      </c>
      <c r="B820" s="1" t="s">
        <v>4293</v>
      </c>
      <c r="C820" s="1" t="s">
        <v>14711</v>
      </c>
      <c r="D820" s="1" t="s">
        <v>548</v>
      </c>
      <c r="E820" s="1" t="s">
        <v>520</v>
      </c>
      <c r="F820" s="1" t="s">
        <v>1229</v>
      </c>
      <c r="G820" s="1" t="s">
        <v>14712</v>
      </c>
      <c r="H820" s="3">
        <v>44348.0</v>
      </c>
      <c r="I820" s="3">
        <v>44348.0</v>
      </c>
      <c r="J820" s="3">
        <v>44348.0</v>
      </c>
      <c r="K820" s="1" t="s">
        <v>215</v>
      </c>
      <c r="L820" s="1" t="s">
        <v>160</v>
      </c>
      <c r="M820" s="1" t="s">
        <v>216</v>
      </c>
      <c r="N820" s="1" t="s">
        <v>131</v>
      </c>
      <c r="P820" s="1"/>
      <c r="R820" s="1" t="s">
        <v>137</v>
      </c>
      <c r="S820" s="1" t="s">
        <v>137</v>
      </c>
      <c r="T820" s="1" t="s">
        <v>47</v>
      </c>
      <c r="U820" s="1" t="s">
        <v>4301</v>
      </c>
    </row>
    <row r="821">
      <c r="A821" s="1" t="s">
        <v>11100</v>
      </c>
      <c r="B821" s="1" t="s">
        <v>4293</v>
      </c>
      <c r="C821" s="1" t="s">
        <v>14714</v>
      </c>
      <c r="D821" s="1" t="s">
        <v>273</v>
      </c>
      <c r="E821" s="1" t="s">
        <v>330</v>
      </c>
      <c r="F821" s="1" t="s">
        <v>331</v>
      </c>
      <c r="G821" s="1" t="s">
        <v>721</v>
      </c>
      <c r="H821" s="3">
        <v>44314.0</v>
      </c>
      <c r="I821" s="3">
        <v>44255.0</v>
      </c>
      <c r="J821" s="3">
        <v>44255.0</v>
      </c>
      <c r="K821" s="1" t="s">
        <v>215</v>
      </c>
      <c r="L821" s="1" t="s">
        <v>160</v>
      </c>
      <c r="M821" s="1" t="s">
        <v>216</v>
      </c>
      <c r="N821" s="1" t="s">
        <v>131</v>
      </c>
      <c r="P821" s="1"/>
      <c r="R821" s="1" t="s">
        <v>137</v>
      </c>
      <c r="S821" s="1" t="s">
        <v>137</v>
      </c>
      <c r="T821" s="1" t="s">
        <v>47</v>
      </c>
      <c r="U821" s="1" t="s">
        <v>4301</v>
      </c>
    </row>
    <row r="822">
      <c r="A822" s="1" t="s">
        <v>7318</v>
      </c>
      <c r="B822" s="1" t="s">
        <v>4293</v>
      </c>
      <c r="C822" s="1" t="s">
        <v>14716</v>
      </c>
      <c r="D822" s="1" t="s">
        <v>194</v>
      </c>
      <c r="E822" s="1" t="s">
        <v>454</v>
      </c>
      <c r="F822" s="1" t="s">
        <v>637</v>
      </c>
      <c r="G822" s="1" t="s">
        <v>1513</v>
      </c>
      <c r="H822" s="3">
        <v>45447.0</v>
      </c>
      <c r="I822" s="3">
        <v>45616.0</v>
      </c>
      <c r="J822" s="3">
        <v>45616.0</v>
      </c>
      <c r="K822" s="1" t="s">
        <v>215</v>
      </c>
      <c r="L822" s="1" t="s">
        <v>160</v>
      </c>
      <c r="M822" s="1" t="s">
        <v>216</v>
      </c>
      <c r="N822" s="1" t="s">
        <v>131</v>
      </c>
      <c r="P822" s="1"/>
      <c r="R822" s="1" t="s">
        <v>137</v>
      </c>
      <c r="S822" s="1" t="s">
        <v>137</v>
      </c>
      <c r="T822" s="1" t="s">
        <v>47</v>
      </c>
      <c r="U822" s="1" t="s">
        <v>4301</v>
      </c>
    </row>
    <row r="823">
      <c r="A823" s="1" t="s">
        <v>8794</v>
      </c>
      <c r="B823" s="1" t="s">
        <v>4293</v>
      </c>
      <c r="C823" s="1" t="s">
        <v>14719</v>
      </c>
      <c r="D823" s="1" t="s">
        <v>831</v>
      </c>
      <c r="E823" s="1" t="s">
        <v>292</v>
      </c>
      <c r="F823" s="1" t="s">
        <v>576</v>
      </c>
      <c r="G823" s="1" t="s">
        <v>2859</v>
      </c>
      <c r="H823" s="3">
        <v>44000.0</v>
      </c>
      <c r="I823" s="3">
        <v>44169.0</v>
      </c>
      <c r="J823" s="3">
        <v>44169.0</v>
      </c>
      <c r="K823" s="1" t="s">
        <v>215</v>
      </c>
      <c r="L823" s="1" t="s">
        <v>160</v>
      </c>
      <c r="M823" s="1" t="s">
        <v>216</v>
      </c>
      <c r="N823" s="1" t="s">
        <v>131</v>
      </c>
      <c r="P823" s="1"/>
      <c r="R823" s="1" t="s">
        <v>137</v>
      </c>
      <c r="S823" s="1" t="s">
        <v>137</v>
      </c>
      <c r="T823" s="1" t="s">
        <v>47</v>
      </c>
      <c r="U823" s="1" t="s">
        <v>4301</v>
      </c>
    </row>
    <row r="824">
      <c r="A824" s="1" t="s">
        <v>3646</v>
      </c>
      <c r="B824" s="1" t="s">
        <v>116</v>
      </c>
      <c r="C824" s="1" t="s">
        <v>3647</v>
      </c>
      <c r="D824" s="1" t="s">
        <v>1798</v>
      </c>
      <c r="E824" s="1" t="s">
        <v>175</v>
      </c>
      <c r="F824" s="1" t="s">
        <v>569</v>
      </c>
      <c r="G824" s="1" t="s">
        <v>798</v>
      </c>
      <c r="H824" s="3">
        <v>46129.0</v>
      </c>
      <c r="I824" s="3"/>
      <c r="J824" s="3"/>
      <c r="K824" s="1" t="s">
        <v>124</v>
      </c>
      <c r="L824" s="1" t="s">
        <v>71</v>
      </c>
      <c r="M824" s="1" t="s">
        <v>162</v>
      </c>
      <c r="N824" s="1" t="s">
        <v>131</v>
      </c>
      <c r="P824" s="1" t="s">
        <v>3650</v>
      </c>
      <c r="R824" s="1" t="s">
        <v>137</v>
      </c>
      <c r="S824" s="1" t="s">
        <v>137</v>
      </c>
      <c r="T824" s="1" t="s">
        <v>47</v>
      </c>
      <c r="U824" s="1"/>
    </row>
    <row r="825">
      <c r="A825" s="1" t="s">
        <v>2168</v>
      </c>
      <c r="B825" s="1" t="s">
        <v>828</v>
      </c>
      <c r="C825" s="1" t="s">
        <v>3653</v>
      </c>
      <c r="D825" s="1" t="s">
        <v>831</v>
      </c>
      <c r="E825" s="1" t="s">
        <v>175</v>
      </c>
      <c r="F825" s="1" t="s">
        <v>585</v>
      </c>
      <c r="G825" s="1" t="s">
        <v>1529</v>
      </c>
      <c r="H825" s="3">
        <v>46115.0</v>
      </c>
      <c r="I825" s="3">
        <v>46290.0</v>
      </c>
      <c r="J825" s="3"/>
      <c r="K825" s="1" t="s">
        <v>124</v>
      </c>
      <c r="L825" s="1" t="s">
        <v>71</v>
      </c>
      <c r="M825" s="1" t="s">
        <v>460</v>
      </c>
      <c r="N825" s="1" t="s">
        <v>131</v>
      </c>
      <c r="P825" s="1"/>
      <c r="R825" s="1" t="s">
        <v>1808</v>
      </c>
      <c r="S825" s="1" t="s">
        <v>1808</v>
      </c>
      <c r="T825" s="1" t="s">
        <v>1811</v>
      </c>
      <c r="U825" s="1" t="s">
        <v>3604</v>
      </c>
    </row>
    <row r="826">
      <c r="A826" s="1" t="s">
        <v>7447</v>
      </c>
      <c r="B826" s="1" t="s">
        <v>4293</v>
      </c>
      <c r="C826" s="1" t="s">
        <v>14723</v>
      </c>
      <c r="D826" s="1" t="s">
        <v>1477</v>
      </c>
      <c r="E826" s="1" t="s">
        <v>175</v>
      </c>
      <c r="F826" s="1" t="s">
        <v>763</v>
      </c>
      <c r="G826" s="1" t="s">
        <v>764</v>
      </c>
      <c r="H826" s="3">
        <v>45922.0</v>
      </c>
      <c r="I826" s="3">
        <v>45931.0</v>
      </c>
      <c r="J826" s="3">
        <v>45931.0</v>
      </c>
      <c r="K826" s="1" t="s">
        <v>215</v>
      </c>
      <c r="L826" s="1" t="s">
        <v>160</v>
      </c>
      <c r="M826" s="1" t="s">
        <v>216</v>
      </c>
      <c r="N826" s="1" t="s">
        <v>131</v>
      </c>
      <c r="P826" s="1"/>
      <c r="R826" s="1" t="s">
        <v>137</v>
      </c>
      <c r="S826" s="1" t="s">
        <v>137</v>
      </c>
      <c r="T826" s="1" t="s">
        <v>47</v>
      </c>
      <c r="U826" s="1" t="s">
        <v>4301</v>
      </c>
    </row>
    <row r="827">
      <c r="A827" s="1" t="s">
        <v>10314</v>
      </c>
      <c r="B827" s="1" t="s">
        <v>4293</v>
      </c>
      <c r="C827" s="1" t="s">
        <v>14725</v>
      </c>
      <c r="D827" s="1" t="s">
        <v>2198</v>
      </c>
      <c r="E827" s="1" t="s">
        <v>292</v>
      </c>
      <c r="F827" s="1" t="s">
        <v>962</v>
      </c>
      <c r="G827" s="1" t="s">
        <v>5600</v>
      </c>
      <c r="H827" s="3">
        <v>45784.0</v>
      </c>
      <c r="I827" s="3">
        <v>46051.0</v>
      </c>
      <c r="J827" s="3">
        <v>46051.0</v>
      </c>
      <c r="K827" s="1" t="s">
        <v>215</v>
      </c>
      <c r="L827" s="1" t="s">
        <v>160</v>
      </c>
      <c r="M827" s="1" t="s">
        <v>216</v>
      </c>
      <c r="N827" s="1" t="s">
        <v>131</v>
      </c>
      <c r="P827" s="1"/>
      <c r="R827" s="1" t="s">
        <v>137</v>
      </c>
      <c r="S827" s="1" t="s">
        <v>137</v>
      </c>
      <c r="T827" s="1" t="s">
        <v>47</v>
      </c>
      <c r="U827" s="1" t="s">
        <v>4301</v>
      </c>
    </row>
    <row r="828">
      <c r="A828" s="1" t="s">
        <v>6958</v>
      </c>
      <c r="B828" s="1" t="s">
        <v>4293</v>
      </c>
      <c r="C828" s="1" t="s">
        <v>14727</v>
      </c>
      <c r="D828" s="1" t="s">
        <v>509</v>
      </c>
      <c r="E828" s="1" t="s">
        <v>119</v>
      </c>
      <c r="F828" s="1" t="s">
        <v>1338</v>
      </c>
      <c r="G828" s="1" t="s">
        <v>1338</v>
      </c>
      <c r="H828" s="3">
        <v>45121.0</v>
      </c>
      <c r="I828" s="3">
        <v>45595.0</v>
      </c>
      <c r="J828" s="3">
        <v>45595.0</v>
      </c>
      <c r="K828" s="1" t="s">
        <v>215</v>
      </c>
      <c r="L828" s="1" t="s">
        <v>160</v>
      </c>
      <c r="M828" s="1" t="s">
        <v>216</v>
      </c>
      <c r="N828" s="1" t="s">
        <v>131</v>
      </c>
      <c r="P828" s="1"/>
      <c r="R828" s="1" t="s">
        <v>137</v>
      </c>
      <c r="S828" s="1" t="s">
        <v>137</v>
      </c>
      <c r="T828" s="1" t="s">
        <v>47</v>
      </c>
      <c r="U828" s="1" t="s">
        <v>4301</v>
      </c>
    </row>
    <row r="829">
      <c r="A829" s="1" t="s">
        <v>9470</v>
      </c>
      <c r="B829" s="1" t="s">
        <v>4293</v>
      </c>
      <c r="C829" s="1" t="s">
        <v>14729</v>
      </c>
      <c r="D829" s="1" t="s">
        <v>2276</v>
      </c>
      <c r="E829" s="1" t="s">
        <v>292</v>
      </c>
      <c r="F829" s="1" t="s">
        <v>494</v>
      </c>
      <c r="G829" s="1" t="s">
        <v>2278</v>
      </c>
      <c r="H829" s="3">
        <v>45370.0</v>
      </c>
      <c r="I829" s="3">
        <v>45383.0</v>
      </c>
      <c r="J829" s="3">
        <v>45383.0</v>
      </c>
      <c r="K829" s="1" t="s">
        <v>215</v>
      </c>
      <c r="L829" s="1" t="s">
        <v>160</v>
      </c>
      <c r="M829" s="1" t="s">
        <v>216</v>
      </c>
      <c r="N829" s="1" t="s">
        <v>131</v>
      </c>
      <c r="P829" s="1"/>
      <c r="R829" s="1" t="s">
        <v>137</v>
      </c>
      <c r="S829" s="1" t="s">
        <v>137</v>
      </c>
      <c r="T829" s="1" t="s">
        <v>47</v>
      </c>
      <c r="U829" s="1" t="s">
        <v>4301</v>
      </c>
    </row>
    <row r="830">
      <c r="A830" s="1" t="s">
        <v>10907</v>
      </c>
      <c r="B830" s="1" t="s">
        <v>4293</v>
      </c>
      <c r="C830" s="1" t="s">
        <v>14732</v>
      </c>
      <c r="D830" s="1" t="s">
        <v>4514</v>
      </c>
      <c r="E830" s="1" t="s">
        <v>292</v>
      </c>
      <c r="F830" s="1" t="s">
        <v>576</v>
      </c>
      <c r="G830" s="1" t="s">
        <v>1603</v>
      </c>
      <c r="H830" s="3">
        <v>45517.0</v>
      </c>
      <c r="I830" s="3">
        <v>45734.0</v>
      </c>
      <c r="J830" s="3">
        <v>45734.0</v>
      </c>
      <c r="K830" s="1" t="s">
        <v>215</v>
      </c>
      <c r="L830" s="1" t="s">
        <v>160</v>
      </c>
      <c r="M830" s="1" t="s">
        <v>216</v>
      </c>
      <c r="N830" s="1" t="s">
        <v>131</v>
      </c>
      <c r="P830" s="1"/>
      <c r="R830" s="1" t="s">
        <v>137</v>
      </c>
      <c r="S830" s="1" t="s">
        <v>137</v>
      </c>
      <c r="T830" s="1" t="s">
        <v>47</v>
      </c>
      <c r="U830" s="1" t="s">
        <v>4301</v>
      </c>
    </row>
    <row r="831">
      <c r="A831" s="1" t="s">
        <v>6379</v>
      </c>
      <c r="B831" s="1" t="s">
        <v>4293</v>
      </c>
      <c r="C831" s="1" t="s">
        <v>14734</v>
      </c>
      <c r="D831" s="1" t="s">
        <v>313</v>
      </c>
      <c r="E831" s="1" t="s">
        <v>175</v>
      </c>
      <c r="F831" s="1" t="s">
        <v>1767</v>
      </c>
      <c r="G831" s="1" t="s">
        <v>3835</v>
      </c>
      <c r="H831" s="3">
        <v>44256.0</v>
      </c>
      <c r="I831" s="3">
        <v>44256.0</v>
      </c>
      <c r="J831" s="3">
        <v>44256.0</v>
      </c>
      <c r="K831" s="1" t="s">
        <v>215</v>
      </c>
      <c r="L831" s="1" t="s">
        <v>160</v>
      </c>
      <c r="M831" s="1" t="s">
        <v>216</v>
      </c>
      <c r="N831" s="1" t="s">
        <v>131</v>
      </c>
      <c r="P831" s="1"/>
      <c r="R831" s="1" t="s">
        <v>137</v>
      </c>
      <c r="S831" s="1" t="s">
        <v>137</v>
      </c>
      <c r="T831" s="1" t="s">
        <v>47</v>
      </c>
      <c r="U831" s="1" t="s">
        <v>4301</v>
      </c>
    </row>
    <row r="832">
      <c r="A832" s="1" t="s">
        <v>6639</v>
      </c>
      <c r="B832" s="1" t="s">
        <v>4293</v>
      </c>
      <c r="C832" s="1" t="s">
        <v>3679</v>
      </c>
      <c r="D832" s="1" t="s">
        <v>1798</v>
      </c>
      <c r="E832" s="1" t="s">
        <v>292</v>
      </c>
      <c r="F832" s="1" t="s">
        <v>576</v>
      </c>
      <c r="G832" s="1" t="s">
        <v>1603</v>
      </c>
      <c r="H832" s="3">
        <v>44535.0</v>
      </c>
      <c r="I832" s="3">
        <v>44535.0</v>
      </c>
      <c r="J832" s="3">
        <v>44535.0</v>
      </c>
      <c r="K832" s="1" t="s">
        <v>215</v>
      </c>
      <c r="L832" s="1" t="s">
        <v>160</v>
      </c>
      <c r="M832" s="1" t="s">
        <v>216</v>
      </c>
      <c r="N832" s="1" t="s">
        <v>131</v>
      </c>
      <c r="P832" s="1"/>
      <c r="R832" s="1" t="s">
        <v>137</v>
      </c>
      <c r="S832" s="1" t="s">
        <v>137</v>
      </c>
      <c r="T832" s="1" t="s">
        <v>47</v>
      </c>
      <c r="U832" s="1" t="s">
        <v>4301</v>
      </c>
    </row>
    <row r="833">
      <c r="A833" s="1" t="s">
        <v>6427</v>
      </c>
      <c r="B833" s="1" t="s">
        <v>4293</v>
      </c>
      <c r="C833" s="1" t="s">
        <v>14737</v>
      </c>
      <c r="D833" s="1" t="s">
        <v>1477</v>
      </c>
      <c r="E833" s="1" t="s">
        <v>175</v>
      </c>
      <c r="F833" s="1" t="s">
        <v>245</v>
      </c>
      <c r="G833" s="1" t="s">
        <v>247</v>
      </c>
      <c r="H833" s="3">
        <v>45098.0</v>
      </c>
      <c r="I833" s="3">
        <v>45301.0</v>
      </c>
      <c r="J833" s="3">
        <v>45301.0</v>
      </c>
      <c r="K833" s="1" t="s">
        <v>215</v>
      </c>
      <c r="L833" s="1" t="s">
        <v>160</v>
      </c>
      <c r="M833" s="1" t="s">
        <v>216</v>
      </c>
      <c r="N833" s="1" t="s">
        <v>131</v>
      </c>
      <c r="P833" s="1"/>
      <c r="R833" s="1" t="s">
        <v>137</v>
      </c>
      <c r="S833" s="1" t="s">
        <v>137</v>
      </c>
      <c r="T833" s="1" t="s">
        <v>47</v>
      </c>
      <c r="U833" s="1" t="s">
        <v>4301</v>
      </c>
    </row>
    <row r="834">
      <c r="A834" s="1" t="s">
        <v>2371</v>
      </c>
      <c r="B834" s="1" t="s">
        <v>116</v>
      </c>
      <c r="C834" s="1" t="s">
        <v>3689</v>
      </c>
      <c r="D834" s="1" t="s">
        <v>388</v>
      </c>
      <c r="E834" s="1" t="s">
        <v>438</v>
      </c>
      <c r="F834" s="1" t="s">
        <v>440</v>
      </c>
      <c r="G834" s="1" t="s">
        <v>441</v>
      </c>
      <c r="H834" s="3">
        <v>46129.0</v>
      </c>
      <c r="K834" s="1" t="s">
        <v>124</v>
      </c>
      <c r="L834" s="1" t="s">
        <v>98</v>
      </c>
      <c r="M834" s="1" t="s">
        <v>162</v>
      </c>
      <c r="N834" s="1" t="s">
        <v>131</v>
      </c>
      <c r="P834" s="1" t="s">
        <v>3535</v>
      </c>
      <c r="R834" s="1" t="s">
        <v>137</v>
      </c>
      <c r="S834" s="1" t="s">
        <v>137</v>
      </c>
      <c r="T834" s="1" t="s">
        <v>47</v>
      </c>
      <c r="U834" s="1" t="s">
        <v>4135</v>
      </c>
    </row>
    <row r="835">
      <c r="A835" s="1" t="s">
        <v>4747</v>
      </c>
      <c r="B835" s="1" t="s">
        <v>116</v>
      </c>
      <c r="C835" s="1" t="s">
        <v>3694</v>
      </c>
      <c r="D835" s="1" t="s">
        <v>1477</v>
      </c>
      <c r="E835" s="1" t="s">
        <v>292</v>
      </c>
      <c r="F835" s="1" t="s">
        <v>468</v>
      </c>
      <c r="G835" s="1" t="s">
        <v>1758</v>
      </c>
      <c r="H835" s="3">
        <v>46266.0</v>
      </c>
      <c r="I835" s="3"/>
      <c r="J835" s="3"/>
      <c r="K835" s="1" t="s">
        <v>124</v>
      </c>
      <c r="L835" s="1" t="s">
        <v>98</v>
      </c>
      <c r="M835" s="1" t="s">
        <v>162</v>
      </c>
      <c r="N835" s="1" t="s">
        <v>131</v>
      </c>
      <c r="P835" s="1" t="s">
        <v>11156</v>
      </c>
      <c r="R835" s="1" t="s">
        <v>137</v>
      </c>
      <c r="S835" s="1" t="s">
        <v>137</v>
      </c>
      <c r="T835" s="1" t="s">
        <v>47</v>
      </c>
      <c r="U835" s="1" t="s">
        <v>4757</v>
      </c>
    </row>
    <row r="836">
      <c r="A836" s="1" t="s">
        <v>11130</v>
      </c>
      <c r="B836" s="1" t="s">
        <v>4293</v>
      </c>
      <c r="C836" s="1" t="s">
        <v>3703</v>
      </c>
      <c r="D836" s="1" t="s">
        <v>754</v>
      </c>
      <c r="E836" s="1" t="s">
        <v>292</v>
      </c>
      <c r="F836" s="1" t="s">
        <v>293</v>
      </c>
      <c r="G836" s="1" t="s">
        <v>3053</v>
      </c>
      <c r="H836" s="3">
        <v>45849.0</v>
      </c>
      <c r="I836" s="3">
        <v>45908.0</v>
      </c>
      <c r="J836" s="3">
        <v>45908.0</v>
      </c>
      <c r="K836" s="1" t="s">
        <v>215</v>
      </c>
      <c r="L836" s="1" t="s">
        <v>160</v>
      </c>
      <c r="M836" s="1" t="s">
        <v>216</v>
      </c>
      <c r="N836" s="1" t="s">
        <v>131</v>
      </c>
      <c r="P836" s="1"/>
      <c r="R836" s="1" t="s">
        <v>137</v>
      </c>
      <c r="S836" s="1" t="s">
        <v>137</v>
      </c>
      <c r="T836" s="1" t="s">
        <v>47</v>
      </c>
      <c r="U836" s="1" t="s">
        <v>4301</v>
      </c>
    </row>
    <row r="837">
      <c r="A837" s="1" t="s">
        <v>7266</v>
      </c>
      <c r="B837" s="1" t="s">
        <v>4293</v>
      </c>
      <c r="C837" s="1" t="s">
        <v>14743</v>
      </c>
      <c r="D837" s="1" t="s">
        <v>1477</v>
      </c>
      <c r="E837" s="1" t="s">
        <v>292</v>
      </c>
      <c r="F837" s="1" t="s">
        <v>494</v>
      </c>
      <c r="G837" s="1" t="s">
        <v>1478</v>
      </c>
      <c r="H837" s="3">
        <v>45706.0</v>
      </c>
      <c r="I837" s="3">
        <v>45824.0</v>
      </c>
      <c r="J837" s="3">
        <v>45824.0</v>
      </c>
      <c r="K837" s="1" t="s">
        <v>215</v>
      </c>
      <c r="L837" s="1" t="s">
        <v>160</v>
      </c>
      <c r="M837" s="1" t="s">
        <v>216</v>
      </c>
      <c r="N837" s="1" t="s">
        <v>131</v>
      </c>
      <c r="R837" s="1" t="s">
        <v>137</v>
      </c>
      <c r="S837" s="1" t="s">
        <v>137</v>
      </c>
      <c r="T837" s="1" t="s">
        <v>47</v>
      </c>
      <c r="U837" s="1" t="s">
        <v>4301</v>
      </c>
    </row>
    <row r="838">
      <c r="A838" s="1" t="s">
        <v>10930</v>
      </c>
      <c r="B838" s="1" t="s">
        <v>4293</v>
      </c>
      <c r="C838" s="1" t="s">
        <v>14746</v>
      </c>
      <c r="D838" s="1" t="s">
        <v>1477</v>
      </c>
      <c r="E838" s="1" t="s">
        <v>292</v>
      </c>
      <c r="F838" s="1" t="s">
        <v>962</v>
      </c>
      <c r="G838" s="1" t="s">
        <v>963</v>
      </c>
      <c r="H838" s="3">
        <v>45581.0</v>
      </c>
      <c r="I838" s="3">
        <v>45709.0</v>
      </c>
      <c r="J838" s="3">
        <v>45709.0</v>
      </c>
      <c r="K838" s="1" t="s">
        <v>215</v>
      </c>
      <c r="L838" s="1" t="s">
        <v>160</v>
      </c>
      <c r="M838" s="1" t="s">
        <v>216</v>
      </c>
      <c r="N838" s="1" t="s">
        <v>131</v>
      </c>
      <c r="P838" s="1"/>
      <c r="R838" s="1" t="s">
        <v>137</v>
      </c>
      <c r="S838" s="1" t="s">
        <v>137</v>
      </c>
      <c r="T838" s="1" t="s">
        <v>47</v>
      </c>
      <c r="U838" s="1" t="s">
        <v>4301</v>
      </c>
    </row>
    <row r="839">
      <c r="A839" s="1" t="s">
        <v>5550</v>
      </c>
      <c r="B839" s="1" t="s">
        <v>4293</v>
      </c>
      <c r="C839" s="1" t="s">
        <v>14748</v>
      </c>
      <c r="D839" s="1" t="s">
        <v>1477</v>
      </c>
      <c r="E839" s="1" t="s">
        <v>889</v>
      </c>
      <c r="F839" s="1" t="s">
        <v>2385</v>
      </c>
      <c r="G839" s="1" t="s">
        <v>14750</v>
      </c>
      <c r="H839" s="3">
        <v>45558.0</v>
      </c>
      <c r="I839" s="3">
        <v>45796.0</v>
      </c>
      <c r="J839" s="3">
        <v>45796.0</v>
      </c>
      <c r="K839" s="1" t="s">
        <v>215</v>
      </c>
      <c r="L839" s="1" t="s">
        <v>160</v>
      </c>
      <c r="M839" s="1" t="s">
        <v>216</v>
      </c>
      <c r="N839" s="1" t="s">
        <v>131</v>
      </c>
      <c r="P839" s="1"/>
      <c r="R839" s="1" t="s">
        <v>137</v>
      </c>
      <c r="S839" s="1" t="s">
        <v>137</v>
      </c>
      <c r="T839" s="1" t="s">
        <v>47</v>
      </c>
      <c r="U839" s="1" t="s">
        <v>4301</v>
      </c>
    </row>
    <row r="840">
      <c r="A840" s="1" t="s">
        <v>12233</v>
      </c>
      <c r="B840" s="1" t="s">
        <v>4293</v>
      </c>
      <c r="C840" s="1" t="s">
        <v>14751</v>
      </c>
      <c r="D840" s="1" t="s">
        <v>1477</v>
      </c>
      <c r="E840" s="1" t="s">
        <v>175</v>
      </c>
      <c r="F840" s="1" t="s">
        <v>3592</v>
      </c>
      <c r="G840" s="1" t="s">
        <v>3593</v>
      </c>
      <c r="H840" s="3">
        <v>45980.0</v>
      </c>
      <c r="I840" s="3">
        <v>45985.0</v>
      </c>
      <c r="J840" s="3">
        <v>45985.0</v>
      </c>
      <c r="K840" s="1" t="s">
        <v>215</v>
      </c>
      <c r="L840" s="1" t="s">
        <v>160</v>
      </c>
      <c r="M840" s="1" t="s">
        <v>216</v>
      </c>
      <c r="N840" s="1" t="s">
        <v>131</v>
      </c>
      <c r="P840" s="1"/>
      <c r="R840" s="1" t="s">
        <v>137</v>
      </c>
      <c r="S840" s="1" t="s">
        <v>137</v>
      </c>
      <c r="T840" s="1" t="s">
        <v>47</v>
      </c>
      <c r="U840" s="1" t="s">
        <v>4301</v>
      </c>
    </row>
    <row r="841">
      <c r="A841" s="1" t="s">
        <v>8043</v>
      </c>
      <c r="B841" s="1" t="s">
        <v>4293</v>
      </c>
      <c r="C841" s="1" t="s">
        <v>3716</v>
      </c>
      <c r="D841" s="1" t="s">
        <v>831</v>
      </c>
      <c r="E841" s="1" t="s">
        <v>292</v>
      </c>
      <c r="F841" s="1" t="s">
        <v>576</v>
      </c>
      <c r="G841" s="1" t="s">
        <v>577</v>
      </c>
      <c r="H841" s="3">
        <v>44547.0</v>
      </c>
      <c r="I841" s="3">
        <v>44817.0</v>
      </c>
      <c r="J841" s="3">
        <v>44817.0</v>
      </c>
      <c r="K841" s="1" t="s">
        <v>215</v>
      </c>
      <c r="L841" s="1" t="s">
        <v>160</v>
      </c>
      <c r="M841" s="1" t="s">
        <v>216</v>
      </c>
      <c r="N841" s="1" t="s">
        <v>131</v>
      </c>
      <c r="P841" s="1"/>
      <c r="R841" s="1" t="s">
        <v>137</v>
      </c>
      <c r="S841" s="1" t="s">
        <v>137</v>
      </c>
      <c r="T841" s="1" t="s">
        <v>47</v>
      </c>
      <c r="U841" s="1" t="s">
        <v>4301</v>
      </c>
    </row>
    <row r="842">
      <c r="A842" s="1" t="s">
        <v>4915</v>
      </c>
      <c r="B842" s="1" t="s">
        <v>1167</v>
      </c>
      <c r="C842" s="1" t="s">
        <v>3725</v>
      </c>
      <c r="D842" s="1" t="s">
        <v>509</v>
      </c>
      <c r="E842" s="1" t="s">
        <v>153</v>
      </c>
      <c r="F842" s="1" t="s">
        <v>274</v>
      </c>
      <c r="G842" s="1" t="s">
        <v>276</v>
      </c>
      <c r="H842" s="3">
        <v>46281.0</v>
      </c>
      <c r="I842" s="3"/>
      <c r="J842" s="3"/>
      <c r="K842" s="1" t="s">
        <v>124</v>
      </c>
      <c r="L842" s="1" t="s">
        <v>251</v>
      </c>
      <c r="M842" s="1" t="s">
        <v>162</v>
      </c>
      <c r="N842" s="1" t="s">
        <v>131</v>
      </c>
      <c r="P842" s="1" t="s">
        <v>13867</v>
      </c>
      <c r="R842" s="1" t="s">
        <v>137</v>
      </c>
      <c r="S842" s="1" t="s">
        <v>137</v>
      </c>
      <c r="T842" s="1" t="s">
        <v>47</v>
      </c>
      <c r="U842" s="1"/>
    </row>
    <row r="843">
      <c r="A843" s="1" t="s">
        <v>7980</v>
      </c>
      <c r="B843" s="1" t="s">
        <v>4293</v>
      </c>
      <c r="C843" s="1" t="s">
        <v>14756</v>
      </c>
      <c r="D843" s="1" t="s">
        <v>1477</v>
      </c>
      <c r="E843" s="1" t="s">
        <v>292</v>
      </c>
      <c r="F843" s="1" t="s">
        <v>962</v>
      </c>
      <c r="G843" s="1" t="s">
        <v>2607</v>
      </c>
      <c r="H843" s="3">
        <v>46045.0</v>
      </c>
      <c r="I843" s="3">
        <v>46045.0</v>
      </c>
      <c r="J843" s="3">
        <v>46045.0</v>
      </c>
      <c r="K843" s="1" t="s">
        <v>215</v>
      </c>
      <c r="L843" s="1" t="s">
        <v>160</v>
      </c>
      <c r="M843" s="1" t="s">
        <v>216</v>
      </c>
      <c r="N843" s="1" t="s">
        <v>131</v>
      </c>
      <c r="P843" s="1"/>
      <c r="R843" s="1" t="s">
        <v>137</v>
      </c>
      <c r="S843" s="1" t="s">
        <v>137</v>
      </c>
      <c r="T843" s="1" t="s">
        <v>47</v>
      </c>
      <c r="U843" s="1" t="s">
        <v>4301</v>
      </c>
    </row>
    <row r="844">
      <c r="A844" s="1" t="s">
        <v>7393</v>
      </c>
      <c r="B844" s="1" t="s">
        <v>4293</v>
      </c>
      <c r="C844" s="1" t="s">
        <v>14757</v>
      </c>
      <c r="D844" s="1" t="s">
        <v>1477</v>
      </c>
      <c r="E844" s="1" t="s">
        <v>292</v>
      </c>
      <c r="F844" s="1" t="s">
        <v>962</v>
      </c>
      <c r="G844" s="1" t="s">
        <v>2607</v>
      </c>
      <c r="H844" s="3">
        <v>45728.0</v>
      </c>
      <c r="I844" s="3">
        <v>45918.0</v>
      </c>
      <c r="J844" s="3">
        <v>45918.0</v>
      </c>
      <c r="K844" s="1" t="s">
        <v>215</v>
      </c>
      <c r="L844" s="1" t="s">
        <v>160</v>
      </c>
      <c r="M844" s="1" t="s">
        <v>216</v>
      </c>
      <c r="N844" s="1" t="s">
        <v>131</v>
      </c>
      <c r="P844" s="1"/>
      <c r="R844" s="1" t="s">
        <v>137</v>
      </c>
      <c r="S844" s="1" t="s">
        <v>137</v>
      </c>
      <c r="T844" s="1" t="s">
        <v>47</v>
      </c>
      <c r="U844" s="1" t="s">
        <v>4301</v>
      </c>
    </row>
    <row r="845">
      <c r="A845" s="1" t="s">
        <v>6995</v>
      </c>
      <c r="B845" s="1" t="s">
        <v>4293</v>
      </c>
      <c r="C845" s="1" t="s">
        <v>14760</v>
      </c>
      <c r="D845" s="1" t="s">
        <v>1477</v>
      </c>
      <c r="E845" s="1" t="s">
        <v>175</v>
      </c>
      <c r="F845" s="1" t="s">
        <v>245</v>
      </c>
      <c r="G845" s="1" t="s">
        <v>6501</v>
      </c>
      <c r="H845" s="3">
        <v>45728.0</v>
      </c>
      <c r="I845" s="3">
        <v>45866.0</v>
      </c>
      <c r="J845" s="3">
        <v>45866.0</v>
      </c>
      <c r="K845" s="1" t="s">
        <v>215</v>
      </c>
      <c r="L845" s="1" t="s">
        <v>160</v>
      </c>
      <c r="M845" s="1" t="s">
        <v>216</v>
      </c>
      <c r="N845" s="1" t="s">
        <v>131</v>
      </c>
      <c r="R845" s="1" t="s">
        <v>137</v>
      </c>
      <c r="S845" s="1" t="s">
        <v>137</v>
      </c>
      <c r="T845" s="1" t="s">
        <v>47</v>
      </c>
      <c r="U845" s="1" t="s">
        <v>4301</v>
      </c>
    </row>
    <row r="846">
      <c r="A846" s="1" t="s">
        <v>10221</v>
      </c>
      <c r="B846" s="1" t="s">
        <v>4293</v>
      </c>
      <c r="C846" s="1" t="s">
        <v>14762</v>
      </c>
      <c r="D846" s="1" t="s">
        <v>1477</v>
      </c>
      <c r="E846" s="1" t="s">
        <v>292</v>
      </c>
      <c r="F846" s="1" t="s">
        <v>962</v>
      </c>
      <c r="G846" s="1" t="s">
        <v>2607</v>
      </c>
      <c r="H846" s="3">
        <v>45728.0</v>
      </c>
      <c r="I846" s="3">
        <v>45866.0</v>
      </c>
      <c r="J846" s="3">
        <v>45866.0</v>
      </c>
      <c r="K846" s="1" t="s">
        <v>215</v>
      </c>
      <c r="L846" s="1" t="s">
        <v>160</v>
      </c>
      <c r="M846" s="1" t="s">
        <v>216</v>
      </c>
      <c r="N846" s="1" t="s">
        <v>131</v>
      </c>
      <c r="P846" s="1"/>
      <c r="R846" s="1" t="s">
        <v>137</v>
      </c>
      <c r="S846" s="1" t="s">
        <v>137</v>
      </c>
      <c r="T846" s="1" t="s">
        <v>47</v>
      </c>
      <c r="U846" s="1" t="s">
        <v>4301</v>
      </c>
    </row>
    <row r="847">
      <c r="A847" s="1" t="s">
        <v>9951</v>
      </c>
      <c r="B847" s="1" t="s">
        <v>4293</v>
      </c>
      <c r="C847" s="1" t="s">
        <v>14765</v>
      </c>
      <c r="D847" s="1" t="s">
        <v>313</v>
      </c>
      <c r="E847" s="1" t="s">
        <v>292</v>
      </c>
      <c r="F847" s="1" t="s">
        <v>293</v>
      </c>
      <c r="G847" s="1" t="s">
        <v>2091</v>
      </c>
      <c r="H847" s="3">
        <v>44712.0</v>
      </c>
      <c r="I847" s="3">
        <v>44812.0</v>
      </c>
      <c r="J847" s="3">
        <v>44812.0</v>
      </c>
      <c r="K847" s="1" t="s">
        <v>215</v>
      </c>
      <c r="L847" s="1" t="s">
        <v>160</v>
      </c>
      <c r="M847" s="1" t="s">
        <v>216</v>
      </c>
      <c r="N847" s="1" t="s">
        <v>131</v>
      </c>
      <c r="R847" s="1" t="s">
        <v>137</v>
      </c>
      <c r="S847" s="1" t="s">
        <v>137</v>
      </c>
      <c r="T847" s="1" t="s">
        <v>47</v>
      </c>
      <c r="U847" s="1" t="s">
        <v>4301</v>
      </c>
    </row>
    <row r="848">
      <c r="A848" s="1" t="s">
        <v>12517</v>
      </c>
      <c r="B848" s="1" t="s">
        <v>4293</v>
      </c>
      <c r="C848" s="1" t="s">
        <v>14768</v>
      </c>
      <c r="D848" s="1" t="s">
        <v>1798</v>
      </c>
      <c r="E848" s="1" t="s">
        <v>175</v>
      </c>
      <c r="F848" s="1" t="s">
        <v>763</v>
      </c>
      <c r="G848" s="1" t="s">
        <v>3768</v>
      </c>
      <c r="H848" s="3">
        <v>44620.0</v>
      </c>
      <c r="I848" s="3">
        <v>44620.0</v>
      </c>
      <c r="J848" s="3">
        <v>44620.0</v>
      </c>
      <c r="K848" s="1" t="s">
        <v>215</v>
      </c>
      <c r="L848" s="1" t="s">
        <v>160</v>
      </c>
      <c r="M848" s="1" t="s">
        <v>216</v>
      </c>
      <c r="N848" s="1" t="s">
        <v>131</v>
      </c>
      <c r="P848" s="1"/>
      <c r="R848" s="1" t="s">
        <v>137</v>
      </c>
      <c r="S848" s="1" t="s">
        <v>137</v>
      </c>
      <c r="T848" s="1" t="s">
        <v>47</v>
      </c>
      <c r="U848" s="1" t="s">
        <v>4301</v>
      </c>
    </row>
    <row r="849">
      <c r="A849" s="1" t="s">
        <v>8949</v>
      </c>
      <c r="B849" s="1" t="s">
        <v>4293</v>
      </c>
      <c r="C849" s="1" t="s">
        <v>14771</v>
      </c>
      <c r="D849" s="1" t="s">
        <v>1823</v>
      </c>
      <c r="E849" s="1" t="s">
        <v>175</v>
      </c>
      <c r="F849" s="1" t="s">
        <v>569</v>
      </c>
      <c r="G849" s="1" t="s">
        <v>570</v>
      </c>
      <c r="H849" s="3">
        <v>42720.0</v>
      </c>
      <c r="I849" s="3">
        <v>42744.0</v>
      </c>
      <c r="J849" s="3">
        <v>42744.0</v>
      </c>
      <c r="K849" s="1" t="s">
        <v>215</v>
      </c>
      <c r="L849" s="1" t="s">
        <v>160</v>
      </c>
      <c r="M849" s="1" t="s">
        <v>216</v>
      </c>
      <c r="N849" s="1" t="s">
        <v>131</v>
      </c>
      <c r="P849" s="1"/>
      <c r="R849" s="1" t="s">
        <v>137</v>
      </c>
      <c r="S849" s="1" t="s">
        <v>137</v>
      </c>
      <c r="T849" s="1" t="s">
        <v>47</v>
      </c>
      <c r="U849" s="1" t="s">
        <v>4301</v>
      </c>
    </row>
    <row r="850">
      <c r="A850" s="1" t="s">
        <v>11020</v>
      </c>
      <c r="B850" s="1" t="s">
        <v>4293</v>
      </c>
      <c r="C850" s="1" t="s">
        <v>3741</v>
      </c>
      <c r="D850" s="1" t="s">
        <v>194</v>
      </c>
      <c r="E850" s="1" t="s">
        <v>454</v>
      </c>
      <c r="F850" s="1" t="s">
        <v>455</v>
      </c>
      <c r="G850" s="1" t="s">
        <v>738</v>
      </c>
      <c r="H850" s="3">
        <v>45628.0</v>
      </c>
      <c r="I850" s="3">
        <v>45761.0</v>
      </c>
      <c r="J850" s="3">
        <v>45761.0</v>
      </c>
      <c r="K850" s="1" t="s">
        <v>215</v>
      </c>
      <c r="L850" s="1" t="s">
        <v>160</v>
      </c>
      <c r="M850" s="1" t="s">
        <v>216</v>
      </c>
      <c r="N850" s="1" t="s">
        <v>131</v>
      </c>
      <c r="P850" s="1"/>
      <c r="R850" s="1" t="s">
        <v>137</v>
      </c>
      <c r="S850" s="1" t="s">
        <v>137</v>
      </c>
      <c r="T850" s="1" t="s">
        <v>47</v>
      </c>
      <c r="U850" s="1" t="s">
        <v>4301</v>
      </c>
    </row>
    <row r="851">
      <c r="A851" s="1" t="s">
        <v>10462</v>
      </c>
      <c r="B851" s="1" t="s">
        <v>4293</v>
      </c>
      <c r="C851" s="1" t="s">
        <v>14774</v>
      </c>
      <c r="D851" s="1" t="s">
        <v>650</v>
      </c>
      <c r="E851" s="1" t="s">
        <v>292</v>
      </c>
      <c r="F851" s="1" t="s">
        <v>962</v>
      </c>
      <c r="G851" s="1" t="s">
        <v>9279</v>
      </c>
      <c r="H851" s="3">
        <v>45644.0</v>
      </c>
      <c r="I851" s="3">
        <v>45967.0</v>
      </c>
      <c r="J851" s="3">
        <v>45967.0</v>
      </c>
      <c r="K851" s="1" t="s">
        <v>215</v>
      </c>
      <c r="L851" s="1" t="s">
        <v>160</v>
      </c>
      <c r="M851" s="1" t="s">
        <v>216</v>
      </c>
      <c r="N851" s="1" t="s">
        <v>131</v>
      </c>
      <c r="P851" s="1"/>
      <c r="R851" s="1" t="s">
        <v>137</v>
      </c>
      <c r="S851" s="1" t="s">
        <v>137</v>
      </c>
      <c r="T851" s="1" t="s">
        <v>47</v>
      </c>
      <c r="U851" s="1" t="s">
        <v>4301</v>
      </c>
    </row>
    <row r="852">
      <c r="A852" s="1" t="s">
        <v>2155</v>
      </c>
      <c r="B852" s="1" t="s">
        <v>3586</v>
      </c>
      <c r="C852" s="1" t="s">
        <v>3754</v>
      </c>
      <c r="D852" s="1" t="s">
        <v>678</v>
      </c>
      <c r="E852" s="1" t="s">
        <v>119</v>
      </c>
      <c r="F852" s="1" t="s">
        <v>1338</v>
      </c>
      <c r="G852" s="1" t="s">
        <v>1338</v>
      </c>
      <c r="H852" s="3">
        <v>46114.0</v>
      </c>
      <c r="I852" s="3">
        <v>46316.0</v>
      </c>
      <c r="J852" s="3"/>
      <c r="K852" s="1" t="s">
        <v>124</v>
      </c>
      <c r="L852" s="1" t="s">
        <v>98</v>
      </c>
      <c r="M852" s="1" t="s">
        <v>460</v>
      </c>
      <c r="N852" s="1" t="s">
        <v>131</v>
      </c>
      <c r="P852" s="1" t="s">
        <v>3561</v>
      </c>
      <c r="R852" s="1" t="s">
        <v>137</v>
      </c>
      <c r="S852" s="1" t="s">
        <v>137</v>
      </c>
      <c r="T852" s="1" t="s">
        <v>47</v>
      </c>
      <c r="U852" s="1" t="s">
        <v>3595</v>
      </c>
    </row>
    <row r="853">
      <c r="A853" s="1" t="s">
        <v>6517</v>
      </c>
      <c r="B853" s="1" t="s">
        <v>4293</v>
      </c>
      <c r="C853" s="1" t="s">
        <v>14779</v>
      </c>
      <c r="D853" s="1" t="s">
        <v>1291</v>
      </c>
      <c r="E853" s="1" t="s">
        <v>292</v>
      </c>
      <c r="F853" s="1" t="s">
        <v>494</v>
      </c>
      <c r="G853" s="1" t="s">
        <v>2278</v>
      </c>
      <c r="H853" s="3">
        <v>45779.0</v>
      </c>
      <c r="I853" s="3">
        <v>46072.0</v>
      </c>
      <c r="J853" s="3">
        <v>46072.0</v>
      </c>
      <c r="K853" s="1" t="s">
        <v>215</v>
      </c>
      <c r="L853" s="1" t="s">
        <v>160</v>
      </c>
      <c r="M853" s="1" t="s">
        <v>216</v>
      </c>
      <c r="N853" s="1" t="s">
        <v>131</v>
      </c>
      <c r="R853" s="1" t="s">
        <v>137</v>
      </c>
      <c r="S853" s="1" t="s">
        <v>137</v>
      </c>
      <c r="T853" s="1" t="s">
        <v>47</v>
      </c>
      <c r="U853" s="1" t="s">
        <v>4301</v>
      </c>
    </row>
    <row r="854">
      <c r="A854" s="1" t="s">
        <v>12117</v>
      </c>
      <c r="B854" s="1" t="s">
        <v>4293</v>
      </c>
      <c r="C854" s="1" t="s">
        <v>14781</v>
      </c>
      <c r="D854" s="1" t="s">
        <v>172</v>
      </c>
      <c r="E854" s="1" t="s">
        <v>119</v>
      </c>
      <c r="F854" s="1" t="s">
        <v>3319</v>
      </c>
      <c r="G854" s="1" t="s">
        <v>3319</v>
      </c>
      <c r="H854" s="3">
        <v>45517.0</v>
      </c>
      <c r="I854" s="3">
        <v>45517.0</v>
      </c>
      <c r="J854" s="3">
        <v>45517.0</v>
      </c>
      <c r="K854" s="1" t="s">
        <v>215</v>
      </c>
      <c r="L854" s="1" t="s">
        <v>160</v>
      </c>
      <c r="M854" s="1" t="s">
        <v>216</v>
      </c>
      <c r="N854" s="1" t="s">
        <v>131</v>
      </c>
      <c r="R854" s="1" t="s">
        <v>137</v>
      </c>
      <c r="S854" s="1" t="s">
        <v>137</v>
      </c>
      <c r="T854" s="1" t="s">
        <v>47</v>
      </c>
      <c r="U854" s="1" t="s">
        <v>4301</v>
      </c>
    </row>
    <row r="855">
      <c r="A855" s="1" t="s">
        <v>8391</v>
      </c>
      <c r="B855" s="1" t="s">
        <v>4293</v>
      </c>
      <c r="C855" s="1" t="s">
        <v>3764</v>
      </c>
      <c r="D855" s="1" t="s">
        <v>754</v>
      </c>
      <c r="E855" s="1" t="s">
        <v>153</v>
      </c>
      <c r="F855" s="1" t="s">
        <v>155</v>
      </c>
      <c r="G855" s="1" t="s">
        <v>157</v>
      </c>
      <c r="H855" s="3">
        <v>45607.0</v>
      </c>
      <c r="I855" s="3">
        <v>45614.0</v>
      </c>
      <c r="J855" s="3">
        <v>45614.0</v>
      </c>
      <c r="K855" s="1" t="s">
        <v>215</v>
      </c>
      <c r="L855" s="1" t="s">
        <v>160</v>
      </c>
      <c r="M855" s="1" t="s">
        <v>216</v>
      </c>
      <c r="N855" s="1" t="s">
        <v>131</v>
      </c>
      <c r="P855" s="1"/>
      <c r="R855" s="1" t="s">
        <v>137</v>
      </c>
      <c r="S855" s="1" t="s">
        <v>137</v>
      </c>
      <c r="T855" s="1" t="s">
        <v>47</v>
      </c>
      <c r="U855" s="1" t="s">
        <v>4301</v>
      </c>
    </row>
    <row r="856">
      <c r="A856" s="1" t="s">
        <v>7698</v>
      </c>
      <c r="B856" s="1" t="s">
        <v>4293</v>
      </c>
      <c r="C856" s="1" t="s">
        <v>14785</v>
      </c>
      <c r="D856" s="1" t="s">
        <v>1469</v>
      </c>
      <c r="E856" s="1" t="s">
        <v>292</v>
      </c>
      <c r="F856" s="1" t="s">
        <v>962</v>
      </c>
      <c r="G856" s="1" t="s">
        <v>1969</v>
      </c>
      <c r="H856" s="3">
        <v>44553.0</v>
      </c>
      <c r="I856" s="3">
        <v>44630.0</v>
      </c>
      <c r="J856" s="3">
        <v>44630.0</v>
      </c>
      <c r="K856" s="1" t="s">
        <v>215</v>
      </c>
      <c r="L856" s="1" t="s">
        <v>160</v>
      </c>
      <c r="M856" s="1" t="s">
        <v>216</v>
      </c>
      <c r="N856" s="1" t="s">
        <v>131</v>
      </c>
      <c r="P856" s="1"/>
      <c r="R856" s="1" t="s">
        <v>137</v>
      </c>
      <c r="S856" s="1" t="s">
        <v>137</v>
      </c>
      <c r="T856" s="1" t="s">
        <v>47</v>
      </c>
      <c r="U856" s="1" t="s">
        <v>4301</v>
      </c>
    </row>
    <row r="857">
      <c r="A857" s="1" t="s">
        <v>9506</v>
      </c>
      <c r="B857" s="1" t="s">
        <v>4293</v>
      </c>
      <c r="C857" s="1" t="s">
        <v>14788</v>
      </c>
      <c r="D857" s="1" t="s">
        <v>657</v>
      </c>
      <c r="E857" s="1" t="s">
        <v>292</v>
      </c>
      <c r="F857" s="1" t="s">
        <v>293</v>
      </c>
      <c r="G857" s="1" t="s">
        <v>2091</v>
      </c>
      <c r="H857" s="3">
        <v>43831.0</v>
      </c>
      <c r="I857" s="3">
        <v>43525.0</v>
      </c>
      <c r="J857" s="3">
        <v>43525.0</v>
      </c>
      <c r="K857" s="1" t="s">
        <v>215</v>
      </c>
      <c r="L857" s="1" t="s">
        <v>160</v>
      </c>
      <c r="M857" s="1" t="s">
        <v>216</v>
      </c>
      <c r="N857" s="1" t="s">
        <v>131</v>
      </c>
      <c r="R857" s="1" t="s">
        <v>137</v>
      </c>
      <c r="S857" s="1" t="s">
        <v>137</v>
      </c>
      <c r="T857" s="1" t="s">
        <v>47</v>
      </c>
      <c r="U857" s="1" t="s">
        <v>4301</v>
      </c>
    </row>
    <row r="858">
      <c r="A858" s="1" t="s">
        <v>14081</v>
      </c>
      <c r="B858" s="1" t="s">
        <v>4293</v>
      </c>
      <c r="C858" s="1" t="s">
        <v>14789</v>
      </c>
      <c r="D858" s="1" t="s">
        <v>831</v>
      </c>
      <c r="E858" s="1" t="s">
        <v>292</v>
      </c>
      <c r="F858" s="1" t="s">
        <v>962</v>
      </c>
      <c r="G858" s="1" t="s">
        <v>9279</v>
      </c>
      <c r="H858" s="3">
        <v>44622.0</v>
      </c>
      <c r="I858" s="3"/>
      <c r="J858" s="3"/>
      <c r="K858" s="1" t="s">
        <v>124</v>
      </c>
      <c r="L858" s="1" t="s">
        <v>160</v>
      </c>
      <c r="M858" s="1" t="s">
        <v>253</v>
      </c>
      <c r="N858" s="1" t="s">
        <v>131</v>
      </c>
      <c r="P858" s="1"/>
      <c r="R858" s="1" t="s">
        <v>137</v>
      </c>
      <c r="S858" s="1" t="s">
        <v>137</v>
      </c>
      <c r="T858" s="1" t="s">
        <v>47</v>
      </c>
      <c r="U858" s="1" t="s">
        <v>4301</v>
      </c>
    </row>
    <row r="859">
      <c r="A859" s="1" t="s">
        <v>10134</v>
      </c>
      <c r="B859" s="1" t="s">
        <v>4293</v>
      </c>
      <c r="C859" s="1" t="s">
        <v>14792</v>
      </c>
      <c r="D859" s="1" t="s">
        <v>313</v>
      </c>
      <c r="E859" s="1" t="s">
        <v>175</v>
      </c>
      <c r="F859" s="1" t="s">
        <v>1767</v>
      </c>
      <c r="G859" s="1" t="s">
        <v>3835</v>
      </c>
      <c r="H859" s="3">
        <v>44348.0</v>
      </c>
      <c r="I859" s="3">
        <v>44348.0</v>
      </c>
      <c r="J859" s="3">
        <v>44348.0</v>
      </c>
      <c r="K859" s="1" t="s">
        <v>215</v>
      </c>
      <c r="L859" s="1" t="s">
        <v>160</v>
      </c>
      <c r="M859" s="1" t="s">
        <v>216</v>
      </c>
      <c r="N859" s="1" t="s">
        <v>131</v>
      </c>
      <c r="P859" s="1"/>
      <c r="R859" s="1" t="s">
        <v>137</v>
      </c>
      <c r="S859" s="1" t="s">
        <v>137</v>
      </c>
      <c r="T859" s="1" t="s">
        <v>47</v>
      </c>
      <c r="U859" s="1" t="s">
        <v>4301</v>
      </c>
    </row>
    <row r="860">
      <c r="A860" s="1" t="s">
        <v>6533</v>
      </c>
      <c r="B860" s="1" t="s">
        <v>4293</v>
      </c>
      <c r="C860" s="1" t="s">
        <v>14793</v>
      </c>
      <c r="D860" s="1" t="s">
        <v>417</v>
      </c>
      <c r="E860" s="1" t="s">
        <v>292</v>
      </c>
      <c r="F860" s="1" t="s">
        <v>962</v>
      </c>
      <c r="G860" s="1" t="s">
        <v>5046</v>
      </c>
      <c r="H860" s="3">
        <v>45279.0</v>
      </c>
      <c r="I860" s="3">
        <v>45315.0</v>
      </c>
      <c r="J860" s="3">
        <v>45315.0</v>
      </c>
      <c r="K860" s="1" t="s">
        <v>215</v>
      </c>
      <c r="L860" s="1" t="s">
        <v>160</v>
      </c>
      <c r="M860" s="1" t="s">
        <v>216</v>
      </c>
      <c r="N860" s="1" t="s">
        <v>131</v>
      </c>
      <c r="P860" s="1"/>
      <c r="R860" s="1" t="s">
        <v>137</v>
      </c>
      <c r="S860" s="1" t="s">
        <v>137</v>
      </c>
      <c r="T860" s="1" t="s">
        <v>47</v>
      </c>
      <c r="U860" s="1" t="s">
        <v>4301</v>
      </c>
    </row>
    <row r="861">
      <c r="A861" s="1" t="s">
        <v>10637</v>
      </c>
      <c r="B861" s="1" t="s">
        <v>4293</v>
      </c>
      <c r="C861" s="1" t="s">
        <v>14796</v>
      </c>
      <c r="D861" s="1" t="s">
        <v>243</v>
      </c>
      <c r="E861" s="1" t="s">
        <v>175</v>
      </c>
      <c r="F861" s="1" t="s">
        <v>1767</v>
      </c>
      <c r="G861" s="1" t="s">
        <v>3835</v>
      </c>
      <c r="H861" s="3">
        <v>44154.0</v>
      </c>
      <c r="I861" s="3">
        <v>44209.0</v>
      </c>
      <c r="J861" s="3">
        <v>44209.0</v>
      </c>
      <c r="K861" s="1" t="s">
        <v>215</v>
      </c>
      <c r="L861" s="1" t="s">
        <v>160</v>
      </c>
      <c r="M861" s="1" t="s">
        <v>216</v>
      </c>
      <c r="N861" s="1" t="s">
        <v>131</v>
      </c>
      <c r="P861" s="1"/>
      <c r="R861" s="1" t="s">
        <v>137</v>
      </c>
      <c r="S861" s="1" t="s">
        <v>137</v>
      </c>
      <c r="T861" s="1" t="s">
        <v>47</v>
      </c>
      <c r="U861" s="1" t="s">
        <v>4301</v>
      </c>
    </row>
    <row r="862">
      <c r="A862" s="1" t="s">
        <v>10759</v>
      </c>
      <c r="B862" s="1" t="s">
        <v>4293</v>
      </c>
      <c r="C862" s="1" t="s">
        <v>14799</v>
      </c>
      <c r="D862" s="1" t="s">
        <v>1823</v>
      </c>
      <c r="E862" s="1" t="s">
        <v>175</v>
      </c>
      <c r="F862" s="1" t="s">
        <v>1116</v>
      </c>
      <c r="G862" s="1" t="s">
        <v>3300</v>
      </c>
      <c r="H862" s="3">
        <v>44588.0</v>
      </c>
      <c r="I862" s="3">
        <v>44727.0</v>
      </c>
      <c r="J862" s="3">
        <v>44727.0</v>
      </c>
      <c r="K862" s="1" t="s">
        <v>215</v>
      </c>
      <c r="L862" s="1" t="s">
        <v>160</v>
      </c>
      <c r="M862" s="1" t="s">
        <v>216</v>
      </c>
      <c r="N862" s="1" t="s">
        <v>131</v>
      </c>
      <c r="P862" s="1"/>
      <c r="R862" s="1" t="s">
        <v>137</v>
      </c>
      <c r="S862" s="1" t="s">
        <v>137</v>
      </c>
      <c r="T862" s="1" t="s">
        <v>47</v>
      </c>
      <c r="U862" s="1" t="s">
        <v>4301</v>
      </c>
    </row>
    <row r="863">
      <c r="A863" s="1" t="s">
        <v>6792</v>
      </c>
      <c r="B863" s="1" t="s">
        <v>4293</v>
      </c>
      <c r="C863" s="1" t="s">
        <v>14801</v>
      </c>
      <c r="D863" s="1" t="s">
        <v>388</v>
      </c>
      <c r="E863" s="1" t="s">
        <v>292</v>
      </c>
      <c r="F863" s="1" t="s">
        <v>576</v>
      </c>
      <c r="G863" s="1" t="s">
        <v>577</v>
      </c>
      <c r="H863" s="3">
        <v>45729.0</v>
      </c>
      <c r="I863" s="3">
        <v>45924.0</v>
      </c>
      <c r="J863" s="3">
        <v>45924.0</v>
      </c>
      <c r="K863" s="1" t="s">
        <v>215</v>
      </c>
      <c r="L863" s="1" t="s">
        <v>160</v>
      </c>
      <c r="M863" s="1" t="s">
        <v>216</v>
      </c>
      <c r="N863" s="1" t="s">
        <v>131</v>
      </c>
      <c r="P863" s="1"/>
      <c r="R863" s="1" t="s">
        <v>137</v>
      </c>
      <c r="S863" s="1" t="s">
        <v>137</v>
      </c>
      <c r="T863" s="1" t="s">
        <v>47</v>
      </c>
      <c r="U863" s="1" t="s">
        <v>4301</v>
      </c>
    </row>
    <row r="864">
      <c r="A864" s="1" t="s">
        <v>2712</v>
      </c>
      <c r="B864" s="1" t="s">
        <v>116</v>
      </c>
      <c r="C864" s="1" t="s">
        <v>3773</v>
      </c>
      <c r="D864" s="1" t="s">
        <v>678</v>
      </c>
      <c r="E864" s="1" t="s">
        <v>454</v>
      </c>
      <c r="F864" s="1" t="s">
        <v>455</v>
      </c>
      <c r="G864" s="1" t="s">
        <v>510</v>
      </c>
      <c r="H864" s="3">
        <v>46181.0</v>
      </c>
      <c r="I864" s="3">
        <v>46356.0</v>
      </c>
      <c r="J864" s="3"/>
      <c r="K864" s="1" t="s">
        <v>124</v>
      </c>
      <c r="L864" s="1" t="s">
        <v>160</v>
      </c>
      <c r="M864" s="1" t="s">
        <v>300</v>
      </c>
      <c r="N864" s="1" t="s">
        <v>131</v>
      </c>
      <c r="P864" s="1" t="s">
        <v>2768</v>
      </c>
      <c r="R864" s="1" t="s">
        <v>137</v>
      </c>
      <c r="S864" s="1" t="s">
        <v>137</v>
      </c>
      <c r="T864" s="1" t="s">
        <v>47</v>
      </c>
      <c r="U864" s="1" t="s">
        <v>4283</v>
      </c>
    </row>
    <row r="865">
      <c r="A865" s="1" t="s">
        <v>10166</v>
      </c>
      <c r="B865" s="1" t="s">
        <v>4293</v>
      </c>
      <c r="C865" s="1" t="s">
        <v>14806</v>
      </c>
      <c r="D865" s="1" t="s">
        <v>518</v>
      </c>
      <c r="E865" s="1" t="s">
        <v>520</v>
      </c>
      <c r="F865" s="1" t="s">
        <v>522</v>
      </c>
      <c r="G865" s="1" t="s">
        <v>6067</v>
      </c>
      <c r="H865" s="3">
        <v>44341.0</v>
      </c>
      <c r="I865" s="3">
        <v>44453.0</v>
      </c>
      <c r="J865" s="3">
        <v>44453.0</v>
      </c>
      <c r="K865" s="1" t="s">
        <v>215</v>
      </c>
      <c r="L865" s="1" t="s">
        <v>160</v>
      </c>
      <c r="M865" s="1" t="s">
        <v>216</v>
      </c>
      <c r="N865" s="1" t="s">
        <v>131</v>
      </c>
      <c r="P865" s="1"/>
      <c r="R865" s="1" t="s">
        <v>137</v>
      </c>
      <c r="S865" s="1" t="s">
        <v>137</v>
      </c>
      <c r="T865" s="1" t="s">
        <v>47</v>
      </c>
      <c r="U865" s="1" t="s">
        <v>4301</v>
      </c>
    </row>
    <row r="866">
      <c r="A866" s="1" t="s">
        <v>8527</v>
      </c>
      <c r="B866" s="1" t="s">
        <v>4293</v>
      </c>
      <c r="C866" s="1" t="s">
        <v>14809</v>
      </c>
      <c r="D866" s="1" t="s">
        <v>273</v>
      </c>
      <c r="E866" s="1" t="s">
        <v>330</v>
      </c>
      <c r="F866" s="1" t="s">
        <v>356</v>
      </c>
      <c r="G866" s="1" t="s">
        <v>359</v>
      </c>
      <c r="H866" s="3">
        <v>44104.0</v>
      </c>
      <c r="I866" s="3">
        <v>44833.0</v>
      </c>
      <c r="J866" s="3">
        <v>44833.0</v>
      </c>
      <c r="K866" s="1" t="s">
        <v>215</v>
      </c>
      <c r="L866" s="1" t="s">
        <v>160</v>
      </c>
      <c r="M866" s="1" t="s">
        <v>216</v>
      </c>
      <c r="N866" s="1" t="s">
        <v>131</v>
      </c>
      <c r="P866" s="1"/>
      <c r="R866" s="1" t="s">
        <v>137</v>
      </c>
      <c r="S866" s="1" t="s">
        <v>137</v>
      </c>
      <c r="T866" s="1" t="s">
        <v>47</v>
      </c>
      <c r="U866" s="1" t="s">
        <v>4301</v>
      </c>
    </row>
    <row r="867">
      <c r="A867" s="1" t="s">
        <v>10918</v>
      </c>
      <c r="B867" s="1" t="s">
        <v>4293</v>
      </c>
      <c r="C867" s="1" t="s">
        <v>14812</v>
      </c>
      <c r="D867" s="1" t="s">
        <v>273</v>
      </c>
      <c r="E867" s="1" t="s">
        <v>330</v>
      </c>
      <c r="F867" s="1" t="s">
        <v>356</v>
      </c>
      <c r="G867" s="1" t="s">
        <v>5006</v>
      </c>
      <c r="H867" s="3">
        <v>46160.0</v>
      </c>
      <c r="I867" s="3">
        <v>46338.0</v>
      </c>
      <c r="J867" s="3"/>
      <c r="K867" s="1" t="s">
        <v>124</v>
      </c>
      <c r="L867" s="1" t="s">
        <v>160</v>
      </c>
      <c r="M867" s="1" t="s">
        <v>363</v>
      </c>
      <c r="N867" s="1" t="s">
        <v>131</v>
      </c>
      <c r="P867" s="1" t="s">
        <v>2077</v>
      </c>
      <c r="R867" s="1" t="s">
        <v>137</v>
      </c>
      <c r="S867" s="1" t="s">
        <v>137</v>
      </c>
      <c r="T867" s="1" t="s">
        <v>47</v>
      </c>
      <c r="U867" s="1" t="s">
        <v>14813</v>
      </c>
    </row>
    <row r="868">
      <c r="A868" s="1" t="s">
        <v>12405</v>
      </c>
      <c r="B868" s="1" t="s">
        <v>4293</v>
      </c>
      <c r="C868" s="1" t="s">
        <v>14815</v>
      </c>
      <c r="D868" s="1" t="s">
        <v>1823</v>
      </c>
      <c r="E868" s="1" t="s">
        <v>175</v>
      </c>
      <c r="F868" s="1" t="s">
        <v>1116</v>
      </c>
      <c r="G868" s="1" t="s">
        <v>11367</v>
      </c>
      <c r="H868" s="3">
        <v>45209.0</v>
      </c>
      <c r="I868" s="3">
        <v>45257.0</v>
      </c>
      <c r="J868" s="3">
        <v>45257.0</v>
      </c>
      <c r="K868" s="1" t="s">
        <v>215</v>
      </c>
      <c r="L868" s="1" t="s">
        <v>160</v>
      </c>
      <c r="M868" s="1" t="s">
        <v>216</v>
      </c>
      <c r="N868" s="1" t="s">
        <v>131</v>
      </c>
      <c r="P868" s="1"/>
      <c r="R868" s="1" t="s">
        <v>137</v>
      </c>
      <c r="S868" s="1" t="s">
        <v>137</v>
      </c>
      <c r="T868" s="1" t="s">
        <v>47</v>
      </c>
      <c r="U868" s="1" t="s">
        <v>4301</v>
      </c>
    </row>
    <row r="869">
      <c r="A869" s="1" t="s">
        <v>13965</v>
      </c>
      <c r="B869" s="1" t="s">
        <v>4293</v>
      </c>
      <c r="C869" s="1" t="s">
        <v>14817</v>
      </c>
      <c r="D869" s="1" t="s">
        <v>396</v>
      </c>
      <c r="E869" s="1" t="s">
        <v>292</v>
      </c>
      <c r="F869" s="1" t="s">
        <v>576</v>
      </c>
      <c r="G869" s="1" t="s">
        <v>2859</v>
      </c>
      <c r="H869" s="3">
        <v>45645.0</v>
      </c>
      <c r="I869" s="3"/>
      <c r="J869" s="3"/>
      <c r="K869" s="1" t="s">
        <v>124</v>
      </c>
      <c r="L869" s="1" t="s">
        <v>160</v>
      </c>
      <c r="M869" s="1" t="s">
        <v>253</v>
      </c>
      <c r="N869" s="1" t="s">
        <v>131</v>
      </c>
      <c r="P869" s="1"/>
      <c r="R869" s="1" t="s">
        <v>137</v>
      </c>
      <c r="S869" s="1" t="s">
        <v>137</v>
      </c>
      <c r="T869" s="1" t="s">
        <v>47</v>
      </c>
      <c r="U869" s="1" t="s">
        <v>4301</v>
      </c>
    </row>
    <row r="870">
      <c r="A870" s="1" t="s">
        <v>2373</v>
      </c>
      <c r="B870" s="1" t="s">
        <v>116</v>
      </c>
      <c r="C870" s="1" t="s">
        <v>3785</v>
      </c>
      <c r="D870" s="1" t="s">
        <v>291</v>
      </c>
      <c r="E870" s="1" t="s">
        <v>292</v>
      </c>
      <c r="F870" s="1" t="s">
        <v>293</v>
      </c>
      <c r="G870" s="1" t="s">
        <v>295</v>
      </c>
      <c r="H870" s="3">
        <v>46129.0</v>
      </c>
      <c r="I870" s="3">
        <v>46301.0</v>
      </c>
      <c r="J870" s="3"/>
      <c r="K870" s="1" t="s">
        <v>124</v>
      </c>
      <c r="L870" s="1" t="s">
        <v>98</v>
      </c>
      <c r="M870" s="1" t="s">
        <v>460</v>
      </c>
      <c r="N870" s="1" t="s">
        <v>131</v>
      </c>
      <c r="P870" s="1" t="s">
        <v>3360</v>
      </c>
      <c r="R870" s="1" t="s">
        <v>137</v>
      </c>
      <c r="S870" s="1" t="s">
        <v>137</v>
      </c>
      <c r="T870" s="1" t="s">
        <v>47</v>
      </c>
      <c r="U870" s="1" t="s">
        <v>4141</v>
      </c>
    </row>
    <row r="871">
      <c r="A871" s="1" t="s">
        <v>11410</v>
      </c>
      <c r="B871" s="1" t="s">
        <v>4293</v>
      </c>
      <c r="C871" s="1" t="s">
        <v>14823</v>
      </c>
      <c r="D871" s="1" t="s">
        <v>2198</v>
      </c>
      <c r="E871" s="1" t="s">
        <v>292</v>
      </c>
      <c r="F871" s="1" t="s">
        <v>962</v>
      </c>
      <c r="G871" s="1" t="s">
        <v>2607</v>
      </c>
      <c r="H871" s="3">
        <v>44165.0</v>
      </c>
      <c r="I871" s="3">
        <v>44503.0</v>
      </c>
      <c r="J871" s="3">
        <v>44503.0</v>
      </c>
      <c r="K871" s="1" t="s">
        <v>215</v>
      </c>
      <c r="L871" s="1" t="s">
        <v>160</v>
      </c>
      <c r="M871" s="1" t="s">
        <v>216</v>
      </c>
      <c r="N871" s="1" t="s">
        <v>131</v>
      </c>
      <c r="R871" s="1" t="s">
        <v>137</v>
      </c>
      <c r="S871" s="1" t="s">
        <v>137</v>
      </c>
      <c r="T871" s="1" t="s">
        <v>47</v>
      </c>
      <c r="U871" s="1" t="s">
        <v>4301</v>
      </c>
    </row>
    <row r="872">
      <c r="A872" s="1" t="s">
        <v>11610</v>
      </c>
      <c r="B872" s="1" t="s">
        <v>4293</v>
      </c>
      <c r="C872" s="1" t="s">
        <v>14825</v>
      </c>
      <c r="D872" s="1" t="s">
        <v>194</v>
      </c>
      <c r="E872" s="1" t="s">
        <v>454</v>
      </c>
      <c r="F872" s="1" t="s">
        <v>3395</v>
      </c>
      <c r="G872" s="1" t="s">
        <v>8695</v>
      </c>
      <c r="H872" s="3">
        <v>45475.0</v>
      </c>
      <c r="I872" s="3">
        <v>45701.0</v>
      </c>
      <c r="J872" s="3">
        <v>45701.0</v>
      </c>
      <c r="K872" s="1" t="s">
        <v>215</v>
      </c>
      <c r="L872" s="1" t="s">
        <v>160</v>
      </c>
      <c r="M872" s="1" t="s">
        <v>216</v>
      </c>
      <c r="N872" s="1" t="s">
        <v>131</v>
      </c>
      <c r="R872" s="1" t="s">
        <v>137</v>
      </c>
      <c r="S872" s="1" t="s">
        <v>137</v>
      </c>
      <c r="T872" s="1" t="s">
        <v>47</v>
      </c>
      <c r="U872" s="1" t="s">
        <v>4301</v>
      </c>
    </row>
    <row r="873">
      <c r="A873" s="1" t="s">
        <v>9853</v>
      </c>
      <c r="B873" s="1" t="s">
        <v>4293</v>
      </c>
      <c r="C873" s="1" t="s">
        <v>14827</v>
      </c>
      <c r="D873" s="1" t="s">
        <v>593</v>
      </c>
      <c r="E873" s="1" t="s">
        <v>889</v>
      </c>
      <c r="F873" s="1" t="s">
        <v>890</v>
      </c>
      <c r="G873" s="1" t="s">
        <v>14829</v>
      </c>
      <c r="H873" s="3">
        <v>44791.0</v>
      </c>
      <c r="I873" s="3">
        <v>44957.0</v>
      </c>
      <c r="J873" s="3">
        <v>44957.0</v>
      </c>
      <c r="K873" s="1" t="s">
        <v>215</v>
      </c>
      <c r="L873" s="1" t="s">
        <v>160</v>
      </c>
      <c r="M873" s="1" t="s">
        <v>216</v>
      </c>
      <c r="N873" s="1" t="s">
        <v>131</v>
      </c>
      <c r="R873" s="1" t="s">
        <v>137</v>
      </c>
      <c r="S873" s="1" t="s">
        <v>137</v>
      </c>
      <c r="T873" s="1" t="s">
        <v>47</v>
      </c>
      <c r="U873" s="1" t="s">
        <v>4301</v>
      </c>
    </row>
    <row r="874">
      <c r="A874" s="1" t="s">
        <v>11698</v>
      </c>
      <c r="B874" s="1" t="s">
        <v>4293</v>
      </c>
      <c r="C874" s="1" t="s">
        <v>14831</v>
      </c>
      <c r="D874" s="1" t="s">
        <v>1776</v>
      </c>
      <c r="E874" s="1" t="s">
        <v>2845</v>
      </c>
      <c r="F874" s="1" t="s">
        <v>2846</v>
      </c>
      <c r="G874" s="1" t="s">
        <v>14832</v>
      </c>
      <c r="H874" s="3">
        <v>45198.0</v>
      </c>
      <c r="I874" s="3">
        <v>45789.0</v>
      </c>
      <c r="J874" s="3">
        <v>45789.0</v>
      </c>
      <c r="K874" s="1" t="s">
        <v>215</v>
      </c>
      <c r="L874" s="1" t="s">
        <v>160</v>
      </c>
      <c r="M874" s="1" t="s">
        <v>216</v>
      </c>
      <c r="N874" s="1" t="s">
        <v>131</v>
      </c>
      <c r="R874" s="1" t="s">
        <v>137</v>
      </c>
      <c r="S874" s="1" t="s">
        <v>137</v>
      </c>
      <c r="T874" s="1" t="s">
        <v>47</v>
      </c>
      <c r="U874" s="1" t="s">
        <v>4301</v>
      </c>
    </row>
    <row r="875">
      <c r="A875" s="1" t="s">
        <v>14056</v>
      </c>
      <c r="B875" s="1" t="s">
        <v>4293</v>
      </c>
      <c r="C875" s="1" t="s">
        <v>3805</v>
      </c>
      <c r="D875" s="1" t="s">
        <v>194</v>
      </c>
      <c r="E875" s="1" t="s">
        <v>454</v>
      </c>
      <c r="F875" s="1" t="s">
        <v>455</v>
      </c>
      <c r="G875" s="1" t="s">
        <v>738</v>
      </c>
      <c r="H875" s="3">
        <v>45945.0</v>
      </c>
      <c r="I875" s="3"/>
      <c r="J875" s="3"/>
      <c r="K875" s="1" t="s">
        <v>124</v>
      </c>
      <c r="L875" s="1" t="s">
        <v>160</v>
      </c>
      <c r="M875" s="1" t="s">
        <v>253</v>
      </c>
      <c r="N875" s="1" t="s">
        <v>131</v>
      </c>
      <c r="R875" s="1" t="s">
        <v>137</v>
      </c>
      <c r="S875" s="1" t="s">
        <v>137</v>
      </c>
      <c r="T875" s="1" t="s">
        <v>47</v>
      </c>
      <c r="U875" s="1" t="s">
        <v>4301</v>
      </c>
    </row>
    <row r="876">
      <c r="A876" s="1" t="s">
        <v>12418</v>
      </c>
      <c r="B876" s="1" t="s">
        <v>4293</v>
      </c>
      <c r="C876" s="1" t="s">
        <v>14835</v>
      </c>
      <c r="D876" s="1" t="s">
        <v>1823</v>
      </c>
      <c r="E876" s="1" t="s">
        <v>175</v>
      </c>
      <c r="F876" s="1" t="s">
        <v>763</v>
      </c>
      <c r="G876" s="1" t="s">
        <v>764</v>
      </c>
      <c r="H876" s="3">
        <v>45362.0</v>
      </c>
      <c r="I876" s="3">
        <v>45363.0</v>
      </c>
      <c r="J876" s="3">
        <v>45363.0</v>
      </c>
      <c r="K876" s="1" t="s">
        <v>215</v>
      </c>
      <c r="L876" s="1" t="s">
        <v>160</v>
      </c>
      <c r="M876" s="1" t="s">
        <v>216</v>
      </c>
      <c r="N876" s="1" t="s">
        <v>131</v>
      </c>
      <c r="R876" s="1" t="s">
        <v>137</v>
      </c>
      <c r="S876" s="1" t="s">
        <v>137</v>
      </c>
      <c r="T876" s="1" t="s">
        <v>47</v>
      </c>
      <c r="U876" s="1" t="s">
        <v>4301</v>
      </c>
    </row>
    <row r="877">
      <c r="A877" s="1" t="s">
        <v>9487</v>
      </c>
      <c r="B877" s="1" t="s">
        <v>4293</v>
      </c>
      <c r="C877" s="1" t="s">
        <v>3823</v>
      </c>
      <c r="D877" s="1" t="s">
        <v>273</v>
      </c>
      <c r="E877" s="1" t="s">
        <v>330</v>
      </c>
      <c r="F877" s="1" t="s">
        <v>331</v>
      </c>
      <c r="G877" s="1" t="s">
        <v>333</v>
      </c>
      <c r="H877" s="3">
        <v>44197.0</v>
      </c>
      <c r="I877" s="3">
        <v>44197.0</v>
      </c>
      <c r="J877" s="3">
        <v>44197.0</v>
      </c>
      <c r="K877" s="1" t="s">
        <v>215</v>
      </c>
      <c r="L877" s="1" t="s">
        <v>160</v>
      </c>
      <c r="M877" s="1" t="s">
        <v>216</v>
      </c>
      <c r="N877" s="1" t="s">
        <v>131</v>
      </c>
      <c r="R877" s="1" t="s">
        <v>137</v>
      </c>
      <c r="S877" s="1" t="s">
        <v>137</v>
      </c>
      <c r="T877" s="1" t="s">
        <v>47</v>
      </c>
      <c r="U877" s="1" t="s">
        <v>4301</v>
      </c>
    </row>
    <row r="878">
      <c r="A878" s="1" t="s">
        <v>6034</v>
      </c>
      <c r="B878" s="1" t="s">
        <v>4293</v>
      </c>
      <c r="C878" s="1" t="s">
        <v>14838</v>
      </c>
      <c r="D878" s="1" t="s">
        <v>509</v>
      </c>
      <c r="E878" s="1" t="s">
        <v>454</v>
      </c>
      <c r="F878" s="1" t="s">
        <v>455</v>
      </c>
      <c r="G878" s="1" t="s">
        <v>738</v>
      </c>
      <c r="H878" s="3">
        <v>44736.0</v>
      </c>
      <c r="I878" s="3">
        <v>45110.0</v>
      </c>
      <c r="J878" s="3">
        <v>45110.0</v>
      </c>
      <c r="K878" s="1" t="s">
        <v>215</v>
      </c>
      <c r="L878" s="1" t="s">
        <v>160</v>
      </c>
      <c r="M878" s="1" t="s">
        <v>216</v>
      </c>
      <c r="N878" s="1" t="s">
        <v>131</v>
      </c>
      <c r="R878" s="1" t="s">
        <v>137</v>
      </c>
      <c r="S878" s="1" t="s">
        <v>137</v>
      </c>
      <c r="T878" s="1" t="s">
        <v>47</v>
      </c>
      <c r="U878" s="1" t="s">
        <v>4301</v>
      </c>
    </row>
    <row r="879">
      <c r="A879" s="1" t="s">
        <v>5921</v>
      </c>
      <c r="B879" s="1" t="s">
        <v>4293</v>
      </c>
      <c r="C879" s="1" t="s">
        <v>14842</v>
      </c>
      <c r="D879" s="1" t="s">
        <v>1477</v>
      </c>
      <c r="E879" s="1" t="s">
        <v>292</v>
      </c>
      <c r="F879" s="1" t="s">
        <v>962</v>
      </c>
      <c r="G879" s="1" t="s">
        <v>963</v>
      </c>
      <c r="H879" s="3">
        <v>44733.0</v>
      </c>
      <c r="I879" s="3">
        <v>44838.0</v>
      </c>
      <c r="J879" s="3">
        <v>44838.0</v>
      </c>
      <c r="K879" s="1" t="s">
        <v>215</v>
      </c>
      <c r="L879" s="1" t="s">
        <v>160</v>
      </c>
      <c r="M879" s="1" t="s">
        <v>216</v>
      </c>
      <c r="N879" s="1" t="s">
        <v>131</v>
      </c>
      <c r="P879" s="1"/>
      <c r="R879" s="1" t="s">
        <v>137</v>
      </c>
      <c r="S879" s="1" t="s">
        <v>137</v>
      </c>
      <c r="T879" s="1" t="s">
        <v>47</v>
      </c>
      <c r="U879" s="1" t="s">
        <v>4301</v>
      </c>
    </row>
    <row r="880">
      <c r="A880" s="1" t="s">
        <v>6172</v>
      </c>
      <c r="B880" s="1" t="s">
        <v>4293</v>
      </c>
      <c r="C880" s="1" t="s">
        <v>14849</v>
      </c>
      <c r="D880" s="1" t="s">
        <v>2198</v>
      </c>
      <c r="E880" s="1" t="s">
        <v>292</v>
      </c>
      <c r="F880" s="1" t="s">
        <v>494</v>
      </c>
      <c r="G880" s="1" t="s">
        <v>3632</v>
      </c>
      <c r="H880" s="3">
        <v>43952.0</v>
      </c>
      <c r="I880" s="3">
        <v>43952.0</v>
      </c>
      <c r="J880" s="3">
        <v>43952.0</v>
      </c>
      <c r="K880" s="1" t="s">
        <v>215</v>
      </c>
      <c r="L880" s="1" t="s">
        <v>160</v>
      </c>
      <c r="M880" s="1" t="s">
        <v>216</v>
      </c>
      <c r="N880" s="1" t="s">
        <v>131</v>
      </c>
      <c r="P880" s="1"/>
      <c r="R880" s="1" t="s">
        <v>137</v>
      </c>
      <c r="S880" s="1" t="s">
        <v>137</v>
      </c>
      <c r="T880" s="1" t="s">
        <v>47</v>
      </c>
      <c r="U880" s="1" t="s">
        <v>4301</v>
      </c>
    </row>
    <row r="881">
      <c r="A881" s="1" t="s">
        <v>9413</v>
      </c>
      <c r="B881" s="1" t="s">
        <v>4293</v>
      </c>
      <c r="C881" s="1" t="s">
        <v>14855</v>
      </c>
      <c r="D881" s="1" t="s">
        <v>388</v>
      </c>
      <c r="E881" s="1" t="s">
        <v>292</v>
      </c>
      <c r="F881" s="1" t="s">
        <v>468</v>
      </c>
      <c r="G881" s="1" t="s">
        <v>998</v>
      </c>
      <c r="H881" s="3">
        <v>43622.0</v>
      </c>
      <c r="I881" s="3">
        <v>43692.0</v>
      </c>
      <c r="J881" s="3">
        <v>43692.0</v>
      </c>
      <c r="K881" s="1" t="s">
        <v>215</v>
      </c>
      <c r="L881" s="1" t="s">
        <v>160</v>
      </c>
      <c r="M881" s="1" t="s">
        <v>216</v>
      </c>
      <c r="N881" s="1" t="s">
        <v>131</v>
      </c>
      <c r="R881" s="1" t="s">
        <v>137</v>
      </c>
      <c r="S881" s="1" t="s">
        <v>137</v>
      </c>
      <c r="T881" s="1" t="s">
        <v>47</v>
      </c>
      <c r="U881" s="1" t="s">
        <v>4301</v>
      </c>
    </row>
    <row r="882">
      <c r="A882" s="1" t="s">
        <v>8622</v>
      </c>
      <c r="B882" s="1" t="s">
        <v>4293</v>
      </c>
      <c r="C882" s="1" t="s">
        <v>14858</v>
      </c>
      <c r="D882" s="1" t="s">
        <v>678</v>
      </c>
      <c r="E882" s="1" t="s">
        <v>454</v>
      </c>
      <c r="F882" s="1" t="s">
        <v>455</v>
      </c>
      <c r="G882" s="1" t="s">
        <v>738</v>
      </c>
      <c r="H882" s="3">
        <v>44988.0</v>
      </c>
      <c r="I882" s="3">
        <v>45392.0</v>
      </c>
      <c r="J882" s="3">
        <v>45392.0</v>
      </c>
      <c r="K882" s="1" t="s">
        <v>215</v>
      </c>
      <c r="L882" s="1" t="s">
        <v>160</v>
      </c>
      <c r="M882" s="1" t="s">
        <v>216</v>
      </c>
      <c r="N882" s="1" t="s">
        <v>131</v>
      </c>
      <c r="P882" s="1"/>
      <c r="R882" s="1" t="s">
        <v>137</v>
      </c>
      <c r="S882" s="1" t="s">
        <v>137</v>
      </c>
      <c r="T882" s="1" t="s">
        <v>47</v>
      </c>
      <c r="U882" s="1" t="s">
        <v>4301</v>
      </c>
    </row>
    <row r="883">
      <c r="A883" s="1" t="s">
        <v>6975</v>
      </c>
      <c r="B883" s="1" t="s">
        <v>4293</v>
      </c>
      <c r="C883" s="1" t="s">
        <v>14861</v>
      </c>
      <c r="D883" s="1" t="s">
        <v>1798</v>
      </c>
      <c r="E883" s="1" t="s">
        <v>175</v>
      </c>
      <c r="F883" s="1" t="s">
        <v>1767</v>
      </c>
      <c r="G883" s="1" t="s">
        <v>2199</v>
      </c>
      <c r="H883" s="3">
        <v>44509.0</v>
      </c>
      <c r="I883" s="3">
        <v>44511.0</v>
      </c>
      <c r="J883" s="3">
        <v>44511.0</v>
      </c>
      <c r="K883" s="1" t="s">
        <v>215</v>
      </c>
      <c r="L883" s="1" t="s">
        <v>160</v>
      </c>
      <c r="M883" s="1" t="s">
        <v>216</v>
      </c>
      <c r="N883" s="1" t="s">
        <v>131</v>
      </c>
      <c r="R883" s="1" t="s">
        <v>137</v>
      </c>
      <c r="S883" s="1" t="s">
        <v>137</v>
      </c>
      <c r="T883" s="1" t="s">
        <v>47</v>
      </c>
      <c r="U883" s="1" t="s">
        <v>4301</v>
      </c>
    </row>
    <row r="884">
      <c r="A884" s="1" t="s">
        <v>9050</v>
      </c>
      <c r="B884" s="1" t="s">
        <v>4293</v>
      </c>
      <c r="C884" s="1" t="s">
        <v>14863</v>
      </c>
      <c r="D884" s="1" t="s">
        <v>2198</v>
      </c>
      <c r="E884" s="1" t="s">
        <v>292</v>
      </c>
      <c r="F884" s="1" t="s">
        <v>494</v>
      </c>
      <c r="G884" s="1" t="s">
        <v>1784</v>
      </c>
      <c r="H884" s="3">
        <v>45278.0</v>
      </c>
      <c r="I884" s="3">
        <v>45696.0</v>
      </c>
      <c r="J884" s="3">
        <v>45696.0</v>
      </c>
      <c r="K884" s="1" t="s">
        <v>215</v>
      </c>
      <c r="L884" s="1" t="s">
        <v>160</v>
      </c>
      <c r="M884" s="1" t="s">
        <v>216</v>
      </c>
      <c r="N884" s="1" t="s">
        <v>131</v>
      </c>
      <c r="P884" s="1"/>
      <c r="R884" s="1" t="s">
        <v>137</v>
      </c>
      <c r="S884" s="1" t="s">
        <v>137</v>
      </c>
      <c r="T884" s="1" t="s">
        <v>47</v>
      </c>
      <c r="U884" s="1" t="s">
        <v>4301</v>
      </c>
    </row>
    <row r="885">
      <c r="A885" s="1" t="s">
        <v>11329</v>
      </c>
      <c r="B885" s="1" t="s">
        <v>4293</v>
      </c>
      <c r="C885" s="1" t="s">
        <v>14869</v>
      </c>
      <c r="D885" s="1" t="s">
        <v>509</v>
      </c>
      <c r="E885" s="1" t="s">
        <v>889</v>
      </c>
      <c r="F885" s="1" t="s">
        <v>2614</v>
      </c>
      <c r="G885" s="1"/>
      <c r="H885" s="3">
        <v>45575.0</v>
      </c>
      <c r="I885" s="3">
        <v>45754.0</v>
      </c>
      <c r="J885" s="3">
        <v>45754.0</v>
      </c>
      <c r="K885" s="1" t="s">
        <v>215</v>
      </c>
      <c r="L885" s="1" t="s">
        <v>160</v>
      </c>
      <c r="M885" s="1" t="s">
        <v>216</v>
      </c>
      <c r="N885" s="1" t="s">
        <v>131</v>
      </c>
      <c r="P885" s="1"/>
      <c r="R885" s="1" t="s">
        <v>137</v>
      </c>
      <c r="S885" s="1" t="s">
        <v>137</v>
      </c>
      <c r="T885" s="1" t="s">
        <v>47</v>
      </c>
      <c r="U885" s="1" t="s">
        <v>4301</v>
      </c>
    </row>
    <row r="886">
      <c r="A886" s="1" t="s">
        <v>8664</v>
      </c>
      <c r="B886" s="1" t="s">
        <v>4293</v>
      </c>
      <c r="C886" s="1" t="s">
        <v>14874</v>
      </c>
      <c r="D886" s="1" t="s">
        <v>388</v>
      </c>
      <c r="E886" s="1" t="s">
        <v>292</v>
      </c>
      <c r="F886" s="1" t="s">
        <v>576</v>
      </c>
      <c r="G886" s="1" t="s">
        <v>2859</v>
      </c>
      <c r="H886" s="3">
        <v>45933.0</v>
      </c>
      <c r="I886" s="3"/>
      <c r="J886" s="3"/>
      <c r="K886" s="1" t="s">
        <v>124</v>
      </c>
      <c r="L886" s="1" t="s">
        <v>160</v>
      </c>
      <c r="M886" s="1" t="s">
        <v>253</v>
      </c>
      <c r="N886" s="1" t="s">
        <v>131</v>
      </c>
      <c r="P886" s="1"/>
      <c r="R886" s="1" t="s">
        <v>137</v>
      </c>
      <c r="S886" s="1" t="s">
        <v>137</v>
      </c>
      <c r="T886" s="1" t="s">
        <v>47</v>
      </c>
      <c r="U886" s="1" t="s">
        <v>4301</v>
      </c>
    </row>
    <row r="887">
      <c r="A887" s="1" t="s">
        <v>6302</v>
      </c>
      <c r="B887" s="1" t="s">
        <v>4293</v>
      </c>
      <c r="C887" s="1" t="s">
        <v>14877</v>
      </c>
      <c r="D887" s="1" t="s">
        <v>1469</v>
      </c>
      <c r="E887" s="1" t="s">
        <v>292</v>
      </c>
      <c r="F887" s="1" t="s">
        <v>962</v>
      </c>
      <c r="G887" s="1" t="s">
        <v>5046</v>
      </c>
      <c r="H887" s="3">
        <v>44439.0</v>
      </c>
      <c r="I887" s="3">
        <v>44683.0</v>
      </c>
      <c r="J887" s="3">
        <v>44683.0</v>
      </c>
      <c r="K887" s="1" t="s">
        <v>215</v>
      </c>
      <c r="L887" s="1" t="s">
        <v>160</v>
      </c>
      <c r="M887" s="1" t="s">
        <v>216</v>
      </c>
      <c r="N887" s="1" t="s">
        <v>131</v>
      </c>
      <c r="P887" s="1"/>
      <c r="R887" s="1" t="s">
        <v>137</v>
      </c>
      <c r="S887" s="1" t="s">
        <v>137</v>
      </c>
      <c r="T887" s="1" t="s">
        <v>47</v>
      </c>
      <c r="U887" s="1" t="s">
        <v>4301</v>
      </c>
    </row>
    <row r="888">
      <c r="A888" s="1" t="s">
        <v>2127</v>
      </c>
      <c r="B888" s="1" t="s">
        <v>3540</v>
      </c>
      <c r="C888" s="1" t="s">
        <v>3854</v>
      </c>
      <c r="D888" s="1" t="s">
        <v>194</v>
      </c>
      <c r="E888" s="1" t="s">
        <v>119</v>
      </c>
      <c r="F888" s="1" t="s">
        <v>1338</v>
      </c>
      <c r="G888" s="1" t="s">
        <v>1338</v>
      </c>
      <c r="H888" s="3">
        <v>46104.0</v>
      </c>
      <c r="I888" s="3"/>
      <c r="J888" s="3"/>
      <c r="K888" s="1" t="s">
        <v>124</v>
      </c>
      <c r="L888" s="1" t="s">
        <v>98</v>
      </c>
      <c r="M888" s="1" t="s">
        <v>162</v>
      </c>
      <c r="N888" s="1" t="s">
        <v>131</v>
      </c>
      <c r="P888" s="1" t="s">
        <v>3864</v>
      </c>
      <c r="R888" s="1" t="s">
        <v>137</v>
      </c>
      <c r="S888" s="1" t="s">
        <v>137</v>
      </c>
      <c r="T888" s="1" t="s">
        <v>47</v>
      </c>
      <c r="U888" s="1" t="s">
        <v>3546</v>
      </c>
    </row>
    <row r="889">
      <c r="A889" s="1" t="s">
        <v>6624</v>
      </c>
      <c r="B889" s="1" t="s">
        <v>4293</v>
      </c>
      <c r="C889" s="1" t="s">
        <v>14882</v>
      </c>
      <c r="D889" s="1" t="s">
        <v>273</v>
      </c>
      <c r="E889" s="1" t="s">
        <v>520</v>
      </c>
      <c r="F889" s="1" t="s">
        <v>522</v>
      </c>
      <c r="G889" s="1" t="s">
        <v>3269</v>
      </c>
      <c r="H889" s="3">
        <v>44651.0</v>
      </c>
      <c r="I889" s="3">
        <v>44728.0</v>
      </c>
      <c r="J889" s="3">
        <v>44728.0</v>
      </c>
      <c r="K889" s="1" t="s">
        <v>215</v>
      </c>
      <c r="L889" s="1" t="s">
        <v>160</v>
      </c>
      <c r="M889" s="1" t="s">
        <v>216</v>
      </c>
      <c r="N889" s="1" t="s">
        <v>131</v>
      </c>
      <c r="R889" s="1" t="s">
        <v>137</v>
      </c>
      <c r="S889" s="1" t="s">
        <v>137</v>
      </c>
      <c r="T889" s="1" t="s">
        <v>47</v>
      </c>
      <c r="U889" s="1" t="s">
        <v>4301</v>
      </c>
    </row>
    <row r="890">
      <c r="A890" s="1" t="s">
        <v>7119</v>
      </c>
      <c r="B890" s="1" t="s">
        <v>4293</v>
      </c>
      <c r="C890" s="1" t="s">
        <v>14883</v>
      </c>
      <c r="D890" s="1" t="s">
        <v>1932</v>
      </c>
      <c r="E890" s="1" t="s">
        <v>292</v>
      </c>
      <c r="F890" s="1" t="s">
        <v>494</v>
      </c>
      <c r="G890" s="1" t="s">
        <v>1362</v>
      </c>
      <c r="H890" s="3">
        <v>45395.0</v>
      </c>
      <c r="I890" s="3">
        <v>45525.0</v>
      </c>
      <c r="J890" s="3">
        <v>45525.0</v>
      </c>
      <c r="K890" s="1" t="s">
        <v>215</v>
      </c>
      <c r="L890" s="1" t="s">
        <v>160</v>
      </c>
      <c r="M890" s="1" t="s">
        <v>216</v>
      </c>
      <c r="N890" s="1" t="s">
        <v>131</v>
      </c>
      <c r="P890" s="1"/>
      <c r="R890" s="1" t="s">
        <v>137</v>
      </c>
      <c r="S890" s="1" t="s">
        <v>137</v>
      </c>
      <c r="T890" s="1" t="s">
        <v>47</v>
      </c>
      <c r="U890" s="1" t="s">
        <v>4301</v>
      </c>
    </row>
    <row r="891">
      <c r="A891" s="1" t="s">
        <v>7760</v>
      </c>
      <c r="B891" s="1" t="s">
        <v>4293</v>
      </c>
      <c r="C891" s="1" t="s">
        <v>3878</v>
      </c>
      <c r="D891" s="1" t="s">
        <v>678</v>
      </c>
      <c r="E891" s="1" t="s">
        <v>454</v>
      </c>
      <c r="F891" s="1" t="s">
        <v>455</v>
      </c>
      <c r="G891" s="1" t="s">
        <v>456</v>
      </c>
      <c r="H891" s="3">
        <v>45117.0</v>
      </c>
      <c r="I891" s="3">
        <v>45385.0</v>
      </c>
      <c r="J891" s="3">
        <v>45385.0</v>
      </c>
      <c r="K891" s="1" t="s">
        <v>215</v>
      </c>
      <c r="L891" s="1" t="s">
        <v>160</v>
      </c>
      <c r="M891" s="1" t="s">
        <v>216</v>
      </c>
      <c r="N891" s="1" t="s">
        <v>131</v>
      </c>
      <c r="R891" s="1" t="s">
        <v>137</v>
      </c>
      <c r="S891" s="1" t="s">
        <v>137</v>
      </c>
      <c r="T891" s="1" t="s">
        <v>47</v>
      </c>
      <c r="U891" s="1" t="s">
        <v>4301</v>
      </c>
    </row>
    <row r="892">
      <c r="A892" s="1" t="s">
        <v>11189</v>
      </c>
      <c r="B892" s="1" t="s">
        <v>4293</v>
      </c>
      <c r="C892" s="1" t="s">
        <v>14887</v>
      </c>
      <c r="D892" s="1" t="s">
        <v>960</v>
      </c>
      <c r="E892" s="1" t="s">
        <v>292</v>
      </c>
      <c r="F892" s="1" t="s">
        <v>494</v>
      </c>
      <c r="G892" s="1" t="s">
        <v>2278</v>
      </c>
      <c r="H892" s="3">
        <v>44323.0</v>
      </c>
      <c r="I892" s="3">
        <v>45196.0</v>
      </c>
      <c r="J892" s="3">
        <v>45196.0</v>
      </c>
      <c r="K892" s="1" t="s">
        <v>215</v>
      </c>
      <c r="L892" s="1" t="s">
        <v>160</v>
      </c>
      <c r="M892" s="1" t="s">
        <v>216</v>
      </c>
      <c r="N892" s="1" t="s">
        <v>131</v>
      </c>
      <c r="P892" s="1"/>
      <c r="R892" s="1" t="s">
        <v>137</v>
      </c>
      <c r="S892" s="1" t="s">
        <v>137</v>
      </c>
      <c r="T892" s="1" t="s">
        <v>47</v>
      </c>
      <c r="U892" s="1" t="s">
        <v>4301</v>
      </c>
    </row>
    <row r="893">
      <c r="A893" s="1" t="s">
        <v>12366</v>
      </c>
      <c r="B893" s="1" t="s">
        <v>4293</v>
      </c>
      <c r="C893" s="1" t="s">
        <v>14891</v>
      </c>
      <c r="D893" s="1" t="s">
        <v>388</v>
      </c>
      <c r="E893" s="1" t="s">
        <v>175</v>
      </c>
      <c r="F893" s="1" t="s">
        <v>585</v>
      </c>
      <c r="G893" s="1" t="s">
        <v>1529</v>
      </c>
      <c r="H893" s="3">
        <v>44459.0</v>
      </c>
      <c r="I893" s="3">
        <v>44587.0</v>
      </c>
      <c r="J893" s="3">
        <v>44587.0</v>
      </c>
      <c r="K893" s="1" t="s">
        <v>215</v>
      </c>
      <c r="L893" s="1" t="s">
        <v>160</v>
      </c>
      <c r="M893" s="1" t="s">
        <v>216</v>
      </c>
      <c r="N893" s="1" t="s">
        <v>131</v>
      </c>
      <c r="P893" s="1"/>
      <c r="R893" s="1" t="s">
        <v>137</v>
      </c>
      <c r="S893" s="1" t="s">
        <v>137</v>
      </c>
      <c r="T893" s="1" t="s">
        <v>47</v>
      </c>
      <c r="U893" s="1" t="s">
        <v>4301</v>
      </c>
    </row>
    <row r="894">
      <c r="A894" s="1" t="s">
        <v>12045</v>
      </c>
      <c r="B894" s="1" t="s">
        <v>4293</v>
      </c>
      <c r="C894" s="1" t="s">
        <v>14894</v>
      </c>
      <c r="D894" s="1" t="s">
        <v>518</v>
      </c>
      <c r="E894" s="1" t="s">
        <v>438</v>
      </c>
      <c r="F894" s="1" t="s">
        <v>3240</v>
      </c>
      <c r="G894" s="1" t="s">
        <v>14895</v>
      </c>
      <c r="H894" s="3">
        <v>45260.0</v>
      </c>
      <c r="I894" s="3">
        <v>45614.0</v>
      </c>
      <c r="J894" s="3">
        <v>45614.0</v>
      </c>
      <c r="K894" s="1" t="s">
        <v>215</v>
      </c>
      <c r="L894" s="1" t="s">
        <v>160</v>
      </c>
      <c r="M894" s="1" t="s">
        <v>216</v>
      </c>
      <c r="N894" s="1" t="s">
        <v>131</v>
      </c>
      <c r="P894" s="1"/>
      <c r="R894" s="1" t="s">
        <v>137</v>
      </c>
      <c r="S894" s="1" t="s">
        <v>137</v>
      </c>
      <c r="T894" s="1" t="s">
        <v>47</v>
      </c>
      <c r="U894" s="1" t="s">
        <v>4301</v>
      </c>
    </row>
    <row r="895">
      <c r="A895" s="1" t="s">
        <v>6846</v>
      </c>
      <c r="B895" s="1" t="s">
        <v>4293</v>
      </c>
      <c r="C895" s="1" t="s">
        <v>14897</v>
      </c>
      <c r="D895" s="1" t="s">
        <v>518</v>
      </c>
      <c r="E895" s="1" t="s">
        <v>520</v>
      </c>
      <c r="F895" s="1" t="s">
        <v>522</v>
      </c>
      <c r="G895" s="1" t="s">
        <v>4985</v>
      </c>
      <c r="H895" s="3">
        <v>45300.0</v>
      </c>
      <c r="I895" s="3">
        <v>45558.0</v>
      </c>
      <c r="J895" s="3">
        <v>45558.0</v>
      </c>
      <c r="K895" s="1" t="s">
        <v>215</v>
      </c>
      <c r="L895" s="1" t="s">
        <v>160</v>
      </c>
      <c r="M895" s="1" t="s">
        <v>216</v>
      </c>
      <c r="N895" s="1" t="s">
        <v>131</v>
      </c>
      <c r="P895" s="1"/>
      <c r="R895" s="1" t="s">
        <v>137</v>
      </c>
      <c r="S895" s="1" t="s">
        <v>137</v>
      </c>
      <c r="T895" s="1" t="s">
        <v>47</v>
      </c>
      <c r="U895" s="1" t="s">
        <v>4301</v>
      </c>
    </row>
    <row r="896">
      <c r="A896" s="1" t="s">
        <v>2182</v>
      </c>
      <c r="B896" s="1" t="s">
        <v>3114</v>
      </c>
      <c r="C896" s="1" t="s">
        <v>3895</v>
      </c>
      <c r="D896" s="1" t="s">
        <v>313</v>
      </c>
      <c r="E896" s="1" t="s">
        <v>292</v>
      </c>
      <c r="F896" s="1" t="s">
        <v>293</v>
      </c>
      <c r="G896" s="1" t="s">
        <v>295</v>
      </c>
      <c r="H896" s="3">
        <v>46118.0</v>
      </c>
      <c r="I896" s="3">
        <v>46234.0</v>
      </c>
      <c r="J896" s="3"/>
      <c r="K896" s="1" t="s">
        <v>124</v>
      </c>
      <c r="L896" s="1" t="s">
        <v>98</v>
      </c>
      <c r="M896" s="1" t="s">
        <v>216</v>
      </c>
      <c r="N896" s="1" t="s">
        <v>131</v>
      </c>
      <c r="P896" s="1" t="s">
        <v>3901</v>
      </c>
      <c r="R896" s="1" t="s">
        <v>137</v>
      </c>
      <c r="S896" s="1" t="s">
        <v>137</v>
      </c>
      <c r="T896" s="1" t="s">
        <v>47</v>
      </c>
      <c r="U896" s="1" t="s">
        <v>14902</v>
      </c>
    </row>
    <row r="897">
      <c r="A897" s="1" t="s">
        <v>12355</v>
      </c>
      <c r="B897" s="1" t="s">
        <v>4293</v>
      </c>
      <c r="C897" s="1" t="s">
        <v>14903</v>
      </c>
      <c r="D897" s="1" t="s">
        <v>678</v>
      </c>
      <c r="E897" s="1" t="s">
        <v>454</v>
      </c>
      <c r="F897" s="1" t="s">
        <v>637</v>
      </c>
      <c r="G897" s="1" t="s">
        <v>638</v>
      </c>
      <c r="H897" s="3">
        <v>44397.0</v>
      </c>
      <c r="I897" s="3">
        <v>44733.0</v>
      </c>
      <c r="J897" s="3">
        <v>44733.0</v>
      </c>
      <c r="K897" s="1" t="s">
        <v>215</v>
      </c>
      <c r="L897" s="1" t="s">
        <v>160</v>
      </c>
      <c r="M897" s="1" t="s">
        <v>216</v>
      </c>
      <c r="N897" s="1" t="s">
        <v>131</v>
      </c>
      <c r="R897" s="1" t="s">
        <v>137</v>
      </c>
      <c r="S897" s="1" t="s">
        <v>137</v>
      </c>
      <c r="T897" s="1" t="s">
        <v>47</v>
      </c>
      <c r="U897" s="1" t="s">
        <v>4301</v>
      </c>
    </row>
    <row r="898">
      <c r="A898" s="1" t="s">
        <v>10472</v>
      </c>
      <c r="B898" s="1" t="s">
        <v>4293</v>
      </c>
      <c r="C898" s="1" t="s">
        <v>14904</v>
      </c>
      <c r="D898" s="1" t="s">
        <v>593</v>
      </c>
      <c r="E898" s="1" t="s">
        <v>330</v>
      </c>
      <c r="F898" s="1" t="s">
        <v>663</v>
      </c>
      <c r="G898" s="1" t="s">
        <v>6222</v>
      </c>
      <c r="H898" s="3">
        <v>44593.0</v>
      </c>
      <c r="I898" s="3">
        <v>44725.0</v>
      </c>
      <c r="J898" s="3">
        <v>44725.0</v>
      </c>
      <c r="K898" s="1" t="s">
        <v>215</v>
      </c>
      <c r="L898" s="1" t="s">
        <v>160</v>
      </c>
      <c r="M898" s="1" t="s">
        <v>216</v>
      </c>
      <c r="N898" s="1" t="s">
        <v>131</v>
      </c>
      <c r="P898" s="1"/>
      <c r="R898" s="1" t="s">
        <v>137</v>
      </c>
      <c r="S898" s="1" t="s">
        <v>137</v>
      </c>
      <c r="T898" s="1" t="s">
        <v>47</v>
      </c>
      <c r="U898" s="1" t="s">
        <v>4301</v>
      </c>
    </row>
    <row r="899">
      <c r="A899" s="1" t="s">
        <v>4957</v>
      </c>
      <c r="B899" s="1" t="s">
        <v>116</v>
      </c>
      <c r="C899" s="1" t="s">
        <v>14907</v>
      </c>
      <c r="D899" s="1" t="s">
        <v>291</v>
      </c>
      <c r="E899" s="1" t="s">
        <v>175</v>
      </c>
      <c r="F899" s="1" t="s">
        <v>177</v>
      </c>
      <c r="G899" s="1" t="s">
        <v>1992</v>
      </c>
      <c r="H899" s="3">
        <v>46281.0</v>
      </c>
      <c r="I899" s="3"/>
      <c r="J899" s="3"/>
      <c r="K899" s="1" t="s">
        <v>124</v>
      </c>
      <c r="L899" s="1" t="s">
        <v>71</v>
      </c>
      <c r="M899" s="1" t="s">
        <v>162</v>
      </c>
      <c r="N899" s="1" t="s">
        <v>131</v>
      </c>
      <c r="P899" s="1"/>
      <c r="R899" s="1" t="s">
        <v>4945</v>
      </c>
      <c r="S899" s="1" t="s">
        <v>4945</v>
      </c>
      <c r="T899" s="1" t="s">
        <v>4946</v>
      </c>
      <c r="U899" s="1"/>
    </row>
    <row r="900">
      <c r="A900" s="1" t="s">
        <v>11644</v>
      </c>
      <c r="B900" s="1" t="s">
        <v>4293</v>
      </c>
      <c r="C900" s="1" t="s">
        <v>14909</v>
      </c>
      <c r="D900" s="1" t="s">
        <v>273</v>
      </c>
      <c r="E900" s="1" t="s">
        <v>330</v>
      </c>
      <c r="F900" s="1" t="s">
        <v>356</v>
      </c>
      <c r="G900" s="1" t="s">
        <v>3203</v>
      </c>
      <c r="H900" s="3">
        <v>44316.0</v>
      </c>
      <c r="I900" s="3">
        <v>44347.0</v>
      </c>
      <c r="J900" s="3">
        <v>44347.0</v>
      </c>
      <c r="K900" s="1" t="s">
        <v>215</v>
      </c>
      <c r="L900" s="1" t="s">
        <v>160</v>
      </c>
      <c r="M900" s="1" t="s">
        <v>216</v>
      </c>
      <c r="N900" s="1" t="s">
        <v>131</v>
      </c>
      <c r="P900" s="1"/>
      <c r="R900" s="1" t="s">
        <v>137</v>
      </c>
      <c r="S900" s="1" t="s">
        <v>137</v>
      </c>
      <c r="T900" s="1" t="s">
        <v>47</v>
      </c>
      <c r="U900" s="1" t="s">
        <v>4301</v>
      </c>
    </row>
    <row r="901">
      <c r="A901" s="1" t="s">
        <v>12428</v>
      </c>
      <c r="B901" s="1" t="s">
        <v>4293</v>
      </c>
      <c r="C901" s="1" t="s">
        <v>14911</v>
      </c>
      <c r="D901" s="1" t="s">
        <v>593</v>
      </c>
      <c r="E901" s="1" t="s">
        <v>330</v>
      </c>
      <c r="F901" s="1" t="s">
        <v>663</v>
      </c>
      <c r="G901" s="1" t="s">
        <v>2835</v>
      </c>
      <c r="H901" s="3">
        <v>44727.0</v>
      </c>
      <c r="I901" s="3">
        <v>44957.0</v>
      </c>
      <c r="J901" s="3">
        <v>44957.0</v>
      </c>
      <c r="K901" s="1" t="s">
        <v>215</v>
      </c>
      <c r="L901" s="1" t="s">
        <v>160</v>
      </c>
      <c r="M901" s="1" t="s">
        <v>216</v>
      </c>
      <c r="N901" s="1" t="s">
        <v>131</v>
      </c>
      <c r="P901" s="1"/>
      <c r="R901" s="1" t="s">
        <v>137</v>
      </c>
      <c r="S901" s="1" t="s">
        <v>137</v>
      </c>
      <c r="T901" s="1" t="s">
        <v>47</v>
      </c>
      <c r="U901" s="1" t="s">
        <v>4301</v>
      </c>
    </row>
    <row r="902">
      <c r="A902" s="1" t="s">
        <v>12272</v>
      </c>
      <c r="B902" s="1" t="s">
        <v>4293</v>
      </c>
      <c r="C902" s="1" t="s">
        <v>14914</v>
      </c>
      <c r="D902" s="1" t="s">
        <v>593</v>
      </c>
      <c r="E902" s="1" t="s">
        <v>330</v>
      </c>
      <c r="F902" s="1" t="s">
        <v>663</v>
      </c>
      <c r="G902" s="1" t="s">
        <v>2835</v>
      </c>
      <c r="H902" s="3">
        <v>46203.0</v>
      </c>
      <c r="I902" s="3">
        <v>46364.0</v>
      </c>
      <c r="J902" s="3"/>
      <c r="K902" s="1" t="s">
        <v>124</v>
      </c>
      <c r="L902" s="1" t="s">
        <v>160</v>
      </c>
      <c r="M902" s="1" t="s">
        <v>363</v>
      </c>
      <c r="N902" s="1" t="s">
        <v>131</v>
      </c>
      <c r="P902" s="1" t="s">
        <v>2077</v>
      </c>
      <c r="R902" s="1" t="s">
        <v>137</v>
      </c>
      <c r="S902" s="1" t="s">
        <v>137</v>
      </c>
      <c r="T902" s="1" t="s">
        <v>47</v>
      </c>
      <c r="U902" s="1" t="s">
        <v>14915</v>
      </c>
    </row>
    <row r="903">
      <c r="A903" s="1" t="s">
        <v>12148</v>
      </c>
      <c r="B903" s="1" t="s">
        <v>4293</v>
      </c>
      <c r="C903" s="1" t="s">
        <v>14916</v>
      </c>
      <c r="D903" s="1" t="s">
        <v>194</v>
      </c>
      <c r="E903" s="1" t="s">
        <v>454</v>
      </c>
      <c r="F903" s="1" t="s">
        <v>3395</v>
      </c>
      <c r="G903" s="1" t="s">
        <v>3396</v>
      </c>
      <c r="H903" s="3">
        <v>43733.0</v>
      </c>
      <c r="I903" s="3">
        <v>43729.0</v>
      </c>
      <c r="J903" s="3">
        <v>43729.0</v>
      </c>
      <c r="K903" s="1" t="s">
        <v>215</v>
      </c>
      <c r="L903" s="1" t="s">
        <v>160</v>
      </c>
      <c r="M903" s="1" t="s">
        <v>216</v>
      </c>
      <c r="N903" s="1" t="s">
        <v>131</v>
      </c>
      <c r="P903" s="1"/>
      <c r="R903" s="1" t="s">
        <v>137</v>
      </c>
      <c r="S903" s="1" t="s">
        <v>137</v>
      </c>
      <c r="T903" s="1" t="s">
        <v>47</v>
      </c>
      <c r="U903" s="1" t="s">
        <v>4301</v>
      </c>
    </row>
    <row r="904">
      <c r="A904" s="1" t="s">
        <v>11564</v>
      </c>
      <c r="B904" s="1" t="s">
        <v>4293</v>
      </c>
      <c r="C904" s="1" t="s">
        <v>14919</v>
      </c>
      <c r="D904" s="1" t="s">
        <v>1823</v>
      </c>
      <c r="E904" s="1" t="s">
        <v>292</v>
      </c>
      <c r="F904" s="1" t="s">
        <v>293</v>
      </c>
      <c r="G904" s="1" t="s">
        <v>316</v>
      </c>
      <c r="H904" s="3">
        <v>44553.0</v>
      </c>
      <c r="I904" s="3">
        <v>44734.0</v>
      </c>
      <c r="J904" s="3">
        <v>44734.0</v>
      </c>
      <c r="K904" s="1" t="s">
        <v>215</v>
      </c>
      <c r="L904" s="1" t="s">
        <v>160</v>
      </c>
      <c r="M904" s="1" t="s">
        <v>216</v>
      </c>
      <c r="N904" s="1" t="s">
        <v>131</v>
      </c>
      <c r="P904" s="1"/>
      <c r="R904" s="1" t="s">
        <v>137</v>
      </c>
      <c r="S904" s="1" t="s">
        <v>137</v>
      </c>
      <c r="T904" s="1" t="s">
        <v>47</v>
      </c>
      <c r="U904" s="1" t="s">
        <v>4301</v>
      </c>
    </row>
    <row r="905">
      <c r="A905" s="1" t="s">
        <v>12486</v>
      </c>
      <c r="B905" s="1" t="s">
        <v>4293</v>
      </c>
      <c r="C905" s="1" t="s">
        <v>14921</v>
      </c>
      <c r="D905" s="1" t="s">
        <v>1823</v>
      </c>
      <c r="E905" s="1" t="s">
        <v>175</v>
      </c>
      <c r="F905" s="1" t="s">
        <v>1116</v>
      </c>
      <c r="G905" s="1" t="s">
        <v>7741</v>
      </c>
      <c r="H905" s="3">
        <v>45883.0</v>
      </c>
      <c r="I905" s="3"/>
      <c r="J905" s="3"/>
      <c r="K905" s="1" t="s">
        <v>124</v>
      </c>
      <c r="L905" s="1" t="s">
        <v>160</v>
      </c>
      <c r="M905" s="1" t="s">
        <v>253</v>
      </c>
      <c r="N905" s="1" t="s">
        <v>131</v>
      </c>
      <c r="P905" s="1"/>
      <c r="R905" s="1" t="s">
        <v>137</v>
      </c>
      <c r="S905" s="1" t="s">
        <v>137</v>
      </c>
      <c r="T905" s="1" t="s">
        <v>47</v>
      </c>
      <c r="U905" s="1" t="s">
        <v>4301</v>
      </c>
    </row>
    <row r="906">
      <c r="A906" s="1" t="s">
        <v>8757</v>
      </c>
      <c r="B906" s="1" t="s">
        <v>4293</v>
      </c>
      <c r="C906" s="1" t="s">
        <v>14923</v>
      </c>
      <c r="D906" s="1" t="s">
        <v>388</v>
      </c>
      <c r="E906" s="1" t="s">
        <v>292</v>
      </c>
      <c r="F906" s="1" t="s">
        <v>962</v>
      </c>
      <c r="G906" s="1" t="s">
        <v>2607</v>
      </c>
      <c r="H906" s="3">
        <v>44344.0</v>
      </c>
      <c r="I906" s="3">
        <v>44421.0</v>
      </c>
      <c r="J906" s="3">
        <v>44421.0</v>
      </c>
      <c r="K906" s="1" t="s">
        <v>215</v>
      </c>
      <c r="L906" s="1" t="s">
        <v>160</v>
      </c>
      <c r="M906" s="1" t="s">
        <v>216</v>
      </c>
      <c r="N906" s="1" t="s">
        <v>131</v>
      </c>
      <c r="P906" s="1"/>
      <c r="R906" s="1" t="s">
        <v>137</v>
      </c>
      <c r="S906" s="1" t="s">
        <v>137</v>
      </c>
      <c r="T906" s="1" t="s">
        <v>47</v>
      </c>
      <c r="U906" s="1" t="s">
        <v>4301</v>
      </c>
    </row>
    <row r="907">
      <c r="A907" s="1" t="s">
        <v>14084</v>
      </c>
      <c r="B907" s="1" t="s">
        <v>4293</v>
      </c>
      <c r="C907" s="1" t="s">
        <v>14926</v>
      </c>
      <c r="D907" s="1" t="s">
        <v>678</v>
      </c>
      <c r="E907" s="1" t="s">
        <v>454</v>
      </c>
      <c r="F907" s="1" t="s">
        <v>3395</v>
      </c>
      <c r="G907" s="1" t="s">
        <v>9302</v>
      </c>
      <c r="H907" s="3">
        <v>45804.0</v>
      </c>
      <c r="I907" s="3"/>
      <c r="J907" s="3"/>
      <c r="K907" s="1" t="s">
        <v>124</v>
      </c>
      <c r="L907" s="1" t="s">
        <v>160</v>
      </c>
      <c r="M907" s="1" t="s">
        <v>253</v>
      </c>
      <c r="N907" s="1" t="s">
        <v>131</v>
      </c>
      <c r="P907" s="1"/>
      <c r="R907" s="1" t="s">
        <v>137</v>
      </c>
      <c r="S907" s="1" t="s">
        <v>137</v>
      </c>
      <c r="T907" s="1" t="s">
        <v>47</v>
      </c>
      <c r="U907" s="1" t="s">
        <v>4301</v>
      </c>
    </row>
    <row r="908">
      <c r="A908" s="1" t="s">
        <v>12209</v>
      </c>
      <c r="B908" s="1" t="s">
        <v>4293</v>
      </c>
      <c r="C908" s="1" t="s">
        <v>14927</v>
      </c>
      <c r="D908" s="1" t="s">
        <v>243</v>
      </c>
      <c r="E908" s="1" t="s">
        <v>175</v>
      </c>
      <c r="F908" s="1" t="s">
        <v>245</v>
      </c>
      <c r="G908" s="1" t="s">
        <v>4968</v>
      </c>
      <c r="H908" s="3">
        <v>44000.0</v>
      </c>
      <c r="I908" s="3">
        <v>44004.0</v>
      </c>
      <c r="J908" s="3">
        <v>44004.0</v>
      </c>
      <c r="K908" s="1" t="s">
        <v>215</v>
      </c>
      <c r="L908" s="1" t="s">
        <v>160</v>
      </c>
      <c r="M908" s="1" t="s">
        <v>216</v>
      </c>
      <c r="N908" s="1" t="s">
        <v>131</v>
      </c>
      <c r="P908" s="1"/>
      <c r="R908" s="1" t="s">
        <v>137</v>
      </c>
      <c r="S908" s="1" t="s">
        <v>137</v>
      </c>
      <c r="T908" s="1" t="s">
        <v>47</v>
      </c>
      <c r="U908" s="1" t="s">
        <v>4301</v>
      </c>
    </row>
    <row r="909">
      <c r="A909" s="1" t="s">
        <v>3934</v>
      </c>
      <c r="B909" s="1" t="s">
        <v>3114</v>
      </c>
      <c r="C909" s="1" t="s">
        <v>3935</v>
      </c>
      <c r="D909" s="1" t="s">
        <v>172</v>
      </c>
      <c r="E909" s="1" t="s">
        <v>2845</v>
      </c>
      <c r="F909" s="1" t="s">
        <v>3936</v>
      </c>
      <c r="G909" s="1" t="s">
        <v>3936</v>
      </c>
      <c r="H909" s="3">
        <v>46098.0</v>
      </c>
      <c r="I909" s="3"/>
      <c r="J909" s="3"/>
      <c r="K909" s="1" t="s">
        <v>124</v>
      </c>
      <c r="L909" s="1" t="s">
        <v>98</v>
      </c>
      <c r="M909" s="1" t="s">
        <v>162</v>
      </c>
      <c r="N909" s="1" t="s">
        <v>131</v>
      </c>
      <c r="P909" s="1" t="s">
        <v>164</v>
      </c>
      <c r="R909" s="1" t="s">
        <v>137</v>
      </c>
      <c r="S909" s="1" t="s">
        <v>137</v>
      </c>
      <c r="T909" s="1" t="s">
        <v>47</v>
      </c>
      <c r="U909" s="1"/>
    </row>
    <row r="910">
      <c r="A910" s="1" t="s">
        <v>14097</v>
      </c>
      <c r="B910" s="1" t="s">
        <v>4293</v>
      </c>
      <c r="C910" s="1" t="s">
        <v>14929</v>
      </c>
      <c r="D910" s="1" t="s">
        <v>492</v>
      </c>
      <c r="E910" s="1" t="s">
        <v>175</v>
      </c>
      <c r="F910" s="1" t="s">
        <v>585</v>
      </c>
      <c r="G910" s="1" t="s">
        <v>586</v>
      </c>
      <c r="H910" s="3">
        <v>45775.0</v>
      </c>
      <c r="I910" s="3"/>
      <c r="J910" s="3"/>
      <c r="K910" s="1" t="s">
        <v>124</v>
      </c>
      <c r="L910" s="1" t="s">
        <v>160</v>
      </c>
      <c r="M910" s="1" t="s">
        <v>253</v>
      </c>
      <c r="N910" s="1" t="s">
        <v>131</v>
      </c>
      <c r="P910" s="1"/>
      <c r="R910" s="1" t="s">
        <v>137</v>
      </c>
      <c r="S910" s="1" t="s">
        <v>137</v>
      </c>
      <c r="T910" s="1" t="s">
        <v>47</v>
      </c>
      <c r="U910" s="1" t="s">
        <v>4301</v>
      </c>
    </row>
    <row r="911">
      <c r="A911" s="1" t="s">
        <v>11001</v>
      </c>
      <c r="B911" s="1" t="s">
        <v>4293</v>
      </c>
      <c r="C911" s="1" t="s">
        <v>14931</v>
      </c>
      <c r="D911" s="1" t="s">
        <v>243</v>
      </c>
      <c r="E911" s="1" t="s">
        <v>119</v>
      </c>
      <c r="F911" s="1" t="s">
        <v>12097</v>
      </c>
      <c r="G911" s="1" t="s">
        <v>12097</v>
      </c>
      <c r="H911" s="3">
        <v>44329.0</v>
      </c>
      <c r="I911" s="3">
        <v>44560.0</v>
      </c>
      <c r="J911" s="3">
        <v>44560.0</v>
      </c>
      <c r="K911" s="1" t="s">
        <v>215</v>
      </c>
      <c r="L911" s="1" t="s">
        <v>160</v>
      </c>
      <c r="M911" s="1" t="s">
        <v>216</v>
      </c>
      <c r="N911" s="1" t="s">
        <v>131</v>
      </c>
      <c r="P911" s="1"/>
      <c r="R911" s="1" t="s">
        <v>137</v>
      </c>
      <c r="S911" s="1" t="s">
        <v>137</v>
      </c>
      <c r="T911" s="1" t="s">
        <v>47</v>
      </c>
      <c r="U911" s="1" t="s">
        <v>4301</v>
      </c>
    </row>
    <row r="912">
      <c r="A912" s="1" t="s">
        <v>3941</v>
      </c>
      <c r="B912" s="1" t="s">
        <v>116</v>
      </c>
      <c r="C912" s="1" t="s">
        <v>3937</v>
      </c>
      <c r="D912" s="1" t="s">
        <v>657</v>
      </c>
      <c r="E912" s="1" t="s">
        <v>292</v>
      </c>
      <c r="F912" s="1" t="s">
        <v>293</v>
      </c>
      <c r="G912" s="1" t="s">
        <v>2091</v>
      </c>
      <c r="H912" s="3">
        <v>46129.0</v>
      </c>
      <c r="I912" s="3"/>
      <c r="J912" s="3"/>
      <c r="K912" s="1" t="s">
        <v>124</v>
      </c>
      <c r="L912" s="1" t="s">
        <v>98</v>
      </c>
      <c r="M912" s="1" t="s">
        <v>162</v>
      </c>
      <c r="N912" s="1" t="s">
        <v>131</v>
      </c>
      <c r="P912" s="1" t="s">
        <v>3650</v>
      </c>
      <c r="R912" s="1" t="s">
        <v>137</v>
      </c>
      <c r="S912" s="1" t="s">
        <v>137</v>
      </c>
      <c r="T912" s="1" t="s">
        <v>47</v>
      </c>
      <c r="U912" s="1"/>
    </row>
    <row r="913">
      <c r="A913" s="1" t="s">
        <v>8127</v>
      </c>
      <c r="B913" s="1" t="s">
        <v>4293</v>
      </c>
      <c r="C913" s="1" t="s">
        <v>14934</v>
      </c>
      <c r="D913" s="1" t="s">
        <v>1477</v>
      </c>
      <c r="E913" s="1" t="s">
        <v>175</v>
      </c>
      <c r="F913" s="1" t="s">
        <v>3592</v>
      </c>
      <c r="G913" s="1" t="s">
        <v>3593</v>
      </c>
      <c r="H913" s="3">
        <v>43836.0</v>
      </c>
      <c r="I913" s="3">
        <v>43902.0</v>
      </c>
      <c r="J913" s="3">
        <v>43902.0</v>
      </c>
      <c r="K913" s="1" t="s">
        <v>215</v>
      </c>
      <c r="L913" s="1" t="s">
        <v>160</v>
      </c>
      <c r="M913" s="1" t="s">
        <v>216</v>
      </c>
      <c r="N913" s="1" t="s">
        <v>131</v>
      </c>
      <c r="P913" s="1"/>
      <c r="R913" s="1" t="s">
        <v>137</v>
      </c>
      <c r="S913" s="1" t="s">
        <v>137</v>
      </c>
      <c r="T913" s="1" t="s">
        <v>47</v>
      </c>
      <c r="U913" s="1" t="s">
        <v>4301</v>
      </c>
    </row>
    <row r="914">
      <c r="A914" s="1" t="s">
        <v>7858</v>
      </c>
      <c r="B914" s="1" t="s">
        <v>4293</v>
      </c>
      <c r="C914" s="1" t="s">
        <v>14937</v>
      </c>
      <c r="D914" s="1" t="s">
        <v>1823</v>
      </c>
      <c r="E914" s="1" t="s">
        <v>292</v>
      </c>
      <c r="F914" s="1" t="s">
        <v>293</v>
      </c>
      <c r="G914" s="1" t="s">
        <v>561</v>
      </c>
      <c r="H914" s="3">
        <v>43404.0</v>
      </c>
      <c r="I914" s="3">
        <v>43425.0</v>
      </c>
      <c r="J914" s="3">
        <v>43425.0</v>
      </c>
      <c r="K914" s="1" t="s">
        <v>215</v>
      </c>
      <c r="L914" s="1" t="s">
        <v>160</v>
      </c>
      <c r="M914" s="1" t="s">
        <v>216</v>
      </c>
      <c r="N914" s="1" t="s">
        <v>131</v>
      </c>
      <c r="R914" s="1" t="s">
        <v>137</v>
      </c>
      <c r="S914" s="1" t="s">
        <v>137</v>
      </c>
      <c r="T914" s="1" t="s">
        <v>47</v>
      </c>
      <c r="U914" s="1" t="s">
        <v>4301</v>
      </c>
    </row>
    <row r="915">
      <c r="A915" s="1" t="s">
        <v>6721</v>
      </c>
      <c r="B915" s="1" t="s">
        <v>4293</v>
      </c>
      <c r="C915" s="1" t="s">
        <v>14938</v>
      </c>
      <c r="D915" s="1" t="s">
        <v>509</v>
      </c>
      <c r="E915" s="1" t="s">
        <v>454</v>
      </c>
      <c r="F915" s="1" t="s">
        <v>455</v>
      </c>
      <c r="G915" s="1" t="s">
        <v>510</v>
      </c>
      <c r="H915" s="3">
        <v>45266.0</v>
      </c>
      <c r="I915" s="3">
        <v>45449.0</v>
      </c>
      <c r="J915" s="3">
        <v>45449.0</v>
      </c>
      <c r="K915" s="1" t="s">
        <v>215</v>
      </c>
      <c r="L915" s="1" t="s">
        <v>160</v>
      </c>
      <c r="M915" s="1" t="s">
        <v>216</v>
      </c>
      <c r="N915" s="1" t="s">
        <v>131</v>
      </c>
      <c r="P915" s="1"/>
      <c r="R915" s="1" t="s">
        <v>137</v>
      </c>
      <c r="S915" s="1" t="s">
        <v>137</v>
      </c>
      <c r="T915" s="1" t="s">
        <v>47</v>
      </c>
      <c r="U915" s="1" t="s">
        <v>4301</v>
      </c>
    </row>
    <row r="916">
      <c r="A916" s="1" t="s">
        <v>8637</v>
      </c>
      <c r="B916" s="1" t="s">
        <v>4293</v>
      </c>
      <c r="C916" s="1" t="s">
        <v>14941</v>
      </c>
      <c r="D916" s="1" t="s">
        <v>313</v>
      </c>
      <c r="E916" s="1" t="s">
        <v>12195</v>
      </c>
      <c r="F916" s="1" t="s">
        <v>12195</v>
      </c>
      <c r="G916" s="1" t="s">
        <v>12195</v>
      </c>
      <c r="H916" s="3">
        <v>45348.0</v>
      </c>
      <c r="I916" s="3">
        <v>45702.0</v>
      </c>
      <c r="J916" s="3">
        <v>45702.0</v>
      </c>
      <c r="K916" s="1" t="s">
        <v>215</v>
      </c>
      <c r="L916" s="1" t="s">
        <v>160</v>
      </c>
      <c r="M916" s="1" t="s">
        <v>216</v>
      </c>
      <c r="N916" s="1" t="s">
        <v>131</v>
      </c>
      <c r="R916" s="1" t="s">
        <v>137</v>
      </c>
      <c r="S916" s="1" t="s">
        <v>137</v>
      </c>
      <c r="T916" s="1" t="s">
        <v>47</v>
      </c>
      <c r="U916" s="1" t="s">
        <v>4301</v>
      </c>
    </row>
    <row r="917">
      <c r="A917" s="1" t="s">
        <v>10664</v>
      </c>
      <c r="B917" s="1" t="s">
        <v>4293</v>
      </c>
      <c r="C917" s="1" t="s">
        <v>14942</v>
      </c>
      <c r="D917" s="1" t="s">
        <v>1798</v>
      </c>
      <c r="E917" s="1" t="s">
        <v>292</v>
      </c>
      <c r="F917" s="1" t="s">
        <v>962</v>
      </c>
      <c r="G917" s="1" t="s">
        <v>1969</v>
      </c>
      <c r="H917" s="3">
        <v>44243.0</v>
      </c>
      <c r="I917" s="3">
        <v>44253.0</v>
      </c>
      <c r="J917" s="3">
        <v>44253.0</v>
      </c>
      <c r="K917" s="1" t="s">
        <v>215</v>
      </c>
      <c r="L917" s="1" t="s">
        <v>160</v>
      </c>
      <c r="M917" s="1" t="s">
        <v>216</v>
      </c>
      <c r="N917" s="1" t="s">
        <v>131</v>
      </c>
      <c r="P917" s="1"/>
      <c r="R917" s="1" t="s">
        <v>137</v>
      </c>
      <c r="S917" s="1" t="s">
        <v>137</v>
      </c>
      <c r="T917" s="1" t="s">
        <v>47</v>
      </c>
      <c r="U917" s="1" t="s">
        <v>4301</v>
      </c>
    </row>
    <row r="918">
      <c r="A918" s="1" t="s">
        <v>8256</v>
      </c>
      <c r="B918" s="1" t="s">
        <v>4293</v>
      </c>
      <c r="C918" s="1" t="s">
        <v>14945</v>
      </c>
      <c r="D918" s="1" t="s">
        <v>754</v>
      </c>
      <c r="E918" s="1" t="s">
        <v>292</v>
      </c>
      <c r="F918" s="1" t="s">
        <v>962</v>
      </c>
      <c r="G918" s="1" t="s">
        <v>2048</v>
      </c>
      <c r="H918" s="3">
        <v>44204.0</v>
      </c>
      <c r="I918" s="3">
        <v>44286.0</v>
      </c>
      <c r="J918" s="3">
        <v>44286.0</v>
      </c>
      <c r="K918" s="1" t="s">
        <v>215</v>
      </c>
      <c r="L918" s="1" t="s">
        <v>160</v>
      </c>
      <c r="M918" s="1" t="s">
        <v>216</v>
      </c>
      <c r="N918" s="1" t="s">
        <v>131</v>
      </c>
      <c r="P918" s="1"/>
      <c r="R918" s="1" t="s">
        <v>137</v>
      </c>
      <c r="S918" s="1" t="s">
        <v>137</v>
      </c>
      <c r="T918" s="1" t="s">
        <v>47</v>
      </c>
      <c r="U918" s="1" t="s">
        <v>4301</v>
      </c>
    </row>
    <row r="919">
      <c r="A919" s="1" t="s">
        <v>10994</v>
      </c>
      <c r="B919" s="1" t="s">
        <v>4293</v>
      </c>
      <c r="C919" s="1" t="s">
        <v>14947</v>
      </c>
      <c r="D919" s="1" t="s">
        <v>243</v>
      </c>
      <c r="E919" s="1" t="s">
        <v>292</v>
      </c>
      <c r="F919" s="1" t="s">
        <v>962</v>
      </c>
      <c r="G919" s="1" t="s">
        <v>5600</v>
      </c>
      <c r="H919" s="3">
        <v>44307.0</v>
      </c>
      <c r="I919" s="3">
        <v>43993.0</v>
      </c>
      <c r="J919" s="3">
        <v>43993.0</v>
      </c>
      <c r="K919" s="1" t="s">
        <v>215</v>
      </c>
      <c r="L919" s="1" t="s">
        <v>160</v>
      </c>
      <c r="M919" s="1" t="s">
        <v>216</v>
      </c>
      <c r="N919" s="1" t="s">
        <v>131</v>
      </c>
      <c r="P919" s="1"/>
      <c r="R919" s="1" t="s">
        <v>137</v>
      </c>
      <c r="S919" s="1" t="s">
        <v>137</v>
      </c>
      <c r="T919" s="1" t="s">
        <v>47</v>
      </c>
      <c r="U919" s="1" t="s">
        <v>4301</v>
      </c>
    </row>
    <row r="920">
      <c r="A920" s="1" t="s">
        <v>12382</v>
      </c>
      <c r="B920" s="1" t="s">
        <v>4293</v>
      </c>
      <c r="C920" s="1" t="s">
        <v>14949</v>
      </c>
      <c r="D920" s="1" t="s">
        <v>1798</v>
      </c>
      <c r="E920" s="1" t="s">
        <v>175</v>
      </c>
      <c r="F920" s="1" t="s">
        <v>1116</v>
      </c>
      <c r="G920" s="1" t="s">
        <v>7741</v>
      </c>
      <c r="H920" s="3">
        <v>44349.0</v>
      </c>
      <c r="I920" s="3">
        <v>44482.0</v>
      </c>
      <c r="J920" s="3">
        <v>44482.0</v>
      </c>
      <c r="K920" s="1" t="s">
        <v>215</v>
      </c>
      <c r="L920" s="1" t="s">
        <v>160</v>
      </c>
      <c r="M920" s="1" t="s">
        <v>216</v>
      </c>
      <c r="N920" s="1" t="s">
        <v>131</v>
      </c>
      <c r="P920" s="1"/>
      <c r="R920" s="1" t="s">
        <v>137</v>
      </c>
      <c r="S920" s="1" t="s">
        <v>137</v>
      </c>
      <c r="T920" s="1" t="s">
        <v>47</v>
      </c>
      <c r="U920" s="1" t="s">
        <v>4301</v>
      </c>
    </row>
    <row r="921">
      <c r="A921" s="1" t="s">
        <v>2290</v>
      </c>
      <c r="B921" s="1" t="s">
        <v>116</v>
      </c>
      <c r="C921" s="1" t="s">
        <v>3962</v>
      </c>
      <c r="D921" s="1" t="s">
        <v>417</v>
      </c>
      <c r="E921" s="1" t="s">
        <v>889</v>
      </c>
      <c r="F921" s="1" t="s">
        <v>1983</v>
      </c>
      <c r="G921" s="1" t="s">
        <v>3964</v>
      </c>
      <c r="H921" s="3">
        <v>46128.0</v>
      </c>
      <c r="I921" s="3">
        <v>46289.0</v>
      </c>
      <c r="J921" s="3">
        <v>46289.0</v>
      </c>
      <c r="K921" s="1" t="s">
        <v>124</v>
      </c>
      <c r="L921" s="1" t="s">
        <v>160</v>
      </c>
      <c r="M921" s="1" t="s">
        <v>216</v>
      </c>
      <c r="N921" s="1" t="s">
        <v>131</v>
      </c>
      <c r="P921" s="1" t="s">
        <v>1058</v>
      </c>
      <c r="R921" s="1" t="s">
        <v>137</v>
      </c>
      <c r="S921" s="1" t="s">
        <v>137</v>
      </c>
      <c r="T921" s="1" t="s">
        <v>47</v>
      </c>
      <c r="U921" s="1" t="s">
        <v>3734</v>
      </c>
    </row>
    <row r="922">
      <c r="A922" s="1" t="s">
        <v>8615</v>
      </c>
      <c r="B922" s="1" t="s">
        <v>4293</v>
      </c>
      <c r="C922" s="1" t="s">
        <v>14954</v>
      </c>
      <c r="D922" s="1" t="s">
        <v>291</v>
      </c>
      <c r="E922" s="1" t="s">
        <v>292</v>
      </c>
      <c r="F922" s="1" t="s">
        <v>293</v>
      </c>
      <c r="G922" s="1" t="s">
        <v>3053</v>
      </c>
      <c r="H922" s="3">
        <v>44273.0</v>
      </c>
      <c r="I922" s="3">
        <v>44083.0</v>
      </c>
      <c r="J922" s="3">
        <v>44083.0</v>
      </c>
      <c r="K922" s="1" t="s">
        <v>215</v>
      </c>
      <c r="L922" s="1" t="s">
        <v>160</v>
      </c>
      <c r="M922" s="1" t="s">
        <v>216</v>
      </c>
      <c r="N922" s="1" t="s">
        <v>131</v>
      </c>
      <c r="R922" s="1" t="s">
        <v>137</v>
      </c>
      <c r="S922" s="1" t="s">
        <v>137</v>
      </c>
      <c r="T922" s="1" t="s">
        <v>47</v>
      </c>
      <c r="U922" s="1" t="s">
        <v>4301</v>
      </c>
    </row>
    <row r="923">
      <c r="A923" s="1" t="s">
        <v>7403</v>
      </c>
      <c r="B923" s="1" t="s">
        <v>4293</v>
      </c>
      <c r="C923" s="1" t="s">
        <v>14957</v>
      </c>
      <c r="D923" s="1" t="s">
        <v>960</v>
      </c>
      <c r="E923" s="1" t="s">
        <v>292</v>
      </c>
      <c r="F923" s="1" t="s">
        <v>962</v>
      </c>
      <c r="G923" s="1" t="s">
        <v>2607</v>
      </c>
      <c r="H923" s="3">
        <v>45351.0</v>
      </c>
      <c r="I923" s="3">
        <v>45352.0</v>
      </c>
      <c r="J923" s="3">
        <v>45352.0</v>
      </c>
      <c r="K923" s="1" t="s">
        <v>215</v>
      </c>
      <c r="L923" s="1" t="s">
        <v>160</v>
      </c>
      <c r="M923" s="1" t="s">
        <v>216</v>
      </c>
      <c r="N923" s="1" t="s">
        <v>131</v>
      </c>
      <c r="P923" s="1"/>
      <c r="R923" s="1" t="s">
        <v>137</v>
      </c>
      <c r="S923" s="1" t="s">
        <v>137</v>
      </c>
      <c r="T923" s="1" t="s">
        <v>47</v>
      </c>
      <c r="U923" s="1" t="s">
        <v>4301</v>
      </c>
    </row>
    <row r="924">
      <c r="A924" s="1" t="s">
        <v>10912</v>
      </c>
      <c r="B924" s="1" t="s">
        <v>4293</v>
      </c>
      <c r="C924" s="1" t="s">
        <v>3974</v>
      </c>
      <c r="D924" s="1" t="s">
        <v>388</v>
      </c>
      <c r="E924" s="1" t="s">
        <v>889</v>
      </c>
      <c r="F924" s="1" t="s">
        <v>1193</v>
      </c>
      <c r="G924" s="1" t="s">
        <v>1195</v>
      </c>
      <c r="H924" s="3">
        <v>44536.0</v>
      </c>
      <c r="I924" s="3">
        <v>44545.0</v>
      </c>
      <c r="J924" s="3">
        <v>44545.0</v>
      </c>
      <c r="K924" s="1" t="s">
        <v>215</v>
      </c>
      <c r="L924" s="1" t="s">
        <v>160</v>
      </c>
      <c r="M924" s="1" t="s">
        <v>216</v>
      </c>
      <c r="N924" s="1" t="s">
        <v>131</v>
      </c>
      <c r="P924" s="1"/>
      <c r="R924" s="1" t="s">
        <v>137</v>
      </c>
      <c r="S924" s="1" t="s">
        <v>137</v>
      </c>
      <c r="T924" s="1" t="s">
        <v>47</v>
      </c>
      <c r="U924" s="1" t="s">
        <v>4301</v>
      </c>
    </row>
    <row r="925">
      <c r="A925" s="1" t="s">
        <v>8979</v>
      </c>
      <c r="B925" s="1" t="s">
        <v>4293</v>
      </c>
      <c r="C925" s="1" t="s">
        <v>14961</v>
      </c>
      <c r="D925" s="1" t="s">
        <v>1067</v>
      </c>
      <c r="E925" s="1" t="s">
        <v>330</v>
      </c>
      <c r="F925" s="1" t="s">
        <v>663</v>
      </c>
      <c r="G925" s="1" t="s">
        <v>1068</v>
      </c>
      <c r="H925" s="3">
        <v>43623.0</v>
      </c>
      <c r="I925" s="3">
        <v>43617.0</v>
      </c>
      <c r="J925" s="3">
        <v>43617.0</v>
      </c>
      <c r="K925" s="1" t="s">
        <v>215</v>
      </c>
      <c r="L925" s="1" t="s">
        <v>160</v>
      </c>
      <c r="M925" s="1" t="s">
        <v>216</v>
      </c>
      <c r="N925" s="1" t="s">
        <v>131</v>
      </c>
      <c r="R925" s="1" t="s">
        <v>137</v>
      </c>
      <c r="S925" s="1" t="s">
        <v>137</v>
      </c>
      <c r="T925" s="1" t="s">
        <v>47</v>
      </c>
      <c r="U925" s="1" t="s">
        <v>4301</v>
      </c>
    </row>
    <row r="926">
      <c r="A926" s="1" t="s">
        <v>11747</v>
      </c>
      <c r="B926" s="1" t="s">
        <v>4293</v>
      </c>
      <c r="C926" s="1" t="s">
        <v>14964</v>
      </c>
      <c r="D926" s="1" t="s">
        <v>194</v>
      </c>
      <c r="E926" s="1" t="s">
        <v>3379</v>
      </c>
      <c r="F926" s="1" t="s">
        <v>3380</v>
      </c>
      <c r="G926" s="1" t="s">
        <v>3380</v>
      </c>
      <c r="H926" s="3">
        <v>44267.0</v>
      </c>
      <c r="I926" s="3">
        <v>44581.0</v>
      </c>
      <c r="J926" s="3">
        <v>44581.0</v>
      </c>
      <c r="K926" s="1" t="s">
        <v>215</v>
      </c>
      <c r="L926" s="1" t="s">
        <v>160</v>
      </c>
      <c r="M926" s="1" t="s">
        <v>216</v>
      </c>
      <c r="N926" s="1" t="s">
        <v>131</v>
      </c>
      <c r="P926" s="1"/>
      <c r="R926" s="1" t="s">
        <v>137</v>
      </c>
      <c r="S926" s="1" t="s">
        <v>137</v>
      </c>
      <c r="T926" s="1" t="s">
        <v>47</v>
      </c>
      <c r="U926" s="1" t="s">
        <v>4301</v>
      </c>
    </row>
    <row r="927">
      <c r="A927" s="1" t="s">
        <v>11659</v>
      </c>
      <c r="B927" s="1" t="s">
        <v>4293</v>
      </c>
      <c r="C927" s="1" t="s">
        <v>14966</v>
      </c>
      <c r="D927" s="1" t="s">
        <v>152</v>
      </c>
      <c r="E927" s="1" t="s">
        <v>292</v>
      </c>
      <c r="F927" s="1" t="s">
        <v>962</v>
      </c>
      <c r="G927" s="1" t="s">
        <v>5046</v>
      </c>
      <c r="H927" s="3">
        <v>43952.0</v>
      </c>
      <c r="I927" s="3">
        <v>43952.0</v>
      </c>
      <c r="J927" s="3">
        <v>43952.0</v>
      </c>
      <c r="K927" s="1" t="s">
        <v>215</v>
      </c>
      <c r="L927" s="1" t="s">
        <v>160</v>
      </c>
      <c r="M927" s="1" t="s">
        <v>216</v>
      </c>
      <c r="N927" s="1" t="s">
        <v>131</v>
      </c>
      <c r="R927" s="1" t="s">
        <v>137</v>
      </c>
      <c r="S927" s="1" t="s">
        <v>137</v>
      </c>
      <c r="T927" s="1" t="s">
        <v>47</v>
      </c>
      <c r="U927" s="1" t="s">
        <v>4301</v>
      </c>
    </row>
    <row r="928">
      <c r="A928" s="1" t="s">
        <v>8541</v>
      </c>
      <c r="B928" s="1" t="s">
        <v>4293</v>
      </c>
      <c r="C928" s="1" t="s">
        <v>3986</v>
      </c>
      <c r="D928" s="1" t="s">
        <v>2276</v>
      </c>
      <c r="E928" s="1" t="s">
        <v>292</v>
      </c>
      <c r="F928" s="1" t="s">
        <v>494</v>
      </c>
      <c r="G928" s="1" t="s">
        <v>3632</v>
      </c>
      <c r="H928" s="3">
        <v>44650.0</v>
      </c>
      <c r="I928" s="3">
        <v>44858.0</v>
      </c>
      <c r="J928" s="3">
        <v>44858.0</v>
      </c>
      <c r="K928" s="1" t="s">
        <v>215</v>
      </c>
      <c r="L928" s="1" t="s">
        <v>160</v>
      </c>
      <c r="M928" s="1" t="s">
        <v>216</v>
      </c>
      <c r="N928" s="1" t="s">
        <v>131</v>
      </c>
      <c r="P928" s="1"/>
      <c r="R928" s="1" t="s">
        <v>137</v>
      </c>
      <c r="S928" s="1" t="s">
        <v>137</v>
      </c>
      <c r="T928" s="1" t="s">
        <v>47</v>
      </c>
      <c r="U928" s="1" t="s">
        <v>4301</v>
      </c>
    </row>
    <row r="929">
      <c r="A929" s="1" t="s">
        <v>8871</v>
      </c>
      <c r="B929" s="1" t="s">
        <v>4293</v>
      </c>
      <c r="C929" s="1" t="s">
        <v>14969</v>
      </c>
      <c r="D929" s="1" t="s">
        <v>194</v>
      </c>
      <c r="E929" s="1" t="s">
        <v>454</v>
      </c>
      <c r="F929" s="1" t="s">
        <v>612</v>
      </c>
      <c r="G929" s="1" t="s">
        <v>613</v>
      </c>
      <c r="H929" s="3">
        <v>44673.0</v>
      </c>
      <c r="I929" s="3">
        <v>44781.0</v>
      </c>
      <c r="J929" s="3">
        <v>44781.0</v>
      </c>
      <c r="K929" s="1" t="s">
        <v>215</v>
      </c>
      <c r="L929" s="1" t="s">
        <v>160</v>
      </c>
      <c r="M929" s="1" t="s">
        <v>216</v>
      </c>
      <c r="N929" s="1" t="s">
        <v>131</v>
      </c>
      <c r="P929" s="1"/>
      <c r="R929" s="1" t="s">
        <v>137</v>
      </c>
      <c r="S929" s="1" t="s">
        <v>137</v>
      </c>
      <c r="T929" s="1" t="s">
        <v>47</v>
      </c>
      <c r="U929" s="1" t="s">
        <v>4301</v>
      </c>
    </row>
    <row r="930">
      <c r="A930" s="1" t="s">
        <v>7791</v>
      </c>
      <c r="B930" s="1" t="s">
        <v>4293</v>
      </c>
      <c r="C930" s="1" t="s">
        <v>14971</v>
      </c>
      <c r="D930" s="1" t="s">
        <v>777</v>
      </c>
      <c r="E930" s="1" t="s">
        <v>292</v>
      </c>
      <c r="F930" s="1" t="s">
        <v>576</v>
      </c>
      <c r="G930" s="1" t="s">
        <v>2859</v>
      </c>
      <c r="H930" s="3">
        <v>45706.0</v>
      </c>
      <c r="I930" s="3">
        <v>45965.0</v>
      </c>
      <c r="J930" s="3">
        <v>45965.0</v>
      </c>
      <c r="K930" s="1" t="s">
        <v>215</v>
      </c>
      <c r="L930" s="1" t="s">
        <v>160</v>
      </c>
      <c r="M930" s="1" t="s">
        <v>216</v>
      </c>
      <c r="N930" s="1" t="s">
        <v>131</v>
      </c>
      <c r="P930" s="1"/>
      <c r="R930" s="1" t="s">
        <v>137</v>
      </c>
      <c r="S930" s="1" t="s">
        <v>137</v>
      </c>
      <c r="T930" s="1" t="s">
        <v>47</v>
      </c>
      <c r="U930" s="1" t="s">
        <v>4301</v>
      </c>
    </row>
    <row r="931">
      <c r="A931" s="1" t="s">
        <v>12309</v>
      </c>
      <c r="B931" s="1" t="s">
        <v>4293</v>
      </c>
      <c r="C931" s="1" t="s">
        <v>14973</v>
      </c>
      <c r="D931" s="1" t="s">
        <v>593</v>
      </c>
      <c r="E931" s="1" t="s">
        <v>153</v>
      </c>
      <c r="F931" s="1" t="s">
        <v>155</v>
      </c>
      <c r="G931" s="1" t="s">
        <v>157</v>
      </c>
      <c r="H931" s="3">
        <v>44874.0</v>
      </c>
      <c r="I931" s="3">
        <v>45054.0</v>
      </c>
      <c r="J931" s="3">
        <v>45054.0</v>
      </c>
      <c r="K931" s="1" t="s">
        <v>215</v>
      </c>
      <c r="L931" s="1" t="s">
        <v>160</v>
      </c>
      <c r="M931" s="1" t="s">
        <v>216</v>
      </c>
      <c r="N931" s="1" t="s">
        <v>131</v>
      </c>
      <c r="P931" s="1"/>
      <c r="R931" s="1" t="s">
        <v>137</v>
      </c>
      <c r="S931" s="1" t="s">
        <v>137</v>
      </c>
      <c r="T931" s="1" t="s">
        <v>47</v>
      </c>
      <c r="U931" s="1" t="s">
        <v>4301</v>
      </c>
    </row>
    <row r="932">
      <c r="A932" s="1" t="s">
        <v>2992</v>
      </c>
      <c r="B932" s="1" t="s">
        <v>116</v>
      </c>
      <c r="C932" s="1" t="s">
        <v>3989</v>
      </c>
      <c r="D932" s="1" t="s">
        <v>172</v>
      </c>
      <c r="E932" s="1" t="s">
        <v>292</v>
      </c>
      <c r="F932" s="1" t="s">
        <v>293</v>
      </c>
      <c r="G932" s="1" t="s">
        <v>2091</v>
      </c>
      <c r="H932" s="3">
        <v>46247.0</v>
      </c>
      <c r="I932" s="3">
        <v>46391.0</v>
      </c>
      <c r="J932" s="3"/>
      <c r="K932" s="1" t="s">
        <v>124</v>
      </c>
      <c r="L932" s="1" t="s">
        <v>71</v>
      </c>
      <c r="M932" s="1" t="s">
        <v>162</v>
      </c>
      <c r="N932" s="1" t="s">
        <v>131</v>
      </c>
      <c r="P932" s="1" t="s">
        <v>5028</v>
      </c>
      <c r="R932" s="1" t="s">
        <v>665</v>
      </c>
      <c r="S932" s="1" t="s">
        <v>665</v>
      </c>
      <c r="T932" s="1" t="s">
        <v>666</v>
      </c>
      <c r="U932" s="1" t="s">
        <v>4590</v>
      </c>
    </row>
    <row r="933">
      <c r="A933" s="1" t="s">
        <v>11234</v>
      </c>
      <c r="B933" s="1" t="s">
        <v>4293</v>
      </c>
      <c r="C933" s="1" t="s">
        <v>14978</v>
      </c>
      <c r="D933" s="1" t="s">
        <v>548</v>
      </c>
      <c r="E933" s="1" t="s">
        <v>520</v>
      </c>
      <c r="F933" s="1" t="s">
        <v>522</v>
      </c>
      <c r="G933" s="1" t="s">
        <v>3269</v>
      </c>
      <c r="H933" s="3">
        <v>44292.0</v>
      </c>
      <c r="I933" s="3">
        <v>44371.0</v>
      </c>
      <c r="J933" s="3">
        <v>44371.0</v>
      </c>
      <c r="K933" s="1" t="s">
        <v>215</v>
      </c>
      <c r="L933" s="1" t="s">
        <v>160</v>
      </c>
      <c r="M933" s="1" t="s">
        <v>216</v>
      </c>
      <c r="N933" s="1" t="s">
        <v>131</v>
      </c>
      <c r="P933" s="1"/>
      <c r="R933" s="1" t="s">
        <v>137</v>
      </c>
      <c r="S933" s="1" t="s">
        <v>137</v>
      </c>
      <c r="T933" s="1" t="s">
        <v>47</v>
      </c>
      <c r="U933" s="1" t="s">
        <v>4301</v>
      </c>
    </row>
    <row r="934">
      <c r="A934" s="1" t="s">
        <v>10696</v>
      </c>
      <c r="B934" s="1" t="s">
        <v>4293</v>
      </c>
      <c r="C934" s="1" t="s">
        <v>3998</v>
      </c>
      <c r="D934" s="1" t="s">
        <v>548</v>
      </c>
      <c r="E934" s="1" t="s">
        <v>520</v>
      </c>
      <c r="F934" s="1" t="s">
        <v>522</v>
      </c>
      <c r="G934" s="1" t="s">
        <v>550</v>
      </c>
      <c r="H934" s="3">
        <v>43956.0</v>
      </c>
      <c r="I934" s="3">
        <v>44012.0</v>
      </c>
      <c r="J934" s="3">
        <v>44012.0</v>
      </c>
      <c r="K934" s="1" t="s">
        <v>215</v>
      </c>
      <c r="L934" s="1" t="s">
        <v>160</v>
      </c>
      <c r="M934" s="1" t="s">
        <v>216</v>
      </c>
      <c r="N934" s="1" t="s">
        <v>131</v>
      </c>
      <c r="P934" s="1"/>
      <c r="R934" s="1" t="s">
        <v>137</v>
      </c>
      <c r="S934" s="1" t="s">
        <v>137</v>
      </c>
      <c r="T934" s="1" t="s">
        <v>47</v>
      </c>
      <c r="U934" s="1" t="s">
        <v>4301</v>
      </c>
    </row>
    <row r="935">
      <c r="A935" s="1" t="s">
        <v>2298</v>
      </c>
      <c r="B935" s="1" t="s">
        <v>146</v>
      </c>
      <c r="C935" s="1" t="s">
        <v>3998</v>
      </c>
      <c r="D935" s="1" t="s">
        <v>548</v>
      </c>
      <c r="E935" s="1" t="s">
        <v>520</v>
      </c>
      <c r="F935" s="1" t="s">
        <v>522</v>
      </c>
      <c r="G935" s="1" t="s">
        <v>550</v>
      </c>
      <c r="H935" s="3">
        <v>46195.0</v>
      </c>
      <c r="I935" s="3"/>
      <c r="J935" s="3"/>
      <c r="K935" s="1" t="s">
        <v>124</v>
      </c>
      <c r="L935" s="1" t="s">
        <v>160</v>
      </c>
      <c r="M935" s="1" t="s">
        <v>162</v>
      </c>
      <c r="N935" s="1" t="s">
        <v>131</v>
      </c>
      <c r="P935" s="1"/>
      <c r="R935" s="1" t="s">
        <v>137</v>
      </c>
      <c r="S935" s="1" t="s">
        <v>137</v>
      </c>
      <c r="T935" s="1" t="s">
        <v>47</v>
      </c>
      <c r="U935" s="1" t="s">
        <v>3744</v>
      </c>
    </row>
    <row r="936">
      <c r="A936" s="1" t="s">
        <v>11251</v>
      </c>
      <c r="B936" s="1" t="s">
        <v>4293</v>
      </c>
      <c r="C936" s="1" t="s">
        <v>14984</v>
      </c>
      <c r="D936" s="1" t="s">
        <v>548</v>
      </c>
      <c r="E936" s="1" t="s">
        <v>520</v>
      </c>
      <c r="F936" s="1" t="s">
        <v>522</v>
      </c>
      <c r="G936" s="1" t="s">
        <v>3269</v>
      </c>
      <c r="H936" s="3">
        <v>44471.0</v>
      </c>
      <c r="I936" s="3">
        <v>44471.0</v>
      </c>
      <c r="J936" s="3">
        <v>44471.0</v>
      </c>
      <c r="K936" s="1" t="s">
        <v>215</v>
      </c>
      <c r="L936" s="1" t="s">
        <v>160</v>
      </c>
      <c r="M936" s="1" t="s">
        <v>216</v>
      </c>
      <c r="N936" s="1" t="s">
        <v>131</v>
      </c>
      <c r="P936" s="1"/>
      <c r="R936" s="1" t="s">
        <v>137</v>
      </c>
      <c r="S936" s="1" t="s">
        <v>137</v>
      </c>
      <c r="T936" s="1" t="s">
        <v>47</v>
      </c>
      <c r="U936" s="1" t="s">
        <v>4301</v>
      </c>
    </row>
    <row r="937">
      <c r="A937" s="1" t="s">
        <v>4731</v>
      </c>
      <c r="B937" s="1" t="s">
        <v>116</v>
      </c>
      <c r="C937" s="1" t="s">
        <v>4021</v>
      </c>
      <c r="D937" s="1" t="s">
        <v>509</v>
      </c>
      <c r="E937" s="1" t="s">
        <v>454</v>
      </c>
      <c r="F937" s="1" t="s">
        <v>455</v>
      </c>
      <c r="G937" s="1" t="s">
        <v>456</v>
      </c>
      <c r="H937" s="3">
        <v>46259.0</v>
      </c>
      <c r="I937" s="3">
        <v>46423.0</v>
      </c>
      <c r="J937" s="3"/>
      <c r="K937" s="1" t="s">
        <v>124</v>
      </c>
      <c r="L937" s="1" t="s">
        <v>160</v>
      </c>
      <c r="M937" s="1" t="s">
        <v>162</v>
      </c>
      <c r="N937" s="1" t="s">
        <v>131</v>
      </c>
      <c r="P937" s="1" t="s">
        <v>5108</v>
      </c>
      <c r="R937" s="1" t="s">
        <v>137</v>
      </c>
      <c r="S937" s="1" t="s">
        <v>137</v>
      </c>
      <c r="T937" s="1" t="s">
        <v>47</v>
      </c>
      <c r="U937" s="1" t="s">
        <v>4744</v>
      </c>
    </row>
    <row r="938">
      <c r="A938" s="1" t="s">
        <v>6683</v>
      </c>
      <c r="B938" s="1" t="s">
        <v>4293</v>
      </c>
      <c r="C938" s="1" t="s">
        <v>14989</v>
      </c>
      <c r="D938" s="1" t="s">
        <v>518</v>
      </c>
      <c r="E938" s="1"/>
      <c r="F938" s="1"/>
      <c r="G938" s="1"/>
      <c r="H938" s="3">
        <v>44256.0</v>
      </c>
      <c r="I938" s="3">
        <v>44256.0</v>
      </c>
      <c r="J938" s="3">
        <v>44256.0</v>
      </c>
      <c r="K938" s="1" t="s">
        <v>215</v>
      </c>
      <c r="L938" s="1" t="s">
        <v>160</v>
      </c>
      <c r="M938" s="1" t="s">
        <v>216</v>
      </c>
      <c r="N938" s="1" t="s">
        <v>131</v>
      </c>
      <c r="P938" s="1"/>
      <c r="R938" s="1" t="s">
        <v>137</v>
      </c>
      <c r="S938" s="1" t="s">
        <v>137</v>
      </c>
      <c r="T938" s="1" t="s">
        <v>47</v>
      </c>
      <c r="U938" s="1" t="s">
        <v>4301</v>
      </c>
    </row>
    <row r="939">
      <c r="A939" s="1" t="s">
        <v>6559</v>
      </c>
      <c r="B939" s="1" t="s">
        <v>4293</v>
      </c>
      <c r="C939" s="1" t="s">
        <v>14990</v>
      </c>
      <c r="D939" s="1" t="s">
        <v>388</v>
      </c>
      <c r="E939" s="1" t="s">
        <v>175</v>
      </c>
      <c r="F939" s="1" t="s">
        <v>3128</v>
      </c>
      <c r="G939" s="1" t="s">
        <v>3276</v>
      </c>
      <c r="H939" s="3">
        <v>45656.0</v>
      </c>
      <c r="I939" s="3">
        <v>46084.0</v>
      </c>
      <c r="J939" s="3">
        <v>46084.0</v>
      </c>
      <c r="K939" s="1" t="s">
        <v>215</v>
      </c>
      <c r="L939" s="1" t="s">
        <v>160</v>
      </c>
      <c r="M939" s="1" t="s">
        <v>216</v>
      </c>
      <c r="N939" s="1" t="s">
        <v>131</v>
      </c>
      <c r="R939" s="1" t="s">
        <v>137</v>
      </c>
      <c r="S939" s="1" t="s">
        <v>137</v>
      </c>
      <c r="T939" s="1" t="s">
        <v>47</v>
      </c>
      <c r="U939" s="1" t="s">
        <v>4301</v>
      </c>
    </row>
    <row r="940">
      <c r="A940" s="1" t="s">
        <v>12262</v>
      </c>
      <c r="B940" s="1" t="s">
        <v>4293</v>
      </c>
      <c r="C940" s="1" t="s">
        <v>14993</v>
      </c>
      <c r="D940" s="1" t="s">
        <v>1291</v>
      </c>
      <c r="E940" s="1" t="s">
        <v>292</v>
      </c>
      <c r="F940" s="1" t="s">
        <v>494</v>
      </c>
      <c r="G940" s="1" t="s">
        <v>3632</v>
      </c>
      <c r="H940" s="3">
        <v>42867.0</v>
      </c>
      <c r="I940" s="3">
        <v>42893.0</v>
      </c>
      <c r="J940" s="3">
        <v>42893.0</v>
      </c>
      <c r="K940" s="1" t="s">
        <v>215</v>
      </c>
      <c r="L940" s="1" t="s">
        <v>160</v>
      </c>
      <c r="M940" s="1" t="s">
        <v>216</v>
      </c>
      <c r="N940" s="1" t="s">
        <v>131</v>
      </c>
      <c r="P940" s="1"/>
      <c r="R940" s="1" t="s">
        <v>137</v>
      </c>
      <c r="S940" s="1" t="s">
        <v>137</v>
      </c>
      <c r="T940" s="1" t="s">
        <v>47</v>
      </c>
      <c r="U940" s="1" t="s">
        <v>4301</v>
      </c>
    </row>
    <row r="941">
      <c r="A941" s="1" t="s">
        <v>8459</v>
      </c>
      <c r="B941" s="1" t="s">
        <v>4293</v>
      </c>
      <c r="C941" s="1" t="s">
        <v>14995</v>
      </c>
      <c r="D941" s="1" t="s">
        <v>1291</v>
      </c>
      <c r="E941" s="1" t="s">
        <v>292</v>
      </c>
      <c r="F941" s="1" t="s">
        <v>962</v>
      </c>
      <c r="G941" s="1" t="s">
        <v>963</v>
      </c>
      <c r="H941" s="3">
        <v>43131.0</v>
      </c>
      <c r="I941" s="3">
        <v>43200.0</v>
      </c>
      <c r="J941" s="3">
        <v>43200.0</v>
      </c>
      <c r="K941" s="1" t="s">
        <v>215</v>
      </c>
      <c r="L941" s="1" t="s">
        <v>160</v>
      </c>
      <c r="M941" s="1" t="s">
        <v>216</v>
      </c>
      <c r="N941" s="1" t="s">
        <v>131</v>
      </c>
      <c r="P941" s="1"/>
      <c r="R941" s="1" t="s">
        <v>137</v>
      </c>
      <c r="S941" s="1" t="s">
        <v>137</v>
      </c>
      <c r="T941" s="1" t="s">
        <v>47</v>
      </c>
      <c r="U941" s="1" t="s">
        <v>4301</v>
      </c>
    </row>
    <row r="942">
      <c r="A942" s="1" t="s">
        <v>5040</v>
      </c>
      <c r="B942" s="1" t="s">
        <v>4293</v>
      </c>
      <c r="C942" s="1" t="s">
        <v>14998</v>
      </c>
      <c r="D942" s="1" t="s">
        <v>1932</v>
      </c>
      <c r="E942" s="1" t="s">
        <v>175</v>
      </c>
      <c r="F942" s="1" t="s">
        <v>763</v>
      </c>
      <c r="G942" s="1" t="s">
        <v>1825</v>
      </c>
      <c r="H942" s="3">
        <v>45573.0</v>
      </c>
      <c r="I942" s="3"/>
      <c r="J942" s="3"/>
      <c r="K942" s="1" t="s">
        <v>124</v>
      </c>
      <c r="L942" s="1" t="s">
        <v>160</v>
      </c>
      <c r="M942" s="1" t="s">
        <v>253</v>
      </c>
      <c r="N942" s="1" t="s">
        <v>131</v>
      </c>
      <c r="P942" s="1"/>
      <c r="R942" s="1" t="s">
        <v>137</v>
      </c>
      <c r="S942" s="1" t="s">
        <v>137</v>
      </c>
      <c r="T942" s="1" t="s">
        <v>47</v>
      </c>
      <c r="U942" s="1" t="s">
        <v>4301</v>
      </c>
    </row>
    <row r="943">
      <c r="A943" s="1" t="s">
        <v>11546</v>
      </c>
      <c r="B943" s="1" t="s">
        <v>4293</v>
      </c>
      <c r="C943" s="1" t="s">
        <v>15000</v>
      </c>
      <c r="D943" s="1" t="s">
        <v>273</v>
      </c>
      <c r="E943" s="1" t="s">
        <v>330</v>
      </c>
      <c r="F943" s="1" t="s">
        <v>356</v>
      </c>
      <c r="G943" s="1" t="s">
        <v>875</v>
      </c>
      <c r="H943" s="3">
        <v>44560.0</v>
      </c>
      <c r="I943" s="3">
        <v>43905.0</v>
      </c>
      <c r="J943" s="3">
        <v>43905.0</v>
      </c>
      <c r="K943" s="1" t="s">
        <v>215</v>
      </c>
      <c r="L943" s="1" t="s">
        <v>160</v>
      </c>
      <c r="M943" s="1" t="s">
        <v>216</v>
      </c>
      <c r="N943" s="1" t="s">
        <v>131</v>
      </c>
      <c r="P943" s="1"/>
      <c r="R943" s="1" t="s">
        <v>137</v>
      </c>
      <c r="S943" s="1" t="s">
        <v>137</v>
      </c>
      <c r="T943" s="1" t="s">
        <v>47</v>
      </c>
      <c r="U943" s="1" t="s">
        <v>4301</v>
      </c>
    </row>
    <row r="944">
      <c r="A944" s="1" t="s">
        <v>2390</v>
      </c>
      <c r="B944" s="1" t="s">
        <v>116</v>
      </c>
      <c r="C944" s="1" t="s">
        <v>4024</v>
      </c>
      <c r="D944" s="1" t="s">
        <v>273</v>
      </c>
      <c r="E944" s="1" t="s">
        <v>330</v>
      </c>
      <c r="F944" s="1" t="s">
        <v>356</v>
      </c>
      <c r="G944" s="1" t="s">
        <v>359</v>
      </c>
      <c r="H944" s="3">
        <v>46129.0</v>
      </c>
      <c r="I944" s="3">
        <v>46279.0</v>
      </c>
      <c r="J944" s="3"/>
      <c r="K944" s="1" t="s">
        <v>124</v>
      </c>
      <c r="L944" s="1" t="s">
        <v>98</v>
      </c>
      <c r="M944" s="1" t="s">
        <v>216</v>
      </c>
      <c r="N944" s="1" t="s">
        <v>131</v>
      </c>
      <c r="P944" s="1" t="s">
        <v>4030</v>
      </c>
      <c r="R944" s="1" t="s">
        <v>137</v>
      </c>
      <c r="S944" s="1" t="s">
        <v>137</v>
      </c>
      <c r="T944" s="1" t="s">
        <v>47</v>
      </c>
      <c r="U944" s="1" t="s">
        <v>4179</v>
      </c>
    </row>
    <row r="945">
      <c r="A945" s="1" t="s">
        <v>8182</v>
      </c>
      <c r="B945" s="1" t="s">
        <v>4293</v>
      </c>
      <c r="C945" s="1" t="s">
        <v>15005</v>
      </c>
      <c r="D945" s="1" t="s">
        <v>2198</v>
      </c>
      <c r="E945" s="1" t="s">
        <v>292</v>
      </c>
      <c r="F945" s="1" t="s">
        <v>494</v>
      </c>
      <c r="G945" s="1" t="s">
        <v>2278</v>
      </c>
      <c r="H945" s="3">
        <v>44851.0</v>
      </c>
      <c r="I945" s="3">
        <v>44852.0</v>
      </c>
      <c r="J945" s="3">
        <v>44852.0</v>
      </c>
      <c r="K945" s="1" t="s">
        <v>215</v>
      </c>
      <c r="L945" s="1" t="s">
        <v>160</v>
      </c>
      <c r="M945" s="1" t="s">
        <v>216</v>
      </c>
      <c r="N945" s="1" t="s">
        <v>131</v>
      </c>
      <c r="R945" s="1" t="s">
        <v>137</v>
      </c>
      <c r="S945" s="1" t="s">
        <v>137</v>
      </c>
      <c r="T945" s="1" t="s">
        <v>47</v>
      </c>
      <c r="U945" s="1" t="s">
        <v>4301</v>
      </c>
    </row>
    <row r="946">
      <c r="A946" s="1" t="s">
        <v>10734</v>
      </c>
      <c r="B946" s="1" t="s">
        <v>4293</v>
      </c>
      <c r="C946" s="1" t="s">
        <v>15008</v>
      </c>
      <c r="D946" s="1" t="s">
        <v>754</v>
      </c>
      <c r="E946" s="1" t="s">
        <v>292</v>
      </c>
      <c r="F946" s="1" t="s">
        <v>293</v>
      </c>
      <c r="G946" s="1" t="s">
        <v>561</v>
      </c>
      <c r="H946" s="3">
        <v>45492.0</v>
      </c>
      <c r="I946" s="3">
        <v>45727.0</v>
      </c>
      <c r="J946" s="3">
        <v>45727.0</v>
      </c>
      <c r="K946" s="1" t="s">
        <v>215</v>
      </c>
      <c r="L946" s="1" t="s">
        <v>160</v>
      </c>
      <c r="M946" s="1" t="s">
        <v>216</v>
      </c>
      <c r="N946" s="1" t="s">
        <v>131</v>
      </c>
      <c r="P946" s="1"/>
      <c r="R946" s="1" t="s">
        <v>137</v>
      </c>
      <c r="S946" s="1" t="s">
        <v>137</v>
      </c>
      <c r="T946" s="1" t="s">
        <v>47</v>
      </c>
      <c r="U946" s="1" t="s">
        <v>4301</v>
      </c>
    </row>
    <row r="947">
      <c r="A947" s="1" t="s">
        <v>10109</v>
      </c>
      <c r="B947" s="1" t="s">
        <v>4293</v>
      </c>
      <c r="C947" s="1" t="s">
        <v>15010</v>
      </c>
      <c r="D947" s="1" t="s">
        <v>657</v>
      </c>
      <c r="E947" s="1" t="s">
        <v>175</v>
      </c>
      <c r="F947" s="1" t="s">
        <v>1767</v>
      </c>
      <c r="G947" s="1" t="s">
        <v>3835</v>
      </c>
      <c r="H947" s="3">
        <v>44575.0</v>
      </c>
      <c r="I947" s="3">
        <v>44729.0</v>
      </c>
      <c r="J947" s="3">
        <v>44729.0</v>
      </c>
      <c r="K947" s="1" t="s">
        <v>215</v>
      </c>
      <c r="L947" s="1" t="s">
        <v>160</v>
      </c>
      <c r="M947" s="1" t="s">
        <v>216</v>
      </c>
      <c r="N947" s="1" t="s">
        <v>131</v>
      </c>
      <c r="P947" s="1"/>
      <c r="R947" s="1" t="s">
        <v>137</v>
      </c>
      <c r="S947" s="1" t="s">
        <v>137</v>
      </c>
      <c r="T947" s="1" t="s">
        <v>47</v>
      </c>
      <c r="U947" s="1" t="s">
        <v>4301</v>
      </c>
    </row>
    <row r="948">
      <c r="A948" s="1" t="s">
        <v>7547</v>
      </c>
      <c r="B948" s="1" t="s">
        <v>4293</v>
      </c>
      <c r="C948" s="1" t="s">
        <v>15014</v>
      </c>
      <c r="D948" s="1" t="s">
        <v>777</v>
      </c>
      <c r="E948" s="1" t="s">
        <v>209</v>
      </c>
      <c r="F948" s="1" t="s">
        <v>398</v>
      </c>
      <c r="G948" s="1" t="s">
        <v>399</v>
      </c>
      <c r="H948" s="3">
        <v>42803.0</v>
      </c>
      <c r="I948" s="3">
        <v>42851.0</v>
      </c>
      <c r="J948" s="3">
        <v>42851.0</v>
      </c>
      <c r="K948" s="1" t="s">
        <v>215</v>
      </c>
      <c r="L948" s="1" t="s">
        <v>160</v>
      </c>
      <c r="M948" s="1" t="s">
        <v>216</v>
      </c>
      <c r="N948" s="1" t="s">
        <v>131</v>
      </c>
      <c r="P948" s="1"/>
      <c r="R948" s="1" t="s">
        <v>137</v>
      </c>
      <c r="S948" s="1" t="s">
        <v>137</v>
      </c>
      <c r="T948" s="1" t="s">
        <v>47</v>
      </c>
      <c r="U948" s="1" t="s">
        <v>4301</v>
      </c>
    </row>
    <row r="949">
      <c r="A949" s="1" t="s">
        <v>8329</v>
      </c>
      <c r="B949" s="1" t="s">
        <v>4293</v>
      </c>
      <c r="C949" s="1" t="s">
        <v>15017</v>
      </c>
      <c r="D949" s="1" t="s">
        <v>960</v>
      </c>
      <c r="E949" s="1" t="s">
        <v>292</v>
      </c>
      <c r="F949" s="1" t="s">
        <v>962</v>
      </c>
      <c r="G949" s="1" t="s">
        <v>2607</v>
      </c>
      <c r="H949" s="3">
        <v>45442.0</v>
      </c>
      <c r="I949" s="3">
        <v>45708.0</v>
      </c>
      <c r="J949" s="3">
        <v>45708.0</v>
      </c>
      <c r="K949" s="1" t="s">
        <v>215</v>
      </c>
      <c r="L949" s="1" t="s">
        <v>160</v>
      </c>
      <c r="M949" s="1" t="s">
        <v>216</v>
      </c>
      <c r="N949" s="1" t="s">
        <v>131</v>
      </c>
      <c r="P949" s="1"/>
      <c r="R949" s="1" t="s">
        <v>137</v>
      </c>
      <c r="S949" s="1" t="s">
        <v>137</v>
      </c>
      <c r="T949" s="1" t="s">
        <v>47</v>
      </c>
      <c r="U949" s="1" t="s">
        <v>4301</v>
      </c>
    </row>
    <row r="950">
      <c r="A950" s="1" t="s">
        <v>9986</v>
      </c>
      <c r="B950" s="1" t="s">
        <v>4293</v>
      </c>
      <c r="C950" s="1" t="s">
        <v>4037</v>
      </c>
      <c r="D950" s="1" t="s">
        <v>754</v>
      </c>
      <c r="E950" s="1" t="s">
        <v>292</v>
      </c>
      <c r="F950" s="1" t="s">
        <v>468</v>
      </c>
      <c r="G950" s="1" t="s">
        <v>470</v>
      </c>
      <c r="H950" s="3">
        <v>46091.0</v>
      </c>
      <c r="I950" s="3">
        <v>46254.0</v>
      </c>
      <c r="J950" s="3">
        <v>46254.0</v>
      </c>
      <c r="K950" s="1" t="s">
        <v>124</v>
      </c>
      <c r="L950" s="1" t="s">
        <v>160</v>
      </c>
      <c r="M950" s="1" t="s">
        <v>216</v>
      </c>
      <c r="N950" s="1" t="s">
        <v>131</v>
      </c>
      <c r="P950" s="1" t="s">
        <v>2077</v>
      </c>
      <c r="R950" s="1" t="s">
        <v>137</v>
      </c>
      <c r="S950" s="1" t="s">
        <v>137</v>
      </c>
      <c r="T950" s="1" t="s">
        <v>47</v>
      </c>
      <c r="U950" s="1" t="s">
        <v>15021</v>
      </c>
    </row>
    <row r="951">
      <c r="A951" s="1" t="s">
        <v>10284</v>
      </c>
      <c r="B951" s="1" t="s">
        <v>4293</v>
      </c>
      <c r="C951" s="1" t="s">
        <v>15022</v>
      </c>
      <c r="D951" s="1" t="s">
        <v>1469</v>
      </c>
      <c r="E951" s="1" t="s">
        <v>292</v>
      </c>
      <c r="F951" s="1" t="s">
        <v>576</v>
      </c>
      <c r="G951" s="1" t="s">
        <v>2297</v>
      </c>
      <c r="H951" s="3">
        <v>44876.0</v>
      </c>
      <c r="I951" s="3">
        <v>45184.0</v>
      </c>
      <c r="J951" s="3">
        <v>45184.0</v>
      </c>
      <c r="K951" s="1" t="s">
        <v>215</v>
      </c>
      <c r="L951" s="1" t="s">
        <v>160</v>
      </c>
      <c r="M951" s="1" t="s">
        <v>216</v>
      </c>
      <c r="N951" s="1" t="s">
        <v>131</v>
      </c>
      <c r="P951" s="1"/>
      <c r="R951" s="1" t="s">
        <v>137</v>
      </c>
      <c r="S951" s="1" t="s">
        <v>137</v>
      </c>
      <c r="T951" s="1" t="s">
        <v>47</v>
      </c>
      <c r="U951" s="1" t="s">
        <v>4301</v>
      </c>
    </row>
    <row r="952">
      <c r="A952" s="1" t="s">
        <v>15024</v>
      </c>
      <c r="B952" s="1" t="s">
        <v>116</v>
      </c>
      <c r="C952" s="1" t="s">
        <v>15026</v>
      </c>
      <c r="D952" s="1" t="s">
        <v>754</v>
      </c>
      <c r="E952" s="1" t="s">
        <v>292</v>
      </c>
      <c r="F952" s="1" t="s">
        <v>468</v>
      </c>
      <c r="G952" s="1" t="s">
        <v>470</v>
      </c>
      <c r="H952" s="3">
        <v>46293.0</v>
      </c>
      <c r="I952" s="3"/>
      <c r="J952" s="3"/>
      <c r="K952" s="1" t="s">
        <v>124</v>
      </c>
      <c r="L952" s="1" t="s">
        <v>98</v>
      </c>
      <c r="M952" s="1" t="s">
        <v>162</v>
      </c>
      <c r="N952" s="1" t="s">
        <v>131</v>
      </c>
      <c r="P952" s="1"/>
      <c r="R952" s="1" t="s">
        <v>665</v>
      </c>
      <c r="S952" s="1" t="s">
        <v>665</v>
      </c>
      <c r="T952" s="1" t="s">
        <v>666</v>
      </c>
      <c r="U952" s="1"/>
    </row>
    <row r="953">
      <c r="A953" s="1" t="s">
        <v>2388</v>
      </c>
      <c r="B953" s="1" t="s">
        <v>116</v>
      </c>
      <c r="C953" s="1" t="s">
        <v>4050</v>
      </c>
      <c r="D953" s="1" t="s">
        <v>593</v>
      </c>
      <c r="E953" s="1" t="s">
        <v>119</v>
      </c>
      <c r="F953" s="1" t="s">
        <v>120</v>
      </c>
      <c r="G953" s="1" t="s">
        <v>120</v>
      </c>
      <c r="H953" s="3">
        <v>46129.0</v>
      </c>
      <c r="I953" s="3">
        <v>46295.0</v>
      </c>
      <c r="J953" s="3"/>
      <c r="K953" s="1" t="s">
        <v>124</v>
      </c>
      <c r="L953" s="1" t="s">
        <v>98</v>
      </c>
      <c r="M953" s="1" t="s">
        <v>460</v>
      </c>
      <c r="N953" s="1" t="s">
        <v>131</v>
      </c>
      <c r="P953" s="1" t="s">
        <v>3901</v>
      </c>
      <c r="R953" s="1" t="s">
        <v>137</v>
      </c>
      <c r="S953" s="1" t="s">
        <v>137</v>
      </c>
      <c r="T953" s="1" t="s">
        <v>47</v>
      </c>
      <c r="U953" s="1" t="s">
        <v>15030</v>
      </c>
    </row>
    <row r="954">
      <c r="A954" s="1" t="s">
        <v>5145</v>
      </c>
      <c r="B954" s="1" t="s">
        <v>4293</v>
      </c>
      <c r="C954" s="1" t="s">
        <v>15031</v>
      </c>
      <c r="D954" s="1" t="s">
        <v>754</v>
      </c>
      <c r="E954" s="1" t="s">
        <v>292</v>
      </c>
      <c r="F954" s="1" t="s">
        <v>293</v>
      </c>
      <c r="G954" s="1" t="s">
        <v>2091</v>
      </c>
      <c r="H954" s="3">
        <v>44375.0</v>
      </c>
      <c r="I954" s="3">
        <v>44599.0</v>
      </c>
      <c r="J954" s="3">
        <v>44599.0</v>
      </c>
      <c r="K954" s="1" t="s">
        <v>215</v>
      </c>
      <c r="L954" s="1" t="s">
        <v>160</v>
      </c>
      <c r="M954" s="1" t="s">
        <v>216</v>
      </c>
      <c r="N954" s="1" t="s">
        <v>131</v>
      </c>
      <c r="R954" s="1" t="s">
        <v>137</v>
      </c>
      <c r="S954" s="1" t="s">
        <v>137</v>
      </c>
      <c r="T954" s="1" t="s">
        <v>47</v>
      </c>
      <c r="U954" s="1" t="s">
        <v>4301</v>
      </c>
    </row>
    <row r="955">
      <c r="A955" s="1" t="s">
        <v>8162</v>
      </c>
      <c r="B955" s="1" t="s">
        <v>4293</v>
      </c>
      <c r="C955" s="1" t="s">
        <v>15034</v>
      </c>
      <c r="D955" s="1" t="s">
        <v>678</v>
      </c>
      <c r="E955" s="1" t="s">
        <v>153</v>
      </c>
      <c r="F955" s="1" t="s">
        <v>274</v>
      </c>
      <c r="G955" s="1" t="s">
        <v>276</v>
      </c>
      <c r="H955" s="3">
        <v>45377.0</v>
      </c>
      <c r="I955" s="3">
        <v>45784.0</v>
      </c>
      <c r="J955" s="3">
        <v>45784.0</v>
      </c>
      <c r="K955" s="1" t="s">
        <v>215</v>
      </c>
      <c r="L955" s="1" t="s">
        <v>160</v>
      </c>
      <c r="M955" s="1" t="s">
        <v>216</v>
      </c>
      <c r="N955" s="1" t="s">
        <v>131</v>
      </c>
      <c r="P955" s="1"/>
      <c r="R955" s="1" t="s">
        <v>137</v>
      </c>
      <c r="S955" s="1" t="s">
        <v>137</v>
      </c>
      <c r="T955" s="1" t="s">
        <v>47</v>
      </c>
      <c r="U955" s="1" t="s">
        <v>4301</v>
      </c>
    </row>
    <row r="956">
      <c r="A956" s="1" t="s">
        <v>12243</v>
      </c>
      <c r="B956" s="1" t="s">
        <v>4293</v>
      </c>
      <c r="C956" s="1" t="s">
        <v>15036</v>
      </c>
      <c r="D956" s="1" t="s">
        <v>919</v>
      </c>
      <c r="E956" s="1" t="s">
        <v>330</v>
      </c>
      <c r="F956" s="1" t="s">
        <v>663</v>
      </c>
      <c r="G956" s="1" t="s">
        <v>6222</v>
      </c>
      <c r="H956" s="3">
        <v>44649.0</v>
      </c>
      <c r="I956" s="3">
        <v>44832.0</v>
      </c>
      <c r="J956" s="3">
        <v>44832.0</v>
      </c>
      <c r="K956" s="1" t="s">
        <v>215</v>
      </c>
      <c r="L956" s="1" t="s">
        <v>160</v>
      </c>
      <c r="M956" s="1" t="s">
        <v>216</v>
      </c>
      <c r="N956" s="1" t="s">
        <v>131</v>
      </c>
      <c r="P956" s="1"/>
      <c r="R956" s="1" t="s">
        <v>137</v>
      </c>
      <c r="S956" s="1" t="s">
        <v>137</v>
      </c>
      <c r="T956" s="1" t="s">
        <v>47</v>
      </c>
      <c r="U956" s="1" t="s">
        <v>4301</v>
      </c>
    </row>
    <row r="957">
      <c r="A957" s="1" t="s">
        <v>11631</v>
      </c>
      <c r="B957" s="1" t="s">
        <v>4293</v>
      </c>
      <c r="C957" s="1" t="s">
        <v>15038</v>
      </c>
      <c r="D957" s="1" t="s">
        <v>1932</v>
      </c>
      <c r="E957" s="1" t="s">
        <v>175</v>
      </c>
      <c r="F957" s="1" t="s">
        <v>177</v>
      </c>
      <c r="G957" s="1" t="s">
        <v>1778</v>
      </c>
      <c r="H957" s="3">
        <v>44348.0</v>
      </c>
      <c r="I957" s="3">
        <v>44348.0</v>
      </c>
      <c r="J957" s="3">
        <v>44348.0</v>
      </c>
      <c r="K957" s="1" t="s">
        <v>215</v>
      </c>
      <c r="L957" s="1" t="s">
        <v>160</v>
      </c>
      <c r="M957" s="1" t="s">
        <v>216</v>
      </c>
      <c r="N957" s="1" t="s">
        <v>131</v>
      </c>
      <c r="R957" s="1" t="s">
        <v>137</v>
      </c>
      <c r="S957" s="1" t="s">
        <v>137</v>
      </c>
      <c r="T957" s="1" t="s">
        <v>47</v>
      </c>
      <c r="U957" s="1" t="s">
        <v>4301</v>
      </c>
    </row>
    <row r="958">
      <c r="A958" s="1" t="s">
        <v>6344</v>
      </c>
      <c r="B958" s="1" t="s">
        <v>4293</v>
      </c>
      <c r="C958" s="1" t="s">
        <v>15041</v>
      </c>
      <c r="D958" s="1" t="s">
        <v>593</v>
      </c>
      <c r="E958" s="1" t="s">
        <v>330</v>
      </c>
      <c r="F958" s="1" t="s">
        <v>356</v>
      </c>
      <c r="G958" s="1" t="s">
        <v>359</v>
      </c>
      <c r="H958" s="3">
        <v>44812.0</v>
      </c>
      <c r="I958" s="3">
        <v>44957.0</v>
      </c>
      <c r="J958" s="3">
        <v>44957.0</v>
      </c>
      <c r="K958" s="1" t="s">
        <v>215</v>
      </c>
      <c r="L958" s="1" t="s">
        <v>160</v>
      </c>
      <c r="M958" s="1" t="s">
        <v>216</v>
      </c>
      <c r="N958" s="1" t="s">
        <v>131</v>
      </c>
      <c r="P958" s="1"/>
      <c r="R958" s="1" t="s">
        <v>137</v>
      </c>
      <c r="S958" s="1" t="s">
        <v>137</v>
      </c>
      <c r="T958" s="1" t="s">
        <v>47</v>
      </c>
      <c r="U958" s="1" t="s">
        <v>4301</v>
      </c>
    </row>
    <row r="959">
      <c r="A959" s="1" t="s">
        <v>7107</v>
      </c>
      <c r="B959" s="1" t="s">
        <v>4293</v>
      </c>
      <c r="C959" s="1" t="s">
        <v>15044</v>
      </c>
      <c r="D959" s="1" t="s">
        <v>118</v>
      </c>
      <c r="E959" s="1" t="s">
        <v>330</v>
      </c>
      <c r="F959" s="1" t="s">
        <v>663</v>
      </c>
      <c r="G959" s="1" t="s">
        <v>2835</v>
      </c>
      <c r="H959" s="3">
        <v>44314.0</v>
      </c>
      <c r="I959" s="3">
        <v>44251.0</v>
      </c>
      <c r="J959" s="3">
        <v>44251.0</v>
      </c>
      <c r="K959" s="1" t="s">
        <v>215</v>
      </c>
      <c r="L959" s="1" t="s">
        <v>160</v>
      </c>
      <c r="M959" s="1" t="s">
        <v>216</v>
      </c>
      <c r="N959" s="1" t="s">
        <v>131</v>
      </c>
      <c r="R959" s="1" t="s">
        <v>137</v>
      </c>
      <c r="S959" s="1" t="s">
        <v>137</v>
      </c>
      <c r="T959" s="1" t="s">
        <v>47</v>
      </c>
      <c r="U959" s="1" t="s">
        <v>4301</v>
      </c>
    </row>
    <row r="960">
      <c r="A960" s="1" t="s">
        <v>11718</v>
      </c>
      <c r="B960" s="1" t="s">
        <v>4293</v>
      </c>
      <c r="C960" s="1" t="s">
        <v>15047</v>
      </c>
      <c r="D960" s="1" t="s">
        <v>1477</v>
      </c>
      <c r="E960" s="1" t="s">
        <v>292</v>
      </c>
      <c r="F960" s="1" t="s">
        <v>962</v>
      </c>
      <c r="G960" s="1" t="s">
        <v>2607</v>
      </c>
      <c r="H960" s="3">
        <v>44826.0</v>
      </c>
      <c r="I960" s="3">
        <v>45022.0</v>
      </c>
      <c r="J960" s="3">
        <v>45022.0</v>
      </c>
      <c r="K960" s="1" t="s">
        <v>215</v>
      </c>
      <c r="L960" s="1" t="s">
        <v>160</v>
      </c>
      <c r="M960" s="1" t="s">
        <v>216</v>
      </c>
      <c r="N960" s="1" t="s">
        <v>131</v>
      </c>
      <c r="P960" s="1"/>
      <c r="R960" s="1" t="s">
        <v>137</v>
      </c>
      <c r="S960" s="1" t="s">
        <v>137</v>
      </c>
      <c r="T960" s="1" t="s">
        <v>47</v>
      </c>
      <c r="U960" s="1" t="s">
        <v>4301</v>
      </c>
    </row>
    <row r="961">
      <c r="A961" s="1" t="s">
        <v>12570</v>
      </c>
      <c r="B961" s="1" t="s">
        <v>4293</v>
      </c>
      <c r="C961" s="1" t="s">
        <v>15049</v>
      </c>
      <c r="D961" s="1" t="s">
        <v>118</v>
      </c>
      <c r="E961" s="1" t="s">
        <v>175</v>
      </c>
      <c r="F961" s="1" t="s">
        <v>763</v>
      </c>
      <c r="G961" s="1" t="s">
        <v>1825</v>
      </c>
      <c r="H961" s="3">
        <v>44314.0</v>
      </c>
      <c r="I961" s="3">
        <v>44270.0</v>
      </c>
      <c r="J961" s="3">
        <v>44270.0</v>
      </c>
      <c r="K961" s="1" t="s">
        <v>215</v>
      </c>
      <c r="L961" s="1" t="s">
        <v>160</v>
      </c>
      <c r="M961" s="1" t="s">
        <v>216</v>
      </c>
      <c r="N961" s="1" t="s">
        <v>131</v>
      </c>
      <c r="P961" s="1"/>
      <c r="R961" s="1" t="s">
        <v>137</v>
      </c>
      <c r="S961" s="1" t="s">
        <v>137</v>
      </c>
      <c r="T961" s="1" t="s">
        <v>47</v>
      </c>
      <c r="U961" s="1" t="s">
        <v>4301</v>
      </c>
    </row>
    <row r="962">
      <c r="A962" s="1" t="s">
        <v>8485</v>
      </c>
      <c r="B962" s="1" t="s">
        <v>4293</v>
      </c>
      <c r="C962" s="1" t="s">
        <v>15052</v>
      </c>
      <c r="D962" s="1" t="s">
        <v>1291</v>
      </c>
      <c r="E962" s="1" t="s">
        <v>292</v>
      </c>
      <c r="F962" s="1" t="s">
        <v>962</v>
      </c>
      <c r="G962" s="1" t="s">
        <v>963</v>
      </c>
      <c r="H962" s="3">
        <v>44777.0</v>
      </c>
      <c r="I962" s="3">
        <v>44893.0</v>
      </c>
      <c r="J962" s="3">
        <v>44893.0</v>
      </c>
      <c r="K962" s="1" t="s">
        <v>215</v>
      </c>
      <c r="L962" s="1" t="s">
        <v>160</v>
      </c>
      <c r="M962" s="1" t="s">
        <v>216</v>
      </c>
      <c r="N962" s="1" t="s">
        <v>131</v>
      </c>
      <c r="P962" s="1"/>
      <c r="R962" s="1" t="s">
        <v>137</v>
      </c>
      <c r="S962" s="1" t="s">
        <v>137</v>
      </c>
      <c r="T962" s="1" t="s">
        <v>47</v>
      </c>
      <c r="U962" s="1" t="s">
        <v>4301</v>
      </c>
    </row>
    <row r="963">
      <c r="A963" s="1" t="s">
        <v>14077</v>
      </c>
      <c r="B963" s="1" t="s">
        <v>4293</v>
      </c>
      <c r="C963" s="1" t="s">
        <v>15054</v>
      </c>
      <c r="D963" s="1" t="s">
        <v>678</v>
      </c>
      <c r="E963" s="1" t="s">
        <v>454</v>
      </c>
      <c r="F963" s="1" t="s">
        <v>637</v>
      </c>
      <c r="G963" s="1" t="s">
        <v>1513</v>
      </c>
      <c r="H963" s="3">
        <v>45685.0</v>
      </c>
      <c r="I963" s="3"/>
      <c r="J963" s="3"/>
      <c r="K963" s="1" t="s">
        <v>124</v>
      </c>
      <c r="L963" s="1" t="s">
        <v>160</v>
      </c>
      <c r="M963" s="1" t="s">
        <v>253</v>
      </c>
      <c r="N963" s="1" t="s">
        <v>131</v>
      </c>
      <c r="P963" s="1"/>
      <c r="R963" s="1" t="s">
        <v>137</v>
      </c>
      <c r="S963" s="1" t="s">
        <v>137</v>
      </c>
      <c r="T963" s="1" t="s">
        <v>47</v>
      </c>
      <c r="U963" s="1" t="s">
        <v>4301</v>
      </c>
    </row>
    <row r="964">
      <c r="A964" s="1" t="s">
        <v>2426</v>
      </c>
      <c r="B964" s="1" t="s">
        <v>4063</v>
      </c>
      <c r="C964" s="1" t="s">
        <v>4064</v>
      </c>
      <c r="D964" s="1" t="s">
        <v>4065</v>
      </c>
      <c r="E964" s="1" t="s">
        <v>691</v>
      </c>
      <c r="F964" s="1" t="s">
        <v>2998</v>
      </c>
      <c r="G964" s="1" t="s">
        <v>3266</v>
      </c>
      <c r="H964" s="3">
        <v>46135.0</v>
      </c>
      <c r="I964" s="3">
        <v>46275.0</v>
      </c>
      <c r="J964" s="3">
        <v>46275.0</v>
      </c>
      <c r="K964" s="1" t="s">
        <v>124</v>
      </c>
      <c r="L964" s="1" t="s">
        <v>98</v>
      </c>
      <c r="M964" s="1" t="s">
        <v>216</v>
      </c>
      <c r="N964" s="1" t="s">
        <v>131</v>
      </c>
      <c r="P964" s="1"/>
      <c r="R964" s="1" t="s">
        <v>4069</v>
      </c>
      <c r="S964" s="1" t="s">
        <v>4069</v>
      </c>
      <c r="T964" s="1" t="s">
        <v>4071</v>
      </c>
      <c r="U964" s="1" t="s">
        <v>15059</v>
      </c>
    </row>
    <row r="965">
      <c r="A965" s="1" t="s">
        <v>4073</v>
      </c>
      <c r="B965" s="1" t="s">
        <v>116</v>
      </c>
      <c r="C965" s="1" t="s">
        <v>4074</v>
      </c>
      <c r="D965" s="1" t="s">
        <v>960</v>
      </c>
      <c r="E965" s="1" t="s">
        <v>292</v>
      </c>
      <c r="F965" s="1" t="s">
        <v>468</v>
      </c>
      <c r="G965" s="1" t="s">
        <v>1758</v>
      </c>
      <c r="H965" s="3">
        <v>46129.0</v>
      </c>
      <c r="I965" s="3"/>
      <c r="J965" s="3"/>
      <c r="K965" s="1" t="s">
        <v>124</v>
      </c>
      <c r="L965" s="1" t="s">
        <v>98</v>
      </c>
      <c r="M965" s="1" t="s">
        <v>162</v>
      </c>
      <c r="N965" s="1" t="s">
        <v>131</v>
      </c>
      <c r="P965" s="1" t="s">
        <v>4077</v>
      </c>
      <c r="R965" s="1" t="s">
        <v>137</v>
      </c>
      <c r="S965" s="1" t="s">
        <v>137</v>
      </c>
      <c r="T965" s="1" t="s">
        <v>47</v>
      </c>
      <c r="U965" s="1"/>
    </row>
    <row r="966">
      <c r="A966" s="1" t="s">
        <v>10649</v>
      </c>
      <c r="B966" s="1" t="s">
        <v>4293</v>
      </c>
      <c r="C966" s="1" t="s">
        <v>15062</v>
      </c>
      <c r="D966" s="1" t="s">
        <v>1798</v>
      </c>
      <c r="E966" s="1" t="s">
        <v>292</v>
      </c>
      <c r="F966" s="1" t="s">
        <v>576</v>
      </c>
      <c r="G966" s="1" t="s">
        <v>835</v>
      </c>
      <c r="H966" s="3">
        <v>45826.0</v>
      </c>
      <c r="I966" s="3">
        <v>45903.0</v>
      </c>
      <c r="J966" s="3">
        <v>45903.0</v>
      </c>
      <c r="K966" s="1" t="s">
        <v>215</v>
      </c>
      <c r="L966" s="1" t="s">
        <v>160</v>
      </c>
      <c r="M966" s="1" t="s">
        <v>216</v>
      </c>
      <c r="N966" s="1" t="s">
        <v>131</v>
      </c>
      <c r="P966" s="1"/>
      <c r="R966" s="1" t="s">
        <v>137</v>
      </c>
      <c r="S966" s="1" t="s">
        <v>137</v>
      </c>
      <c r="T966" s="1" t="s">
        <v>47</v>
      </c>
      <c r="U966" s="1" t="s">
        <v>4301</v>
      </c>
    </row>
    <row r="967">
      <c r="A967" s="1" t="s">
        <v>14197</v>
      </c>
      <c r="B967" s="1" t="s">
        <v>116</v>
      </c>
      <c r="C967" s="1" t="s">
        <v>15063</v>
      </c>
      <c r="D967" s="1" t="s">
        <v>678</v>
      </c>
      <c r="E967" s="1" t="s">
        <v>454</v>
      </c>
      <c r="F967" s="1" t="s">
        <v>637</v>
      </c>
      <c r="G967" s="1" t="s">
        <v>2554</v>
      </c>
      <c r="H967" s="3">
        <v>46295.0</v>
      </c>
      <c r="I967" s="3"/>
      <c r="J967" s="3"/>
      <c r="K967" s="1" t="s">
        <v>124</v>
      </c>
      <c r="L967" s="1" t="s">
        <v>71</v>
      </c>
      <c r="M967" s="1" t="s">
        <v>162</v>
      </c>
      <c r="N967" s="1" t="s">
        <v>131</v>
      </c>
      <c r="P967" s="1" t="s">
        <v>14199</v>
      </c>
      <c r="R967" s="1" t="s">
        <v>137</v>
      </c>
      <c r="S967" s="1" t="s">
        <v>137</v>
      </c>
      <c r="T967" s="1" t="s">
        <v>47</v>
      </c>
      <c r="U967" s="1"/>
    </row>
    <row r="968">
      <c r="A968" s="1" t="s">
        <v>6461</v>
      </c>
      <c r="B968" s="1" t="s">
        <v>4293</v>
      </c>
      <c r="C968" s="1" t="s">
        <v>15066</v>
      </c>
      <c r="D968" s="1" t="s">
        <v>1477</v>
      </c>
      <c r="E968" s="1" t="s">
        <v>175</v>
      </c>
      <c r="F968" s="1" t="s">
        <v>763</v>
      </c>
      <c r="G968" s="1" t="s">
        <v>3768</v>
      </c>
      <c r="H968" s="3">
        <v>45832.0</v>
      </c>
      <c r="I968" s="3">
        <v>45909.0</v>
      </c>
      <c r="J968" s="3">
        <v>45909.0</v>
      </c>
      <c r="K968" s="1" t="s">
        <v>215</v>
      </c>
      <c r="L968" s="1" t="s">
        <v>160</v>
      </c>
      <c r="M968" s="1" t="s">
        <v>216</v>
      </c>
      <c r="N968" s="1" t="s">
        <v>131</v>
      </c>
      <c r="P968" s="1"/>
      <c r="R968" s="1" t="s">
        <v>137</v>
      </c>
      <c r="S968" s="1" t="s">
        <v>137</v>
      </c>
      <c r="T968" s="1" t="s">
        <v>47</v>
      </c>
      <c r="U968" s="1" t="s">
        <v>4301</v>
      </c>
    </row>
    <row r="969">
      <c r="A969" s="1" t="s">
        <v>7097</v>
      </c>
      <c r="B969" s="1" t="s">
        <v>4293</v>
      </c>
      <c r="C969" s="1" t="s">
        <v>15068</v>
      </c>
      <c r="D969" s="1" t="s">
        <v>1272</v>
      </c>
      <c r="E969" s="1" t="s">
        <v>520</v>
      </c>
      <c r="F969" s="1" t="s">
        <v>1671</v>
      </c>
      <c r="G969" s="1" t="s">
        <v>3492</v>
      </c>
      <c r="H969" s="3">
        <v>44249.0</v>
      </c>
      <c r="I969" s="3">
        <v>44249.0</v>
      </c>
      <c r="J969" s="3">
        <v>44249.0</v>
      </c>
      <c r="K969" s="1" t="s">
        <v>215</v>
      </c>
      <c r="L969" s="1" t="s">
        <v>160</v>
      </c>
      <c r="M969" s="1" t="s">
        <v>216</v>
      </c>
      <c r="N969" s="1" t="s">
        <v>131</v>
      </c>
      <c r="P969" s="1"/>
      <c r="R969" s="1" t="s">
        <v>137</v>
      </c>
      <c r="S969" s="1" t="s">
        <v>137</v>
      </c>
      <c r="T969" s="1" t="s">
        <v>47</v>
      </c>
      <c r="U969" s="1" t="s">
        <v>4301</v>
      </c>
    </row>
    <row r="970">
      <c r="A970" s="1" t="s">
        <v>9171</v>
      </c>
      <c r="B970" s="1" t="s">
        <v>4293</v>
      </c>
      <c r="C970" s="1" t="s">
        <v>15071</v>
      </c>
      <c r="D970" s="1" t="s">
        <v>313</v>
      </c>
      <c r="E970" s="1" t="s">
        <v>175</v>
      </c>
      <c r="F970" s="1" t="s">
        <v>763</v>
      </c>
      <c r="G970" s="1" t="s">
        <v>1351</v>
      </c>
      <c r="H970" s="3">
        <v>45520.0</v>
      </c>
      <c r="I970" s="3">
        <v>45814.0</v>
      </c>
      <c r="J970" s="3">
        <v>45814.0</v>
      </c>
      <c r="K970" s="1" t="s">
        <v>215</v>
      </c>
      <c r="L970" s="1" t="s">
        <v>160</v>
      </c>
      <c r="M970" s="1" t="s">
        <v>216</v>
      </c>
      <c r="N970" s="1" t="s">
        <v>131</v>
      </c>
      <c r="P970" s="1"/>
      <c r="R970" s="1" t="s">
        <v>137</v>
      </c>
      <c r="S970" s="1" t="s">
        <v>137</v>
      </c>
      <c r="T970" s="1" t="s">
        <v>47</v>
      </c>
      <c r="U970" s="1" t="s">
        <v>4301</v>
      </c>
    </row>
    <row r="971">
      <c r="A971" s="1" t="s">
        <v>8746</v>
      </c>
      <c r="B971" s="1" t="s">
        <v>4293</v>
      </c>
      <c r="C971" s="1" t="s">
        <v>15073</v>
      </c>
      <c r="D971" s="1" t="s">
        <v>777</v>
      </c>
      <c r="E971" s="1" t="s">
        <v>292</v>
      </c>
      <c r="F971" s="1" t="s">
        <v>576</v>
      </c>
      <c r="G971" s="1" t="s">
        <v>1088</v>
      </c>
      <c r="H971" s="3">
        <v>44301.0</v>
      </c>
      <c r="I971" s="3">
        <v>44390.0</v>
      </c>
      <c r="J971" s="3">
        <v>44390.0</v>
      </c>
      <c r="K971" s="1" t="s">
        <v>215</v>
      </c>
      <c r="L971" s="1" t="s">
        <v>160</v>
      </c>
      <c r="M971" s="1" t="s">
        <v>216</v>
      </c>
      <c r="N971" s="1" t="s">
        <v>131</v>
      </c>
      <c r="P971" s="1"/>
      <c r="R971" s="1" t="s">
        <v>137</v>
      </c>
      <c r="S971" s="1" t="s">
        <v>137</v>
      </c>
      <c r="T971" s="1" t="s">
        <v>47</v>
      </c>
      <c r="U971" s="1" t="s">
        <v>4301</v>
      </c>
    </row>
    <row r="972">
      <c r="A972" s="1" t="s">
        <v>7970</v>
      </c>
      <c r="B972" s="1" t="s">
        <v>4293</v>
      </c>
      <c r="C972" s="1" t="s">
        <v>15076</v>
      </c>
      <c r="D972" s="1" t="s">
        <v>1291</v>
      </c>
      <c r="E972" s="1" t="s">
        <v>292</v>
      </c>
      <c r="F972" s="1" t="s">
        <v>494</v>
      </c>
      <c r="G972" s="1" t="s">
        <v>496</v>
      </c>
      <c r="H972" s="3">
        <v>45543.0</v>
      </c>
      <c r="I972" s="3">
        <v>45889.0</v>
      </c>
      <c r="J972" s="3">
        <v>45889.0</v>
      </c>
      <c r="K972" s="1" t="s">
        <v>215</v>
      </c>
      <c r="L972" s="1" t="s">
        <v>160</v>
      </c>
      <c r="M972" s="1" t="s">
        <v>216</v>
      </c>
      <c r="N972" s="1" t="s">
        <v>131</v>
      </c>
      <c r="P972" s="1"/>
      <c r="R972" s="1" t="s">
        <v>137</v>
      </c>
      <c r="S972" s="1" t="s">
        <v>137</v>
      </c>
      <c r="T972" s="1" t="s">
        <v>47</v>
      </c>
      <c r="U972" s="1" t="s">
        <v>4301</v>
      </c>
    </row>
    <row r="973">
      <c r="A973" s="1" t="s">
        <v>2393</v>
      </c>
      <c r="B973" s="1" t="s">
        <v>116</v>
      </c>
      <c r="C973" s="1" t="s">
        <v>4086</v>
      </c>
      <c r="D973" s="1" t="s">
        <v>172</v>
      </c>
      <c r="E973" s="1" t="s">
        <v>175</v>
      </c>
      <c r="F973" s="1" t="s">
        <v>177</v>
      </c>
      <c r="G973" s="1" t="s">
        <v>178</v>
      </c>
      <c r="H973" s="3">
        <v>46129.0</v>
      </c>
      <c r="I973" s="3"/>
      <c r="J973" s="3"/>
      <c r="K973" s="1" t="s">
        <v>124</v>
      </c>
      <c r="L973" s="1" t="s">
        <v>71</v>
      </c>
      <c r="M973" s="1" t="s">
        <v>162</v>
      </c>
      <c r="N973" s="1" t="s">
        <v>131</v>
      </c>
      <c r="P973" s="1" t="s">
        <v>485</v>
      </c>
      <c r="R973" s="1" t="s">
        <v>137</v>
      </c>
      <c r="S973" s="1" t="s">
        <v>137</v>
      </c>
      <c r="T973" s="1" t="s">
        <v>47</v>
      </c>
      <c r="U973" s="1"/>
    </row>
    <row r="974">
      <c r="A974" s="1" t="s">
        <v>8832</v>
      </c>
      <c r="B974" s="1" t="s">
        <v>4293</v>
      </c>
      <c r="C974" s="1" t="s">
        <v>15081</v>
      </c>
      <c r="D974" s="1" t="s">
        <v>194</v>
      </c>
      <c r="E974" s="1" t="s">
        <v>454</v>
      </c>
      <c r="F974" s="1" t="s">
        <v>455</v>
      </c>
      <c r="G974" s="1" t="s">
        <v>456</v>
      </c>
      <c r="H974" s="3">
        <v>44279.0</v>
      </c>
      <c r="I974" s="3">
        <v>44279.0</v>
      </c>
      <c r="J974" s="3">
        <v>44279.0</v>
      </c>
      <c r="K974" s="1" t="s">
        <v>215</v>
      </c>
      <c r="L974" s="1" t="s">
        <v>160</v>
      </c>
      <c r="M974" s="1" t="s">
        <v>216</v>
      </c>
      <c r="N974" s="1" t="s">
        <v>131</v>
      </c>
      <c r="P974" s="1"/>
      <c r="R974" s="1" t="s">
        <v>137</v>
      </c>
      <c r="S974" s="1" t="s">
        <v>137</v>
      </c>
      <c r="T974" s="1" t="s">
        <v>47</v>
      </c>
      <c r="U974" s="1" t="s">
        <v>4301</v>
      </c>
    </row>
    <row r="975">
      <c r="A975" s="1" t="s">
        <v>2492</v>
      </c>
      <c r="B975" s="1" t="s">
        <v>4099</v>
      </c>
      <c r="C975" s="1" t="s">
        <v>4100</v>
      </c>
      <c r="D975" s="1" t="s">
        <v>172</v>
      </c>
      <c r="E975" s="1" t="s">
        <v>175</v>
      </c>
      <c r="F975" s="1" t="s">
        <v>177</v>
      </c>
      <c r="G975" s="1" t="s">
        <v>178</v>
      </c>
      <c r="H975" s="3">
        <v>46150.0</v>
      </c>
      <c r="I975" s="3"/>
      <c r="J975" s="3"/>
      <c r="K975" s="1" t="s">
        <v>124</v>
      </c>
      <c r="L975" s="1" t="s">
        <v>71</v>
      </c>
      <c r="M975" s="1" t="s">
        <v>335</v>
      </c>
      <c r="N975" s="1" t="s">
        <v>131</v>
      </c>
      <c r="P975" s="1" t="s">
        <v>1844</v>
      </c>
      <c r="R975" s="1" t="s">
        <v>137</v>
      </c>
      <c r="S975" s="1" t="s">
        <v>137</v>
      </c>
      <c r="T975" s="1" t="s">
        <v>47</v>
      </c>
      <c r="U975" s="1" t="s">
        <v>4210</v>
      </c>
    </row>
    <row r="976">
      <c r="A976" s="1" t="s">
        <v>9349</v>
      </c>
      <c r="B976" s="1" t="s">
        <v>4293</v>
      </c>
      <c r="C976" s="1" t="s">
        <v>15084</v>
      </c>
      <c r="D976" s="1" t="s">
        <v>273</v>
      </c>
      <c r="E976" s="1" t="s">
        <v>330</v>
      </c>
      <c r="F976" s="1" t="s">
        <v>356</v>
      </c>
      <c r="G976" s="1" t="s">
        <v>3072</v>
      </c>
      <c r="H976" s="3">
        <v>45219.0</v>
      </c>
      <c r="I976" s="3">
        <v>45365.0</v>
      </c>
      <c r="J976" s="3">
        <v>45365.0</v>
      </c>
      <c r="K976" s="1" t="s">
        <v>215</v>
      </c>
      <c r="L976" s="1" t="s">
        <v>160</v>
      </c>
      <c r="M976" s="1" t="s">
        <v>216</v>
      </c>
      <c r="N976" s="1" t="s">
        <v>131</v>
      </c>
      <c r="P976" s="1"/>
      <c r="R976" s="1" t="s">
        <v>137</v>
      </c>
      <c r="S976" s="1" t="s">
        <v>137</v>
      </c>
      <c r="T976" s="1" t="s">
        <v>47</v>
      </c>
      <c r="U976" s="1" t="s">
        <v>4301</v>
      </c>
    </row>
    <row r="977">
      <c r="A977" s="1" t="s">
        <v>13814</v>
      </c>
      <c r="B977" s="1" t="s">
        <v>116</v>
      </c>
      <c r="C977" s="1" t="s">
        <v>15087</v>
      </c>
      <c r="D977" s="1" t="s">
        <v>593</v>
      </c>
      <c r="E977" s="1" t="s">
        <v>330</v>
      </c>
      <c r="F977" s="1" t="s">
        <v>663</v>
      </c>
      <c r="G977" s="1" t="s">
        <v>923</v>
      </c>
      <c r="H977" s="3">
        <v>46254.0</v>
      </c>
      <c r="I977" s="3"/>
      <c r="J977" s="3"/>
      <c r="K977" s="1" t="s">
        <v>124</v>
      </c>
      <c r="L977" s="1" t="s">
        <v>160</v>
      </c>
      <c r="M977" s="1" t="s">
        <v>162</v>
      </c>
      <c r="N977" s="1" t="s">
        <v>131</v>
      </c>
      <c r="P977" s="1" t="s">
        <v>5028</v>
      </c>
      <c r="R977" s="1" t="s">
        <v>137</v>
      </c>
      <c r="S977" s="1" t="s">
        <v>137</v>
      </c>
      <c r="T977" s="1" t="s">
        <v>47</v>
      </c>
      <c r="U977" s="1" t="s">
        <v>15089</v>
      </c>
    </row>
    <row r="978">
      <c r="A978" s="1" t="s">
        <v>12465</v>
      </c>
      <c r="B978" s="1" t="s">
        <v>4293</v>
      </c>
      <c r="C978" s="1" t="s">
        <v>15090</v>
      </c>
      <c r="D978" s="1" t="s">
        <v>1477</v>
      </c>
      <c r="E978" s="1" t="s">
        <v>153</v>
      </c>
      <c r="F978" s="1" t="s">
        <v>274</v>
      </c>
      <c r="G978" s="1" t="s">
        <v>3364</v>
      </c>
      <c r="H978" s="3">
        <v>45579.0</v>
      </c>
      <c r="I978" s="3">
        <v>45700.0</v>
      </c>
      <c r="J978" s="3">
        <v>45700.0</v>
      </c>
      <c r="K978" s="1" t="s">
        <v>215</v>
      </c>
      <c r="L978" s="1" t="s">
        <v>160</v>
      </c>
      <c r="M978" s="1" t="s">
        <v>216</v>
      </c>
      <c r="N978" s="1" t="s">
        <v>131</v>
      </c>
      <c r="R978" s="1" t="s">
        <v>137</v>
      </c>
      <c r="S978" s="1" t="s">
        <v>137</v>
      </c>
      <c r="T978" s="1" t="s">
        <v>47</v>
      </c>
      <c r="U978" s="1" t="s">
        <v>4301</v>
      </c>
    </row>
    <row r="979">
      <c r="A979" s="1" t="s">
        <v>9791</v>
      </c>
      <c r="B979" s="1" t="s">
        <v>4293</v>
      </c>
      <c r="C979" s="1" t="s">
        <v>15092</v>
      </c>
      <c r="D979" s="1" t="s">
        <v>1477</v>
      </c>
      <c r="E979" s="1" t="s">
        <v>175</v>
      </c>
      <c r="F979" s="1" t="s">
        <v>763</v>
      </c>
      <c r="G979" s="1" t="s">
        <v>3768</v>
      </c>
      <c r="H979" s="3">
        <v>45548.0</v>
      </c>
      <c r="I979" s="3">
        <v>45602.0</v>
      </c>
      <c r="J979" s="3">
        <v>45602.0</v>
      </c>
      <c r="K979" s="1" t="s">
        <v>215</v>
      </c>
      <c r="L979" s="1" t="s">
        <v>160</v>
      </c>
      <c r="M979" s="1" t="s">
        <v>216</v>
      </c>
      <c r="N979" s="1" t="s">
        <v>131</v>
      </c>
      <c r="R979" s="1" t="s">
        <v>137</v>
      </c>
      <c r="S979" s="1" t="s">
        <v>137</v>
      </c>
      <c r="T979" s="1" t="s">
        <v>47</v>
      </c>
      <c r="U979" s="1" t="s">
        <v>4301</v>
      </c>
    </row>
    <row r="980">
      <c r="A980" s="1" t="s">
        <v>12530</v>
      </c>
      <c r="B980" s="1" t="s">
        <v>4293</v>
      </c>
      <c r="C980" s="1" t="s">
        <v>15095</v>
      </c>
      <c r="D980" s="1" t="s">
        <v>548</v>
      </c>
      <c r="E980" s="1" t="s">
        <v>520</v>
      </c>
      <c r="F980" s="1" t="s">
        <v>1229</v>
      </c>
      <c r="G980" s="1" t="s">
        <v>6014</v>
      </c>
      <c r="H980" s="3">
        <v>44075.0</v>
      </c>
      <c r="I980" s="3">
        <v>44075.0</v>
      </c>
      <c r="J980" s="3">
        <v>44075.0</v>
      </c>
      <c r="K980" s="1" t="s">
        <v>215</v>
      </c>
      <c r="L980" s="1" t="s">
        <v>160</v>
      </c>
      <c r="M980" s="1" t="s">
        <v>216</v>
      </c>
      <c r="N980" s="1" t="s">
        <v>131</v>
      </c>
      <c r="P980" s="1"/>
      <c r="R980" s="1" t="s">
        <v>137</v>
      </c>
      <c r="S980" s="1" t="s">
        <v>137</v>
      </c>
      <c r="T980" s="1" t="s">
        <v>47</v>
      </c>
      <c r="U980" s="1" t="s">
        <v>4301</v>
      </c>
    </row>
    <row r="981">
      <c r="A981" s="1" t="s">
        <v>11602</v>
      </c>
      <c r="B981" s="1" t="s">
        <v>4293</v>
      </c>
      <c r="C981" s="1" t="s">
        <v>15098</v>
      </c>
      <c r="D981" s="1" t="s">
        <v>273</v>
      </c>
      <c r="E981" s="1" t="s">
        <v>330</v>
      </c>
      <c r="F981" s="1" t="s">
        <v>356</v>
      </c>
      <c r="G981" s="1" t="s">
        <v>359</v>
      </c>
      <c r="H981" s="3">
        <v>43686.0</v>
      </c>
      <c r="I981" s="3">
        <v>43934.0</v>
      </c>
      <c r="J981" s="3">
        <v>43934.0</v>
      </c>
      <c r="K981" s="1" t="s">
        <v>215</v>
      </c>
      <c r="L981" s="1" t="s">
        <v>160</v>
      </c>
      <c r="M981" s="1" t="s">
        <v>216</v>
      </c>
      <c r="N981" s="1" t="s">
        <v>131</v>
      </c>
      <c r="P981" s="1"/>
      <c r="R981" s="1" t="s">
        <v>137</v>
      </c>
      <c r="S981" s="1" t="s">
        <v>137</v>
      </c>
      <c r="T981" s="1" t="s">
        <v>47</v>
      </c>
      <c r="U981" s="1" t="s">
        <v>4301</v>
      </c>
    </row>
    <row r="982">
      <c r="A982" s="1" t="s">
        <v>9700</v>
      </c>
      <c r="B982" s="1" t="s">
        <v>4293</v>
      </c>
      <c r="C982" s="1" t="s">
        <v>15101</v>
      </c>
      <c r="D982" s="1" t="s">
        <v>1832</v>
      </c>
      <c r="E982" s="1" t="s">
        <v>454</v>
      </c>
      <c r="F982" s="1" t="s">
        <v>455</v>
      </c>
      <c r="G982" s="1" t="s">
        <v>510</v>
      </c>
      <c r="H982" s="3">
        <v>45134.0</v>
      </c>
      <c r="I982" s="3">
        <v>45322.0</v>
      </c>
      <c r="J982" s="3">
        <v>45322.0</v>
      </c>
      <c r="K982" s="1" t="s">
        <v>215</v>
      </c>
      <c r="L982" s="1" t="s">
        <v>160</v>
      </c>
      <c r="M982" s="1" t="s">
        <v>216</v>
      </c>
      <c r="N982" s="1" t="s">
        <v>131</v>
      </c>
      <c r="R982" s="1" t="s">
        <v>137</v>
      </c>
      <c r="S982" s="1" t="s">
        <v>137</v>
      </c>
      <c r="T982" s="1" t="s">
        <v>47</v>
      </c>
      <c r="U982" s="1" t="s">
        <v>4301</v>
      </c>
    </row>
    <row r="983">
      <c r="A983" s="1" t="s">
        <v>9371</v>
      </c>
      <c r="B983" s="1" t="s">
        <v>4293</v>
      </c>
      <c r="C983" s="1" t="s">
        <v>15102</v>
      </c>
      <c r="D983" s="1" t="s">
        <v>777</v>
      </c>
      <c r="E983" s="1" t="s">
        <v>292</v>
      </c>
      <c r="F983" s="1" t="s">
        <v>962</v>
      </c>
      <c r="G983" s="1" t="s">
        <v>5046</v>
      </c>
      <c r="H983" s="3">
        <v>45009.0</v>
      </c>
      <c r="I983" s="3">
        <v>45204.0</v>
      </c>
      <c r="J983" s="3">
        <v>45204.0</v>
      </c>
      <c r="K983" s="1" t="s">
        <v>215</v>
      </c>
      <c r="L983" s="1" t="s">
        <v>160</v>
      </c>
      <c r="M983" s="1" t="s">
        <v>216</v>
      </c>
      <c r="N983" s="1" t="s">
        <v>131</v>
      </c>
      <c r="P983" s="1"/>
      <c r="R983" s="1" t="s">
        <v>137</v>
      </c>
      <c r="S983" s="1" t="s">
        <v>137</v>
      </c>
      <c r="T983" s="1" t="s">
        <v>47</v>
      </c>
      <c r="U983" s="1" t="s">
        <v>4301</v>
      </c>
    </row>
    <row r="984">
      <c r="A984" s="1" t="s">
        <v>10950</v>
      </c>
      <c r="B984" s="1" t="s">
        <v>4293</v>
      </c>
      <c r="C984" s="1" t="s">
        <v>15105</v>
      </c>
      <c r="D984" s="1" t="s">
        <v>396</v>
      </c>
      <c r="E984" s="1" t="s">
        <v>292</v>
      </c>
      <c r="F984" s="1" t="s">
        <v>576</v>
      </c>
      <c r="G984" s="1" t="s">
        <v>1088</v>
      </c>
      <c r="H984" s="3">
        <v>45166.0</v>
      </c>
      <c r="I984" s="3">
        <v>45298.0</v>
      </c>
      <c r="J984" s="3">
        <v>45298.0</v>
      </c>
      <c r="K984" s="1" t="s">
        <v>215</v>
      </c>
      <c r="L984" s="1" t="s">
        <v>160</v>
      </c>
      <c r="M984" s="1" t="s">
        <v>216</v>
      </c>
      <c r="N984" s="1" t="s">
        <v>131</v>
      </c>
      <c r="R984" s="1" t="s">
        <v>137</v>
      </c>
      <c r="S984" s="1" t="s">
        <v>137</v>
      </c>
      <c r="T984" s="1" t="s">
        <v>47</v>
      </c>
      <c r="U984" s="1" t="s">
        <v>4301</v>
      </c>
    </row>
    <row r="985">
      <c r="A985" s="1" t="s">
        <v>6325</v>
      </c>
      <c r="B985" s="1" t="s">
        <v>4293</v>
      </c>
      <c r="C985" s="1" t="s">
        <v>15107</v>
      </c>
      <c r="D985" s="1" t="s">
        <v>1823</v>
      </c>
      <c r="E985" s="1" t="s">
        <v>2159</v>
      </c>
      <c r="F985" s="1" t="s">
        <v>2159</v>
      </c>
      <c r="G985" s="1" t="s">
        <v>2159</v>
      </c>
      <c r="H985" s="3">
        <v>45509.0</v>
      </c>
      <c r="I985" s="3">
        <v>45509.0</v>
      </c>
      <c r="J985" s="3">
        <v>45509.0</v>
      </c>
      <c r="K985" s="1" t="s">
        <v>215</v>
      </c>
      <c r="L985" s="1" t="s">
        <v>160</v>
      </c>
      <c r="M985" s="1" t="s">
        <v>216</v>
      </c>
      <c r="N985" s="1" t="s">
        <v>131</v>
      </c>
      <c r="P985" s="1"/>
      <c r="R985" s="1" t="s">
        <v>137</v>
      </c>
      <c r="S985" s="1" t="s">
        <v>137</v>
      </c>
      <c r="T985" s="1" t="s">
        <v>47</v>
      </c>
      <c r="U985" s="1" t="s">
        <v>4301</v>
      </c>
    </row>
    <row r="986">
      <c r="A986" s="1" t="s">
        <v>14092</v>
      </c>
      <c r="B986" s="1" t="s">
        <v>4293</v>
      </c>
      <c r="C986" s="1" t="s">
        <v>15110</v>
      </c>
      <c r="D986" s="1" t="s">
        <v>548</v>
      </c>
      <c r="E986" s="1" t="s">
        <v>520</v>
      </c>
      <c r="F986" s="1" t="s">
        <v>522</v>
      </c>
      <c r="G986" s="1" t="s">
        <v>3269</v>
      </c>
      <c r="H986" s="3">
        <v>45919.0</v>
      </c>
      <c r="I986" s="3"/>
      <c r="J986" s="3"/>
      <c r="K986" s="1" t="s">
        <v>124</v>
      </c>
      <c r="L986" s="1" t="s">
        <v>160</v>
      </c>
      <c r="M986" s="1" t="s">
        <v>253</v>
      </c>
      <c r="N986" s="1" t="s">
        <v>131</v>
      </c>
      <c r="P986" s="1"/>
      <c r="R986" s="1" t="s">
        <v>137</v>
      </c>
      <c r="S986" s="1" t="s">
        <v>137</v>
      </c>
      <c r="T986" s="1" t="s">
        <v>47</v>
      </c>
      <c r="U986" s="1" t="s">
        <v>4301</v>
      </c>
    </row>
    <row r="987">
      <c r="A987" s="1" t="s">
        <v>9628</v>
      </c>
      <c r="B987" s="1" t="s">
        <v>4293</v>
      </c>
      <c r="C987" s="1" t="s">
        <v>15112</v>
      </c>
      <c r="D987" s="1" t="s">
        <v>1932</v>
      </c>
      <c r="E987" s="1" t="s">
        <v>292</v>
      </c>
      <c r="F987" s="1" t="s">
        <v>962</v>
      </c>
      <c r="G987" s="1" t="s">
        <v>2607</v>
      </c>
      <c r="H987" s="3">
        <v>44337.0</v>
      </c>
      <c r="I987" s="3">
        <v>44385.0</v>
      </c>
      <c r="J987" s="3">
        <v>44385.0</v>
      </c>
      <c r="K987" s="1" t="s">
        <v>215</v>
      </c>
      <c r="L987" s="1" t="s">
        <v>160</v>
      </c>
      <c r="M987" s="1" t="s">
        <v>216</v>
      </c>
      <c r="N987" s="1" t="s">
        <v>131</v>
      </c>
      <c r="P987" s="1"/>
      <c r="R987" s="1" t="s">
        <v>137</v>
      </c>
      <c r="S987" s="1" t="s">
        <v>137</v>
      </c>
      <c r="T987" s="1" t="s">
        <v>47</v>
      </c>
      <c r="U987" s="1" t="s">
        <v>4301</v>
      </c>
    </row>
    <row r="988">
      <c r="A988" s="1" t="s">
        <v>8671</v>
      </c>
      <c r="B988" s="1" t="s">
        <v>4293</v>
      </c>
      <c r="C988" s="1" t="s">
        <v>15115</v>
      </c>
      <c r="D988" s="1" t="s">
        <v>152</v>
      </c>
      <c r="E988" s="1" t="s">
        <v>292</v>
      </c>
      <c r="F988" s="1" t="s">
        <v>468</v>
      </c>
      <c r="G988" s="1" t="s">
        <v>1758</v>
      </c>
      <c r="H988" s="3">
        <v>44949.0</v>
      </c>
      <c r="I988" s="3">
        <v>45069.0</v>
      </c>
      <c r="J988" s="3">
        <v>45069.0</v>
      </c>
      <c r="K988" s="1" t="s">
        <v>215</v>
      </c>
      <c r="L988" s="1" t="s">
        <v>160</v>
      </c>
      <c r="M988" s="1" t="s">
        <v>216</v>
      </c>
      <c r="N988" s="1" t="s">
        <v>131</v>
      </c>
      <c r="P988" s="1"/>
      <c r="R988" s="1" t="s">
        <v>137</v>
      </c>
      <c r="S988" s="1" t="s">
        <v>137</v>
      </c>
      <c r="T988" s="1" t="s">
        <v>47</v>
      </c>
      <c r="U988" s="1" t="s">
        <v>4301</v>
      </c>
    </row>
    <row r="989">
      <c r="A989" s="1" t="s">
        <v>6397</v>
      </c>
      <c r="B989" s="1" t="s">
        <v>4293</v>
      </c>
      <c r="C989" s="1" t="s">
        <v>15118</v>
      </c>
      <c r="D989" s="1" t="s">
        <v>754</v>
      </c>
      <c r="E989" s="1" t="s">
        <v>175</v>
      </c>
      <c r="F989" s="1" t="s">
        <v>177</v>
      </c>
      <c r="G989" s="1" t="s">
        <v>483</v>
      </c>
      <c r="H989" s="3">
        <v>43009.0</v>
      </c>
      <c r="I989" s="3">
        <v>43070.0</v>
      </c>
      <c r="J989" s="3">
        <v>43070.0</v>
      </c>
      <c r="K989" s="1" t="s">
        <v>215</v>
      </c>
      <c r="L989" s="1" t="s">
        <v>160</v>
      </c>
      <c r="M989" s="1" t="s">
        <v>216</v>
      </c>
      <c r="N989" s="1" t="s">
        <v>131</v>
      </c>
      <c r="P989" s="1"/>
      <c r="R989" s="1" t="s">
        <v>137</v>
      </c>
      <c r="S989" s="1" t="s">
        <v>137</v>
      </c>
      <c r="T989" s="1" t="s">
        <v>47</v>
      </c>
      <c r="U989" s="1" t="s">
        <v>4301</v>
      </c>
    </row>
    <row r="990">
      <c r="A990" s="1" t="s">
        <v>8095</v>
      </c>
      <c r="B990" s="1" t="s">
        <v>4293</v>
      </c>
      <c r="C990" s="1" t="s">
        <v>15121</v>
      </c>
      <c r="D990" s="1" t="s">
        <v>1477</v>
      </c>
      <c r="E990" s="1" t="s">
        <v>175</v>
      </c>
      <c r="F990" s="1" t="s">
        <v>177</v>
      </c>
      <c r="G990" s="1" t="s">
        <v>1778</v>
      </c>
      <c r="H990" s="3">
        <v>45303.0</v>
      </c>
      <c r="I990" s="3">
        <v>45417.0</v>
      </c>
      <c r="J990" s="3">
        <v>45417.0</v>
      </c>
      <c r="K990" s="1" t="s">
        <v>215</v>
      </c>
      <c r="L990" s="1" t="s">
        <v>160</v>
      </c>
      <c r="M990" s="1" t="s">
        <v>216</v>
      </c>
      <c r="N990" s="1" t="s">
        <v>131</v>
      </c>
      <c r="P990" s="1"/>
      <c r="R990" s="1" t="s">
        <v>137</v>
      </c>
      <c r="S990" s="1" t="s">
        <v>137</v>
      </c>
      <c r="T990" s="1" t="s">
        <v>47</v>
      </c>
      <c r="U990" s="1" t="s">
        <v>4301</v>
      </c>
    </row>
    <row r="991">
      <c r="A991" s="1" t="s">
        <v>2079</v>
      </c>
      <c r="B991" s="1" t="s">
        <v>116</v>
      </c>
      <c r="C991" s="1" t="s">
        <v>4138</v>
      </c>
      <c r="D991" s="1" t="s">
        <v>417</v>
      </c>
      <c r="E991" s="1" t="s">
        <v>292</v>
      </c>
      <c r="F991" s="1" t="s">
        <v>576</v>
      </c>
      <c r="G991" s="1" t="s">
        <v>1088</v>
      </c>
      <c r="H991" s="3">
        <v>46101.0</v>
      </c>
      <c r="I991" s="3">
        <v>46251.0</v>
      </c>
      <c r="J991" s="3">
        <v>46251.0</v>
      </c>
      <c r="K991" s="1" t="s">
        <v>124</v>
      </c>
      <c r="L991" s="1" t="s">
        <v>160</v>
      </c>
      <c r="M991" s="1" t="s">
        <v>216</v>
      </c>
      <c r="N991" s="1" t="s">
        <v>131</v>
      </c>
      <c r="P991" s="1" t="s">
        <v>1262</v>
      </c>
      <c r="R991" s="1" t="s">
        <v>137</v>
      </c>
      <c r="S991" s="1" t="s">
        <v>137</v>
      </c>
      <c r="T991" s="1" t="s">
        <v>47</v>
      </c>
      <c r="U991" s="1" t="s">
        <v>3528</v>
      </c>
    </row>
    <row r="992">
      <c r="A992" s="1" t="s">
        <v>8466</v>
      </c>
      <c r="B992" s="1" t="s">
        <v>4293</v>
      </c>
      <c r="C992" s="1" t="s">
        <v>15124</v>
      </c>
      <c r="D992" s="1" t="s">
        <v>172</v>
      </c>
      <c r="E992" s="1" t="s">
        <v>12195</v>
      </c>
      <c r="F992" s="1" t="s">
        <v>12195</v>
      </c>
      <c r="G992" s="1" t="s">
        <v>12195</v>
      </c>
      <c r="H992" s="3">
        <v>45196.0</v>
      </c>
      <c r="I992" s="3">
        <v>45320.0</v>
      </c>
      <c r="J992" s="3">
        <v>45320.0</v>
      </c>
      <c r="K992" s="1" t="s">
        <v>215</v>
      </c>
      <c r="L992" s="1" t="s">
        <v>160</v>
      </c>
      <c r="M992" s="1" t="s">
        <v>216</v>
      </c>
      <c r="N992" s="1" t="s">
        <v>131</v>
      </c>
      <c r="R992" s="1" t="s">
        <v>137</v>
      </c>
      <c r="S992" s="1" t="s">
        <v>137</v>
      </c>
      <c r="T992" s="1" t="s">
        <v>47</v>
      </c>
      <c r="U992" s="1" t="s">
        <v>4301</v>
      </c>
    </row>
    <row r="993">
      <c r="A993" s="1" t="s">
        <v>6766</v>
      </c>
      <c r="B993" s="1" t="s">
        <v>4293</v>
      </c>
      <c r="C993" s="1" t="s">
        <v>15127</v>
      </c>
      <c r="D993" s="1" t="s">
        <v>313</v>
      </c>
      <c r="E993" s="1" t="s">
        <v>175</v>
      </c>
      <c r="F993" s="1" t="s">
        <v>763</v>
      </c>
      <c r="G993" s="1" t="s">
        <v>1825</v>
      </c>
      <c r="H993" s="3">
        <v>44378.0</v>
      </c>
      <c r="I993" s="3">
        <v>44378.0</v>
      </c>
      <c r="J993" s="3">
        <v>44378.0</v>
      </c>
      <c r="K993" s="1" t="s">
        <v>215</v>
      </c>
      <c r="L993" s="1" t="s">
        <v>160</v>
      </c>
      <c r="M993" s="1" t="s">
        <v>216</v>
      </c>
      <c r="N993" s="1" t="s">
        <v>131</v>
      </c>
      <c r="R993" s="1" t="s">
        <v>137</v>
      </c>
      <c r="S993" s="1" t="s">
        <v>137</v>
      </c>
      <c r="T993" s="1" t="s">
        <v>47</v>
      </c>
      <c r="U993" s="1" t="s">
        <v>4301</v>
      </c>
    </row>
    <row r="994">
      <c r="A994" s="1" t="s">
        <v>13983</v>
      </c>
      <c r="B994" s="1" t="s">
        <v>4293</v>
      </c>
      <c r="C994" s="1" t="s">
        <v>15131</v>
      </c>
      <c r="D994" s="1" t="s">
        <v>650</v>
      </c>
      <c r="E994" s="1" t="s">
        <v>292</v>
      </c>
      <c r="F994" s="1" t="s">
        <v>576</v>
      </c>
      <c r="G994" s="1" t="s">
        <v>835</v>
      </c>
      <c r="H994" s="3">
        <v>45848.0</v>
      </c>
      <c r="I994" s="3"/>
      <c r="J994" s="3"/>
      <c r="K994" s="1" t="s">
        <v>124</v>
      </c>
      <c r="L994" s="1" t="s">
        <v>160</v>
      </c>
      <c r="M994" s="1" t="s">
        <v>253</v>
      </c>
      <c r="N994" s="1" t="s">
        <v>131</v>
      </c>
      <c r="P994" s="1"/>
      <c r="R994" s="1" t="s">
        <v>137</v>
      </c>
      <c r="S994" s="1" t="s">
        <v>137</v>
      </c>
      <c r="T994" s="1" t="s">
        <v>47</v>
      </c>
      <c r="U994" s="1" t="s">
        <v>4301</v>
      </c>
    </row>
    <row r="995">
      <c r="A995" s="1" t="s">
        <v>10391</v>
      </c>
      <c r="B995" s="1" t="s">
        <v>4293</v>
      </c>
      <c r="C995" s="1" t="s">
        <v>15132</v>
      </c>
      <c r="D995" s="1" t="s">
        <v>388</v>
      </c>
      <c r="E995" s="1" t="s">
        <v>175</v>
      </c>
      <c r="F995" s="1" t="s">
        <v>763</v>
      </c>
      <c r="G995" s="1" t="s">
        <v>764</v>
      </c>
      <c r="H995" s="3">
        <v>44560.0</v>
      </c>
      <c r="I995" s="3">
        <v>44748.0</v>
      </c>
      <c r="J995" s="3">
        <v>44748.0</v>
      </c>
      <c r="K995" s="1" t="s">
        <v>215</v>
      </c>
      <c r="L995" s="1" t="s">
        <v>160</v>
      </c>
      <c r="M995" s="1" t="s">
        <v>216</v>
      </c>
      <c r="N995" s="1" t="s">
        <v>131</v>
      </c>
      <c r="P995" s="1"/>
      <c r="R995" s="1" t="s">
        <v>137</v>
      </c>
      <c r="S995" s="1" t="s">
        <v>137</v>
      </c>
      <c r="T995" s="1" t="s">
        <v>47</v>
      </c>
      <c r="U995" s="1" t="s">
        <v>4301</v>
      </c>
    </row>
    <row r="996">
      <c r="A996" s="1" t="s">
        <v>6370</v>
      </c>
      <c r="B996" s="1" t="s">
        <v>4293</v>
      </c>
      <c r="C996" s="1" t="s">
        <v>15135</v>
      </c>
      <c r="D996" s="1" t="s">
        <v>1932</v>
      </c>
      <c r="E996" s="1" t="s">
        <v>175</v>
      </c>
      <c r="F996" s="1" t="s">
        <v>245</v>
      </c>
      <c r="G996" s="1" t="s">
        <v>4968</v>
      </c>
      <c r="H996" s="3">
        <v>44600.0</v>
      </c>
      <c r="I996" s="3">
        <v>44774.0</v>
      </c>
      <c r="J996" s="3">
        <v>44774.0</v>
      </c>
      <c r="K996" s="1" t="s">
        <v>215</v>
      </c>
      <c r="L996" s="1" t="s">
        <v>160</v>
      </c>
      <c r="M996" s="1" t="s">
        <v>216</v>
      </c>
      <c r="N996" s="1" t="s">
        <v>131</v>
      </c>
      <c r="P996" s="1"/>
      <c r="R996" s="1" t="s">
        <v>137</v>
      </c>
      <c r="S996" s="1" t="s">
        <v>137</v>
      </c>
      <c r="T996" s="1" t="s">
        <v>47</v>
      </c>
      <c r="U996" s="1" t="s">
        <v>4301</v>
      </c>
    </row>
    <row r="997">
      <c r="A997" s="1" t="s">
        <v>9158</v>
      </c>
      <c r="B997" s="1" t="s">
        <v>4293</v>
      </c>
      <c r="C997" s="1" t="s">
        <v>15138</v>
      </c>
      <c r="D997" s="1" t="s">
        <v>777</v>
      </c>
      <c r="E997" s="1" t="s">
        <v>292</v>
      </c>
      <c r="F997" s="1" t="s">
        <v>576</v>
      </c>
      <c r="G997" s="1" t="s">
        <v>2297</v>
      </c>
      <c r="H997" s="3">
        <v>44824.0</v>
      </c>
      <c r="I997" s="3">
        <v>45102.0</v>
      </c>
      <c r="J997" s="3">
        <v>45102.0</v>
      </c>
      <c r="K997" s="1" t="s">
        <v>215</v>
      </c>
      <c r="L997" s="1" t="s">
        <v>160</v>
      </c>
      <c r="M997" s="1" t="s">
        <v>216</v>
      </c>
      <c r="N997" s="1" t="s">
        <v>131</v>
      </c>
      <c r="P997" s="1"/>
      <c r="R997" s="1" t="s">
        <v>137</v>
      </c>
      <c r="S997" s="1" t="s">
        <v>137</v>
      </c>
      <c r="T997" s="1" t="s">
        <v>47</v>
      </c>
      <c r="U997" s="1" t="s">
        <v>4301</v>
      </c>
    </row>
    <row r="998">
      <c r="A998" s="1" t="s">
        <v>12672</v>
      </c>
      <c r="B998" s="1" t="s">
        <v>4293</v>
      </c>
      <c r="C998" s="1" t="s">
        <v>15140</v>
      </c>
      <c r="D998" s="1" t="s">
        <v>1823</v>
      </c>
      <c r="E998" s="1" t="s">
        <v>175</v>
      </c>
      <c r="F998" s="1" t="s">
        <v>763</v>
      </c>
      <c r="G998" s="1" t="s">
        <v>1825</v>
      </c>
      <c r="H998" s="3">
        <v>44560.0</v>
      </c>
      <c r="I998" s="3">
        <v>43847.0</v>
      </c>
      <c r="J998" s="3">
        <v>43847.0</v>
      </c>
      <c r="K998" s="1" t="s">
        <v>215</v>
      </c>
      <c r="L998" s="1" t="s">
        <v>160</v>
      </c>
      <c r="M998" s="1" t="s">
        <v>216</v>
      </c>
      <c r="N998" s="1" t="s">
        <v>131</v>
      </c>
      <c r="R998" s="1" t="s">
        <v>137</v>
      </c>
      <c r="S998" s="1" t="s">
        <v>137</v>
      </c>
      <c r="T998" s="1" t="s">
        <v>47</v>
      </c>
      <c r="U998" s="1" t="s">
        <v>4301</v>
      </c>
    </row>
    <row r="999">
      <c r="A999" s="1" t="s">
        <v>12094</v>
      </c>
      <c r="B999" s="1" t="s">
        <v>4293</v>
      </c>
      <c r="C999" s="1" t="s">
        <v>15142</v>
      </c>
      <c r="D999" s="1" t="s">
        <v>1823</v>
      </c>
      <c r="E999" s="1" t="s">
        <v>292</v>
      </c>
      <c r="F999" s="1" t="s">
        <v>962</v>
      </c>
      <c r="G999" s="1" t="s">
        <v>4470</v>
      </c>
      <c r="H999" s="3">
        <v>45258.0</v>
      </c>
      <c r="I999" s="3">
        <v>45462.0</v>
      </c>
      <c r="J999" s="3">
        <v>45462.0</v>
      </c>
      <c r="K999" s="1" t="s">
        <v>215</v>
      </c>
      <c r="L999" s="1" t="s">
        <v>160</v>
      </c>
      <c r="M999" s="1" t="s">
        <v>216</v>
      </c>
      <c r="N999" s="1" t="s">
        <v>131</v>
      </c>
      <c r="P999" s="1"/>
      <c r="R999" s="1" t="s">
        <v>137</v>
      </c>
      <c r="S999" s="1" t="s">
        <v>137</v>
      </c>
      <c r="T999" s="1" t="s">
        <v>47</v>
      </c>
      <c r="U999" s="1" t="s">
        <v>4301</v>
      </c>
    </row>
    <row r="1000">
      <c r="A1000" s="1" t="s">
        <v>10061</v>
      </c>
      <c r="B1000" s="1" t="s">
        <v>4293</v>
      </c>
      <c r="C1000" s="1" t="s">
        <v>15145</v>
      </c>
      <c r="D1000" s="1" t="s">
        <v>518</v>
      </c>
      <c r="E1000" s="1" t="s">
        <v>520</v>
      </c>
      <c r="F1000" s="1" t="s">
        <v>522</v>
      </c>
      <c r="G1000" s="1" t="s">
        <v>4985</v>
      </c>
      <c r="H1000" s="3">
        <v>45267.0</v>
      </c>
      <c r="I1000" s="3">
        <v>45503.0</v>
      </c>
      <c r="J1000" s="3">
        <v>45503.0</v>
      </c>
      <c r="K1000" s="1" t="s">
        <v>215</v>
      </c>
      <c r="L1000" s="1" t="s">
        <v>160</v>
      </c>
      <c r="M1000" s="1" t="s">
        <v>216</v>
      </c>
      <c r="N1000" s="1" t="s">
        <v>131</v>
      </c>
      <c r="P1000" s="1"/>
      <c r="R1000" s="1" t="s">
        <v>137</v>
      </c>
      <c r="S1000" s="1" t="s">
        <v>137</v>
      </c>
      <c r="T1000" s="1" t="s">
        <v>47</v>
      </c>
      <c r="U1000" s="1" t="s">
        <v>4301</v>
      </c>
    </row>
    <row r="1001">
      <c r="A1001" s="1" t="s">
        <v>7672</v>
      </c>
      <c r="B1001" s="1" t="s">
        <v>4293</v>
      </c>
      <c r="C1001" s="1" t="s">
        <v>15149</v>
      </c>
      <c r="D1001" s="1" t="s">
        <v>518</v>
      </c>
      <c r="E1001" s="1" t="s">
        <v>520</v>
      </c>
      <c r="F1001" s="1" t="s">
        <v>522</v>
      </c>
      <c r="G1001" s="1" t="s">
        <v>6067</v>
      </c>
      <c r="H1001" s="3">
        <v>45267.0</v>
      </c>
      <c r="I1001" s="3">
        <v>45503.0</v>
      </c>
      <c r="J1001" s="3">
        <v>45503.0</v>
      </c>
      <c r="K1001" s="1" t="s">
        <v>215</v>
      </c>
      <c r="L1001" s="1" t="s">
        <v>160</v>
      </c>
      <c r="M1001" s="1" t="s">
        <v>216</v>
      </c>
      <c r="N1001" s="1" t="s">
        <v>131</v>
      </c>
      <c r="P1001" s="1"/>
      <c r="R1001" s="1" t="s">
        <v>137</v>
      </c>
      <c r="S1001" s="1" t="s">
        <v>137</v>
      </c>
      <c r="T1001" s="1" t="s">
        <v>47</v>
      </c>
      <c r="U1001" s="1" t="s">
        <v>4301</v>
      </c>
    </row>
    <row r="1002">
      <c r="A1002" s="1" t="s">
        <v>7597</v>
      </c>
      <c r="B1002" s="1" t="s">
        <v>4293</v>
      </c>
      <c r="C1002" s="1" t="s">
        <v>15151</v>
      </c>
      <c r="D1002" s="1" t="s">
        <v>518</v>
      </c>
      <c r="E1002" s="1" t="s">
        <v>520</v>
      </c>
      <c r="F1002" s="1" t="s">
        <v>522</v>
      </c>
      <c r="G1002" s="1" t="s">
        <v>6067</v>
      </c>
      <c r="H1002" s="3">
        <v>44362.0</v>
      </c>
      <c r="I1002" s="3">
        <v>44365.0</v>
      </c>
      <c r="J1002" s="3">
        <v>44365.0</v>
      </c>
      <c r="K1002" s="1" t="s">
        <v>215</v>
      </c>
      <c r="L1002" s="1" t="s">
        <v>160</v>
      </c>
      <c r="M1002" s="1" t="s">
        <v>216</v>
      </c>
      <c r="N1002" s="1" t="s">
        <v>131</v>
      </c>
      <c r="P1002" s="1"/>
      <c r="R1002" s="1" t="s">
        <v>137</v>
      </c>
      <c r="S1002" s="1" t="s">
        <v>137</v>
      </c>
      <c r="T1002" s="1" t="s">
        <v>47</v>
      </c>
      <c r="U1002" s="1" t="s">
        <v>4301</v>
      </c>
    </row>
    <row r="1003">
      <c r="A1003" s="1" t="s">
        <v>12738</v>
      </c>
      <c r="B1003" s="1" t="s">
        <v>4293</v>
      </c>
      <c r="C1003" s="1" t="s">
        <v>15154</v>
      </c>
      <c r="D1003" s="1" t="s">
        <v>1477</v>
      </c>
      <c r="E1003" s="1" t="s">
        <v>292</v>
      </c>
      <c r="F1003" s="1" t="s">
        <v>962</v>
      </c>
      <c r="G1003" s="1" t="s">
        <v>2607</v>
      </c>
      <c r="H1003" s="3">
        <v>45930.0</v>
      </c>
      <c r="I1003" s="3">
        <v>46076.0</v>
      </c>
      <c r="J1003" s="3">
        <v>46076.0</v>
      </c>
      <c r="K1003" s="1" t="s">
        <v>215</v>
      </c>
      <c r="L1003" s="1" t="s">
        <v>160</v>
      </c>
      <c r="M1003" s="1" t="s">
        <v>216</v>
      </c>
      <c r="N1003" s="1" t="s">
        <v>131</v>
      </c>
      <c r="P1003" s="1"/>
      <c r="R1003" s="1" t="s">
        <v>137</v>
      </c>
      <c r="S1003" s="1" t="s">
        <v>137</v>
      </c>
      <c r="T1003" s="1" t="s">
        <v>47</v>
      </c>
      <c r="U1003" s="1" t="s">
        <v>4301</v>
      </c>
    </row>
    <row r="1004">
      <c r="A1004" s="1" t="s">
        <v>10588</v>
      </c>
      <c r="B1004" s="1" t="s">
        <v>4293</v>
      </c>
      <c r="C1004" s="1" t="s">
        <v>15156</v>
      </c>
      <c r="D1004" s="1" t="s">
        <v>273</v>
      </c>
      <c r="E1004" s="1" t="s">
        <v>330</v>
      </c>
      <c r="F1004" s="1" t="s">
        <v>663</v>
      </c>
      <c r="G1004" s="1" t="s">
        <v>2835</v>
      </c>
      <c r="H1004" s="3">
        <v>44500.0</v>
      </c>
      <c r="I1004" s="3">
        <v>44499.0</v>
      </c>
      <c r="J1004" s="3">
        <v>44499.0</v>
      </c>
      <c r="K1004" s="1" t="s">
        <v>215</v>
      </c>
      <c r="L1004" s="1" t="s">
        <v>160</v>
      </c>
      <c r="M1004" s="1" t="s">
        <v>216</v>
      </c>
      <c r="N1004" s="1" t="s">
        <v>131</v>
      </c>
      <c r="P1004" s="1"/>
      <c r="R1004" s="1" t="s">
        <v>137</v>
      </c>
      <c r="S1004" s="1" t="s">
        <v>137</v>
      </c>
      <c r="T1004" s="1" t="s">
        <v>47</v>
      </c>
      <c r="U1004" s="1" t="s">
        <v>4301</v>
      </c>
    </row>
    <row r="1005">
      <c r="A1005" s="1" t="s">
        <v>4163</v>
      </c>
      <c r="B1005" s="1" t="s">
        <v>116</v>
      </c>
      <c r="C1005" s="1" t="s">
        <v>4164</v>
      </c>
      <c r="D1005" s="1" t="s">
        <v>960</v>
      </c>
      <c r="E1005" s="1" t="s">
        <v>438</v>
      </c>
      <c r="F1005" s="1" t="s">
        <v>440</v>
      </c>
      <c r="G1005" s="1" t="s">
        <v>441</v>
      </c>
      <c r="H1005" s="3">
        <v>46129.0</v>
      </c>
      <c r="I1005" s="3"/>
      <c r="J1005" s="3"/>
      <c r="K1005" s="1" t="s">
        <v>124</v>
      </c>
      <c r="L1005" s="1" t="s">
        <v>98</v>
      </c>
      <c r="M1005" s="1" t="s">
        <v>162</v>
      </c>
      <c r="N1005" s="1" t="s">
        <v>131</v>
      </c>
      <c r="P1005" s="1" t="s">
        <v>485</v>
      </c>
      <c r="R1005" s="1" t="s">
        <v>137</v>
      </c>
      <c r="S1005" s="1" t="s">
        <v>137</v>
      </c>
      <c r="T1005" s="1" t="s">
        <v>47</v>
      </c>
      <c r="U1005" s="1" t="s">
        <v>15161</v>
      </c>
    </row>
    <row r="1006">
      <c r="A1006" s="1" t="s">
        <v>9147</v>
      </c>
      <c r="B1006" s="1" t="s">
        <v>4293</v>
      </c>
      <c r="C1006" s="1" t="s">
        <v>15162</v>
      </c>
      <c r="D1006" s="1" t="s">
        <v>1477</v>
      </c>
      <c r="E1006" s="1" t="s">
        <v>153</v>
      </c>
      <c r="F1006" s="1" t="s">
        <v>274</v>
      </c>
      <c r="G1006" s="1"/>
      <c r="H1006" s="3">
        <v>45776.0</v>
      </c>
      <c r="I1006" s="3">
        <v>45911.0</v>
      </c>
      <c r="J1006" s="3">
        <v>45911.0</v>
      </c>
      <c r="K1006" s="1" t="s">
        <v>215</v>
      </c>
      <c r="L1006" s="1" t="s">
        <v>160</v>
      </c>
      <c r="M1006" s="1" t="s">
        <v>216</v>
      </c>
      <c r="N1006" s="1" t="s">
        <v>131</v>
      </c>
      <c r="P1006" s="1"/>
      <c r="R1006" s="1" t="s">
        <v>137</v>
      </c>
      <c r="S1006" s="1" t="s">
        <v>137</v>
      </c>
      <c r="T1006" s="1" t="s">
        <v>47</v>
      </c>
      <c r="U1006" s="1" t="s">
        <v>4301</v>
      </c>
    </row>
    <row r="1007">
      <c r="A1007" s="1" t="s">
        <v>2507</v>
      </c>
      <c r="B1007" s="1" t="s">
        <v>116</v>
      </c>
      <c r="C1007" s="1" t="s">
        <v>4166</v>
      </c>
      <c r="D1007" s="1" t="s">
        <v>417</v>
      </c>
      <c r="E1007" s="1" t="s">
        <v>292</v>
      </c>
      <c r="F1007" s="1" t="s">
        <v>576</v>
      </c>
      <c r="G1007" s="1" t="s">
        <v>2859</v>
      </c>
      <c r="H1007" s="3">
        <v>46154.0</v>
      </c>
      <c r="I1007" s="3">
        <v>46304.0</v>
      </c>
      <c r="J1007" s="3"/>
      <c r="K1007" s="1" t="s">
        <v>124</v>
      </c>
      <c r="L1007" s="1" t="s">
        <v>160</v>
      </c>
      <c r="M1007" s="1" t="s">
        <v>162</v>
      </c>
      <c r="N1007" s="1" t="s">
        <v>131</v>
      </c>
      <c r="R1007" s="1" t="s">
        <v>665</v>
      </c>
      <c r="S1007" s="1" t="s">
        <v>665</v>
      </c>
      <c r="T1007" s="1" t="s">
        <v>666</v>
      </c>
      <c r="U1007" s="1" t="s">
        <v>4213</v>
      </c>
    </row>
    <row r="1008">
      <c r="A1008" s="1" t="s">
        <v>4174</v>
      </c>
      <c r="B1008" s="1" t="s">
        <v>116</v>
      </c>
      <c r="C1008" s="1" t="s">
        <v>4166</v>
      </c>
      <c r="D1008" s="1" t="s">
        <v>417</v>
      </c>
      <c r="E1008" s="1" t="s">
        <v>292</v>
      </c>
      <c r="F1008" s="1" t="s">
        <v>576</v>
      </c>
      <c r="G1008" s="1" t="s">
        <v>2859</v>
      </c>
      <c r="H1008" s="3">
        <v>46129.0</v>
      </c>
      <c r="I1008" s="3"/>
      <c r="J1008" s="3"/>
      <c r="K1008" s="1" t="s">
        <v>124</v>
      </c>
      <c r="L1008" s="1" t="s">
        <v>98</v>
      </c>
      <c r="M1008" s="1" t="s">
        <v>162</v>
      </c>
      <c r="N1008" s="1" t="s">
        <v>131</v>
      </c>
      <c r="P1008" s="1" t="s">
        <v>485</v>
      </c>
      <c r="R1008" s="1" t="s">
        <v>137</v>
      </c>
      <c r="S1008" s="1" t="s">
        <v>137</v>
      </c>
      <c r="T1008" s="1" t="s">
        <v>47</v>
      </c>
      <c r="U1008" s="1"/>
    </row>
    <row r="1009">
      <c r="A1009" s="1" t="s">
        <v>11958</v>
      </c>
      <c r="B1009" s="1" t="s">
        <v>4293</v>
      </c>
      <c r="C1009" s="1" t="s">
        <v>15167</v>
      </c>
      <c r="D1009" s="1" t="s">
        <v>313</v>
      </c>
      <c r="E1009" s="1" t="s">
        <v>175</v>
      </c>
      <c r="F1009" s="1" t="s">
        <v>1116</v>
      </c>
      <c r="G1009" s="1" t="s">
        <v>11367</v>
      </c>
      <c r="H1009" s="3">
        <v>44105.0</v>
      </c>
      <c r="I1009" s="3">
        <v>44105.0</v>
      </c>
      <c r="J1009" s="3">
        <v>44105.0</v>
      </c>
      <c r="K1009" s="1" t="s">
        <v>215</v>
      </c>
      <c r="L1009" s="1" t="s">
        <v>160</v>
      </c>
      <c r="M1009" s="1" t="s">
        <v>216</v>
      </c>
      <c r="N1009" s="1" t="s">
        <v>131</v>
      </c>
      <c r="R1009" s="1" t="s">
        <v>137</v>
      </c>
      <c r="S1009" s="1" t="s">
        <v>137</v>
      </c>
      <c r="T1009" s="1" t="s">
        <v>47</v>
      </c>
      <c r="U1009" s="1" t="s">
        <v>4301</v>
      </c>
    </row>
    <row r="1010">
      <c r="A1010" s="1" t="s">
        <v>9862</v>
      </c>
      <c r="B1010" s="1" t="s">
        <v>4293</v>
      </c>
      <c r="C1010" s="1" t="s">
        <v>15169</v>
      </c>
      <c r="D1010" s="1" t="s">
        <v>1823</v>
      </c>
      <c r="E1010" s="1" t="s">
        <v>292</v>
      </c>
      <c r="F1010" s="1" t="s">
        <v>576</v>
      </c>
      <c r="G1010" s="1" t="s">
        <v>1088</v>
      </c>
      <c r="H1010" s="3">
        <v>45282.0</v>
      </c>
      <c r="I1010" s="3">
        <v>45399.0</v>
      </c>
      <c r="J1010" s="3">
        <v>45399.0</v>
      </c>
      <c r="K1010" s="1" t="s">
        <v>215</v>
      </c>
      <c r="L1010" s="1" t="s">
        <v>160</v>
      </c>
      <c r="M1010" s="1" t="s">
        <v>216</v>
      </c>
      <c r="N1010" s="1" t="s">
        <v>131</v>
      </c>
      <c r="R1010" s="1" t="s">
        <v>137</v>
      </c>
      <c r="S1010" s="1" t="s">
        <v>137</v>
      </c>
      <c r="T1010" s="1" t="s">
        <v>47</v>
      </c>
      <c r="U1010" s="1" t="s">
        <v>4301</v>
      </c>
    </row>
    <row r="1011">
      <c r="A1011" s="1" t="s">
        <v>10397</v>
      </c>
      <c r="B1011" s="1" t="s">
        <v>4293</v>
      </c>
      <c r="C1011" s="1" t="s">
        <v>15171</v>
      </c>
      <c r="D1011" s="1" t="s">
        <v>194</v>
      </c>
      <c r="E1011" s="1" t="s">
        <v>175</v>
      </c>
      <c r="F1011" s="1" t="s">
        <v>763</v>
      </c>
      <c r="G1011" s="1" t="s">
        <v>764</v>
      </c>
      <c r="H1011" s="3">
        <v>44476.0</v>
      </c>
      <c r="I1011" s="3">
        <v>44476.0</v>
      </c>
      <c r="J1011" s="3">
        <v>44476.0</v>
      </c>
      <c r="K1011" s="1" t="s">
        <v>215</v>
      </c>
      <c r="L1011" s="1" t="s">
        <v>160</v>
      </c>
      <c r="M1011" s="1" t="s">
        <v>216</v>
      </c>
      <c r="N1011" s="1" t="s">
        <v>131</v>
      </c>
      <c r="R1011" s="1" t="s">
        <v>137</v>
      </c>
      <c r="S1011" s="1" t="s">
        <v>137</v>
      </c>
      <c r="T1011" s="1" t="s">
        <v>47</v>
      </c>
      <c r="U1011" s="1" t="s">
        <v>4301</v>
      </c>
    </row>
    <row r="1012">
      <c r="A1012" s="1" t="s">
        <v>7725</v>
      </c>
      <c r="B1012" s="1" t="s">
        <v>4293</v>
      </c>
      <c r="C1012" s="1" t="s">
        <v>15174</v>
      </c>
      <c r="D1012" s="1"/>
      <c r="E1012" s="1"/>
      <c r="F1012" s="1"/>
      <c r="H1012" s="3">
        <v>45156.0</v>
      </c>
      <c r="I1012" s="3">
        <v>45202.0</v>
      </c>
      <c r="J1012" s="3">
        <v>45202.0</v>
      </c>
      <c r="K1012" s="1" t="s">
        <v>215</v>
      </c>
      <c r="L1012" s="1" t="s">
        <v>160</v>
      </c>
      <c r="M1012" s="1" t="s">
        <v>216</v>
      </c>
      <c r="N1012" s="1" t="s">
        <v>131</v>
      </c>
      <c r="R1012" s="1" t="s">
        <v>137</v>
      </c>
      <c r="S1012" s="1" t="s">
        <v>137</v>
      </c>
      <c r="T1012" s="1" t="s">
        <v>47</v>
      </c>
      <c r="U1012" s="1" t="s">
        <v>4301</v>
      </c>
    </row>
    <row r="1013">
      <c r="A1013" s="1" t="s">
        <v>8000</v>
      </c>
      <c r="B1013" s="1" t="s">
        <v>4293</v>
      </c>
      <c r="C1013" s="1" t="s">
        <v>15176</v>
      </c>
      <c r="D1013" s="1" t="s">
        <v>313</v>
      </c>
      <c r="E1013" s="1" t="s">
        <v>438</v>
      </c>
      <c r="F1013" s="1" t="s">
        <v>3240</v>
      </c>
      <c r="H1013" s="3">
        <v>45288.0</v>
      </c>
      <c r="I1013" s="3">
        <v>45502.0</v>
      </c>
      <c r="J1013" s="3">
        <v>45502.0</v>
      </c>
      <c r="K1013" s="1" t="s">
        <v>215</v>
      </c>
      <c r="L1013" s="1" t="s">
        <v>160</v>
      </c>
      <c r="M1013" s="1" t="s">
        <v>216</v>
      </c>
      <c r="N1013" s="1" t="s">
        <v>131</v>
      </c>
      <c r="R1013" s="1" t="s">
        <v>137</v>
      </c>
      <c r="S1013" s="1" t="s">
        <v>137</v>
      </c>
      <c r="T1013" s="1" t="s">
        <v>47</v>
      </c>
      <c r="U1013" s="1" t="s">
        <v>4301</v>
      </c>
    </row>
  </sheetData>
  <hyperlinks>
    <hyperlink r:id="rId2" ref="C1"/>
  </hyperlinks>
  <drawing r:id="rId3"/>
  <legacy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63"/>
    <col customWidth="1" min="4" max="4" width="32.88"/>
  </cols>
  <sheetData>
    <row r="1">
      <c r="A1" s="2" t="s">
        <v>1</v>
      </c>
      <c r="B1" s="2" t="s">
        <v>4481</v>
      </c>
      <c r="C1" s="5" t="s">
        <v>4485</v>
      </c>
      <c r="D1" s="2" t="s">
        <v>4506</v>
      </c>
      <c r="E1" s="2" t="s">
        <v>4511</v>
      </c>
      <c r="F1" s="2" t="s">
        <v>4516</v>
      </c>
      <c r="G1" s="2" t="s">
        <v>4518</v>
      </c>
      <c r="H1" s="2" t="s">
        <v>4521</v>
      </c>
      <c r="I1" s="2" t="s">
        <v>4523</v>
      </c>
      <c r="J1" s="2" t="s">
        <v>4527</v>
      </c>
    </row>
    <row r="2">
      <c r="A2" s="1" t="s">
        <v>4530</v>
      </c>
      <c r="B2" s="1" t="s">
        <v>4533</v>
      </c>
      <c r="C2" s="1" t="s">
        <v>4536</v>
      </c>
      <c r="D2" s="1"/>
      <c r="E2" s="1" t="s">
        <v>4539</v>
      </c>
      <c r="G2" s="4"/>
      <c r="H2" s="1" t="s">
        <v>4545</v>
      </c>
      <c r="I2" s="1" t="s">
        <v>4548</v>
      </c>
      <c r="J2" s="1" t="s">
        <v>4549</v>
      </c>
    </row>
    <row r="3">
      <c r="A3" s="1" t="s">
        <v>4552</v>
      </c>
      <c r="B3" s="1" t="s">
        <v>4533</v>
      </c>
      <c r="C3" s="1" t="s">
        <v>4555</v>
      </c>
      <c r="D3" s="1"/>
      <c r="E3" s="1" t="s">
        <v>4556</v>
      </c>
      <c r="G3" s="4"/>
      <c r="H3" s="1" t="s">
        <v>4560</v>
      </c>
      <c r="I3" s="1" t="s">
        <v>4548</v>
      </c>
      <c r="J3" s="1" t="s">
        <v>4561</v>
      </c>
    </row>
    <row r="4">
      <c r="A4" s="1" t="s">
        <v>4565</v>
      </c>
      <c r="B4" s="1" t="s">
        <v>4567</v>
      </c>
      <c r="C4" s="1" t="s">
        <v>4569</v>
      </c>
      <c r="D4" s="1"/>
      <c r="E4" s="1" t="s">
        <v>4571</v>
      </c>
      <c r="G4" s="4"/>
      <c r="H4" s="1" t="s">
        <v>4573</v>
      </c>
      <c r="I4" s="1" t="s">
        <v>4575</v>
      </c>
      <c r="J4" s="1" t="s">
        <v>4576</v>
      </c>
    </row>
    <row r="5">
      <c r="A5" s="1" t="s">
        <v>4578</v>
      </c>
      <c r="B5" s="1" t="s">
        <v>4533</v>
      </c>
      <c r="C5" s="1" t="s">
        <v>4582</v>
      </c>
      <c r="D5" s="1"/>
      <c r="E5" s="1" t="s">
        <v>4594</v>
      </c>
      <c r="G5" s="4"/>
      <c r="H5" s="1" t="s">
        <v>4596</v>
      </c>
      <c r="I5" s="1" t="s">
        <v>4598</v>
      </c>
      <c r="J5" s="1" t="s">
        <v>4600</v>
      </c>
    </row>
    <row r="6">
      <c r="A6" s="1" t="s">
        <v>4601</v>
      </c>
      <c r="B6" s="1" t="s">
        <v>4533</v>
      </c>
      <c r="C6" s="1" t="s">
        <v>4609</v>
      </c>
      <c r="D6" s="1"/>
      <c r="E6" s="1" t="s">
        <v>4611</v>
      </c>
      <c r="G6" s="4"/>
      <c r="H6" s="1" t="s">
        <v>4617</v>
      </c>
      <c r="I6" s="1" t="s">
        <v>4548</v>
      </c>
      <c r="J6" s="1" t="s">
        <v>4619</v>
      </c>
    </row>
    <row r="7">
      <c r="A7" s="1" t="s">
        <v>4622</v>
      </c>
      <c r="B7" s="1" t="s">
        <v>4567</v>
      </c>
      <c r="C7" s="1" t="s">
        <v>4623</v>
      </c>
      <c r="D7" s="1"/>
      <c r="E7" s="1" t="s">
        <v>4625</v>
      </c>
      <c r="G7" s="4"/>
      <c r="H7" s="1" t="s">
        <v>4627</v>
      </c>
      <c r="I7" s="1" t="s">
        <v>4628</v>
      </c>
      <c r="J7" s="1" t="s">
        <v>4630</v>
      </c>
    </row>
    <row r="8">
      <c r="A8" s="1" t="s">
        <v>4632</v>
      </c>
      <c r="B8" s="1" t="s">
        <v>4635</v>
      </c>
      <c r="C8" s="1" t="s">
        <v>4636</v>
      </c>
      <c r="D8" s="1"/>
      <c r="E8" s="1" t="s">
        <v>4639</v>
      </c>
      <c r="G8" s="4"/>
      <c r="H8" s="1" t="s">
        <v>4641</v>
      </c>
      <c r="I8" s="1" t="s">
        <v>4643</v>
      </c>
      <c r="J8" s="1" t="s">
        <v>4644</v>
      </c>
    </row>
    <row r="9">
      <c r="A9" s="1" t="s">
        <v>4647</v>
      </c>
      <c r="B9" s="1" t="s">
        <v>4533</v>
      </c>
      <c r="C9" s="1" t="s">
        <v>4649</v>
      </c>
      <c r="D9" s="1"/>
      <c r="E9" s="1" t="s">
        <v>4651</v>
      </c>
      <c r="G9" s="4"/>
      <c r="H9" s="1" t="s">
        <v>4653</v>
      </c>
      <c r="I9" s="1" t="s">
        <v>4655</v>
      </c>
      <c r="J9" s="1" t="s">
        <v>4656</v>
      </c>
    </row>
    <row r="10">
      <c r="A10" s="1" t="s">
        <v>4658</v>
      </c>
      <c r="B10" s="1" t="s">
        <v>4533</v>
      </c>
      <c r="C10" s="1" t="s">
        <v>4661</v>
      </c>
      <c r="D10" s="1"/>
      <c r="E10" s="1" t="s">
        <v>4663</v>
      </c>
      <c r="G10" s="4"/>
      <c r="H10" s="1" t="s">
        <v>4666</v>
      </c>
      <c r="I10" s="1" t="s">
        <v>4548</v>
      </c>
      <c r="J10" s="1" t="s">
        <v>4668</v>
      </c>
    </row>
    <row r="11">
      <c r="A11" s="1" t="s">
        <v>4671</v>
      </c>
      <c r="B11" s="1" t="s">
        <v>4533</v>
      </c>
      <c r="C11" s="1" t="s">
        <v>4673</v>
      </c>
      <c r="D11" s="1"/>
      <c r="E11" s="1" t="s">
        <v>4681</v>
      </c>
      <c r="G11" s="4"/>
      <c r="H11" s="1" t="s">
        <v>4685</v>
      </c>
      <c r="I11" s="1" t="s">
        <v>4687</v>
      </c>
      <c r="J11" s="1" t="s">
        <v>4688</v>
      </c>
    </row>
    <row r="12">
      <c r="A12" s="1" t="s">
        <v>4691</v>
      </c>
      <c r="B12" s="1" t="s">
        <v>4693</v>
      </c>
      <c r="C12" s="1" t="s">
        <v>4695</v>
      </c>
      <c r="D12" s="1"/>
      <c r="G12" s="4"/>
      <c r="H12" s="1" t="s">
        <v>4702</v>
      </c>
      <c r="I12" s="1" t="s">
        <v>4548</v>
      </c>
      <c r="J12" s="1" t="s">
        <v>4703</v>
      </c>
    </row>
    <row r="13">
      <c r="A13" s="1" t="s">
        <v>4705</v>
      </c>
      <c r="B13" s="1" t="s">
        <v>4533</v>
      </c>
      <c r="C13" s="1" t="s">
        <v>4708</v>
      </c>
      <c r="D13" s="1"/>
      <c r="E13" s="1" t="s">
        <v>4711</v>
      </c>
      <c r="G13" s="4"/>
      <c r="H13" s="1" t="s">
        <v>4719</v>
      </c>
      <c r="I13" s="1" t="s">
        <v>4721</v>
      </c>
      <c r="J13" s="1" t="s">
        <v>4724</v>
      </c>
    </row>
    <row r="14">
      <c r="A14" s="1" t="s">
        <v>4725</v>
      </c>
      <c r="B14" s="1" t="s">
        <v>4533</v>
      </c>
      <c r="C14" s="1" t="s">
        <v>4728</v>
      </c>
      <c r="D14" s="1"/>
      <c r="G14" s="4"/>
      <c r="H14" s="1" t="s">
        <v>4739</v>
      </c>
      <c r="I14" s="1" t="s">
        <v>4548</v>
      </c>
      <c r="J14" s="1" t="s">
        <v>4740</v>
      </c>
    </row>
    <row r="15">
      <c r="A15" s="1" t="s">
        <v>4741</v>
      </c>
      <c r="B15" s="1" t="s">
        <v>4533</v>
      </c>
      <c r="C15" s="1" t="s">
        <v>4750</v>
      </c>
      <c r="D15" s="1"/>
      <c r="G15" s="4"/>
      <c r="H15" s="1" t="s">
        <v>4756</v>
      </c>
      <c r="I15" s="1" t="s">
        <v>4758</v>
      </c>
      <c r="J15" s="1" t="s">
        <v>4740</v>
      </c>
    </row>
    <row r="16">
      <c r="A16" s="1" t="s">
        <v>4760</v>
      </c>
      <c r="B16" s="1" t="s">
        <v>4567</v>
      </c>
      <c r="C16" s="1" t="s">
        <v>4764</v>
      </c>
      <c r="D16" s="1"/>
      <c r="E16" s="1" t="s">
        <v>4767</v>
      </c>
      <c r="G16" s="4"/>
      <c r="H16" s="1" t="s">
        <v>4770</v>
      </c>
      <c r="I16" s="1" t="s">
        <v>4598</v>
      </c>
      <c r="J16" s="1" t="s">
        <v>4772</v>
      </c>
    </row>
    <row r="17">
      <c r="A17" s="1" t="s">
        <v>4773</v>
      </c>
      <c r="B17" s="1" t="s">
        <v>4533</v>
      </c>
      <c r="C17" s="1" t="s">
        <v>4775</v>
      </c>
      <c r="D17" s="1"/>
      <c r="G17" s="4"/>
      <c r="H17" s="1" t="s">
        <v>4781</v>
      </c>
      <c r="I17" s="1" t="s">
        <v>4758</v>
      </c>
      <c r="J17" s="1" t="s">
        <v>4740</v>
      </c>
    </row>
    <row r="18">
      <c r="A18" s="1" t="s">
        <v>4786</v>
      </c>
      <c r="B18" s="1" t="s">
        <v>4533</v>
      </c>
      <c r="C18" s="1" t="s">
        <v>4788</v>
      </c>
      <c r="D18" s="1"/>
      <c r="G18" s="4"/>
      <c r="H18" s="1" t="s">
        <v>4793</v>
      </c>
      <c r="I18" s="1" t="s">
        <v>4796</v>
      </c>
      <c r="J18" s="1" t="s">
        <v>4740</v>
      </c>
    </row>
    <row r="19">
      <c r="A19" s="1" t="s">
        <v>4800</v>
      </c>
      <c r="B19" s="1" t="s">
        <v>4533</v>
      </c>
      <c r="C19" s="1" t="s">
        <v>4803</v>
      </c>
      <c r="D19" s="1"/>
      <c r="G19" s="4"/>
      <c r="H19" s="1" t="s">
        <v>4806</v>
      </c>
      <c r="I19" s="1" t="s">
        <v>4796</v>
      </c>
      <c r="J19" s="1" t="s">
        <v>4740</v>
      </c>
    </row>
    <row r="20">
      <c r="A20" s="1" t="s">
        <v>4807</v>
      </c>
      <c r="B20" s="1" t="s">
        <v>4533</v>
      </c>
      <c r="C20" s="1" t="s">
        <v>4809</v>
      </c>
      <c r="D20" s="1"/>
      <c r="E20" s="1" t="s">
        <v>4814</v>
      </c>
      <c r="G20" s="4"/>
      <c r="H20" s="1" t="s">
        <v>4817</v>
      </c>
      <c r="I20" s="1" t="s">
        <v>4548</v>
      </c>
      <c r="J20" s="1" t="s">
        <v>4819</v>
      </c>
    </row>
    <row r="21">
      <c r="A21" s="1" t="s">
        <v>4822</v>
      </c>
      <c r="B21" s="1" t="s">
        <v>4533</v>
      </c>
      <c r="C21" s="1" t="s">
        <v>4823</v>
      </c>
      <c r="D21" s="1"/>
      <c r="G21" s="4"/>
      <c r="H21" s="1" t="s">
        <v>4828</v>
      </c>
      <c r="I21" s="1" t="s">
        <v>4548</v>
      </c>
      <c r="J21" s="1" t="s">
        <v>4740</v>
      </c>
    </row>
    <row r="22">
      <c r="A22" s="1" t="s">
        <v>4831</v>
      </c>
      <c r="B22" s="1" t="s">
        <v>4567</v>
      </c>
      <c r="C22" s="1" t="s">
        <v>4832</v>
      </c>
      <c r="D22" s="1"/>
      <c r="E22" s="1" t="s">
        <v>4835</v>
      </c>
      <c r="G22" s="4"/>
      <c r="H22" s="1" t="s">
        <v>4837</v>
      </c>
      <c r="I22" s="1" t="s">
        <v>4643</v>
      </c>
      <c r="J22" s="1" t="s">
        <v>4839</v>
      </c>
    </row>
    <row r="23">
      <c r="A23" s="1" t="s">
        <v>4840</v>
      </c>
      <c r="B23" s="1" t="s">
        <v>4533</v>
      </c>
      <c r="C23" s="1" t="s">
        <v>4841</v>
      </c>
      <c r="D23" s="1"/>
      <c r="G23" s="4"/>
      <c r="H23" s="1" t="s">
        <v>4844</v>
      </c>
      <c r="I23" s="1" t="s">
        <v>4796</v>
      </c>
      <c r="J23" s="1" t="s">
        <v>4740</v>
      </c>
    </row>
    <row r="24">
      <c r="A24" s="1" t="s">
        <v>4847</v>
      </c>
      <c r="B24" s="1" t="s">
        <v>4533</v>
      </c>
      <c r="C24" s="1" t="s">
        <v>4849</v>
      </c>
      <c r="D24" s="1"/>
      <c r="G24" s="4"/>
      <c r="H24" s="1" t="s">
        <v>4852</v>
      </c>
      <c r="I24" s="1" t="s">
        <v>4796</v>
      </c>
      <c r="J24" s="1" t="s">
        <v>4740</v>
      </c>
    </row>
    <row r="25">
      <c r="A25" s="1" t="s">
        <v>4856</v>
      </c>
      <c r="B25" s="1" t="s">
        <v>4533</v>
      </c>
      <c r="C25" s="1" t="s">
        <v>4860</v>
      </c>
      <c r="D25" s="1"/>
      <c r="E25" s="1" t="s">
        <v>4861</v>
      </c>
      <c r="G25" s="4"/>
      <c r="H25" s="1" t="s">
        <v>4864</v>
      </c>
      <c r="I25" s="1" t="s">
        <v>4867</v>
      </c>
      <c r="J25" s="1" t="s">
        <v>4869</v>
      </c>
    </row>
    <row r="26">
      <c r="A26" s="1" t="s">
        <v>4871</v>
      </c>
      <c r="B26" s="1" t="s">
        <v>4533</v>
      </c>
      <c r="C26" s="1" t="s">
        <v>4873</v>
      </c>
      <c r="D26" s="1"/>
      <c r="E26" s="4"/>
      <c r="G26" s="4"/>
      <c r="H26" s="1" t="s">
        <v>4878</v>
      </c>
      <c r="I26" s="1" t="s">
        <v>4796</v>
      </c>
      <c r="J26" s="1" t="s">
        <v>4881</v>
      </c>
    </row>
    <row r="27">
      <c r="A27" s="1" t="s">
        <v>4883</v>
      </c>
      <c r="B27" s="1" t="s">
        <v>4533</v>
      </c>
      <c r="C27" s="1" t="s">
        <v>4885</v>
      </c>
      <c r="D27" s="1"/>
      <c r="E27" s="4"/>
      <c r="G27" s="4"/>
      <c r="H27" s="1" t="s">
        <v>4892</v>
      </c>
      <c r="I27" s="1" t="s">
        <v>4796</v>
      </c>
      <c r="J27" s="1" t="s">
        <v>4893</v>
      </c>
    </row>
    <row r="28">
      <c r="A28" s="1" t="s">
        <v>4897</v>
      </c>
      <c r="B28" s="1" t="s">
        <v>4533</v>
      </c>
      <c r="C28" s="1" t="s">
        <v>4899</v>
      </c>
      <c r="D28" s="1"/>
      <c r="G28" s="4"/>
      <c r="H28" s="1" t="s">
        <v>4904</v>
      </c>
      <c r="I28" s="1" t="s">
        <v>4796</v>
      </c>
      <c r="J28" s="1" t="s">
        <v>4881</v>
      </c>
    </row>
    <row r="29">
      <c r="A29" s="1" t="s">
        <v>4908</v>
      </c>
      <c r="B29" s="1" t="s">
        <v>4533</v>
      </c>
      <c r="C29" s="1" t="s">
        <v>4909</v>
      </c>
      <c r="D29" s="1"/>
      <c r="E29" s="4"/>
      <c r="G29" s="4"/>
      <c r="H29" s="1" t="s">
        <v>4914</v>
      </c>
      <c r="I29" s="1" t="s">
        <v>4758</v>
      </c>
      <c r="J29" s="1" t="s">
        <v>4881</v>
      </c>
    </row>
    <row r="30">
      <c r="A30" s="1" t="s">
        <v>4918</v>
      </c>
      <c r="B30" s="1" t="s">
        <v>4533</v>
      </c>
      <c r="C30" s="1" t="s">
        <v>4921</v>
      </c>
      <c r="D30" s="1"/>
      <c r="E30" s="4"/>
      <c r="G30" s="4"/>
      <c r="H30" s="1" t="s">
        <v>4926</v>
      </c>
      <c r="I30" s="1" t="s">
        <v>4867</v>
      </c>
      <c r="J30" s="1" t="s">
        <v>4881</v>
      </c>
    </row>
    <row r="31">
      <c r="A31" s="1" t="s">
        <v>4928</v>
      </c>
      <c r="B31" s="1" t="s">
        <v>4533</v>
      </c>
      <c r="C31" s="1" t="s">
        <v>4930</v>
      </c>
      <c r="D31" s="1"/>
      <c r="G31" s="4"/>
      <c r="H31" s="1" t="s">
        <v>4937</v>
      </c>
      <c r="I31" s="1" t="s">
        <v>4867</v>
      </c>
      <c r="J31" s="1" t="s">
        <v>4881</v>
      </c>
    </row>
    <row r="32">
      <c r="A32" s="1" t="s">
        <v>4941</v>
      </c>
      <c r="B32" s="1" t="s">
        <v>4533</v>
      </c>
      <c r="C32" s="1" t="s">
        <v>4944</v>
      </c>
      <c r="D32" s="1"/>
      <c r="G32" s="4"/>
      <c r="H32" s="1" t="s">
        <v>4947</v>
      </c>
      <c r="I32" s="1" t="s">
        <v>4796</v>
      </c>
      <c r="J32" s="1" t="s">
        <v>4881</v>
      </c>
    </row>
    <row r="33">
      <c r="A33" s="1" t="s">
        <v>4951</v>
      </c>
      <c r="B33" s="1" t="s">
        <v>4533</v>
      </c>
      <c r="C33" s="1" t="s">
        <v>4954</v>
      </c>
      <c r="D33" s="1"/>
      <c r="G33" s="4"/>
      <c r="H33" s="1" t="s">
        <v>4959</v>
      </c>
      <c r="I33" s="1" t="s">
        <v>4575</v>
      </c>
      <c r="J33" s="1" t="s">
        <v>4881</v>
      </c>
    </row>
    <row r="34">
      <c r="A34" s="1" t="s">
        <v>4965</v>
      </c>
      <c r="B34" s="1" t="s">
        <v>4533</v>
      </c>
      <c r="C34" s="1" t="s">
        <v>4967</v>
      </c>
      <c r="D34" s="1"/>
      <c r="G34" s="4"/>
      <c r="H34" s="1" t="s">
        <v>4969</v>
      </c>
      <c r="I34" s="1" t="s">
        <v>4796</v>
      </c>
      <c r="J34" s="1" t="s">
        <v>4881</v>
      </c>
    </row>
    <row r="35">
      <c r="A35" s="1" t="s">
        <v>4971</v>
      </c>
      <c r="B35" s="1" t="s">
        <v>4533</v>
      </c>
      <c r="C35" s="1" t="s">
        <v>4973</v>
      </c>
      <c r="D35" s="1"/>
      <c r="E35" s="4"/>
      <c r="G35" s="4"/>
      <c r="H35" s="1" t="s">
        <v>4977</v>
      </c>
      <c r="I35" s="1" t="s">
        <v>4548</v>
      </c>
      <c r="J35" s="1" t="s">
        <v>4881</v>
      </c>
    </row>
    <row r="36">
      <c r="A36" s="1" t="s">
        <v>4980</v>
      </c>
      <c r="B36" s="1" t="s">
        <v>4533</v>
      </c>
      <c r="C36" s="1" t="s">
        <v>4983</v>
      </c>
      <c r="D36" s="1"/>
      <c r="E36" s="4"/>
      <c r="G36" s="4"/>
      <c r="H36" s="1" t="s">
        <v>4987</v>
      </c>
      <c r="I36" s="1" t="s">
        <v>4796</v>
      </c>
      <c r="J36" s="1" t="s">
        <v>4881</v>
      </c>
    </row>
    <row r="37">
      <c r="A37" s="1" t="s">
        <v>4992</v>
      </c>
      <c r="B37" s="1" t="s">
        <v>4533</v>
      </c>
      <c r="C37" s="1" t="s">
        <v>4994</v>
      </c>
      <c r="D37" s="1"/>
      <c r="G37" s="4"/>
      <c r="H37" s="1" t="s">
        <v>4998</v>
      </c>
      <c r="I37" s="1" t="s">
        <v>4867</v>
      </c>
      <c r="J37" s="1" t="s">
        <v>5000</v>
      </c>
    </row>
    <row r="38">
      <c r="A38" s="1" t="s">
        <v>5003</v>
      </c>
      <c r="B38" s="1" t="s">
        <v>4533</v>
      </c>
      <c r="C38" s="1" t="s">
        <v>5005</v>
      </c>
      <c r="D38" s="1"/>
      <c r="G38" s="4"/>
      <c r="H38" s="1" t="s">
        <v>5008</v>
      </c>
      <c r="I38" s="1" t="s">
        <v>4548</v>
      </c>
      <c r="J38" s="1" t="s">
        <v>5000</v>
      </c>
    </row>
    <row r="39">
      <c r="A39" s="1" t="s">
        <v>5012</v>
      </c>
      <c r="B39" s="1" t="s">
        <v>4533</v>
      </c>
      <c r="C39" s="1" t="s">
        <v>5014</v>
      </c>
      <c r="D39" s="1"/>
      <c r="G39" s="4"/>
      <c r="H39" s="1" t="s">
        <v>5018</v>
      </c>
      <c r="I39" s="1" t="s">
        <v>5019</v>
      </c>
      <c r="J39" s="1" t="s">
        <v>5000</v>
      </c>
    </row>
    <row r="40">
      <c r="A40" s="1" t="s">
        <v>5023</v>
      </c>
      <c r="B40" s="1" t="s">
        <v>4533</v>
      </c>
      <c r="C40" s="1" t="s">
        <v>5025</v>
      </c>
      <c r="D40" s="1"/>
      <c r="G40" s="4"/>
      <c r="H40" s="1" t="s">
        <v>5029</v>
      </c>
      <c r="I40" s="1" t="s">
        <v>4796</v>
      </c>
      <c r="J40" s="1" t="s">
        <v>5000</v>
      </c>
    </row>
    <row r="41">
      <c r="A41" s="1" t="s">
        <v>5032</v>
      </c>
      <c r="B41" s="1" t="s">
        <v>4533</v>
      </c>
      <c r="C41" s="1" t="s">
        <v>5034</v>
      </c>
      <c r="D41" s="1"/>
      <c r="G41" s="4"/>
      <c r="H41" s="1" t="s">
        <v>5037</v>
      </c>
      <c r="I41" s="1" t="s">
        <v>4796</v>
      </c>
      <c r="J41" s="1" t="s">
        <v>5000</v>
      </c>
    </row>
    <row r="42">
      <c r="A42" s="1" t="s">
        <v>5044</v>
      </c>
      <c r="B42" s="1" t="s">
        <v>4533</v>
      </c>
      <c r="C42" s="1" t="s">
        <v>5047</v>
      </c>
      <c r="D42" s="1"/>
      <c r="E42" s="4"/>
      <c r="G42" s="4"/>
      <c r="H42" s="1" t="s">
        <v>5049</v>
      </c>
      <c r="I42" s="1" t="s">
        <v>4548</v>
      </c>
      <c r="J42" s="1" t="s">
        <v>5000</v>
      </c>
    </row>
    <row r="43">
      <c r="A43" s="1" t="s">
        <v>5051</v>
      </c>
      <c r="B43" s="1" t="s">
        <v>4533</v>
      </c>
      <c r="C43" s="1" t="s">
        <v>5053</v>
      </c>
      <c r="D43" s="1"/>
      <c r="G43" s="4"/>
      <c r="H43" s="1" t="s">
        <v>5056</v>
      </c>
      <c r="I43" s="1" t="s">
        <v>4796</v>
      </c>
      <c r="J43" s="1" t="s">
        <v>5000</v>
      </c>
    </row>
    <row r="44">
      <c r="A44" s="1" t="s">
        <v>5060</v>
      </c>
      <c r="B44" s="1" t="s">
        <v>4533</v>
      </c>
      <c r="C44" s="1" t="s">
        <v>5063</v>
      </c>
      <c r="D44" s="1"/>
      <c r="E44" s="4"/>
      <c r="G44" s="4"/>
      <c r="H44" s="1" t="s">
        <v>5066</v>
      </c>
      <c r="I44" s="1" t="s">
        <v>4796</v>
      </c>
      <c r="J44" s="1" t="s">
        <v>5000</v>
      </c>
    </row>
    <row r="45">
      <c r="A45" s="1" t="s">
        <v>5068</v>
      </c>
      <c r="B45" s="1" t="s">
        <v>4533</v>
      </c>
      <c r="C45" s="1" t="s">
        <v>5070</v>
      </c>
      <c r="D45" s="1"/>
      <c r="G45" s="4"/>
      <c r="H45" s="1" t="s">
        <v>5072</v>
      </c>
      <c r="I45" s="1" t="s">
        <v>4548</v>
      </c>
      <c r="J45" s="1" t="s">
        <v>5000</v>
      </c>
    </row>
    <row r="46">
      <c r="A46" s="1" t="s">
        <v>5075</v>
      </c>
      <c r="B46" s="1" t="s">
        <v>4533</v>
      </c>
      <c r="C46" s="1" t="s">
        <v>5079</v>
      </c>
      <c r="D46" s="1"/>
      <c r="G46" s="4"/>
      <c r="H46" s="1" t="s">
        <v>5083</v>
      </c>
      <c r="I46" s="1" t="s">
        <v>4867</v>
      </c>
      <c r="J46" s="1" t="s">
        <v>5000</v>
      </c>
    </row>
    <row r="47">
      <c r="A47" s="1" t="s">
        <v>5084</v>
      </c>
      <c r="B47" s="1" t="s">
        <v>4533</v>
      </c>
      <c r="C47" s="1" t="s">
        <v>5086</v>
      </c>
      <c r="D47" s="1"/>
      <c r="G47" s="4"/>
      <c r="H47" s="1" t="s">
        <v>5090</v>
      </c>
      <c r="I47" s="1" t="s">
        <v>4796</v>
      </c>
      <c r="J47" s="1" t="s">
        <v>5000</v>
      </c>
    </row>
    <row r="48">
      <c r="A48" s="1" t="s">
        <v>5092</v>
      </c>
      <c r="B48" s="1" t="s">
        <v>4533</v>
      </c>
      <c r="C48" s="1" t="s">
        <v>5095</v>
      </c>
      <c r="D48" s="1"/>
      <c r="G48" s="4"/>
      <c r="H48" s="1" t="s">
        <v>5099</v>
      </c>
      <c r="I48" s="1" t="s">
        <v>4548</v>
      </c>
      <c r="J48" s="1" t="s">
        <v>5000</v>
      </c>
    </row>
    <row r="49">
      <c r="A49" s="1" t="s">
        <v>5101</v>
      </c>
      <c r="B49" s="1" t="s">
        <v>4533</v>
      </c>
      <c r="C49" s="1" t="s">
        <v>5102</v>
      </c>
      <c r="D49" s="1"/>
      <c r="G49" s="4"/>
      <c r="H49" s="1" t="s">
        <v>5107</v>
      </c>
      <c r="I49" s="1" t="s">
        <v>4548</v>
      </c>
      <c r="J49" s="1" t="s">
        <v>5000</v>
      </c>
    </row>
    <row r="50">
      <c r="A50" s="1" t="s">
        <v>5109</v>
      </c>
      <c r="B50" s="1" t="s">
        <v>4533</v>
      </c>
      <c r="C50" s="1" t="s">
        <v>5112</v>
      </c>
      <c r="D50" s="1"/>
      <c r="G50" s="4"/>
      <c r="H50" s="1" t="s">
        <v>5115</v>
      </c>
      <c r="I50" s="1" t="s">
        <v>4796</v>
      </c>
      <c r="J50" s="1" t="s">
        <v>5000</v>
      </c>
    </row>
    <row r="51">
      <c r="A51" s="1" t="s">
        <v>5118</v>
      </c>
      <c r="B51" s="1" t="s">
        <v>4533</v>
      </c>
      <c r="C51" s="1" t="s">
        <v>5119</v>
      </c>
      <c r="D51" s="1"/>
      <c r="G51" s="4"/>
      <c r="H51" s="1" t="s">
        <v>5121</v>
      </c>
      <c r="I51" s="1" t="s">
        <v>4548</v>
      </c>
      <c r="J51" s="1" t="s">
        <v>5000</v>
      </c>
    </row>
    <row r="52">
      <c r="A52" s="1" t="s">
        <v>5125</v>
      </c>
      <c r="B52" s="1" t="s">
        <v>4533</v>
      </c>
      <c r="C52" s="1" t="s">
        <v>5127</v>
      </c>
      <c r="D52" s="1"/>
      <c r="G52" s="4"/>
      <c r="H52" s="1" t="s">
        <v>5131</v>
      </c>
      <c r="I52" s="1" t="s">
        <v>4796</v>
      </c>
      <c r="J52" s="1" t="s">
        <v>5132</v>
      </c>
    </row>
    <row r="53">
      <c r="A53" s="1" t="s">
        <v>5133</v>
      </c>
      <c r="B53" s="1" t="s">
        <v>4533</v>
      </c>
      <c r="C53" s="1" t="s">
        <v>5137</v>
      </c>
      <c r="D53" s="1"/>
      <c r="G53" s="4"/>
      <c r="H53" s="1" t="s">
        <v>5141</v>
      </c>
      <c r="I53" s="1" t="s">
        <v>4796</v>
      </c>
      <c r="J53" s="1" t="s">
        <v>5132</v>
      </c>
    </row>
    <row r="54">
      <c r="A54" s="1" t="s">
        <v>5142</v>
      </c>
      <c r="B54" s="1" t="s">
        <v>4567</v>
      </c>
      <c r="C54" s="1" t="s">
        <v>5146</v>
      </c>
      <c r="D54" s="1"/>
      <c r="G54" s="4"/>
      <c r="H54" s="1" t="s">
        <v>5148</v>
      </c>
      <c r="I54" s="1" t="s">
        <v>4548</v>
      </c>
      <c r="J54" s="1" t="s">
        <v>5132</v>
      </c>
    </row>
    <row r="55">
      <c r="A55" s="1" t="s">
        <v>5152</v>
      </c>
      <c r="B55" s="1" t="s">
        <v>4533</v>
      </c>
      <c r="C55" s="1" t="s">
        <v>5153</v>
      </c>
      <c r="D55" s="1"/>
      <c r="G55" s="4"/>
      <c r="H55" s="1" t="s">
        <v>5154</v>
      </c>
      <c r="I55" s="1" t="s">
        <v>4867</v>
      </c>
      <c r="J55" s="1" t="s">
        <v>5132</v>
      </c>
    </row>
    <row r="56">
      <c r="A56" s="1" t="s">
        <v>5156</v>
      </c>
      <c r="B56" s="1" t="s">
        <v>4533</v>
      </c>
      <c r="C56" s="1" t="s">
        <v>5157</v>
      </c>
      <c r="D56" s="1"/>
      <c r="G56" s="4"/>
      <c r="H56" s="1" t="s">
        <v>5159</v>
      </c>
      <c r="I56" s="1" t="s">
        <v>4796</v>
      </c>
      <c r="J56" s="1" t="s">
        <v>5132</v>
      </c>
    </row>
    <row r="57">
      <c r="A57" s="1" t="s">
        <v>5162</v>
      </c>
      <c r="B57" s="1" t="s">
        <v>4533</v>
      </c>
      <c r="C57" s="1" t="s">
        <v>5163</v>
      </c>
      <c r="D57" s="1"/>
      <c r="G57" s="4"/>
      <c r="H57" s="1" t="s">
        <v>5166</v>
      </c>
      <c r="I57" s="1" t="s">
        <v>4796</v>
      </c>
      <c r="J57" s="1" t="s">
        <v>5132</v>
      </c>
    </row>
    <row r="58">
      <c r="A58" s="1" t="s">
        <v>5167</v>
      </c>
      <c r="B58" s="1" t="s">
        <v>4533</v>
      </c>
      <c r="C58" s="1" t="s">
        <v>5169</v>
      </c>
      <c r="D58" s="1"/>
      <c r="G58" s="4"/>
      <c r="H58" s="1" t="s">
        <v>5171</v>
      </c>
      <c r="I58" s="1" t="s">
        <v>4796</v>
      </c>
      <c r="J58" s="1" t="s">
        <v>5132</v>
      </c>
    </row>
    <row r="59">
      <c r="A59" s="1" t="s">
        <v>5172</v>
      </c>
      <c r="B59" s="1" t="s">
        <v>4533</v>
      </c>
      <c r="C59" s="1" t="s">
        <v>5174</v>
      </c>
      <c r="D59" s="1"/>
      <c r="G59" s="4"/>
      <c r="H59" s="1" t="s">
        <v>5180</v>
      </c>
      <c r="I59" s="1" t="s">
        <v>4548</v>
      </c>
      <c r="J59" s="1" t="s">
        <v>5132</v>
      </c>
    </row>
    <row r="60">
      <c r="A60" s="1" t="s">
        <v>5182</v>
      </c>
      <c r="B60" s="1" t="s">
        <v>4533</v>
      </c>
      <c r="C60" s="1" t="s">
        <v>5186</v>
      </c>
      <c r="D60" s="1"/>
      <c r="G60" s="4"/>
      <c r="H60" s="1" t="s">
        <v>5190</v>
      </c>
      <c r="I60" s="1" t="s">
        <v>4796</v>
      </c>
      <c r="J60" s="1" t="s">
        <v>5132</v>
      </c>
    </row>
    <row r="61">
      <c r="A61" s="1" t="s">
        <v>5192</v>
      </c>
      <c r="B61" s="1" t="s">
        <v>4567</v>
      </c>
      <c r="C61" s="1" t="s">
        <v>5194</v>
      </c>
      <c r="D61" s="1"/>
      <c r="G61" s="4"/>
      <c r="H61" s="1" t="s">
        <v>5196</v>
      </c>
      <c r="I61" s="1" t="s">
        <v>4548</v>
      </c>
      <c r="J61" s="1" t="s">
        <v>5132</v>
      </c>
    </row>
    <row r="62">
      <c r="A62" s="1" t="s">
        <v>5199</v>
      </c>
      <c r="B62" s="1" t="s">
        <v>4533</v>
      </c>
      <c r="C62" s="1" t="s">
        <v>5201</v>
      </c>
      <c r="D62" s="1"/>
      <c r="G62" s="4"/>
      <c r="H62" s="1" t="s">
        <v>5203</v>
      </c>
      <c r="I62" s="1" t="s">
        <v>4867</v>
      </c>
      <c r="J62" s="1" t="s">
        <v>5132</v>
      </c>
    </row>
    <row r="63">
      <c r="A63" s="1" t="s">
        <v>5207</v>
      </c>
      <c r="B63" s="1" t="s">
        <v>4567</v>
      </c>
      <c r="C63" s="1" t="s">
        <v>5208</v>
      </c>
      <c r="D63" s="1"/>
      <c r="G63" s="4"/>
      <c r="H63" s="1" t="s">
        <v>5210</v>
      </c>
      <c r="I63" s="1" t="s">
        <v>4548</v>
      </c>
      <c r="J63" s="1" t="s">
        <v>5211</v>
      </c>
    </row>
    <row r="64">
      <c r="A64" s="1" t="s">
        <v>5212</v>
      </c>
      <c r="B64" s="1" t="s">
        <v>4533</v>
      </c>
      <c r="C64" s="1" t="s">
        <v>5214</v>
      </c>
      <c r="D64" s="1"/>
      <c r="E64" s="4"/>
      <c r="G64" s="4"/>
      <c r="H64" s="1" t="s">
        <v>5215</v>
      </c>
      <c r="I64" s="1" t="s">
        <v>4548</v>
      </c>
      <c r="J64" s="1" t="s">
        <v>5217</v>
      </c>
    </row>
    <row r="65">
      <c r="A65" s="1" t="s">
        <v>5219</v>
      </c>
      <c r="B65" s="1" t="s">
        <v>4533</v>
      </c>
      <c r="C65" s="1" t="s">
        <v>5221</v>
      </c>
      <c r="D65" s="1"/>
      <c r="G65" s="4"/>
      <c r="H65" s="1" t="s">
        <v>5223</v>
      </c>
      <c r="I65" s="1" t="s">
        <v>4548</v>
      </c>
      <c r="J65" s="1" t="s">
        <v>5226</v>
      </c>
    </row>
    <row r="66">
      <c r="A66" s="1" t="s">
        <v>5228</v>
      </c>
      <c r="B66" s="1" t="s">
        <v>4533</v>
      </c>
      <c r="C66" s="1" t="s">
        <v>5232</v>
      </c>
      <c r="D66" s="1"/>
      <c r="G66" s="4"/>
      <c r="H66" s="1" t="s">
        <v>5233</v>
      </c>
      <c r="I66" s="1" t="s">
        <v>5235</v>
      </c>
      <c r="J66" s="1" t="s">
        <v>5236</v>
      </c>
    </row>
    <row r="67">
      <c r="A67" s="1" t="s">
        <v>5237</v>
      </c>
      <c r="B67" s="1" t="s">
        <v>4567</v>
      </c>
      <c r="C67" s="1" t="s">
        <v>5238</v>
      </c>
      <c r="D67" s="1"/>
      <c r="E67" s="1" t="s">
        <v>5239</v>
      </c>
      <c r="G67" s="4"/>
      <c r="H67" s="1" t="s">
        <v>5240</v>
      </c>
      <c r="I67" s="1" t="s">
        <v>5241</v>
      </c>
      <c r="J67" s="1" t="s">
        <v>5242</v>
      </c>
    </row>
    <row r="68">
      <c r="A68" s="1" t="s">
        <v>5244</v>
      </c>
      <c r="B68" s="1" t="s">
        <v>4635</v>
      </c>
      <c r="C68" s="1" t="s">
        <v>5245</v>
      </c>
      <c r="D68" s="1"/>
      <c r="E68" s="1" t="s">
        <v>5246</v>
      </c>
      <c r="G68" s="4"/>
      <c r="H68" s="1" t="s">
        <v>5246</v>
      </c>
      <c r="I68" s="1" t="s">
        <v>4548</v>
      </c>
      <c r="J68" s="1" t="s">
        <v>5249</v>
      </c>
    </row>
    <row r="69">
      <c r="A69" s="1" t="s">
        <v>5252</v>
      </c>
      <c r="B69" s="1" t="s">
        <v>4533</v>
      </c>
      <c r="C69" s="1" t="s">
        <v>5253</v>
      </c>
      <c r="D69" s="1"/>
      <c r="E69" s="1" t="s">
        <v>5256</v>
      </c>
      <c r="G69" s="4"/>
      <c r="H69" s="1" t="s">
        <v>5258</v>
      </c>
      <c r="I69" s="1" t="s">
        <v>4548</v>
      </c>
      <c r="J69" s="1" t="s">
        <v>5260</v>
      </c>
    </row>
    <row r="70">
      <c r="A70" s="1" t="s">
        <v>5262</v>
      </c>
      <c r="B70" s="1" t="s">
        <v>4567</v>
      </c>
      <c r="C70" s="1" t="s">
        <v>5264</v>
      </c>
      <c r="D70" s="1"/>
      <c r="G70" s="4"/>
      <c r="H70" s="1" t="s">
        <v>5266</v>
      </c>
      <c r="I70" s="1" t="s">
        <v>4598</v>
      </c>
      <c r="J70" s="1" t="s">
        <v>5267</v>
      </c>
    </row>
    <row r="71">
      <c r="A71" s="1" t="s">
        <v>5269</v>
      </c>
      <c r="B71" s="1" t="s">
        <v>4567</v>
      </c>
      <c r="C71" s="1" t="s">
        <v>5270</v>
      </c>
      <c r="D71" s="1"/>
      <c r="G71" s="4"/>
      <c r="H71" s="1" t="s">
        <v>5273</v>
      </c>
      <c r="I71" s="1" t="s">
        <v>4867</v>
      </c>
      <c r="J71" s="1" t="s">
        <v>5276</v>
      </c>
    </row>
    <row r="72">
      <c r="A72" s="1" t="s">
        <v>5277</v>
      </c>
      <c r="B72" s="1" t="s">
        <v>4567</v>
      </c>
      <c r="C72" s="1" t="s">
        <v>5279</v>
      </c>
      <c r="D72" s="1"/>
      <c r="E72" s="1" t="s">
        <v>5281</v>
      </c>
      <c r="G72" s="4"/>
      <c r="H72" s="1" t="s">
        <v>5284</v>
      </c>
      <c r="I72" s="1" t="s">
        <v>4867</v>
      </c>
      <c r="J72" s="1" t="s">
        <v>5285</v>
      </c>
    </row>
    <row r="73">
      <c r="A73" s="1" t="s">
        <v>5289</v>
      </c>
      <c r="B73" s="1" t="s">
        <v>4533</v>
      </c>
      <c r="C73" s="1" t="s">
        <v>5291</v>
      </c>
      <c r="D73" s="1"/>
      <c r="G73" s="4"/>
      <c r="H73" s="1" t="s">
        <v>5293</v>
      </c>
      <c r="I73" s="1" t="s">
        <v>4758</v>
      </c>
      <c r="J73" s="1" t="s">
        <v>5295</v>
      </c>
    </row>
    <row r="74">
      <c r="A74" s="1" t="s">
        <v>5296</v>
      </c>
      <c r="B74" s="1" t="s">
        <v>4635</v>
      </c>
      <c r="C74" s="1" t="s">
        <v>5298</v>
      </c>
      <c r="D74" s="1"/>
      <c r="E74" s="1" t="s">
        <v>5302</v>
      </c>
      <c r="F74" s="4"/>
      <c r="G74" s="1" t="s">
        <v>5308</v>
      </c>
      <c r="H74" s="1" t="s">
        <v>5311</v>
      </c>
      <c r="I74" s="1" t="s">
        <v>4548</v>
      </c>
      <c r="J74" s="1" t="s">
        <v>5313</v>
      </c>
    </row>
    <row r="75">
      <c r="A75" s="1" t="s">
        <v>5315</v>
      </c>
      <c r="B75" s="1" t="s">
        <v>4693</v>
      </c>
      <c r="C75" s="1" t="s">
        <v>5317</v>
      </c>
      <c r="D75" s="1"/>
      <c r="G75" s="4"/>
      <c r="H75" s="1" t="s">
        <v>5319</v>
      </c>
      <c r="I75" s="1" t="s">
        <v>5019</v>
      </c>
      <c r="J75" s="1" t="s">
        <v>5321</v>
      </c>
    </row>
    <row r="76">
      <c r="A76" s="1" t="s">
        <v>5322</v>
      </c>
      <c r="B76" s="1" t="s">
        <v>4693</v>
      </c>
      <c r="C76" s="1" t="s">
        <v>5325</v>
      </c>
      <c r="D76" s="1"/>
      <c r="G76" s="4"/>
      <c r="H76" s="1" t="s">
        <v>5328</v>
      </c>
      <c r="I76" s="1" t="s">
        <v>5019</v>
      </c>
      <c r="J76" s="1" t="s">
        <v>5329</v>
      </c>
    </row>
    <row r="77">
      <c r="A77" s="1" t="s">
        <v>5330</v>
      </c>
      <c r="B77" s="1" t="s">
        <v>4693</v>
      </c>
      <c r="C77" s="1" t="s">
        <v>5332</v>
      </c>
      <c r="D77" s="1"/>
      <c r="E77" s="4"/>
      <c r="G77" s="4"/>
      <c r="H77" s="1" t="s">
        <v>5334</v>
      </c>
      <c r="I77" s="1" t="s">
        <v>5019</v>
      </c>
      <c r="J77" s="1" t="s">
        <v>5335</v>
      </c>
    </row>
    <row r="78">
      <c r="A78" s="1" t="s">
        <v>5336</v>
      </c>
      <c r="B78" s="1" t="s">
        <v>4533</v>
      </c>
      <c r="C78" s="1" t="s">
        <v>5338</v>
      </c>
      <c r="D78" s="1"/>
      <c r="E78" s="1" t="s">
        <v>5340</v>
      </c>
      <c r="G78" s="4"/>
      <c r="H78" s="1" t="s">
        <v>5342</v>
      </c>
      <c r="I78" s="1" t="s">
        <v>4643</v>
      </c>
      <c r="J78" s="1" t="s">
        <v>5344</v>
      </c>
    </row>
    <row r="79">
      <c r="A79" s="1" t="s">
        <v>5347</v>
      </c>
      <c r="B79" s="1" t="s">
        <v>4693</v>
      </c>
      <c r="C79" s="1" t="s">
        <v>5349</v>
      </c>
      <c r="D79" s="1"/>
      <c r="G79" s="4"/>
      <c r="H79" s="1" t="s">
        <v>5352</v>
      </c>
      <c r="I79" s="1" t="s">
        <v>5019</v>
      </c>
      <c r="J79" s="1" t="s">
        <v>5353</v>
      </c>
    </row>
    <row r="80">
      <c r="A80" s="1" t="s">
        <v>5354</v>
      </c>
      <c r="B80" s="1" t="s">
        <v>4567</v>
      </c>
      <c r="C80" s="1" t="s">
        <v>5356</v>
      </c>
      <c r="D80" s="1"/>
      <c r="E80" s="1" t="s">
        <v>5358</v>
      </c>
      <c r="G80" s="4"/>
      <c r="H80" s="1" t="s">
        <v>5360</v>
      </c>
      <c r="I80" s="1" t="s">
        <v>4867</v>
      </c>
      <c r="J80" s="1" t="s">
        <v>5362</v>
      </c>
    </row>
    <row r="81">
      <c r="A81" s="1" t="s">
        <v>5363</v>
      </c>
      <c r="B81" s="1" t="s">
        <v>4693</v>
      </c>
      <c r="C81" s="1" t="s">
        <v>5366</v>
      </c>
      <c r="D81" s="1"/>
      <c r="G81" s="4"/>
      <c r="H81" s="1" t="s">
        <v>5368</v>
      </c>
      <c r="I81" s="1" t="s">
        <v>5019</v>
      </c>
      <c r="J81" s="1" t="s">
        <v>5369</v>
      </c>
    </row>
    <row r="82">
      <c r="A82" s="1" t="s">
        <v>5371</v>
      </c>
      <c r="B82" s="1" t="s">
        <v>4533</v>
      </c>
      <c r="C82" s="1" t="s">
        <v>5372</v>
      </c>
      <c r="D82" s="1"/>
      <c r="E82" s="1" t="s">
        <v>5375</v>
      </c>
      <c r="G82" s="4"/>
      <c r="H82" s="1" t="s">
        <v>5377</v>
      </c>
      <c r="I82" s="1" t="s">
        <v>4548</v>
      </c>
      <c r="J82" s="1" t="s">
        <v>5379</v>
      </c>
    </row>
    <row r="83">
      <c r="A83" s="1" t="s">
        <v>5380</v>
      </c>
      <c r="B83" s="1" t="s">
        <v>4533</v>
      </c>
      <c r="C83" s="1" t="s">
        <v>5384</v>
      </c>
      <c r="D83" s="1"/>
      <c r="G83" s="4"/>
      <c r="H83" s="1" t="s">
        <v>5387</v>
      </c>
      <c r="I83" s="1" t="s">
        <v>5019</v>
      </c>
      <c r="J83" s="1" t="s">
        <v>5388</v>
      </c>
    </row>
    <row r="84">
      <c r="A84" s="1" t="s">
        <v>5390</v>
      </c>
      <c r="B84" s="1" t="s">
        <v>4567</v>
      </c>
      <c r="C84" s="1" t="s">
        <v>5391</v>
      </c>
      <c r="D84" s="1"/>
      <c r="E84" s="1" t="s">
        <v>5392</v>
      </c>
      <c r="G84" s="4"/>
      <c r="H84" s="1" t="s">
        <v>5394</v>
      </c>
      <c r="I84" s="1" t="s">
        <v>5397</v>
      </c>
      <c r="J84" s="1" t="s">
        <v>5398</v>
      </c>
    </row>
    <row r="85">
      <c r="A85" s="1" t="s">
        <v>5399</v>
      </c>
      <c r="B85" s="1" t="s">
        <v>4635</v>
      </c>
      <c r="C85" s="1" t="s">
        <v>5401</v>
      </c>
      <c r="D85" s="1"/>
      <c r="E85" s="1" t="s">
        <v>5403</v>
      </c>
      <c r="G85" s="4"/>
      <c r="H85" s="1" t="s">
        <v>5408</v>
      </c>
      <c r="I85" s="1" t="s">
        <v>5410</v>
      </c>
      <c r="J85" s="1" t="s">
        <v>5411</v>
      </c>
    </row>
    <row r="86">
      <c r="A86" s="1" t="s">
        <v>5412</v>
      </c>
      <c r="B86" s="1" t="s">
        <v>4533</v>
      </c>
      <c r="C86" s="1" t="s">
        <v>5413</v>
      </c>
      <c r="D86" s="1"/>
      <c r="E86" s="1" t="s">
        <v>5415</v>
      </c>
      <c r="G86" s="4"/>
      <c r="H86" s="1" t="s">
        <v>5416</v>
      </c>
      <c r="I86" s="1" t="s">
        <v>5418</v>
      </c>
      <c r="J86" s="1" t="s">
        <v>5419</v>
      </c>
    </row>
    <row r="87">
      <c r="A87" s="1" t="s">
        <v>5422</v>
      </c>
      <c r="B87" s="1" t="s">
        <v>4567</v>
      </c>
      <c r="C87" s="1" t="s">
        <v>5424</v>
      </c>
      <c r="D87" s="1"/>
      <c r="E87" s="1" t="s">
        <v>5426</v>
      </c>
      <c r="G87" s="4"/>
      <c r="H87" s="1" t="s">
        <v>5427</v>
      </c>
      <c r="I87" s="1" t="s">
        <v>5429</v>
      </c>
      <c r="J87" s="1" t="s">
        <v>5431</v>
      </c>
    </row>
    <row r="88">
      <c r="A88" s="1" t="s">
        <v>5433</v>
      </c>
      <c r="B88" s="1" t="s">
        <v>4635</v>
      </c>
      <c r="C88" s="1" t="s">
        <v>5435</v>
      </c>
      <c r="D88" s="1"/>
      <c r="E88" s="1" t="s">
        <v>5437</v>
      </c>
      <c r="G88" s="4"/>
      <c r="H88" s="1" t="s">
        <v>5440</v>
      </c>
      <c r="I88" s="1" t="s">
        <v>5441</v>
      </c>
      <c r="J88" s="1" t="s">
        <v>5444</v>
      </c>
    </row>
    <row r="89">
      <c r="A89" s="1" t="s">
        <v>5445</v>
      </c>
      <c r="B89" s="1" t="s">
        <v>4693</v>
      </c>
      <c r="C89" s="1" t="s">
        <v>5447</v>
      </c>
      <c r="D89" s="1"/>
      <c r="G89" s="4"/>
      <c r="H89" s="1" t="s">
        <v>5450</v>
      </c>
      <c r="I89" s="1" t="s">
        <v>5451</v>
      </c>
      <c r="J89" s="1" t="s">
        <v>5453</v>
      </c>
    </row>
    <row r="90">
      <c r="A90" s="1" t="s">
        <v>5455</v>
      </c>
      <c r="B90" s="1" t="s">
        <v>4567</v>
      </c>
      <c r="C90" s="1" t="s">
        <v>5456</v>
      </c>
      <c r="D90" s="1"/>
      <c r="E90" s="1" t="s">
        <v>5458</v>
      </c>
      <c r="G90" s="4"/>
      <c r="H90" s="1" t="s">
        <v>5460</v>
      </c>
      <c r="I90" s="1" t="s">
        <v>4655</v>
      </c>
      <c r="J90" s="1" t="s">
        <v>5461</v>
      </c>
    </row>
    <row r="91">
      <c r="A91" s="1" t="s">
        <v>5464</v>
      </c>
      <c r="B91" s="1" t="s">
        <v>4635</v>
      </c>
      <c r="C91" s="1" t="s">
        <v>5466</v>
      </c>
      <c r="D91" s="1"/>
      <c r="E91" s="1" t="s">
        <v>5469</v>
      </c>
      <c r="G91" s="4"/>
      <c r="H91" s="1" t="s">
        <v>5472</v>
      </c>
      <c r="I91" s="1" t="s">
        <v>5474</v>
      </c>
      <c r="J91" s="1" t="s">
        <v>5475</v>
      </c>
    </row>
    <row r="92">
      <c r="A92" s="1" t="s">
        <v>5478</v>
      </c>
      <c r="B92" s="1" t="s">
        <v>4533</v>
      </c>
      <c r="C92" s="1" t="s">
        <v>5479</v>
      </c>
      <c r="D92" s="1"/>
      <c r="E92" s="1" t="s">
        <v>5481</v>
      </c>
      <c r="G92" s="4"/>
      <c r="H92" s="1" t="s">
        <v>5482</v>
      </c>
      <c r="I92" s="1" t="s">
        <v>4548</v>
      </c>
      <c r="J92" s="1" t="s">
        <v>5484</v>
      </c>
    </row>
    <row r="93">
      <c r="A93" s="1" t="s">
        <v>5485</v>
      </c>
      <c r="B93" s="1" t="s">
        <v>4635</v>
      </c>
      <c r="C93" s="1" t="s">
        <v>5488</v>
      </c>
      <c r="D93" s="1"/>
      <c r="E93" s="1" t="s">
        <v>5490</v>
      </c>
      <c r="F93" s="4"/>
      <c r="G93" s="1" t="s">
        <v>5490</v>
      </c>
      <c r="H93" s="1" t="s">
        <v>5495</v>
      </c>
      <c r="I93" s="1" t="s">
        <v>5496</v>
      </c>
      <c r="J93" s="1" t="s">
        <v>5498</v>
      </c>
    </row>
    <row r="94">
      <c r="A94" s="1" t="s">
        <v>5499</v>
      </c>
      <c r="B94" s="1" t="s">
        <v>4567</v>
      </c>
      <c r="C94" s="1" t="s">
        <v>5500</v>
      </c>
      <c r="D94" s="1"/>
      <c r="E94" s="1" t="s">
        <v>5503</v>
      </c>
      <c r="G94" s="4"/>
      <c r="H94" s="1" t="s">
        <v>5505</v>
      </c>
      <c r="I94" s="1" t="s">
        <v>5507</v>
      </c>
      <c r="J94" s="1" t="s">
        <v>5509</v>
      </c>
    </row>
    <row r="95">
      <c r="A95" s="1" t="s">
        <v>5510</v>
      </c>
      <c r="B95" s="1" t="s">
        <v>4533</v>
      </c>
      <c r="C95" s="1" t="s">
        <v>5512</v>
      </c>
      <c r="D95" s="1"/>
      <c r="E95" s="1" t="s">
        <v>5513</v>
      </c>
      <c r="G95" s="4"/>
      <c r="H95" s="1" t="s">
        <v>5515</v>
      </c>
      <c r="I95" s="1" t="s">
        <v>4548</v>
      </c>
      <c r="J95" s="1" t="s">
        <v>5517</v>
      </c>
    </row>
    <row r="96">
      <c r="A96" s="1" t="s">
        <v>5518</v>
      </c>
      <c r="B96" s="1" t="s">
        <v>4693</v>
      </c>
      <c r="C96" s="1" t="s">
        <v>5520</v>
      </c>
      <c r="D96" s="1"/>
      <c r="E96" s="1" t="s">
        <v>5522</v>
      </c>
      <c r="G96" s="4"/>
      <c r="H96" s="1" t="s">
        <v>5524</v>
      </c>
      <c r="I96" s="1" t="s">
        <v>4598</v>
      </c>
      <c r="J96" s="1" t="s">
        <v>5525</v>
      </c>
    </row>
    <row r="97">
      <c r="A97" s="1" t="s">
        <v>5527</v>
      </c>
      <c r="B97" s="1" t="s">
        <v>4635</v>
      </c>
      <c r="C97" s="1" t="s">
        <v>5529</v>
      </c>
      <c r="D97" s="1"/>
      <c r="E97" s="1" t="s">
        <v>5531</v>
      </c>
      <c r="G97" s="4"/>
      <c r="H97" s="1" t="s">
        <v>5542</v>
      </c>
      <c r="I97" s="1" t="s">
        <v>4598</v>
      </c>
      <c r="J97" s="1" t="s">
        <v>5544</v>
      </c>
    </row>
    <row r="98">
      <c r="A98" s="1" t="s">
        <v>5545</v>
      </c>
      <c r="B98" s="1" t="s">
        <v>4533</v>
      </c>
      <c r="C98" s="1" t="s">
        <v>5547</v>
      </c>
      <c r="D98" s="1"/>
      <c r="E98" s="4"/>
      <c r="G98" s="4"/>
      <c r="H98" s="1" t="s">
        <v>5551</v>
      </c>
      <c r="I98" s="1" t="s">
        <v>4758</v>
      </c>
      <c r="J98" s="1" t="s">
        <v>5554</v>
      </c>
    </row>
    <row r="99">
      <c r="A99" s="1" t="s">
        <v>5555</v>
      </c>
      <c r="B99" s="1" t="s">
        <v>4635</v>
      </c>
      <c r="C99" s="1" t="s">
        <v>5558</v>
      </c>
      <c r="D99" s="1"/>
      <c r="G99" s="4"/>
      <c r="H99" s="1" t="s">
        <v>5562</v>
      </c>
      <c r="I99" s="1" t="s">
        <v>5564</v>
      </c>
      <c r="J99" s="1" t="s">
        <v>5565</v>
      </c>
    </row>
    <row r="100">
      <c r="A100" s="1" t="s">
        <v>5567</v>
      </c>
      <c r="B100" s="1" t="s">
        <v>4533</v>
      </c>
      <c r="C100" s="1" t="s">
        <v>5568</v>
      </c>
      <c r="D100" s="1"/>
      <c r="E100" s="1" t="s">
        <v>5570</v>
      </c>
      <c r="G100" s="4"/>
      <c r="H100" s="1" t="s">
        <v>5571</v>
      </c>
      <c r="I100" s="1" t="s">
        <v>4548</v>
      </c>
      <c r="J100" s="1" t="s">
        <v>5573</v>
      </c>
    </row>
    <row r="101">
      <c r="A101" s="1" t="s">
        <v>5575</v>
      </c>
      <c r="B101" s="1" t="s">
        <v>4533</v>
      </c>
      <c r="C101" s="1" t="s">
        <v>5578</v>
      </c>
      <c r="D101" s="1"/>
      <c r="G101" s="4"/>
      <c r="H101" s="1" t="s">
        <v>5579</v>
      </c>
      <c r="I101" s="1" t="s">
        <v>5019</v>
      </c>
      <c r="J101" s="1" t="s">
        <v>5581</v>
      </c>
    </row>
    <row r="102">
      <c r="A102" s="1" t="s">
        <v>5582</v>
      </c>
      <c r="B102" s="1" t="s">
        <v>4533</v>
      </c>
      <c r="C102" s="1" t="s">
        <v>5585</v>
      </c>
      <c r="D102" s="1"/>
      <c r="G102" s="4"/>
      <c r="H102" s="1" t="s">
        <v>5587</v>
      </c>
      <c r="I102" s="1" t="s">
        <v>4796</v>
      </c>
      <c r="J102" s="1" t="s">
        <v>5588</v>
      </c>
    </row>
    <row r="103">
      <c r="A103" s="1" t="s">
        <v>5589</v>
      </c>
      <c r="B103" s="1" t="s">
        <v>4567</v>
      </c>
      <c r="C103" s="1" t="s">
        <v>5591</v>
      </c>
      <c r="D103" s="1"/>
      <c r="E103" s="1" t="s">
        <v>5593</v>
      </c>
      <c r="G103" s="4"/>
      <c r="H103" s="1" t="s">
        <v>5596</v>
      </c>
      <c r="I103" s="1" t="s">
        <v>4548</v>
      </c>
      <c r="J103" s="1" t="s">
        <v>5599</v>
      </c>
    </row>
    <row r="104">
      <c r="A104" s="1" t="s">
        <v>5611</v>
      </c>
      <c r="B104" s="1" t="s">
        <v>4533</v>
      </c>
      <c r="C104" s="1" t="s">
        <v>5613</v>
      </c>
      <c r="D104" s="1"/>
      <c r="G104" s="4"/>
      <c r="H104" s="1" t="s">
        <v>5615</v>
      </c>
      <c r="I104" s="1" t="s">
        <v>5617</v>
      </c>
      <c r="J104" s="1" t="s">
        <v>5619</v>
      </c>
    </row>
    <row r="105">
      <c r="A105" s="1" t="s">
        <v>5620</v>
      </c>
      <c r="B105" s="1" t="s">
        <v>4567</v>
      </c>
      <c r="C105" s="1" t="s">
        <v>5621</v>
      </c>
      <c r="D105" s="1"/>
      <c r="E105" s="1" t="s">
        <v>5622</v>
      </c>
      <c r="G105" s="4"/>
      <c r="H105" s="1" t="s">
        <v>5624</v>
      </c>
      <c r="I105" s="1" t="s">
        <v>5626</v>
      </c>
      <c r="J105" s="1" t="s">
        <v>5628</v>
      </c>
    </row>
    <row r="106">
      <c r="A106" s="1" t="s">
        <v>5630</v>
      </c>
      <c r="B106" s="1" t="s">
        <v>4635</v>
      </c>
      <c r="C106" s="1" t="s">
        <v>5632</v>
      </c>
      <c r="D106" s="1"/>
      <c r="E106" s="1" t="s">
        <v>5635</v>
      </c>
      <c r="G106" s="4"/>
      <c r="H106" s="1" t="s">
        <v>5637</v>
      </c>
      <c r="I106" s="1" t="s">
        <v>4643</v>
      </c>
      <c r="J106" s="1" t="s">
        <v>5639</v>
      </c>
    </row>
    <row r="107">
      <c r="A107" s="1" t="s">
        <v>5640</v>
      </c>
      <c r="B107" s="1" t="s">
        <v>4635</v>
      </c>
      <c r="C107" s="1" t="s">
        <v>5641</v>
      </c>
      <c r="D107" s="1"/>
      <c r="E107" s="1" t="s">
        <v>5644</v>
      </c>
      <c r="G107" s="4"/>
      <c r="H107" s="1" t="s">
        <v>5646</v>
      </c>
      <c r="I107" s="1" t="s">
        <v>5019</v>
      </c>
      <c r="J107" s="1" t="s">
        <v>5648</v>
      </c>
    </row>
    <row r="108">
      <c r="A108" s="1" t="s">
        <v>5650</v>
      </c>
      <c r="B108" s="1" t="s">
        <v>4567</v>
      </c>
      <c r="C108" s="1" t="s">
        <v>5652</v>
      </c>
      <c r="D108" s="1"/>
      <c r="E108" s="1" t="s">
        <v>5653</v>
      </c>
      <c r="G108" s="4"/>
      <c r="H108" s="1" t="s">
        <v>5656</v>
      </c>
      <c r="I108" s="1" t="s">
        <v>4721</v>
      </c>
      <c r="J108" s="1" t="s">
        <v>5659</v>
      </c>
    </row>
    <row r="109">
      <c r="A109" s="1" t="s">
        <v>5660</v>
      </c>
      <c r="B109" s="1" t="s">
        <v>4533</v>
      </c>
      <c r="C109" s="1" t="s">
        <v>5662</v>
      </c>
      <c r="D109" s="1"/>
      <c r="G109" s="4"/>
      <c r="H109" s="1" t="s">
        <v>5664</v>
      </c>
      <c r="I109" s="1" t="s">
        <v>5410</v>
      </c>
      <c r="J109" s="1" t="s">
        <v>5669</v>
      </c>
    </row>
    <row r="110">
      <c r="A110" s="1" t="s">
        <v>5673</v>
      </c>
      <c r="B110" s="1" t="s">
        <v>4567</v>
      </c>
      <c r="C110" s="1" t="s">
        <v>5687</v>
      </c>
      <c r="D110" s="1"/>
      <c r="G110" s="4"/>
      <c r="H110" s="1" t="s">
        <v>5691</v>
      </c>
      <c r="I110" s="1" t="s">
        <v>4758</v>
      </c>
      <c r="J110" s="1" t="s">
        <v>5695</v>
      </c>
    </row>
    <row r="111">
      <c r="A111" s="1" t="s">
        <v>5697</v>
      </c>
      <c r="B111" s="1" t="s">
        <v>4567</v>
      </c>
      <c r="C111" s="1" t="s">
        <v>5699</v>
      </c>
      <c r="D111" s="1"/>
      <c r="E111" s="1" t="s">
        <v>5703</v>
      </c>
      <c r="G111" s="4"/>
      <c r="H111" s="1" t="s">
        <v>5707</v>
      </c>
      <c r="I111" s="1" t="s">
        <v>5709</v>
      </c>
      <c r="J111" s="1" t="s">
        <v>5711</v>
      </c>
    </row>
    <row r="112">
      <c r="A112" s="1" t="s">
        <v>5714</v>
      </c>
      <c r="B112" s="1" t="s">
        <v>4533</v>
      </c>
      <c r="C112" s="1" t="s">
        <v>5717</v>
      </c>
      <c r="D112" s="1"/>
      <c r="E112" s="1" t="s">
        <v>5720</v>
      </c>
      <c r="G112" s="4"/>
      <c r="H112" s="1" t="s">
        <v>5725</v>
      </c>
      <c r="I112" s="1" t="s">
        <v>5410</v>
      </c>
      <c r="J112" s="1" t="s">
        <v>5729</v>
      </c>
    </row>
    <row r="113">
      <c r="A113" s="1" t="s">
        <v>5734</v>
      </c>
      <c r="B113" s="1" t="s">
        <v>4635</v>
      </c>
      <c r="C113" s="1" t="s">
        <v>5736</v>
      </c>
      <c r="D113" s="1"/>
      <c r="E113" s="1" t="s">
        <v>5738</v>
      </c>
      <c r="G113" s="4"/>
      <c r="H113" s="1" t="s">
        <v>5741</v>
      </c>
      <c r="I113" s="1" t="s">
        <v>4867</v>
      </c>
      <c r="J113" s="1" t="s">
        <v>5744</v>
      </c>
    </row>
    <row r="114">
      <c r="A114" s="1" t="s">
        <v>5747</v>
      </c>
      <c r="B114" s="1" t="s">
        <v>4693</v>
      </c>
      <c r="C114" s="1" t="s">
        <v>5750</v>
      </c>
      <c r="D114" s="1"/>
      <c r="E114" s="1" t="s">
        <v>5752</v>
      </c>
      <c r="G114" s="4"/>
      <c r="H114" s="1" t="s">
        <v>5754</v>
      </c>
      <c r="I114" s="1" t="s">
        <v>4867</v>
      </c>
      <c r="J114" s="1" t="s">
        <v>5756</v>
      </c>
    </row>
    <row r="115">
      <c r="A115" s="1" t="s">
        <v>5757</v>
      </c>
      <c r="B115" s="1" t="s">
        <v>4567</v>
      </c>
      <c r="C115" s="1" t="s">
        <v>5760</v>
      </c>
      <c r="D115" s="1"/>
      <c r="E115" s="1" t="s">
        <v>5764</v>
      </c>
      <c r="G115" s="4"/>
      <c r="H115" s="1" t="s">
        <v>5768</v>
      </c>
      <c r="I115" s="1" t="s">
        <v>4721</v>
      </c>
      <c r="J115" s="1" t="s">
        <v>5770</v>
      </c>
    </row>
    <row r="116">
      <c r="A116" s="1" t="s">
        <v>5771</v>
      </c>
      <c r="B116" s="1" t="s">
        <v>4635</v>
      </c>
      <c r="C116" s="1" t="s">
        <v>5774</v>
      </c>
      <c r="D116" s="1"/>
      <c r="E116" s="1" t="s">
        <v>5777</v>
      </c>
      <c r="G116" s="4"/>
      <c r="H116" s="1" t="s">
        <v>5779</v>
      </c>
      <c r="I116" s="1" t="s">
        <v>4548</v>
      </c>
      <c r="J116" s="1" t="s">
        <v>5781</v>
      </c>
    </row>
    <row r="117">
      <c r="A117" s="1" t="s">
        <v>5783</v>
      </c>
      <c r="B117" s="1" t="s">
        <v>4567</v>
      </c>
      <c r="C117" s="1" t="s">
        <v>5786</v>
      </c>
      <c r="D117" s="1"/>
      <c r="E117" s="1" t="s">
        <v>5788</v>
      </c>
      <c r="G117" s="4"/>
      <c r="H117" s="1" t="s">
        <v>5790</v>
      </c>
      <c r="I117" s="1" t="s">
        <v>5791</v>
      </c>
      <c r="J117" s="1" t="s">
        <v>5793</v>
      </c>
    </row>
    <row r="118">
      <c r="A118" s="1" t="s">
        <v>5796</v>
      </c>
      <c r="B118" s="1" t="s">
        <v>4635</v>
      </c>
      <c r="C118" s="1" t="s">
        <v>5799</v>
      </c>
      <c r="D118" s="1"/>
      <c r="E118" s="1" t="s">
        <v>5800</v>
      </c>
      <c r="G118" s="4"/>
      <c r="H118" s="1" t="s">
        <v>5804</v>
      </c>
      <c r="I118" s="1" t="s">
        <v>5410</v>
      </c>
      <c r="J118" s="1" t="s">
        <v>5807</v>
      </c>
    </row>
    <row r="119">
      <c r="A119" s="1" t="s">
        <v>5810</v>
      </c>
      <c r="B119" s="1" t="s">
        <v>4567</v>
      </c>
      <c r="C119" s="1" t="s">
        <v>5811</v>
      </c>
      <c r="D119" s="1"/>
      <c r="E119" s="1" t="s">
        <v>5813</v>
      </c>
      <c r="G119" s="4"/>
      <c r="H119" s="1" t="s">
        <v>5815</v>
      </c>
      <c r="I119" s="1" t="s">
        <v>4758</v>
      </c>
      <c r="J119" s="1" t="s">
        <v>5817</v>
      </c>
    </row>
    <row r="120">
      <c r="A120" s="1" t="s">
        <v>5819</v>
      </c>
      <c r="B120" s="1" t="s">
        <v>4567</v>
      </c>
      <c r="C120" s="1" t="s">
        <v>5821</v>
      </c>
      <c r="D120" s="1"/>
      <c r="E120" s="1" t="s">
        <v>5826</v>
      </c>
      <c r="G120" s="4"/>
      <c r="H120" s="1" t="s">
        <v>5828</v>
      </c>
      <c r="I120" s="1" t="s">
        <v>5830</v>
      </c>
      <c r="J120" s="1" t="s">
        <v>5831</v>
      </c>
    </row>
    <row r="121">
      <c r="A121" s="1" t="s">
        <v>5833</v>
      </c>
      <c r="B121" s="1" t="s">
        <v>4635</v>
      </c>
      <c r="C121" s="1" t="s">
        <v>5836</v>
      </c>
      <c r="D121" s="1"/>
      <c r="E121" s="1" t="s">
        <v>5840</v>
      </c>
      <c r="G121" s="4"/>
      <c r="H121" s="1" t="s">
        <v>5845</v>
      </c>
      <c r="I121" s="1" t="s">
        <v>5848</v>
      </c>
      <c r="J121" s="1" t="s">
        <v>5849</v>
      </c>
    </row>
    <row r="122">
      <c r="A122" s="1" t="s">
        <v>5850</v>
      </c>
      <c r="B122" s="1" t="s">
        <v>4567</v>
      </c>
      <c r="C122" s="1" t="s">
        <v>5852</v>
      </c>
      <c r="D122" s="1"/>
      <c r="E122" s="1" t="s">
        <v>5853</v>
      </c>
      <c r="G122" s="4"/>
      <c r="H122" s="1" t="s">
        <v>5857</v>
      </c>
      <c r="I122" s="1" t="s">
        <v>5859</v>
      </c>
      <c r="J122" s="1" t="s">
        <v>5861</v>
      </c>
    </row>
    <row r="123">
      <c r="A123" s="1" t="s">
        <v>5862</v>
      </c>
      <c r="B123" s="1" t="s">
        <v>4635</v>
      </c>
      <c r="C123" s="1" t="s">
        <v>5864</v>
      </c>
      <c r="D123" s="1"/>
      <c r="E123" s="1" t="s">
        <v>5866</v>
      </c>
      <c r="G123" s="4"/>
      <c r="H123" s="1" t="s">
        <v>5868</v>
      </c>
      <c r="I123" s="1" t="s">
        <v>5870</v>
      </c>
      <c r="J123" s="1" t="s">
        <v>5871</v>
      </c>
    </row>
    <row r="124">
      <c r="A124" s="1" t="s">
        <v>5873</v>
      </c>
      <c r="B124" s="1" t="s">
        <v>4533</v>
      </c>
      <c r="C124" s="1" t="s">
        <v>5877</v>
      </c>
      <c r="D124" s="1"/>
      <c r="E124" s="1" t="s">
        <v>5880</v>
      </c>
      <c r="G124" s="4"/>
      <c r="H124" s="1" t="s">
        <v>5882</v>
      </c>
      <c r="I124" s="1" t="s">
        <v>4548</v>
      </c>
      <c r="J124" s="1" t="s">
        <v>5885</v>
      </c>
    </row>
    <row r="125">
      <c r="A125" s="1" t="s">
        <v>5886</v>
      </c>
      <c r="B125" s="1" t="s">
        <v>4567</v>
      </c>
      <c r="C125" s="1" t="s">
        <v>5888</v>
      </c>
      <c r="D125" s="1"/>
      <c r="E125" s="1" t="s">
        <v>5890</v>
      </c>
      <c r="G125" s="4"/>
      <c r="H125" s="1" t="s">
        <v>5892</v>
      </c>
      <c r="I125" s="1" t="s">
        <v>4758</v>
      </c>
      <c r="J125" s="1" t="s">
        <v>5893</v>
      </c>
    </row>
    <row r="126">
      <c r="A126" s="1" t="s">
        <v>5896</v>
      </c>
      <c r="B126" s="1" t="s">
        <v>4567</v>
      </c>
      <c r="C126" s="1" t="s">
        <v>5898</v>
      </c>
      <c r="D126" s="1"/>
      <c r="E126" s="1" t="s">
        <v>5902</v>
      </c>
      <c r="G126" s="4"/>
      <c r="H126" s="1" t="s">
        <v>5905</v>
      </c>
      <c r="I126" s="1" t="s">
        <v>4758</v>
      </c>
      <c r="J126" s="1" t="s">
        <v>5907</v>
      </c>
    </row>
    <row r="127">
      <c r="A127" s="1" t="s">
        <v>5908</v>
      </c>
      <c r="B127" s="1" t="s">
        <v>4533</v>
      </c>
      <c r="C127" s="1" t="s">
        <v>5910</v>
      </c>
      <c r="D127" s="1"/>
      <c r="E127" s="1" t="s">
        <v>5912</v>
      </c>
      <c r="G127" s="4"/>
      <c r="H127" s="1" t="s">
        <v>5914</v>
      </c>
      <c r="I127" s="1" t="s">
        <v>5019</v>
      </c>
      <c r="J127" s="1" t="s">
        <v>5916</v>
      </c>
    </row>
    <row r="128">
      <c r="A128" s="1" t="s">
        <v>5918</v>
      </c>
      <c r="B128" s="1" t="s">
        <v>4567</v>
      </c>
      <c r="C128" s="1" t="s">
        <v>5920</v>
      </c>
      <c r="D128" s="1"/>
      <c r="E128" s="1" t="s">
        <v>5923</v>
      </c>
      <c r="G128" s="4"/>
      <c r="H128" s="1" t="s">
        <v>5926</v>
      </c>
      <c r="I128" s="1" t="s">
        <v>5927</v>
      </c>
      <c r="J128" s="1" t="s">
        <v>5929</v>
      </c>
    </row>
    <row r="129">
      <c r="A129" s="1" t="s">
        <v>5930</v>
      </c>
      <c r="B129" s="1" t="s">
        <v>4635</v>
      </c>
      <c r="C129" s="1" t="s">
        <v>5933</v>
      </c>
      <c r="D129" s="1"/>
      <c r="E129" s="1" t="s">
        <v>5935</v>
      </c>
      <c r="G129" s="4"/>
      <c r="H129" s="1" t="s">
        <v>5937</v>
      </c>
      <c r="I129" s="1" t="s">
        <v>5938</v>
      </c>
      <c r="J129" s="1" t="s">
        <v>5940</v>
      </c>
    </row>
    <row r="130">
      <c r="A130" s="1" t="s">
        <v>5941</v>
      </c>
      <c r="B130" s="1" t="s">
        <v>4567</v>
      </c>
      <c r="C130" s="1" t="s">
        <v>5942</v>
      </c>
      <c r="D130" s="1"/>
      <c r="E130" s="1" t="s">
        <v>5945</v>
      </c>
      <c r="G130" s="4"/>
      <c r="H130" s="1" t="s">
        <v>5947</v>
      </c>
      <c r="I130" s="1" t="s">
        <v>5948</v>
      </c>
      <c r="J130" s="1" t="s">
        <v>5951</v>
      </c>
    </row>
    <row r="131">
      <c r="A131" s="1" t="s">
        <v>5955</v>
      </c>
      <c r="B131" s="1" t="s">
        <v>4533</v>
      </c>
      <c r="C131" s="1" t="s">
        <v>5957</v>
      </c>
      <c r="D131" s="1"/>
      <c r="E131" s="1" t="s">
        <v>5958</v>
      </c>
      <c r="G131" s="4"/>
      <c r="H131" s="1" t="s">
        <v>5960</v>
      </c>
      <c r="I131" s="1" t="s">
        <v>4548</v>
      </c>
      <c r="J131" s="1" t="s">
        <v>5962</v>
      </c>
    </row>
    <row r="132">
      <c r="A132" s="1" t="s">
        <v>5963</v>
      </c>
      <c r="B132" s="1" t="s">
        <v>4635</v>
      </c>
      <c r="C132" s="1" t="s">
        <v>5965</v>
      </c>
      <c r="D132" s="1"/>
      <c r="E132" s="1" t="s">
        <v>5966</v>
      </c>
      <c r="G132" s="4"/>
      <c r="H132" s="1" t="s">
        <v>5968</v>
      </c>
      <c r="I132" s="1" t="s">
        <v>5970</v>
      </c>
      <c r="J132" s="1" t="s">
        <v>5972</v>
      </c>
    </row>
    <row r="133">
      <c r="A133" s="1" t="s">
        <v>5974</v>
      </c>
      <c r="B133" s="1" t="s">
        <v>4533</v>
      </c>
      <c r="C133" s="1" t="s">
        <v>5978</v>
      </c>
      <c r="D133" s="1"/>
      <c r="E133" s="1" t="s">
        <v>5980</v>
      </c>
      <c r="G133" s="4"/>
      <c r="H133" s="1" t="s">
        <v>5983</v>
      </c>
      <c r="I133" s="1" t="s">
        <v>5984</v>
      </c>
      <c r="J133" s="1" t="s">
        <v>5985</v>
      </c>
    </row>
    <row r="134">
      <c r="A134" s="1" t="s">
        <v>5987</v>
      </c>
      <c r="B134" s="1" t="s">
        <v>4635</v>
      </c>
      <c r="C134" s="1" t="s">
        <v>5990</v>
      </c>
      <c r="D134" s="1"/>
      <c r="E134" s="1" t="s">
        <v>5993</v>
      </c>
      <c r="G134" s="4"/>
      <c r="H134" s="1" t="s">
        <v>5994</v>
      </c>
      <c r="I134" s="1" t="s">
        <v>5564</v>
      </c>
      <c r="J134" s="1" t="s">
        <v>5997</v>
      </c>
    </row>
    <row r="135">
      <c r="A135" s="1" t="s">
        <v>5998</v>
      </c>
      <c r="B135" s="1" t="s">
        <v>4635</v>
      </c>
      <c r="C135" s="1" t="s">
        <v>6000</v>
      </c>
      <c r="D135" s="1"/>
      <c r="E135" s="1" t="s">
        <v>6001</v>
      </c>
      <c r="G135" s="4"/>
      <c r="H135" s="1" t="s">
        <v>6004</v>
      </c>
      <c r="I135" s="1" t="s">
        <v>5870</v>
      </c>
      <c r="J135" s="1" t="s">
        <v>6007</v>
      </c>
    </row>
    <row r="136">
      <c r="A136" s="1" t="s">
        <v>6010</v>
      </c>
      <c r="B136" s="1" t="s">
        <v>4567</v>
      </c>
      <c r="C136" s="1" t="s">
        <v>6013</v>
      </c>
      <c r="D136" s="1"/>
      <c r="E136" s="1" t="s">
        <v>6016</v>
      </c>
      <c r="G136" s="4"/>
      <c r="H136" s="1" t="s">
        <v>6017</v>
      </c>
      <c r="I136" s="1" t="s">
        <v>4548</v>
      </c>
      <c r="J136" s="1" t="s">
        <v>6019</v>
      </c>
    </row>
    <row r="137">
      <c r="A137" s="1" t="s">
        <v>6022</v>
      </c>
      <c r="B137" s="1" t="s">
        <v>4567</v>
      </c>
      <c r="C137" s="1" t="s">
        <v>6023</v>
      </c>
      <c r="D137" s="1"/>
      <c r="E137" s="1" t="s">
        <v>6026</v>
      </c>
      <c r="G137" s="4"/>
      <c r="H137" s="1" t="s">
        <v>6028</v>
      </c>
      <c r="I137" s="1" t="s">
        <v>6029</v>
      </c>
      <c r="J137" s="1" t="s">
        <v>6030</v>
      </c>
    </row>
    <row r="138">
      <c r="A138" s="1" t="s">
        <v>6080</v>
      </c>
      <c r="B138" s="1" t="s">
        <v>4533</v>
      </c>
      <c r="C138" s="1" t="s">
        <v>6084</v>
      </c>
      <c r="D138" s="1"/>
      <c r="E138" s="1" t="s">
        <v>6087</v>
      </c>
      <c r="G138" s="4"/>
      <c r="H138" s="1" t="s">
        <v>6090</v>
      </c>
      <c r="I138" s="1" t="s">
        <v>5410</v>
      </c>
      <c r="J138" s="1" t="s">
        <v>6093</v>
      </c>
    </row>
    <row r="139">
      <c r="A139" s="1" t="s">
        <v>6097</v>
      </c>
      <c r="B139" s="1" t="s">
        <v>4533</v>
      </c>
      <c r="C139" s="1" t="s">
        <v>6099</v>
      </c>
      <c r="D139" s="1"/>
      <c r="G139" s="4"/>
      <c r="H139" s="1" t="s">
        <v>6102</v>
      </c>
      <c r="I139" s="1" t="s">
        <v>4758</v>
      </c>
      <c r="J139" s="1" t="s">
        <v>6103</v>
      </c>
    </row>
    <row r="140">
      <c r="A140" s="1" t="s">
        <v>6106</v>
      </c>
      <c r="B140" s="1" t="s">
        <v>4533</v>
      </c>
      <c r="C140" s="1" t="s">
        <v>6111</v>
      </c>
      <c r="D140" s="1"/>
      <c r="E140" s="1" t="s">
        <v>6115</v>
      </c>
      <c r="G140" s="4"/>
      <c r="H140" s="1" t="s">
        <v>6122</v>
      </c>
      <c r="I140" s="1" t="s">
        <v>4598</v>
      </c>
      <c r="J140" s="1" t="s">
        <v>6126</v>
      </c>
    </row>
    <row r="141">
      <c r="A141" s="1" t="s">
        <v>6128</v>
      </c>
      <c r="B141" s="1" t="s">
        <v>4533</v>
      </c>
      <c r="C141" s="1" t="s">
        <v>6130</v>
      </c>
      <c r="D141" s="1"/>
      <c r="E141" s="1" t="s">
        <v>6132</v>
      </c>
      <c r="G141" s="4"/>
      <c r="H141" s="1" t="s">
        <v>6137</v>
      </c>
      <c r="I141" s="1" t="s">
        <v>4758</v>
      </c>
      <c r="J141" s="1" t="s">
        <v>6140</v>
      </c>
    </row>
    <row r="142">
      <c r="A142" s="1" t="s">
        <v>6143</v>
      </c>
      <c r="B142" s="1" t="s">
        <v>4635</v>
      </c>
      <c r="C142" s="1" t="s">
        <v>6150</v>
      </c>
      <c r="D142" s="1"/>
      <c r="E142" s="1" t="s">
        <v>6152</v>
      </c>
      <c r="G142" s="4"/>
      <c r="H142" s="1" t="s">
        <v>6159</v>
      </c>
      <c r="I142" s="1" t="s">
        <v>4867</v>
      </c>
      <c r="J142" s="1" t="s">
        <v>6160</v>
      </c>
    </row>
    <row r="143">
      <c r="A143" s="1" t="s">
        <v>6165</v>
      </c>
      <c r="B143" s="1" t="s">
        <v>4635</v>
      </c>
      <c r="C143" s="1" t="s">
        <v>6166</v>
      </c>
      <c r="D143" s="1"/>
      <c r="E143" s="1" t="s">
        <v>6167</v>
      </c>
      <c r="G143" s="4"/>
      <c r="H143" s="1" t="s">
        <v>6169</v>
      </c>
      <c r="I143" s="1" t="s">
        <v>4548</v>
      </c>
      <c r="J143" s="1" t="s">
        <v>6173</v>
      </c>
    </row>
    <row r="144">
      <c r="A144" s="1" t="s">
        <v>6176</v>
      </c>
      <c r="B144" s="1" t="s">
        <v>4635</v>
      </c>
      <c r="C144" s="1" t="s">
        <v>6180</v>
      </c>
      <c r="D144" s="1" t="b">
        <v>1</v>
      </c>
      <c r="E144" s="1" t="s">
        <v>6182</v>
      </c>
      <c r="F144" s="4"/>
      <c r="G144" s="1" t="s">
        <v>6182</v>
      </c>
      <c r="H144" s="1" t="s">
        <v>6188</v>
      </c>
      <c r="I144" s="1" t="s">
        <v>5948</v>
      </c>
      <c r="J144" s="1" t="s">
        <v>6189</v>
      </c>
    </row>
    <row r="145">
      <c r="A145" s="1" t="s">
        <v>6190</v>
      </c>
      <c r="B145" s="1" t="s">
        <v>4533</v>
      </c>
      <c r="C145" s="1" t="s">
        <v>6194</v>
      </c>
      <c r="D145" s="1"/>
      <c r="E145" s="1" t="s">
        <v>6198</v>
      </c>
      <c r="G145" s="4"/>
      <c r="H145" s="1" t="s">
        <v>6200</v>
      </c>
      <c r="I145" s="1" t="s">
        <v>4548</v>
      </c>
      <c r="J145" s="1" t="s">
        <v>6202</v>
      </c>
    </row>
    <row r="146">
      <c r="A146" s="1" t="s">
        <v>6204</v>
      </c>
      <c r="B146" s="1" t="s">
        <v>4533</v>
      </c>
      <c r="C146" s="1" t="s">
        <v>6209</v>
      </c>
      <c r="D146" s="1"/>
      <c r="E146" s="1" t="s">
        <v>6210</v>
      </c>
      <c r="G146" s="4"/>
      <c r="H146" s="1" t="s">
        <v>6214</v>
      </c>
      <c r="I146" s="1" t="s">
        <v>4548</v>
      </c>
      <c r="J146" s="1" t="s">
        <v>6219</v>
      </c>
    </row>
    <row r="147">
      <c r="A147" s="1" t="s">
        <v>6221</v>
      </c>
      <c r="B147" s="1" t="s">
        <v>4533</v>
      </c>
      <c r="C147" s="1" t="s">
        <v>6223</v>
      </c>
      <c r="D147" s="1"/>
      <c r="E147" s="1" t="s">
        <v>6227</v>
      </c>
      <c r="G147" s="4"/>
      <c r="H147" s="1" t="s">
        <v>6229</v>
      </c>
      <c r="I147" s="1" t="s">
        <v>4548</v>
      </c>
      <c r="J147" s="1" t="s">
        <v>6231</v>
      </c>
    </row>
    <row r="148">
      <c r="A148" s="1" t="s">
        <v>6232</v>
      </c>
      <c r="B148" s="1" t="s">
        <v>4567</v>
      </c>
      <c r="C148" s="1" t="s">
        <v>6235</v>
      </c>
      <c r="D148" s="1"/>
      <c r="E148" s="1" t="s">
        <v>6239</v>
      </c>
      <c r="G148" s="4"/>
      <c r="H148" s="1" t="s">
        <v>6241</v>
      </c>
      <c r="I148" s="1" t="s">
        <v>4548</v>
      </c>
      <c r="J148" s="1" t="s">
        <v>6243</v>
      </c>
    </row>
    <row r="149">
      <c r="A149" s="1" t="s">
        <v>6246</v>
      </c>
      <c r="B149" s="1" t="s">
        <v>4635</v>
      </c>
      <c r="C149" s="1" t="s">
        <v>6248</v>
      </c>
      <c r="D149" s="1"/>
      <c r="E149" s="1" t="s">
        <v>6250</v>
      </c>
      <c r="G149" s="4"/>
      <c r="H149" s="1" t="s">
        <v>6262</v>
      </c>
      <c r="I149" s="1" t="s">
        <v>4687</v>
      </c>
      <c r="J149" s="1" t="s">
        <v>6264</v>
      </c>
    </row>
    <row r="150">
      <c r="A150" s="1" t="s">
        <v>6266</v>
      </c>
      <c r="B150" s="1" t="s">
        <v>4567</v>
      </c>
      <c r="C150" s="1" t="s">
        <v>6269</v>
      </c>
      <c r="D150" s="1"/>
      <c r="E150" s="1" t="s">
        <v>6271</v>
      </c>
      <c r="G150" s="4"/>
      <c r="H150" s="1" t="s">
        <v>6273</v>
      </c>
      <c r="I150" s="1" t="s">
        <v>4758</v>
      </c>
      <c r="J150" s="1" t="s">
        <v>6274</v>
      </c>
    </row>
    <row r="151">
      <c r="A151" s="1" t="s">
        <v>6276</v>
      </c>
      <c r="B151" s="1" t="s">
        <v>4635</v>
      </c>
      <c r="C151" s="1" t="s">
        <v>6277</v>
      </c>
      <c r="D151" s="1"/>
      <c r="E151" s="1" t="s">
        <v>6282</v>
      </c>
      <c r="G151" s="4"/>
      <c r="H151" s="1" t="s">
        <v>6285</v>
      </c>
      <c r="I151" s="1" t="s">
        <v>4548</v>
      </c>
      <c r="J151" s="1" t="s">
        <v>6288</v>
      </c>
    </row>
    <row r="152">
      <c r="A152" s="1" t="s">
        <v>6291</v>
      </c>
      <c r="B152" s="1" t="s">
        <v>4567</v>
      </c>
      <c r="C152" s="1" t="s">
        <v>6293</v>
      </c>
      <c r="D152" s="1"/>
      <c r="E152" s="1" t="s">
        <v>6295</v>
      </c>
      <c r="G152" s="4"/>
      <c r="H152" s="1" t="s">
        <v>6298</v>
      </c>
      <c r="I152" s="1" t="s">
        <v>6029</v>
      </c>
      <c r="J152" s="1" t="s">
        <v>6300</v>
      </c>
    </row>
    <row r="153">
      <c r="A153" s="1" t="s">
        <v>6303</v>
      </c>
      <c r="B153" s="1" t="s">
        <v>4635</v>
      </c>
      <c r="C153" s="1" t="s">
        <v>6305</v>
      </c>
      <c r="D153" s="1"/>
      <c r="E153" s="1" t="s">
        <v>6307</v>
      </c>
      <c r="F153" s="4"/>
      <c r="G153" s="1" t="s">
        <v>6309</v>
      </c>
      <c r="H153" s="1" t="s">
        <v>6313</v>
      </c>
      <c r="I153" s="1" t="s">
        <v>4548</v>
      </c>
      <c r="J153" s="1" t="s">
        <v>6315</v>
      </c>
    </row>
    <row r="154">
      <c r="A154" s="1" t="s">
        <v>6317</v>
      </c>
      <c r="B154" s="1" t="s">
        <v>4533</v>
      </c>
      <c r="C154" s="1" t="s">
        <v>6320</v>
      </c>
      <c r="D154" s="1"/>
      <c r="E154" s="1" t="s">
        <v>6323</v>
      </c>
      <c r="F154" s="4"/>
      <c r="G154" s="1" t="s">
        <v>6326</v>
      </c>
      <c r="H154" s="1" t="s">
        <v>6329</v>
      </c>
      <c r="I154" s="1" t="s">
        <v>4758</v>
      </c>
      <c r="J154" s="1" t="s">
        <v>6331</v>
      </c>
    </row>
    <row r="155">
      <c r="A155" s="1" t="s">
        <v>6334</v>
      </c>
      <c r="B155" s="1" t="s">
        <v>4693</v>
      </c>
      <c r="C155" s="1" t="s">
        <v>6338</v>
      </c>
      <c r="D155" s="1"/>
      <c r="E155" s="1" t="s">
        <v>6340</v>
      </c>
      <c r="G155" s="4"/>
      <c r="H155" s="1" t="s">
        <v>6341</v>
      </c>
      <c r="I155" s="1" t="s">
        <v>4575</v>
      </c>
      <c r="J155" s="1" t="s">
        <v>6345</v>
      </c>
    </row>
    <row r="156">
      <c r="A156" s="1" t="s">
        <v>6347</v>
      </c>
      <c r="B156" s="1" t="s">
        <v>4693</v>
      </c>
      <c r="C156" s="1" t="s">
        <v>6350</v>
      </c>
      <c r="D156" s="1"/>
      <c r="E156" s="1" t="s">
        <v>6352</v>
      </c>
      <c r="G156" s="4"/>
      <c r="H156" s="1" t="s">
        <v>6355</v>
      </c>
      <c r="I156" s="1" t="s">
        <v>4575</v>
      </c>
      <c r="J156" s="1" t="s">
        <v>6357</v>
      </c>
    </row>
    <row r="157">
      <c r="A157" s="1" t="s">
        <v>6358</v>
      </c>
      <c r="B157" s="1" t="s">
        <v>4693</v>
      </c>
      <c r="C157" s="1" t="s">
        <v>6360</v>
      </c>
      <c r="D157" s="1"/>
      <c r="E157" s="1" t="s">
        <v>6362</v>
      </c>
      <c r="G157" s="4"/>
      <c r="H157" s="1" t="s">
        <v>6365</v>
      </c>
      <c r="I157" s="1" t="s">
        <v>4575</v>
      </c>
      <c r="J157" s="1" t="s">
        <v>6366</v>
      </c>
    </row>
    <row r="158">
      <c r="A158" s="1" t="s">
        <v>6369</v>
      </c>
      <c r="B158" s="1" t="s">
        <v>4533</v>
      </c>
      <c r="C158" s="1" t="s">
        <v>6375</v>
      </c>
      <c r="D158" s="1"/>
      <c r="E158" s="1" t="s">
        <v>6376</v>
      </c>
      <c r="F158" s="4"/>
      <c r="G158" s="1" t="s">
        <v>6377</v>
      </c>
      <c r="H158" s="1" t="s">
        <v>6380</v>
      </c>
      <c r="I158" s="1" t="s">
        <v>4758</v>
      </c>
      <c r="J158" s="1" t="s">
        <v>6382</v>
      </c>
    </row>
    <row r="159">
      <c r="A159" s="1" t="s">
        <v>6385</v>
      </c>
      <c r="B159" s="1" t="s">
        <v>4693</v>
      </c>
      <c r="C159" s="1" t="s">
        <v>6386</v>
      </c>
      <c r="D159" s="1"/>
      <c r="E159" s="1" t="s">
        <v>6390</v>
      </c>
      <c r="G159" s="4"/>
      <c r="H159" s="1" t="s">
        <v>6392</v>
      </c>
      <c r="I159" s="1" t="s">
        <v>4575</v>
      </c>
      <c r="J159" s="1" t="s">
        <v>6394</v>
      </c>
    </row>
    <row r="160">
      <c r="A160" s="1" t="s">
        <v>6395</v>
      </c>
      <c r="B160" s="1" t="s">
        <v>4693</v>
      </c>
      <c r="C160" s="1" t="s">
        <v>6398</v>
      </c>
      <c r="D160" s="1"/>
      <c r="E160" s="1" t="s">
        <v>6401</v>
      </c>
      <c r="G160" s="4"/>
      <c r="H160" s="1" t="s">
        <v>6355</v>
      </c>
      <c r="I160" s="1" t="s">
        <v>6405</v>
      </c>
      <c r="J160" s="1" t="s">
        <v>6409</v>
      </c>
    </row>
    <row r="161">
      <c r="A161" s="1" t="s">
        <v>6412</v>
      </c>
      <c r="B161" s="1" t="s">
        <v>4635</v>
      </c>
      <c r="C161" s="1" t="s">
        <v>6414</v>
      </c>
      <c r="D161" s="1"/>
      <c r="G161" s="4"/>
      <c r="H161" s="1" t="s">
        <v>6417</v>
      </c>
      <c r="I161" s="1" t="s">
        <v>5019</v>
      </c>
      <c r="J161" s="1" t="s">
        <v>6420</v>
      </c>
    </row>
    <row r="162">
      <c r="A162" s="1" t="s">
        <v>6423</v>
      </c>
      <c r="B162" s="1" t="s">
        <v>4567</v>
      </c>
      <c r="C162" s="1" t="s">
        <v>6424</v>
      </c>
      <c r="D162" s="1"/>
      <c r="F162" s="4"/>
      <c r="G162" s="1" t="s">
        <v>6428</v>
      </c>
      <c r="H162" s="1" t="s">
        <v>6430</v>
      </c>
      <c r="I162" s="1" t="s">
        <v>4548</v>
      </c>
      <c r="J162" s="1" t="s">
        <v>6432</v>
      </c>
    </row>
    <row r="163">
      <c r="A163" s="1" t="s">
        <v>6433</v>
      </c>
      <c r="B163" s="1" t="s">
        <v>4635</v>
      </c>
      <c r="C163" s="1" t="s">
        <v>6435</v>
      </c>
      <c r="D163" s="1"/>
      <c r="E163" s="1" t="s">
        <v>6437</v>
      </c>
      <c r="G163" s="4"/>
      <c r="H163" s="1" t="s">
        <v>6440</v>
      </c>
      <c r="I163" s="1" t="s">
        <v>6442</v>
      </c>
      <c r="J163" s="1" t="s">
        <v>6444</v>
      </c>
    </row>
    <row r="164">
      <c r="A164" s="1" t="s">
        <v>6446</v>
      </c>
      <c r="B164" s="1" t="s">
        <v>4693</v>
      </c>
      <c r="C164" s="1" t="s">
        <v>6447</v>
      </c>
      <c r="D164" s="1"/>
      <c r="E164" s="1" t="s">
        <v>6448</v>
      </c>
      <c r="G164" s="4"/>
      <c r="H164" s="1" t="s">
        <v>6452</v>
      </c>
      <c r="I164" s="1" t="s">
        <v>4598</v>
      </c>
      <c r="J164" s="1" t="s">
        <v>6454</v>
      </c>
    </row>
    <row r="165">
      <c r="A165" s="1" t="s">
        <v>6456</v>
      </c>
      <c r="B165" s="1" t="s">
        <v>4567</v>
      </c>
      <c r="C165" s="1" t="s">
        <v>6457</v>
      </c>
      <c r="D165" s="1"/>
      <c r="E165" s="1" t="s">
        <v>6458</v>
      </c>
      <c r="G165" s="4"/>
      <c r="H165" s="1" t="s">
        <v>6460</v>
      </c>
      <c r="I165" s="1" t="s">
        <v>4548</v>
      </c>
      <c r="J165" s="1" t="s">
        <v>6462</v>
      </c>
    </row>
    <row r="166">
      <c r="A166" s="1" t="s">
        <v>6464</v>
      </c>
      <c r="B166" s="1" t="s">
        <v>4635</v>
      </c>
      <c r="C166" s="1" t="s">
        <v>6467</v>
      </c>
      <c r="D166" s="1"/>
      <c r="E166" s="1" t="s">
        <v>6468</v>
      </c>
      <c r="F166" s="4"/>
      <c r="G166" s="1" t="s">
        <v>6470</v>
      </c>
      <c r="H166" s="1" t="s">
        <v>6476</v>
      </c>
      <c r="I166" s="1" t="s">
        <v>4758</v>
      </c>
      <c r="J166" s="1" t="s">
        <v>6478</v>
      </c>
    </row>
    <row r="167">
      <c r="A167" s="1" t="s">
        <v>6479</v>
      </c>
      <c r="B167" s="1" t="s">
        <v>4693</v>
      </c>
      <c r="C167" s="1" t="s">
        <v>6483</v>
      </c>
      <c r="D167" s="1"/>
      <c r="E167" s="1" t="s">
        <v>6485</v>
      </c>
      <c r="F167" s="4"/>
      <c r="G167" s="1" t="s">
        <v>6487</v>
      </c>
      <c r="H167" s="1" t="s">
        <v>6487</v>
      </c>
      <c r="I167" s="1" t="s">
        <v>4575</v>
      </c>
      <c r="J167" s="1" t="s">
        <v>6489</v>
      </c>
    </row>
    <row r="168">
      <c r="A168" s="1" t="s">
        <v>6490</v>
      </c>
      <c r="B168" s="1" t="s">
        <v>4635</v>
      </c>
      <c r="C168" s="1" t="s">
        <v>6493</v>
      </c>
      <c r="D168" s="1"/>
      <c r="E168" s="1" t="s">
        <v>6496</v>
      </c>
      <c r="F168" s="4"/>
      <c r="G168" s="1" t="s">
        <v>6498</v>
      </c>
      <c r="H168" s="1" t="s">
        <v>6500</v>
      </c>
      <c r="I168" s="1" t="s">
        <v>5451</v>
      </c>
      <c r="J168" s="1" t="s">
        <v>6502</v>
      </c>
    </row>
    <row r="169">
      <c r="A169" s="1" t="s">
        <v>6503</v>
      </c>
      <c r="B169" s="1" t="s">
        <v>4635</v>
      </c>
      <c r="C169" s="1" t="s">
        <v>6506</v>
      </c>
      <c r="D169" s="1"/>
      <c r="E169" s="1" t="s">
        <v>6508</v>
      </c>
      <c r="F169" s="4"/>
      <c r="G169" s="1" t="s">
        <v>6510</v>
      </c>
      <c r="H169" s="1" t="s">
        <v>6512</v>
      </c>
      <c r="I169" s="1" t="s">
        <v>4758</v>
      </c>
      <c r="J169" s="1" t="s">
        <v>6513</v>
      </c>
    </row>
    <row r="170">
      <c r="A170" s="1" t="s">
        <v>6514</v>
      </c>
      <c r="B170" s="1" t="s">
        <v>4635</v>
      </c>
      <c r="C170" s="1" t="s">
        <v>6516</v>
      </c>
      <c r="D170" s="1"/>
      <c r="E170" s="1" t="s">
        <v>6519</v>
      </c>
      <c r="F170" s="4"/>
      <c r="G170" s="1" t="s">
        <v>6522</v>
      </c>
      <c r="H170" s="1" t="s">
        <v>6524</v>
      </c>
      <c r="I170" s="1" t="s">
        <v>4598</v>
      </c>
      <c r="J170" s="1" t="s">
        <v>6526</v>
      </c>
    </row>
    <row r="171">
      <c r="A171" s="1" t="s">
        <v>6528</v>
      </c>
      <c r="B171" s="1" t="s">
        <v>4635</v>
      </c>
      <c r="C171" s="1" t="s">
        <v>6529</v>
      </c>
      <c r="D171" s="1"/>
      <c r="E171" s="1" t="s">
        <v>6531</v>
      </c>
      <c r="F171" s="4"/>
      <c r="G171" s="1" t="s">
        <v>6534</v>
      </c>
      <c r="H171" s="1" t="s">
        <v>6534</v>
      </c>
      <c r="I171" s="1" t="s">
        <v>6536</v>
      </c>
      <c r="J171" s="1" t="s">
        <v>6538</v>
      </c>
    </row>
    <row r="172">
      <c r="A172" s="1" t="s">
        <v>6539</v>
      </c>
      <c r="B172" s="1" t="s">
        <v>4533</v>
      </c>
      <c r="C172" s="1" t="s">
        <v>6541</v>
      </c>
      <c r="D172" s="1"/>
      <c r="E172" s="1" t="s">
        <v>6542</v>
      </c>
      <c r="F172" s="4"/>
      <c r="G172" s="1" t="s">
        <v>6545</v>
      </c>
      <c r="H172" s="1" t="s">
        <v>6546</v>
      </c>
      <c r="I172" s="1" t="s">
        <v>4655</v>
      </c>
      <c r="J172" s="1" t="s">
        <v>6549</v>
      </c>
    </row>
    <row r="173">
      <c r="A173" s="1" t="s">
        <v>6552</v>
      </c>
      <c r="B173" s="1" t="s">
        <v>4635</v>
      </c>
      <c r="C173" s="1" t="s">
        <v>6554</v>
      </c>
      <c r="D173" s="1"/>
      <c r="E173" s="1" t="s">
        <v>6555</v>
      </c>
      <c r="G173" s="4"/>
      <c r="H173" s="1" t="s">
        <v>6558</v>
      </c>
      <c r="I173" s="1" t="s">
        <v>4598</v>
      </c>
      <c r="J173" s="1" t="s">
        <v>6560</v>
      </c>
    </row>
    <row r="174">
      <c r="A174" s="1" t="s">
        <v>6562</v>
      </c>
      <c r="B174" s="1" t="s">
        <v>4635</v>
      </c>
      <c r="C174" s="1" t="s">
        <v>6564</v>
      </c>
      <c r="D174" s="1"/>
      <c r="E174" s="1" t="s">
        <v>6565</v>
      </c>
      <c r="F174" s="4"/>
      <c r="G174" s="1" t="s">
        <v>6566</v>
      </c>
      <c r="H174" s="1" t="s">
        <v>6569</v>
      </c>
      <c r="I174" s="1" t="s">
        <v>6571</v>
      </c>
      <c r="J174" s="1" t="s">
        <v>6572</v>
      </c>
    </row>
    <row r="175">
      <c r="A175" s="1" t="s">
        <v>6577</v>
      </c>
      <c r="B175" s="1" t="s">
        <v>4693</v>
      </c>
      <c r="C175" s="1" t="s">
        <v>6579</v>
      </c>
      <c r="D175" s="1"/>
      <c r="F175" s="4"/>
      <c r="G175" s="1" t="s">
        <v>6580</v>
      </c>
      <c r="H175" s="1" t="s">
        <v>6583</v>
      </c>
      <c r="I175" s="1" t="s">
        <v>4548</v>
      </c>
      <c r="J175" s="1" t="s">
        <v>6585</v>
      </c>
    </row>
    <row r="176">
      <c r="A176" s="1" t="s">
        <v>6587</v>
      </c>
      <c r="B176" s="1" t="s">
        <v>4567</v>
      </c>
      <c r="C176" s="1" t="s">
        <v>6589</v>
      </c>
      <c r="D176" s="1"/>
      <c r="F176" s="4"/>
      <c r="G176" s="1" t="s">
        <v>6592</v>
      </c>
      <c r="H176" s="1" t="s">
        <v>6593</v>
      </c>
      <c r="I176" s="1" t="s">
        <v>4548</v>
      </c>
      <c r="J176" s="1" t="s">
        <v>6596</v>
      </c>
    </row>
    <row r="177">
      <c r="A177" s="1" t="s">
        <v>6597</v>
      </c>
      <c r="B177" s="1" t="s">
        <v>4693</v>
      </c>
      <c r="C177" s="1" t="s">
        <v>6599</v>
      </c>
      <c r="D177" s="1"/>
      <c r="F177" s="4"/>
      <c r="G177" s="1" t="s">
        <v>6603</v>
      </c>
      <c r="H177" s="1" t="s">
        <v>6607</v>
      </c>
      <c r="I177" s="1" t="s">
        <v>5410</v>
      </c>
      <c r="J177" s="1" t="s">
        <v>6608</v>
      </c>
    </row>
    <row r="178">
      <c r="A178" s="1" t="s">
        <v>6610</v>
      </c>
      <c r="B178" s="1" t="s">
        <v>4635</v>
      </c>
      <c r="C178" s="1" t="s">
        <v>6612</v>
      </c>
      <c r="D178" s="1"/>
      <c r="G178" s="4"/>
      <c r="H178" s="1" t="s">
        <v>6621</v>
      </c>
      <c r="I178" s="1" t="s">
        <v>5410</v>
      </c>
      <c r="J178" s="1" t="s">
        <v>6622</v>
      </c>
    </row>
    <row r="179">
      <c r="A179" s="1" t="s">
        <v>6625</v>
      </c>
      <c r="B179" s="1" t="s">
        <v>4693</v>
      </c>
      <c r="C179" s="1" t="s">
        <v>6627</v>
      </c>
      <c r="D179" s="1"/>
      <c r="F179" s="4"/>
      <c r="G179" s="1" t="s">
        <v>6633</v>
      </c>
      <c r="H179" s="1" t="s">
        <v>6636</v>
      </c>
      <c r="I179" s="1" t="s">
        <v>4598</v>
      </c>
      <c r="J179" s="1" t="s">
        <v>6640</v>
      </c>
    </row>
    <row r="180">
      <c r="A180" s="1" t="s">
        <v>6642</v>
      </c>
      <c r="B180" s="1" t="s">
        <v>4693</v>
      </c>
      <c r="C180" s="1" t="s">
        <v>6644</v>
      </c>
      <c r="D180" s="1"/>
      <c r="F180" s="4"/>
      <c r="G180" s="1" t="s">
        <v>6646</v>
      </c>
      <c r="H180" s="1" t="s">
        <v>6650</v>
      </c>
      <c r="I180" s="1" t="s">
        <v>4758</v>
      </c>
      <c r="J180" s="1" t="s">
        <v>6654</v>
      </c>
    </row>
    <row r="181">
      <c r="A181" s="1" t="s">
        <v>6656</v>
      </c>
      <c r="B181" s="1" t="s">
        <v>4533</v>
      </c>
      <c r="C181" s="1" t="s">
        <v>6658</v>
      </c>
      <c r="D181" s="1"/>
      <c r="F181" s="4"/>
      <c r="G181" s="1" t="s">
        <v>6660</v>
      </c>
      <c r="H181" s="1" t="s">
        <v>6663</v>
      </c>
      <c r="I181" s="1" t="s">
        <v>4867</v>
      </c>
      <c r="J181" s="1" t="s">
        <v>6666</v>
      </c>
    </row>
    <row r="182">
      <c r="A182" s="1" t="s">
        <v>6670</v>
      </c>
      <c r="B182" s="1" t="s">
        <v>4693</v>
      </c>
      <c r="C182" s="1" t="s">
        <v>6671</v>
      </c>
      <c r="D182" s="1"/>
      <c r="F182" s="4"/>
      <c r="G182" s="1" t="s">
        <v>6675</v>
      </c>
      <c r="H182" s="1" t="s">
        <v>6677</v>
      </c>
      <c r="I182" s="1" t="s">
        <v>4598</v>
      </c>
      <c r="J182" s="1" t="s">
        <v>6679</v>
      </c>
    </row>
    <row r="183">
      <c r="A183" s="1" t="s">
        <v>6684</v>
      </c>
      <c r="B183" s="1" t="s">
        <v>4567</v>
      </c>
      <c r="C183" s="1" t="s">
        <v>6688</v>
      </c>
      <c r="D183" s="1"/>
      <c r="F183" s="4"/>
      <c r="G183" s="1" t="s">
        <v>6692</v>
      </c>
      <c r="H183" s="1" t="s">
        <v>6695</v>
      </c>
      <c r="I183" s="1" t="s">
        <v>4687</v>
      </c>
      <c r="J183" s="1" t="s">
        <v>6698</v>
      </c>
    </row>
    <row r="184">
      <c r="A184" s="1" t="s">
        <v>6700</v>
      </c>
      <c r="B184" s="1" t="s">
        <v>4693</v>
      </c>
      <c r="C184" s="1" t="s">
        <v>6703</v>
      </c>
      <c r="D184" s="1"/>
      <c r="G184" s="4"/>
      <c r="H184" s="1" t="s">
        <v>6706</v>
      </c>
      <c r="I184" s="1" t="s">
        <v>6708</v>
      </c>
      <c r="J184" s="1" t="s">
        <v>6710</v>
      </c>
    </row>
    <row r="185">
      <c r="A185" s="1" t="s">
        <v>6712</v>
      </c>
      <c r="B185" s="1" t="s">
        <v>4635</v>
      </c>
      <c r="C185" s="1" t="s">
        <v>6715</v>
      </c>
      <c r="D185" s="1"/>
      <c r="E185" s="1" t="s">
        <v>6725</v>
      </c>
      <c r="F185" s="4"/>
      <c r="G185" s="1" t="s">
        <v>6726</v>
      </c>
      <c r="H185" s="1" t="s">
        <v>6728</v>
      </c>
      <c r="I185" s="1" t="s">
        <v>6536</v>
      </c>
      <c r="J185" s="1" t="s">
        <v>6732</v>
      </c>
    </row>
    <row r="186">
      <c r="A186" s="1" t="s">
        <v>6735</v>
      </c>
      <c r="B186" s="1" t="s">
        <v>4693</v>
      </c>
      <c r="C186" s="1" t="s">
        <v>6739</v>
      </c>
      <c r="D186" s="1"/>
      <c r="E186" s="1" t="s">
        <v>6741</v>
      </c>
      <c r="G186" s="4"/>
      <c r="H186" s="1" t="s">
        <v>6744</v>
      </c>
      <c r="I186" s="1" t="s">
        <v>6746</v>
      </c>
      <c r="J186" s="1" t="s">
        <v>6748</v>
      </c>
    </row>
    <row r="187">
      <c r="A187" s="1" t="s">
        <v>6750</v>
      </c>
      <c r="B187" s="1" t="s">
        <v>4693</v>
      </c>
      <c r="C187" s="1" t="s">
        <v>6752</v>
      </c>
      <c r="D187" s="1"/>
      <c r="E187" s="1" t="s">
        <v>6754</v>
      </c>
      <c r="G187" s="4"/>
      <c r="H187" s="1" t="s">
        <v>6755</v>
      </c>
      <c r="I187" s="1" t="s">
        <v>4867</v>
      </c>
      <c r="J187" s="1" t="s">
        <v>6759</v>
      </c>
    </row>
    <row r="188">
      <c r="A188" s="1" t="s">
        <v>6761</v>
      </c>
      <c r="B188" s="1" t="s">
        <v>4635</v>
      </c>
      <c r="C188" s="1" t="s">
        <v>6763</v>
      </c>
      <c r="D188" s="1"/>
      <c r="E188" s="1" t="s">
        <v>6764</v>
      </c>
      <c r="G188" s="4"/>
      <c r="H188" s="1" t="s">
        <v>6770</v>
      </c>
      <c r="I188" s="1" t="s">
        <v>6772</v>
      </c>
      <c r="J188" s="1" t="s">
        <v>6775</v>
      </c>
    </row>
    <row r="189">
      <c r="A189" s="1" t="s">
        <v>6777</v>
      </c>
      <c r="B189" s="1" t="s">
        <v>4567</v>
      </c>
      <c r="C189" s="1" t="s">
        <v>6780</v>
      </c>
      <c r="D189" s="1"/>
      <c r="E189" s="1" t="s">
        <v>6783</v>
      </c>
      <c r="F189" s="1" t="s">
        <v>6785</v>
      </c>
      <c r="G189" s="1" t="s">
        <v>6786</v>
      </c>
      <c r="H189" s="1" t="s">
        <v>6790</v>
      </c>
      <c r="I189" s="1" t="s">
        <v>4867</v>
      </c>
      <c r="J189" s="1" t="s">
        <v>6793</v>
      </c>
    </row>
    <row r="190">
      <c r="A190" s="1" t="s">
        <v>6796</v>
      </c>
      <c r="B190" s="1" t="s">
        <v>4635</v>
      </c>
      <c r="C190" s="1" t="s">
        <v>6797</v>
      </c>
      <c r="D190" s="1"/>
      <c r="E190" s="1" t="s">
        <v>6799</v>
      </c>
      <c r="G190" s="4"/>
      <c r="H190" s="1" t="s">
        <v>6803</v>
      </c>
      <c r="I190" s="1" t="s">
        <v>5474</v>
      </c>
      <c r="J190" s="1" t="s">
        <v>6806</v>
      </c>
    </row>
    <row r="191">
      <c r="A191" s="1" t="s">
        <v>6811</v>
      </c>
      <c r="B191" s="1" t="s">
        <v>4567</v>
      </c>
      <c r="C191" s="1" t="s">
        <v>6812</v>
      </c>
      <c r="D191" s="1"/>
      <c r="E191" s="1" t="s">
        <v>6813</v>
      </c>
      <c r="F191" s="4"/>
      <c r="G191" s="1" t="s">
        <v>6821</v>
      </c>
      <c r="H191" s="1" t="s">
        <v>6823</v>
      </c>
      <c r="I191" s="1" t="s">
        <v>6825</v>
      </c>
      <c r="J191" s="1" t="s">
        <v>6827</v>
      </c>
    </row>
    <row r="192">
      <c r="A192" s="1" t="s">
        <v>6829</v>
      </c>
      <c r="B192" s="1" t="s">
        <v>4567</v>
      </c>
      <c r="C192" s="1" t="s">
        <v>6831</v>
      </c>
      <c r="D192" s="1"/>
      <c r="E192" s="1" t="s">
        <v>6835</v>
      </c>
      <c r="F192" s="4"/>
      <c r="G192" s="1" t="s">
        <v>6838</v>
      </c>
      <c r="H192" s="1" t="s">
        <v>6841</v>
      </c>
      <c r="I192" s="1" t="s">
        <v>6843</v>
      </c>
      <c r="J192" s="1" t="s">
        <v>6844</v>
      </c>
    </row>
    <row r="193">
      <c r="A193" s="1" t="s">
        <v>6849</v>
      </c>
      <c r="B193" s="1" t="s">
        <v>4635</v>
      </c>
      <c r="C193" s="1" t="s">
        <v>6854</v>
      </c>
      <c r="D193" s="1"/>
      <c r="E193" s="1" t="s">
        <v>6858</v>
      </c>
      <c r="G193" s="4"/>
      <c r="H193" s="1" t="s">
        <v>6874</v>
      </c>
      <c r="I193" s="1" t="s">
        <v>6877</v>
      </c>
      <c r="J193" s="1" t="s">
        <v>6879</v>
      </c>
    </row>
    <row r="194">
      <c r="A194" s="1" t="s">
        <v>6881</v>
      </c>
      <c r="B194" s="1" t="s">
        <v>4567</v>
      </c>
      <c r="C194" s="1" t="s">
        <v>6883</v>
      </c>
      <c r="D194" s="1"/>
      <c r="E194" s="1" t="s">
        <v>6886</v>
      </c>
      <c r="G194" s="4"/>
      <c r="H194" s="1" t="s">
        <v>6891</v>
      </c>
      <c r="I194" s="1" t="s">
        <v>4867</v>
      </c>
      <c r="J194" s="1" t="s">
        <v>6894</v>
      </c>
    </row>
    <row r="195">
      <c r="A195" s="1" t="s">
        <v>6895</v>
      </c>
      <c r="B195" s="1" t="s">
        <v>4635</v>
      </c>
      <c r="C195" s="1" t="s">
        <v>6898</v>
      </c>
      <c r="D195" s="1"/>
      <c r="F195" s="4"/>
      <c r="G195" s="1" t="s">
        <v>6902</v>
      </c>
      <c r="H195" s="1" t="s">
        <v>6902</v>
      </c>
      <c r="I195" s="1" t="s">
        <v>5451</v>
      </c>
      <c r="J195" s="1" t="s">
        <v>6907</v>
      </c>
    </row>
    <row r="196">
      <c r="A196" s="1" t="s">
        <v>6909</v>
      </c>
      <c r="B196" s="1" t="s">
        <v>4567</v>
      </c>
      <c r="C196" s="1" t="s">
        <v>6911</v>
      </c>
      <c r="D196" s="1"/>
      <c r="E196" s="1" t="s">
        <v>6914</v>
      </c>
      <c r="G196" s="4"/>
      <c r="H196" s="1" t="s">
        <v>6918</v>
      </c>
      <c r="I196" s="1" t="s">
        <v>4548</v>
      </c>
      <c r="J196" s="1" t="s">
        <v>6920</v>
      </c>
    </row>
    <row r="197">
      <c r="A197" s="1" t="s">
        <v>6922</v>
      </c>
      <c r="B197" s="1" t="s">
        <v>4635</v>
      </c>
      <c r="C197" s="1" t="s">
        <v>6926</v>
      </c>
      <c r="D197" s="1"/>
      <c r="E197" s="1"/>
      <c r="F197" s="1"/>
      <c r="G197" s="1" t="s">
        <v>6932</v>
      </c>
      <c r="H197" s="1" t="s">
        <v>6936</v>
      </c>
      <c r="I197" s="1" t="s">
        <v>4687</v>
      </c>
      <c r="J197" s="1" t="s">
        <v>6937</v>
      </c>
    </row>
    <row r="198">
      <c r="A198" s="1" t="s">
        <v>6939</v>
      </c>
      <c r="B198" s="1" t="s">
        <v>4635</v>
      </c>
      <c r="C198" s="1" t="s">
        <v>6943</v>
      </c>
      <c r="D198" s="1"/>
      <c r="E198" s="1" t="s">
        <v>6947</v>
      </c>
      <c r="F198" s="4"/>
      <c r="G198" s="1"/>
      <c r="H198" s="1" t="s">
        <v>6954</v>
      </c>
      <c r="I198" s="1" t="s">
        <v>6955</v>
      </c>
      <c r="J198" s="1" t="s">
        <v>6957</v>
      </c>
    </row>
    <row r="199">
      <c r="A199" s="1" t="s">
        <v>6960</v>
      </c>
      <c r="B199" s="1" t="s">
        <v>4567</v>
      </c>
      <c r="C199" s="1" t="s">
        <v>6963</v>
      </c>
      <c r="D199" s="1"/>
      <c r="E199" s="1" t="s">
        <v>6979</v>
      </c>
      <c r="G199" s="4"/>
      <c r="H199" s="1" t="s">
        <v>6982</v>
      </c>
      <c r="I199" s="1" t="s">
        <v>4548</v>
      </c>
      <c r="J199" s="1" t="s">
        <v>6986</v>
      </c>
    </row>
    <row r="200">
      <c r="A200" s="1" t="s">
        <v>6990</v>
      </c>
      <c r="B200" s="1" t="s">
        <v>4635</v>
      </c>
      <c r="C200" s="1" t="s">
        <v>6991</v>
      </c>
      <c r="D200" s="1"/>
      <c r="E200" s="1"/>
      <c r="G200" s="1" t="s">
        <v>6993</v>
      </c>
      <c r="H200" s="1" t="s">
        <v>7000</v>
      </c>
      <c r="I200" s="1" t="s">
        <v>4643</v>
      </c>
      <c r="J200" s="1" t="s">
        <v>7003</v>
      </c>
    </row>
    <row r="201">
      <c r="A201" s="1" t="s">
        <v>7005</v>
      </c>
      <c r="B201" s="1" t="s">
        <v>4567</v>
      </c>
      <c r="C201" s="1" t="s">
        <v>7008</v>
      </c>
      <c r="D201" s="1"/>
      <c r="E201" s="1" t="s">
        <v>7016</v>
      </c>
      <c r="F201" s="4"/>
      <c r="G201" s="1" t="s">
        <v>7020</v>
      </c>
      <c r="H201" s="1" t="s">
        <v>7026</v>
      </c>
      <c r="I201" s="1" t="s">
        <v>7027</v>
      </c>
      <c r="J201" s="1" t="s">
        <v>7029</v>
      </c>
    </row>
    <row r="202">
      <c r="A202" s="1" t="s">
        <v>7030</v>
      </c>
      <c r="B202" s="1" t="s">
        <v>4533</v>
      </c>
      <c r="C202" s="1" t="s">
        <v>7035</v>
      </c>
      <c r="D202" s="1"/>
      <c r="E202" s="1" t="s">
        <v>7037</v>
      </c>
      <c r="F202" s="4"/>
      <c r="G202" s="1"/>
      <c r="H202" s="1" t="s">
        <v>7040</v>
      </c>
      <c r="I202" s="1" t="s">
        <v>4548</v>
      </c>
      <c r="J202" s="1" t="s">
        <v>7043</v>
      </c>
    </row>
    <row r="203">
      <c r="A203" s="1" t="s">
        <v>7045</v>
      </c>
      <c r="B203" s="1" t="s">
        <v>4567</v>
      </c>
      <c r="C203" s="1" t="s">
        <v>7047</v>
      </c>
      <c r="D203" s="1"/>
      <c r="E203" s="1" t="s">
        <v>7048</v>
      </c>
      <c r="G203" s="4"/>
      <c r="H203" s="1" t="s">
        <v>7051</v>
      </c>
      <c r="I203" s="1" t="s">
        <v>4758</v>
      </c>
      <c r="J203" s="1" t="s">
        <v>7053</v>
      </c>
    </row>
    <row r="204">
      <c r="A204" s="1" t="s">
        <v>7055</v>
      </c>
      <c r="B204" s="1" t="s">
        <v>4693</v>
      </c>
      <c r="C204" s="1" t="s">
        <v>7058</v>
      </c>
      <c r="D204" s="1"/>
      <c r="E204" s="1" t="s">
        <v>7059</v>
      </c>
      <c r="G204" s="4"/>
      <c r="H204" s="1" t="s">
        <v>7061</v>
      </c>
      <c r="I204" s="1" t="s">
        <v>4655</v>
      </c>
      <c r="J204" s="1" t="s">
        <v>7064</v>
      </c>
    </row>
    <row r="205">
      <c r="A205" s="1" t="s">
        <v>7065</v>
      </c>
      <c r="B205" s="1" t="s">
        <v>4533</v>
      </c>
      <c r="C205" s="1" t="s">
        <v>7068</v>
      </c>
      <c r="D205" s="1"/>
      <c r="E205" s="1"/>
      <c r="G205" s="4"/>
      <c r="H205" s="1" t="s">
        <v>7070</v>
      </c>
      <c r="I205" s="1" t="s">
        <v>4548</v>
      </c>
      <c r="J205" s="1" t="s">
        <v>7072</v>
      </c>
    </row>
    <row r="206">
      <c r="A206" s="1" t="s">
        <v>7075</v>
      </c>
      <c r="B206" s="1" t="s">
        <v>4635</v>
      </c>
      <c r="C206" s="1" t="s">
        <v>7076</v>
      </c>
      <c r="D206" s="1"/>
      <c r="E206" s="1" t="s">
        <v>7079</v>
      </c>
      <c r="G206" s="4"/>
      <c r="H206" s="1" t="s">
        <v>7081</v>
      </c>
      <c r="I206" s="1" t="s">
        <v>5474</v>
      </c>
      <c r="J206" s="1" t="s">
        <v>7084</v>
      </c>
    </row>
    <row r="207">
      <c r="A207" s="1" t="s">
        <v>7085</v>
      </c>
      <c r="B207" s="1" t="s">
        <v>4693</v>
      </c>
      <c r="C207" s="1" t="s">
        <v>7088</v>
      </c>
      <c r="D207" s="1"/>
      <c r="E207" s="1"/>
      <c r="G207" s="4"/>
      <c r="H207" s="1" t="s">
        <v>7092</v>
      </c>
      <c r="I207" s="1" t="s">
        <v>4548</v>
      </c>
      <c r="J207" s="1" t="s">
        <v>7094</v>
      </c>
    </row>
    <row r="208">
      <c r="A208" s="1" t="s">
        <v>7096</v>
      </c>
      <c r="B208" s="1" t="s">
        <v>4635</v>
      </c>
      <c r="C208" s="1" t="s">
        <v>7098</v>
      </c>
      <c r="D208" s="1"/>
      <c r="G208" s="4"/>
      <c r="H208" s="1" t="s">
        <v>7101</v>
      </c>
      <c r="I208" s="1" t="s">
        <v>4548</v>
      </c>
      <c r="J208" s="1" t="s">
        <v>7103</v>
      </c>
    </row>
    <row r="209">
      <c r="A209" s="1" t="s">
        <v>7104</v>
      </c>
      <c r="B209" s="1" t="s">
        <v>4693</v>
      </c>
      <c r="C209" s="1" t="s">
        <v>7105</v>
      </c>
      <c r="D209" s="1"/>
      <c r="G209" s="4"/>
      <c r="H209" s="1" t="s">
        <v>7108</v>
      </c>
      <c r="I209" s="1" t="s">
        <v>4598</v>
      </c>
      <c r="J209" s="1" t="s">
        <v>7112</v>
      </c>
    </row>
    <row r="210">
      <c r="A210" s="1" t="s">
        <v>7114</v>
      </c>
      <c r="B210" s="1" t="s">
        <v>4693</v>
      </c>
      <c r="C210" s="1" t="s">
        <v>7116</v>
      </c>
      <c r="D210" s="1"/>
      <c r="G210" s="1" t="s">
        <v>7117</v>
      </c>
      <c r="H210" s="1" t="s">
        <v>7117</v>
      </c>
      <c r="I210" s="1" t="s">
        <v>4548</v>
      </c>
      <c r="J210" s="1" t="s">
        <v>7121</v>
      </c>
    </row>
    <row r="211">
      <c r="A211" s="1" t="s">
        <v>7123</v>
      </c>
      <c r="B211" s="1" t="s">
        <v>4635</v>
      </c>
      <c r="C211" s="1" t="s">
        <v>7125</v>
      </c>
      <c r="D211" s="1"/>
      <c r="E211" s="1" t="s">
        <v>7126</v>
      </c>
      <c r="F211" s="4"/>
      <c r="G211" s="1" t="s">
        <v>7129</v>
      </c>
      <c r="H211" s="1" t="s">
        <v>7129</v>
      </c>
      <c r="I211" s="1" t="s">
        <v>4758</v>
      </c>
      <c r="J211" s="1" t="s">
        <v>7133</v>
      </c>
    </row>
    <row r="212">
      <c r="A212" s="1" t="s">
        <v>7135</v>
      </c>
      <c r="B212" s="1" t="s">
        <v>4533</v>
      </c>
      <c r="C212" s="1" t="s">
        <v>7137</v>
      </c>
      <c r="D212" s="1"/>
      <c r="E212" s="1" t="s">
        <v>7139</v>
      </c>
      <c r="F212" s="4"/>
      <c r="G212" s="1" t="s">
        <v>7141</v>
      </c>
      <c r="H212" s="1" t="s">
        <v>7144</v>
      </c>
      <c r="I212" s="1" t="s">
        <v>5564</v>
      </c>
      <c r="J212" s="1" t="s">
        <v>7146</v>
      </c>
    </row>
    <row r="213">
      <c r="A213" s="1" t="s">
        <v>7148</v>
      </c>
      <c r="B213" s="1" t="s">
        <v>4567</v>
      </c>
      <c r="C213" s="1" t="s">
        <v>7150</v>
      </c>
      <c r="D213" s="1"/>
      <c r="E213" s="1" t="s">
        <v>7160</v>
      </c>
      <c r="F213" s="4"/>
      <c r="G213" s="1"/>
      <c r="H213" s="1" t="s">
        <v>7164</v>
      </c>
      <c r="I213" s="1" t="s">
        <v>5948</v>
      </c>
      <c r="J213" s="1" t="s">
        <v>7166</v>
      </c>
    </row>
    <row r="214">
      <c r="A214" s="1" t="s">
        <v>7167</v>
      </c>
      <c r="B214" s="1" t="s">
        <v>4567</v>
      </c>
      <c r="C214" s="1" t="s">
        <v>7171</v>
      </c>
      <c r="D214" s="1" t="b">
        <v>1</v>
      </c>
      <c r="E214" s="1" t="s">
        <v>7174</v>
      </c>
      <c r="F214" s="1" t="s">
        <v>6785</v>
      </c>
      <c r="G214" s="1" t="s">
        <v>7176</v>
      </c>
      <c r="H214" s="1" t="s">
        <v>7182</v>
      </c>
      <c r="I214" s="1" t="s">
        <v>5948</v>
      </c>
      <c r="J214" s="1" t="s">
        <v>7185</v>
      </c>
    </row>
    <row r="215">
      <c r="A215" s="1" t="s">
        <v>7186</v>
      </c>
      <c r="B215" s="1" t="s">
        <v>4635</v>
      </c>
      <c r="C215" s="1" t="s">
        <v>7189</v>
      </c>
      <c r="D215" s="1"/>
      <c r="E215" s="1"/>
      <c r="F215" s="1"/>
      <c r="G215" s="1" t="s">
        <v>7192</v>
      </c>
      <c r="H215" s="1" t="s">
        <v>7192</v>
      </c>
      <c r="I215" s="1" t="s">
        <v>4758</v>
      </c>
      <c r="J215" s="1" t="s">
        <v>7194</v>
      </c>
    </row>
    <row r="216">
      <c r="A216" s="1" t="s">
        <v>7197</v>
      </c>
      <c r="B216" s="1" t="s">
        <v>4635</v>
      </c>
      <c r="C216" s="1" t="s">
        <v>7200</v>
      </c>
      <c r="D216" s="1"/>
      <c r="E216" s="1" t="s">
        <v>7204</v>
      </c>
      <c r="F216" s="4"/>
      <c r="G216" s="1" t="s">
        <v>7208</v>
      </c>
      <c r="H216" s="1" t="s">
        <v>7214</v>
      </c>
      <c r="I216" s="1" t="s">
        <v>4687</v>
      </c>
      <c r="J216" s="1" t="s">
        <v>7217</v>
      </c>
    </row>
    <row r="217">
      <c r="A217" s="1" t="s">
        <v>7218</v>
      </c>
      <c r="B217" s="1" t="s">
        <v>4635</v>
      </c>
      <c r="C217" s="1" t="s">
        <v>7219</v>
      </c>
      <c r="D217" s="1"/>
      <c r="E217" s="1" t="s">
        <v>7222</v>
      </c>
      <c r="F217" s="4"/>
      <c r="G217" s="1" t="s">
        <v>7226</v>
      </c>
      <c r="H217" s="1" t="s">
        <v>7227</v>
      </c>
      <c r="I217" s="1" t="s">
        <v>4758</v>
      </c>
      <c r="J217" s="1" t="s">
        <v>7231</v>
      </c>
    </row>
    <row r="218">
      <c r="A218" s="1" t="s">
        <v>7233</v>
      </c>
      <c r="B218" s="1" t="s">
        <v>4635</v>
      </c>
      <c r="C218" s="1" t="s">
        <v>7236</v>
      </c>
      <c r="D218" s="1"/>
      <c r="E218" s="1" t="s">
        <v>7240</v>
      </c>
      <c r="F218" s="4"/>
      <c r="G218" s="1"/>
      <c r="H218" s="1" t="s">
        <v>7248</v>
      </c>
      <c r="I218" s="1" t="s">
        <v>7250</v>
      </c>
      <c r="J218" s="1" t="s">
        <v>7252</v>
      </c>
    </row>
    <row r="219">
      <c r="A219" s="1" t="s">
        <v>7254</v>
      </c>
      <c r="B219" s="1" t="s">
        <v>4635</v>
      </c>
      <c r="C219" s="1" t="s">
        <v>7258</v>
      </c>
      <c r="D219" s="1"/>
      <c r="E219" s="1"/>
      <c r="G219" s="4"/>
      <c r="H219" s="1" t="s">
        <v>7262</v>
      </c>
      <c r="I219" s="1" t="s">
        <v>7263</v>
      </c>
      <c r="J219" s="1" t="s">
        <v>7265</v>
      </c>
    </row>
    <row r="220">
      <c r="A220" s="1" t="s">
        <v>7268</v>
      </c>
      <c r="B220" s="1" t="s">
        <v>4635</v>
      </c>
      <c r="C220" s="1" t="s">
        <v>7271</v>
      </c>
      <c r="D220" s="1"/>
      <c r="G220" s="4"/>
      <c r="H220" s="1" t="s">
        <v>7275</v>
      </c>
      <c r="I220" s="1" t="s">
        <v>4598</v>
      </c>
      <c r="J220" s="1" t="s">
        <v>7278</v>
      </c>
    </row>
    <row r="221">
      <c r="A221" s="1" t="s">
        <v>7280</v>
      </c>
      <c r="B221" s="1" t="s">
        <v>4635</v>
      </c>
      <c r="C221" s="1" t="s">
        <v>6484</v>
      </c>
      <c r="D221" s="1"/>
      <c r="G221" s="4"/>
      <c r="H221" s="1" t="s">
        <v>7284</v>
      </c>
      <c r="I221" s="1" t="s">
        <v>4867</v>
      </c>
      <c r="J221" s="1" t="s">
        <v>7286</v>
      </c>
    </row>
    <row r="222">
      <c r="A222" s="1" t="s">
        <v>7287</v>
      </c>
      <c r="B222" s="1" t="s">
        <v>4567</v>
      </c>
      <c r="C222" s="1" t="s">
        <v>7290</v>
      </c>
      <c r="D222" s="1"/>
      <c r="G222" s="4"/>
      <c r="H222" s="1" t="s">
        <v>7295</v>
      </c>
      <c r="I222" s="1" t="s">
        <v>4548</v>
      </c>
      <c r="J222" s="1" t="s">
        <v>7299</v>
      </c>
    </row>
    <row r="223">
      <c r="A223" s="1" t="s">
        <v>7302</v>
      </c>
      <c r="B223" s="1" t="s">
        <v>4635</v>
      </c>
      <c r="C223" s="1" t="s">
        <v>7305</v>
      </c>
      <c r="D223" s="1"/>
      <c r="E223" s="1" t="s">
        <v>7306</v>
      </c>
      <c r="G223" s="4"/>
      <c r="H223" s="1" t="s">
        <v>7308</v>
      </c>
      <c r="I223" s="1" t="s">
        <v>4548</v>
      </c>
      <c r="J223" s="1" t="s">
        <v>7311</v>
      </c>
    </row>
    <row r="224">
      <c r="A224" s="1" t="s">
        <v>7315</v>
      </c>
      <c r="B224" s="1" t="s">
        <v>4693</v>
      </c>
      <c r="C224" s="1" t="s">
        <v>7317</v>
      </c>
      <c r="D224" s="1"/>
      <c r="E224" s="1" t="s">
        <v>7321</v>
      </c>
      <c r="G224" s="4"/>
      <c r="H224" s="1" t="s">
        <v>7325</v>
      </c>
      <c r="I224" s="1" t="s">
        <v>5948</v>
      </c>
      <c r="J224" s="1" t="s">
        <v>7326</v>
      </c>
    </row>
    <row r="225">
      <c r="A225" s="1" t="s">
        <v>7329</v>
      </c>
      <c r="B225" s="1" t="s">
        <v>4567</v>
      </c>
      <c r="C225" s="1" t="s">
        <v>7331</v>
      </c>
      <c r="D225" s="1"/>
      <c r="E225" s="1" t="s">
        <v>7333</v>
      </c>
      <c r="G225" s="4"/>
      <c r="H225" s="1" t="s">
        <v>7336</v>
      </c>
      <c r="I225" s="1" t="s">
        <v>4598</v>
      </c>
      <c r="J225" s="1" t="s">
        <v>7340</v>
      </c>
    </row>
    <row r="226">
      <c r="A226" s="1" t="s">
        <v>7342</v>
      </c>
      <c r="B226" s="1" t="s">
        <v>4693</v>
      </c>
      <c r="C226" s="1" t="s">
        <v>7344</v>
      </c>
      <c r="D226" s="1"/>
      <c r="E226" s="1"/>
      <c r="G226" s="1" t="s">
        <v>7348</v>
      </c>
      <c r="H226" s="1" t="s">
        <v>7349</v>
      </c>
      <c r="I226" s="1" t="s">
        <v>4548</v>
      </c>
      <c r="J226" s="1" t="s">
        <v>7352</v>
      </c>
    </row>
    <row r="227">
      <c r="A227" s="1" t="s">
        <v>7353</v>
      </c>
      <c r="B227" s="1" t="s">
        <v>4533</v>
      </c>
      <c r="C227" s="1" t="s">
        <v>7355</v>
      </c>
      <c r="D227" s="1"/>
      <c r="F227" s="4"/>
      <c r="G227" s="1" t="s">
        <v>7359</v>
      </c>
      <c r="H227" s="1" t="s">
        <v>7359</v>
      </c>
      <c r="I227" s="1" t="s">
        <v>4548</v>
      </c>
      <c r="J227" s="1" t="s">
        <v>7362</v>
      </c>
    </row>
    <row r="228">
      <c r="A228" s="1" t="s">
        <v>7365</v>
      </c>
      <c r="B228" s="1" t="s">
        <v>4567</v>
      </c>
      <c r="C228" s="1" t="s">
        <v>7369</v>
      </c>
      <c r="D228" s="1"/>
      <c r="E228" s="1" t="s">
        <v>7372</v>
      </c>
      <c r="F228" s="4"/>
      <c r="G228" s="1" t="s">
        <v>7373</v>
      </c>
      <c r="H228" s="1" t="s">
        <v>7377</v>
      </c>
      <c r="I228" s="1" t="s">
        <v>4867</v>
      </c>
      <c r="J228" s="1" t="s">
        <v>7379</v>
      </c>
    </row>
    <row r="229">
      <c r="A229" s="1" t="s">
        <v>7382</v>
      </c>
      <c r="B229" s="1" t="s">
        <v>4635</v>
      </c>
      <c r="C229" s="1" t="s">
        <v>7383</v>
      </c>
      <c r="D229" s="1"/>
      <c r="E229" s="1" t="s">
        <v>7386</v>
      </c>
      <c r="F229" s="4"/>
      <c r="G229" s="1"/>
      <c r="H229" s="1" t="s">
        <v>7389</v>
      </c>
      <c r="I229" s="1" t="s">
        <v>4598</v>
      </c>
      <c r="J229" s="1" t="s">
        <v>7394</v>
      </c>
    </row>
    <row r="230">
      <c r="A230" s="1" t="s">
        <v>7397</v>
      </c>
      <c r="B230" s="1" t="s">
        <v>4567</v>
      </c>
      <c r="C230" s="1" t="s">
        <v>7399</v>
      </c>
      <c r="D230" s="1"/>
      <c r="E230" s="1"/>
      <c r="G230" s="4"/>
      <c r="H230" s="1" t="s">
        <v>7405</v>
      </c>
      <c r="I230" s="1" t="s">
        <v>5019</v>
      </c>
      <c r="J230" s="1" t="s">
        <v>7407</v>
      </c>
    </row>
    <row r="231">
      <c r="A231" s="1" t="s">
        <v>7408</v>
      </c>
      <c r="B231" s="1" t="s">
        <v>4635</v>
      </c>
      <c r="C231" s="1" t="s">
        <v>7411</v>
      </c>
      <c r="D231" s="1"/>
      <c r="E231" s="1" t="s">
        <v>7414</v>
      </c>
      <c r="G231" s="1" t="s">
        <v>7416</v>
      </c>
      <c r="H231" s="1" t="s">
        <v>7417</v>
      </c>
      <c r="I231" s="1" t="s">
        <v>4758</v>
      </c>
      <c r="J231" s="1" t="s">
        <v>7420</v>
      </c>
    </row>
    <row r="232">
      <c r="A232" s="1" t="s">
        <v>7423</v>
      </c>
      <c r="B232" s="1" t="s">
        <v>4693</v>
      </c>
      <c r="C232" s="1" t="s">
        <v>7277</v>
      </c>
      <c r="D232" s="1" t="b">
        <v>1</v>
      </c>
      <c r="E232" s="1" t="s">
        <v>7428</v>
      </c>
      <c r="F232" s="1" t="s">
        <v>7431</v>
      </c>
      <c r="G232" s="1" t="s">
        <v>7435</v>
      </c>
      <c r="H232" s="1" t="s">
        <v>7438</v>
      </c>
      <c r="I232" s="1" t="s">
        <v>7439</v>
      </c>
      <c r="J232" s="1" t="s">
        <v>7441</v>
      </c>
    </row>
    <row r="233">
      <c r="A233" s="1" t="s">
        <v>7443</v>
      </c>
      <c r="B233" s="1" t="s">
        <v>4635</v>
      </c>
      <c r="C233" s="1" t="s">
        <v>7446</v>
      </c>
      <c r="D233" s="1"/>
      <c r="E233" s="1" t="s">
        <v>7449</v>
      </c>
      <c r="F233" s="1"/>
      <c r="G233" s="1" t="s">
        <v>7453</v>
      </c>
      <c r="H233" s="1" t="s">
        <v>7454</v>
      </c>
      <c r="I233" s="1" t="s">
        <v>7455</v>
      </c>
      <c r="J233" s="1" t="s">
        <v>7458</v>
      </c>
    </row>
    <row r="234">
      <c r="A234" s="1" t="s">
        <v>7460</v>
      </c>
      <c r="B234" s="1" t="s">
        <v>4693</v>
      </c>
      <c r="C234" s="1" t="s">
        <v>4353</v>
      </c>
      <c r="D234" s="1"/>
      <c r="E234" s="1" t="s">
        <v>7463</v>
      </c>
      <c r="F234" s="4"/>
      <c r="G234" s="1" t="s">
        <v>7466</v>
      </c>
      <c r="H234" s="1" t="s">
        <v>7470</v>
      </c>
      <c r="I234" s="1" t="s">
        <v>4598</v>
      </c>
      <c r="J234" s="1" t="s">
        <v>7474</v>
      </c>
    </row>
    <row r="235">
      <c r="A235" s="1" t="s">
        <v>7476</v>
      </c>
      <c r="B235" s="1" t="s">
        <v>4693</v>
      </c>
      <c r="C235" s="1" t="s">
        <v>7478</v>
      </c>
      <c r="D235" s="1"/>
      <c r="E235" s="1" t="s">
        <v>7480</v>
      </c>
      <c r="F235" s="4"/>
      <c r="G235" s="1"/>
      <c r="H235" s="1" t="s">
        <v>7483</v>
      </c>
      <c r="I235" s="1" t="s">
        <v>7485</v>
      </c>
      <c r="J235" s="1" t="s">
        <v>7487</v>
      </c>
    </row>
    <row r="236">
      <c r="A236" s="1" t="s">
        <v>7489</v>
      </c>
      <c r="B236" s="1" t="s">
        <v>4635</v>
      </c>
      <c r="C236" s="1" t="s">
        <v>7491</v>
      </c>
      <c r="D236" s="1"/>
      <c r="E236" s="1" t="s">
        <v>7494</v>
      </c>
      <c r="F236" s="1" t="s">
        <v>7496</v>
      </c>
      <c r="G236" s="4"/>
      <c r="H236" s="1" t="s">
        <v>7497</v>
      </c>
      <c r="I236" s="1" t="s">
        <v>4758</v>
      </c>
      <c r="J236" s="1" t="s">
        <v>7499</v>
      </c>
    </row>
    <row r="237">
      <c r="A237" s="1" t="s">
        <v>7501</v>
      </c>
      <c r="B237" s="1" t="s">
        <v>4635</v>
      </c>
      <c r="C237" s="1" t="s">
        <v>7503</v>
      </c>
      <c r="D237" s="1"/>
      <c r="E237" s="1" t="s">
        <v>7505</v>
      </c>
      <c r="F237" s="1"/>
      <c r="G237" s="4"/>
      <c r="H237" s="1" t="s">
        <v>7512</v>
      </c>
      <c r="I237" s="1" t="s">
        <v>4548</v>
      </c>
      <c r="J237" s="1" t="s">
        <v>7514</v>
      </c>
    </row>
    <row r="238">
      <c r="A238" s="1" t="s">
        <v>7516</v>
      </c>
      <c r="B238" s="1" t="s">
        <v>4635</v>
      </c>
      <c r="C238" s="1" t="s">
        <v>7518</v>
      </c>
      <c r="D238" s="1"/>
      <c r="E238" s="1" t="s">
        <v>7520</v>
      </c>
      <c r="G238" s="4"/>
      <c r="H238" s="1" t="s">
        <v>7528</v>
      </c>
      <c r="I238" s="1" t="s">
        <v>5709</v>
      </c>
      <c r="J238" s="1" t="s">
        <v>7531</v>
      </c>
    </row>
    <row r="239">
      <c r="A239" s="1" t="s">
        <v>7534</v>
      </c>
      <c r="B239" s="1" t="s">
        <v>4567</v>
      </c>
      <c r="C239" s="1" t="s">
        <v>7537</v>
      </c>
      <c r="D239" s="1"/>
      <c r="E239" s="1" t="s">
        <v>7541</v>
      </c>
      <c r="G239" s="1" t="s">
        <v>7543</v>
      </c>
      <c r="H239" s="1" t="s">
        <v>7544</v>
      </c>
      <c r="I239" s="1" t="s">
        <v>5019</v>
      </c>
      <c r="J239" s="1" t="s">
        <v>7546</v>
      </c>
    </row>
    <row r="240">
      <c r="A240" s="1" t="s">
        <v>7549</v>
      </c>
      <c r="B240" s="1" t="s">
        <v>4693</v>
      </c>
      <c r="C240" s="1" t="s">
        <v>7552</v>
      </c>
      <c r="D240" s="1"/>
      <c r="E240" s="1" t="s">
        <v>7555</v>
      </c>
      <c r="F240" s="4"/>
      <c r="G240" s="1" t="s">
        <v>7558</v>
      </c>
      <c r="H240" s="1" t="s">
        <v>7560</v>
      </c>
      <c r="I240" s="1" t="s">
        <v>4598</v>
      </c>
      <c r="J240" s="1" t="s">
        <v>7563</v>
      </c>
    </row>
    <row r="241">
      <c r="A241" s="1" t="s">
        <v>7564</v>
      </c>
      <c r="B241" s="1" t="s">
        <v>4635</v>
      </c>
      <c r="C241" s="1" t="s">
        <v>7566</v>
      </c>
      <c r="D241" s="1"/>
      <c r="E241" s="1" t="s">
        <v>7570</v>
      </c>
      <c r="F241" s="4"/>
      <c r="G241" s="1"/>
      <c r="H241" s="1" t="s">
        <v>7586</v>
      </c>
      <c r="I241" s="1" t="s">
        <v>4867</v>
      </c>
      <c r="J241" s="1" t="s">
        <v>7588</v>
      </c>
    </row>
    <row r="242">
      <c r="A242" s="1" t="s">
        <v>7591</v>
      </c>
      <c r="B242" s="1" t="s">
        <v>4567</v>
      </c>
      <c r="C242" s="1" t="s">
        <v>7592</v>
      </c>
      <c r="D242" s="1"/>
      <c r="E242" s="1" t="s">
        <v>7595</v>
      </c>
      <c r="G242" s="4"/>
      <c r="H242" s="1" t="s">
        <v>7599</v>
      </c>
      <c r="I242" s="1" t="s">
        <v>7602</v>
      </c>
      <c r="J242" s="1" t="s">
        <v>7603</v>
      </c>
    </row>
    <row r="243">
      <c r="A243" s="1" t="s">
        <v>7604</v>
      </c>
      <c r="B243" s="1" t="s">
        <v>4693</v>
      </c>
      <c r="C243" s="1" t="s">
        <v>7606</v>
      </c>
      <c r="D243" s="1"/>
      <c r="E243" s="1" t="s">
        <v>7609</v>
      </c>
      <c r="F243" s="1" t="s">
        <v>7611</v>
      </c>
      <c r="G243" s="4"/>
      <c r="H243" s="1" t="s">
        <v>7614</v>
      </c>
      <c r="I243" s="1" t="s">
        <v>5474</v>
      </c>
      <c r="J243" s="1" t="s">
        <v>7617</v>
      </c>
    </row>
    <row r="244">
      <c r="A244" s="1" t="s">
        <v>7620</v>
      </c>
      <c r="B244" s="1" t="s">
        <v>4693</v>
      </c>
      <c r="C244" s="1" t="s">
        <v>4066</v>
      </c>
      <c r="D244" s="1"/>
      <c r="E244" s="1" t="s">
        <v>7624</v>
      </c>
      <c r="F244" s="1"/>
      <c r="G244" s="4"/>
      <c r="H244" s="1" t="s">
        <v>7628</v>
      </c>
      <c r="I244" s="1" t="s">
        <v>5474</v>
      </c>
      <c r="J244" s="1" t="s">
        <v>7630</v>
      </c>
    </row>
    <row r="245">
      <c r="A245" s="1" t="s">
        <v>7632</v>
      </c>
      <c r="B245" s="1" t="s">
        <v>4567</v>
      </c>
      <c r="C245" s="1" t="s">
        <v>7634</v>
      </c>
      <c r="D245" s="1"/>
      <c r="E245" s="1" t="s">
        <v>7636</v>
      </c>
      <c r="G245" s="1" t="s">
        <v>7638</v>
      </c>
      <c r="H245" s="1" t="s">
        <v>7638</v>
      </c>
      <c r="I245" s="1" t="s">
        <v>5410</v>
      </c>
      <c r="J245" s="1" t="s">
        <v>7641</v>
      </c>
    </row>
    <row r="246">
      <c r="A246" s="1" t="s">
        <v>7642</v>
      </c>
      <c r="B246" s="1" t="s">
        <v>4635</v>
      </c>
      <c r="C246" s="1" t="s">
        <v>7646</v>
      </c>
      <c r="D246" s="1"/>
      <c r="E246" s="1"/>
      <c r="F246" s="4"/>
      <c r="G246" s="1"/>
      <c r="H246" s="1" t="s">
        <v>7649</v>
      </c>
      <c r="I246" s="1" t="s">
        <v>4758</v>
      </c>
      <c r="J246" s="1" t="s">
        <v>7650</v>
      </c>
    </row>
    <row r="247">
      <c r="A247" s="1" t="s">
        <v>7651</v>
      </c>
      <c r="B247" s="1" t="s">
        <v>4693</v>
      </c>
      <c r="C247" s="1" t="s">
        <v>7654</v>
      </c>
      <c r="D247" s="1"/>
      <c r="E247" s="1" t="s">
        <v>7658</v>
      </c>
      <c r="G247" s="1" t="s">
        <v>7662</v>
      </c>
      <c r="H247" s="1"/>
      <c r="I247" s="1" t="s">
        <v>5970</v>
      </c>
      <c r="J247" s="1" t="s">
        <v>7665</v>
      </c>
    </row>
    <row r="248">
      <c r="A248" s="1" t="s">
        <v>7667</v>
      </c>
      <c r="B248" s="1" t="s">
        <v>4693</v>
      </c>
      <c r="C248" s="1" t="s">
        <v>7669</v>
      </c>
      <c r="D248" s="1"/>
      <c r="E248" s="1" t="s">
        <v>7670</v>
      </c>
      <c r="F248" s="4"/>
      <c r="G248" s="1" t="s">
        <v>7670</v>
      </c>
      <c r="H248" s="4"/>
      <c r="I248" s="1" t="s">
        <v>7674</v>
      </c>
      <c r="J248" s="1" t="s">
        <v>7676</v>
      </c>
    </row>
    <row r="249">
      <c r="A249" s="1" t="s">
        <v>7678</v>
      </c>
      <c r="B249" s="1" t="s">
        <v>4533</v>
      </c>
      <c r="C249" s="1" t="s">
        <v>7681</v>
      </c>
      <c r="D249" s="1"/>
      <c r="E249" s="1" t="s">
        <v>7684</v>
      </c>
      <c r="F249" s="4"/>
      <c r="G249" s="1"/>
      <c r="H249" s="4"/>
      <c r="I249" s="1" t="s">
        <v>7688</v>
      </c>
      <c r="J249" s="1" t="s">
        <v>7689</v>
      </c>
    </row>
    <row r="250">
      <c r="A250" s="1" t="s">
        <v>7692</v>
      </c>
      <c r="B250" s="1" t="s">
        <v>4693</v>
      </c>
      <c r="C250" s="1" t="s">
        <v>7693</v>
      </c>
      <c r="D250" s="1"/>
      <c r="E250" s="1" t="s">
        <v>7695</v>
      </c>
      <c r="H250" s="4"/>
      <c r="I250" s="1" t="s">
        <v>5709</v>
      </c>
      <c r="J250" s="1" t="s">
        <v>7697</v>
      </c>
    </row>
    <row r="251">
      <c r="A251" s="1" t="s">
        <v>7699</v>
      </c>
      <c r="B251" s="1" t="s">
        <v>4567</v>
      </c>
      <c r="C251" s="1" t="s">
        <v>7702</v>
      </c>
      <c r="D251" s="1" t="b">
        <v>1</v>
      </c>
      <c r="E251" s="1" t="s">
        <v>7704</v>
      </c>
      <c r="F251" s="1" t="s">
        <v>7705</v>
      </c>
      <c r="G251" s="1" t="s">
        <v>7707</v>
      </c>
      <c r="H251" s="4"/>
      <c r="I251" s="1" t="s">
        <v>5496</v>
      </c>
      <c r="J251" s="1" t="s">
        <v>7711</v>
      </c>
    </row>
    <row r="252">
      <c r="A252" s="1" t="s">
        <v>7713</v>
      </c>
      <c r="B252" s="1" t="s">
        <v>4693</v>
      </c>
      <c r="C252" s="1" t="s">
        <v>7715</v>
      </c>
      <c r="D252" s="1"/>
      <c r="E252" s="1" t="s">
        <v>7720</v>
      </c>
      <c r="F252" s="1"/>
      <c r="G252" s="1" t="s">
        <v>7724</v>
      </c>
      <c r="H252" s="4"/>
      <c r="I252" s="1" t="s">
        <v>5474</v>
      </c>
      <c r="J252" s="1" t="s">
        <v>7727</v>
      </c>
    </row>
    <row r="253">
      <c r="A253" s="1" t="s">
        <v>7729</v>
      </c>
      <c r="B253" s="1" t="s">
        <v>4693</v>
      </c>
      <c r="C253" s="1" t="s">
        <v>7731</v>
      </c>
      <c r="D253" s="1"/>
      <c r="E253" s="1" t="s">
        <v>7736</v>
      </c>
      <c r="F253" s="1"/>
      <c r="G253" s="1" t="s">
        <v>7738</v>
      </c>
      <c r="H253" s="4"/>
      <c r="I253" s="1" t="s">
        <v>7485</v>
      </c>
      <c r="J253" s="1" t="s">
        <v>7743</v>
      </c>
    </row>
    <row r="254">
      <c r="A254" s="1" t="s">
        <v>7745</v>
      </c>
      <c r="B254" s="1" t="s">
        <v>4567</v>
      </c>
      <c r="C254" s="1" t="s">
        <v>7078</v>
      </c>
      <c r="D254" s="1"/>
      <c r="E254" s="1" t="s">
        <v>7747</v>
      </c>
      <c r="F254" s="4"/>
      <c r="G254" s="1"/>
      <c r="H254" s="4"/>
      <c r="I254" s="1" t="s">
        <v>5474</v>
      </c>
      <c r="J254" s="1" t="s">
        <v>7752</v>
      </c>
    </row>
    <row r="255">
      <c r="A255" s="1" t="s">
        <v>7754</v>
      </c>
      <c r="B255" s="1" t="s">
        <v>4567</v>
      </c>
      <c r="C255" s="1" t="s">
        <v>7757</v>
      </c>
      <c r="D255" s="1"/>
      <c r="E255" s="1" t="s">
        <v>7758</v>
      </c>
      <c r="F255" s="4"/>
      <c r="G255" s="1"/>
      <c r="H255" s="4"/>
      <c r="I255" s="1" t="s">
        <v>5709</v>
      </c>
      <c r="J255" s="1" t="s">
        <v>7761</v>
      </c>
    </row>
    <row r="256">
      <c r="A256" s="1" t="s">
        <v>7762</v>
      </c>
      <c r="B256" s="1" t="s">
        <v>4693</v>
      </c>
      <c r="C256" s="1" t="s">
        <v>7765</v>
      </c>
      <c r="D256" s="1"/>
      <c r="E256" s="1" t="s">
        <v>7767</v>
      </c>
      <c r="H256" s="4"/>
      <c r="I256" s="1" t="s">
        <v>6877</v>
      </c>
      <c r="J256" s="1" t="s">
        <v>7770</v>
      </c>
    </row>
    <row r="257">
      <c r="A257" s="1" t="s">
        <v>7772</v>
      </c>
      <c r="B257" s="1" t="s">
        <v>4693</v>
      </c>
      <c r="C257" s="1" t="s">
        <v>7775</v>
      </c>
      <c r="D257" s="1"/>
      <c r="E257" s="1" t="s">
        <v>7779</v>
      </c>
      <c r="G257" s="1" t="s">
        <v>7783</v>
      </c>
      <c r="H257" s="4"/>
      <c r="I257" s="1" t="s">
        <v>7485</v>
      </c>
      <c r="J257" s="1" t="s">
        <v>7786</v>
      </c>
    </row>
    <row r="258">
      <c r="A258" s="1" t="s">
        <v>7787</v>
      </c>
      <c r="B258" s="1" t="s">
        <v>4567</v>
      </c>
      <c r="C258" s="1" t="s">
        <v>7789</v>
      </c>
      <c r="D258" s="1"/>
      <c r="E258" s="1"/>
      <c r="F258" s="4"/>
      <c r="G258" s="1" t="s">
        <v>7792</v>
      </c>
      <c r="H258" s="4"/>
      <c r="I258" s="1" t="s">
        <v>6442</v>
      </c>
      <c r="J258" s="1" t="s">
        <v>7795</v>
      </c>
    </row>
    <row r="259">
      <c r="A259" s="1" t="s">
        <v>7797</v>
      </c>
      <c r="B259" s="1" t="s">
        <v>4693</v>
      </c>
      <c r="C259" s="1" t="s">
        <v>7798</v>
      </c>
      <c r="D259" s="1"/>
      <c r="E259" s="1" t="s">
        <v>7802</v>
      </c>
      <c r="F259" s="1" t="s">
        <v>7803</v>
      </c>
      <c r="G259" s="1" t="s">
        <v>7802</v>
      </c>
      <c r="H259" s="4"/>
      <c r="I259" s="1" t="s">
        <v>7806</v>
      </c>
      <c r="J259" s="1" t="s">
        <v>7807</v>
      </c>
    </row>
    <row r="260">
      <c r="A260" s="1" t="s">
        <v>7808</v>
      </c>
      <c r="B260" s="1" t="s">
        <v>4693</v>
      </c>
      <c r="C260" s="1" t="s">
        <v>7812</v>
      </c>
      <c r="D260" s="1" t="b">
        <v>1</v>
      </c>
      <c r="E260" s="1" t="s">
        <v>7815</v>
      </c>
      <c r="F260" s="1" t="s">
        <v>7816</v>
      </c>
      <c r="G260" s="1" t="s">
        <v>7818</v>
      </c>
      <c r="H260" s="4"/>
      <c r="I260" s="1" t="s">
        <v>5948</v>
      </c>
      <c r="J260" s="1" t="s">
        <v>7820</v>
      </c>
    </row>
    <row r="261">
      <c r="A261" s="1" t="s">
        <v>7824</v>
      </c>
      <c r="B261" s="1" t="s">
        <v>4693</v>
      </c>
      <c r="C261" s="1" t="s">
        <v>7826</v>
      </c>
      <c r="D261" s="1"/>
      <c r="E261" s="1" t="s">
        <v>7828</v>
      </c>
      <c r="F261" s="1"/>
      <c r="G261" s="1" t="s">
        <v>7829</v>
      </c>
      <c r="H261" s="4"/>
      <c r="I261" s="1" t="s">
        <v>5496</v>
      </c>
      <c r="J261" s="1" t="s">
        <v>7831</v>
      </c>
    </row>
    <row r="262">
      <c r="A262" s="1" t="s">
        <v>7835</v>
      </c>
      <c r="B262" s="1" t="s">
        <v>4693</v>
      </c>
      <c r="C262" s="1" t="s">
        <v>7839</v>
      </c>
      <c r="D262" s="1" t="b">
        <v>1</v>
      </c>
      <c r="E262" s="1" t="s">
        <v>7842</v>
      </c>
      <c r="F262" s="1"/>
      <c r="G262" s="1" t="s">
        <v>7846</v>
      </c>
      <c r="H262" s="4"/>
      <c r="I262" s="1" t="s">
        <v>5948</v>
      </c>
      <c r="J262" s="1" t="s">
        <v>7849</v>
      </c>
    </row>
    <row r="263">
      <c r="A263" s="1" t="s">
        <v>7850</v>
      </c>
      <c r="B263" s="1" t="s">
        <v>4693</v>
      </c>
      <c r="C263" s="1" t="s">
        <v>7853</v>
      </c>
      <c r="D263" s="1"/>
      <c r="E263" s="1" t="s">
        <v>7863</v>
      </c>
      <c r="F263" s="1" t="s">
        <v>7865</v>
      </c>
      <c r="G263" s="1" t="s">
        <v>7872</v>
      </c>
      <c r="H263" s="4"/>
      <c r="I263" s="1" t="s">
        <v>7688</v>
      </c>
      <c r="J263" s="1" t="s">
        <v>7873</v>
      </c>
    </row>
    <row r="264">
      <c r="A264" s="1" t="s">
        <v>7875</v>
      </c>
      <c r="B264" s="1" t="s">
        <v>4693</v>
      </c>
      <c r="C264" s="1" t="s">
        <v>7877</v>
      </c>
      <c r="D264" s="1"/>
      <c r="E264" s="1" t="s">
        <v>7880</v>
      </c>
      <c r="F264" s="1" t="s">
        <v>7882</v>
      </c>
      <c r="G264" s="1" t="s">
        <v>7883</v>
      </c>
      <c r="H264" s="4"/>
      <c r="I264" s="1" t="s">
        <v>5474</v>
      </c>
      <c r="J264" s="1" t="s">
        <v>7885</v>
      </c>
    </row>
    <row r="265">
      <c r="A265" s="1" t="s">
        <v>7887</v>
      </c>
      <c r="B265" s="1" t="s">
        <v>4693</v>
      </c>
      <c r="C265" s="1" t="s">
        <v>7891</v>
      </c>
      <c r="D265" s="1" t="b">
        <v>1</v>
      </c>
      <c r="E265" s="1" t="s">
        <v>7893</v>
      </c>
      <c r="F265" s="1" t="s">
        <v>7431</v>
      </c>
      <c r="G265" s="1" t="s">
        <v>7899</v>
      </c>
      <c r="H265" s="4"/>
      <c r="I265" s="1" t="s">
        <v>6442</v>
      </c>
      <c r="J265" s="1" t="s">
        <v>7901</v>
      </c>
    </row>
    <row r="266">
      <c r="A266" s="1" t="s">
        <v>7904</v>
      </c>
      <c r="B266" s="1" t="s">
        <v>4635</v>
      </c>
      <c r="C266" s="1" t="s">
        <v>7906</v>
      </c>
      <c r="D266" s="1" t="b">
        <v>1</v>
      </c>
      <c r="E266" s="1" t="s">
        <v>7908</v>
      </c>
      <c r="F266" s="1" t="s">
        <v>7909</v>
      </c>
      <c r="G266" s="1" t="s">
        <v>7910</v>
      </c>
      <c r="H266" s="4"/>
      <c r="I266" s="1" t="s">
        <v>5948</v>
      </c>
      <c r="J266" s="1" t="s">
        <v>7912</v>
      </c>
    </row>
    <row r="267">
      <c r="A267" s="1" t="s">
        <v>7914</v>
      </c>
      <c r="B267" s="1" t="s">
        <v>4635</v>
      </c>
      <c r="C267" s="1" t="s">
        <v>7917</v>
      </c>
      <c r="D267" s="1"/>
      <c r="E267" s="1" t="s">
        <v>7919</v>
      </c>
      <c r="F267" s="1"/>
      <c r="G267" s="1"/>
      <c r="H267" s="4"/>
      <c r="I267" s="1" t="s">
        <v>5474</v>
      </c>
      <c r="J267" s="1" t="s">
        <v>7923</v>
      </c>
    </row>
    <row r="268">
      <c r="A268" s="1" t="s">
        <v>7925</v>
      </c>
      <c r="B268" s="1" t="s">
        <v>4567</v>
      </c>
      <c r="C268" s="1" t="s">
        <v>7927</v>
      </c>
      <c r="D268" s="1"/>
      <c r="E268" s="1" t="s">
        <v>7928</v>
      </c>
      <c r="F268" s="1"/>
      <c r="G268" s="1" t="s">
        <v>7932</v>
      </c>
      <c r="H268" s="4"/>
      <c r="I268" s="1" t="s">
        <v>6442</v>
      </c>
      <c r="J268" s="1" t="s">
        <v>7935</v>
      </c>
    </row>
    <row r="269">
      <c r="A269" s="1" t="s">
        <v>7936</v>
      </c>
      <c r="B269" s="1" t="s">
        <v>4693</v>
      </c>
      <c r="C269" s="1" t="s">
        <v>7938</v>
      </c>
      <c r="D269" s="1"/>
      <c r="E269" s="1" t="s">
        <v>7940</v>
      </c>
      <c r="F269" s="1" t="s">
        <v>7941</v>
      </c>
      <c r="G269" s="1" t="s">
        <v>7944</v>
      </c>
      <c r="H269" s="4"/>
      <c r="I269" s="1" t="s">
        <v>5948</v>
      </c>
      <c r="J269" s="1" t="s">
        <v>7947</v>
      </c>
    </row>
    <row r="270">
      <c r="A270" s="1" t="s">
        <v>7948</v>
      </c>
      <c r="B270" s="1" t="s">
        <v>4693</v>
      </c>
      <c r="C270" s="1" t="s">
        <v>7949</v>
      </c>
      <c r="D270" s="1"/>
      <c r="E270" s="1" t="s">
        <v>7952</v>
      </c>
      <c r="F270" s="1" t="s">
        <v>7954</v>
      </c>
      <c r="G270" s="1"/>
      <c r="H270" s="4"/>
      <c r="I270" s="1" t="s">
        <v>5474</v>
      </c>
      <c r="J270" s="1" t="s">
        <v>7957</v>
      </c>
    </row>
    <row r="271">
      <c r="A271" s="1" t="s">
        <v>7958</v>
      </c>
      <c r="B271" s="1" t="s">
        <v>4635</v>
      </c>
      <c r="C271" s="1" t="s">
        <v>7959</v>
      </c>
      <c r="D271" s="1"/>
      <c r="E271" s="1" t="s">
        <v>7962</v>
      </c>
      <c r="F271" s="1" t="s">
        <v>7431</v>
      </c>
      <c r="G271" s="1" t="s">
        <v>7965</v>
      </c>
      <c r="H271" s="4"/>
      <c r="I271" s="1" t="s">
        <v>5496</v>
      </c>
      <c r="J271" s="1" t="s">
        <v>7966</v>
      </c>
    </row>
    <row r="272">
      <c r="A272" s="1" t="s">
        <v>7967</v>
      </c>
      <c r="B272" s="1" t="s">
        <v>4693</v>
      </c>
      <c r="C272" s="1" t="s">
        <v>7968</v>
      </c>
      <c r="D272" s="1"/>
      <c r="E272" s="1" t="s">
        <v>7971</v>
      </c>
      <c r="F272" s="1"/>
      <c r="G272" s="1"/>
      <c r="H272" s="4"/>
      <c r="I272" s="1" t="s">
        <v>7439</v>
      </c>
      <c r="J272" s="1" t="s">
        <v>7974</v>
      </c>
    </row>
    <row r="273">
      <c r="A273" s="1" t="s">
        <v>7975</v>
      </c>
      <c r="B273" s="1" t="s">
        <v>4693</v>
      </c>
      <c r="C273" s="1" t="s">
        <v>7978</v>
      </c>
      <c r="D273" s="1"/>
      <c r="E273" s="1" t="s">
        <v>7981</v>
      </c>
      <c r="F273" s="1" t="s">
        <v>6785</v>
      </c>
      <c r="G273" s="1" t="s">
        <v>7983</v>
      </c>
      <c r="H273" s="4"/>
      <c r="I273" s="1" t="s">
        <v>6877</v>
      </c>
      <c r="J273" s="1" t="s">
        <v>7985</v>
      </c>
    </row>
    <row r="274">
      <c r="A274" s="1" t="s">
        <v>7988</v>
      </c>
      <c r="B274" s="1" t="s">
        <v>4693</v>
      </c>
      <c r="C274" s="1" t="s">
        <v>7991</v>
      </c>
      <c r="D274" s="1"/>
      <c r="E274" s="1" t="s">
        <v>7993</v>
      </c>
      <c r="F274" s="1"/>
      <c r="G274" s="1"/>
      <c r="H274" s="4"/>
      <c r="I274" s="1" t="s">
        <v>5948</v>
      </c>
      <c r="J274" s="1" t="s">
        <v>7996</v>
      </c>
    </row>
    <row r="275">
      <c r="A275" s="1" t="s">
        <v>7998</v>
      </c>
      <c r="B275" s="1" t="s">
        <v>4693</v>
      </c>
      <c r="C275" s="1" t="s">
        <v>8002</v>
      </c>
      <c r="D275" s="1"/>
      <c r="E275" s="1"/>
      <c r="F275" s="1" t="s">
        <v>8005</v>
      </c>
      <c r="G275" s="1" t="s">
        <v>8007</v>
      </c>
      <c r="H275" s="4"/>
      <c r="I275" s="1" t="s">
        <v>5496</v>
      </c>
      <c r="J275" s="1" t="s">
        <v>8012</v>
      </c>
    </row>
    <row r="276">
      <c r="A276" s="1" t="s">
        <v>8015</v>
      </c>
      <c r="B276" s="1" t="s">
        <v>4693</v>
      </c>
      <c r="C276" s="1" t="s">
        <v>8018</v>
      </c>
      <c r="D276" s="1" t="b">
        <v>1</v>
      </c>
      <c r="E276" s="1" t="s">
        <v>8022</v>
      </c>
      <c r="F276" s="1" t="s">
        <v>7611</v>
      </c>
      <c r="G276" s="1" t="s">
        <v>8024</v>
      </c>
      <c r="H276" s="4"/>
      <c r="I276" s="1" t="s">
        <v>5948</v>
      </c>
      <c r="J276" s="1" t="s">
        <v>8026</v>
      </c>
    </row>
    <row r="277">
      <c r="A277" s="1" t="s">
        <v>8028</v>
      </c>
      <c r="B277" s="1" t="s">
        <v>4693</v>
      </c>
      <c r="C277" s="1" t="s">
        <v>8031</v>
      </c>
      <c r="D277" s="1" t="b">
        <v>1</v>
      </c>
      <c r="E277" s="1" t="s">
        <v>8034</v>
      </c>
      <c r="F277" s="1" t="s">
        <v>7611</v>
      </c>
      <c r="G277" s="1" t="s">
        <v>8039</v>
      </c>
      <c r="H277" s="4"/>
      <c r="I277" s="1" t="s">
        <v>5474</v>
      </c>
      <c r="J277" s="1" t="s">
        <v>8040</v>
      </c>
    </row>
    <row r="278">
      <c r="A278" s="1" t="s">
        <v>8042</v>
      </c>
      <c r="B278" s="1" t="s">
        <v>4693</v>
      </c>
      <c r="C278" s="1" t="s">
        <v>8044</v>
      </c>
      <c r="D278" s="1" t="b">
        <v>1</v>
      </c>
      <c r="E278" s="1" t="s">
        <v>8047</v>
      </c>
      <c r="F278" s="1" t="s">
        <v>8048</v>
      </c>
      <c r="G278" s="1" t="s">
        <v>8049</v>
      </c>
      <c r="H278" s="4"/>
      <c r="I278" s="1" t="s">
        <v>5948</v>
      </c>
      <c r="J278" s="1" t="s">
        <v>8051</v>
      </c>
    </row>
    <row r="279">
      <c r="A279" s="1" t="s">
        <v>8053</v>
      </c>
      <c r="B279" s="1" t="s">
        <v>4693</v>
      </c>
      <c r="C279" s="1" t="s">
        <v>8057</v>
      </c>
      <c r="D279" s="1"/>
      <c r="E279" s="1" t="s">
        <v>8059</v>
      </c>
      <c r="F279" s="1"/>
      <c r="G279" s="1"/>
      <c r="H279" s="4"/>
      <c r="I279" s="1" t="s">
        <v>5709</v>
      </c>
      <c r="J279" s="1" t="s">
        <v>8063</v>
      </c>
    </row>
    <row r="280">
      <c r="A280" s="1" t="s">
        <v>8065</v>
      </c>
      <c r="B280" s="1" t="s">
        <v>4693</v>
      </c>
      <c r="C280" s="1" t="s">
        <v>8068</v>
      </c>
      <c r="D280" s="1"/>
      <c r="E280" s="1" t="s">
        <v>8069</v>
      </c>
      <c r="F280" s="1"/>
      <c r="G280" s="1" t="s">
        <v>8075</v>
      </c>
      <c r="H280" s="4"/>
      <c r="I280" s="1" t="s">
        <v>5948</v>
      </c>
      <c r="J280" s="1" t="s">
        <v>8077</v>
      </c>
    </row>
    <row r="281">
      <c r="A281" s="1" t="s">
        <v>8079</v>
      </c>
      <c r="B281" s="1" t="s">
        <v>4693</v>
      </c>
      <c r="C281" s="1" t="s">
        <v>8081</v>
      </c>
      <c r="D281" s="1" t="b">
        <v>1</v>
      </c>
      <c r="E281" s="1" t="s">
        <v>8083</v>
      </c>
      <c r="G281" s="1" t="s">
        <v>8089</v>
      </c>
      <c r="H281" s="4"/>
      <c r="I281" s="1" t="s">
        <v>5948</v>
      </c>
      <c r="J281" s="1" t="s">
        <v>8093</v>
      </c>
    </row>
    <row r="282">
      <c r="A282" s="1" t="s">
        <v>8096</v>
      </c>
      <c r="B282" s="1" t="s">
        <v>4693</v>
      </c>
      <c r="C282" s="1" t="s">
        <v>8099</v>
      </c>
      <c r="D282" s="1" t="b">
        <v>1</v>
      </c>
      <c r="E282" s="1" t="s">
        <v>8111</v>
      </c>
      <c r="F282" s="1" t="s">
        <v>7611</v>
      </c>
      <c r="G282" s="1" t="s">
        <v>8117</v>
      </c>
      <c r="H282" s="4"/>
      <c r="I282" s="1" t="s">
        <v>5496</v>
      </c>
      <c r="J282" s="1" t="s">
        <v>8118</v>
      </c>
    </row>
    <row r="283">
      <c r="A283" s="1" t="s">
        <v>8120</v>
      </c>
      <c r="B283" s="1" t="s">
        <v>4693</v>
      </c>
      <c r="C283" s="1" t="s">
        <v>8123</v>
      </c>
      <c r="D283" s="1"/>
      <c r="E283" s="1" t="s">
        <v>8125</v>
      </c>
      <c r="F283" s="1"/>
      <c r="G283" s="1"/>
      <c r="H283" s="4"/>
      <c r="I283" s="1" t="s">
        <v>5474</v>
      </c>
      <c r="J283" s="1" t="s">
        <v>8130</v>
      </c>
    </row>
    <row r="284">
      <c r="A284" s="1" t="s">
        <v>8132</v>
      </c>
      <c r="B284" s="1" t="s">
        <v>4693</v>
      </c>
      <c r="C284" s="1" t="s">
        <v>8133</v>
      </c>
      <c r="D284" s="1"/>
      <c r="E284" s="1" t="s">
        <v>8135</v>
      </c>
      <c r="F284" s="1"/>
      <c r="G284" s="1" t="s">
        <v>8142</v>
      </c>
      <c r="H284" s="4"/>
      <c r="I284" s="1" t="s">
        <v>5474</v>
      </c>
      <c r="J284" s="1" t="s">
        <v>8147</v>
      </c>
    </row>
    <row r="285">
      <c r="A285" s="1" t="s">
        <v>8148</v>
      </c>
      <c r="B285" s="1" t="s">
        <v>4635</v>
      </c>
      <c r="C285" s="1" t="s">
        <v>8149</v>
      </c>
      <c r="D285" s="1"/>
      <c r="E285" s="1" t="s">
        <v>8152</v>
      </c>
      <c r="G285" s="1" t="s">
        <v>8155</v>
      </c>
      <c r="H285" s="4"/>
      <c r="I285" s="1" t="s">
        <v>5830</v>
      </c>
      <c r="J285" s="1" t="s">
        <v>8158</v>
      </c>
    </row>
    <row r="286">
      <c r="A286" s="1" t="s">
        <v>8161</v>
      </c>
      <c r="B286" s="1" t="s">
        <v>4567</v>
      </c>
      <c r="C286" s="1" t="s">
        <v>8163</v>
      </c>
      <c r="D286" s="1" t="b">
        <v>1</v>
      </c>
      <c r="E286" s="1"/>
      <c r="F286" s="4"/>
      <c r="G286" s="1" t="s">
        <v>8166</v>
      </c>
      <c r="H286" s="4"/>
      <c r="I286" s="1" t="s">
        <v>5948</v>
      </c>
      <c r="J286" s="1" t="s">
        <v>8171</v>
      </c>
    </row>
    <row r="287">
      <c r="A287" s="1" t="s">
        <v>8173</v>
      </c>
      <c r="B287" s="1" t="s">
        <v>4567</v>
      </c>
      <c r="C287" s="1" t="s">
        <v>8174</v>
      </c>
      <c r="D287" s="1"/>
      <c r="E287" s="1" t="s">
        <v>8180</v>
      </c>
      <c r="F287" s="4"/>
      <c r="G287" s="1"/>
      <c r="H287" s="4"/>
      <c r="I287" s="1" t="s">
        <v>5474</v>
      </c>
      <c r="J287" s="1" t="s">
        <v>8184</v>
      </c>
    </row>
    <row r="288">
      <c r="A288" s="1" t="s">
        <v>8186</v>
      </c>
      <c r="B288" s="1" t="s">
        <v>4693</v>
      </c>
      <c r="C288" s="1" t="s">
        <v>8188</v>
      </c>
      <c r="D288" s="1"/>
      <c r="E288" s="1" t="s">
        <v>8190</v>
      </c>
      <c r="F288" s="1" t="s">
        <v>7803</v>
      </c>
      <c r="G288" s="1" t="s">
        <v>8195</v>
      </c>
      <c r="H288" s="4"/>
      <c r="I288" s="1" t="s">
        <v>5948</v>
      </c>
      <c r="J288" s="1" t="s">
        <v>8197</v>
      </c>
    </row>
    <row r="289">
      <c r="A289" s="1" t="s">
        <v>8200</v>
      </c>
      <c r="B289" s="1" t="s">
        <v>4635</v>
      </c>
      <c r="C289" s="1" t="s">
        <v>8203</v>
      </c>
      <c r="D289" s="1"/>
      <c r="E289" s="1" t="s">
        <v>8204</v>
      </c>
      <c r="F289" s="1"/>
      <c r="G289" s="1" t="s">
        <v>8207</v>
      </c>
      <c r="H289" s="4"/>
      <c r="I289" s="1" t="s">
        <v>5474</v>
      </c>
      <c r="J289" s="1" t="s">
        <v>8210</v>
      </c>
    </row>
    <row r="290">
      <c r="A290" s="1" t="s">
        <v>8213</v>
      </c>
      <c r="B290" s="1" t="s">
        <v>4567</v>
      </c>
      <c r="C290" s="1" t="s">
        <v>8215</v>
      </c>
      <c r="D290" s="1"/>
      <c r="E290" s="1" t="s">
        <v>8216</v>
      </c>
      <c r="F290" s="1"/>
      <c r="G290" s="1"/>
      <c r="H290" s="4"/>
      <c r="I290" s="1" t="s">
        <v>5496</v>
      </c>
      <c r="J290" s="1" t="s">
        <v>8220</v>
      </c>
    </row>
    <row r="291">
      <c r="A291" s="1" t="s">
        <v>8222</v>
      </c>
      <c r="B291" s="1" t="s">
        <v>4567</v>
      </c>
      <c r="C291" s="1" t="s">
        <v>8224</v>
      </c>
      <c r="D291" s="1"/>
      <c r="E291" s="1"/>
      <c r="F291" s="1" t="s">
        <v>8225</v>
      </c>
      <c r="G291" s="1" t="s">
        <v>8229</v>
      </c>
      <c r="H291" s="4"/>
      <c r="I291" s="1" t="s">
        <v>5474</v>
      </c>
      <c r="J291" s="1" t="s">
        <v>8230</v>
      </c>
    </row>
    <row r="292">
      <c r="A292" s="1" t="s">
        <v>8231</v>
      </c>
      <c r="B292" s="1" t="s">
        <v>4567</v>
      </c>
      <c r="C292" s="1" t="s">
        <v>8233</v>
      </c>
      <c r="D292" s="1"/>
      <c r="E292" s="1" t="s">
        <v>8236</v>
      </c>
      <c r="F292" s="1"/>
      <c r="G292" s="1" t="s">
        <v>8239</v>
      </c>
      <c r="H292" s="4"/>
      <c r="I292" s="1" t="s">
        <v>7688</v>
      </c>
      <c r="J292" s="1" t="s">
        <v>8241</v>
      </c>
    </row>
    <row r="293">
      <c r="A293" s="1" t="s">
        <v>8244</v>
      </c>
      <c r="B293" s="1" t="s">
        <v>4567</v>
      </c>
      <c r="C293" s="1" t="s">
        <v>8245</v>
      </c>
      <c r="D293" s="1"/>
      <c r="E293" s="1" t="s">
        <v>8248</v>
      </c>
      <c r="F293" s="1"/>
      <c r="G293" s="1"/>
      <c r="H293" s="4"/>
      <c r="I293" s="1" t="s">
        <v>5474</v>
      </c>
      <c r="J293" s="1" t="s">
        <v>8252</v>
      </c>
    </row>
    <row r="294">
      <c r="A294" s="1" t="s">
        <v>8254</v>
      </c>
      <c r="B294" s="1" t="s">
        <v>4567</v>
      </c>
      <c r="C294" s="1" t="s">
        <v>8257</v>
      </c>
      <c r="D294" s="1"/>
      <c r="E294" s="1" t="s">
        <v>8259</v>
      </c>
      <c r="F294" s="4"/>
      <c r="G294" s="1"/>
      <c r="H294" s="4"/>
      <c r="I294" s="1" t="s">
        <v>5948</v>
      </c>
      <c r="J294" s="1" t="s">
        <v>8262</v>
      </c>
    </row>
    <row r="295">
      <c r="A295" s="1" t="s">
        <v>8263</v>
      </c>
      <c r="B295" s="1" t="s">
        <v>4693</v>
      </c>
      <c r="C295" s="1" t="s">
        <v>8266</v>
      </c>
      <c r="D295" s="1" t="b">
        <v>1</v>
      </c>
      <c r="E295" s="1" t="s">
        <v>8269</v>
      </c>
      <c r="G295" s="1">
        <v>0.0</v>
      </c>
      <c r="H295" s="4"/>
      <c r="I295" s="1" t="s">
        <v>7439</v>
      </c>
      <c r="J295" s="1" t="s">
        <v>8273</v>
      </c>
    </row>
    <row r="296">
      <c r="A296" s="1" t="s">
        <v>8275</v>
      </c>
      <c r="B296" s="1" t="s">
        <v>4567</v>
      </c>
      <c r="C296" s="1" t="s">
        <v>8277</v>
      </c>
      <c r="D296" s="1"/>
      <c r="E296" s="1" t="s">
        <v>8280</v>
      </c>
      <c r="G296" s="1" t="s">
        <v>8282</v>
      </c>
      <c r="H296" s="4"/>
      <c r="I296" s="1" t="s">
        <v>5474</v>
      </c>
      <c r="J296" s="1" t="s">
        <v>8284</v>
      </c>
    </row>
    <row r="297">
      <c r="A297" s="1" t="s">
        <v>8286</v>
      </c>
      <c r="B297" s="1" t="s">
        <v>4693</v>
      </c>
      <c r="C297" s="1" t="s">
        <v>8289</v>
      </c>
      <c r="D297" s="1"/>
      <c r="E297" s="1" t="s">
        <v>8291</v>
      </c>
      <c r="F297" s="4"/>
      <c r="G297" s="1"/>
      <c r="H297" s="4"/>
      <c r="I297" s="1" t="s">
        <v>5474</v>
      </c>
      <c r="J297" s="1" t="s">
        <v>8296</v>
      </c>
    </row>
    <row r="298">
      <c r="A298" s="1" t="s">
        <v>8298</v>
      </c>
      <c r="B298" s="1" t="s">
        <v>4567</v>
      </c>
      <c r="C298" s="1" t="s">
        <v>8299</v>
      </c>
      <c r="D298" s="1"/>
      <c r="E298" s="1" t="s">
        <v>8304</v>
      </c>
      <c r="F298" s="4"/>
      <c r="G298" s="1"/>
      <c r="H298" s="4"/>
      <c r="I298" s="1" t="s">
        <v>6877</v>
      </c>
      <c r="J298" s="1" t="s">
        <v>8305</v>
      </c>
    </row>
    <row r="299">
      <c r="A299" s="1" t="s">
        <v>8308</v>
      </c>
      <c r="B299" s="1" t="s">
        <v>4567</v>
      </c>
      <c r="C299" s="1" t="s">
        <v>8312</v>
      </c>
      <c r="D299" s="1"/>
      <c r="E299" s="1" t="s">
        <v>8318</v>
      </c>
      <c r="F299" s="1" t="s">
        <v>8319</v>
      </c>
      <c r="G299" s="1" t="s">
        <v>8320</v>
      </c>
      <c r="H299" s="4"/>
      <c r="I299" s="1" t="s">
        <v>5474</v>
      </c>
      <c r="J299" s="1" t="s">
        <v>8324</v>
      </c>
    </row>
    <row r="300">
      <c r="A300" s="1" t="s">
        <v>8326</v>
      </c>
      <c r="B300" s="1" t="s">
        <v>4567</v>
      </c>
      <c r="C300" s="1" t="s">
        <v>8327</v>
      </c>
      <c r="D300" s="1"/>
      <c r="E300" s="1" t="s">
        <v>8330</v>
      </c>
      <c r="F300" s="1"/>
      <c r="G300" s="1" t="s">
        <v>8332</v>
      </c>
      <c r="H300" s="4"/>
      <c r="I300" s="1" t="s">
        <v>5474</v>
      </c>
      <c r="J300" s="1" t="s">
        <v>8335</v>
      </c>
    </row>
    <row r="301">
      <c r="A301" s="1" t="s">
        <v>8336</v>
      </c>
      <c r="B301" s="1" t="s">
        <v>4635</v>
      </c>
      <c r="C301" s="1" t="s">
        <v>8337</v>
      </c>
      <c r="D301" s="1"/>
      <c r="E301" s="1" t="s">
        <v>8340</v>
      </c>
      <c r="F301" s="1"/>
      <c r="G301" s="1"/>
      <c r="H301" s="4"/>
      <c r="I301" s="1" t="s">
        <v>5709</v>
      </c>
      <c r="J301" s="1" t="s">
        <v>8343</v>
      </c>
    </row>
    <row r="302">
      <c r="A302" s="1" t="s">
        <v>8344</v>
      </c>
      <c r="B302" s="1" t="s">
        <v>4635</v>
      </c>
      <c r="C302" s="1" t="s">
        <v>8345</v>
      </c>
      <c r="D302" s="1" t="b">
        <v>1</v>
      </c>
      <c r="E302" s="1" t="s">
        <v>8348</v>
      </c>
      <c r="F302" s="1" t="s">
        <v>8349</v>
      </c>
      <c r="G302" s="1" t="s">
        <v>8348</v>
      </c>
      <c r="H302" s="4"/>
      <c r="I302" s="1" t="s">
        <v>7439</v>
      </c>
      <c r="J302" s="1" t="s">
        <v>8356</v>
      </c>
    </row>
    <row r="303">
      <c r="A303" s="1" t="s">
        <v>8361</v>
      </c>
      <c r="B303" s="1" t="s">
        <v>4635</v>
      </c>
      <c r="C303" s="1" t="s">
        <v>8364</v>
      </c>
      <c r="D303" s="1"/>
      <c r="E303" s="1" t="s">
        <v>8371</v>
      </c>
      <c r="F303" s="1"/>
      <c r="G303" s="1" t="s">
        <v>8374</v>
      </c>
      <c r="H303" s="4"/>
      <c r="I303" s="1" t="s">
        <v>5474</v>
      </c>
      <c r="J303" s="1" t="s">
        <v>8377</v>
      </c>
    </row>
    <row r="304">
      <c r="A304" s="1" t="s">
        <v>8378</v>
      </c>
      <c r="B304" s="1" t="s">
        <v>4635</v>
      </c>
      <c r="C304" s="1" t="s">
        <v>8379</v>
      </c>
      <c r="D304" s="1" t="b">
        <v>1</v>
      </c>
      <c r="E304" s="1" t="s">
        <v>8381</v>
      </c>
      <c r="F304" s="1" t="s">
        <v>8383</v>
      </c>
      <c r="G304" s="1" t="s">
        <v>8384</v>
      </c>
      <c r="H304" s="4"/>
      <c r="I304" s="1" t="s">
        <v>5948</v>
      </c>
      <c r="J304" s="1" t="s">
        <v>8387</v>
      </c>
    </row>
    <row r="305">
      <c r="A305" s="1" t="s">
        <v>8388</v>
      </c>
      <c r="B305" s="1" t="s">
        <v>4567</v>
      </c>
      <c r="C305" s="1" t="s">
        <v>8389</v>
      </c>
      <c r="D305" s="1"/>
      <c r="E305" s="1" t="s">
        <v>8392</v>
      </c>
      <c r="F305" s="1"/>
      <c r="G305" s="1" t="s">
        <v>8397</v>
      </c>
      <c r="H305" s="4"/>
      <c r="I305" s="1" t="s">
        <v>5474</v>
      </c>
      <c r="J305" s="1" t="s">
        <v>8398</v>
      </c>
    </row>
    <row r="306">
      <c r="A306" s="1" t="s">
        <v>8399</v>
      </c>
      <c r="B306" s="1" t="s">
        <v>4567</v>
      </c>
      <c r="C306" s="1" t="s">
        <v>7044</v>
      </c>
      <c r="D306" s="1"/>
      <c r="E306" s="1" t="s">
        <v>8402</v>
      </c>
      <c r="F306" s="1"/>
      <c r="G306" s="1" t="s">
        <v>8405</v>
      </c>
      <c r="H306" s="4"/>
      <c r="I306" s="1" t="s">
        <v>5474</v>
      </c>
      <c r="J306" s="1" t="s">
        <v>8406</v>
      </c>
    </row>
    <row r="307">
      <c r="A307" s="1" t="s">
        <v>8407</v>
      </c>
      <c r="B307" s="1" t="s">
        <v>4567</v>
      </c>
      <c r="C307" s="1" t="s">
        <v>8411</v>
      </c>
      <c r="D307" s="1"/>
      <c r="E307" s="1" t="s">
        <v>8415</v>
      </c>
      <c r="F307" s="4"/>
      <c r="G307" s="1" t="s">
        <v>8416</v>
      </c>
      <c r="H307" s="4"/>
      <c r="I307" s="1" t="s">
        <v>5474</v>
      </c>
      <c r="J307" s="1" t="s">
        <v>8417</v>
      </c>
    </row>
    <row r="308">
      <c r="A308" s="1" t="s">
        <v>8419</v>
      </c>
      <c r="B308" s="1" t="s">
        <v>4567</v>
      </c>
      <c r="C308" s="1" t="s">
        <v>8421</v>
      </c>
      <c r="D308" s="1"/>
      <c r="E308" s="1" t="s">
        <v>8424</v>
      </c>
      <c r="F308" s="4"/>
      <c r="G308" s="1" t="s">
        <v>8426</v>
      </c>
      <c r="H308" s="4"/>
      <c r="I308" s="1" t="s">
        <v>5474</v>
      </c>
      <c r="J308" s="1" t="s">
        <v>8428</v>
      </c>
    </row>
    <row r="309">
      <c r="A309" s="1" t="s">
        <v>8431</v>
      </c>
      <c r="B309" s="1" t="s">
        <v>4635</v>
      </c>
      <c r="C309" s="1" t="s">
        <v>8433</v>
      </c>
      <c r="D309" s="1"/>
      <c r="E309" s="1" t="s">
        <v>8435</v>
      </c>
      <c r="F309" s="4"/>
      <c r="G309" s="1" t="s">
        <v>8437</v>
      </c>
      <c r="H309" s="4"/>
      <c r="I309" s="1" t="s">
        <v>5474</v>
      </c>
      <c r="J309" s="1" t="s">
        <v>8438</v>
      </c>
    </row>
    <row r="310">
      <c r="A310" s="1" t="s">
        <v>8439</v>
      </c>
      <c r="B310" s="1" t="s">
        <v>4635</v>
      </c>
      <c r="C310" s="1" t="s">
        <v>8442</v>
      </c>
      <c r="D310" s="1"/>
      <c r="E310" s="1" t="s">
        <v>8445</v>
      </c>
      <c r="F310" s="4"/>
      <c r="G310" s="1" t="s">
        <v>8447</v>
      </c>
      <c r="H310" s="4"/>
      <c r="I310" s="1" t="s">
        <v>5474</v>
      </c>
      <c r="J310" s="1" t="s">
        <v>8448</v>
      </c>
    </row>
    <row r="311">
      <c r="A311" s="1" t="s">
        <v>8452</v>
      </c>
      <c r="B311" s="1" t="s">
        <v>4635</v>
      </c>
      <c r="C311" s="1" t="s">
        <v>8457</v>
      </c>
      <c r="D311" s="1"/>
      <c r="E311" s="1" t="s">
        <v>8461</v>
      </c>
      <c r="F311" s="4"/>
      <c r="G311" s="1" t="s">
        <v>8463</v>
      </c>
      <c r="H311" s="4"/>
      <c r="I311" s="1" t="s">
        <v>5474</v>
      </c>
      <c r="J311" s="1" t="s">
        <v>8467</v>
      </c>
    </row>
    <row r="312">
      <c r="A312" s="1" t="s">
        <v>8470</v>
      </c>
      <c r="B312" s="1" t="s">
        <v>4635</v>
      </c>
      <c r="C312" s="1" t="s">
        <v>8473</v>
      </c>
      <c r="D312" s="1"/>
      <c r="E312" s="1" t="s">
        <v>8476</v>
      </c>
      <c r="F312" s="4"/>
      <c r="G312" s="1" t="s">
        <v>8477</v>
      </c>
      <c r="H312" s="4"/>
      <c r="I312" s="1" t="s">
        <v>5709</v>
      </c>
      <c r="J312" s="1" t="s">
        <v>8480</v>
      </c>
    </row>
    <row r="313">
      <c r="A313" s="1" t="s">
        <v>8481</v>
      </c>
      <c r="B313" s="1" t="s">
        <v>4635</v>
      </c>
      <c r="C313" s="1" t="s">
        <v>8482</v>
      </c>
      <c r="D313" s="1"/>
      <c r="E313" s="1" t="s">
        <v>8489</v>
      </c>
      <c r="F313" s="4"/>
      <c r="G313" s="1" t="s">
        <v>8492</v>
      </c>
      <c r="H313" s="4"/>
      <c r="I313" s="1" t="s">
        <v>5474</v>
      </c>
      <c r="J313" s="1" t="s">
        <v>8494</v>
      </c>
    </row>
    <row r="314">
      <c r="A314" s="1" t="s">
        <v>8496</v>
      </c>
      <c r="B314" s="1" t="s">
        <v>4635</v>
      </c>
      <c r="C314" s="1" t="s">
        <v>8498</v>
      </c>
      <c r="D314" s="1"/>
      <c r="E314" s="1" t="s">
        <v>8500</v>
      </c>
      <c r="F314" s="4"/>
      <c r="G314" s="1"/>
      <c r="H314" s="4"/>
      <c r="I314" s="1" t="s">
        <v>5474</v>
      </c>
      <c r="J314" s="1" t="s">
        <v>8506</v>
      </c>
    </row>
    <row r="315">
      <c r="A315" s="1" t="s">
        <v>8508</v>
      </c>
      <c r="B315" s="1" t="s">
        <v>4635</v>
      </c>
      <c r="C315" s="1" t="s">
        <v>8509</v>
      </c>
      <c r="D315" s="1"/>
      <c r="E315" s="1" t="s">
        <v>8511</v>
      </c>
      <c r="F315" s="4"/>
      <c r="G315" s="1"/>
      <c r="H315" s="4"/>
      <c r="I315" s="1" t="s">
        <v>5709</v>
      </c>
      <c r="J315" s="1" t="s">
        <v>8515</v>
      </c>
    </row>
    <row r="316">
      <c r="A316" s="1" t="s">
        <v>8516</v>
      </c>
      <c r="B316" s="1" t="s">
        <v>4635</v>
      </c>
      <c r="C316" s="1" t="s">
        <v>8519</v>
      </c>
      <c r="D316" s="1"/>
      <c r="E316" s="1" t="s">
        <v>8523</v>
      </c>
      <c r="F316" s="4"/>
      <c r="G316" s="1"/>
      <c r="H316" s="4"/>
      <c r="I316" s="1" t="s">
        <v>6877</v>
      </c>
      <c r="J316" s="1" t="s">
        <v>8526</v>
      </c>
    </row>
    <row r="317">
      <c r="A317" s="1" t="s">
        <v>8529</v>
      </c>
      <c r="B317" s="1" t="s">
        <v>4693</v>
      </c>
      <c r="C317" s="1" t="s">
        <v>8531</v>
      </c>
      <c r="D317" s="1"/>
      <c r="E317" s="1" t="s">
        <v>8535</v>
      </c>
      <c r="F317" s="4"/>
      <c r="G317" s="1" t="s">
        <v>8539</v>
      </c>
      <c r="H317" s="4"/>
      <c r="I317" s="1" t="s">
        <v>5830</v>
      </c>
      <c r="J317" s="1" t="s">
        <v>8542</v>
      </c>
    </row>
    <row r="318">
      <c r="A318" s="1" t="s">
        <v>8545</v>
      </c>
      <c r="B318" s="1" t="s">
        <v>4635</v>
      </c>
      <c r="C318" s="1" t="s">
        <v>8548</v>
      </c>
      <c r="D318" s="1"/>
      <c r="E318" s="1" t="s">
        <v>8551</v>
      </c>
      <c r="F318" s="4"/>
      <c r="G318" s="1" t="s">
        <v>8555</v>
      </c>
      <c r="H318" s="4"/>
      <c r="I318" s="1" t="s">
        <v>7485</v>
      </c>
      <c r="J318" s="1" t="s">
        <v>8557</v>
      </c>
    </row>
    <row r="319">
      <c r="A319" s="1" t="s">
        <v>8559</v>
      </c>
      <c r="B319" s="1" t="s">
        <v>4635</v>
      </c>
      <c r="C319" s="1" t="s">
        <v>8562</v>
      </c>
      <c r="D319" s="1"/>
      <c r="E319" s="1"/>
      <c r="F319" s="4"/>
      <c r="G319" s="1" t="s">
        <v>8565</v>
      </c>
      <c r="H319" s="4"/>
      <c r="I319" s="1" t="s">
        <v>5474</v>
      </c>
      <c r="J319" s="1" t="s">
        <v>8569</v>
      </c>
    </row>
    <row r="320">
      <c r="A320" s="1" t="s">
        <v>8570</v>
      </c>
      <c r="B320" s="1" t="s">
        <v>4635</v>
      </c>
      <c r="C320" s="1" t="s">
        <v>8573</v>
      </c>
      <c r="D320" s="1"/>
      <c r="E320" s="1"/>
      <c r="G320" s="1" t="s">
        <v>8577</v>
      </c>
      <c r="H320" s="4"/>
      <c r="I320" s="1" t="s">
        <v>5474</v>
      </c>
      <c r="J320" s="1" t="s">
        <v>8582</v>
      </c>
    </row>
    <row r="321">
      <c r="A321" s="1" t="s">
        <v>8584</v>
      </c>
      <c r="B321" s="1" t="s">
        <v>4635</v>
      </c>
      <c r="C321" s="1" t="s">
        <v>8586</v>
      </c>
      <c r="D321" s="1" t="b">
        <v>1</v>
      </c>
      <c r="E321" s="1"/>
      <c r="F321" s="4"/>
      <c r="G321" s="1" t="s">
        <v>8591</v>
      </c>
      <c r="H321" s="4"/>
      <c r="I321" s="1" t="s">
        <v>5474</v>
      </c>
      <c r="J321" s="1" t="s">
        <v>8595</v>
      </c>
    </row>
    <row r="322">
      <c r="A322" s="1" t="s">
        <v>8599</v>
      </c>
      <c r="B322" s="1" t="s">
        <v>4693</v>
      </c>
      <c r="C322" s="1" t="s">
        <v>8601</v>
      </c>
      <c r="D322" s="1" t="b">
        <v>1</v>
      </c>
      <c r="E322" s="1"/>
      <c r="F322" s="4"/>
      <c r="G322" s="1" t="s">
        <v>8603</v>
      </c>
      <c r="H322" s="4"/>
      <c r="I322" s="1" t="s">
        <v>5474</v>
      </c>
      <c r="J322" s="1" t="s">
        <v>8604</v>
      </c>
    </row>
    <row r="323">
      <c r="A323" s="1" t="s">
        <v>8607</v>
      </c>
      <c r="B323" s="1" t="s">
        <v>4635</v>
      </c>
      <c r="C323" s="1" t="s">
        <v>8610</v>
      </c>
      <c r="D323" s="1" t="b">
        <v>1</v>
      </c>
      <c r="E323" s="1" t="s">
        <v>8612</v>
      </c>
      <c r="F323" s="4"/>
      <c r="G323" s="1" t="s">
        <v>8616</v>
      </c>
      <c r="H323" s="4"/>
      <c r="I323" s="1" t="s">
        <v>5474</v>
      </c>
      <c r="J323" s="1" t="s">
        <v>8619</v>
      </c>
    </row>
    <row r="324">
      <c r="A324" s="1" t="s">
        <v>8620</v>
      </c>
      <c r="B324" s="1" t="s">
        <v>4635</v>
      </c>
      <c r="C324" s="1" t="s">
        <v>8623</v>
      </c>
      <c r="D324" s="1"/>
      <c r="E324" s="1" t="s">
        <v>8626</v>
      </c>
      <c r="F324" s="4"/>
      <c r="G324" s="1" t="s">
        <v>8633</v>
      </c>
      <c r="H324" s="4"/>
      <c r="I324" s="1" t="s">
        <v>5948</v>
      </c>
      <c r="J324" s="1" t="s">
        <v>8634</v>
      </c>
    </row>
    <row r="325">
      <c r="A325" s="1" t="s">
        <v>8638</v>
      </c>
      <c r="B325" s="1" t="s">
        <v>4693</v>
      </c>
      <c r="C325" s="1" t="s">
        <v>8642</v>
      </c>
      <c r="D325" s="1"/>
      <c r="E325" s="1" t="s">
        <v>8646</v>
      </c>
      <c r="F325" s="4"/>
      <c r="G325" s="1"/>
      <c r="H325" s="4"/>
      <c r="I325" s="1" t="s">
        <v>5474</v>
      </c>
      <c r="J325" s="1" t="s">
        <v>8649</v>
      </c>
    </row>
    <row r="326">
      <c r="A326" s="1" t="s">
        <v>8652</v>
      </c>
      <c r="B326" s="1" t="s">
        <v>4693</v>
      </c>
      <c r="C326" s="1" t="s">
        <v>8655</v>
      </c>
      <c r="D326" s="1"/>
      <c r="E326" s="1" t="s">
        <v>8657</v>
      </c>
      <c r="F326" s="4"/>
      <c r="G326" s="1" t="s">
        <v>8660</v>
      </c>
      <c r="H326" s="4"/>
      <c r="I326" s="1" t="s">
        <v>5709</v>
      </c>
      <c r="J326" s="1" t="s">
        <v>8666</v>
      </c>
    </row>
    <row r="327">
      <c r="A327" s="1" t="s">
        <v>8668</v>
      </c>
      <c r="B327" s="1" t="s">
        <v>4635</v>
      </c>
      <c r="C327" s="1" t="s">
        <v>8672</v>
      </c>
      <c r="D327" s="1"/>
      <c r="E327" s="1" t="s">
        <v>8674</v>
      </c>
      <c r="F327" s="4"/>
      <c r="G327" s="1" t="s">
        <v>8676</v>
      </c>
      <c r="H327" s="4"/>
      <c r="I327" s="1" t="s">
        <v>5474</v>
      </c>
      <c r="J327" s="1" t="s">
        <v>8680</v>
      </c>
    </row>
    <row r="328">
      <c r="A328" s="1" t="s">
        <v>8683</v>
      </c>
      <c r="B328" s="1" t="s">
        <v>4635</v>
      </c>
      <c r="C328" s="1" t="s">
        <v>8685</v>
      </c>
      <c r="D328" s="1"/>
      <c r="E328" s="1" t="s">
        <v>8688</v>
      </c>
      <c r="F328" s="4"/>
      <c r="G328" s="1" t="s">
        <v>8693</v>
      </c>
      <c r="H328" s="4"/>
      <c r="I328" s="1" t="s">
        <v>5709</v>
      </c>
      <c r="J328" s="1" t="s">
        <v>8697</v>
      </c>
    </row>
    <row r="329">
      <c r="A329" s="1" t="s">
        <v>8699</v>
      </c>
      <c r="B329" s="1" t="s">
        <v>4635</v>
      </c>
      <c r="C329" s="1" t="s">
        <v>8701</v>
      </c>
      <c r="D329" s="1"/>
      <c r="E329" s="1" t="s">
        <v>8704</v>
      </c>
      <c r="F329" s="4"/>
      <c r="G329" s="1" t="s">
        <v>8707</v>
      </c>
      <c r="H329" s="4"/>
      <c r="I329" s="1" t="s">
        <v>6877</v>
      </c>
      <c r="J329" s="1" t="s">
        <v>8710</v>
      </c>
    </row>
    <row r="330">
      <c r="A330" s="1" t="s">
        <v>8711</v>
      </c>
      <c r="B330" s="1" t="s">
        <v>4635</v>
      </c>
      <c r="C330" s="1" t="s">
        <v>8714</v>
      </c>
      <c r="D330" s="1"/>
      <c r="E330" s="1" t="s">
        <v>8717</v>
      </c>
      <c r="F330" s="4"/>
      <c r="G330" s="1" t="s">
        <v>8718</v>
      </c>
      <c r="H330" s="4"/>
      <c r="I330" s="1" t="s">
        <v>5474</v>
      </c>
      <c r="J330" s="1" t="s">
        <v>8720</v>
      </c>
    </row>
    <row r="331">
      <c r="A331" s="1" t="s">
        <v>8722</v>
      </c>
      <c r="B331" s="1" t="s">
        <v>4693</v>
      </c>
      <c r="C331" s="1" t="s">
        <v>8724</v>
      </c>
      <c r="D331" s="1" t="b">
        <v>1</v>
      </c>
      <c r="E331" s="1"/>
      <c r="F331" s="4"/>
      <c r="G331" s="1" t="s">
        <v>8731</v>
      </c>
      <c r="H331" s="4"/>
      <c r="I331" s="1" t="s">
        <v>5948</v>
      </c>
      <c r="J331" s="1" t="s">
        <v>8734</v>
      </c>
    </row>
    <row r="332">
      <c r="A332" s="1" t="s">
        <v>8735</v>
      </c>
      <c r="B332" s="1" t="s">
        <v>4693</v>
      </c>
      <c r="C332" s="1" t="s">
        <v>8737</v>
      </c>
      <c r="D332" s="1"/>
      <c r="E332" s="1" t="s">
        <v>8738</v>
      </c>
      <c r="F332" s="4"/>
      <c r="G332" s="1"/>
      <c r="H332" s="4"/>
      <c r="I332" s="1" t="s">
        <v>5474</v>
      </c>
      <c r="J332" s="1" t="s">
        <v>8741</v>
      </c>
    </row>
    <row r="333">
      <c r="A333" s="1" t="s">
        <v>8742</v>
      </c>
      <c r="B333" s="1" t="s">
        <v>4693</v>
      </c>
      <c r="C333" s="1" t="s">
        <v>8744</v>
      </c>
      <c r="D333" s="1"/>
      <c r="E333" s="1" t="s">
        <v>8747</v>
      </c>
      <c r="F333" s="1" t="s">
        <v>6785</v>
      </c>
      <c r="G333" s="1" t="s">
        <v>8751</v>
      </c>
      <c r="H333" s="4"/>
      <c r="I333" s="1" t="s">
        <v>5474</v>
      </c>
      <c r="J333" s="1" t="s">
        <v>8752</v>
      </c>
    </row>
    <row r="334">
      <c r="A334" s="1" t="s">
        <v>8754</v>
      </c>
      <c r="B334" s="1" t="s">
        <v>4635</v>
      </c>
      <c r="C334" s="1" t="s">
        <v>8758</v>
      </c>
      <c r="D334" s="1"/>
      <c r="E334" s="1" t="s">
        <v>8761</v>
      </c>
      <c r="F334" s="1"/>
      <c r="G334" s="1" t="s">
        <v>8761</v>
      </c>
      <c r="H334" s="4"/>
      <c r="I334" s="1" t="s">
        <v>5709</v>
      </c>
      <c r="J334" s="1" t="s">
        <v>8763</v>
      </c>
    </row>
    <row r="335">
      <c r="A335" s="1" t="s">
        <v>8765</v>
      </c>
      <c r="B335" s="1" t="s">
        <v>4635</v>
      </c>
      <c r="C335" s="1" t="s">
        <v>6286</v>
      </c>
      <c r="D335" s="1"/>
      <c r="E335" s="1" t="s">
        <v>8769</v>
      </c>
      <c r="F335" s="1"/>
      <c r="G335" s="1"/>
      <c r="H335" s="4"/>
      <c r="I335" s="1" t="s">
        <v>5709</v>
      </c>
      <c r="J335" s="1" t="s">
        <v>8776</v>
      </c>
    </row>
    <row r="336">
      <c r="A336" s="1" t="s">
        <v>8777</v>
      </c>
      <c r="B336" s="1" t="s">
        <v>4635</v>
      </c>
      <c r="C336" s="1" t="s">
        <v>8779</v>
      </c>
      <c r="D336" s="1"/>
      <c r="E336" s="1" t="s">
        <v>8782</v>
      </c>
      <c r="F336" s="1"/>
      <c r="G336" s="1"/>
      <c r="H336" s="4"/>
      <c r="I336" s="1" t="s">
        <v>5709</v>
      </c>
      <c r="J336" s="1" t="s">
        <v>8786</v>
      </c>
    </row>
    <row r="337">
      <c r="A337" s="1" t="s">
        <v>8788</v>
      </c>
      <c r="B337" s="1" t="s">
        <v>4635</v>
      </c>
      <c r="C337" s="1" t="s">
        <v>8791</v>
      </c>
      <c r="D337" s="1"/>
      <c r="E337" s="1" t="s">
        <v>8792</v>
      </c>
      <c r="F337" s="1"/>
      <c r="G337" s="1"/>
      <c r="H337" s="4"/>
      <c r="I337" s="1" t="s">
        <v>5709</v>
      </c>
      <c r="J337" s="1" t="s">
        <v>8796</v>
      </c>
    </row>
    <row r="338">
      <c r="A338" s="1" t="s">
        <v>8799</v>
      </c>
      <c r="B338" s="1" t="s">
        <v>4567</v>
      </c>
      <c r="C338" s="1" t="s">
        <v>8800</v>
      </c>
      <c r="D338" s="1"/>
      <c r="E338" s="1" t="s">
        <v>8807</v>
      </c>
      <c r="F338" s="4"/>
      <c r="H338" s="4"/>
      <c r="I338" s="1" t="s">
        <v>7688</v>
      </c>
      <c r="J338" s="1" t="s">
        <v>8808</v>
      </c>
    </row>
    <row r="339">
      <c r="A339" s="1" t="s">
        <v>8810</v>
      </c>
      <c r="B339" s="1" t="s">
        <v>4635</v>
      </c>
      <c r="C339" s="1" t="s">
        <v>8814</v>
      </c>
      <c r="D339" s="1"/>
      <c r="E339" s="1" t="s">
        <v>8818</v>
      </c>
      <c r="H339" s="4"/>
      <c r="I339" s="1" t="s">
        <v>5709</v>
      </c>
      <c r="J339" s="1" t="s">
        <v>8820</v>
      </c>
    </row>
    <row r="340">
      <c r="A340" s="1" t="s">
        <v>8821</v>
      </c>
      <c r="B340" s="1" t="s">
        <v>4635</v>
      </c>
      <c r="C340" s="1" t="s">
        <v>8822</v>
      </c>
      <c r="D340" s="1"/>
      <c r="E340" s="1" t="s">
        <v>8823</v>
      </c>
      <c r="H340" s="4"/>
      <c r="I340" s="1" t="s">
        <v>5709</v>
      </c>
      <c r="J340" s="1" t="s">
        <v>8827</v>
      </c>
    </row>
    <row r="341">
      <c r="A341" s="1" t="s">
        <v>8829</v>
      </c>
      <c r="B341" s="1" t="s">
        <v>4635</v>
      </c>
      <c r="C341" s="1" t="s">
        <v>8834</v>
      </c>
      <c r="D341" s="1"/>
      <c r="E341" s="1" t="s">
        <v>8837</v>
      </c>
      <c r="G341" s="1" t="s">
        <v>8838</v>
      </c>
      <c r="H341" s="4"/>
      <c r="I341" s="1" t="s">
        <v>7485</v>
      </c>
      <c r="J341" s="1" t="s">
        <v>8840</v>
      </c>
    </row>
    <row r="342">
      <c r="A342" s="1" t="s">
        <v>8842</v>
      </c>
      <c r="B342" s="1" t="s">
        <v>4635</v>
      </c>
      <c r="C342" s="1" t="s">
        <v>8843</v>
      </c>
      <c r="D342" s="1"/>
      <c r="E342" s="1" t="s">
        <v>8846</v>
      </c>
      <c r="G342" s="1" t="s">
        <v>8847</v>
      </c>
      <c r="H342" s="4"/>
      <c r="I342" s="1" t="s">
        <v>5474</v>
      </c>
      <c r="J342" s="1" t="s">
        <v>8848</v>
      </c>
    </row>
    <row r="343">
      <c r="A343" s="1" t="s">
        <v>8850</v>
      </c>
      <c r="B343" s="1" t="s">
        <v>4635</v>
      </c>
      <c r="C343" s="1" t="s">
        <v>8853</v>
      </c>
      <c r="D343" s="1"/>
      <c r="E343" s="1"/>
      <c r="G343" s="1" t="s">
        <v>8970</v>
      </c>
      <c r="H343" s="4"/>
      <c r="I343" s="1" t="s">
        <v>5709</v>
      </c>
      <c r="J343" s="1" t="s">
        <v>8975</v>
      </c>
    </row>
    <row r="344">
      <c r="A344" s="1" t="s">
        <v>8976</v>
      </c>
      <c r="B344" s="1" t="s">
        <v>4693</v>
      </c>
      <c r="C344" s="1" t="s">
        <v>7763</v>
      </c>
      <c r="D344" s="1"/>
      <c r="E344" s="1" t="s">
        <v>8984</v>
      </c>
      <c r="G344" s="1"/>
      <c r="H344" s="4"/>
      <c r="I344" s="1" t="s">
        <v>5948</v>
      </c>
      <c r="J344" s="1" t="s">
        <v>8987</v>
      </c>
    </row>
    <row r="345">
      <c r="A345" s="1" t="s">
        <v>8989</v>
      </c>
      <c r="B345" s="1" t="s">
        <v>4635</v>
      </c>
      <c r="C345" s="1" t="s">
        <v>8990</v>
      </c>
      <c r="D345" s="1"/>
      <c r="E345" s="1" t="s">
        <v>8994</v>
      </c>
      <c r="F345" s="4"/>
      <c r="G345" s="1" t="s">
        <v>8997</v>
      </c>
      <c r="H345" s="4"/>
      <c r="I345" s="1" t="s">
        <v>5474</v>
      </c>
      <c r="J345" s="1" t="s">
        <v>8999</v>
      </c>
    </row>
    <row r="346">
      <c r="A346" s="1" t="s">
        <v>9000</v>
      </c>
      <c r="B346" s="1" t="s">
        <v>4635</v>
      </c>
      <c r="C346" s="1" t="s">
        <v>9001</v>
      </c>
      <c r="D346" s="1" t="b">
        <v>1</v>
      </c>
      <c r="E346" s="1" t="s">
        <v>9005</v>
      </c>
      <c r="F346" s="4"/>
      <c r="G346" s="1" t="s">
        <v>9009</v>
      </c>
      <c r="H346" s="4"/>
      <c r="I346" s="1" t="s">
        <v>9011</v>
      </c>
      <c r="J346" s="1" t="s">
        <v>9012</v>
      </c>
    </row>
    <row r="347">
      <c r="A347" s="1" t="s">
        <v>9016</v>
      </c>
      <c r="B347" s="1" t="s">
        <v>4635</v>
      </c>
      <c r="C347" s="1" t="s">
        <v>9018</v>
      </c>
      <c r="D347" s="1"/>
      <c r="E347" s="1" t="s">
        <v>9020</v>
      </c>
      <c r="F347" s="4"/>
      <c r="G347" s="1"/>
      <c r="H347" s="4"/>
      <c r="I347" s="1" t="s">
        <v>5709</v>
      </c>
      <c r="J347" s="1" t="s">
        <v>9021</v>
      </c>
    </row>
    <row r="348">
      <c r="A348" s="1" t="s">
        <v>9023</v>
      </c>
      <c r="B348" s="1" t="s">
        <v>4635</v>
      </c>
      <c r="C348" s="1" t="s">
        <v>9025</v>
      </c>
      <c r="D348" s="1"/>
      <c r="E348" s="1" t="s">
        <v>9028</v>
      </c>
      <c r="F348" s="1"/>
      <c r="G348" s="1"/>
      <c r="H348" s="4"/>
      <c r="I348" s="1" t="s">
        <v>5709</v>
      </c>
      <c r="J348" s="1" t="s">
        <v>9030</v>
      </c>
    </row>
    <row r="349">
      <c r="A349" s="1" t="s">
        <v>9032</v>
      </c>
      <c r="B349" s="1" t="s">
        <v>4635</v>
      </c>
      <c r="C349" s="1" t="s">
        <v>8967</v>
      </c>
      <c r="D349" s="1"/>
      <c r="E349" s="1" t="s">
        <v>9034</v>
      </c>
      <c r="F349" s="4"/>
      <c r="G349" s="1"/>
      <c r="H349" s="4"/>
      <c r="I349" s="1" t="s">
        <v>5709</v>
      </c>
      <c r="J349" s="1" t="s">
        <v>9036</v>
      </c>
    </row>
    <row r="350">
      <c r="A350" s="1" t="s">
        <v>9038</v>
      </c>
      <c r="B350" s="1" t="s">
        <v>4693</v>
      </c>
      <c r="C350" s="1" t="s">
        <v>9040</v>
      </c>
      <c r="D350" s="1" t="b">
        <v>1</v>
      </c>
      <c r="E350" s="1"/>
      <c r="F350" s="1" t="s">
        <v>9043</v>
      </c>
      <c r="G350" s="1" t="s">
        <v>9046</v>
      </c>
      <c r="H350" s="4"/>
      <c r="I350" s="1" t="s">
        <v>5830</v>
      </c>
      <c r="J350" s="1" t="s">
        <v>9049</v>
      </c>
    </row>
    <row r="351">
      <c r="A351" s="1" t="s">
        <v>9051</v>
      </c>
      <c r="B351" s="1" t="s">
        <v>4693</v>
      </c>
      <c r="C351" s="1" t="s">
        <v>9054</v>
      </c>
      <c r="D351" s="1"/>
      <c r="E351" s="1" t="s">
        <v>9058</v>
      </c>
      <c r="F351" s="1" t="s">
        <v>9043</v>
      </c>
      <c r="G351" s="1" t="s">
        <v>9061</v>
      </c>
      <c r="H351" s="4"/>
      <c r="I351" s="1" t="s">
        <v>5830</v>
      </c>
      <c r="J351" s="1" t="s">
        <v>9062</v>
      </c>
    </row>
    <row r="352">
      <c r="A352" s="1" t="s">
        <v>9064</v>
      </c>
      <c r="B352" s="1" t="s">
        <v>4693</v>
      </c>
      <c r="C352" s="1" t="s">
        <v>9066</v>
      </c>
      <c r="D352" s="1"/>
      <c r="E352" s="1" t="s">
        <v>9068</v>
      </c>
      <c r="F352" s="1"/>
      <c r="G352" s="1" t="s">
        <v>9071</v>
      </c>
      <c r="H352" s="4"/>
      <c r="I352" s="1" t="s">
        <v>5496</v>
      </c>
      <c r="J352" s="1" t="s">
        <v>9073</v>
      </c>
    </row>
    <row r="353">
      <c r="A353" s="1" t="s">
        <v>9077</v>
      </c>
      <c r="B353" s="1" t="s">
        <v>4693</v>
      </c>
      <c r="C353" s="1" t="s">
        <v>3503</v>
      </c>
      <c r="D353" s="1"/>
      <c r="E353" s="1" t="s">
        <v>9078</v>
      </c>
      <c r="F353" s="1"/>
      <c r="G353" s="1" t="s">
        <v>9080</v>
      </c>
      <c r="H353" s="4"/>
      <c r="I353" s="1" t="s">
        <v>5948</v>
      </c>
      <c r="J353" s="1" t="s">
        <v>9082</v>
      </c>
    </row>
    <row r="354">
      <c r="A354" s="1" t="s">
        <v>9084</v>
      </c>
      <c r="B354" s="1" t="s">
        <v>4567</v>
      </c>
      <c r="C354" s="1" t="s">
        <v>9085</v>
      </c>
      <c r="D354" s="1"/>
      <c r="E354" s="1" t="s">
        <v>9088</v>
      </c>
      <c r="F354" s="1"/>
      <c r="G354" s="1" t="s">
        <v>9091</v>
      </c>
      <c r="H354" s="4"/>
      <c r="I354" s="1" t="s">
        <v>5948</v>
      </c>
      <c r="J354" s="1" t="s">
        <v>9098</v>
      </c>
    </row>
    <row r="355">
      <c r="A355" s="1" t="s">
        <v>9099</v>
      </c>
      <c r="B355" s="1" t="s">
        <v>4635</v>
      </c>
      <c r="C355" s="1" t="s">
        <v>9101</v>
      </c>
      <c r="D355" s="1"/>
      <c r="E355" s="1" t="s">
        <v>9109</v>
      </c>
      <c r="F355" s="1"/>
      <c r="G355" s="1"/>
      <c r="H355" s="4"/>
      <c r="I355" s="1" t="s">
        <v>5948</v>
      </c>
      <c r="J355" s="1" t="s">
        <v>9112</v>
      </c>
    </row>
    <row r="356">
      <c r="A356" s="1" t="s">
        <v>9116</v>
      </c>
      <c r="B356" s="1" t="s">
        <v>4567</v>
      </c>
      <c r="C356" s="1" t="s">
        <v>9118</v>
      </c>
      <c r="D356" s="1"/>
      <c r="E356" s="1" t="s">
        <v>9129</v>
      </c>
      <c r="F356" s="1"/>
      <c r="G356" s="1" t="s">
        <v>9133</v>
      </c>
      <c r="H356" s="4"/>
      <c r="I356" s="1" t="s">
        <v>6029</v>
      </c>
      <c r="J356" s="1" t="s">
        <v>9136</v>
      </c>
    </row>
    <row r="357">
      <c r="A357" s="1" t="s">
        <v>9138</v>
      </c>
      <c r="B357" s="1" t="s">
        <v>4693</v>
      </c>
      <c r="C357" s="1" t="s">
        <v>9140</v>
      </c>
      <c r="D357" s="1"/>
      <c r="E357" s="1" t="s">
        <v>9143</v>
      </c>
      <c r="F357" s="1" t="s">
        <v>7431</v>
      </c>
      <c r="G357" s="1"/>
      <c r="H357" s="4"/>
      <c r="I357" s="1" t="s">
        <v>5948</v>
      </c>
      <c r="J357" s="1" t="s">
        <v>9145</v>
      </c>
    </row>
    <row r="358">
      <c r="A358" s="1" t="s">
        <v>9148</v>
      </c>
      <c r="B358" s="1" t="s">
        <v>4693</v>
      </c>
      <c r="C358" s="1" t="s">
        <v>9150</v>
      </c>
      <c r="D358" s="1"/>
      <c r="E358" s="1" t="s">
        <v>9153</v>
      </c>
      <c r="F358" s="1"/>
      <c r="G358" s="1"/>
      <c r="H358" s="4"/>
      <c r="I358" s="1" t="s">
        <v>5948</v>
      </c>
      <c r="J358" s="1" t="s">
        <v>9155</v>
      </c>
    </row>
    <row r="359">
      <c r="A359" s="1" t="s">
        <v>9157</v>
      </c>
      <c r="B359" s="1" t="s">
        <v>4693</v>
      </c>
      <c r="C359" s="1" t="s">
        <v>9159</v>
      </c>
      <c r="D359" s="1"/>
      <c r="E359" s="1" t="s">
        <v>9162</v>
      </c>
      <c r="F359" s="1" t="s">
        <v>7431</v>
      </c>
      <c r="G359" s="1"/>
      <c r="H359" s="4"/>
      <c r="I359" s="1" t="s">
        <v>5948</v>
      </c>
      <c r="J359" s="1" t="s">
        <v>9164</v>
      </c>
    </row>
    <row r="360">
      <c r="A360" s="1" t="s">
        <v>9165</v>
      </c>
      <c r="B360" s="1" t="s">
        <v>4693</v>
      </c>
      <c r="C360" s="1" t="s">
        <v>9167</v>
      </c>
      <c r="D360" s="1"/>
      <c r="E360" s="1" t="s">
        <v>9169</v>
      </c>
      <c r="F360" s="1" t="s">
        <v>7431</v>
      </c>
      <c r="H360" s="4"/>
      <c r="I360" s="1" t="s">
        <v>5948</v>
      </c>
      <c r="J360" s="1" t="s">
        <v>9172</v>
      </c>
    </row>
    <row r="361">
      <c r="A361" s="1" t="s">
        <v>9173</v>
      </c>
      <c r="B361" s="1" t="s">
        <v>4693</v>
      </c>
      <c r="C361" s="1" t="s">
        <v>9175</v>
      </c>
      <c r="D361" s="1"/>
      <c r="E361" s="1" t="s">
        <v>9177</v>
      </c>
      <c r="F361" s="1" t="s">
        <v>7431</v>
      </c>
      <c r="H361" s="4"/>
      <c r="I361" s="1" t="s">
        <v>5830</v>
      </c>
      <c r="J361" s="1" t="s">
        <v>9178</v>
      </c>
    </row>
    <row r="362">
      <c r="A362" s="1" t="s">
        <v>9179</v>
      </c>
      <c r="B362" s="1" t="s">
        <v>4693</v>
      </c>
      <c r="C362" s="1" t="s">
        <v>9182</v>
      </c>
      <c r="D362" s="1"/>
      <c r="E362" s="1" t="s">
        <v>9185</v>
      </c>
      <c r="F362" s="1" t="s">
        <v>7431</v>
      </c>
      <c r="H362" s="4"/>
      <c r="I362" s="1" t="s">
        <v>5948</v>
      </c>
      <c r="J362" s="1" t="s">
        <v>9187</v>
      </c>
    </row>
    <row r="363">
      <c r="A363" s="1" t="s">
        <v>9189</v>
      </c>
      <c r="B363" s="1" t="s">
        <v>4693</v>
      </c>
      <c r="C363" s="1" t="s">
        <v>9192</v>
      </c>
      <c r="D363" s="1"/>
      <c r="E363" s="1" t="s">
        <v>9194</v>
      </c>
      <c r="F363" s="1"/>
      <c r="G363" s="1" t="s">
        <v>9199</v>
      </c>
      <c r="H363" s="4"/>
      <c r="I363" s="1" t="s">
        <v>5474</v>
      </c>
      <c r="J363" s="1" t="s">
        <v>9201</v>
      </c>
    </row>
    <row r="364">
      <c r="A364" s="1" t="s">
        <v>9204</v>
      </c>
      <c r="B364" s="1" t="s">
        <v>4693</v>
      </c>
      <c r="C364" s="1" t="s">
        <v>9206</v>
      </c>
      <c r="D364" s="1"/>
      <c r="E364" s="1" t="s">
        <v>9207</v>
      </c>
      <c r="F364" s="1"/>
      <c r="G364" s="1"/>
      <c r="H364" s="4"/>
      <c r="I364" s="1" t="s">
        <v>5948</v>
      </c>
      <c r="J364" s="1" t="s">
        <v>9210</v>
      </c>
    </row>
    <row r="365">
      <c r="A365" s="1" t="s">
        <v>9211</v>
      </c>
      <c r="B365" s="1" t="s">
        <v>4693</v>
      </c>
      <c r="C365" s="1" t="s">
        <v>9214</v>
      </c>
      <c r="D365" s="1"/>
      <c r="E365" s="1" t="s">
        <v>9216</v>
      </c>
      <c r="F365" s="1"/>
      <c r="G365" s="1"/>
      <c r="H365" s="4"/>
      <c r="I365" s="1" t="s">
        <v>5948</v>
      </c>
      <c r="J365" s="1" t="s">
        <v>9220</v>
      </c>
    </row>
    <row r="366">
      <c r="A366" s="1" t="s">
        <v>9221</v>
      </c>
      <c r="B366" s="1" t="s">
        <v>4567</v>
      </c>
      <c r="C366" s="1" t="s">
        <v>9222</v>
      </c>
      <c r="D366" s="1"/>
      <c r="E366" s="1" t="s">
        <v>9224</v>
      </c>
      <c r="F366" s="1"/>
      <c r="G366" s="1"/>
      <c r="H366" s="4"/>
      <c r="I366" s="1" t="s">
        <v>5948</v>
      </c>
      <c r="J366" s="1" t="s">
        <v>9227</v>
      </c>
    </row>
    <row r="367">
      <c r="A367" s="1" t="s">
        <v>9229</v>
      </c>
      <c r="B367" s="1" t="s">
        <v>4635</v>
      </c>
      <c r="C367" s="1" t="s">
        <v>9231</v>
      </c>
      <c r="D367" s="1"/>
      <c r="E367" s="1" t="s">
        <v>9233</v>
      </c>
      <c r="F367" s="1"/>
      <c r="G367" s="1"/>
      <c r="H367" s="4"/>
      <c r="I367" s="1" t="s">
        <v>5948</v>
      </c>
      <c r="J367" s="1" t="s">
        <v>9237</v>
      </c>
    </row>
    <row r="368">
      <c r="A368" s="1" t="s">
        <v>9240</v>
      </c>
      <c r="B368" s="1" t="s">
        <v>4567</v>
      </c>
      <c r="C368" s="1" t="s">
        <v>4248</v>
      </c>
      <c r="D368" s="1"/>
      <c r="E368" s="1" t="s">
        <v>9242</v>
      </c>
      <c r="F368" s="4"/>
      <c r="G368" s="1"/>
      <c r="H368" s="4"/>
      <c r="I368" s="1" t="s">
        <v>5948</v>
      </c>
      <c r="J368" s="1" t="s">
        <v>9245</v>
      </c>
    </row>
    <row r="369">
      <c r="A369" s="1" t="s">
        <v>9247</v>
      </c>
      <c r="B369" s="1" t="s">
        <v>4693</v>
      </c>
      <c r="C369" s="1" t="s">
        <v>9249</v>
      </c>
      <c r="D369" s="1"/>
      <c r="E369" s="1" t="s">
        <v>9252</v>
      </c>
      <c r="F369" s="1" t="s">
        <v>9254</v>
      </c>
      <c r="H369" s="4"/>
      <c r="I369" s="1" t="s">
        <v>5948</v>
      </c>
      <c r="J369" s="1" t="s">
        <v>9257</v>
      </c>
    </row>
    <row r="370">
      <c r="A370" s="1" t="s">
        <v>9261</v>
      </c>
      <c r="B370" s="1" t="s">
        <v>4693</v>
      </c>
      <c r="C370" s="1" t="s">
        <v>9262</v>
      </c>
      <c r="D370" s="1"/>
      <c r="E370" s="1" t="s">
        <v>9263</v>
      </c>
      <c r="F370" s="1"/>
      <c r="G370" s="1" t="s">
        <v>9265</v>
      </c>
      <c r="H370" s="4"/>
      <c r="I370" s="1" t="s">
        <v>5948</v>
      </c>
      <c r="J370" s="1" t="s">
        <v>9267</v>
      </c>
    </row>
    <row r="371">
      <c r="A371" s="1" t="s">
        <v>9269</v>
      </c>
      <c r="B371" s="1" t="s">
        <v>4693</v>
      </c>
      <c r="C371" s="1" t="s">
        <v>4176</v>
      </c>
      <c r="D371" s="1"/>
      <c r="E371" s="1" t="s">
        <v>9271</v>
      </c>
      <c r="F371" s="1"/>
      <c r="G371" s="1" t="s">
        <v>9273</v>
      </c>
      <c r="H371" s="4"/>
      <c r="I371" s="1" t="s">
        <v>5948</v>
      </c>
      <c r="J371" s="1" t="s">
        <v>9276</v>
      </c>
    </row>
    <row r="372">
      <c r="A372" s="1" t="s">
        <v>9278</v>
      </c>
      <c r="B372" s="1" t="s">
        <v>4693</v>
      </c>
      <c r="C372" s="1" t="s">
        <v>3658</v>
      </c>
      <c r="D372" s="1" t="b">
        <v>1</v>
      </c>
      <c r="E372" s="1" t="s">
        <v>9281</v>
      </c>
      <c r="F372" s="1" t="s">
        <v>9283</v>
      </c>
      <c r="G372" s="1" t="s">
        <v>9285</v>
      </c>
      <c r="H372" s="4"/>
      <c r="I372" s="1" t="s">
        <v>5830</v>
      </c>
      <c r="J372" s="1" t="s">
        <v>9288</v>
      </c>
    </row>
    <row r="373">
      <c r="A373" s="1" t="s">
        <v>9289</v>
      </c>
      <c r="B373" s="1" t="s">
        <v>4693</v>
      </c>
      <c r="C373" s="1" t="s">
        <v>9290</v>
      </c>
      <c r="D373" s="1"/>
      <c r="E373" s="1" t="s">
        <v>9293</v>
      </c>
      <c r="F373" s="1"/>
      <c r="G373" s="1"/>
      <c r="H373" s="4"/>
      <c r="I373" s="1" t="s">
        <v>5948</v>
      </c>
      <c r="J373" s="1" t="s">
        <v>9299</v>
      </c>
    </row>
    <row r="374">
      <c r="A374" s="1" t="s">
        <v>9300</v>
      </c>
      <c r="B374" s="1" t="s">
        <v>4693</v>
      </c>
      <c r="C374" s="1" t="s">
        <v>9301</v>
      </c>
      <c r="D374" s="1"/>
      <c r="E374" s="1" t="s">
        <v>9308</v>
      </c>
      <c r="F374" s="1"/>
      <c r="G374" s="1"/>
      <c r="H374" s="4"/>
      <c r="I374" s="1" t="s">
        <v>5948</v>
      </c>
      <c r="J374" s="1" t="s">
        <v>9312</v>
      </c>
    </row>
    <row r="375">
      <c r="A375" s="1" t="s">
        <v>9315</v>
      </c>
      <c r="B375" s="1" t="s">
        <v>4567</v>
      </c>
      <c r="C375" s="1" t="s">
        <v>9316</v>
      </c>
      <c r="D375" s="1" t="b">
        <v>1</v>
      </c>
      <c r="E375" s="1"/>
      <c r="F375" s="1" t="s">
        <v>8383</v>
      </c>
      <c r="G375" s="1" t="s">
        <v>9319</v>
      </c>
      <c r="H375" s="4"/>
      <c r="I375" s="1" t="s">
        <v>5830</v>
      </c>
      <c r="J375" s="1" t="s">
        <v>9320</v>
      </c>
    </row>
    <row r="376">
      <c r="A376" s="1" t="s">
        <v>9323</v>
      </c>
      <c r="B376" s="1" t="s">
        <v>4693</v>
      </c>
      <c r="C376" s="1" t="s">
        <v>9325</v>
      </c>
      <c r="D376" s="1"/>
      <c r="E376" s="1" t="s">
        <v>9326</v>
      </c>
      <c r="F376" s="1"/>
      <c r="G376" s="1" t="s">
        <v>9329</v>
      </c>
      <c r="H376" s="4"/>
      <c r="I376" s="1" t="s">
        <v>5830</v>
      </c>
      <c r="J376" s="1" t="s">
        <v>9333</v>
      </c>
    </row>
    <row r="377">
      <c r="A377" s="1" t="s">
        <v>9335</v>
      </c>
      <c r="B377" s="1" t="s">
        <v>4693</v>
      </c>
      <c r="C377" s="1" t="s">
        <v>4277</v>
      </c>
      <c r="D377" s="1"/>
      <c r="E377" s="1" t="s">
        <v>9345</v>
      </c>
      <c r="F377" s="1" t="s">
        <v>9346</v>
      </c>
      <c r="G377" s="1"/>
      <c r="H377" s="4"/>
      <c r="I377" s="1" t="s">
        <v>5948</v>
      </c>
      <c r="J377" s="1" t="s">
        <v>9350</v>
      </c>
    </row>
    <row r="378">
      <c r="A378" s="1" t="s">
        <v>9353</v>
      </c>
      <c r="B378" s="1" t="s">
        <v>4693</v>
      </c>
      <c r="C378" s="1" t="s">
        <v>9355</v>
      </c>
      <c r="D378" s="1"/>
      <c r="E378" s="1" t="s">
        <v>9356</v>
      </c>
      <c r="F378" s="1" t="s">
        <v>9357</v>
      </c>
      <c r="G378" s="1"/>
      <c r="H378" s="4"/>
      <c r="I378" s="1" t="s">
        <v>5830</v>
      </c>
      <c r="J378" s="1" t="s">
        <v>9361</v>
      </c>
    </row>
    <row r="379">
      <c r="A379" s="1" t="s">
        <v>9362</v>
      </c>
      <c r="B379" s="1" t="s">
        <v>4693</v>
      </c>
      <c r="C379" s="1" t="s">
        <v>9366</v>
      </c>
      <c r="D379" s="1"/>
      <c r="E379" s="1" t="s">
        <v>9367</v>
      </c>
      <c r="F379" s="1" t="s">
        <v>9357</v>
      </c>
      <c r="G379" s="1"/>
      <c r="H379" s="4"/>
      <c r="I379" s="1" t="s">
        <v>5830</v>
      </c>
      <c r="J379" s="1" t="s">
        <v>9370</v>
      </c>
    </row>
    <row r="380">
      <c r="A380" s="1" t="s">
        <v>9372</v>
      </c>
      <c r="B380" s="1" t="s">
        <v>4567</v>
      </c>
      <c r="C380" s="1" t="s">
        <v>9374</v>
      </c>
      <c r="D380" s="1"/>
      <c r="E380" s="1" t="s">
        <v>9376</v>
      </c>
      <c r="F380" s="1" t="s">
        <v>9357</v>
      </c>
      <c r="G380" s="1"/>
      <c r="H380" s="4"/>
      <c r="I380" s="1" t="s">
        <v>5496</v>
      </c>
      <c r="J380" s="1" t="s">
        <v>9378</v>
      </c>
    </row>
    <row r="381">
      <c r="A381" s="1" t="s">
        <v>9379</v>
      </c>
      <c r="B381" s="1" t="s">
        <v>4635</v>
      </c>
      <c r="C381" s="1" t="s">
        <v>9383</v>
      </c>
      <c r="D381" s="1"/>
      <c r="E381" s="1" t="s">
        <v>9385</v>
      </c>
      <c r="F381" s="1" t="s">
        <v>6785</v>
      </c>
      <c r="G381" s="1" t="s">
        <v>9388</v>
      </c>
      <c r="H381" s="4"/>
      <c r="I381" s="1" t="s">
        <v>5830</v>
      </c>
      <c r="J381" s="1" t="s">
        <v>9390</v>
      </c>
    </row>
    <row r="382">
      <c r="A382" s="1" t="s">
        <v>9393</v>
      </c>
      <c r="B382" s="1" t="s">
        <v>4693</v>
      </c>
      <c r="C382" s="1" t="s">
        <v>4551</v>
      </c>
      <c r="D382" s="1"/>
      <c r="E382" s="1" t="s">
        <v>9397</v>
      </c>
      <c r="F382" s="1"/>
      <c r="G382" s="1"/>
      <c r="H382" s="4"/>
      <c r="I382" s="1" t="s">
        <v>5496</v>
      </c>
      <c r="J382" s="1" t="s">
        <v>9399</v>
      </c>
    </row>
    <row r="383">
      <c r="A383" s="1" t="s">
        <v>9400</v>
      </c>
      <c r="B383" s="1" t="s">
        <v>4693</v>
      </c>
      <c r="C383" s="1" t="s">
        <v>9403</v>
      </c>
      <c r="D383" s="1"/>
      <c r="E383" s="1" t="s">
        <v>9405</v>
      </c>
      <c r="F383" s="1" t="s">
        <v>9407</v>
      </c>
      <c r="G383" s="1"/>
      <c r="H383" s="4"/>
      <c r="I383" s="1" t="s">
        <v>6442</v>
      </c>
      <c r="J383" s="1" t="s">
        <v>9410</v>
      </c>
    </row>
    <row r="384">
      <c r="A384" s="1" t="s">
        <v>9411</v>
      </c>
      <c r="B384" s="1" t="s">
        <v>4693</v>
      </c>
      <c r="C384" s="1" t="s">
        <v>4466</v>
      </c>
      <c r="D384" s="1"/>
      <c r="E384" s="1" t="s">
        <v>9415</v>
      </c>
      <c r="F384" s="1"/>
      <c r="G384" s="1"/>
      <c r="H384" s="4"/>
      <c r="I384" s="1" t="s">
        <v>5496</v>
      </c>
      <c r="J384" s="1" t="s">
        <v>9418</v>
      </c>
    </row>
    <row r="385">
      <c r="A385" s="1" t="s">
        <v>9419</v>
      </c>
      <c r="B385" s="1" t="s">
        <v>4693</v>
      </c>
      <c r="C385" s="1" t="s">
        <v>9063</v>
      </c>
      <c r="D385" s="1"/>
      <c r="E385" s="1" t="s">
        <v>9423</v>
      </c>
      <c r="F385" s="1"/>
      <c r="G385" s="1"/>
      <c r="H385" s="4"/>
      <c r="I385" s="1" t="s">
        <v>5948</v>
      </c>
      <c r="J385" s="1" t="s">
        <v>9426</v>
      </c>
    </row>
    <row r="386">
      <c r="A386" s="1" t="s">
        <v>9428</v>
      </c>
      <c r="B386" s="1" t="s">
        <v>4635</v>
      </c>
      <c r="C386" s="1" t="s">
        <v>9429</v>
      </c>
      <c r="D386" s="1" t="b">
        <v>1</v>
      </c>
      <c r="E386" s="1" t="s">
        <v>9431</v>
      </c>
      <c r="F386" s="1"/>
      <c r="G386" s="1" t="s">
        <v>9431</v>
      </c>
      <c r="H386" s="4"/>
      <c r="I386" s="1" t="s">
        <v>7439</v>
      </c>
      <c r="J386" s="1" t="s">
        <v>9437</v>
      </c>
    </row>
    <row r="387">
      <c r="A387" s="1" t="s">
        <v>9438</v>
      </c>
      <c r="B387" s="1" t="s">
        <v>4635</v>
      </c>
      <c r="C387" s="1" t="s">
        <v>9439</v>
      </c>
      <c r="D387" s="1"/>
      <c r="E387" s="1" t="s">
        <v>9441</v>
      </c>
      <c r="F387" s="1"/>
      <c r="G387" s="1" t="s">
        <v>9441</v>
      </c>
      <c r="H387" s="4"/>
      <c r="I387" s="1" t="s">
        <v>5709</v>
      </c>
      <c r="J387" s="1" t="s">
        <v>9443</v>
      </c>
    </row>
    <row r="388">
      <c r="A388" s="1" t="s">
        <v>9446</v>
      </c>
      <c r="B388" s="1" t="s">
        <v>4693</v>
      </c>
      <c r="C388" s="1" t="s">
        <v>9447</v>
      </c>
      <c r="D388" s="1"/>
      <c r="E388" s="1" t="s">
        <v>9449</v>
      </c>
      <c r="F388" s="1"/>
      <c r="G388" s="1"/>
      <c r="H388" s="4"/>
      <c r="I388" s="1" t="s">
        <v>5948</v>
      </c>
      <c r="J388" s="1" t="s">
        <v>9452</v>
      </c>
    </row>
    <row r="389">
      <c r="A389" s="1" t="s">
        <v>9454</v>
      </c>
      <c r="B389" s="1" t="s">
        <v>4567</v>
      </c>
      <c r="C389" s="1" t="s">
        <v>9456</v>
      </c>
      <c r="D389" s="1"/>
      <c r="E389" s="1" t="s">
        <v>9457</v>
      </c>
      <c r="F389" s="1"/>
      <c r="G389" s="1"/>
      <c r="H389" s="4"/>
      <c r="I389" s="1" t="s">
        <v>5496</v>
      </c>
      <c r="J389" s="1" t="s">
        <v>9460</v>
      </c>
    </row>
    <row r="390">
      <c r="A390" s="1" t="s">
        <v>9461</v>
      </c>
      <c r="B390" s="1" t="s">
        <v>4567</v>
      </c>
      <c r="C390" s="1" t="s">
        <v>9464</v>
      </c>
      <c r="D390" s="1"/>
      <c r="E390" s="1" t="s">
        <v>9466</v>
      </c>
      <c r="G390" s="1"/>
      <c r="H390" s="4"/>
      <c r="I390" s="1" t="s">
        <v>5496</v>
      </c>
      <c r="J390" s="1" t="s">
        <v>9467</v>
      </c>
    </row>
    <row r="391">
      <c r="A391" s="1" t="s">
        <v>9468</v>
      </c>
      <c r="B391" s="1" t="s">
        <v>4693</v>
      </c>
      <c r="C391" s="1" t="s">
        <v>3674</v>
      </c>
      <c r="D391" s="1"/>
      <c r="E391" s="1" t="s">
        <v>9472</v>
      </c>
      <c r="F391" s="4"/>
      <c r="G391" s="1"/>
      <c r="H391" s="4"/>
      <c r="I391" s="1" t="s">
        <v>5496</v>
      </c>
      <c r="J391" s="1" t="s">
        <v>9475</v>
      </c>
    </row>
    <row r="392">
      <c r="A392" s="1" t="s">
        <v>9477</v>
      </c>
      <c r="B392" s="1" t="s">
        <v>4693</v>
      </c>
      <c r="C392" s="1" t="s">
        <v>9479</v>
      </c>
      <c r="D392" s="1"/>
      <c r="E392" s="1" t="s">
        <v>9480</v>
      </c>
      <c r="F392" s="4"/>
      <c r="G392" s="1"/>
      <c r="H392" s="4"/>
      <c r="I392" s="1" t="s">
        <v>5948</v>
      </c>
      <c r="J392" s="1" t="s">
        <v>9483</v>
      </c>
    </row>
    <row r="393">
      <c r="A393" s="1" t="s">
        <v>9484</v>
      </c>
      <c r="B393" s="1" t="s">
        <v>4693</v>
      </c>
      <c r="C393" s="1" t="s">
        <v>9485</v>
      </c>
      <c r="D393" s="1"/>
      <c r="E393" s="1" t="s">
        <v>9489</v>
      </c>
      <c r="F393" s="1" t="s">
        <v>7431</v>
      </c>
      <c r="G393" s="1"/>
      <c r="H393" s="4"/>
      <c r="I393" s="1" t="s">
        <v>5948</v>
      </c>
      <c r="J393" s="1" t="s">
        <v>9492</v>
      </c>
    </row>
    <row r="394">
      <c r="A394" s="1" t="s">
        <v>9493</v>
      </c>
      <c r="B394" s="1" t="s">
        <v>4693</v>
      </c>
      <c r="C394" s="1" t="s">
        <v>9497</v>
      </c>
      <c r="D394" s="1"/>
      <c r="E394" s="1" t="s">
        <v>9499</v>
      </c>
      <c r="F394" s="1"/>
      <c r="G394" s="1"/>
      <c r="H394" s="4"/>
      <c r="I394" s="1" t="s">
        <v>5948</v>
      </c>
      <c r="J394" s="1" t="s">
        <v>9503</v>
      </c>
    </row>
    <row r="395">
      <c r="A395" s="1" t="s">
        <v>9504</v>
      </c>
      <c r="B395" s="1" t="s">
        <v>4693</v>
      </c>
      <c r="C395" s="1" t="s">
        <v>4820</v>
      </c>
      <c r="D395" s="1"/>
      <c r="E395" s="1" t="s">
        <v>9509</v>
      </c>
      <c r="F395" s="1"/>
      <c r="G395" s="1" t="s">
        <v>9509</v>
      </c>
      <c r="H395" s="4"/>
      <c r="I395" s="1" t="s">
        <v>5830</v>
      </c>
      <c r="J395" s="1" t="s">
        <v>9511</v>
      </c>
    </row>
    <row r="396">
      <c r="A396" s="1" t="s">
        <v>9513</v>
      </c>
      <c r="B396" s="1" t="s">
        <v>4693</v>
      </c>
      <c r="C396" s="1" t="s">
        <v>9516</v>
      </c>
      <c r="D396" s="1"/>
      <c r="E396" s="1" t="s">
        <v>9517</v>
      </c>
      <c r="F396" s="1" t="s">
        <v>9518</v>
      </c>
      <c r="G396" s="1" t="s">
        <v>9517</v>
      </c>
      <c r="H396" s="4"/>
      <c r="I396" s="1" t="s">
        <v>5830</v>
      </c>
      <c r="J396" s="1" t="s">
        <v>9521</v>
      </c>
    </row>
    <row r="397">
      <c r="A397" s="1" t="s">
        <v>9522</v>
      </c>
      <c r="B397" s="1" t="s">
        <v>4693</v>
      </c>
      <c r="C397" s="1" t="s">
        <v>9524</v>
      </c>
      <c r="D397" s="1"/>
      <c r="E397" s="1" t="s">
        <v>9525</v>
      </c>
      <c r="F397" s="1"/>
      <c r="G397" s="1"/>
      <c r="H397" s="4"/>
      <c r="I397" s="1" t="s">
        <v>5948</v>
      </c>
      <c r="J397" s="1" t="s">
        <v>9526</v>
      </c>
    </row>
    <row r="398">
      <c r="A398" s="1" t="s">
        <v>9527</v>
      </c>
      <c r="B398" s="1" t="s">
        <v>4567</v>
      </c>
      <c r="C398" s="1" t="s">
        <v>9528</v>
      </c>
      <c r="D398" s="1"/>
      <c r="E398" s="1" t="s">
        <v>9529</v>
      </c>
      <c r="F398" s="1"/>
      <c r="G398" s="1"/>
      <c r="H398" s="4"/>
      <c r="I398" s="1" t="s">
        <v>5948</v>
      </c>
      <c r="J398" s="1" t="s">
        <v>9531</v>
      </c>
    </row>
    <row r="399">
      <c r="A399" s="1" t="s">
        <v>9533</v>
      </c>
      <c r="B399" s="1" t="s">
        <v>4693</v>
      </c>
      <c r="C399" s="1" t="s">
        <v>9536</v>
      </c>
      <c r="D399" s="1"/>
      <c r="E399" s="1" t="s">
        <v>9537</v>
      </c>
      <c r="F399" s="1"/>
      <c r="G399" s="1"/>
      <c r="H399" s="4"/>
      <c r="I399" s="1" t="s">
        <v>5948</v>
      </c>
      <c r="J399" s="1" t="s">
        <v>9541</v>
      </c>
    </row>
    <row r="400">
      <c r="A400" s="1" t="s">
        <v>9542</v>
      </c>
      <c r="B400" s="1" t="s">
        <v>4693</v>
      </c>
      <c r="C400" s="1" t="s">
        <v>9544</v>
      </c>
      <c r="D400" s="1"/>
      <c r="E400" s="1" t="s">
        <v>7624</v>
      </c>
      <c r="F400" s="1"/>
      <c r="G400" s="1"/>
      <c r="H400" s="4"/>
      <c r="I400" s="1" t="s">
        <v>5709</v>
      </c>
      <c r="J400" s="1" t="s">
        <v>9547</v>
      </c>
    </row>
    <row r="401">
      <c r="A401" s="1" t="s">
        <v>9548</v>
      </c>
      <c r="B401" s="1" t="s">
        <v>4693</v>
      </c>
      <c r="C401" s="1" t="s">
        <v>9552</v>
      </c>
      <c r="D401" s="1"/>
      <c r="E401" s="1" t="s">
        <v>9554</v>
      </c>
      <c r="F401" s="1" t="s">
        <v>7954</v>
      </c>
      <c r="G401" s="1" t="s">
        <v>9554</v>
      </c>
      <c r="H401" s="4"/>
      <c r="I401" s="1" t="s">
        <v>5709</v>
      </c>
      <c r="J401" s="1" t="s">
        <v>9557</v>
      </c>
    </row>
    <row r="402">
      <c r="A402" s="1" t="s">
        <v>9559</v>
      </c>
      <c r="B402" s="1" t="s">
        <v>4693</v>
      </c>
      <c r="C402" s="1" t="s">
        <v>4144</v>
      </c>
      <c r="D402" s="1"/>
      <c r="E402" s="1" t="s">
        <v>9562</v>
      </c>
      <c r="F402" s="1" t="s">
        <v>9564</v>
      </c>
      <c r="G402" s="1" t="s">
        <v>9562</v>
      </c>
      <c r="H402" s="4"/>
      <c r="I402" s="1" t="s">
        <v>5496</v>
      </c>
      <c r="J402" s="1" t="s">
        <v>9566</v>
      </c>
    </row>
    <row r="403">
      <c r="A403" s="1" t="s">
        <v>9568</v>
      </c>
      <c r="B403" s="1" t="s">
        <v>4693</v>
      </c>
      <c r="C403" s="1" t="s">
        <v>9571</v>
      </c>
      <c r="D403" s="1"/>
      <c r="E403" s="1" t="s">
        <v>9572</v>
      </c>
      <c r="F403" s="1" t="s">
        <v>9564</v>
      </c>
      <c r="G403" s="1" t="s">
        <v>9574</v>
      </c>
      <c r="H403" s="4"/>
      <c r="I403" s="1" t="s">
        <v>5496</v>
      </c>
      <c r="J403" s="1" t="s">
        <v>9575</v>
      </c>
    </row>
    <row r="404">
      <c r="A404" s="1" t="s">
        <v>9577</v>
      </c>
      <c r="B404" s="1" t="s">
        <v>4693</v>
      </c>
      <c r="C404" s="1" t="s">
        <v>4326</v>
      </c>
      <c r="D404" s="1"/>
      <c r="E404" s="1" t="s">
        <v>9578</v>
      </c>
      <c r="F404" s="1"/>
      <c r="G404" s="1" t="s">
        <v>9580</v>
      </c>
      <c r="H404" s="4"/>
      <c r="I404" s="1" t="s">
        <v>5948</v>
      </c>
      <c r="J404" s="1" t="s">
        <v>9582</v>
      </c>
    </row>
    <row r="405">
      <c r="A405" s="1" t="s">
        <v>9584</v>
      </c>
      <c r="B405" s="1" t="s">
        <v>4693</v>
      </c>
      <c r="C405" s="1" t="s">
        <v>9586</v>
      </c>
      <c r="D405" s="1"/>
      <c r="E405" s="1" t="s">
        <v>9587</v>
      </c>
      <c r="F405" s="1"/>
      <c r="G405" s="1" t="s">
        <v>9588</v>
      </c>
      <c r="H405" s="4"/>
      <c r="I405" s="1" t="s">
        <v>5830</v>
      </c>
      <c r="J405" s="1" t="s">
        <v>9591</v>
      </c>
    </row>
    <row r="406">
      <c r="A406" s="1" t="s">
        <v>9593</v>
      </c>
      <c r="B406" s="1" t="s">
        <v>4693</v>
      </c>
      <c r="C406" s="1" t="s">
        <v>9595</v>
      </c>
      <c r="D406" s="1" t="b">
        <v>1</v>
      </c>
      <c r="E406" s="1" t="s">
        <v>9600</v>
      </c>
      <c r="F406" s="1" t="s">
        <v>9601</v>
      </c>
      <c r="G406" s="1" t="s">
        <v>9603</v>
      </c>
      <c r="H406" s="4"/>
      <c r="I406" s="1" t="s">
        <v>5709</v>
      </c>
      <c r="J406" s="1" t="s">
        <v>9607</v>
      </c>
    </row>
    <row r="407">
      <c r="A407" s="1" t="s">
        <v>9609</v>
      </c>
      <c r="B407" s="1" t="s">
        <v>4635</v>
      </c>
      <c r="C407" s="1" t="s">
        <v>6878</v>
      </c>
      <c r="D407" s="1"/>
      <c r="E407" s="1" t="s">
        <v>9613</v>
      </c>
      <c r="F407" s="1"/>
      <c r="G407" s="1" t="s">
        <v>9614</v>
      </c>
      <c r="H407" s="4"/>
      <c r="I407" s="1" t="s">
        <v>6442</v>
      </c>
      <c r="J407" s="1" t="s">
        <v>9616</v>
      </c>
    </row>
    <row r="408">
      <c r="A408" s="1" t="s">
        <v>9618</v>
      </c>
      <c r="B408" s="1" t="s">
        <v>4693</v>
      </c>
      <c r="C408" s="1" t="s">
        <v>9621</v>
      </c>
      <c r="D408" s="1"/>
      <c r="E408" s="1"/>
      <c r="F408" s="1" t="s">
        <v>9623</v>
      </c>
      <c r="G408" s="1" t="s">
        <v>9625</v>
      </c>
      <c r="H408" s="4"/>
      <c r="I408" s="1" t="s">
        <v>5496</v>
      </c>
      <c r="J408" s="1" t="s">
        <v>9629</v>
      </c>
    </row>
    <row r="409">
      <c r="A409" s="1" t="s">
        <v>9631</v>
      </c>
      <c r="B409" s="1" t="s">
        <v>4693</v>
      </c>
      <c r="C409" s="1" t="s">
        <v>9633</v>
      </c>
      <c r="D409" s="1"/>
      <c r="E409" s="1" t="s">
        <v>9634</v>
      </c>
      <c r="F409" s="1" t="s">
        <v>7954</v>
      </c>
      <c r="G409" s="1"/>
      <c r="H409" s="4"/>
      <c r="I409" s="1" t="s">
        <v>7688</v>
      </c>
      <c r="J409" s="1" t="s">
        <v>9639</v>
      </c>
    </row>
    <row r="410">
      <c r="A410" s="1" t="s">
        <v>9641</v>
      </c>
      <c r="B410" s="1" t="s">
        <v>4693</v>
      </c>
      <c r="C410" s="1" t="s">
        <v>9643</v>
      </c>
      <c r="D410" s="1"/>
      <c r="E410" s="1" t="s">
        <v>9644</v>
      </c>
      <c r="F410" s="1"/>
      <c r="G410" s="1" t="s">
        <v>9645</v>
      </c>
      <c r="H410" s="4"/>
      <c r="I410" s="1" t="s">
        <v>5948</v>
      </c>
      <c r="J410" s="1" t="s">
        <v>9648</v>
      </c>
    </row>
    <row r="411">
      <c r="A411" s="1" t="s">
        <v>9650</v>
      </c>
      <c r="B411" s="1" t="s">
        <v>4693</v>
      </c>
      <c r="C411" s="1" t="s">
        <v>9653</v>
      </c>
      <c r="D411" s="1"/>
      <c r="E411" s="1" t="s">
        <v>9654</v>
      </c>
      <c r="F411" s="1"/>
      <c r="G411" s="1" t="s">
        <v>9655</v>
      </c>
      <c r="H411" s="4"/>
      <c r="I411" s="1" t="s">
        <v>5948</v>
      </c>
      <c r="J411" s="1" t="s">
        <v>9657</v>
      </c>
    </row>
    <row r="412">
      <c r="A412" s="1" t="s">
        <v>9659</v>
      </c>
      <c r="B412" s="1" t="s">
        <v>4693</v>
      </c>
      <c r="C412" s="1" t="s">
        <v>9661</v>
      </c>
      <c r="D412" s="1"/>
      <c r="E412" s="1" t="s">
        <v>9654</v>
      </c>
      <c r="F412" s="1"/>
      <c r="G412" s="1" t="s">
        <v>9663</v>
      </c>
      <c r="H412" s="4"/>
      <c r="I412" s="1" t="s">
        <v>5948</v>
      </c>
      <c r="J412" s="1" t="s">
        <v>9665</v>
      </c>
    </row>
    <row r="413">
      <c r="A413" s="1" t="s">
        <v>9667</v>
      </c>
      <c r="B413" s="1" t="s">
        <v>4693</v>
      </c>
      <c r="C413" s="1" t="s">
        <v>9670</v>
      </c>
      <c r="D413" s="1"/>
      <c r="E413" s="1" t="s">
        <v>9644</v>
      </c>
      <c r="F413" s="1"/>
      <c r="G413" s="1" t="s">
        <v>9671</v>
      </c>
      <c r="H413" s="4"/>
      <c r="I413" s="1" t="s">
        <v>5948</v>
      </c>
      <c r="J413" s="1" t="s">
        <v>9673</v>
      </c>
    </row>
    <row r="414">
      <c r="A414" s="1" t="s">
        <v>9677</v>
      </c>
      <c r="B414" s="1" t="s">
        <v>4693</v>
      </c>
      <c r="C414" s="1" t="s">
        <v>7888</v>
      </c>
      <c r="D414" s="1"/>
      <c r="E414" s="1" t="s">
        <v>9680</v>
      </c>
      <c r="F414" s="1" t="s">
        <v>6785</v>
      </c>
      <c r="G414" s="1"/>
      <c r="H414" s="4"/>
      <c r="I414" s="1" t="s">
        <v>5948</v>
      </c>
      <c r="J414" s="1" t="s">
        <v>9685</v>
      </c>
    </row>
    <row r="415">
      <c r="A415" s="1" t="s">
        <v>9687</v>
      </c>
      <c r="B415" s="1" t="s">
        <v>4693</v>
      </c>
      <c r="C415" s="1" t="s">
        <v>9688</v>
      </c>
      <c r="D415" s="1"/>
      <c r="E415" s="1" t="s">
        <v>9689</v>
      </c>
      <c r="F415" s="1"/>
      <c r="G415" s="1"/>
      <c r="H415" s="4"/>
      <c r="I415" s="1" t="s">
        <v>5830</v>
      </c>
      <c r="J415" s="1" t="s">
        <v>9694</v>
      </c>
    </row>
    <row r="416">
      <c r="A416" s="1" t="s">
        <v>9696</v>
      </c>
      <c r="B416" s="1" t="s">
        <v>4635</v>
      </c>
      <c r="C416" s="1" t="s">
        <v>9698</v>
      </c>
      <c r="D416" s="1"/>
      <c r="E416" s="1" t="s">
        <v>9701</v>
      </c>
      <c r="F416" s="1"/>
      <c r="G416" s="1"/>
      <c r="H416" s="4"/>
      <c r="I416" s="1" t="s">
        <v>5709</v>
      </c>
      <c r="J416" s="1" t="s">
        <v>9705</v>
      </c>
    </row>
    <row r="417">
      <c r="A417" s="1" t="s">
        <v>9706</v>
      </c>
      <c r="B417" s="1" t="s">
        <v>4635</v>
      </c>
      <c r="C417" s="1" t="s">
        <v>9708</v>
      </c>
      <c r="D417" s="1"/>
      <c r="E417" s="1" t="s">
        <v>9711</v>
      </c>
      <c r="F417" s="1"/>
      <c r="G417" s="1"/>
      <c r="H417" s="4"/>
      <c r="I417" s="1" t="s">
        <v>6877</v>
      </c>
      <c r="J417" s="1" t="s">
        <v>9712</v>
      </c>
    </row>
    <row r="418">
      <c r="A418" s="1" t="s">
        <v>9715</v>
      </c>
      <c r="B418" s="1" t="s">
        <v>4693</v>
      </c>
      <c r="C418" s="1" t="s">
        <v>9719</v>
      </c>
      <c r="D418" s="1" t="b">
        <v>1</v>
      </c>
      <c r="E418" s="1" t="s">
        <v>9721</v>
      </c>
      <c r="F418" s="1" t="s">
        <v>7611</v>
      </c>
      <c r="G418" s="1" t="s">
        <v>9725</v>
      </c>
      <c r="H418" s="4"/>
      <c r="I418" s="1" t="s">
        <v>5474</v>
      </c>
      <c r="J418" s="1" t="s">
        <v>9727</v>
      </c>
    </row>
    <row r="419">
      <c r="A419" s="1" t="s">
        <v>9728</v>
      </c>
      <c r="B419" s="1" t="s">
        <v>4693</v>
      </c>
      <c r="C419" s="1" t="s">
        <v>3717</v>
      </c>
      <c r="D419" s="1" t="b">
        <v>1</v>
      </c>
      <c r="E419" s="1" t="s">
        <v>9732</v>
      </c>
      <c r="F419" s="1" t="s">
        <v>6785</v>
      </c>
      <c r="G419" s="1" t="s">
        <v>9734</v>
      </c>
      <c r="H419" s="4"/>
      <c r="I419" s="1" t="s">
        <v>5830</v>
      </c>
      <c r="J419" s="1" t="s">
        <v>9735</v>
      </c>
    </row>
    <row r="420">
      <c r="A420" s="1" t="s">
        <v>9737</v>
      </c>
      <c r="B420" s="1" t="s">
        <v>4693</v>
      </c>
      <c r="C420" s="1" t="s">
        <v>9740</v>
      </c>
      <c r="D420" s="1"/>
      <c r="E420" s="1" t="s">
        <v>9743</v>
      </c>
      <c r="F420" s="1"/>
      <c r="G420" s="1" t="s">
        <v>9745</v>
      </c>
      <c r="H420" s="4"/>
      <c r="I420" s="1" t="s">
        <v>5948</v>
      </c>
      <c r="J420" s="1" t="s">
        <v>9748</v>
      </c>
    </row>
    <row r="421">
      <c r="A421" s="1" t="s">
        <v>9751</v>
      </c>
      <c r="B421" s="1" t="s">
        <v>4693</v>
      </c>
      <c r="C421" s="1" t="s">
        <v>9752</v>
      </c>
      <c r="D421" s="1"/>
      <c r="E421" s="1" t="s">
        <v>9755</v>
      </c>
      <c r="F421" s="1"/>
      <c r="G421" s="1" t="s">
        <v>9757</v>
      </c>
      <c r="H421" s="4"/>
      <c r="I421" s="1" t="s">
        <v>5948</v>
      </c>
      <c r="J421" s="1" t="s">
        <v>9759</v>
      </c>
    </row>
    <row r="422">
      <c r="A422" s="1" t="s">
        <v>9761</v>
      </c>
      <c r="B422" s="1" t="s">
        <v>4693</v>
      </c>
      <c r="C422" s="1" t="s">
        <v>9764</v>
      </c>
      <c r="D422" s="1"/>
      <c r="E422" s="1" t="s">
        <v>9766</v>
      </c>
      <c r="F422" s="1"/>
      <c r="G422" s="1" t="s">
        <v>9768</v>
      </c>
      <c r="H422" s="4"/>
      <c r="I422" s="1" t="s">
        <v>5948</v>
      </c>
      <c r="J422" s="1" t="s">
        <v>9770</v>
      </c>
    </row>
    <row r="423">
      <c r="A423" s="1" t="s">
        <v>9771</v>
      </c>
      <c r="B423" s="1" t="s">
        <v>4693</v>
      </c>
      <c r="C423" s="1" t="s">
        <v>9772</v>
      </c>
      <c r="D423" s="1"/>
      <c r="E423" s="1" t="s">
        <v>9778</v>
      </c>
      <c r="F423" s="1"/>
      <c r="G423" s="1" t="s">
        <v>9778</v>
      </c>
      <c r="H423" s="4"/>
      <c r="I423" s="1" t="s">
        <v>5948</v>
      </c>
      <c r="J423" s="1" t="s">
        <v>9781</v>
      </c>
    </row>
    <row r="424">
      <c r="A424" s="1" t="s">
        <v>9782</v>
      </c>
      <c r="B424" s="1" t="s">
        <v>4693</v>
      </c>
      <c r="C424" s="1" t="s">
        <v>4487</v>
      </c>
      <c r="D424" s="1"/>
      <c r="E424" s="1" t="s">
        <v>9785</v>
      </c>
      <c r="F424" s="1" t="s">
        <v>9357</v>
      </c>
      <c r="G424" s="1"/>
      <c r="H424" s="4"/>
      <c r="I424" s="1" t="s">
        <v>5830</v>
      </c>
      <c r="J424" s="1" t="s">
        <v>9786</v>
      </c>
    </row>
    <row r="425">
      <c r="A425" s="1" t="s">
        <v>9790</v>
      </c>
      <c r="B425" s="1" t="s">
        <v>4693</v>
      </c>
      <c r="C425" s="1" t="s">
        <v>9793</v>
      </c>
      <c r="D425" s="1"/>
      <c r="E425" s="1" t="s">
        <v>9796</v>
      </c>
      <c r="F425" s="1"/>
      <c r="G425" s="1"/>
      <c r="H425" s="4"/>
      <c r="I425" s="1" t="s">
        <v>5496</v>
      </c>
      <c r="J425" s="1" t="s">
        <v>9798</v>
      </c>
    </row>
    <row r="426">
      <c r="A426" s="1" t="s">
        <v>9800</v>
      </c>
      <c r="B426" s="1" t="s">
        <v>4693</v>
      </c>
      <c r="C426" s="1" t="s">
        <v>9793</v>
      </c>
      <c r="D426" s="1"/>
      <c r="E426" s="1" t="s">
        <v>9803</v>
      </c>
      <c r="F426" s="1"/>
      <c r="G426" s="1"/>
      <c r="H426" s="4"/>
      <c r="I426" s="1" t="s">
        <v>5496</v>
      </c>
      <c r="J426" s="1" t="s">
        <v>9804</v>
      </c>
    </row>
    <row r="427">
      <c r="A427" s="1" t="s">
        <v>9806</v>
      </c>
      <c r="B427" s="1" t="s">
        <v>4693</v>
      </c>
      <c r="C427" s="1" t="s">
        <v>9688</v>
      </c>
      <c r="D427" s="1"/>
      <c r="E427" s="1" t="s">
        <v>9811</v>
      </c>
      <c r="F427" s="1"/>
      <c r="G427" s="1"/>
      <c r="H427" s="4"/>
      <c r="I427" s="1" t="s">
        <v>5830</v>
      </c>
      <c r="J427" s="1" t="s">
        <v>9814</v>
      </c>
    </row>
    <row r="428">
      <c r="A428" s="1" t="s">
        <v>9815</v>
      </c>
      <c r="B428" s="1" t="s">
        <v>4567</v>
      </c>
      <c r="C428" s="1" t="s">
        <v>9817</v>
      </c>
      <c r="D428" s="1"/>
      <c r="E428" s="1" t="s">
        <v>9820</v>
      </c>
      <c r="F428" s="1"/>
      <c r="G428" s="1" t="s">
        <v>9822</v>
      </c>
      <c r="H428" s="4"/>
      <c r="I428" s="1" t="s">
        <v>7439</v>
      </c>
      <c r="J428" s="1" t="s">
        <v>9824</v>
      </c>
    </row>
    <row r="429">
      <c r="A429" s="1" t="s">
        <v>9825</v>
      </c>
      <c r="B429" s="1" t="s">
        <v>4635</v>
      </c>
      <c r="C429" s="1" t="s">
        <v>9826</v>
      </c>
      <c r="D429" s="1"/>
      <c r="E429" s="1" t="s">
        <v>9828</v>
      </c>
      <c r="F429" s="1" t="s">
        <v>9829</v>
      </c>
      <c r="G429" s="1"/>
      <c r="H429" s="4"/>
      <c r="I429" s="1" t="s">
        <v>5948</v>
      </c>
      <c r="J429" s="1" t="s">
        <v>9831</v>
      </c>
    </row>
    <row r="430">
      <c r="A430" s="1" t="s">
        <v>9833</v>
      </c>
      <c r="B430" s="1" t="s">
        <v>4693</v>
      </c>
      <c r="C430" s="1" t="s">
        <v>9836</v>
      </c>
      <c r="D430" s="1" t="b">
        <v>1</v>
      </c>
      <c r="E430" s="1" t="s">
        <v>9837</v>
      </c>
      <c r="F430" s="1" t="s">
        <v>9283</v>
      </c>
      <c r="G430" s="1" t="s">
        <v>9838</v>
      </c>
      <c r="H430" s="4"/>
      <c r="I430" s="1" t="s">
        <v>5496</v>
      </c>
      <c r="J430" s="1" t="s">
        <v>9840</v>
      </c>
    </row>
    <row r="431">
      <c r="A431" s="1" t="s">
        <v>9842</v>
      </c>
      <c r="B431" s="1" t="s">
        <v>4693</v>
      </c>
      <c r="C431" s="1" t="s">
        <v>9844</v>
      </c>
      <c r="D431" s="1"/>
      <c r="E431" s="1" t="s">
        <v>9847</v>
      </c>
      <c r="F431" s="1" t="s">
        <v>9601</v>
      </c>
      <c r="G431" s="1" t="s">
        <v>9848</v>
      </c>
      <c r="H431" s="4"/>
      <c r="I431" s="1" t="s">
        <v>5709</v>
      </c>
      <c r="J431" s="1" t="s">
        <v>9850</v>
      </c>
    </row>
    <row r="432">
      <c r="A432" s="1" t="s">
        <v>9852</v>
      </c>
      <c r="B432" s="1" t="s">
        <v>4567</v>
      </c>
      <c r="C432" s="1" t="s">
        <v>8178</v>
      </c>
      <c r="D432" s="1"/>
      <c r="E432" s="1" t="s">
        <v>9855</v>
      </c>
      <c r="F432" s="1" t="s">
        <v>7431</v>
      </c>
      <c r="G432" s="1" t="s">
        <v>9858</v>
      </c>
      <c r="H432" s="4"/>
      <c r="I432" s="1" t="s">
        <v>6442</v>
      </c>
      <c r="J432" s="1" t="s">
        <v>9859</v>
      </c>
    </row>
    <row r="433">
      <c r="A433" s="1" t="s">
        <v>9860</v>
      </c>
      <c r="B433" s="1" t="s">
        <v>4693</v>
      </c>
      <c r="C433" s="1" t="s">
        <v>9863</v>
      </c>
      <c r="D433" s="1"/>
      <c r="E433" s="1" t="s">
        <v>9866</v>
      </c>
      <c r="F433" s="1"/>
      <c r="G433" s="1" t="s">
        <v>9867</v>
      </c>
      <c r="H433" s="4"/>
      <c r="I433" s="1" t="s">
        <v>5496</v>
      </c>
      <c r="J433" s="1" t="s">
        <v>9868</v>
      </c>
    </row>
    <row r="434">
      <c r="A434" s="1" t="s">
        <v>9869</v>
      </c>
      <c r="B434" s="1" t="s">
        <v>4693</v>
      </c>
      <c r="C434" s="1" t="s">
        <v>9870</v>
      </c>
      <c r="D434" s="1" t="b">
        <v>1</v>
      </c>
      <c r="E434" s="1" t="s">
        <v>9872</v>
      </c>
      <c r="F434" s="1" t="s">
        <v>9874</v>
      </c>
      <c r="G434" s="1" t="s">
        <v>9877</v>
      </c>
      <c r="H434" s="4"/>
      <c r="I434" s="1" t="s">
        <v>6442</v>
      </c>
      <c r="J434" s="1" t="s">
        <v>9879</v>
      </c>
    </row>
    <row r="435">
      <c r="A435" s="1" t="s">
        <v>9880</v>
      </c>
      <c r="B435" s="1" t="s">
        <v>4693</v>
      </c>
      <c r="C435" s="1" t="s">
        <v>9881</v>
      </c>
      <c r="D435" s="1" t="b">
        <v>1</v>
      </c>
      <c r="E435" s="1" t="s">
        <v>9884</v>
      </c>
      <c r="F435" s="1" t="s">
        <v>9874</v>
      </c>
      <c r="G435" s="1" t="s">
        <v>9886</v>
      </c>
      <c r="H435" s="4"/>
      <c r="I435" s="1" t="s">
        <v>5948</v>
      </c>
      <c r="J435" s="1" t="s">
        <v>9888</v>
      </c>
    </row>
    <row r="436">
      <c r="A436" s="1" t="s">
        <v>9889</v>
      </c>
      <c r="B436" s="1" t="s">
        <v>4693</v>
      </c>
      <c r="C436" s="1" t="s">
        <v>9890</v>
      </c>
      <c r="D436" s="1"/>
      <c r="E436" s="1"/>
      <c r="F436" s="1"/>
      <c r="G436" s="1" t="s">
        <v>9891</v>
      </c>
      <c r="H436" s="4"/>
      <c r="I436" s="1" t="s">
        <v>5948</v>
      </c>
      <c r="J436" s="1" t="s">
        <v>9894</v>
      </c>
    </row>
    <row r="437">
      <c r="A437" s="1" t="s">
        <v>9895</v>
      </c>
      <c r="B437" s="1" t="s">
        <v>4567</v>
      </c>
      <c r="C437" s="1" t="s">
        <v>9899</v>
      </c>
      <c r="D437" s="1"/>
      <c r="E437" s="1" t="s">
        <v>9901</v>
      </c>
      <c r="F437" s="1"/>
      <c r="G437" s="1"/>
      <c r="H437" s="4"/>
      <c r="I437" s="1" t="s">
        <v>5948</v>
      </c>
      <c r="J437" s="1" t="s">
        <v>9904</v>
      </c>
    </row>
    <row r="438">
      <c r="A438" s="1" t="s">
        <v>9905</v>
      </c>
      <c r="B438" s="1" t="s">
        <v>4635</v>
      </c>
      <c r="C438" s="1" t="s">
        <v>9908</v>
      </c>
      <c r="D438" s="1"/>
      <c r="E438" s="1" t="s">
        <v>9909</v>
      </c>
      <c r="F438" s="1" t="s">
        <v>9601</v>
      </c>
      <c r="G438" s="1"/>
      <c r="H438" s="4"/>
      <c r="I438" s="1" t="s">
        <v>5474</v>
      </c>
      <c r="J438" s="1" t="s">
        <v>9910</v>
      </c>
    </row>
    <row r="439">
      <c r="A439" s="1" t="s">
        <v>9912</v>
      </c>
      <c r="B439" s="1" t="s">
        <v>4693</v>
      </c>
      <c r="C439" s="1" t="s">
        <v>9915</v>
      </c>
      <c r="D439" s="1"/>
      <c r="E439" s="1" t="s">
        <v>9920</v>
      </c>
      <c r="F439" s="1"/>
      <c r="G439" s="1"/>
      <c r="H439" s="4"/>
      <c r="I439" s="1" t="s">
        <v>7439</v>
      </c>
      <c r="J439" s="1" t="s">
        <v>9922</v>
      </c>
    </row>
    <row r="440">
      <c r="A440" s="1" t="s">
        <v>9923</v>
      </c>
      <c r="B440" s="1" t="s">
        <v>4693</v>
      </c>
      <c r="C440" s="1" t="s">
        <v>9924</v>
      </c>
      <c r="D440" s="1"/>
      <c r="E440" s="1" t="s">
        <v>9927</v>
      </c>
      <c r="F440" s="1" t="s">
        <v>7431</v>
      </c>
      <c r="G440" s="1"/>
      <c r="H440" s="4"/>
      <c r="I440" s="1" t="s">
        <v>5948</v>
      </c>
      <c r="J440" s="1" t="s">
        <v>9930</v>
      </c>
    </row>
    <row r="441">
      <c r="A441" s="1" t="s">
        <v>9931</v>
      </c>
      <c r="B441" s="1" t="s">
        <v>4567</v>
      </c>
      <c r="C441" s="1" t="s">
        <v>9932</v>
      </c>
      <c r="D441" s="1"/>
      <c r="E441" s="1" t="s">
        <v>9933</v>
      </c>
      <c r="F441" s="1"/>
      <c r="G441" s="1" t="s">
        <v>9935</v>
      </c>
      <c r="H441" s="4"/>
      <c r="I441" s="1" t="s">
        <v>5948</v>
      </c>
      <c r="J441" s="1" t="s">
        <v>9938</v>
      </c>
    </row>
    <row r="442">
      <c r="A442" s="1" t="s">
        <v>9941</v>
      </c>
      <c r="B442" s="1" t="s">
        <v>4567</v>
      </c>
      <c r="C442" s="1" t="s">
        <v>9942</v>
      </c>
      <c r="D442" s="1"/>
      <c r="E442" s="1" t="s">
        <v>9946</v>
      </c>
      <c r="F442" s="1"/>
      <c r="G442" s="1"/>
      <c r="H442" s="4"/>
      <c r="I442" s="1" t="s">
        <v>5474</v>
      </c>
      <c r="J442" s="1" t="s">
        <v>9947</v>
      </c>
    </row>
    <row r="443">
      <c r="A443" s="1" t="s">
        <v>9948</v>
      </c>
      <c r="B443" s="1" t="s">
        <v>4693</v>
      </c>
      <c r="C443" s="1" t="s">
        <v>7606</v>
      </c>
      <c r="D443" s="1"/>
      <c r="E443" s="1" t="s">
        <v>9950</v>
      </c>
      <c r="F443" s="1" t="s">
        <v>7611</v>
      </c>
      <c r="G443" s="1"/>
      <c r="H443" s="4"/>
      <c r="I443" s="1" t="s">
        <v>5830</v>
      </c>
      <c r="J443" s="1" t="s">
        <v>9952</v>
      </c>
    </row>
    <row r="444">
      <c r="A444" s="1" t="s">
        <v>9954</v>
      </c>
      <c r="B444" s="1" t="s">
        <v>4693</v>
      </c>
      <c r="C444" s="1" t="s">
        <v>4239</v>
      </c>
      <c r="D444" s="1" t="b">
        <v>1</v>
      </c>
      <c r="E444" s="1" t="s">
        <v>9957</v>
      </c>
      <c r="F444" s="1" t="s">
        <v>6785</v>
      </c>
      <c r="G444" s="1" t="s">
        <v>9957</v>
      </c>
      <c r="H444" s="4"/>
      <c r="I444" s="1" t="s">
        <v>5830</v>
      </c>
      <c r="J444" s="1" t="s">
        <v>9962</v>
      </c>
    </row>
    <row r="445">
      <c r="A445" s="1" t="s">
        <v>9965</v>
      </c>
      <c r="B445" s="1" t="s">
        <v>4693</v>
      </c>
      <c r="C445" s="1" t="s">
        <v>3497</v>
      </c>
      <c r="D445" s="1" t="b">
        <v>1</v>
      </c>
      <c r="E445" s="1" t="s">
        <v>9966</v>
      </c>
      <c r="F445" s="1" t="s">
        <v>6785</v>
      </c>
      <c r="G445" s="1" t="s">
        <v>9966</v>
      </c>
      <c r="H445" s="4"/>
      <c r="I445" s="1" t="s">
        <v>5830</v>
      </c>
      <c r="J445" s="1" t="s">
        <v>9969</v>
      </c>
    </row>
    <row r="446">
      <c r="A446" s="1" t="s">
        <v>9970</v>
      </c>
      <c r="B446" s="1" t="s">
        <v>4693</v>
      </c>
      <c r="C446" s="1" t="s">
        <v>9973</v>
      </c>
      <c r="D446" s="1"/>
      <c r="E446" s="1" t="s">
        <v>9980</v>
      </c>
      <c r="F446" s="1"/>
      <c r="G446" s="1"/>
      <c r="H446" s="4"/>
      <c r="I446" s="1" t="s">
        <v>5948</v>
      </c>
      <c r="J446" s="1" t="s">
        <v>9982</v>
      </c>
    </row>
    <row r="447">
      <c r="A447" s="1" t="s">
        <v>9983</v>
      </c>
      <c r="B447" s="1" t="s">
        <v>4693</v>
      </c>
      <c r="C447" s="1" t="s">
        <v>9366</v>
      </c>
      <c r="D447" s="1"/>
      <c r="E447" s="1" t="s">
        <v>9984</v>
      </c>
      <c r="F447" s="1"/>
      <c r="G447" s="1" t="s">
        <v>9987</v>
      </c>
      <c r="H447" s="4"/>
      <c r="I447" s="1" t="s">
        <v>7439</v>
      </c>
      <c r="J447" s="1" t="s">
        <v>9988</v>
      </c>
    </row>
    <row r="448">
      <c r="A448" s="1" t="s">
        <v>9991</v>
      </c>
      <c r="B448" s="1" t="s">
        <v>4693</v>
      </c>
      <c r="C448" s="1" t="s">
        <v>9993</v>
      </c>
      <c r="D448" s="1" t="b">
        <v>1</v>
      </c>
      <c r="E448" s="1" t="s">
        <v>9995</v>
      </c>
      <c r="F448" s="1" t="s">
        <v>7954</v>
      </c>
      <c r="G448" s="1" t="s">
        <v>9999</v>
      </c>
      <c r="H448" s="4"/>
      <c r="I448" s="1" t="s">
        <v>5948</v>
      </c>
      <c r="J448" s="1" t="s">
        <v>10000</v>
      </c>
    </row>
    <row r="449">
      <c r="A449" s="1" t="s">
        <v>10002</v>
      </c>
      <c r="B449" s="1" t="s">
        <v>4693</v>
      </c>
      <c r="C449" s="1" t="s">
        <v>10003</v>
      </c>
      <c r="D449" s="1"/>
      <c r="E449" s="1" t="s">
        <v>10005</v>
      </c>
      <c r="F449" s="1" t="s">
        <v>7431</v>
      </c>
      <c r="G449" s="1" t="s">
        <v>10006</v>
      </c>
      <c r="H449" s="4"/>
      <c r="I449" s="1" t="s">
        <v>5948</v>
      </c>
      <c r="J449" s="1" t="s">
        <v>10009</v>
      </c>
    </row>
    <row r="450">
      <c r="A450" s="1" t="s">
        <v>10012</v>
      </c>
      <c r="B450" s="1" t="s">
        <v>4693</v>
      </c>
      <c r="C450" s="1" t="s">
        <v>10016</v>
      </c>
      <c r="D450" s="1"/>
      <c r="E450" s="1" t="s">
        <v>10019</v>
      </c>
      <c r="F450" s="1"/>
      <c r="G450" s="1"/>
      <c r="H450" s="4"/>
      <c r="I450" s="1" t="s">
        <v>5496</v>
      </c>
      <c r="J450" s="1" t="s">
        <v>10023</v>
      </c>
    </row>
    <row r="451">
      <c r="A451" s="1" t="s">
        <v>10024</v>
      </c>
      <c r="B451" s="1" t="s">
        <v>4693</v>
      </c>
      <c r="C451" s="1" t="s">
        <v>10025</v>
      </c>
      <c r="D451" s="1"/>
      <c r="E451" s="1" t="s">
        <v>10033</v>
      </c>
      <c r="F451" s="1"/>
      <c r="G451" s="1" t="s">
        <v>10035</v>
      </c>
      <c r="H451" s="4"/>
      <c r="I451" s="1" t="s">
        <v>5496</v>
      </c>
      <c r="J451" s="1" t="s">
        <v>10038</v>
      </c>
    </row>
    <row r="452">
      <c r="A452" s="1" t="s">
        <v>10041</v>
      </c>
      <c r="B452" s="1" t="s">
        <v>4693</v>
      </c>
      <c r="C452" s="1" t="s">
        <v>10042</v>
      </c>
      <c r="D452" s="1"/>
      <c r="E452" s="1" t="s">
        <v>10045</v>
      </c>
      <c r="F452" s="1" t="s">
        <v>6785</v>
      </c>
      <c r="G452" s="1"/>
      <c r="H452" s="4"/>
      <c r="I452" s="1" t="s">
        <v>7485</v>
      </c>
      <c r="J452" s="1" t="s">
        <v>10048</v>
      </c>
    </row>
    <row r="453">
      <c r="A453" s="1" t="s">
        <v>10049</v>
      </c>
      <c r="B453" s="1" t="s">
        <v>4693</v>
      </c>
      <c r="C453" s="1" t="s">
        <v>10053</v>
      </c>
      <c r="D453" s="1" t="b">
        <v>1</v>
      </c>
      <c r="E453" s="1"/>
      <c r="F453" s="1"/>
      <c r="G453" s="1" t="s">
        <v>10060</v>
      </c>
      <c r="H453" s="4"/>
      <c r="I453" s="1" t="s">
        <v>5830</v>
      </c>
      <c r="J453" s="1" t="s">
        <v>10063</v>
      </c>
    </row>
    <row r="454">
      <c r="A454" s="1" t="s">
        <v>10065</v>
      </c>
      <c r="B454" s="1" t="s">
        <v>4567</v>
      </c>
      <c r="C454" s="1" t="s">
        <v>10066</v>
      </c>
      <c r="D454" s="1"/>
      <c r="E454" s="1" t="s">
        <v>10068</v>
      </c>
      <c r="F454" s="1"/>
      <c r="G454" s="1" t="s">
        <v>10072</v>
      </c>
      <c r="H454" s="4"/>
      <c r="I454" s="1" t="s">
        <v>5948</v>
      </c>
      <c r="J454" s="1" t="s">
        <v>10074</v>
      </c>
    </row>
    <row r="455">
      <c r="A455" s="1" t="s">
        <v>10076</v>
      </c>
      <c r="B455" s="1" t="s">
        <v>4693</v>
      </c>
      <c r="C455" s="1" t="s">
        <v>4089</v>
      </c>
      <c r="D455" s="1"/>
      <c r="E455" s="1" t="s">
        <v>10081</v>
      </c>
      <c r="F455" s="1" t="s">
        <v>7954</v>
      </c>
      <c r="G455" s="1"/>
      <c r="H455" s="4"/>
      <c r="I455" s="1" t="s">
        <v>5830</v>
      </c>
      <c r="J455" s="1" t="s">
        <v>10084</v>
      </c>
    </row>
    <row r="456">
      <c r="A456" s="1" t="s">
        <v>10086</v>
      </c>
      <c r="B456" s="1" t="s">
        <v>4693</v>
      </c>
      <c r="C456" s="1" t="s">
        <v>10087</v>
      </c>
      <c r="D456" s="1" t="b">
        <v>1</v>
      </c>
      <c r="E456" s="1" t="s">
        <v>10089</v>
      </c>
      <c r="F456" s="1" t="s">
        <v>10091</v>
      </c>
      <c r="G456" s="1" t="s">
        <v>10093</v>
      </c>
      <c r="H456" s="4"/>
      <c r="I456" s="1" t="s">
        <v>7439</v>
      </c>
      <c r="J456" s="1" t="s">
        <v>10096</v>
      </c>
    </row>
    <row r="457">
      <c r="A457" s="1" t="s">
        <v>10098</v>
      </c>
      <c r="B457" s="1" t="s">
        <v>4693</v>
      </c>
      <c r="C457" s="1" t="s">
        <v>10100</v>
      </c>
      <c r="D457" s="1"/>
      <c r="E457" s="1" t="s">
        <v>10110</v>
      </c>
      <c r="F457" s="1"/>
      <c r="G457" s="1"/>
      <c r="H457" s="4"/>
      <c r="I457" s="1" t="s">
        <v>5948</v>
      </c>
      <c r="J457" s="1" t="s">
        <v>10114</v>
      </c>
    </row>
    <row r="458">
      <c r="A458" s="1" t="s">
        <v>10115</v>
      </c>
      <c r="B458" s="1" t="s">
        <v>4693</v>
      </c>
      <c r="C458" s="1" t="s">
        <v>10116</v>
      </c>
      <c r="D458" s="1"/>
      <c r="E458" s="1" t="s">
        <v>10119</v>
      </c>
      <c r="F458" s="1"/>
      <c r="G458" s="1" t="s">
        <v>10120</v>
      </c>
      <c r="H458" s="4"/>
      <c r="I458" s="1" t="s">
        <v>5948</v>
      </c>
      <c r="J458" s="1" t="s">
        <v>10123</v>
      </c>
    </row>
    <row r="459">
      <c r="A459" s="1" t="s">
        <v>10124</v>
      </c>
      <c r="B459" s="1" t="s">
        <v>4693</v>
      </c>
      <c r="C459" s="1" t="s">
        <v>4185</v>
      </c>
      <c r="D459" s="1" t="b">
        <v>1</v>
      </c>
      <c r="E459" s="1" t="s">
        <v>10128</v>
      </c>
      <c r="F459" s="1" t="s">
        <v>6785</v>
      </c>
      <c r="G459" s="1" t="s">
        <v>10131</v>
      </c>
      <c r="H459" s="4"/>
      <c r="I459" s="1" t="s">
        <v>5948</v>
      </c>
      <c r="J459" s="1" t="s">
        <v>10135</v>
      </c>
    </row>
    <row r="460">
      <c r="A460" s="1" t="s">
        <v>10137</v>
      </c>
      <c r="B460" s="1" t="s">
        <v>4693</v>
      </c>
      <c r="C460" s="1" t="s">
        <v>8123</v>
      </c>
      <c r="D460" s="1"/>
      <c r="E460" s="1" t="s">
        <v>10140</v>
      </c>
      <c r="F460" s="1"/>
      <c r="G460" s="1"/>
      <c r="H460" s="4"/>
      <c r="I460" s="1" t="s">
        <v>7485</v>
      </c>
      <c r="J460" s="1" t="s">
        <v>10143</v>
      </c>
    </row>
    <row r="461">
      <c r="A461" s="1" t="s">
        <v>10145</v>
      </c>
      <c r="B461" s="1" t="s">
        <v>4693</v>
      </c>
      <c r="C461" s="1" t="s">
        <v>10148</v>
      </c>
      <c r="D461" s="1"/>
      <c r="E461" s="1" t="s">
        <v>10149</v>
      </c>
      <c r="F461" s="1" t="s">
        <v>10150</v>
      </c>
      <c r="G461" s="1"/>
      <c r="H461" s="4"/>
      <c r="I461" s="1" t="s">
        <v>5948</v>
      </c>
      <c r="J461" s="1" t="s">
        <v>10152</v>
      </c>
    </row>
    <row r="462">
      <c r="A462" s="1" t="s">
        <v>10155</v>
      </c>
      <c r="B462" s="1" t="s">
        <v>4635</v>
      </c>
      <c r="C462" s="1" t="s">
        <v>10157</v>
      </c>
      <c r="D462" s="1"/>
      <c r="E462" s="1" t="s">
        <v>10163</v>
      </c>
      <c r="F462" s="1"/>
      <c r="G462" s="1" t="s">
        <v>10164</v>
      </c>
      <c r="H462" s="4"/>
      <c r="I462" s="1" t="s">
        <v>5474</v>
      </c>
      <c r="J462" s="1" t="s">
        <v>10167</v>
      </c>
    </row>
    <row r="463">
      <c r="A463" s="1" t="s">
        <v>10169</v>
      </c>
      <c r="B463" s="1" t="s">
        <v>4693</v>
      </c>
      <c r="C463" s="1" t="s">
        <v>10171</v>
      </c>
      <c r="D463" s="1" t="b">
        <v>1</v>
      </c>
      <c r="E463" s="1" t="s">
        <v>10172</v>
      </c>
      <c r="F463" s="1" t="s">
        <v>7954</v>
      </c>
      <c r="G463" s="1" t="s">
        <v>10174</v>
      </c>
      <c r="H463" s="4"/>
      <c r="I463" s="1" t="s">
        <v>5948</v>
      </c>
      <c r="J463" s="1" t="s">
        <v>10177</v>
      </c>
    </row>
    <row r="464">
      <c r="A464" s="1" t="s">
        <v>10180</v>
      </c>
      <c r="B464" s="1" t="s">
        <v>4693</v>
      </c>
      <c r="C464" s="1" t="s">
        <v>9479</v>
      </c>
      <c r="D464" s="1" t="b">
        <v>1</v>
      </c>
      <c r="E464" s="1"/>
      <c r="F464" s="1" t="s">
        <v>10182</v>
      </c>
      <c r="G464" s="1" t="s">
        <v>10185</v>
      </c>
      <c r="H464" s="4"/>
      <c r="I464" s="1" t="s">
        <v>9011</v>
      </c>
      <c r="J464" s="1" t="s">
        <v>10188</v>
      </c>
    </row>
    <row r="465">
      <c r="A465" s="1" t="s">
        <v>10189</v>
      </c>
      <c r="B465" s="1" t="s">
        <v>4693</v>
      </c>
      <c r="C465" s="1" t="s">
        <v>10191</v>
      </c>
      <c r="D465" s="1" t="b">
        <v>1</v>
      </c>
      <c r="E465" s="1" t="s">
        <v>10194</v>
      </c>
      <c r="F465" s="1"/>
      <c r="G465" s="1" t="s">
        <v>10197</v>
      </c>
      <c r="H465" s="4"/>
      <c r="I465" s="1" t="s">
        <v>5948</v>
      </c>
      <c r="J465" s="1" t="s">
        <v>10199</v>
      </c>
    </row>
    <row r="466">
      <c r="A466" s="1" t="s">
        <v>10200</v>
      </c>
      <c r="B466" s="1" t="s">
        <v>4635</v>
      </c>
      <c r="C466" s="1" t="s">
        <v>9442</v>
      </c>
      <c r="D466" s="1" t="b">
        <v>1</v>
      </c>
      <c r="E466" s="1" t="s">
        <v>10204</v>
      </c>
      <c r="F466" s="1" t="s">
        <v>9283</v>
      </c>
      <c r="G466" s="1" t="s">
        <v>10206</v>
      </c>
      <c r="H466" s="4"/>
      <c r="I466" s="1" t="s">
        <v>5948</v>
      </c>
      <c r="J466" s="1" t="s">
        <v>10208</v>
      </c>
    </row>
    <row r="467">
      <c r="A467" s="1" t="s">
        <v>10209</v>
      </c>
      <c r="B467" s="1" t="s">
        <v>4693</v>
      </c>
      <c r="C467" s="1" t="s">
        <v>10211</v>
      </c>
      <c r="D467" s="1" t="b">
        <v>1</v>
      </c>
      <c r="E467" s="1" t="s">
        <v>10216</v>
      </c>
      <c r="F467" s="1"/>
      <c r="G467" s="1" t="s">
        <v>10218</v>
      </c>
      <c r="H467" s="4"/>
      <c r="I467" s="1" t="s">
        <v>5496</v>
      </c>
      <c r="J467" s="1" t="s">
        <v>10222</v>
      </c>
    </row>
    <row r="468">
      <c r="A468" s="1" t="s">
        <v>10223</v>
      </c>
      <c r="B468" s="1" t="s">
        <v>4693</v>
      </c>
      <c r="C468" s="1" t="s">
        <v>10226</v>
      </c>
      <c r="D468" s="1"/>
      <c r="E468" s="1" t="s">
        <v>10227</v>
      </c>
      <c r="F468" s="1"/>
      <c r="G468" s="1" t="s">
        <v>10227</v>
      </c>
      <c r="H468" s="4"/>
      <c r="I468" s="1" t="s">
        <v>5474</v>
      </c>
      <c r="J468" s="1" t="s">
        <v>10229</v>
      </c>
    </row>
    <row r="469">
      <c r="A469" s="1" t="s">
        <v>10232</v>
      </c>
      <c r="B469" s="1" t="s">
        <v>4693</v>
      </c>
      <c r="C469" s="1" t="s">
        <v>10234</v>
      </c>
      <c r="D469" s="1" t="b">
        <v>1</v>
      </c>
      <c r="E469" s="1"/>
      <c r="F469" s="1"/>
      <c r="G469" s="1" t="s">
        <v>10237</v>
      </c>
      <c r="I469" s="1" t="s">
        <v>7439</v>
      </c>
      <c r="J469" s="1" t="s">
        <v>10240</v>
      </c>
    </row>
    <row r="470">
      <c r="A470" s="1" t="s">
        <v>10242</v>
      </c>
      <c r="B470" s="1" t="s">
        <v>4567</v>
      </c>
      <c r="C470" s="1" t="s">
        <v>4496</v>
      </c>
      <c r="D470" s="1"/>
      <c r="E470" s="1" t="s">
        <v>10243</v>
      </c>
      <c r="F470" s="1"/>
      <c r="G470" s="1"/>
      <c r="I470" s="1" t="s">
        <v>7439</v>
      </c>
      <c r="J470" s="1" t="s">
        <v>10247</v>
      </c>
    </row>
    <row r="471">
      <c r="A471" s="1" t="s">
        <v>10250</v>
      </c>
      <c r="B471" s="1" t="s">
        <v>4635</v>
      </c>
      <c r="C471" s="1" t="s">
        <v>9943</v>
      </c>
      <c r="D471" s="1"/>
      <c r="E471" s="1"/>
      <c r="G471" s="1" t="s">
        <v>10253</v>
      </c>
      <c r="I471" s="1" t="s">
        <v>5474</v>
      </c>
      <c r="J471" s="1" t="s">
        <v>10256</v>
      </c>
    </row>
    <row r="472">
      <c r="A472" s="1" t="s">
        <v>10258</v>
      </c>
      <c r="B472" s="1" t="s">
        <v>4693</v>
      </c>
      <c r="C472" s="1" t="s">
        <v>3735</v>
      </c>
      <c r="D472" s="1"/>
      <c r="E472" s="1" t="s">
        <v>10261</v>
      </c>
      <c r="G472" s="1"/>
      <c r="I472" s="1" t="s">
        <v>5474</v>
      </c>
      <c r="J472" s="1" t="s">
        <v>10263</v>
      </c>
    </row>
    <row r="473">
      <c r="A473" s="1"/>
      <c r="B473" s="1"/>
      <c r="C473" s="1"/>
      <c r="D473" s="1"/>
      <c r="E473" s="1"/>
      <c r="G473" s="1"/>
      <c r="I473" s="1"/>
      <c r="J473" s="1"/>
    </row>
    <row r="474">
      <c r="A474" s="1"/>
      <c r="B474" s="1"/>
      <c r="C474" s="1"/>
      <c r="E474" s="1"/>
      <c r="I474" s="1"/>
      <c r="J474" s="1"/>
    </row>
  </sheetData>
  <hyperlinks>
    <hyperlink r:id="rId2" ref="C1"/>
  </hyperlinks>
  <drawing r:id="rId3"/>
  <legacy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1</v>
      </c>
      <c r="B1" s="5" t="s">
        <v>3406</v>
      </c>
      <c r="C1" s="5" t="s">
        <v>10450</v>
      </c>
      <c r="D1" s="2" t="s">
        <v>10473</v>
      </c>
      <c r="E1" s="2" t="s">
        <v>10476</v>
      </c>
      <c r="F1" s="2" t="s">
        <v>10477</v>
      </c>
      <c r="G1" s="2" t="s">
        <v>4523</v>
      </c>
    </row>
    <row r="2">
      <c r="A2" s="1" t="s">
        <v>10482</v>
      </c>
      <c r="B2" s="1" t="s">
        <v>1672</v>
      </c>
      <c r="C2" s="1" t="s">
        <v>10485</v>
      </c>
      <c r="D2" s="3">
        <v>46290.0</v>
      </c>
      <c r="E2" s="1" t="s">
        <v>10488</v>
      </c>
      <c r="F2" s="1" t="s">
        <v>10489</v>
      </c>
      <c r="G2" s="1" t="s">
        <v>10491</v>
      </c>
    </row>
    <row r="3">
      <c r="A3" s="1" t="s">
        <v>10493</v>
      </c>
      <c r="B3" s="1" t="s">
        <v>10494</v>
      </c>
      <c r="C3" s="1" t="s">
        <v>10495</v>
      </c>
      <c r="D3" s="3">
        <v>46000.0</v>
      </c>
      <c r="E3" s="1" t="s">
        <v>10496</v>
      </c>
      <c r="F3" s="1" t="s">
        <v>10499</v>
      </c>
      <c r="G3" s="1" t="s">
        <v>10500</v>
      </c>
    </row>
    <row r="4">
      <c r="A4" s="1" t="s">
        <v>10502</v>
      </c>
      <c r="B4" s="1" t="s">
        <v>1608</v>
      </c>
      <c r="C4" s="1" t="s">
        <v>10504</v>
      </c>
      <c r="D4" s="3">
        <v>46127.0</v>
      </c>
      <c r="E4" s="1" t="s">
        <v>10507</v>
      </c>
      <c r="F4" s="1" t="s">
        <v>10509</v>
      </c>
      <c r="G4" s="1" t="s">
        <v>10510</v>
      </c>
    </row>
    <row r="5">
      <c r="A5" s="1" t="s">
        <v>10512</v>
      </c>
      <c r="B5" s="1" t="s">
        <v>10514</v>
      </c>
      <c r="C5" s="1" t="s">
        <v>10515</v>
      </c>
      <c r="D5" s="3">
        <v>46293.0</v>
      </c>
      <c r="E5" s="1" t="s">
        <v>10517</v>
      </c>
      <c r="F5" s="1" t="s">
        <v>10519</v>
      </c>
      <c r="G5" s="1" t="s">
        <v>10520</v>
      </c>
    </row>
    <row r="6">
      <c r="A6" s="1" t="s">
        <v>10522</v>
      </c>
      <c r="B6" s="1" t="s">
        <v>10524</v>
      </c>
      <c r="C6" s="1" t="s">
        <v>10525</v>
      </c>
      <c r="D6" s="3">
        <v>46293.0</v>
      </c>
      <c r="E6" s="1" t="s">
        <v>10528</v>
      </c>
      <c r="F6" s="1" t="s">
        <v>10531</v>
      </c>
      <c r="G6" s="1" t="s">
        <v>10532</v>
      </c>
    </row>
    <row r="7">
      <c r="A7" s="1" t="s">
        <v>10533</v>
      </c>
      <c r="B7" s="1" t="s">
        <v>10534</v>
      </c>
      <c r="C7" s="1" t="s">
        <v>462</v>
      </c>
      <c r="D7" s="3">
        <v>46290.0</v>
      </c>
      <c r="E7" s="1" t="s">
        <v>10541</v>
      </c>
      <c r="F7" s="1" t="s">
        <v>10543</v>
      </c>
      <c r="G7" s="1" t="s">
        <v>10544</v>
      </c>
    </row>
    <row r="8">
      <c r="A8" s="1" t="s">
        <v>10546</v>
      </c>
      <c r="B8" s="1" t="s">
        <v>10549</v>
      </c>
      <c r="C8" s="1" t="s">
        <v>10551</v>
      </c>
      <c r="D8" s="3">
        <v>46154.0</v>
      </c>
      <c r="E8" s="1" t="s">
        <v>10552</v>
      </c>
      <c r="F8" s="1" t="s">
        <v>10554</v>
      </c>
      <c r="G8" s="1" t="s">
        <v>10555</v>
      </c>
    </row>
    <row r="9">
      <c r="A9" s="1" t="s">
        <v>10556</v>
      </c>
      <c r="B9" s="1" t="s">
        <v>10557</v>
      </c>
      <c r="C9" s="1" t="s">
        <v>10558</v>
      </c>
      <c r="D9" s="3">
        <v>46285.0</v>
      </c>
      <c r="E9" s="1" t="s">
        <v>10562</v>
      </c>
      <c r="F9" s="1" t="s">
        <v>10562</v>
      </c>
      <c r="G9" s="1" t="s">
        <v>10564</v>
      </c>
    </row>
    <row r="10">
      <c r="A10" s="1" t="s">
        <v>10565</v>
      </c>
      <c r="B10" s="1" t="s">
        <v>10568</v>
      </c>
      <c r="C10" s="1" t="s">
        <v>10570</v>
      </c>
      <c r="D10" s="3">
        <v>46215.0</v>
      </c>
      <c r="E10" s="1" t="s">
        <v>10573</v>
      </c>
      <c r="F10" s="1" t="s">
        <v>10574</v>
      </c>
      <c r="G10" s="1" t="s">
        <v>10576</v>
      </c>
    </row>
    <row r="11">
      <c r="A11" s="1" t="s">
        <v>10579</v>
      </c>
      <c r="B11" s="1" t="s">
        <v>10581</v>
      </c>
      <c r="C11" s="1" t="s">
        <v>10583</v>
      </c>
      <c r="D11" s="3">
        <v>46287.0</v>
      </c>
      <c r="E11" s="1" t="s">
        <v>10584</v>
      </c>
      <c r="F11" s="1" t="s">
        <v>10587</v>
      </c>
      <c r="G11" s="1" t="s">
        <v>10589</v>
      </c>
    </row>
    <row r="12">
      <c r="A12" s="1" t="s">
        <v>10592</v>
      </c>
      <c r="B12" s="1" t="s">
        <v>934</v>
      </c>
      <c r="C12" s="1" t="s">
        <v>10593</v>
      </c>
      <c r="D12" s="3">
        <v>46289.0</v>
      </c>
      <c r="E12" s="1" t="s">
        <v>10597</v>
      </c>
      <c r="F12" s="1" t="s">
        <v>10600</v>
      </c>
      <c r="G12" s="1" t="s">
        <v>10601</v>
      </c>
    </row>
    <row r="13">
      <c r="A13" s="1" t="s">
        <v>10602</v>
      </c>
      <c r="B13" s="1" t="s">
        <v>10603</v>
      </c>
      <c r="C13" s="1" t="s">
        <v>10605</v>
      </c>
      <c r="D13" s="3">
        <v>45979.0</v>
      </c>
      <c r="E13" s="1" t="s">
        <v>10606</v>
      </c>
      <c r="F13" s="1" t="s">
        <v>10608</v>
      </c>
      <c r="G13" s="1" t="s">
        <v>10610</v>
      </c>
    </row>
    <row r="14">
      <c r="A14" s="1" t="s">
        <v>10612</v>
      </c>
      <c r="B14" s="1" t="s">
        <v>10615</v>
      </c>
      <c r="C14" s="1" t="s">
        <v>10616</v>
      </c>
      <c r="D14" s="3">
        <v>46144.0</v>
      </c>
      <c r="E14" s="1" t="s">
        <v>10618</v>
      </c>
      <c r="F14" s="1" t="s">
        <v>10619</v>
      </c>
      <c r="G14" s="1" t="s">
        <v>10621</v>
      </c>
    </row>
    <row r="15">
      <c r="A15" s="1" t="s">
        <v>10623</v>
      </c>
      <c r="B15" s="1" t="s">
        <v>10624</v>
      </c>
      <c r="C15" s="1" t="s">
        <v>10625</v>
      </c>
      <c r="D15" s="3">
        <v>45923.0</v>
      </c>
      <c r="E15" s="1"/>
      <c r="F15" s="1" t="s">
        <v>10629</v>
      </c>
      <c r="G15" s="1" t="s">
        <v>10544</v>
      </c>
    </row>
    <row r="16">
      <c r="A16" s="1" t="s">
        <v>10631</v>
      </c>
      <c r="B16" s="1" t="s">
        <v>10633</v>
      </c>
      <c r="C16" s="1" t="s">
        <v>134</v>
      </c>
      <c r="D16" s="3">
        <v>46290.0</v>
      </c>
      <c r="E16" s="1" t="s">
        <v>10644</v>
      </c>
      <c r="F16" s="1" t="s">
        <v>10645</v>
      </c>
      <c r="G16" s="1" t="s">
        <v>10647</v>
      </c>
    </row>
    <row r="17">
      <c r="A17" s="1" t="s">
        <v>10651</v>
      </c>
      <c r="B17" s="1" t="s">
        <v>10653</v>
      </c>
      <c r="C17" s="1" t="s">
        <v>10655</v>
      </c>
      <c r="D17" s="3">
        <v>46181.0</v>
      </c>
      <c r="E17" s="1" t="s">
        <v>10657</v>
      </c>
      <c r="F17" s="1" t="s">
        <v>10659</v>
      </c>
      <c r="G17" s="1" t="s">
        <v>10660</v>
      </c>
    </row>
    <row r="18">
      <c r="A18" s="1" t="s">
        <v>10663</v>
      </c>
      <c r="B18" s="1" t="s">
        <v>10665</v>
      </c>
      <c r="C18" s="1" t="s">
        <v>10666</v>
      </c>
      <c r="D18" s="3">
        <v>46286.0</v>
      </c>
      <c r="E18" s="1" t="s">
        <v>10670</v>
      </c>
      <c r="F18" s="1" t="s">
        <v>10678</v>
      </c>
      <c r="G18" s="1" t="s">
        <v>10680</v>
      </c>
    </row>
    <row r="19">
      <c r="A19" s="1" t="s">
        <v>10691</v>
      </c>
      <c r="B19" s="1" t="s">
        <v>10693</v>
      </c>
      <c r="C19" s="1" t="s">
        <v>10695</v>
      </c>
      <c r="D19" s="3">
        <v>46210.0</v>
      </c>
      <c r="E19" s="1" t="s">
        <v>10699</v>
      </c>
      <c r="F19" s="1" t="s">
        <v>10700</v>
      </c>
      <c r="G19" s="1" t="s">
        <v>10701</v>
      </c>
    </row>
    <row r="20">
      <c r="A20" s="1" t="s">
        <v>10704</v>
      </c>
      <c r="B20" s="1" t="s">
        <v>410</v>
      </c>
      <c r="C20" s="1" t="s">
        <v>10707</v>
      </c>
      <c r="D20" s="3">
        <v>46245.0</v>
      </c>
      <c r="E20" s="1" t="s">
        <v>10710</v>
      </c>
      <c r="F20" s="1" t="s">
        <v>10714</v>
      </c>
      <c r="G20" s="1" t="s">
        <v>10717</v>
      </c>
    </row>
    <row r="21">
      <c r="A21" s="1" t="s">
        <v>10719</v>
      </c>
      <c r="B21" s="1" t="s">
        <v>10720</v>
      </c>
      <c r="C21" s="1" t="s">
        <v>10722</v>
      </c>
      <c r="D21" s="3">
        <v>46126.0</v>
      </c>
      <c r="E21" s="1" t="s">
        <v>10725</v>
      </c>
      <c r="F21" s="1" t="s">
        <v>10728</v>
      </c>
      <c r="G21" s="1" t="s">
        <v>10730</v>
      </c>
    </row>
    <row r="22">
      <c r="A22" s="1" t="s">
        <v>10733</v>
      </c>
      <c r="B22" s="1" t="s">
        <v>10735</v>
      </c>
      <c r="C22" s="1" t="s">
        <v>10737</v>
      </c>
      <c r="D22" s="3">
        <v>46272.0</v>
      </c>
      <c r="E22" s="1" t="s">
        <v>10743</v>
      </c>
      <c r="F22" s="1" t="s">
        <v>10746</v>
      </c>
      <c r="G22" s="1" t="s">
        <v>10555</v>
      </c>
    </row>
    <row r="23">
      <c r="A23" s="1" t="s">
        <v>10747</v>
      </c>
      <c r="B23" s="1" t="s">
        <v>1661</v>
      </c>
      <c r="C23" s="1" t="s">
        <v>10750</v>
      </c>
      <c r="D23" s="3">
        <v>46294.0</v>
      </c>
      <c r="E23" s="1" t="s">
        <v>10752</v>
      </c>
      <c r="F23" s="1" t="s">
        <v>10754</v>
      </c>
      <c r="G23" s="1" t="s">
        <v>10755</v>
      </c>
    </row>
    <row r="24">
      <c r="A24" s="1" t="s">
        <v>10757</v>
      </c>
      <c r="B24" s="1" t="s">
        <v>10760</v>
      </c>
      <c r="C24" s="1" t="s">
        <v>10761</v>
      </c>
      <c r="D24" s="3">
        <v>46287.0</v>
      </c>
      <c r="E24" s="1" t="s">
        <v>10764</v>
      </c>
      <c r="F24" s="1" t="s">
        <v>10766</v>
      </c>
      <c r="G24" s="1" t="s">
        <v>10647</v>
      </c>
    </row>
    <row r="25">
      <c r="A25" s="1" t="s">
        <v>10769</v>
      </c>
      <c r="B25" s="1" t="s">
        <v>10770</v>
      </c>
      <c r="C25" s="1" t="s">
        <v>10771</v>
      </c>
      <c r="D25" s="3">
        <v>46293.0</v>
      </c>
      <c r="E25" s="1" t="s">
        <v>10774</v>
      </c>
      <c r="F25" s="1" t="s">
        <v>10775</v>
      </c>
      <c r="G25" s="1" t="s">
        <v>10544</v>
      </c>
    </row>
    <row r="26">
      <c r="A26" s="1" t="s">
        <v>10778</v>
      </c>
      <c r="B26" s="1" t="s">
        <v>10780</v>
      </c>
      <c r="C26" s="1" t="s">
        <v>462</v>
      </c>
      <c r="D26" s="3">
        <v>46290.0</v>
      </c>
      <c r="E26" s="1" t="s">
        <v>10784</v>
      </c>
      <c r="F26" s="1" t="s">
        <v>10787</v>
      </c>
      <c r="G26" s="1" t="s">
        <v>10601</v>
      </c>
    </row>
    <row r="27">
      <c r="A27" s="1" t="s">
        <v>10795</v>
      </c>
      <c r="B27" s="1" t="s">
        <v>10796</v>
      </c>
      <c r="C27" s="1" t="s">
        <v>10798</v>
      </c>
      <c r="D27" s="3">
        <v>46293.0</v>
      </c>
      <c r="E27" s="1" t="s">
        <v>10800</v>
      </c>
      <c r="F27" s="1" t="s">
        <v>10803</v>
      </c>
      <c r="G27" s="1" t="s">
        <v>10804</v>
      </c>
    </row>
    <row r="28">
      <c r="A28" s="1" t="s">
        <v>10805</v>
      </c>
      <c r="B28" s="1" t="s">
        <v>10806</v>
      </c>
      <c r="C28" s="1" t="s">
        <v>10809</v>
      </c>
      <c r="D28" s="3">
        <v>46290.0</v>
      </c>
      <c r="E28" s="1" t="s">
        <v>10817</v>
      </c>
      <c r="F28" s="1" t="s">
        <v>10818</v>
      </c>
      <c r="G28" s="1" t="s">
        <v>10500</v>
      </c>
    </row>
    <row r="29">
      <c r="A29" s="1" t="s">
        <v>10820</v>
      </c>
      <c r="B29" s="1" t="s">
        <v>10821</v>
      </c>
      <c r="C29" s="1" t="s">
        <v>10823</v>
      </c>
      <c r="D29" s="3">
        <v>46078.0</v>
      </c>
      <c r="E29" s="1" t="s">
        <v>10825</v>
      </c>
      <c r="F29" s="1" t="s">
        <v>10827</v>
      </c>
      <c r="G29" s="1" t="s">
        <v>10647</v>
      </c>
    </row>
    <row r="30">
      <c r="A30" s="1" t="s">
        <v>10831</v>
      </c>
      <c r="B30" s="1" t="s">
        <v>10833</v>
      </c>
      <c r="C30" s="1" t="s">
        <v>10837</v>
      </c>
      <c r="D30" s="3">
        <v>46293.0</v>
      </c>
      <c r="E30" s="1" t="s">
        <v>10838</v>
      </c>
      <c r="F30" s="1" t="s">
        <v>10840</v>
      </c>
      <c r="G30" s="1" t="s">
        <v>10841</v>
      </c>
    </row>
    <row r="31">
      <c r="A31" s="1" t="s">
        <v>10843</v>
      </c>
      <c r="B31" s="1" t="s">
        <v>1112</v>
      </c>
      <c r="C31" s="1" t="s">
        <v>10845</v>
      </c>
      <c r="D31" s="3">
        <v>46290.0</v>
      </c>
      <c r="E31" s="1" t="s">
        <v>10855</v>
      </c>
      <c r="F31" s="1" t="s">
        <v>10857</v>
      </c>
      <c r="G31" s="1" t="s">
        <v>10859</v>
      </c>
    </row>
    <row r="32">
      <c r="A32" s="1" t="s">
        <v>10862</v>
      </c>
      <c r="B32" s="1" t="s">
        <v>10866</v>
      </c>
      <c r="C32" s="1" t="s">
        <v>10868</v>
      </c>
      <c r="D32" s="3">
        <v>46293.0</v>
      </c>
      <c r="E32" s="1" t="s">
        <v>10879</v>
      </c>
      <c r="F32" s="1" t="s">
        <v>10886</v>
      </c>
      <c r="G32" s="1" t="s">
        <v>10889</v>
      </c>
    </row>
    <row r="33">
      <c r="A33" s="1" t="s">
        <v>10890</v>
      </c>
      <c r="B33" s="1" t="s">
        <v>10893</v>
      </c>
      <c r="C33" s="1" t="s">
        <v>3566</v>
      </c>
      <c r="D33" s="3">
        <v>46266.0</v>
      </c>
      <c r="E33" s="1" t="s">
        <v>10894</v>
      </c>
      <c r="F33" s="1" t="s">
        <v>10896</v>
      </c>
      <c r="G33" s="1" t="s">
        <v>10898</v>
      </c>
    </row>
    <row r="34">
      <c r="A34" s="1" t="s">
        <v>10900</v>
      </c>
      <c r="B34" s="1" t="s">
        <v>10902</v>
      </c>
      <c r="C34" s="1" t="s">
        <v>10904</v>
      </c>
      <c r="D34" s="3">
        <v>46294.0</v>
      </c>
      <c r="E34" s="1" t="s">
        <v>10923</v>
      </c>
      <c r="F34" s="1" t="s">
        <v>10924</v>
      </c>
      <c r="G34" s="1" t="s">
        <v>10544</v>
      </c>
    </row>
    <row r="35">
      <c r="A35" s="1" t="s">
        <v>10925</v>
      </c>
      <c r="B35" s="1" t="s">
        <v>352</v>
      </c>
      <c r="C35" s="1" t="s">
        <v>337</v>
      </c>
      <c r="D35" s="3">
        <v>46241.0</v>
      </c>
      <c r="E35" s="1" t="s">
        <v>10929</v>
      </c>
      <c r="F35" s="1" t="s">
        <v>10932</v>
      </c>
      <c r="G35" s="1" t="s">
        <v>10647</v>
      </c>
    </row>
    <row r="36">
      <c r="A36" s="1" t="s">
        <v>10935</v>
      </c>
      <c r="B36" s="1" t="s">
        <v>762</v>
      </c>
      <c r="C36" s="1" t="s">
        <v>10936</v>
      </c>
      <c r="D36" s="3">
        <v>46289.0</v>
      </c>
      <c r="E36" s="1" t="s">
        <v>10939</v>
      </c>
      <c r="F36" s="1" t="s">
        <v>10940</v>
      </c>
      <c r="G36" s="1" t="s">
        <v>10942</v>
      </c>
    </row>
    <row r="37">
      <c r="A37" s="1" t="s">
        <v>10944</v>
      </c>
      <c r="B37" s="1" t="s">
        <v>10946</v>
      </c>
      <c r="C37" s="1" t="s">
        <v>10947</v>
      </c>
      <c r="D37" s="3">
        <v>46292.0</v>
      </c>
      <c r="E37" s="1" t="s">
        <v>10959</v>
      </c>
      <c r="F37" s="1" t="s">
        <v>10961</v>
      </c>
      <c r="G37" s="1" t="s">
        <v>10962</v>
      </c>
    </row>
    <row r="38">
      <c r="A38" s="1" t="s">
        <v>10964</v>
      </c>
      <c r="B38" s="1" t="s">
        <v>10965</v>
      </c>
      <c r="C38" s="1" t="s">
        <v>10967</v>
      </c>
      <c r="D38" s="3">
        <v>46283.0</v>
      </c>
      <c r="E38" s="1" t="s">
        <v>10969</v>
      </c>
      <c r="F38" s="1" t="s">
        <v>10972</v>
      </c>
      <c r="G38" s="1" t="s">
        <v>10555</v>
      </c>
    </row>
    <row r="39">
      <c r="A39" s="1" t="s">
        <v>10976</v>
      </c>
      <c r="B39" s="1" t="s">
        <v>10977</v>
      </c>
      <c r="C39" s="1" t="s">
        <v>10978</v>
      </c>
      <c r="D39" s="3">
        <v>46294.0</v>
      </c>
      <c r="E39" s="1" t="s">
        <v>10980</v>
      </c>
      <c r="F39" s="1" t="s">
        <v>10983</v>
      </c>
      <c r="G39" s="1" t="s">
        <v>10510</v>
      </c>
    </row>
    <row r="40">
      <c r="A40" s="1" t="s">
        <v>10990</v>
      </c>
      <c r="B40" s="1" t="s">
        <v>10991</v>
      </c>
      <c r="C40" s="1" t="s">
        <v>10947</v>
      </c>
      <c r="D40" s="3">
        <v>46292.0</v>
      </c>
      <c r="E40" s="1" t="s">
        <v>11005</v>
      </c>
      <c r="F40" s="1" t="s">
        <v>11006</v>
      </c>
      <c r="G40" s="1" t="s">
        <v>11008</v>
      </c>
    </row>
    <row r="41">
      <c r="A41" s="1" t="s">
        <v>11010</v>
      </c>
      <c r="B41" s="1" t="s">
        <v>11012</v>
      </c>
      <c r="C41" s="1" t="s">
        <v>11015</v>
      </c>
      <c r="D41" s="3">
        <v>46280.0</v>
      </c>
      <c r="E41" s="1" t="s">
        <v>11021</v>
      </c>
      <c r="F41" s="1" t="s">
        <v>11031</v>
      </c>
      <c r="G41" s="1" t="s">
        <v>10647</v>
      </c>
    </row>
    <row r="42">
      <c r="A42" s="1" t="s">
        <v>11033</v>
      </c>
      <c r="B42" s="1" t="s">
        <v>11034</v>
      </c>
      <c r="C42" s="1" t="s">
        <v>11035</v>
      </c>
      <c r="D42" s="3">
        <v>46280.0</v>
      </c>
      <c r="E42" s="1" t="s">
        <v>11058</v>
      </c>
      <c r="F42" s="1" t="s">
        <v>11066</v>
      </c>
      <c r="G42" s="1" t="s">
        <v>11067</v>
      </c>
    </row>
    <row r="43">
      <c r="A43" s="1" t="s">
        <v>11072</v>
      </c>
      <c r="B43" s="1" t="s">
        <v>11074</v>
      </c>
      <c r="C43" s="1" t="s">
        <v>11077</v>
      </c>
      <c r="D43" s="3">
        <v>46290.0</v>
      </c>
      <c r="E43" s="1" t="s">
        <v>11087</v>
      </c>
      <c r="F43" s="1" t="s">
        <v>11090</v>
      </c>
      <c r="G43" s="1" t="s">
        <v>10647</v>
      </c>
    </row>
    <row r="44">
      <c r="A44" s="1" t="s">
        <v>11092</v>
      </c>
      <c r="B44" s="1" t="s">
        <v>11094</v>
      </c>
      <c r="C44" s="1" t="s">
        <v>2143</v>
      </c>
      <c r="D44" s="3">
        <v>46295.0</v>
      </c>
      <c r="E44" s="1" t="s">
        <v>11097</v>
      </c>
      <c r="F44" s="1" t="s">
        <v>11099</v>
      </c>
      <c r="G44" s="1" t="s">
        <v>11102</v>
      </c>
    </row>
    <row r="45">
      <c r="A45" s="1" t="s">
        <v>11104</v>
      </c>
      <c r="B45" s="1" t="s">
        <v>881</v>
      </c>
      <c r="C45" s="1" t="s">
        <v>140</v>
      </c>
      <c r="D45" s="3">
        <v>46290.0</v>
      </c>
      <c r="E45" s="1" t="s">
        <v>11109</v>
      </c>
      <c r="F45" s="1" t="s">
        <v>11112</v>
      </c>
      <c r="G45" s="1" t="s">
        <v>11114</v>
      </c>
    </row>
    <row r="46">
      <c r="A46" s="1" t="s">
        <v>11116</v>
      </c>
      <c r="B46" s="1" t="s">
        <v>11118</v>
      </c>
      <c r="C46" s="1" t="s">
        <v>11120</v>
      </c>
      <c r="D46" s="3">
        <v>46290.0</v>
      </c>
      <c r="E46" s="1" t="s">
        <v>11123</v>
      </c>
      <c r="F46" s="1" t="s">
        <v>11125</v>
      </c>
      <c r="G46" s="1" t="s">
        <v>10555</v>
      </c>
    </row>
    <row r="47">
      <c r="A47" s="1" t="s">
        <v>11128</v>
      </c>
      <c r="B47" s="1" t="s">
        <v>1697</v>
      </c>
      <c r="C47" s="1" t="s">
        <v>323</v>
      </c>
      <c r="D47" s="3">
        <v>46280.0</v>
      </c>
      <c r="E47" s="1" t="s">
        <v>11133</v>
      </c>
      <c r="F47" s="1" t="s">
        <v>11138</v>
      </c>
      <c r="G47" s="1" t="s">
        <v>11139</v>
      </c>
    </row>
    <row r="48">
      <c r="A48" s="1" t="s">
        <v>11141</v>
      </c>
      <c r="B48" s="1" t="s">
        <v>11143</v>
      </c>
      <c r="C48" s="1" t="s">
        <v>11144</v>
      </c>
      <c r="D48" s="3">
        <v>46294.0</v>
      </c>
      <c r="E48" s="1" t="s">
        <v>11147</v>
      </c>
      <c r="F48" s="1" t="s">
        <v>11149</v>
      </c>
      <c r="G48" s="1" t="s">
        <v>10647</v>
      </c>
    </row>
    <row r="49">
      <c r="A49" s="1" t="s">
        <v>11153</v>
      </c>
      <c r="B49" s="1" t="s">
        <v>11154</v>
      </c>
      <c r="C49" s="1" t="s">
        <v>11156</v>
      </c>
      <c r="D49" s="3">
        <v>46292.0</v>
      </c>
      <c r="E49" s="1" t="s">
        <v>11158</v>
      </c>
      <c r="F49" s="1" t="s">
        <v>11159</v>
      </c>
      <c r="G49" s="1" t="s">
        <v>11161</v>
      </c>
    </row>
    <row r="50">
      <c r="A50" s="1" t="s">
        <v>11162</v>
      </c>
      <c r="B50" s="1" t="s">
        <v>11164</v>
      </c>
      <c r="C50" s="1" t="s">
        <v>11166</v>
      </c>
      <c r="D50" s="3">
        <v>46279.0</v>
      </c>
      <c r="E50" s="1" t="s">
        <v>11167</v>
      </c>
      <c r="F50" s="1" t="s">
        <v>11167</v>
      </c>
      <c r="G50" s="1" t="s">
        <v>11169</v>
      </c>
    </row>
    <row r="51">
      <c r="A51" s="1" t="s">
        <v>11170</v>
      </c>
      <c r="B51" s="1" t="s">
        <v>11171</v>
      </c>
      <c r="C51" s="1" t="s">
        <v>462</v>
      </c>
      <c r="D51" s="3">
        <v>46290.0</v>
      </c>
      <c r="E51" s="1" t="s">
        <v>11173</v>
      </c>
      <c r="F51" s="1" t="s">
        <v>11176</v>
      </c>
      <c r="G51" s="1" t="s">
        <v>11179</v>
      </c>
    </row>
    <row r="52">
      <c r="A52" s="1" t="s">
        <v>11180</v>
      </c>
      <c r="B52" s="1" t="s">
        <v>11181</v>
      </c>
      <c r="C52" s="1" t="s">
        <v>11182</v>
      </c>
      <c r="D52" s="3">
        <v>46295.0</v>
      </c>
      <c r="E52" s="1" t="s">
        <v>11188</v>
      </c>
      <c r="F52" s="1" t="s">
        <v>11192</v>
      </c>
      <c r="G52" s="1" t="s">
        <v>11193</v>
      </c>
    </row>
    <row r="53">
      <c r="A53" s="1" t="s">
        <v>11194</v>
      </c>
      <c r="B53" s="1" t="s">
        <v>11196</v>
      </c>
      <c r="C53" s="1" t="s">
        <v>11198</v>
      </c>
      <c r="D53" s="3">
        <v>46188.0</v>
      </c>
      <c r="E53" s="1" t="s">
        <v>11200</v>
      </c>
      <c r="F53" s="1" t="s">
        <v>11203</v>
      </c>
      <c r="G53" s="1" t="s">
        <v>11205</v>
      </c>
    </row>
    <row r="54">
      <c r="A54" s="1" t="s">
        <v>11206</v>
      </c>
      <c r="B54" s="1" t="s">
        <v>11207</v>
      </c>
      <c r="C54" s="1" t="s">
        <v>11208</v>
      </c>
      <c r="D54" s="3">
        <v>46146.0</v>
      </c>
      <c r="E54" s="1" t="s">
        <v>11212</v>
      </c>
      <c r="F54" s="1" t="s">
        <v>11215</v>
      </c>
      <c r="G54" s="1" t="s">
        <v>11216</v>
      </c>
    </row>
    <row r="55">
      <c r="A55" s="1" t="s">
        <v>11217</v>
      </c>
      <c r="B55" s="1" t="s">
        <v>1439</v>
      </c>
      <c r="C55" s="1" t="s">
        <v>11219</v>
      </c>
      <c r="D55" s="3">
        <v>46167.0</v>
      </c>
      <c r="E55" s="1" t="s">
        <v>11220</v>
      </c>
      <c r="F55" s="1" t="s">
        <v>11222</v>
      </c>
      <c r="G55" s="1" t="s">
        <v>11224</v>
      </c>
    </row>
    <row r="56">
      <c r="A56" s="1" t="s">
        <v>11225</v>
      </c>
      <c r="B56" s="1" t="s">
        <v>11226</v>
      </c>
      <c r="C56" s="1" t="s">
        <v>1149</v>
      </c>
      <c r="D56" s="3">
        <v>46272.0</v>
      </c>
      <c r="E56" s="1" t="s">
        <v>11235</v>
      </c>
      <c r="F56" s="1" t="s">
        <v>11238</v>
      </c>
      <c r="G56" s="1" t="s">
        <v>11239</v>
      </c>
    </row>
    <row r="57">
      <c r="A57" s="1" t="s">
        <v>11240</v>
      </c>
      <c r="B57" s="1" t="s">
        <v>11241</v>
      </c>
      <c r="C57" s="1" t="s">
        <v>11243</v>
      </c>
      <c r="D57" s="3">
        <v>46286.0</v>
      </c>
      <c r="E57" s="1" t="s">
        <v>11244</v>
      </c>
      <c r="F57" s="1" t="s">
        <v>11245</v>
      </c>
      <c r="G57" s="1" t="s">
        <v>10510</v>
      </c>
    </row>
    <row r="58">
      <c r="A58" s="1" t="s">
        <v>11246</v>
      </c>
      <c r="B58" s="1" t="s">
        <v>11247</v>
      </c>
      <c r="C58" s="1" t="s">
        <v>11248</v>
      </c>
      <c r="D58" s="3">
        <v>46287.0</v>
      </c>
      <c r="E58" s="1" t="s">
        <v>11249</v>
      </c>
      <c r="F58" s="1" t="s">
        <v>11252</v>
      </c>
      <c r="G58" s="1" t="s">
        <v>10510</v>
      </c>
    </row>
    <row r="59">
      <c r="A59" s="1" t="s">
        <v>11254</v>
      </c>
      <c r="B59" s="1" t="s">
        <v>418</v>
      </c>
      <c r="C59" s="1" t="s">
        <v>552</v>
      </c>
      <c r="D59" s="3">
        <v>46162.0</v>
      </c>
      <c r="E59" s="1"/>
      <c r="F59" s="1" t="s">
        <v>11259</v>
      </c>
      <c r="G59" s="1" t="s">
        <v>10621</v>
      </c>
    </row>
    <row r="60">
      <c r="A60" s="1" t="s">
        <v>11261</v>
      </c>
      <c r="B60" s="1" t="s">
        <v>11263</v>
      </c>
      <c r="C60" s="1" t="s">
        <v>11264</v>
      </c>
      <c r="D60" s="3">
        <v>46255.0</v>
      </c>
      <c r="E60" s="1" t="s">
        <v>11266</v>
      </c>
      <c r="F60" s="1" t="s">
        <v>11267</v>
      </c>
      <c r="G60" s="1" t="s">
        <v>11268</v>
      </c>
    </row>
    <row r="61">
      <c r="A61" s="1" t="s">
        <v>11269</v>
      </c>
      <c r="B61" s="1" t="s">
        <v>11270</v>
      </c>
      <c r="C61" s="1" t="s">
        <v>11271</v>
      </c>
      <c r="D61" s="3">
        <v>46230.0</v>
      </c>
      <c r="E61" s="1" t="s">
        <v>11272</v>
      </c>
      <c r="F61" s="1" t="s">
        <v>11274</v>
      </c>
      <c r="G61" s="1" t="s">
        <v>10555</v>
      </c>
    </row>
    <row r="62">
      <c r="A62" s="1" t="s">
        <v>11275</v>
      </c>
      <c r="B62" s="1" t="s">
        <v>11276</v>
      </c>
      <c r="C62" s="1" t="s">
        <v>11277</v>
      </c>
      <c r="D62" s="3">
        <v>46295.0</v>
      </c>
      <c r="E62" s="1" t="s">
        <v>11278</v>
      </c>
      <c r="F62" s="1" t="s">
        <v>11280</v>
      </c>
      <c r="G62" s="1" t="s">
        <v>11268</v>
      </c>
    </row>
    <row r="63">
      <c r="A63" s="1" t="s">
        <v>11281</v>
      </c>
      <c r="B63" s="1" t="s">
        <v>2322</v>
      </c>
      <c r="C63" s="1" t="s">
        <v>552</v>
      </c>
      <c r="D63" s="3">
        <v>46294.0</v>
      </c>
      <c r="E63" s="1" t="s">
        <v>11283</v>
      </c>
      <c r="F63" s="1" t="s">
        <v>11285</v>
      </c>
      <c r="G63" s="1" t="s">
        <v>10555</v>
      </c>
    </row>
    <row r="64">
      <c r="A64" s="1" t="s">
        <v>11286</v>
      </c>
      <c r="B64" s="1" t="s">
        <v>929</v>
      </c>
      <c r="C64" s="1" t="s">
        <v>552</v>
      </c>
      <c r="D64" s="3">
        <v>46294.0</v>
      </c>
      <c r="E64" s="1" t="s">
        <v>11289</v>
      </c>
      <c r="F64" s="1" t="s">
        <v>11290</v>
      </c>
      <c r="G64" s="1" t="s">
        <v>10610</v>
      </c>
    </row>
    <row r="65">
      <c r="A65" s="1" t="s">
        <v>11291</v>
      </c>
      <c r="B65" s="1" t="s">
        <v>431</v>
      </c>
      <c r="C65" s="1" t="s">
        <v>279</v>
      </c>
      <c r="D65" s="3">
        <v>46280.0</v>
      </c>
      <c r="E65" s="1" t="s">
        <v>11294</v>
      </c>
      <c r="F65" s="1" t="s">
        <v>11296</v>
      </c>
      <c r="G65" s="1" t="s">
        <v>10621</v>
      </c>
    </row>
    <row r="66">
      <c r="A66" s="1" t="s">
        <v>11298</v>
      </c>
      <c r="B66" s="1" t="s">
        <v>11299</v>
      </c>
      <c r="C66" s="1" t="s">
        <v>895</v>
      </c>
      <c r="D66" s="3">
        <v>46289.0</v>
      </c>
      <c r="E66" s="1" t="s">
        <v>11302</v>
      </c>
      <c r="F66" s="1" t="s">
        <v>11303</v>
      </c>
      <c r="G66" s="1" t="s">
        <v>11305</v>
      </c>
    </row>
    <row r="67">
      <c r="A67" s="1" t="s">
        <v>11306</v>
      </c>
      <c r="B67" s="1" t="s">
        <v>11308</v>
      </c>
      <c r="C67" s="1" t="s">
        <v>11309</v>
      </c>
      <c r="D67" s="3">
        <v>46293.0</v>
      </c>
      <c r="E67" s="1" t="s">
        <v>11320</v>
      </c>
      <c r="F67" s="1" t="s">
        <v>11322</v>
      </c>
      <c r="G67" s="1" t="s">
        <v>11323</v>
      </c>
    </row>
    <row r="68">
      <c r="A68" s="1" t="s">
        <v>11324</v>
      </c>
      <c r="B68" s="1" t="s">
        <v>11326</v>
      </c>
      <c r="C68" s="1" t="s">
        <v>11327</v>
      </c>
      <c r="D68" s="3">
        <v>46290.0</v>
      </c>
      <c r="E68" s="1" t="s">
        <v>11330</v>
      </c>
      <c r="F68" s="1" t="s">
        <v>11333</v>
      </c>
      <c r="G68" s="1" t="s">
        <v>11335</v>
      </c>
    </row>
    <row r="69">
      <c r="A69" s="1" t="s">
        <v>11336</v>
      </c>
      <c r="B69" s="1" t="s">
        <v>11339</v>
      </c>
      <c r="C69" s="1" t="s">
        <v>3221</v>
      </c>
      <c r="D69" s="3">
        <v>46266.0</v>
      </c>
      <c r="E69" s="1" t="s">
        <v>11342</v>
      </c>
      <c r="F69" s="1" t="s">
        <v>11343</v>
      </c>
      <c r="G69" s="1" t="s">
        <v>11344</v>
      </c>
    </row>
    <row r="70">
      <c r="A70" s="1" t="s">
        <v>11348</v>
      </c>
      <c r="B70" s="1" t="s">
        <v>11349</v>
      </c>
      <c r="C70" s="1" t="s">
        <v>11350</v>
      </c>
      <c r="D70" s="3">
        <v>46290.0</v>
      </c>
      <c r="E70" s="1" t="s">
        <v>11351</v>
      </c>
      <c r="F70" s="1" t="s">
        <v>11353</v>
      </c>
      <c r="G70" s="1" t="s">
        <v>11355</v>
      </c>
    </row>
    <row r="71">
      <c r="A71" s="1" t="s">
        <v>11356</v>
      </c>
      <c r="B71" s="1" t="s">
        <v>1905</v>
      </c>
      <c r="C71" s="1" t="s">
        <v>1197</v>
      </c>
      <c r="D71" s="3">
        <v>46290.0</v>
      </c>
      <c r="E71" s="1" t="s">
        <v>11359</v>
      </c>
      <c r="F71" s="1" t="s">
        <v>11361</v>
      </c>
      <c r="G71" s="1" t="s">
        <v>11216</v>
      </c>
    </row>
    <row r="72">
      <c r="A72" s="1" t="s">
        <v>11363</v>
      </c>
      <c r="B72" s="1" t="s">
        <v>11364</v>
      </c>
      <c r="C72" s="1" t="s">
        <v>11365</v>
      </c>
      <c r="D72" s="3">
        <v>46293.0</v>
      </c>
      <c r="E72" s="1" t="s">
        <v>11368</v>
      </c>
      <c r="F72" s="1" t="s">
        <v>11369</v>
      </c>
      <c r="G72" s="1" t="s">
        <v>10555</v>
      </c>
    </row>
    <row r="73">
      <c r="A73" s="1" t="s">
        <v>11370</v>
      </c>
      <c r="B73" s="1" t="s">
        <v>11371</v>
      </c>
      <c r="C73" s="1" t="s">
        <v>11372</v>
      </c>
      <c r="D73" s="3">
        <v>46293.0</v>
      </c>
      <c r="E73" s="1" t="s">
        <v>11373</v>
      </c>
      <c r="F73" s="1" t="s">
        <v>11375</v>
      </c>
      <c r="G73" s="1" t="s">
        <v>10555</v>
      </c>
    </row>
    <row r="74">
      <c r="A74" s="1" t="s">
        <v>11377</v>
      </c>
      <c r="B74" s="1" t="s">
        <v>2061</v>
      </c>
      <c r="C74" s="1" t="s">
        <v>11379</v>
      </c>
      <c r="D74" s="3">
        <v>46293.0</v>
      </c>
      <c r="E74" s="1"/>
      <c r="F74" s="1" t="s">
        <v>11382</v>
      </c>
      <c r="G74" s="1" t="s">
        <v>11383</v>
      </c>
    </row>
    <row r="75">
      <c r="A75" s="1" t="s">
        <v>11384</v>
      </c>
      <c r="B75" s="1" t="s">
        <v>11386</v>
      </c>
      <c r="C75" s="1" t="s">
        <v>11387</v>
      </c>
      <c r="D75" s="3">
        <v>46282.0</v>
      </c>
      <c r="E75" s="1" t="s">
        <v>11389</v>
      </c>
      <c r="F75" s="1" t="s">
        <v>11391</v>
      </c>
      <c r="G75" s="1" t="s">
        <v>11344</v>
      </c>
    </row>
    <row r="76">
      <c r="A76" s="1" t="s">
        <v>11393</v>
      </c>
      <c r="B76" s="1" t="s">
        <v>11394</v>
      </c>
      <c r="C76" s="1" t="s">
        <v>11395</v>
      </c>
      <c r="D76" s="3">
        <v>46293.0</v>
      </c>
      <c r="E76" s="1" t="s">
        <v>11396</v>
      </c>
      <c r="F76" s="1" t="s">
        <v>11399</v>
      </c>
      <c r="G76" s="1" t="s">
        <v>10555</v>
      </c>
    </row>
    <row r="77">
      <c r="A77" s="1" t="s">
        <v>11400</v>
      </c>
      <c r="B77" s="1" t="s">
        <v>11402</v>
      </c>
      <c r="C77" s="1" t="s">
        <v>462</v>
      </c>
      <c r="D77" s="3">
        <v>46290.0</v>
      </c>
      <c r="E77" s="1"/>
      <c r="F77" s="1" t="s">
        <v>11405</v>
      </c>
      <c r="G77" s="1" t="s">
        <v>11406</v>
      </c>
    </row>
    <row r="78">
      <c r="A78" s="1" t="s">
        <v>11407</v>
      </c>
      <c r="B78" s="1" t="s">
        <v>11408</v>
      </c>
      <c r="C78" s="1" t="s">
        <v>7515</v>
      </c>
      <c r="D78" s="3">
        <v>46251.0</v>
      </c>
      <c r="E78" s="1" t="s">
        <v>11416</v>
      </c>
      <c r="F78" s="1" t="s">
        <v>11418</v>
      </c>
      <c r="G78" s="1" t="s">
        <v>11268</v>
      </c>
    </row>
    <row r="79">
      <c r="A79" s="1" t="s">
        <v>11420</v>
      </c>
      <c r="B79" s="1" t="s">
        <v>11422</v>
      </c>
      <c r="C79" s="1" t="s">
        <v>11424</v>
      </c>
      <c r="D79" s="3">
        <v>46287.0</v>
      </c>
      <c r="E79" s="1" t="s">
        <v>11425</v>
      </c>
      <c r="F79" s="1" t="s">
        <v>11427</v>
      </c>
      <c r="G79" s="1" t="s">
        <v>11428</v>
      </c>
    </row>
    <row r="80">
      <c r="A80" s="1" t="s">
        <v>11430</v>
      </c>
      <c r="B80" s="1" t="s">
        <v>11432</v>
      </c>
      <c r="C80" s="1" t="s">
        <v>11433</v>
      </c>
      <c r="D80" s="3">
        <v>46252.0</v>
      </c>
      <c r="E80" s="1" t="s">
        <v>11436</v>
      </c>
      <c r="F80" s="1" t="s">
        <v>11438</v>
      </c>
      <c r="G80" s="1" t="s">
        <v>11439</v>
      </c>
    </row>
    <row r="81">
      <c r="A81" s="1" t="s">
        <v>11440</v>
      </c>
      <c r="B81" s="1" t="s">
        <v>1381</v>
      </c>
      <c r="C81" s="1" t="s">
        <v>11442</v>
      </c>
      <c r="D81" s="3">
        <v>46294.0</v>
      </c>
      <c r="E81" s="1" t="s">
        <v>11445</v>
      </c>
      <c r="F81" s="1" t="s">
        <v>11447</v>
      </c>
      <c r="G81" s="1" t="s">
        <v>11448</v>
      </c>
    </row>
    <row r="82">
      <c r="A82" s="1" t="s">
        <v>11449</v>
      </c>
      <c r="B82" s="1" t="s">
        <v>31</v>
      </c>
      <c r="C82" s="1" t="s">
        <v>46</v>
      </c>
      <c r="D82" s="3">
        <v>46293.0</v>
      </c>
      <c r="E82" s="1" t="s">
        <v>11452</v>
      </c>
      <c r="F82" s="1" t="s">
        <v>11453</v>
      </c>
      <c r="G82" s="1" t="s">
        <v>10647</v>
      </c>
    </row>
    <row r="83">
      <c r="A83" s="1" t="s">
        <v>11456</v>
      </c>
      <c r="B83" s="1" t="s">
        <v>11458</v>
      </c>
      <c r="C83" s="1" t="s">
        <v>11271</v>
      </c>
      <c r="D83" s="3">
        <v>46290.0</v>
      </c>
      <c r="E83" s="1" t="s">
        <v>11459</v>
      </c>
      <c r="F83" s="1" t="s">
        <v>11460</v>
      </c>
      <c r="G83" s="1" t="s">
        <v>10500</v>
      </c>
    </row>
    <row r="84">
      <c r="A84" s="1" t="s">
        <v>11461</v>
      </c>
      <c r="B84" s="1" t="s">
        <v>11462</v>
      </c>
      <c r="C84" s="1" t="s">
        <v>3478</v>
      </c>
      <c r="D84" s="3">
        <v>46288.0</v>
      </c>
      <c r="E84" s="1" t="s">
        <v>11464</v>
      </c>
      <c r="F84" s="1" t="s">
        <v>11467</v>
      </c>
      <c r="G84" s="1" t="s">
        <v>11305</v>
      </c>
    </row>
    <row r="85">
      <c r="A85" s="1" t="s">
        <v>11469</v>
      </c>
      <c r="B85" s="1" t="s">
        <v>2271</v>
      </c>
      <c r="C85" s="1" t="s">
        <v>2379</v>
      </c>
      <c r="D85" s="3">
        <v>46293.0</v>
      </c>
      <c r="E85" s="1" t="s">
        <v>11473</v>
      </c>
      <c r="F85" s="1" t="s">
        <v>11474</v>
      </c>
      <c r="G85" s="1" t="s">
        <v>11475</v>
      </c>
    </row>
    <row r="86">
      <c r="A86" s="1" t="s">
        <v>11476</v>
      </c>
      <c r="B86" s="1" t="s">
        <v>11480</v>
      </c>
      <c r="C86" s="1" t="s">
        <v>11198</v>
      </c>
      <c r="D86" s="3">
        <v>46273.0</v>
      </c>
      <c r="E86" s="1" t="s">
        <v>11481</v>
      </c>
      <c r="F86" s="1" t="s">
        <v>11482</v>
      </c>
      <c r="G86" s="1" t="s">
        <v>10804</v>
      </c>
    </row>
    <row r="87">
      <c r="A87" s="1" t="s">
        <v>11484</v>
      </c>
      <c r="B87" s="1" t="s">
        <v>11485</v>
      </c>
      <c r="C87" s="1" t="s">
        <v>11486</v>
      </c>
      <c r="D87" s="3">
        <v>46290.0</v>
      </c>
      <c r="E87" s="1" t="s">
        <v>11487</v>
      </c>
      <c r="F87" s="1" t="s">
        <v>11488</v>
      </c>
      <c r="G87" s="1" t="s">
        <v>10730</v>
      </c>
    </row>
    <row r="88">
      <c r="A88" s="1" t="s">
        <v>11489</v>
      </c>
      <c r="B88" s="1" t="s">
        <v>2279</v>
      </c>
      <c r="C88" s="1" t="s">
        <v>1197</v>
      </c>
      <c r="D88" s="3">
        <v>46290.0</v>
      </c>
      <c r="E88" s="1" t="s">
        <v>11491</v>
      </c>
      <c r="F88" s="1" t="s">
        <v>11492</v>
      </c>
      <c r="G88" s="1" t="s">
        <v>10647</v>
      </c>
    </row>
    <row r="89">
      <c r="A89" s="1" t="s">
        <v>11493</v>
      </c>
      <c r="B89" s="1" t="s">
        <v>11495</v>
      </c>
      <c r="C89" s="1" t="s">
        <v>11496</v>
      </c>
      <c r="D89" s="3">
        <v>46275.0</v>
      </c>
      <c r="E89" s="1" t="s">
        <v>11497</v>
      </c>
      <c r="F89" s="1" t="s">
        <v>11498</v>
      </c>
      <c r="G89" s="1" t="s">
        <v>10621</v>
      </c>
    </row>
    <row r="90">
      <c r="A90" s="1" t="s">
        <v>11499</v>
      </c>
      <c r="B90" s="1" t="s">
        <v>1009</v>
      </c>
      <c r="C90" s="1" t="s">
        <v>11501</v>
      </c>
      <c r="D90" s="3">
        <v>46289.0</v>
      </c>
      <c r="E90" s="1" t="s">
        <v>11502</v>
      </c>
      <c r="F90" s="1" t="s">
        <v>11503</v>
      </c>
      <c r="G90" s="1" t="s">
        <v>11268</v>
      </c>
    </row>
    <row r="91">
      <c r="A91" s="1" t="s">
        <v>11504</v>
      </c>
      <c r="B91" s="1" t="s">
        <v>11505</v>
      </c>
      <c r="C91" s="1" t="s">
        <v>11496</v>
      </c>
      <c r="D91" s="3">
        <v>46275.0</v>
      </c>
      <c r="E91" s="1" t="s">
        <v>11507</v>
      </c>
      <c r="F91" s="1" t="s">
        <v>11508</v>
      </c>
      <c r="G91" s="1" t="s">
        <v>11509</v>
      </c>
    </row>
    <row r="92">
      <c r="A92" s="1" t="s">
        <v>11511</v>
      </c>
      <c r="B92" s="1" t="s">
        <v>1926</v>
      </c>
      <c r="C92" s="1" t="s">
        <v>603</v>
      </c>
      <c r="D92" s="3">
        <v>46293.0</v>
      </c>
      <c r="E92" s="1" t="s">
        <v>11514</v>
      </c>
      <c r="F92" s="1" t="s">
        <v>11515</v>
      </c>
      <c r="G92" s="1" t="s">
        <v>11517</v>
      </c>
    </row>
    <row r="93">
      <c r="A93" s="1" t="s">
        <v>11518</v>
      </c>
      <c r="B93" s="1" t="s">
        <v>11520</v>
      </c>
      <c r="C93" s="1" t="s">
        <v>726</v>
      </c>
      <c r="D93" s="3">
        <v>46293.0</v>
      </c>
      <c r="E93" s="1" t="s">
        <v>11522</v>
      </c>
      <c r="F93" s="1" t="s">
        <v>11524</v>
      </c>
      <c r="G93" s="1" t="s">
        <v>11224</v>
      </c>
    </row>
    <row r="94">
      <c r="A94" s="1" t="s">
        <v>11526</v>
      </c>
      <c r="B94" s="1" t="s">
        <v>11527</v>
      </c>
      <c r="C94" s="1" t="s">
        <v>11529</v>
      </c>
      <c r="D94" s="3">
        <v>46295.0</v>
      </c>
      <c r="E94" s="1" t="s">
        <v>11530</v>
      </c>
      <c r="F94" s="1" t="s">
        <v>11531</v>
      </c>
      <c r="G94" s="1" t="s">
        <v>11533</v>
      </c>
    </row>
    <row r="95">
      <c r="A95" s="1" t="s">
        <v>11535</v>
      </c>
      <c r="B95" s="1" t="s">
        <v>810</v>
      </c>
      <c r="C95" s="1" t="s">
        <v>11537</v>
      </c>
      <c r="D95" s="3">
        <v>46290.0</v>
      </c>
      <c r="E95" s="1" t="s">
        <v>11540</v>
      </c>
      <c r="F95" s="1" t="s">
        <v>11541</v>
      </c>
      <c r="G95" s="1" t="s">
        <v>11268</v>
      </c>
    </row>
    <row r="96">
      <c r="A96" s="1" t="s">
        <v>11543</v>
      </c>
      <c r="B96" s="1" t="s">
        <v>11545</v>
      </c>
      <c r="C96" s="1" t="s">
        <v>11547</v>
      </c>
      <c r="D96" s="3">
        <v>46293.0</v>
      </c>
      <c r="E96" s="1" t="s">
        <v>11551</v>
      </c>
      <c r="F96" s="1" t="s">
        <v>11552</v>
      </c>
      <c r="G96" s="1" t="s">
        <v>10701</v>
      </c>
    </row>
    <row r="97">
      <c r="A97" s="1" t="s">
        <v>11555</v>
      </c>
      <c r="B97" s="1" t="s">
        <v>11556</v>
      </c>
      <c r="C97" s="1" t="s">
        <v>11558</v>
      </c>
      <c r="D97" s="3">
        <v>46290.0</v>
      </c>
      <c r="E97" s="1" t="s">
        <v>11561</v>
      </c>
      <c r="F97" s="1" t="s">
        <v>11562</v>
      </c>
      <c r="G97" s="1" t="s">
        <v>11335</v>
      </c>
    </row>
    <row r="98">
      <c r="A98" s="1" t="s">
        <v>11566</v>
      </c>
      <c r="B98" s="1" t="s">
        <v>11567</v>
      </c>
      <c r="C98" s="1" t="s">
        <v>9635</v>
      </c>
      <c r="D98" s="3">
        <v>46288.0</v>
      </c>
      <c r="E98" s="1" t="s">
        <v>11572</v>
      </c>
      <c r="F98" s="1" t="s">
        <v>11573</v>
      </c>
      <c r="G98" s="1" t="s">
        <v>11574</v>
      </c>
    </row>
    <row r="99">
      <c r="A99" s="1" t="s">
        <v>11576</v>
      </c>
      <c r="B99" s="1" t="s">
        <v>11578</v>
      </c>
      <c r="C99" s="1" t="s">
        <v>1792</v>
      </c>
      <c r="D99" s="3">
        <v>46293.0</v>
      </c>
      <c r="E99" s="1" t="s">
        <v>11581</v>
      </c>
      <c r="F99" s="1" t="s">
        <v>11582</v>
      </c>
      <c r="G99" s="1" t="s">
        <v>11583</v>
      </c>
    </row>
    <row r="100">
      <c r="A100" s="1" t="s">
        <v>11585</v>
      </c>
      <c r="B100" s="1" t="s">
        <v>1947</v>
      </c>
      <c r="C100" s="1" t="s">
        <v>3214</v>
      </c>
      <c r="D100" s="3">
        <v>46288.0</v>
      </c>
      <c r="E100" s="1" t="s">
        <v>11587</v>
      </c>
      <c r="F100" s="1" t="s">
        <v>11588</v>
      </c>
      <c r="G100" s="1" t="s">
        <v>11589</v>
      </c>
    </row>
    <row r="101">
      <c r="A101" s="1" t="s">
        <v>11591</v>
      </c>
      <c r="B101" s="1" t="s">
        <v>482</v>
      </c>
      <c r="C101" s="1" t="s">
        <v>640</v>
      </c>
      <c r="D101" s="3">
        <v>46289.0</v>
      </c>
      <c r="E101" s="1" t="s">
        <v>11594</v>
      </c>
      <c r="F101" s="1" t="s">
        <v>11597</v>
      </c>
      <c r="G101" s="1" t="s">
        <v>11475</v>
      </c>
    </row>
    <row r="102">
      <c r="A102" s="1" t="s">
        <v>11598</v>
      </c>
      <c r="B102" s="1" t="s">
        <v>2739</v>
      </c>
      <c r="C102" s="1" t="s">
        <v>11599</v>
      </c>
      <c r="D102" s="3">
        <v>46282.0</v>
      </c>
      <c r="E102" s="1" t="s">
        <v>11603</v>
      </c>
      <c r="F102" s="1" t="s">
        <v>11604</v>
      </c>
      <c r="G102" s="1" t="s">
        <v>10610</v>
      </c>
    </row>
    <row r="103">
      <c r="A103" s="1" t="s">
        <v>11606</v>
      </c>
      <c r="B103" s="1" t="s">
        <v>11607</v>
      </c>
      <c r="C103" s="1" t="s">
        <v>1501</v>
      </c>
      <c r="D103" s="3">
        <v>46260.0</v>
      </c>
      <c r="E103" s="1" t="s">
        <v>11609</v>
      </c>
      <c r="F103" s="1" t="s">
        <v>11611</v>
      </c>
      <c r="G103" s="1" t="s">
        <v>10647</v>
      </c>
    </row>
    <row r="104">
      <c r="A104" s="1" t="s">
        <v>11614</v>
      </c>
      <c r="B104" s="1" t="s">
        <v>11616</v>
      </c>
      <c r="C104" s="1" t="s">
        <v>11617</v>
      </c>
      <c r="D104" s="3">
        <v>46292.0</v>
      </c>
      <c r="E104" s="1" t="s">
        <v>11618</v>
      </c>
      <c r="F104" s="1" t="s">
        <v>11619</v>
      </c>
      <c r="G104" s="1" t="s">
        <v>10804</v>
      </c>
    </row>
    <row r="105">
      <c r="A105" s="1" t="s">
        <v>11621</v>
      </c>
      <c r="B105" s="1" t="s">
        <v>1639</v>
      </c>
      <c r="C105" s="1" t="s">
        <v>11624</v>
      </c>
      <c r="D105" s="3">
        <v>46293.0</v>
      </c>
      <c r="E105" s="1" t="s">
        <v>11627</v>
      </c>
      <c r="F105" s="1" t="s">
        <v>11628</v>
      </c>
      <c r="G105" s="1" t="s">
        <v>11008</v>
      </c>
    </row>
    <row r="106">
      <c r="A106" s="1" t="s">
        <v>11630</v>
      </c>
      <c r="B106" s="1" t="s">
        <v>11632</v>
      </c>
      <c r="C106" s="1" t="s">
        <v>11633</v>
      </c>
      <c r="D106" s="3">
        <v>46244.0</v>
      </c>
      <c r="E106" s="1"/>
      <c r="F106" s="1" t="s">
        <v>11636</v>
      </c>
      <c r="G106" s="1" t="s">
        <v>11179</v>
      </c>
    </row>
    <row r="107">
      <c r="A107" s="1" t="s">
        <v>11638</v>
      </c>
      <c r="B107" s="1" t="s">
        <v>11639</v>
      </c>
      <c r="C107" s="1" t="s">
        <v>11640</v>
      </c>
      <c r="D107" s="3">
        <v>46286.0</v>
      </c>
      <c r="E107" s="1" t="s">
        <v>11642</v>
      </c>
      <c r="F107" s="1" t="s">
        <v>11643</v>
      </c>
      <c r="G107" s="1" t="s">
        <v>11645</v>
      </c>
    </row>
    <row r="108">
      <c r="A108" s="1" t="s">
        <v>11647</v>
      </c>
      <c r="B108" s="1" t="s">
        <v>11649</v>
      </c>
      <c r="C108" s="1" t="s">
        <v>11650</v>
      </c>
      <c r="D108" s="3">
        <v>46295.0</v>
      </c>
      <c r="E108" s="1" t="s">
        <v>11653</v>
      </c>
      <c r="F108" s="1" t="s">
        <v>11654</v>
      </c>
      <c r="G108" s="1" t="s">
        <v>11335</v>
      </c>
    </row>
    <row r="109">
      <c r="A109" s="1" t="s">
        <v>11655</v>
      </c>
      <c r="B109" s="1" t="s">
        <v>11658</v>
      </c>
      <c r="C109" s="1" t="s">
        <v>11660</v>
      </c>
      <c r="D109" s="3">
        <v>46267.0</v>
      </c>
      <c r="E109" s="1" t="s">
        <v>11662</v>
      </c>
      <c r="F109" s="1" t="s">
        <v>11664</v>
      </c>
      <c r="G109" s="1" t="s">
        <v>11665</v>
      </c>
    </row>
    <row r="110">
      <c r="A110" s="1" t="s">
        <v>11666</v>
      </c>
      <c r="B110" s="1" t="s">
        <v>53</v>
      </c>
      <c r="C110" s="1" t="s">
        <v>68</v>
      </c>
      <c r="D110" s="3">
        <v>46287.0</v>
      </c>
      <c r="E110" s="1" t="s">
        <v>11667</v>
      </c>
      <c r="F110" s="1" t="s">
        <v>11670</v>
      </c>
      <c r="G110" s="1" t="s">
        <v>10555</v>
      </c>
    </row>
    <row r="111">
      <c r="A111" s="1" t="s">
        <v>11672</v>
      </c>
      <c r="B111" s="1" t="s">
        <v>11674</v>
      </c>
      <c r="C111" s="1" t="s">
        <v>11675</v>
      </c>
      <c r="D111" s="3">
        <v>46290.0</v>
      </c>
      <c r="E111" s="1" t="s">
        <v>11676</v>
      </c>
      <c r="F111" s="1" t="s">
        <v>11678</v>
      </c>
      <c r="G111" s="1" t="s">
        <v>11680</v>
      </c>
    </row>
    <row r="112">
      <c r="A112" s="1" t="s">
        <v>11682</v>
      </c>
      <c r="B112" s="1" t="s">
        <v>11683</v>
      </c>
      <c r="C112" s="1" t="s">
        <v>11077</v>
      </c>
      <c r="D112" s="3">
        <v>46290.0</v>
      </c>
      <c r="E112" s="1" t="s">
        <v>11687</v>
      </c>
      <c r="F112" s="1" t="s">
        <v>11688</v>
      </c>
      <c r="G112" s="1" t="s">
        <v>10510</v>
      </c>
    </row>
    <row r="113">
      <c r="A113" s="1" t="s">
        <v>11691</v>
      </c>
      <c r="B113" s="1" t="s">
        <v>65</v>
      </c>
      <c r="C113" s="1" t="s">
        <v>11693</v>
      </c>
      <c r="D113" s="3">
        <v>46290.0</v>
      </c>
      <c r="E113" s="1" t="s">
        <v>11695</v>
      </c>
      <c r="F113" s="1" t="s">
        <v>11697</v>
      </c>
      <c r="G113" s="1" t="s">
        <v>10898</v>
      </c>
    </row>
    <row r="114">
      <c r="A114" s="1" t="s">
        <v>11699</v>
      </c>
      <c r="B114" s="1" t="s">
        <v>11701</v>
      </c>
      <c r="C114" s="1" t="s">
        <v>11704</v>
      </c>
      <c r="D114" s="3">
        <v>46251.0</v>
      </c>
      <c r="E114" s="1"/>
      <c r="F114" s="1" t="s">
        <v>11705</v>
      </c>
      <c r="G114" s="1" t="s">
        <v>10621</v>
      </c>
    </row>
    <row r="115">
      <c r="A115" s="1" t="s">
        <v>11707</v>
      </c>
      <c r="B115" s="1" t="s">
        <v>11708</v>
      </c>
      <c r="C115" s="1" t="s">
        <v>11709</v>
      </c>
      <c r="D115" s="3">
        <v>46293.0</v>
      </c>
      <c r="E115" s="1" t="s">
        <v>11712</v>
      </c>
      <c r="F115" s="1" t="s">
        <v>11714</v>
      </c>
      <c r="G115" s="1" t="s">
        <v>11448</v>
      </c>
    </row>
    <row r="116">
      <c r="A116" s="1" t="s">
        <v>11715</v>
      </c>
      <c r="B116" s="1" t="s">
        <v>53</v>
      </c>
      <c r="C116" s="1" t="s">
        <v>68</v>
      </c>
      <c r="D116" s="3">
        <v>46290.0</v>
      </c>
      <c r="E116" s="1" t="s">
        <v>11716</v>
      </c>
      <c r="F116" s="1" t="s">
        <v>11719</v>
      </c>
      <c r="G116" s="1" t="s">
        <v>10544</v>
      </c>
    </row>
    <row r="117">
      <c r="A117" s="1" t="s">
        <v>11721</v>
      </c>
      <c r="B117" s="1" t="s">
        <v>11722</v>
      </c>
      <c r="C117" s="1" t="s">
        <v>11271</v>
      </c>
      <c r="D117" s="3">
        <v>46290.0</v>
      </c>
      <c r="E117" s="1" t="s">
        <v>11724</v>
      </c>
      <c r="F117" s="1" t="s">
        <v>11725</v>
      </c>
      <c r="G117" s="1" t="s">
        <v>10555</v>
      </c>
    </row>
    <row r="118">
      <c r="A118" s="1" t="s">
        <v>11726</v>
      </c>
      <c r="B118" s="1" t="s">
        <v>11728</v>
      </c>
      <c r="C118" s="1" t="s">
        <v>11729</v>
      </c>
      <c r="D118" s="3">
        <v>46289.0</v>
      </c>
      <c r="E118" s="1" t="s">
        <v>11732</v>
      </c>
      <c r="F118" s="1" t="s">
        <v>11738</v>
      </c>
      <c r="G118" s="1" t="s">
        <v>11739</v>
      </c>
    </row>
    <row r="119">
      <c r="A119" s="1" t="s">
        <v>11741</v>
      </c>
      <c r="B119" s="1" t="s">
        <v>11742</v>
      </c>
      <c r="C119" s="1" t="s">
        <v>11743</v>
      </c>
      <c r="D119" s="3">
        <v>46292.0</v>
      </c>
      <c r="E119" s="1" t="s">
        <v>11744</v>
      </c>
      <c r="F119" s="1" t="s">
        <v>11746</v>
      </c>
      <c r="G119" s="1" t="s">
        <v>10621</v>
      </c>
    </row>
    <row r="120">
      <c r="A120" s="1" t="s">
        <v>11748</v>
      </c>
      <c r="B120" s="1" t="s">
        <v>11749</v>
      </c>
      <c r="C120" s="1" t="s">
        <v>1760</v>
      </c>
      <c r="D120" s="3">
        <v>46266.0</v>
      </c>
      <c r="E120" s="1" t="s">
        <v>11752</v>
      </c>
      <c r="F120" s="1" t="s">
        <v>11753</v>
      </c>
      <c r="G120" s="1" t="s">
        <v>10898</v>
      </c>
    </row>
    <row r="121">
      <c r="A121" s="1" t="s">
        <v>11754</v>
      </c>
      <c r="B121" s="1" t="s">
        <v>11756</v>
      </c>
      <c r="C121" s="1" t="s">
        <v>1760</v>
      </c>
      <c r="D121" s="3">
        <v>46266.0</v>
      </c>
      <c r="E121" s="1" t="s">
        <v>11760</v>
      </c>
      <c r="F121" s="1" t="s">
        <v>11763</v>
      </c>
      <c r="G121" s="1" t="s">
        <v>11764</v>
      </c>
    </row>
    <row r="122">
      <c r="A122" s="1" t="s">
        <v>11765</v>
      </c>
      <c r="B122" s="1" t="s">
        <v>11766</v>
      </c>
      <c r="C122" s="1" t="s">
        <v>11767</v>
      </c>
      <c r="D122" s="3">
        <v>46293.0</v>
      </c>
      <c r="E122" s="1" t="s">
        <v>11771</v>
      </c>
      <c r="F122" s="1" t="s">
        <v>11773</v>
      </c>
      <c r="G122" s="1" t="s">
        <v>10555</v>
      </c>
    </row>
    <row r="123">
      <c r="A123" s="1" t="s">
        <v>11774</v>
      </c>
      <c r="B123" s="1" t="s">
        <v>11775</v>
      </c>
      <c r="C123" s="1" t="s">
        <v>11776</v>
      </c>
      <c r="D123" s="3">
        <v>46293.0</v>
      </c>
      <c r="E123" s="1" t="s">
        <v>11777</v>
      </c>
      <c r="F123" s="1" t="s">
        <v>11779</v>
      </c>
      <c r="G123" s="1" t="s">
        <v>11780</v>
      </c>
    </row>
    <row r="124">
      <c r="A124" s="1" t="s">
        <v>11781</v>
      </c>
      <c r="B124" s="1" t="s">
        <v>1139</v>
      </c>
      <c r="C124" s="1" t="s">
        <v>1149</v>
      </c>
      <c r="D124" s="3">
        <v>46276.0</v>
      </c>
      <c r="E124" s="1" t="s">
        <v>11787</v>
      </c>
      <c r="F124" s="1" t="s">
        <v>11788</v>
      </c>
      <c r="G124" s="1" t="s">
        <v>10510</v>
      </c>
    </row>
    <row r="125">
      <c r="A125" s="1" t="s">
        <v>11790</v>
      </c>
      <c r="B125" s="1" t="s">
        <v>11791</v>
      </c>
      <c r="C125" s="1" t="s">
        <v>11793</v>
      </c>
      <c r="D125" s="3">
        <v>46283.0</v>
      </c>
      <c r="E125" s="1" t="s">
        <v>11797</v>
      </c>
      <c r="F125" s="1" t="s">
        <v>11798</v>
      </c>
      <c r="G125" s="1" t="s">
        <v>11799</v>
      </c>
    </row>
    <row r="126">
      <c r="A126" s="1" t="s">
        <v>11800</v>
      </c>
      <c r="B126" s="1" t="s">
        <v>11801</v>
      </c>
      <c r="C126" s="1" t="s">
        <v>11803</v>
      </c>
      <c r="D126" s="3">
        <v>46288.0</v>
      </c>
      <c r="E126" s="1" t="s">
        <v>11804</v>
      </c>
      <c r="F126" s="1" t="s">
        <v>11806</v>
      </c>
      <c r="G126" s="1" t="s">
        <v>11808</v>
      </c>
    </row>
    <row r="127">
      <c r="A127" s="1" t="s">
        <v>11809</v>
      </c>
      <c r="B127" s="1" t="s">
        <v>11810</v>
      </c>
      <c r="C127" s="1" t="s">
        <v>2590</v>
      </c>
      <c r="D127" s="3">
        <v>46288.0</v>
      </c>
      <c r="E127" s="1" t="s">
        <v>11812</v>
      </c>
      <c r="F127" s="1" t="s">
        <v>11814</v>
      </c>
      <c r="G127" s="1" t="s">
        <v>11335</v>
      </c>
    </row>
    <row r="128">
      <c r="A128" s="1" t="s">
        <v>11816</v>
      </c>
      <c r="B128" s="1" t="s">
        <v>11819</v>
      </c>
      <c r="C128" s="1" t="s">
        <v>11820</v>
      </c>
      <c r="D128" s="3">
        <v>46288.0</v>
      </c>
      <c r="E128" s="1" t="s">
        <v>11821</v>
      </c>
      <c r="F128" s="1" t="s">
        <v>11824</v>
      </c>
      <c r="G128" s="1" t="s">
        <v>11825</v>
      </c>
    </row>
    <row r="129">
      <c r="A129" s="1" t="s">
        <v>11829</v>
      </c>
      <c r="B129" s="1" t="s">
        <v>487</v>
      </c>
      <c r="C129" s="1" t="s">
        <v>4003</v>
      </c>
      <c r="D129" s="3">
        <v>46295.0</v>
      </c>
      <c r="E129" s="1" t="s">
        <v>11832</v>
      </c>
      <c r="F129" s="1" t="s">
        <v>11833</v>
      </c>
      <c r="G129" s="1" t="s">
        <v>11834</v>
      </c>
    </row>
    <row r="130">
      <c r="A130" s="1" t="s">
        <v>11836</v>
      </c>
      <c r="B130" s="1" t="s">
        <v>11839</v>
      </c>
      <c r="C130" s="1" t="s">
        <v>11840</v>
      </c>
      <c r="D130" s="3">
        <v>46289.0</v>
      </c>
      <c r="E130" s="1" t="s">
        <v>11841</v>
      </c>
      <c r="F130" s="1" t="s">
        <v>11843</v>
      </c>
      <c r="G130" s="1" t="s">
        <v>10647</v>
      </c>
    </row>
    <row r="131">
      <c r="A131" s="1" t="s">
        <v>11844</v>
      </c>
      <c r="B131" s="1" t="s">
        <v>1169</v>
      </c>
      <c r="C131" s="1" t="s">
        <v>11846</v>
      </c>
      <c r="D131" s="3">
        <v>46294.0</v>
      </c>
      <c r="E131" s="1" t="s">
        <v>11848</v>
      </c>
      <c r="F131" s="1" t="s">
        <v>11850</v>
      </c>
      <c r="G131" s="1" t="s">
        <v>11179</v>
      </c>
    </row>
    <row r="132">
      <c r="A132" s="1" t="s">
        <v>11852</v>
      </c>
      <c r="B132" s="1" t="s">
        <v>11853</v>
      </c>
      <c r="C132" s="1" t="s">
        <v>11854</v>
      </c>
      <c r="D132" s="3">
        <v>46294.0</v>
      </c>
      <c r="E132" s="1" t="s">
        <v>11857</v>
      </c>
      <c r="F132" s="1" t="s">
        <v>11858</v>
      </c>
      <c r="G132" s="1" t="s">
        <v>11439</v>
      </c>
    </row>
    <row r="133">
      <c r="A133" s="1" t="s">
        <v>11860</v>
      </c>
      <c r="B133" s="1" t="s">
        <v>11861</v>
      </c>
      <c r="C133" s="1" t="s">
        <v>11862</v>
      </c>
      <c r="D133" s="3">
        <v>46290.0</v>
      </c>
      <c r="E133" s="1" t="s">
        <v>11866</v>
      </c>
      <c r="F133" s="1" t="s">
        <v>11868</v>
      </c>
      <c r="G133" s="1" t="s">
        <v>11869</v>
      </c>
    </row>
    <row r="134">
      <c r="A134" s="1" t="s">
        <v>11871</v>
      </c>
      <c r="B134" s="1" t="s">
        <v>11872</v>
      </c>
      <c r="C134" s="1" t="s">
        <v>11873</v>
      </c>
      <c r="D134" s="3">
        <v>46289.0</v>
      </c>
      <c r="E134" s="1" t="s">
        <v>11875</v>
      </c>
      <c r="F134" s="1" t="s">
        <v>11877</v>
      </c>
      <c r="G134" s="1" t="s">
        <v>10610</v>
      </c>
    </row>
    <row r="135">
      <c r="A135" s="1" t="s">
        <v>11880</v>
      </c>
      <c r="B135" s="1" t="s">
        <v>11881</v>
      </c>
      <c r="C135" s="1" t="s">
        <v>11882</v>
      </c>
      <c r="D135" s="3">
        <v>46293.0</v>
      </c>
      <c r="E135" s="1" t="s">
        <v>11884</v>
      </c>
      <c r="F135" s="1" t="s">
        <v>11885</v>
      </c>
      <c r="G135" s="1" t="s">
        <v>11887</v>
      </c>
    </row>
    <row r="136">
      <c r="A136" s="1" t="s">
        <v>11889</v>
      </c>
      <c r="B136" s="1" t="s">
        <v>11890</v>
      </c>
      <c r="C136" s="1" t="s">
        <v>11892</v>
      </c>
      <c r="D136" s="3">
        <v>46290.0</v>
      </c>
      <c r="E136" s="1" t="s">
        <v>11894</v>
      </c>
      <c r="F136" s="1" t="s">
        <v>11895</v>
      </c>
      <c r="G136" s="1" t="s">
        <v>10647</v>
      </c>
    </row>
    <row r="137">
      <c r="A137" s="1" t="s">
        <v>11897</v>
      </c>
      <c r="B137" s="1" t="s">
        <v>11899</v>
      </c>
      <c r="C137" s="1" t="s">
        <v>11901</v>
      </c>
      <c r="D137" s="3">
        <v>46294.0</v>
      </c>
      <c r="E137" s="1" t="s">
        <v>11902</v>
      </c>
      <c r="F137" s="1" t="s">
        <v>11904</v>
      </c>
      <c r="G137" s="1" t="s">
        <v>11906</v>
      </c>
    </row>
    <row r="138">
      <c r="A138" s="1" t="s">
        <v>11907</v>
      </c>
      <c r="B138" s="1" t="s">
        <v>11909</v>
      </c>
      <c r="C138" s="1" t="s">
        <v>11910</v>
      </c>
      <c r="D138" s="3">
        <v>46293.0</v>
      </c>
      <c r="E138" s="1" t="s">
        <v>11911</v>
      </c>
      <c r="F138" s="1" t="s">
        <v>11914</v>
      </c>
      <c r="G138" s="1" t="s">
        <v>10621</v>
      </c>
    </row>
    <row r="139">
      <c r="A139" s="1" t="s">
        <v>11916</v>
      </c>
      <c r="B139" s="1" t="s">
        <v>11918</v>
      </c>
      <c r="C139" s="1" t="s">
        <v>11919</v>
      </c>
      <c r="D139" s="3">
        <v>46267.0</v>
      </c>
      <c r="E139" s="1"/>
      <c r="F139" s="1" t="s">
        <v>11921</v>
      </c>
      <c r="G139" s="1" t="s">
        <v>10610</v>
      </c>
    </row>
    <row r="140">
      <c r="A140" s="1" t="s">
        <v>11922</v>
      </c>
      <c r="B140" s="1" t="s">
        <v>11924</v>
      </c>
      <c r="C140" s="1" t="s">
        <v>11925</v>
      </c>
      <c r="D140" s="3">
        <v>46294.0</v>
      </c>
      <c r="E140" s="1" t="s">
        <v>11926</v>
      </c>
      <c r="F140" s="1" t="s">
        <v>11930</v>
      </c>
      <c r="G140" s="1" t="s">
        <v>11216</v>
      </c>
    </row>
    <row r="141">
      <c r="A141" s="1" t="s">
        <v>11932</v>
      </c>
      <c r="B141" s="1" t="s">
        <v>11933</v>
      </c>
      <c r="C141" s="1" t="s">
        <v>11935</v>
      </c>
      <c r="D141" s="3">
        <v>46287.0</v>
      </c>
      <c r="E141" s="1" t="s">
        <v>11939</v>
      </c>
      <c r="F141" s="1" t="s">
        <v>11940</v>
      </c>
      <c r="G141" s="1" t="s">
        <v>11942</v>
      </c>
    </row>
    <row r="142">
      <c r="A142" s="1" t="s">
        <v>11943</v>
      </c>
      <c r="B142" s="1" t="s">
        <v>11944</v>
      </c>
      <c r="C142" s="1" t="s">
        <v>11862</v>
      </c>
      <c r="D142" s="3">
        <v>46295.0</v>
      </c>
      <c r="E142" s="1" t="s">
        <v>11946</v>
      </c>
      <c r="F142" s="1" t="s">
        <v>11947</v>
      </c>
      <c r="G142" s="1" t="s">
        <v>10717</v>
      </c>
    </row>
    <row r="143">
      <c r="A143" s="1" t="s">
        <v>11950</v>
      </c>
      <c r="B143" s="1" t="s">
        <v>11952</v>
      </c>
      <c r="C143" s="1" t="s">
        <v>2452</v>
      </c>
      <c r="D143" s="3">
        <v>46290.0</v>
      </c>
      <c r="E143" s="1" t="s">
        <v>11954</v>
      </c>
      <c r="F143" s="1" t="s">
        <v>11957</v>
      </c>
      <c r="G143" s="1" t="s">
        <v>11008</v>
      </c>
    </row>
    <row r="144">
      <c r="A144" s="1" t="s">
        <v>11960</v>
      </c>
      <c r="B144" s="1" t="s">
        <v>11961</v>
      </c>
      <c r="C144" s="1" t="s">
        <v>11962</v>
      </c>
      <c r="D144" s="3">
        <v>46271.0</v>
      </c>
      <c r="E144" s="1"/>
      <c r="F144" s="1" t="s">
        <v>11965</v>
      </c>
      <c r="G144" s="1" t="s">
        <v>11268</v>
      </c>
    </row>
    <row r="145">
      <c r="A145" s="1" t="s">
        <v>11966</v>
      </c>
      <c r="B145" s="1" t="s">
        <v>2160</v>
      </c>
      <c r="C145" s="1" t="s">
        <v>2162</v>
      </c>
      <c r="D145" s="3">
        <v>46293.0</v>
      </c>
      <c r="E145" s="1" t="s">
        <v>11969</v>
      </c>
      <c r="F145" s="1" t="s">
        <v>11970</v>
      </c>
      <c r="G145" s="1" t="s">
        <v>11972</v>
      </c>
    </row>
    <row r="146">
      <c r="A146" s="1" t="s">
        <v>11974</v>
      </c>
      <c r="B146" s="1" t="s">
        <v>2756</v>
      </c>
      <c r="C146" s="1" t="s">
        <v>304</v>
      </c>
      <c r="D146" s="3">
        <v>46287.0</v>
      </c>
      <c r="E146" s="1" t="s">
        <v>11976</v>
      </c>
      <c r="F146" s="1" t="s">
        <v>11977</v>
      </c>
      <c r="G146" s="1" t="s">
        <v>11475</v>
      </c>
    </row>
    <row r="147">
      <c r="A147" s="1" t="s">
        <v>11978</v>
      </c>
      <c r="B147" s="1" t="s">
        <v>11980</v>
      </c>
      <c r="C147" s="1" t="s">
        <v>11982</v>
      </c>
      <c r="D147" s="3">
        <v>46295.0</v>
      </c>
      <c r="E147" s="1" t="s">
        <v>11987</v>
      </c>
      <c r="F147" s="1" t="s">
        <v>11988</v>
      </c>
      <c r="G147" s="1" t="s">
        <v>10621</v>
      </c>
    </row>
    <row r="148">
      <c r="A148" s="1" t="s">
        <v>11990</v>
      </c>
      <c r="B148" s="1" t="s">
        <v>11992</v>
      </c>
      <c r="C148" s="1" t="s">
        <v>11993</v>
      </c>
      <c r="D148" s="3">
        <v>46294.0</v>
      </c>
      <c r="E148" s="1" t="s">
        <v>11996</v>
      </c>
      <c r="F148" s="1" t="s">
        <v>11998</v>
      </c>
      <c r="G148" s="1" t="s">
        <v>11645</v>
      </c>
    </row>
    <row r="149">
      <c r="A149" s="1" t="s">
        <v>12002</v>
      </c>
      <c r="B149" s="1" t="s">
        <v>12003</v>
      </c>
      <c r="C149" s="1" t="s">
        <v>12005</v>
      </c>
      <c r="D149" s="3">
        <v>46274.0</v>
      </c>
      <c r="E149" s="1"/>
      <c r="F149" s="1" t="s">
        <v>12006</v>
      </c>
      <c r="G149" s="1" t="s">
        <v>10500</v>
      </c>
    </row>
    <row r="150">
      <c r="A150" s="1" t="s">
        <v>12008</v>
      </c>
      <c r="B150" s="1" t="s">
        <v>12009</v>
      </c>
      <c r="C150" s="1" t="s">
        <v>9635</v>
      </c>
      <c r="D150" s="3">
        <v>46288.0</v>
      </c>
      <c r="E150" s="1" t="s">
        <v>12011</v>
      </c>
      <c r="F150" s="1" t="s">
        <v>12013</v>
      </c>
      <c r="G150" s="1" t="s">
        <v>12015</v>
      </c>
    </row>
    <row r="151">
      <c r="A151" s="1" t="s">
        <v>12016</v>
      </c>
      <c r="B151" s="1" t="s">
        <v>2096</v>
      </c>
      <c r="C151" s="1" t="s">
        <v>3830</v>
      </c>
      <c r="D151" s="3">
        <v>46287.0</v>
      </c>
      <c r="E151" s="1" t="s">
        <v>12018</v>
      </c>
      <c r="F151" s="1" t="s">
        <v>12021</v>
      </c>
      <c r="G151" s="1" t="s">
        <v>11972</v>
      </c>
    </row>
    <row r="152">
      <c r="A152" s="1" t="s">
        <v>12022</v>
      </c>
      <c r="B152" s="1" t="s">
        <v>12024</v>
      </c>
      <c r="C152" s="1" t="s">
        <v>12025</v>
      </c>
      <c r="D152" s="3">
        <v>46294.0</v>
      </c>
      <c r="E152" s="1" t="s">
        <v>12027</v>
      </c>
      <c r="F152" s="1" t="s">
        <v>12029</v>
      </c>
      <c r="G152" s="1" t="s">
        <v>10621</v>
      </c>
    </row>
    <row r="153">
      <c r="A153" s="1" t="s">
        <v>12030</v>
      </c>
      <c r="B153" s="1" t="s">
        <v>12031</v>
      </c>
      <c r="C153" s="1" t="s">
        <v>3757</v>
      </c>
      <c r="D153" s="3">
        <v>46293.0</v>
      </c>
      <c r="E153" s="1" t="s">
        <v>12033</v>
      </c>
      <c r="F153" s="1" t="s">
        <v>12034</v>
      </c>
      <c r="G153" s="1" t="s">
        <v>11439</v>
      </c>
    </row>
    <row r="154">
      <c r="A154" s="1" t="s">
        <v>12036</v>
      </c>
      <c r="B154" s="1" t="s">
        <v>12037</v>
      </c>
      <c r="C154" s="1" t="s">
        <v>12039</v>
      </c>
      <c r="D154" s="3">
        <v>46294.0</v>
      </c>
      <c r="E154" s="1" t="s">
        <v>12040</v>
      </c>
      <c r="F154" s="1" t="s">
        <v>12042</v>
      </c>
      <c r="G154" s="1" t="s">
        <v>11887</v>
      </c>
    </row>
    <row r="155">
      <c r="A155" s="1" t="s">
        <v>12043</v>
      </c>
      <c r="B155" s="1" t="s">
        <v>794</v>
      </c>
      <c r="C155" s="1" t="s">
        <v>183</v>
      </c>
      <c r="D155" s="3">
        <v>46292.0</v>
      </c>
      <c r="E155" s="1" t="s">
        <v>12048</v>
      </c>
      <c r="F155" s="1" t="s">
        <v>12050</v>
      </c>
      <c r="G155" s="1" t="s">
        <v>10647</v>
      </c>
    </row>
    <row r="156">
      <c r="A156" s="1" t="s">
        <v>12051</v>
      </c>
      <c r="B156" s="1" t="s">
        <v>12052</v>
      </c>
      <c r="C156" s="1" t="s">
        <v>12053</v>
      </c>
      <c r="D156" s="3">
        <v>46292.0</v>
      </c>
      <c r="E156" s="1" t="s">
        <v>12055</v>
      </c>
      <c r="F156" s="1" t="s">
        <v>12056</v>
      </c>
      <c r="G156" s="1" t="s">
        <v>12058</v>
      </c>
    </row>
    <row r="157">
      <c r="A157" s="1" t="s">
        <v>12061</v>
      </c>
      <c r="B157" s="1" t="s">
        <v>12062</v>
      </c>
      <c r="C157" s="1" t="s">
        <v>12063</v>
      </c>
      <c r="D157" s="3">
        <v>46280.0</v>
      </c>
      <c r="E157" s="1"/>
      <c r="F157" s="1" t="s">
        <v>12067</v>
      </c>
      <c r="G157" s="1" t="s">
        <v>10647</v>
      </c>
    </row>
    <row r="158">
      <c r="A158" s="1" t="s">
        <v>12069</v>
      </c>
      <c r="B158" s="1" t="s">
        <v>12071</v>
      </c>
      <c r="C158" s="1" t="s">
        <v>12072</v>
      </c>
      <c r="D158" s="3">
        <v>46290.0</v>
      </c>
      <c r="E158" s="1" t="s">
        <v>12073</v>
      </c>
      <c r="F158" s="1" t="s">
        <v>12075</v>
      </c>
      <c r="G158" s="1" t="s">
        <v>10804</v>
      </c>
    </row>
    <row r="159">
      <c r="A159" s="1" t="s">
        <v>12077</v>
      </c>
      <c r="B159" s="1" t="s">
        <v>12078</v>
      </c>
      <c r="C159" s="1" t="s">
        <v>12081</v>
      </c>
      <c r="D159" s="3">
        <v>46293.0</v>
      </c>
      <c r="E159" s="1" t="s">
        <v>12083</v>
      </c>
      <c r="F159" s="1" t="s">
        <v>12084</v>
      </c>
      <c r="G159" s="1" t="s">
        <v>10555</v>
      </c>
    </row>
    <row r="160">
      <c r="A160" s="1" t="s">
        <v>12087</v>
      </c>
      <c r="B160" s="1" t="s">
        <v>12089</v>
      </c>
      <c r="C160" s="1" t="s">
        <v>3007</v>
      </c>
      <c r="D160" s="3">
        <v>46293.0</v>
      </c>
      <c r="E160" s="1" t="s">
        <v>12093</v>
      </c>
      <c r="F160" s="1" t="s">
        <v>12098</v>
      </c>
      <c r="G160" s="1" t="s">
        <v>11739</v>
      </c>
    </row>
    <row r="161">
      <c r="A161" s="1" t="s">
        <v>12100</v>
      </c>
      <c r="B161" s="1" t="s">
        <v>12102</v>
      </c>
      <c r="C161" s="1" t="s">
        <v>12104</v>
      </c>
      <c r="D161" s="3">
        <v>46293.0</v>
      </c>
      <c r="E161" s="1" t="s">
        <v>12106</v>
      </c>
      <c r="F161" s="1" t="s">
        <v>12107</v>
      </c>
      <c r="G161" s="1" t="s">
        <v>10898</v>
      </c>
    </row>
    <row r="162">
      <c r="A162" s="1" t="s">
        <v>12110</v>
      </c>
      <c r="B162" s="1" t="s">
        <v>12113</v>
      </c>
      <c r="C162" s="1" t="s">
        <v>12114</v>
      </c>
      <c r="D162" s="3">
        <v>46282.0</v>
      </c>
      <c r="E162" s="1"/>
      <c r="F162" s="1" t="s">
        <v>12120</v>
      </c>
      <c r="G162" s="1" t="s">
        <v>11179</v>
      </c>
    </row>
    <row r="163">
      <c r="A163" s="1" t="s">
        <v>12122</v>
      </c>
      <c r="B163" s="1" t="s">
        <v>2561</v>
      </c>
      <c r="C163" s="1" t="s">
        <v>2952</v>
      </c>
      <c r="D163" s="3">
        <v>46293.0</v>
      </c>
      <c r="E163" s="1" t="s">
        <v>12123</v>
      </c>
      <c r="F163" s="1" t="s">
        <v>12124</v>
      </c>
      <c r="G163" s="1" t="s">
        <v>10621</v>
      </c>
    </row>
    <row r="164">
      <c r="A164" s="1" t="s">
        <v>12125</v>
      </c>
      <c r="B164" s="1" t="s">
        <v>12127</v>
      </c>
      <c r="C164" s="1" t="s">
        <v>12128</v>
      </c>
      <c r="D164" s="3">
        <v>46295.0</v>
      </c>
      <c r="E164" s="1" t="s">
        <v>12131</v>
      </c>
      <c r="F164" s="1" t="s">
        <v>12133</v>
      </c>
      <c r="G164" s="1" t="s">
        <v>10621</v>
      </c>
    </row>
    <row r="165">
      <c r="A165" s="1" t="s">
        <v>12135</v>
      </c>
      <c r="B165" s="1" t="s">
        <v>12137</v>
      </c>
      <c r="C165" s="1" t="s">
        <v>12138</v>
      </c>
      <c r="D165" s="3">
        <v>46294.0</v>
      </c>
      <c r="E165" s="1" t="s">
        <v>12141</v>
      </c>
      <c r="F165" s="1" t="s">
        <v>12143</v>
      </c>
      <c r="G165" s="1" t="s">
        <v>10730</v>
      </c>
    </row>
    <row r="166">
      <c r="A166" s="1" t="s">
        <v>12145</v>
      </c>
      <c r="B166" s="1" t="s">
        <v>12147</v>
      </c>
      <c r="C166" s="1" t="s">
        <v>11910</v>
      </c>
      <c r="D166" s="3">
        <v>46283.0</v>
      </c>
      <c r="E166" s="1"/>
      <c r="F166" s="1" t="s">
        <v>12152</v>
      </c>
      <c r="G166" s="1" t="s">
        <v>11268</v>
      </c>
    </row>
    <row r="167">
      <c r="A167" s="1" t="s">
        <v>12154</v>
      </c>
      <c r="B167" s="1" t="s">
        <v>12156</v>
      </c>
      <c r="C167" s="1" t="s">
        <v>2409</v>
      </c>
      <c r="D167" s="3">
        <v>46283.0</v>
      </c>
      <c r="E167" s="1"/>
      <c r="F167" s="1" t="s">
        <v>12159</v>
      </c>
      <c r="G167" s="1" t="s">
        <v>10647</v>
      </c>
    </row>
    <row r="168">
      <c r="A168" s="1" t="s">
        <v>12160</v>
      </c>
      <c r="B168" s="1" t="s">
        <v>12165</v>
      </c>
      <c r="C168" s="1" t="s">
        <v>12167</v>
      </c>
      <c r="D168" s="3">
        <v>46295.0</v>
      </c>
      <c r="E168" s="1" t="s">
        <v>12170</v>
      </c>
      <c r="F168" s="1" t="s">
        <v>12171</v>
      </c>
      <c r="G168" s="1" t="s">
        <v>11475</v>
      </c>
    </row>
    <row r="169">
      <c r="A169" s="1" t="s">
        <v>12173</v>
      </c>
      <c r="B169" s="1" t="s">
        <v>12174</v>
      </c>
      <c r="C169" s="1" t="s">
        <v>12175</v>
      </c>
      <c r="D169" s="3">
        <v>46286.0</v>
      </c>
      <c r="E169" s="1"/>
      <c r="F169" s="1" t="s">
        <v>12178</v>
      </c>
      <c r="G169" s="1" t="s">
        <v>12179</v>
      </c>
    </row>
    <row r="170">
      <c r="A170" s="1" t="s">
        <v>12182</v>
      </c>
      <c r="B170" s="1" t="s">
        <v>12184</v>
      </c>
      <c r="C170" s="1" t="s">
        <v>12186</v>
      </c>
      <c r="D170" s="3">
        <v>46295.0</v>
      </c>
      <c r="E170" s="1" t="s">
        <v>12189</v>
      </c>
      <c r="F170" s="1" t="s">
        <v>12191</v>
      </c>
      <c r="G170" s="1" t="s">
        <v>10942</v>
      </c>
    </row>
    <row r="171">
      <c r="A171" s="1" t="s">
        <v>12196</v>
      </c>
      <c r="B171" s="1" t="s">
        <v>12198</v>
      </c>
      <c r="C171" s="1" t="s">
        <v>12199</v>
      </c>
      <c r="D171" s="3">
        <v>46295.0</v>
      </c>
      <c r="E171" s="1" t="s">
        <v>12201</v>
      </c>
      <c r="F171" s="1" t="s">
        <v>12204</v>
      </c>
      <c r="G171" s="1" t="s">
        <v>10755</v>
      </c>
    </row>
    <row r="172">
      <c r="A172" s="1" t="s">
        <v>12206</v>
      </c>
      <c r="B172" s="1" t="s">
        <v>1706</v>
      </c>
      <c r="C172" s="1" t="s">
        <v>726</v>
      </c>
      <c r="D172" s="3">
        <v>46286.0</v>
      </c>
      <c r="E172" s="1"/>
      <c r="F172" s="1" t="s">
        <v>12211</v>
      </c>
      <c r="G172" s="1" t="s">
        <v>11680</v>
      </c>
    </row>
    <row r="173">
      <c r="A173" s="1" t="s">
        <v>12213</v>
      </c>
      <c r="B173" s="1" t="s">
        <v>12214</v>
      </c>
      <c r="C173" s="1" t="s">
        <v>3566</v>
      </c>
      <c r="D173" s="3">
        <v>46287.0</v>
      </c>
      <c r="E173" s="1"/>
      <c r="F173" s="1" t="s">
        <v>12220</v>
      </c>
      <c r="G173" s="1" t="s">
        <v>10647</v>
      </c>
    </row>
    <row r="174">
      <c r="A174" s="1" t="s">
        <v>12223</v>
      </c>
      <c r="B174" s="1" t="s">
        <v>12225</v>
      </c>
      <c r="C174" s="1" t="s">
        <v>12226</v>
      </c>
      <c r="D174" s="3">
        <v>46288.0</v>
      </c>
      <c r="E174" s="1" t="s">
        <v>12229</v>
      </c>
      <c r="F174" s="1" t="s">
        <v>12230</v>
      </c>
      <c r="G174" s="1" t="s">
        <v>12234</v>
      </c>
    </row>
    <row r="175">
      <c r="A175" s="1" t="s">
        <v>12237</v>
      </c>
      <c r="B175" s="1" t="s">
        <v>12238</v>
      </c>
      <c r="C175" s="1" t="s">
        <v>12241</v>
      </c>
      <c r="D175" s="3">
        <v>46288.0</v>
      </c>
      <c r="E175" s="1"/>
      <c r="F175" s="1" t="s">
        <v>12244</v>
      </c>
      <c r="G175" s="1" t="s">
        <v>11972</v>
      </c>
    </row>
    <row r="176">
      <c r="A176" s="1" t="s">
        <v>12247</v>
      </c>
      <c r="B176" s="1" t="s">
        <v>12248</v>
      </c>
      <c r="C176" s="1" t="s">
        <v>12249</v>
      </c>
      <c r="D176" s="3">
        <v>46289.0</v>
      </c>
      <c r="E176" s="1" t="s">
        <v>12251</v>
      </c>
      <c r="F176" s="1" t="s">
        <v>12252</v>
      </c>
      <c r="G176" s="1" t="s">
        <v>12253</v>
      </c>
    </row>
    <row r="177">
      <c r="A177" s="1" t="s">
        <v>12255</v>
      </c>
      <c r="B177" s="1" t="s">
        <v>12256</v>
      </c>
      <c r="C177" s="1" t="s">
        <v>12257</v>
      </c>
      <c r="D177" s="3">
        <v>46290.0</v>
      </c>
      <c r="E177" s="1"/>
      <c r="F177" s="1" t="s">
        <v>12258</v>
      </c>
      <c r="G177" s="1" t="s">
        <v>10621</v>
      </c>
    </row>
    <row r="178">
      <c r="A178" s="1" t="s">
        <v>12261</v>
      </c>
      <c r="B178" s="1" t="s">
        <v>12263</v>
      </c>
      <c r="C178" s="1" t="s">
        <v>134</v>
      </c>
      <c r="D178" s="3">
        <v>46290.0</v>
      </c>
      <c r="E178" s="1"/>
      <c r="F178" s="1" t="s">
        <v>12268</v>
      </c>
      <c r="G178" s="1" t="s">
        <v>11739</v>
      </c>
    </row>
    <row r="179">
      <c r="A179" s="1" t="s">
        <v>12271</v>
      </c>
      <c r="B179" s="1" t="s">
        <v>2817</v>
      </c>
      <c r="C179" s="1" t="s">
        <v>12274</v>
      </c>
      <c r="D179" s="3">
        <v>46290.0</v>
      </c>
      <c r="E179" s="1"/>
      <c r="F179" s="1" t="s">
        <v>12277</v>
      </c>
      <c r="G179" s="1" t="s">
        <v>11533</v>
      </c>
    </row>
    <row r="180">
      <c r="A180" s="1" t="s">
        <v>12280</v>
      </c>
      <c r="B180" s="1" t="s">
        <v>12282</v>
      </c>
      <c r="C180" s="1" t="s">
        <v>12284</v>
      </c>
      <c r="D180" s="3">
        <v>46290.0</v>
      </c>
      <c r="E180" s="1"/>
      <c r="F180" s="1" t="s">
        <v>12287</v>
      </c>
      <c r="G180" s="1" t="s">
        <v>10555</v>
      </c>
    </row>
    <row r="181">
      <c r="A181" s="1" t="s">
        <v>12294</v>
      </c>
      <c r="B181" s="1" t="s">
        <v>12296</v>
      </c>
      <c r="C181" s="1" t="s">
        <v>11640</v>
      </c>
      <c r="D181" s="3">
        <v>46293.0</v>
      </c>
      <c r="E181" s="1"/>
      <c r="F181" s="1" t="s">
        <v>12301</v>
      </c>
      <c r="G181" s="1" t="s">
        <v>12304</v>
      </c>
    </row>
    <row r="182">
      <c r="A182" s="1" t="s">
        <v>12306</v>
      </c>
      <c r="B182" s="1" t="s">
        <v>203</v>
      </c>
      <c r="C182" s="1" t="s">
        <v>1760</v>
      </c>
      <c r="D182" s="3">
        <v>46293.0</v>
      </c>
      <c r="E182" s="1" t="s">
        <v>12308</v>
      </c>
      <c r="F182" s="1" t="s">
        <v>12311</v>
      </c>
      <c r="G182" s="1" t="s">
        <v>10555</v>
      </c>
    </row>
    <row r="183">
      <c r="A183" s="1" t="s">
        <v>12313</v>
      </c>
      <c r="B183" s="1" t="s">
        <v>1069</v>
      </c>
      <c r="C183" s="1" t="s">
        <v>1866</v>
      </c>
      <c r="D183" s="3">
        <v>46293.0</v>
      </c>
      <c r="E183" s="1" t="s">
        <v>12315</v>
      </c>
      <c r="F183" s="1" t="s">
        <v>12318</v>
      </c>
      <c r="G183" s="1" t="s">
        <v>11268</v>
      </c>
    </row>
    <row r="184">
      <c r="A184" s="1" t="s">
        <v>12319</v>
      </c>
      <c r="B184" s="1" t="s">
        <v>12320</v>
      </c>
      <c r="C184" s="1" t="s">
        <v>12321</v>
      </c>
      <c r="D184" s="3">
        <v>46294.0</v>
      </c>
      <c r="E184" s="1"/>
      <c r="F184" s="1" t="s">
        <v>12323</v>
      </c>
      <c r="G184" s="1" t="s">
        <v>10555</v>
      </c>
    </row>
    <row r="185">
      <c r="A185" s="1" t="s">
        <v>12328</v>
      </c>
      <c r="B185" s="1" t="s">
        <v>12330</v>
      </c>
      <c r="C185" s="1" t="s">
        <v>12331</v>
      </c>
      <c r="D185" s="3">
        <v>46294.0</v>
      </c>
      <c r="F185" s="1" t="s">
        <v>12332</v>
      </c>
      <c r="G185" s="1" t="s">
        <v>11268</v>
      </c>
    </row>
    <row r="186">
      <c r="A186" s="1" t="s">
        <v>12333</v>
      </c>
      <c r="B186" s="1" t="s">
        <v>12334</v>
      </c>
      <c r="C186" s="1" t="s">
        <v>11365</v>
      </c>
      <c r="D186" s="3">
        <v>46294.0</v>
      </c>
      <c r="E186" s="1"/>
      <c r="F186" s="1" t="s">
        <v>12335</v>
      </c>
      <c r="G186" s="1" t="s">
        <v>10647</v>
      </c>
    </row>
    <row r="187">
      <c r="A187" s="1"/>
      <c r="B187" s="1"/>
      <c r="C187" s="1"/>
      <c r="D187" s="3"/>
      <c r="E187" s="1"/>
      <c r="F187" s="1"/>
      <c r="G187" s="1"/>
    </row>
    <row r="188">
      <c r="A188" s="1"/>
      <c r="B188" s="1"/>
      <c r="C188" s="1"/>
      <c r="D188" s="3"/>
      <c r="E188" s="1"/>
      <c r="F188" s="1"/>
      <c r="G188" s="1"/>
    </row>
    <row r="189">
      <c r="A189" s="1"/>
      <c r="B189" s="1"/>
      <c r="C189" s="1"/>
      <c r="D189" s="3"/>
      <c r="E189" s="1"/>
      <c r="F189" s="1"/>
      <c r="G189" s="1"/>
    </row>
    <row r="190">
      <c r="A190" s="1"/>
      <c r="B190" s="1"/>
      <c r="C190" s="1"/>
      <c r="D190" s="3"/>
      <c r="E190" s="1"/>
      <c r="F190" s="1"/>
      <c r="G190" s="1"/>
    </row>
  </sheetData>
  <hyperlinks>
    <hyperlink r:id="rId2" ref="B1"/>
    <hyperlink r:id="rId3" ref="C1"/>
  </hyperlinks>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1</v>
      </c>
      <c r="B1" s="2" t="s">
        <v>12</v>
      </c>
      <c r="C1" s="2" t="s">
        <v>12525</v>
      </c>
      <c r="D1" s="5" t="s">
        <v>12527</v>
      </c>
      <c r="E1" s="2" t="s">
        <v>12542</v>
      </c>
      <c r="F1" s="2" t="s">
        <v>12543</v>
      </c>
    </row>
    <row r="2">
      <c r="A2" s="1" t="s">
        <v>12546</v>
      </c>
      <c r="B2" s="1" t="s">
        <v>1575</v>
      </c>
      <c r="C2" s="1" t="s">
        <v>12549</v>
      </c>
      <c r="D2" s="1" t="s">
        <v>3041</v>
      </c>
      <c r="E2" s="1" t="s">
        <v>12551</v>
      </c>
      <c r="F2" s="1" t="s">
        <v>12552</v>
      </c>
    </row>
    <row r="3">
      <c r="A3" s="1" t="s">
        <v>12553</v>
      </c>
      <c r="B3" s="1" t="s">
        <v>2011</v>
      </c>
      <c r="C3" s="1" t="s">
        <v>12556</v>
      </c>
      <c r="D3" s="1" t="s">
        <v>12558</v>
      </c>
      <c r="E3" s="1" t="s">
        <v>12559</v>
      </c>
      <c r="F3" s="1" t="s">
        <v>12561</v>
      </c>
    </row>
    <row r="4">
      <c r="A4" s="1" t="s">
        <v>12563</v>
      </c>
      <c r="B4" s="1" t="s">
        <v>2011</v>
      </c>
      <c r="C4" s="1" t="s">
        <v>12564</v>
      </c>
      <c r="D4" s="1" t="s">
        <v>3535</v>
      </c>
      <c r="E4" s="1" t="s">
        <v>12565</v>
      </c>
      <c r="F4" s="1" t="s">
        <v>12552</v>
      </c>
    </row>
    <row r="5">
      <c r="A5" s="1" t="s">
        <v>12566</v>
      </c>
      <c r="B5" s="1" t="s">
        <v>2011</v>
      </c>
      <c r="C5" s="1" t="s">
        <v>12569</v>
      </c>
      <c r="D5" s="1" t="s">
        <v>12571</v>
      </c>
      <c r="E5" s="1" t="s">
        <v>12572</v>
      </c>
      <c r="F5" s="1" t="s">
        <v>89</v>
      </c>
    </row>
    <row r="6">
      <c r="A6" s="1" t="s">
        <v>12574</v>
      </c>
      <c r="B6" s="1" t="s">
        <v>2011</v>
      </c>
      <c r="C6" s="1" t="s">
        <v>12576</v>
      </c>
      <c r="D6" s="1" t="s">
        <v>12577</v>
      </c>
      <c r="E6" s="1" t="s">
        <v>12579</v>
      </c>
      <c r="F6" s="1" t="s">
        <v>12580</v>
      </c>
    </row>
    <row r="7">
      <c r="A7" s="1" t="s">
        <v>12582</v>
      </c>
      <c r="B7" s="1" t="s">
        <v>2011</v>
      </c>
      <c r="C7" s="1" t="s">
        <v>12584</v>
      </c>
      <c r="D7" s="1" t="s">
        <v>12585</v>
      </c>
      <c r="E7" s="1" t="s">
        <v>12587</v>
      </c>
      <c r="F7" s="1" t="s">
        <v>12561</v>
      </c>
    </row>
    <row r="8">
      <c r="A8" s="1" t="s">
        <v>12589</v>
      </c>
      <c r="B8" s="1" t="s">
        <v>2011</v>
      </c>
      <c r="C8" s="1" t="s">
        <v>12591</v>
      </c>
      <c r="D8" s="1" t="s">
        <v>12592</v>
      </c>
      <c r="E8" s="1" t="s">
        <v>12594</v>
      </c>
      <c r="F8" s="1" t="s">
        <v>45</v>
      </c>
    </row>
    <row r="9">
      <c r="A9" s="1" t="s">
        <v>12595</v>
      </c>
      <c r="B9" s="1" t="s">
        <v>2038</v>
      </c>
      <c r="C9" s="1" t="s">
        <v>12597</v>
      </c>
      <c r="D9" s="1" t="s">
        <v>485</v>
      </c>
      <c r="E9" s="1" t="s">
        <v>12600</v>
      </c>
      <c r="F9" s="1" t="s">
        <v>12552</v>
      </c>
    </row>
    <row r="10">
      <c r="A10" s="1" t="s">
        <v>12602</v>
      </c>
      <c r="B10" s="1" t="s">
        <v>3934</v>
      </c>
      <c r="C10" s="1" t="s">
        <v>12604</v>
      </c>
      <c r="D10" s="1" t="s">
        <v>164</v>
      </c>
      <c r="E10" s="1" t="s">
        <v>12605</v>
      </c>
      <c r="F10" s="1" t="s">
        <v>12552</v>
      </c>
    </row>
    <row r="11">
      <c r="A11" s="1" t="s">
        <v>12606</v>
      </c>
      <c r="B11" s="1" t="s">
        <v>2073</v>
      </c>
      <c r="C11" s="1" t="s">
        <v>12607</v>
      </c>
      <c r="D11" s="1" t="s">
        <v>12609</v>
      </c>
      <c r="E11" s="1" t="s">
        <v>12611</v>
      </c>
      <c r="F11" s="1" t="s">
        <v>89</v>
      </c>
    </row>
    <row r="12">
      <c r="A12" s="1" t="s">
        <v>12614</v>
      </c>
      <c r="B12" s="1" t="s">
        <v>2073</v>
      </c>
      <c r="C12" s="1" t="s">
        <v>12616</v>
      </c>
      <c r="D12" s="1" t="s">
        <v>12618</v>
      </c>
      <c r="E12" s="1" t="s">
        <v>12619</v>
      </c>
      <c r="F12" s="1" t="s">
        <v>89</v>
      </c>
    </row>
    <row r="13">
      <c r="A13" s="1" t="s">
        <v>12621</v>
      </c>
      <c r="B13" s="1" t="s">
        <v>2073</v>
      </c>
      <c r="C13" s="1" t="s">
        <v>12622</v>
      </c>
      <c r="D13" s="1" t="s">
        <v>2635</v>
      </c>
      <c r="E13" s="1" t="s">
        <v>12623</v>
      </c>
      <c r="F13" s="1" t="s">
        <v>12552</v>
      </c>
    </row>
    <row r="14">
      <c r="A14" s="1" t="s">
        <v>12624</v>
      </c>
      <c r="B14" s="1" t="s">
        <v>2073</v>
      </c>
      <c r="C14" s="1" t="s">
        <v>12626</v>
      </c>
      <c r="D14" s="1" t="s">
        <v>11803</v>
      </c>
      <c r="E14" s="1" t="s">
        <v>12628</v>
      </c>
      <c r="F14" s="1" t="s">
        <v>12580</v>
      </c>
    </row>
    <row r="15">
      <c r="A15" s="1" t="s">
        <v>12632</v>
      </c>
      <c r="B15" s="1" t="s">
        <v>2073</v>
      </c>
      <c r="C15" s="1" t="s">
        <v>12633</v>
      </c>
      <c r="D15" s="1" t="s">
        <v>12634</v>
      </c>
      <c r="E15" s="1" t="s">
        <v>12635</v>
      </c>
      <c r="F15" s="1" t="s">
        <v>12561</v>
      </c>
    </row>
    <row r="16">
      <c r="A16" s="1" t="s">
        <v>12637</v>
      </c>
      <c r="B16" s="1" t="s">
        <v>2073</v>
      </c>
      <c r="C16" s="1" t="s">
        <v>12639</v>
      </c>
      <c r="D16" s="1" t="s">
        <v>12641</v>
      </c>
      <c r="E16" s="1" t="s">
        <v>12642</v>
      </c>
      <c r="F16" s="1" t="s">
        <v>45</v>
      </c>
    </row>
    <row r="17">
      <c r="A17" s="1" t="s">
        <v>12644</v>
      </c>
      <c r="B17" s="1" t="s">
        <v>2073</v>
      </c>
      <c r="C17" s="1" t="s">
        <v>12645</v>
      </c>
      <c r="D17" s="1" t="s">
        <v>12647</v>
      </c>
      <c r="E17" s="1" t="s">
        <v>12649</v>
      </c>
      <c r="F17" s="1" t="s">
        <v>89</v>
      </c>
    </row>
    <row r="18">
      <c r="A18" s="1" t="s">
        <v>12652</v>
      </c>
      <c r="B18" s="1" t="s">
        <v>2073</v>
      </c>
      <c r="C18" s="1" t="s">
        <v>12654</v>
      </c>
      <c r="D18" s="1" t="s">
        <v>12655</v>
      </c>
      <c r="E18" s="1" t="s">
        <v>12656</v>
      </c>
      <c r="F18" s="1" t="s">
        <v>89</v>
      </c>
    </row>
    <row r="19">
      <c r="A19" s="1" t="s">
        <v>12657</v>
      </c>
      <c r="B19" s="1" t="s">
        <v>2073</v>
      </c>
      <c r="C19" s="1" t="s">
        <v>12660</v>
      </c>
      <c r="D19" s="1" t="s">
        <v>12661</v>
      </c>
      <c r="E19" s="1" t="s">
        <v>12663</v>
      </c>
      <c r="F19" s="1" t="s">
        <v>89</v>
      </c>
    </row>
    <row r="20">
      <c r="A20" s="1" t="s">
        <v>12665</v>
      </c>
      <c r="B20" s="1" t="s">
        <v>2079</v>
      </c>
      <c r="C20" s="1" t="s">
        <v>12667</v>
      </c>
      <c r="D20" s="1" t="s">
        <v>12668</v>
      </c>
      <c r="E20" s="1" t="s">
        <v>12671</v>
      </c>
      <c r="F20" s="1" t="s">
        <v>45</v>
      </c>
    </row>
    <row r="21">
      <c r="A21" s="1" t="s">
        <v>12673</v>
      </c>
      <c r="B21" s="1" t="s">
        <v>2079</v>
      </c>
      <c r="C21" s="1" t="s">
        <v>12667</v>
      </c>
      <c r="D21" s="1" t="s">
        <v>12668</v>
      </c>
      <c r="E21" s="1" t="s">
        <v>12671</v>
      </c>
      <c r="F21" s="1" t="s">
        <v>89</v>
      </c>
    </row>
    <row r="22">
      <c r="A22" s="1" t="s">
        <v>12677</v>
      </c>
      <c r="B22" s="1" t="s">
        <v>2079</v>
      </c>
      <c r="C22" s="1" t="s">
        <v>12678</v>
      </c>
      <c r="D22" s="1" t="s">
        <v>1262</v>
      </c>
      <c r="E22" s="1" t="s">
        <v>12679</v>
      </c>
      <c r="F22" s="1" t="s">
        <v>12552</v>
      </c>
    </row>
    <row r="23">
      <c r="A23" s="1" t="s">
        <v>12681</v>
      </c>
      <c r="B23" s="1" t="s">
        <v>2079</v>
      </c>
      <c r="C23" s="1" t="s">
        <v>12584</v>
      </c>
      <c r="D23" s="1" t="s">
        <v>12585</v>
      </c>
      <c r="E23" s="1" t="s">
        <v>12587</v>
      </c>
      <c r="F23" s="1" t="s">
        <v>12561</v>
      </c>
    </row>
    <row r="24">
      <c r="A24" s="1" t="s">
        <v>12683</v>
      </c>
      <c r="B24" s="1" t="s">
        <v>1495</v>
      </c>
      <c r="C24" s="1" t="s">
        <v>12684</v>
      </c>
      <c r="D24" s="1" t="s">
        <v>12685</v>
      </c>
      <c r="E24" s="1" t="s">
        <v>12686</v>
      </c>
      <c r="F24" s="1" t="s">
        <v>45</v>
      </c>
    </row>
    <row r="25">
      <c r="A25" s="1" t="s">
        <v>12688</v>
      </c>
      <c r="B25" s="1" t="s">
        <v>1495</v>
      </c>
      <c r="C25" s="1" t="s">
        <v>12689</v>
      </c>
      <c r="D25" s="1" t="s">
        <v>12690</v>
      </c>
      <c r="E25" s="1" t="s">
        <v>12691</v>
      </c>
      <c r="F25" s="1" t="s">
        <v>12561</v>
      </c>
    </row>
    <row r="26">
      <c r="A26" s="1" t="s">
        <v>12693</v>
      </c>
      <c r="B26" s="1" t="s">
        <v>1495</v>
      </c>
      <c r="C26" s="1" t="s">
        <v>12696</v>
      </c>
      <c r="D26" s="1" t="s">
        <v>1501</v>
      </c>
      <c r="E26" s="1" t="s">
        <v>12697</v>
      </c>
      <c r="F26" s="1" t="s">
        <v>12552</v>
      </c>
    </row>
    <row r="27">
      <c r="A27" s="1" t="s">
        <v>12698</v>
      </c>
      <c r="B27" s="1" t="s">
        <v>1495</v>
      </c>
      <c r="C27" s="1" t="s">
        <v>12699</v>
      </c>
      <c r="D27" s="1" t="s">
        <v>12700</v>
      </c>
      <c r="E27" s="1" t="s">
        <v>12702</v>
      </c>
      <c r="F27" s="1" t="s">
        <v>89</v>
      </c>
    </row>
    <row r="28">
      <c r="A28" s="1" t="s">
        <v>12704</v>
      </c>
      <c r="B28" s="1" t="s">
        <v>1789</v>
      </c>
      <c r="C28" s="1" t="s">
        <v>12705</v>
      </c>
      <c r="D28" s="1" t="s">
        <v>12707</v>
      </c>
      <c r="E28" s="1" t="s">
        <v>12708</v>
      </c>
      <c r="F28" s="1" t="s">
        <v>45</v>
      </c>
    </row>
    <row r="29">
      <c r="A29" s="1" t="s">
        <v>12710</v>
      </c>
      <c r="B29" s="1" t="s">
        <v>1789</v>
      </c>
      <c r="C29" s="1" t="s">
        <v>12584</v>
      </c>
      <c r="D29" s="1" t="s">
        <v>12585</v>
      </c>
      <c r="E29" s="1" t="s">
        <v>12587</v>
      </c>
      <c r="F29" s="1" t="s">
        <v>12561</v>
      </c>
    </row>
    <row r="30">
      <c r="A30" s="1" t="s">
        <v>12713</v>
      </c>
      <c r="B30" s="1" t="s">
        <v>1789</v>
      </c>
      <c r="C30" s="1" t="s">
        <v>12716</v>
      </c>
      <c r="D30" s="1" t="s">
        <v>1792</v>
      </c>
      <c r="E30" s="1" t="s">
        <v>12719</v>
      </c>
      <c r="F30" s="1" t="s">
        <v>12552</v>
      </c>
    </row>
    <row r="31">
      <c r="A31" s="1" t="s">
        <v>12721</v>
      </c>
      <c r="B31" s="1" t="s">
        <v>1789</v>
      </c>
      <c r="C31" s="1" t="s">
        <v>12722</v>
      </c>
      <c r="D31" s="1" t="s">
        <v>12723</v>
      </c>
      <c r="E31" s="1" t="s">
        <v>12724</v>
      </c>
      <c r="F31" s="1" t="s">
        <v>89</v>
      </c>
    </row>
    <row r="32">
      <c r="A32" s="1" t="s">
        <v>12725</v>
      </c>
      <c r="B32" s="1" t="s">
        <v>2127</v>
      </c>
      <c r="C32" s="1" t="s">
        <v>12728</v>
      </c>
      <c r="D32" s="1" t="s">
        <v>12729</v>
      </c>
      <c r="E32" s="1" t="s">
        <v>12730</v>
      </c>
      <c r="F32" s="1" t="s">
        <v>12580</v>
      </c>
    </row>
    <row r="33">
      <c r="A33" s="1" t="s">
        <v>12733</v>
      </c>
      <c r="B33" s="1" t="s">
        <v>2127</v>
      </c>
      <c r="C33" s="1" t="s">
        <v>12735</v>
      </c>
      <c r="D33" s="1" t="s">
        <v>3864</v>
      </c>
      <c r="E33" s="1" t="s">
        <v>12736</v>
      </c>
      <c r="F33" s="1" t="s">
        <v>12552</v>
      </c>
    </row>
    <row r="34">
      <c r="A34" s="1" t="s">
        <v>12739</v>
      </c>
      <c r="B34" s="1" t="s">
        <v>2127</v>
      </c>
      <c r="C34" s="1" t="s">
        <v>12556</v>
      </c>
      <c r="D34" s="1" t="s">
        <v>12558</v>
      </c>
      <c r="E34" s="1" t="s">
        <v>12559</v>
      </c>
      <c r="F34" s="1" t="s">
        <v>12580</v>
      </c>
    </row>
    <row r="35">
      <c r="A35" s="1" t="s">
        <v>12744</v>
      </c>
      <c r="B35" s="1" t="s">
        <v>2150</v>
      </c>
      <c r="C35" s="1" t="s">
        <v>12745</v>
      </c>
      <c r="D35" s="1" t="s">
        <v>12746</v>
      </c>
      <c r="E35" s="1" t="s">
        <v>12747</v>
      </c>
      <c r="F35" s="1" t="s">
        <v>89</v>
      </c>
    </row>
    <row r="36">
      <c r="A36" s="1" t="s">
        <v>12750</v>
      </c>
      <c r="B36" s="1" t="s">
        <v>2150</v>
      </c>
      <c r="C36" s="1" t="s">
        <v>12751</v>
      </c>
      <c r="D36" s="1" t="s">
        <v>12753</v>
      </c>
      <c r="E36" s="1" t="s">
        <v>12754</v>
      </c>
      <c r="F36" s="1" t="s">
        <v>12561</v>
      </c>
    </row>
    <row r="37">
      <c r="A37" s="1" t="s">
        <v>12757</v>
      </c>
      <c r="B37" s="1" t="s">
        <v>2150</v>
      </c>
      <c r="C37" s="1" t="s">
        <v>12745</v>
      </c>
      <c r="D37" s="1" t="s">
        <v>12746</v>
      </c>
      <c r="E37" s="1" t="s">
        <v>12747</v>
      </c>
      <c r="F37" s="1" t="s">
        <v>45</v>
      </c>
    </row>
    <row r="38">
      <c r="A38" s="1" t="s">
        <v>12759</v>
      </c>
      <c r="B38" s="1" t="s">
        <v>2150</v>
      </c>
      <c r="C38" s="1" t="s">
        <v>12761</v>
      </c>
      <c r="D38" s="1" t="s">
        <v>3369</v>
      </c>
      <c r="E38" s="1" t="s">
        <v>12763</v>
      </c>
      <c r="F38" s="1" t="s">
        <v>12552</v>
      </c>
    </row>
    <row r="39">
      <c r="A39" s="1" t="s">
        <v>12765</v>
      </c>
      <c r="B39" s="1" t="s">
        <v>2155</v>
      </c>
      <c r="C39" s="1" t="s">
        <v>12767</v>
      </c>
      <c r="D39" s="1" t="s">
        <v>12768</v>
      </c>
      <c r="E39" s="1" t="s">
        <v>12769</v>
      </c>
      <c r="F39" s="1" t="s">
        <v>89</v>
      </c>
    </row>
    <row r="40">
      <c r="A40" s="1" t="s">
        <v>12771</v>
      </c>
      <c r="B40" s="1" t="s">
        <v>2155</v>
      </c>
      <c r="C40" s="1" t="s">
        <v>12772</v>
      </c>
      <c r="D40" s="1" t="s">
        <v>12774</v>
      </c>
      <c r="E40" s="1" t="s">
        <v>12775</v>
      </c>
      <c r="F40" s="1" t="s">
        <v>45</v>
      </c>
    </row>
    <row r="41">
      <c r="A41" s="1" t="s">
        <v>12776</v>
      </c>
      <c r="B41" s="1" t="s">
        <v>2155</v>
      </c>
      <c r="C41" s="1" t="s">
        <v>12777</v>
      </c>
      <c r="D41" s="1" t="s">
        <v>3561</v>
      </c>
      <c r="E41" s="1" t="s">
        <v>12779</v>
      </c>
      <c r="F41" s="1" t="s">
        <v>12552</v>
      </c>
    </row>
    <row r="42">
      <c r="A42" s="1" t="s">
        <v>12780</v>
      </c>
      <c r="B42" s="1" t="s">
        <v>2905</v>
      </c>
      <c r="C42" s="1" t="s">
        <v>12781</v>
      </c>
      <c r="D42" s="1" t="s">
        <v>741</v>
      </c>
      <c r="E42" s="1" t="s">
        <v>12782</v>
      </c>
      <c r="F42" s="1" t="s">
        <v>12552</v>
      </c>
    </row>
    <row r="43">
      <c r="A43" s="1" t="s">
        <v>12783</v>
      </c>
      <c r="B43" s="1" t="s">
        <v>2905</v>
      </c>
      <c r="C43" s="1" t="s">
        <v>12784</v>
      </c>
      <c r="D43" s="1" t="s">
        <v>12785</v>
      </c>
      <c r="E43" s="1" t="s">
        <v>12786</v>
      </c>
      <c r="F43" s="1" t="s">
        <v>12561</v>
      </c>
    </row>
    <row r="44">
      <c r="A44" s="1" t="s">
        <v>12788</v>
      </c>
      <c r="B44" s="1" t="s">
        <v>2905</v>
      </c>
      <c r="C44" s="1" t="s">
        <v>12789</v>
      </c>
      <c r="D44" s="1" t="s">
        <v>12790</v>
      </c>
      <c r="E44" s="1" t="s">
        <v>12792</v>
      </c>
      <c r="F44" s="1" t="s">
        <v>45</v>
      </c>
    </row>
    <row r="45">
      <c r="A45" s="1" t="s">
        <v>12794</v>
      </c>
      <c r="B45" s="1" t="s">
        <v>2905</v>
      </c>
      <c r="C45" s="1" t="s">
        <v>12795</v>
      </c>
      <c r="D45" s="1" t="s">
        <v>12796</v>
      </c>
      <c r="E45" s="1" t="s">
        <v>12797</v>
      </c>
      <c r="F45" s="1" t="s">
        <v>89</v>
      </c>
    </row>
    <row r="46">
      <c r="A46" s="1" t="s">
        <v>12798</v>
      </c>
      <c r="B46" s="1" t="s">
        <v>2168</v>
      </c>
      <c r="C46" s="1" t="s">
        <v>12799</v>
      </c>
      <c r="D46" s="1" t="s">
        <v>12800</v>
      </c>
      <c r="E46" s="1" t="s">
        <v>12801</v>
      </c>
      <c r="F46" s="1" t="s">
        <v>89</v>
      </c>
    </row>
    <row r="47">
      <c r="A47" s="1" t="s">
        <v>12802</v>
      </c>
      <c r="B47" s="1" t="s">
        <v>2168</v>
      </c>
      <c r="C47" s="1" t="s">
        <v>12804</v>
      </c>
      <c r="D47" s="1" t="s">
        <v>12805</v>
      </c>
      <c r="E47" s="1" t="s">
        <v>12806</v>
      </c>
      <c r="F47" s="1" t="s">
        <v>45</v>
      </c>
    </row>
    <row r="48">
      <c r="A48" s="1" t="s">
        <v>12807</v>
      </c>
      <c r="B48" s="1" t="s">
        <v>2182</v>
      </c>
      <c r="C48" s="1" t="s">
        <v>12809</v>
      </c>
      <c r="D48" s="1" t="s">
        <v>3901</v>
      </c>
      <c r="E48" s="1" t="s">
        <v>12810</v>
      </c>
      <c r="F48" s="1" t="s">
        <v>12552</v>
      </c>
    </row>
    <row r="49">
      <c r="A49" s="1" t="s">
        <v>12811</v>
      </c>
      <c r="B49" s="1" t="s">
        <v>2182</v>
      </c>
      <c r="C49" s="1" t="s">
        <v>12813</v>
      </c>
      <c r="D49" s="1" t="s">
        <v>12814</v>
      </c>
      <c r="E49" s="1" t="s">
        <v>12815</v>
      </c>
      <c r="F49" s="1" t="s">
        <v>45</v>
      </c>
    </row>
    <row r="50">
      <c r="A50" s="1" t="s">
        <v>12816</v>
      </c>
      <c r="B50" s="1" t="s">
        <v>2182</v>
      </c>
      <c r="C50" s="1" t="s">
        <v>12817</v>
      </c>
      <c r="D50" s="1" t="s">
        <v>12819</v>
      </c>
      <c r="E50" s="1" t="s">
        <v>12820</v>
      </c>
      <c r="F50" s="1" t="s">
        <v>12561</v>
      </c>
    </row>
    <row r="51">
      <c r="A51" s="1" t="s">
        <v>12822</v>
      </c>
      <c r="B51" s="1" t="s">
        <v>2182</v>
      </c>
      <c r="C51" s="1" t="s">
        <v>12824</v>
      </c>
      <c r="D51" s="1" t="s">
        <v>12825</v>
      </c>
      <c r="E51" s="1" t="s">
        <v>12826</v>
      </c>
      <c r="F51" s="1" t="s">
        <v>12552</v>
      </c>
    </row>
    <row r="52">
      <c r="A52" s="1" t="s">
        <v>12827</v>
      </c>
      <c r="B52" s="1" t="s">
        <v>2182</v>
      </c>
      <c r="C52" s="1" t="s">
        <v>12828</v>
      </c>
      <c r="D52" s="1" t="s">
        <v>12829</v>
      </c>
      <c r="E52" s="1" t="s">
        <v>12830</v>
      </c>
      <c r="F52" s="1" t="s">
        <v>89</v>
      </c>
    </row>
    <row r="53">
      <c r="A53" s="1" t="s">
        <v>12831</v>
      </c>
      <c r="B53" s="1" t="s">
        <v>2186</v>
      </c>
      <c r="C53" s="1" t="s">
        <v>12833</v>
      </c>
      <c r="D53" s="1" t="s">
        <v>12834</v>
      </c>
      <c r="E53" s="1" t="s">
        <v>12835</v>
      </c>
      <c r="F53" s="1" t="s">
        <v>12561</v>
      </c>
    </row>
    <row r="54">
      <c r="A54" s="1" t="s">
        <v>12836</v>
      </c>
      <c r="B54" s="1" t="s">
        <v>2186</v>
      </c>
      <c r="C54" s="1" t="s">
        <v>12556</v>
      </c>
      <c r="D54" s="1" t="s">
        <v>12558</v>
      </c>
      <c r="E54" s="1" t="s">
        <v>12559</v>
      </c>
      <c r="F54" s="1" t="s">
        <v>12561</v>
      </c>
    </row>
    <row r="55">
      <c r="A55" s="1" t="s">
        <v>12839</v>
      </c>
      <c r="B55" s="1" t="s">
        <v>2186</v>
      </c>
      <c r="C55" s="1" t="s">
        <v>12716</v>
      </c>
      <c r="D55" s="1" t="s">
        <v>1792</v>
      </c>
      <c r="E55" s="1" t="s">
        <v>12719</v>
      </c>
      <c r="F55" s="1" t="s">
        <v>12552</v>
      </c>
    </row>
    <row r="56">
      <c r="A56" s="1" t="s">
        <v>12840</v>
      </c>
      <c r="B56" s="1" t="s">
        <v>2186</v>
      </c>
      <c r="C56" s="1" t="s">
        <v>12841</v>
      </c>
      <c r="D56" s="1" t="s">
        <v>12842</v>
      </c>
      <c r="E56" s="1" t="s">
        <v>12843</v>
      </c>
      <c r="F56" s="1" t="s">
        <v>45</v>
      </c>
    </row>
    <row r="57">
      <c r="A57" s="1" t="s">
        <v>12845</v>
      </c>
      <c r="B57" s="1" t="s">
        <v>2186</v>
      </c>
      <c r="C57" s="1" t="s">
        <v>12841</v>
      </c>
      <c r="D57" s="1" t="s">
        <v>12842</v>
      </c>
      <c r="E57" s="1" t="s">
        <v>12843</v>
      </c>
      <c r="F57" s="1" t="s">
        <v>89</v>
      </c>
    </row>
    <row r="58">
      <c r="A58" s="1" t="s">
        <v>12847</v>
      </c>
      <c r="B58" s="1" t="s">
        <v>2186</v>
      </c>
      <c r="C58" s="1" t="s">
        <v>12848</v>
      </c>
      <c r="D58" s="1" t="s">
        <v>1733</v>
      </c>
      <c r="E58" s="1" t="s">
        <v>12849</v>
      </c>
      <c r="F58" s="1" t="s">
        <v>12552</v>
      </c>
    </row>
    <row r="59">
      <c r="A59" s="1" t="s">
        <v>12850</v>
      </c>
      <c r="B59" s="1" t="s">
        <v>2081</v>
      </c>
      <c r="C59" s="1" t="s">
        <v>12851</v>
      </c>
      <c r="D59" s="1" t="s">
        <v>12852</v>
      </c>
      <c r="E59" s="1" t="s">
        <v>12853</v>
      </c>
      <c r="F59" s="1" t="s">
        <v>45</v>
      </c>
    </row>
    <row r="60">
      <c r="A60" s="1" t="s">
        <v>12855</v>
      </c>
      <c r="B60" s="1" t="s">
        <v>2081</v>
      </c>
      <c r="C60" s="1" t="s">
        <v>12851</v>
      </c>
      <c r="D60" s="1" t="s">
        <v>12852</v>
      </c>
      <c r="E60" s="1" t="s">
        <v>12853</v>
      </c>
      <c r="F60" s="1" t="s">
        <v>89</v>
      </c>
    </row>
    <row r="61">
      <c r="A61" s="1" t="s">
        <v>12857</v>
      </c>
      <c r="B61" s="1" t="s">
        <v>2081</v>
      </c>
      <c r="C61" s="1" t="s">
        <v>12859</v>
      </c>
      <c r="D61" s="1" t="s">
        <v>803</v>
      </c>
      <c r="E61" s="1" t="s">
        <v>12860</v>
      </c>
      <c r="F61" s="1" t="s">
        <v>12552</v>
      </c>
    </row>
    <row r="62">
      <c r="A62" s="1" t="s">
        <v>12861</v>
      </c>
      <c r="B62" s="1" t="s">
        <v>3331</v>
      </c>
      <c r="C62" s="1" t="s">
        <v>12862</v>
      </c>
      <c r="D62" s="1" t="s">
        <v>2768</v>
      </c>
      <c r="E62" s="1" t="s">
        <v>12863</v>
      </c>
      <c r="F62" s="1" t="s">
        <v>12552</v>
      </c>
    </row>
    <row r="63">
      <c r="A63" s="1" t="s">
        <v>12864</v>
      </c>
      <c r="B63" s="1" t="s">
        <v>3331</v>
      </c>
      <c r="C63" s="1" t="s">
        <v>12556</v>
      </c>
      <c r="D63" s="1" t="s">
        <v>12558</v>
      </c>
      <c r="E63" s="1" t="s">
        <v>12559</v>
      </c>
      <c r="F63" s="1" t="s">
        <v>12561</v>
      </c>
    </row>
    <row r="64">
      <c r="A64" s="1" t="s">
        <v>12866</v>
      </c>
      <c r="B64" s="1" t="s">
        <v>2239</v>
      </c>
      <c r="C64" s="1" t="s">
        <v>12867</v>
      </c>
      <c r="D64" s="1" t="s">
        <v>1786</v>
      </c>
      <c r="E64" s="1" t="s">
        <v>12868</v>
      </c>
      <c r="F64" s="1" t="s">
        <v>12552</v>
      </c>
    </row>
    <row r="65">
      <c r="A65" s="1" t="s">
        <v>12871</v>
      </c>
      <c r="B65" s="1" t="s">
        <v>2239</v>
      </c>
      <c r="C65" s="1" t="s">
        <v>12817</v>
      </c>
      <c r="D65" s="1" t="s">
        <v>12819</v>
      </c>
      <c r="E65" s="1" t="s">
        <v>12820</v>
      </c>
      <c r="F65" s="1" t="s">
        <v>12561</v>
      </c>
    </row>
    <row r="66">
      <c r="A66" s="1" t="s">
        <v>12872</v>
      </c>
      <c r="B66" s="1" t="s">
        <v>2239</v>
      </c>
      <c r="C66" s="1" t="s">
        <v>12873</v>
      </c>
      <c r="D66" s="1" t="s">
        <v>12874</v>
      </c>
      <c r="E66" s="1" t="s">
        <v>12875</v>
      </c>
      <c r="F66" s="1" t="s">
        <v>89</v>
      </c>
    </row>
    <row r="67">
      <c r="A67" s="1" t="s">
        <v>12876</v>
      </c>
      <c r="B67" s="1" t="s">
        <v>2239</v>
      </c>
      <c r="C67" s="1" t="s">
        <v>12878</v>
      </c>
      <c r="D67" s="1" t="s">
        <v>12879</v>
      </c>
      <c r="E67" s="1" t="s">
        <v>12880</v>
      </c>
      <c r="F67" s="1" t="s">
        <v>45</v>
      </c>
    </row>
    <row r="68">
      <c r="A68" s="1" t="s">
        <v>12882</v>
      </c>
      <c r="B68" s="1" t="s">
        <v>2247</v>
      </c>
      <c r="C68" s="1" t="s">
        <v>12883</v>
      </c>
      <c r="D68" s="1" t="s">
        <v>12884</v>
      </c>
      <c r="E68" s="1" t="s">
        <v>12885</v>
      </c>
      <c r="F68" s="1" t="s">
        <v>12561</v>
      </c>
    </row>
    <row r="69">
      <c r="A69" s="1" t="s">
        <v>12886</v>
      </c>
      <c r="B69" s="1" t="s">
        <v>2247</v>
      </c>
      <c r="C69" s="1" t="s">
        <v>12887</v>
      </c>
      <c r="D69" s="1" t="s">
        <v>12888</v>
      </c>
      <c r="E69" s="1" t="s">
        <v>12889</v>
      </c>
      <c r="F69" s="1" t="s">
        <v>45</v>
      </c>
    </row>
    <row r="70">
      <c r="A70" s="1" t="s">
        <v>12891</v>
      </c>
      <c r="B70" s="1" t="s">
        <v>2247</v>
      </c>
      <c r="C70" s="1" t="s">
        <v>12893</v>
      </c>
      <c r="D70" s="1" t="s">
        <v>12894</v>
      </c>
      <c r="E70" s="1" t="s">
        <v>12895</v>
      </c>
      <c r="F70" s="1" t="s">
        <v>89</v>
      </c>
    </row>
    <row r="71">
      <c r="A71" s="1" t="s">
        <v>12897</v>
      </c>
      <c r="B71" s="1" t="s">
        <v>2247</v>
      </c>
      <c r="C71" s="1" t="s">
        <v>12898</v>
      </c>
      <c r="D71" s="1" t="s">
        <v>3195</v>
      </c>
      <c r="E71" s="1" t="s">
        <v>12899</v>
      </c>
      <c r="F71" s="1" t="s">
        <v>12552</v>
      </c>
    </row>
    <row r="72">
      <c r="A72" s="1" t="s">
        <v>12900</v>
      </c>
      <c r="B72" s="1" t="s">
        <v>449</v>
      </c>
      <c r="C72" s="1" t="s">
        <v>12761</v>
      </c>
      <c r="D72" s="1" t="s">
        <v>3369</v>
      </c>
      <c r="E72" s="1" t="s">
        <v>12763</v>
      </c>
      <c r="F72" s="1" t="s">
        <v>12561</v>
      </c>
    </row>
    <row r="73">
      <c r="A73" s="1" t="s">
        <v>12901</v>
      </c>
      <c r="B73" s="1" t="s">
        <v>449</v>
      </c>
      <c r="C73" s="1" t="s">
        <v>12902</v>
      </c>
      <c r="D73" s="1" t="s">
        <v>12904</v>
      </c>
      <c r="E73" s="1" t="s">
        <v>12905</v>
      </c>
      <c r="F73" s="1" t="s">
        <v>89</v>
      </c>
    </row>
    <row r="74">
      <c r="A74" s="1" t="s">
        <v>12906</v>
      </c>
      <c r="B74" s="1" t="s">
        <v>449</v>
      </c>
      <c r="C74" s="1" t="s">
        <v>12907</v>
      </c>
      <c r="D74" s="1" t="s">
        <v>12909</v>
      </c>
      <c r="E74" s="1" t="s">
        <v>12910</v>
      </c>
      <c r="F74" s="1" t="s">
        <v>45</v>
      </c>
    </row>
    <row r="75">
      <c r="A75" s="1" t="s">
        <v>12912</v>
      </c>
      <c r="B75" s="1" t="s">
        <v>449</v>
      </c>
      <c r="C75" s="1" t="s">
        <v>12913</v>
      </c>
      <c r="D75" s="1" t="s">
        <v>462</v>
      </c>
      <c r="E75" s="1" t="s">
        <v>12914</v>
      </c>
      <c r="F75" s="1" t="s">
        <v>12552</v>
      </c>
    </row>
    <row r="76">
      <c r="A76" s="1" t="s">
        <v>12915</v>
      </c>
      <c r="B76" s="1" t="s">
        <v>2255</v>
      </c>
      <c r="C76" s="1" t="s">
        <v>12916</v>
      </c>
      <c r="D76" s="1" t="s">
        <v>3329</v>
      </c>
      <c r="E76" s="1" t="s">
        <v>12917</v>
      </c>
      <c r="F76" s="1" t="s">
        <v>12580</v>
      </c>
    </row>
    <row r="77">
      <c r="A77" s="1" t="s">
        <v>12919</v>
      </c>
      <c r="B77" s="1" t="s">
        <v>2255</v>
      </c>
      <c r="C77" s="1" t="s">
        <v>12920</v>
      </c>
      <c r="D77" s="1" t="s">
        <v>12921</v>
      </c>
      <c r="E77" s="1" t="s">
        <v>12922</v>
      </c>
      <c r="F77" s="1" t="s">
        <v>12561</v>
      </c>
    </row>
    <row r="78">
      <c r="A78" s="1" t="s">
        <v>12924</v>
      </c>
      <c r="B78" s="1" t="s">
        <v>2255</v>
      </c>
      <c r="C78" s="1" t="s">
        <v>12925</v>
      </c>
      <c r="D78" s="1" t="s">
        <v>12926</v>
      </c>
      <c r="E78" s="1" t="s">
        <v>12927</v>
      </c>
      <c r="F78" s="1" t="s">
        <v>45</v>
      </c>
    </row>
    <row r="79">
      <c r="A79" s="1" t="s">
        <v>12928</v>
      </c>
      <c r="B79" s="1" t="s">
        <v>2255</v>
      </c>
      <c r="C79" s="1" t="s">
        <v>12929</v>
      </c>
      <c r="D79" s="1" t="s">
        <v>12930</v>
      </c>
      <c r="E79" s="1" t="s">
        <v>12931</v>
      </c>
      <c r="F79" s="1" t="s">
        <v>89</v>
      </c>
    </row>
    <row r="80">
      <c r="A80" s="1" t="s">
        <v>12932</v>
      </c>
      <c r="B80" s="1" t="s">
        <v>2255</v>
      </c>
      <c r="C80" s="1" t="s">
        <v>12862</v>
      </c>
      <c r="D80" s="1" t="s">
        <v>2768</v>
      </c>
      <c r="E80" s="1" t="s">
        <v>12863</v>
      </c>
      <c r="F80" s="1" t="s">
        <v>12552</v>
      </c>
    </row>
    <row r="81">
      <c r="A81" s="1" t="s">
        <v>12935</v>
      </c>
      <c r="B81" s="1" t="s">
        <v>2262</v>
      </c>
      <c r="C81" s="1" t="s">
        <v>12937</v>
      </c>
      <c r="D81" s="1" t="s">
        <v>529</v>
      </c>
      <c r="E81" s="1" t="s">
        <v>12938</v>
      </c>
      <c r="F81" s="1" t="s">
        <v>12552</v>
      </c>
    </row>
    <row r="82">
      <c r="A82" s="1" t="s">
        <v>12939</v>
      </c>
      <c r="B82" s="1" t="s">
        <v>1781</v>
      </c>
      <c r="C82" s="1" t="s">
        <v>12940</v>
      </c>
      <c r="D82" s="1" t="s">
        <v>12941</v>
      </c>
      <c r="E82" s="1" t="s">
        <v>12942</v>
      </c>
      <c r="F82" s="1" t="s">
        <v>89</v>
      </c>
    </row>
    <row r="83">
      <c r="A83" s="1" t="s">
        <v>12943</v>
      </c>
      <c r="B83" s="1" t="s">
        <v>1781</v>
      </c>
      <c r="C83" s="1" t="s">
        <v>12867</v>
      </c>
      <c r="D83" s="1" t="s">
        <v>1786</v>
      </c>
      <c r="E83" s="1" t="s">
        <v>12868</v>
      </c>
      <c r="F83" s="1" t="s">
        <v>12552</v>
      </c>
    </row>
    <row r="84">
      <c r="A84" s="1" t="s">
        <v>12945</v>
      </c>
      <c r="B84" s="1" t="s">
        <v>1781</v>
      </c>
      <c r="C84" s="1" t="s">
        <v>12946</v>
      </c>
      <c r="D84" s="1" t="s">
        <v>12947</v>
      </c>
      <c r="E84" s="1" t="s">
        <v>12948</v>
      </c>
      <c r="F84" s="1" t="s">
        <v>12561</v>
      </c>
    </row>
    <row r="85">
      <c r="A85" s="1" t="s">
        <v>12949</v>
      </c>
      <c r="B85" s="1" t="s">
        <v>1781</v>
      </c>
      <c r="C85" s="1" t="s">
        <v>12951</v>
      </c>
      <c r="D85" s="1" t="s">
        <v>12952</v>
      </c>
      <c r="E85" s="1" t="s">
        <v>12953</v>
      </c>
      <c r="F85" s="1" t="s">
        <v>45</v>
      </c>
    </row>
    <row r="86">
      <c r="A86" s="1" t="s">
        <v>12954</v>
      </c>
      <c r="B86" s="1" t="s">
        <v>1781</v>
      </c>
      <c r="C86" s="1" t="s">
        <v>12955</v>
      </c>
      <c r="D86" s="1" t="s">
        <v>12957</v>
      </c>
      <c r="E86" s="1" t="s">
        <v>12958</v>
      </c>
      <c r="F86" s="1" t="s">
        <v>89</v>
      </c>
    </row>
    <row r="87">
      <c r="A87" s="1" t="s">
        <v>12959</v>
      </c>
      <c r="B87" s="1" t="s">
        <v>590</v>
      </c>
      <c r="C87" s="1" t="s">
        <v>12960</v>
      </c>
      <c r="D87" s="1" t="s">
        <v>596</v>
      </c>
      <c r="E87" s="1" t="s">
        <v>12961</v>
      </c>
      <c r="F87" s="1" t="s">
        <v>12552</v>
      </c>
    </row>
    <row r="88">
      <c r="A88" s="1" t="s">
        <v>12962</v>
      </c>
      <c r="B88" s="1" t="s">
        <v>590</v>
      </c>
      <c r="C88" s="1" t="s">
        <v>12963</v>
      </c>
      <c r="D88" s="1" t="s">
        <v>12964</v>
      </c>
      <c r="E88" s="1" t="s">
        <v>12965</v>
      </c>
      <c r="F88" s="1" t="s">
        <v>45</v>
      </c>
    </row>
    <row r="89">
      <c r="A89" s="1" t="s">
        <v>12966</v>
      </c>
      <c r="B89" s="1" t="s">
        <v>1139</v>
      </c>
      <c r="C89" s="1" t="s">
        <v>12968</v>
      </c>
      <c r="D89" s="1" t="s">
        <v>1149</v>
      </c>
      <c r="E89" s="1" t="s">
        <v>12969</v>
      </c>
      <c r="F89" s="1" t="s">
        <v>12552</v>
      </c>
    </row>
    <row r="90">
      <c r="A90" s="1" t="s">
        <v>12970</v>
      </c>
      <c r="B90" s="1" t="s">
        <v>1139</v>
      </c>
      <c r="C90" s="1" t="s">
        <v>12971</v>
      </c>
      <c r="D90" s="1" t="s">
        <v>12973</v>
      </c>
      <c r="E90" s="1" t="s">
        <v>12974</v>
      </c>
      <c r="F90" s="1" t="s">
        <v>45</v>
      </c>
    </row>
    <row r="91">
      <c r="A91" s="1" t="s">
        <v>12975</v>
      </c>
      <c r="B91" s="1" t="s">
        <v>1139</v>
      </c>
      <c r="C91" s="1" t="s">
        <v>12976</v>
      </c>
      <c r="D91" s="1" t="s">
        <v>12977</v>
      </c>
      <c r="E91" s="1" t="s">
        <v>12978</v>
      </c>
      <c r="F91" s="1" t="s">
        <v>12561</v>
      </c>
    </row>
    <row r="92">
      <c r="A92" s="1" t="s">
        <v>12979</v>
      </c>
      <c r="B92" s="1" t="s">
        <v>1139</v>
      </c>
      <c r="C92" s="1" t="s">
        <v>12980</v>
      </c>
      <c r="D92" s="1" t="s">
        <v>12981</v>
      </c>
      <c r="E92" s="1" t="s">
        <v>12982</v>
      </c>
      <c r="F92" s="1" t="s">
        <v>89</v>
      </c>
    </row>
    <row r="93">
      <c r="A93" s="1" t="s">
        <v>12984</v>
      </c>
      <c r="B93" s="1" t="s">
        <v>2290</v>
      </c>
      <c r="C93" s="1" t="s">
        <v>12985</v>
      </c>
      <c r="D93" s="1" t="s">
        <v>12986</v>
      </c>
      <c r="E93" s="1" t="s">
        <v>12987</v>
      </c>
      <c r="F93" s="1" t="s">
        <v>45</v>
      </c>
    </row>
    <row r="94">
      <c r="A94" s="1" t="s">
        <v>12989</v>
      </c>
      <c r="B94" s="1" t="s">
        <v>2290</v>
      </c>
      <c r="C94" s="1" t="s">
        <v>12824</v>
      </c>
      <c r="D94" s="1" t="s">
        <v>12825</v>
      </c>
      <c r="E94" s="1" t="s">
        <v>12826</v>
      </c>
      <c r="F94" s="1" t="s">
        <v>12552</v>
      </c>
    </row>
    <row r="95">
      <c r="A95" s="1" t="s">
        <v>12991</v>
      </c>
      <c r="B95" s="1" t="s">
        <v>2290</v>
      </c>
      <c r="C95" s="1" t="s">
        <v>12992</v>
      </c>
      <c r="D95" s="1" t="s">
        <v>1058</v>
      </c>
      <c r="E95" s="1" t="s">
        <v>12993</v>
      </c>
      <c r="F95" s="1" t="s">
        <v>12552</v>
      </c>
    </row>
    <row r="96">
      <c r="A96" s="1" t="s">
        <v>12994</v>
      </c>
      <c r="B96" s="1" t="s">
        <v>2290</v>
      </c>
      <c r="C96" s="1" t="s">
        <v>12995</v>
      </c>
      <c r="D96" s="1" t="s">
        <v>12996</v>
      </c>
      <c r="E96" s="1" t="s">
        <v>12997</v>
      </c>
      <c r="F96" s="1" t="s">
        <v>45</v>
      </c>
    </row>
    <row r="97">
      <c r="A97" s="1" t="s">
        <v>12999</v>
      </c>
      <c r="B97" s="1" t="s">
        <v>2290</v>
      </c>
      <c r="C97" s="1" t="s">
        <v>13000</v>
      </c>
      <c r="D97" s="1" t="s">
        <v>3757</v>
      </c>
      <c r="E97" s="1" t="s">
        <v>13001</v>
      </c>
      <c r="F97" s="1" t="s">
        <v>12580</v>
      </c>
    </row>
    <row r="98">
      <c r="A98" s="1" t="s">
        <v>13003</v>
      </c>
      <c r="B98" s="1" t="s">
        <v>2290</v>
      </c>
      <c r="C98" s="1" t="s">
        <v>13004</v>
      </c>
      <c r="D98" s="1" t="s">
        <v>13005</v>
      </c>
      <c r="E98" s="1" t="s">
        <v>13006</v>
      </c>
      <c r="F98" s="1" t="s">
        <v>12552</v>
      </c>
    </row>
    <row r="99">
      <c r="A99" s="1" t="s">
        <v>13007</v>
      </c>
      <c r="B99" s="1" t="s">
        <v>2290</v>
      </c>
      <c r="C99" s="1" t="s">
        <v>12817</v>
      </c>
      <c r="D99" s="1" t="s">
        <v>12819</v>
      </c>
      <c r="E99" s="1" t="s">
        <v>12820</v>
      </c>
      <c r="F99" s="1" t="s">
        <v>12561</v>
      </c>
    </row>
    <row r="100">
      <c r="A100" s="1" t="s">
        <v>13009</v>
      </c>
      <c r="B100" s="1" t="s">
        <v>2290</v>
      </c>
      <c r="C100" s="1" t="s">
        <v>13010</v>
      </c>
      <c r="D100" s="1" t="s">
        <v>13011</v>
      </c>
      <c r="E100" s="1" t="s">
        <v>13012</v>
      </c>
      <c r="F100" s="1" t="s">
        <v>89</v>
      </c>
    </row>
    <row r="101">
      <c r="A101" s="1" t="s">
        <v>13013</v>
      </c>
      <c r="B101" s="1" t="s">
        <v>2294</v>
      </c>
      <c r="C101" s="1" t="s">
        <v>13014</v>
      </c>
      <c r="D101" s="1" t="s">
        <v>13015</v>
      </c>
      <c r="E101" s="1" t="s">
        <v>13017</v>
      </c>
      <c r="F101" s="1" t="s">
        <v>45</v>
      </c>
    </row>
    <row r="102">
      <c r="A102" s="1" t="s">
        <v>13019</v>
      </c>
      <c r="B102" s="1" t="s">
        <v>2294</v>
      </c>
      <c r="C102" s="1" t="s">
        <v>12556</v>
      </c>
      <c r="D102" s="1" t="s">
        <v>12558</v>
      </c>
      <c r="E102" s="1" t="s">
        <v>12559</v>
      </c>
      <c r="F102" s="1" t="s">
        <v>12561</v>
      </c>
    </row>
    <row r="103">
      <c r="A103" s="1" t="s">
        <v>13022</v>
      </c>
      <c r="B103" s="1" t="s">
        <v>2294</v>
      </c>
      <c r="C103" s="1" t="s">
        <v>13023</v>
      </c>
      <c r="D103" s="1" t="s">
        <v>1591</v>
      </c>
      <c r="E103" s="1" t="s">
        <v>13024</v>
      </c>
      <c r="F103" s="1" t="s">
        <v>12552</v>
      </c>
    </row>
    <row r="104">
      <c r="A104" s="1" t="s">
        <v>13026</v>
      </c>
      <c r="B104" s="1" t="s">
        <v>2294</v>
      </c>
      <c r="C104" s="1" t="s">
        <v>13027</v>
      </c>
      <c r="D104" s="1" t="s">
        <v>13028</v>
      </c>
      <c r="E104" s="1" t="s">
        <v>13029</v>
      </c>
      <c r="F104" s="1" t="s">
        <v>89</v>
      </c>
    </row>
    <row r="105">
      <c r="A105" s="1" t="s">
        <v>13031</v>
      </c>
      <c r="B105" s="1" t="s">
        <v>2820</v>
      </c>
      <c r="C105" s="1" t="s">
        <v>12597</v>
      </c>
      <c r="D105" s="1" t="s">
        <v>485</v>
      </c>
      <c r="E105" s="1" t="s">
        <v>12600</v>
      </c>
      <c r="F105" s="1" t="s">
        <v>12552</v>
      </c>
    </row>
    <row r="106">
      <c r="A106" s="1" t="s">
        <v>13033</v>
      </c>
      <c r="B106" s="1" t="s">
        <v>144</v>
      </c>
      <c r="C106" s="1" t="s">
        <v>12604</v>
      </c>
      <c r="D106" s="1" t="s">
        <v>164</v>
      </c>
      <c r="E106" s="1" t="s">
        <v>12605</v>
      </c>
      <c r="F106" s="1" t="s">
        <v>12552</v>
      </c>
    </row>
    <row r="107">
      <c r="A107" s="1" t="s">
        <v>13034</v>
      </c>
      <c r="B107" s="1" t="s">
        <v>167</v>
      </c>
      <c r="C107" s="1" t="s">
        <v>13035</v>
      </c>
      <c r="D107" s="1" t="s">
        <v>186</v>
      </c>
      <c r="E107" s="1" t="s">
        <v>13036</v>
      </c>
      <c r="F107" s="1" t="s">
        <v>12552</v>
      </c>
    </row>
    <row r="108">
      <c r="A108" s="1" t="s">
        <v>13037</v>
      </c>
      <c r="B108" s="1" t="s">
        <v>167</v>
      </c>
      <c r="C108" s="1" t="s">
        <v>12689</v>
      </c>
      <c r="D108" s="1" t="s">
        <v>12690</v>
      </c>
      <c r="E108" s="1" t="s">
        <v>12691</v>
      </c>
      <c r="F108" s="1" t="s">
        <v>12561</v>
      </c>
    </row>
    <row r="109">
      <c r="A109" s="1" t="s">
        <v>13040</v>
      </c>
      <c r="B109" s="1" t="s">
        <v>167</v>
      </c>
      <c r="C109" s="1" t="s">
        <v>13042</v>
      </c>
      <c r="D109" s="1" t="s">
        <v>13043</v>
      </c>
      <c r="E109" s="1" t="s">
        <v>13044</v>
      </c>
      <c r="F109" s="1" t="s">
        <v>12552</v>
      </c>
    </row>
    <row r="110">
      <c r="A110" s="1" t="s">
        <v>13045</v>
      </c>
      <c r="B110" s="1" t="s">
        <v>478</v>
      </c>
      <c r="C110" s="1" t="s">
        <v>12597</v>
      </c>
      <c r="D110" s="1" t="s">
        <v>485</v>
      </c>
      <c r="E110" s="1" t="s">
        <v>12600</v>
      </c>
      <c r="F110" s="1" t="s">
        <v>12552</v>
      </c>
    </row>
    <row r="111">
      <c r="A111" s="1" t="s">
        <v>13046</v>
      </c>
      <c r="B111" s="1" t="s">
        <v>1256</v>
      </c>
      <c r="C111" s="1" t="s">
        <v>12859</v>
      </c>
      <c r="D111" s="1" t="s">
        <v>803</v>
      </c>
      <c r="E111" s="1" t="s">
        <v>12860</v>
      </c>
      <c r="F111" s="1" t="s">
        <v>12580</v>
      </c>
    </row>
    <row r="112">
      <c r="A112" s="1" t="s">
        <v>13048</v>
      </c>
      <c r="B112" s="1" t="s">
        <v>1256</v>
      </c>
      <c r="C112" s="1" t="s">
        <v>12584</v>
      </c>
      <c r="D112" s="1" t="s">
        <v>12585</v>
      </c>
      <c r="E112" s="1" t="s">
        <v>12587</v>
      </c>
      <c r="F112" s="1" t="s">
        <v>12561</v>
      </c>
    </row>
    <row r="113">
      <c r="A113" s="1" t="s">
        <v>13050</v>
      </c>
      <c r="B113" s="1" t="s">
        <v>1256</v>
      </c>
      <c r="C113" s="1" t="s">
        <v>13051</v>
      </c>
      <c r="D113" s="1" t="s">
        <v>13052</v>
      </c>
      <c r="E113" s="1" t="s">
        <v>13054</v>
      </c>
      <c r="F113" s="1" t="s">
        <v>89</v>
      </c>
    </row>
    <row r="114">
      <c r="A114" s="1" t="s">
        <v>13055</v>
      </c>
      <c r="B114" s="1" t="s">
        <v>1256</v>
      </c>
      <c r="C114" s="1" t="s">
        <v>13051</v>
      </c>
      <c r="D114" s="1" t="s">
        <v>13052</v>
      </c>
      <c r="E114" s="1" t="s">
        <v>13054</v>
      </c>
      <c r="F114" s="1" t="s">
        <v>45</v>
      </c>
    </row>
    <row r="115">
      <c r="A115" s="1" t="s">
        <v>13058</v>
      </c>
      <c r="B115" s="1" t="s">
        <v>1256</v>
      </c>
      <c r="C115" s="1" t="s">
        <v>12678</v>
      </c>
      <c r="D115" s="1" t="s">
        <v>1262</v>
      </c>
      <c r="E115" s="1" t="s">
        <v>12679</v>
      </c>
      <c r="F115" s="1" t="s">
        <v>12552</v>
      </c>
    </row>
    <row r="116">
      <c r="A116" s="1" t="s">
        <v>13059</v>
      </c>
      <c r="B116" s="1" t="s">
        <v>643</v>
      </c>
      <c r="C116" s="1" t="s">
        <v>12597</v>
      </c>
      <c r="D116" s="1" t="s">
        <v>485</v>
      </c>
      <c r="E116" s="1" t="s">
        <v>12600</v>
      </c>
      <c r="F116" s="1" t="s">
        <v>12552</v>
      </c>
    </row>
    <row r="117">
      <c r="A117" s="1" t="s">
        <v>13060</v>
      </c>
      <c r="B117" s="1" t="s">
        <v>643</v>
      </c>
      <c r="C117" s="1" t="s">
        <v>13061</v>
      </c>
      <c r="D117" s="1" t="s">
        <v>645</v>
      </c>
      <c r="E117" s="1" t="s">
        <v>13064</v>
      </c>
      <c r="F117" s="1" t="s">
        <v>12552</v>
      </c>
    </row>
    <row r="118">
      <c r="A118" s="1" t="s">
        <v>13065</v>
      </c>
      <c r="B118" s="1" t="s">
        <v>643</v>
      </c>
      <c r="C118" s="1" t="s">
        <v>13066</v>
      </c>
      <c r="D118" s="1" t="s">
        <v>13068</v>
      </c>
      <c r="E118" s="1" t="s">
        <v>13069</v>
      </c>
      <c r="F118" s="1" t="s">
        <v>12561</v>
      </c>
    </row>
    <row r="119">
      <c r="A119" s="1" t="s">
        <v>13070</v>
      </c>
      <c r="B119" s="1" t="s">
        <v>884</v>
      </c>
      <c r="C119" s="1" t="s">
        <v>12597</v>
      </c>
      <c r="D119" s="1" t="s">
        <v>485</v>
      </c>
      <c r="E119" s="1" t="s">
        <v>12600</v>
      </c>
      <c r="F119" s="1" t="s">
        <v>12552</v>
      </c>
    </row>
    <row r="120">
      <c r="A120" s="1" t="s">
        <v>13071</v>
      </c>
      <c r="B120" s="1" t="s">
        <v>884</v>
      </c>
      <c r="C120" s="1" t="s">
        <v>13072</v>
      </c>
      <c r="D120" s="1" t="s">
        <v>895</v>
      </c>
      <c r="E120" s="1" t="s">
        <v>13073</v>
      </c>
      <c r="F120" s="1" t="s">
        <v>12552</v>
      </c>
    </row>
    <row r="121">
      <c r="A121" s="1" t="s">
        <v>13074</v>
      </c>
      <c r="B121" s="1" t="s">
        <v>884</v>
      </c>
      <c r="C121" s="1" t="s">
        <v>13075</v>
      </c>
      <c r="D121" s="1" t="s">
        <v>13077</v>
      </c>
      <c r="E121" s="1" t="s">
        <v>13078</v>
      </c>
      <c r="F121" s="1" t="s">
        <v>89</v>
      </c>
    </row>
    <row r="122">
      <c r="A122" s="1" t="s">
        <v>13079</v>
      </c>
      <c r="B122" s="1" t="s">
        <v>884</v>
      </c>
      <c r="C122" s="1" t="s">
        <v>13080</v>
      </c>
      <c r="D122" s="1" t="s">
        <v>13082</v>
      </c>
      <c r="E122" s="1" t="s">
        <v>13083</v>
      </c>
      <c r="F122" s="1" t="s">
        <v>45</v>
      </c>
    </row>
    <row r="123">
      <c r="A123" s="1" t="s">
        <v>13084</v>
      </c>
      <c r="B123" s="1" t="s">
        <v>583</v>
      </c>
      <c r="C123" s="1" t="s">
        <v>12862</v>
      </c>
      <c r="D123" s="1" t="s">
        <v>2768</v>
      </c>
      <c r="E123" s="1" t="s">
        <v>12863</v>
      </c>
      <c r="F123" s="1" t="s">
        <v>12552</v>
      </c>
    </row>
    <row r="124">
      <c r="A124" s="1" t="s">
        <v>13085</v>
      </c>
      <c r="B124" s="1" t="s">
        <v>583</v>
      </c>
      <c r="C124" s="1" t="s">
        <v>13086</v>
      </c>
      <c r="D124" s="1" t="s">
        <v>588</v>
      </c>
      <c r="E124" s="1" t="s">
        <v>13087</v>
      </c>
      <c r="F124" s="1" t="s">
        <v>12552</v>
      </c>
    </row>
    <row r="125">
      <c r="A125" s="1" t="s">
        <v>13089</v>
      </c>
      <c r="B125" s="1" t="s">
        <v>957</v>
      </c>
      <c r="C125" s="1" t="s">
        <v>12597</v>
      </c>
      <c r="D125" s="1" t="s">
        <v>485</v>
      </c>
      <c r="E125" s="1" t="s">
        <v>12600</v>
      </c>
      <c r="F125" s="1" t="s">
        <v>12552</v>
      </c>
    </row>
    <row r="126">
      <c r="A126" s="1" t="s">
        <v>13090</v>
      </c>
      <c r="B126" s="1" t="s">
        <v>790</v>
      </c>
      <c r="C126" s="1" t="s">
        <v>12859</v>
      </c>
      <c r="D126" s="1" t="s">
        <v>803</v>
      </c>
      <c r="E126" s="1" t="s">
        <v>12860</v>
      </c>
      <c r="F126" s="1" t="s">
        <v>12552</v>
      </c>
    </row>
    <row r="127">
      <c r="A127" s="1" t="s">
        <v>13093</v>
      </c>
      <c r="B127" s="1" t="s">
        <v>3012</v>
      </c>
      <c r="C127" s="1" t="s">
        <v>12597</v>
      </c>
      <c r="D127" s="1" t="s">
        <v>485</v>
      </c>
      <c r="E127" s="1" t="s">
        <v>12600</v>
      </c>
      <c r="F127" s="1" t="s">
        <v>12552</v>
      </c>
    </row>
    <row r="128">
      <c r="A128" s="1" t="s">
        <v>13094</v>
      </c>
      <c r="B128" s="1" t="s">
        <v>827</v>
      </c>
      <c r="C128" s="1" t="s">
        <v>12597</v>
      </c>
      <c r="D128" s="1" t="s">
        <v>485</v>
      </c>
      <c r="E128" s="1" t="s">
        <v>12600</v>
      </c>
      <c r="F128" s="1" t="s">
        <v>12552</v>
      </c>
    </row>
    <row r="129">
      <c r="A129" s="1" t="s">
        <v>13095</v>
      </c>
      <c r="B129" s="1" t="s">
        <v>2325</v>
      </c>
      <c r="C129" s="1" t="s">
        <v>12960</v>
      </c>
      <c r="D129" s="1" t="s">
        <v>596</v>
      </c>
      <c r="E129" s="1" t="s">
        <v>12961</v>
      </c>
      <c r="F129" s="1" t="s">
        <v>12552</v>
      </c>
    </row>
    <row r="130">
      <c r="A130" s="1" t="s">
        <v>13099</v>
      </c>
      <c r="B130" s="1" t="s">
        <v>2327</v>
      </c>
      <c r="C130" s="1" t="s">
        <v>12597</v>
      </c>
      <c r="D130" s="1" t="s">
        <v>485</v>
      </c>
      <c r="E130" s="1" t="s">
        <v>12600</v>
      </c>
      <c r="F130" s="1" t="s">
        <v>12552</v>
      </c>
    </row>
    <row r="131">
      <c r="A131" s="1" t="s">
        <v>13100</v>
      </c>
      <c r="B131" s="1" t="s">
        <v>2327</v>
      </c>
      <c r="C131" s="1" t="s">
        <v>12992</v>
      </c>
      <c r="D131" s="1" t="s">
        <v>1058</v>
      </c>
      <c r="E131" s="1" t="s">
        <v>12993</v>
      </c>
      <c r="F131" s="1" t="s">
        <v>12552</v>
      </c>
    </row>
    <row r="132">
      <c r="A132" s="1" t="s">
        <v>13101</v>
      </c>
      <c r="B132" s="1" t="s">
        <v>2327</v>
      </c>
      <c r="C132" s="1" t="s">
        <v>13103</v>
      </c>
      <c r="D132" s="1" t="s">
        <v>13104</v>
      </c>
      <c r="E132" s="1" t="s">
        <v>13105</v>
      </c>
      <c r="F132" s="1" t="s">
        <v>89</v>
      </c>
    </row>
    <row r="133">
      <c r="A133" s="1" t="s">
        <v>13106</v>
      </c>
      <c r="B133" s="1" t="s">
        <v>2327</v>
      </c>
      <c r="C133" s="1" t="s">
        <v>12859</v>
      </c>
      <c r="D133" s="1" t="s">
        <v>803</v>
      </c>
      <c r="E133" s="1" t="s">
        <v>12860</v>
      </c>
      <c r="F133" s="1" t="s">
        <v>12552</v>
      </c>
    </row>
    <row r="134">
      <c r="A134" s="1" t="s">
        <v>13108</v>
      </c>
      <c r="B134" s="1" t="s">
        <v>2327</v>
      </c>
      <c r="C134" s="1" t="s">
        <v>13109</v>
      </c>
      <c r="D134" s="1" t="s">
        <v>13111</v>
      </c>
      <c r="E134" s="1" t="s">
        <v>13112</v>
      </c>
      <c r="F134" s="1" t="s">
        <v>45</v>
      </c>
    </row>
    <row r="135">
      <c r="A135" s="1" t="s">
        <v>13113</v>
      </c>
      <c r="B135" s="1" t="s">
        <v>2327</v>
      </c>
      <c r="C135" s="1" t="s">
        <v>12859</v>
      </c>
      <c r="D135" s="1" t="s">
        <v>803</v>
      </c>
      <c r="E135" s="1" t="s">
        <v>12860</v>
      </c>
      <c r="F135" s="1" t="s">
        <v>12561</v>
      </c>
    </row>
    <row r="136">
      <c r="A136" s="1" t="s">
        <v>13114</v>
      </c>
      <c r="B136" s="1" t="s">
        <v>1021</v>
      </c>
      <c r="C136" s="1" t="s">
        <v>12604</v>
      </c>
      <c r="D136" s="1" t="s">
        <v>164</v>
      </c>
      <c r="E136" s="1" t="s">
        <v>12605</v>
      </c>
      <c r="F136" s="1" t="s">
        <v>12580</v>
      </c>
    </row>
    <row r="137">
      <c r="A137" s="1" t="s">
        <v>13115</v>
      </c>
      <c r="B137" s="1" t="s">
        <v>1021</v>
      </c>
      <c r="C137" s="1" t="s">
        <v>13116</v>
      </c>
      <c r="D137" s="1" t="s">
        <v>13117</v>
      </c>
      <c r="E137" s="1" t="s">
        <v>13118</v>
      </c>
      <c r="F137" s="1" t="s">
        <v>89</v>
      </c>
    </row>
    <row r="138">
      <c r="A138" s="1" t="s">
        <v>13120</v>
      </c>
      <c r="B138" s="1" t="s">
        <v>1021</v>
      </c>
      <c r="C138" s="1" t="s">
        <v>13121</v>
      </c>
      <c r="D138" s="1" t="s">
        <v>13122</v>
      </c>
      <c r="E138" s="1" t="s">
        <v>13123</v>
      </c>
      <c r="F138" s="1" t="s">
        <v>45</v>
      </c>
    </row>
    <row r="139">
      <c r="A139" s="1" t="s">
        <v>13126</v>
      </c>
      <c r="B139" s="1" t="s">
        <v>1021</v>
      </c>
      <c r="C139" s="1" t="s">
        <v>12604</v>
      </c>
      <c r="D139" s="1" t="s">
        <v>164</v>
      </c>
      <c r="E139" s="1" t="s">
        <v>12605</v>
      </c>
      <c r="F139" s="1" t="s">
        <v>12561</v>
      </c>
    </row>
    <row r="140">
      <c r="A140" s="1" t="s">
        <v>13127</v>
      </c>
      <c r="B140" s="1" t="s">
        <v>1021</v>
      </c>
      <c r="C140" s="1" t="s">
        <v>12604</v>
      </c>
      <c r="D140" s="1" t="s">
        <v>164</v>
      </c>
      <c r="E140" s="1" t="s">
        <v>12605</v>
      </c>
      <c r="F140" s="1" t="s">
        <v>12552</v>
      </c>
    </row>
    <row r="141">
      <c r="A141" s="1" t="s">
        <v>13128</v>
      </c>
      <c r="B141" s="1" t="s">
        <v>1473</v>
      </c>
      <c r="C141" s="1" t="s">
        <v>13130</v>
      </c>
      <c r="D141" s="1" t="s">
        <v>2077</v>
      </c>
      <c r="E141" s="1" t="s">
        <v>13131</v>
      </c>
      <c r="F141" s="1" t="s">
        <v>12580</v>
      </c>
    </row>
    <row r="142">
      <c r="A142" s="1" t="s">
        <v>13132</v>
      </c>
      <c r="B142" s="1" t="s">
        <v>1473</v>
      </c>
      <c r="C142" s="1" t="s">
        <v>12556</v>
      </c>
      <c r="D142" s="1" t="s">
        <v>12558</v>
      </c>
      <c r="E142" s="1" t="s">
        <v>12559</v>
      </c>
      <c r="F142" s="1" t="s">
        <v>12561</v>
      </c>
    </row>
    <row r="143">
      <c r="A143" s="1" t="s">
        <v>13134</v>
      </c>
      <c r="B143" s="1" t="s">
        <v>1582</v>
      </c>
      <c r="C143" s="1" t="s">
        <v>13023</v>
      </c>
      <c r="D143" s="1" t="s">
        <v>1591</v>
      </c>
      <c r="E143" s="1" t="s">
        <v>13024</v>
      </c>
      <c r="F143" s="1" t="s">
        <v>12552</v>
      </c>
    </row>
    <row r="144">
      <c r="A144" s="1" t="s">
        <v>13136</v>
      </c>
      <c r="B144" s="1" t="s">
        <v>1582</v>
      </c>
      <c r="C144" s="1" t="s">
        <v>13138</v>
      </c>
      <c r="D144" s="1" t="s">
        <v>13139</v>
      </c>
      <c r="E144" s="1" t="s">
        <v>13141</v>
      </c>
      <c r="F144" s="1" t="s">
        <v>45</v>
      </c>
    </row>
    <row r="145">
      <c r="A145" s="1" t="s">
        <v>13142</v>
      </c>
      <c r="B145" s="1" t="s">
        <v>1582</v>
      </c>
      <c r="C145" s="1" t="s">
        <v>13138</v>
      </c>
      <c r="D145" s="1" t="s">
        <v>13139</v>
      </c>
      <c r="E145" s="1" t="s">
        <v>13141</v>
      </c>
      <c r="F145" s="1" t="s">
        <v>89</v>
      </c>
    </row>
    <row r="146">
      <c r="A146" s="1" t="s">
        <v>13144</v>
      </c>
      <c r="B146" s="1" t="s">
        <v>1582</v>
      </c>
      <c r="C146" s="1" t="s">
        <v>12556</v>
      </c>
      <c r="D146" s="1" t="s">
        <v>12558</v>
      </c>
      <c r="E146" s="1" t="s">
        <v>12559</v>
      </c>
      <c r="F146" s="1" t="s">
        <v>12561</v>
      </c>
    </row>
    <row r="147">
      <c r="A147" s="1" t="s">
        <v>13146</v>
      </c>
      <c r="B147" s="1" t="s">
        <v>2337</v>
      </c>
      <c r="C147" s="1" t="s">
        <v>13147</v>
      </c>
      <c r="D147" s="1" t="s">
        <v>3022</v>
      </c>
      <c r="E147" s="1" t="s">
        <v>13148</v>
      </c>
      <c r="F147" s="1" t="s">
        <v>12552</v>
      </c>
    </row>
    <row r="148">
      <c r="A148" s="1" t="s">
        <v>13150</v>
      </c>
      <c r="B148" s="1" t="s">
        <v>2337</v>
      </c>
      <c r="C148" s="1" t="s">
        <v>13151</v>
      </c>
      <c r="D148" s="1" t="s">
        <v>13152</v>
      </c>
      <c r="E148" s="1" t="s">
        <v>13153</v>
      </c>
      <c r="F148" s="1" t="s">
        <v>45</v>
      </c>
    </row>
    <row r="149">
      <c r="A149" s="1" t="s">
        <v>13155</v>
      </c>
      <c r="B149" s="1" t="s">
        <v>2337</v>
      </c>
      <c r="C149" s="1" t="s">
        <v>13156</v>
      </c>
      <c r="D149" s="1" t="s">
        <v>13157</v>
      </c>
      <c r="E149" s="1" t="s">
        <v>13158</v>
      </c>
      <c r="F149" s="1" t="s">
        <v>89</v>
      </c>
    </row>
    <row r="150">
      <c r="A150" s="1" t="s">
        <v>13159</v>
      </c>
      <c r="B150" s="1" t="s">
        <v>2337</v>
      </c>
      <c r="C150" s="1" t="s">
        <v>12556</v>
      </c>
      <c r="D150" s="1" t="s">
        <v>12558</v>
      </c>
      <c r="E150" s="1" t="s">
        <v>12559</v>
      </c>
      <c r="F150" s="1" t="s">
        <v>12561</v>
      </c>
    </row>
    <row r="151">
      <c r="A151" s="1" t="s">
        <v>13161</v>
      </c>
      <c r="B151" s="1" t="s">
        <v>2339</v>
      </c>
      <c r="C151" s="1" t="s">
        <v>13162</v>
      </c>
      <c r="D151" s="1" t="s">
        <v>2409</v>
      </c>
      <c r="E151" s="1" t="s">
        <v>13163</v>
      </c>
      <c r="F151" s="1" t="s">
        <v>12552</v>
      </c>
    </row>
    <row r="152">
      <c r="A152" s="1" t="s">
        <v>13165</v>
      </c>
      <c r="B152" s="1" t="s">
        <v>3382</v>
      </c>
      <c r="C152" s="1" t="s">
        <v>13166</v>
      </c>
      <c r="D152" s="1" t="s">
        <v>3384</v>
      </c>
      <c r="E152" s="1" t="s">
        <v>13167</v>
      </c>
      <c r="F152" s="1" t="s">
        <v>12552</v>
      </c>
    </row>
    <row r="153">
      <c r="A153" s="1" t="s">
        <v>13168</v>
      </c>
      <c r="B153" s="1" t="s">
        <v>3382</v>
      </c>
      <c r="C153" s="1" t="s">
        <v>12751</v>
      </c>
      <c r="D153" s="1" t="s">
        <v>12753</v>
      </c>
      <c r="E153" s="1" t="s">
        <v>12754</v>
      </c>
      <c r="F153" s="1" t="s">
        <v>12561</v>
      </c>
    </row>
    <row r="154">
      <c r="A154" s="1" t="s">
        <v>13171</v>
      </c>
      <c r="B154" s="1" t="s">
        <v>3382</v>
      </c>
      <c r="C154" s="1" t="s">
        <v>13172</v>
      </c>
      <c r="D154" s="1" t="s">
        <v>13173</v>
      </c>
      <c r="E154" s="1" t="s">
        <v>13174</v>
      </c>
      <c r="F154" s="1" t="s">
        <v>45</v>
      </c>
    </row>
    <row r="155">
      <c r="A155" s="1" t="s">
        <v>13175</v>
      </c>
      <c r="B155" s="1" t="s">
        <v>3382</v>
      </c>
      <c r="C155" s="1" t="s">
        <v>13177</v>
      </c>
      <c r="D155" s="1" t="s">
        <v>13173</v>
      </c>
      <c r="E155" s="1" t="s">
        <v>13178</v>
      </c>
      <c r="F155" s="1" t="s">
        <v>89</v>
      </c>
    </row>
    <row r="156">
      <c r="A156" s="1" t="s">
        <v>13179</v>
      </c>
      <c r="B156" s="1" t="s">
        <v>2341</v>
      </c>
      <c r="C156" s="1" t="s">
        <v>12556</v>
      </c>
      <c r="D156" s="1" t="s">
        <v>12558</v>
      </c>
      <c r="E156" s="1" t="s">
        <v>12559</v>
      </c>
      <c r="F156" s="1" t="s">
        <v>12561</v>
      </c>
    </row>
    <row r="157">
      <c r="A157" s="1" t="s">
        <v>13181</v>
      </c>
      <c r="B157" s="1" t="s">
        <v>2341</v>
      </c>
      <c r="C157" s="1" t="s">
        <v>12859</v>
      </c>
      <c r="D157" s="1" t="s">
        <v>803</v>
      </c>
      <c r="E157" s="1" t="s">
        <v>12860</v>
      </c>
      <c r="F157" s="1" t="s">
        <v>12552</v>
      </c>
    </row>
    <row r="158">
      <c r="A158" s="1" t="s">
        <v>13183</v>
      </c>
      <c r="B158" s="1" t="s">
        <v>2075</v>
      </c>
      <c r="C158" s="1" t="s">
        <v>13130</v>
      </c>
      <c r="D158" s="1" t="s">
        <v>2077</v>
      </c>
      <c r="E158" s="1" t="s">
        <v>13131</v>
      </c>
      <c r="F158" s="1" t="s">
        <v>12552</v>
      </c>
    </row>
    <row r="159">
      <c r="A159" s="1" t="s">
        <v>13184</v>
      </c>
      <c r="B159" s="1" t="s">
        <v>2075</v>
      </c>
      <c r="C159" s="1" t="s">
        <v>13185</v>
      </c>
      <c r="D159" s="1" t="s">
        <v>13186</v>
      </c>
      <c r="E159" s="1" t="s">
        <v>13187</v>
      </c>
      <c r="F159" s="1" t="s">
        <v>89</v>
      </c>
    </row>
    <row r="160">
      <c r="A160" s="1" t="s">
        <v>13189</v>
      </c>
      <c r="B160" s="1" t="s">
        <v>2075</v>
      </c>
      <c r="C160" s="1" t="s">
        <v>12556</v>
      </c>
      <c r="D160" s="1" t="s">
        <v>12558</v>
      </c>
      <c r="E160" s="1" t="s">
        <v>12559</v>
      </c>
      <c r="F160" s="1" t="s">
        <v>12561</v>
      </c>
    </row>
    <row r="161">
      <c r="A161" s="1" t="s">
        <v>13192</v>
      </c>
      <c r="B161" s="1" t="s">
        <v>2075</v>
      </c>
      <c r="C161" s="1" t="s">
        <v>13185</v>
      </c>
      <c r="D161" s="1" t="s">
        <v>13186</v>
      </c>
      <c r="E161" s="1" t="s">
        <v>13187</v>
      </c>
      <c r="F161" s="1" t="s">
        <v>45</v>
      </c>
    </row>
    <row r="162">
      <c r="A162" s="1" t="s">
        <v>13193</v>
      </c>
      <c r="B162" s="1" t="s">
        <v>2138</v>
      </c>
      <c r="C162" s="1" t="s">
        <v>12597</v>
      </c>
      <c r="D162" s="1" t="s">
        <v>485</v>
      </c>
      <c r="E162" s="1" t="s">
        <v>12600</v>
      </c>
      <c r="F162" s="1" t="s">
        <v>12552</v>
      </c>
    </row>
    <row r="163">
      <c r="A163" s="1" t="s">
        <v>13195</v>
      </c>
      <c r="B163" s="1" t="s">
        <v>2138</v>
      </c>
      <c r="C163" s="1" t="s">
        <v>13197</v>
      </c>
      <c r="D163" s="1" t="s">
        <v>2143</v>
      </c>
      <c r="E163" s="1" t="s">
        <v>13198</v>
      </c>
      <c r="F163" s="1" t="s">
        <v>12552</v>
      </c>
    </row>
    <row r="164">
      <c r="A164" s="1" t="s">
        <v>13199</v>
      </c>
      <c r="B164" s="1" t="s">
        <v>2138</v>
      </c>
      <c r="C164" s="1" t="s">
        <v>13200</v>
      </c>
      <c r="D164" s="1" t="s">
        <v>9623</v>
      </c>
      <c r="E164" s="1" t="s">
        <v>13201</v>
      </c>
      <c r="F164" s="1" t="s">
        <v>12561</v>
      </c>
    </row>
    <row r="165">
      <c r="A165" s="1" t="s">
        <v>13202</v>
      </c>
      <c r="B165" s="1" t="s">
        <v>2350</v>
      </c>
      <c r="C165" s="1" t="s">
        <v>13204</v>
      </c>
      <c r="D165" s="1" t="s">
        <v>1844</v>
      </c>
      <c r="E165" s="1" t="s">
        <v>13205</v>
      </c>
      <c r="F165" s="1" t="s">
        <v>12552</v>
      </c>
    </row>
    <row r="166">
      <c r="A166" s="1" t="s">
        <v>13206</v>
      </c>
      <c r="B166" s="1" t="s">
        <v>2350</v>
      </c>
      <c r="C166" s="1" t="s">
        <v>12584</v>
      </c>
      <c r="D166" s="1" t="s">
        <v>12585</v>
      </c>
      <c r="E166" s="1" t="s">
        <v>12587</v>
      </c>
      <c r="F166" s="1" t="s">
        <v>12561</v>
      </c>
    </row>
    <row r="167">
      <c r="A167" s="1" t="s">
        <v>13208</v>
      </c>
      <c r="B167" s="1" t="s">
        <v>2350</v>
      </c>
      <c r="C167" s="1" t="s">
        <v>13209</v>
      </c>
      <c r="D167" s="1" t="s">
        <v>13210</v>
      </c>
      <c r="E167" s="1" t="s">
        <v>13211</v>
      </c>
      <c r="F167" s="1" t="s">
        <v>45</v>
      </c>
    </row>
    <row r="168">
      <c r="A168" s="1" t="s">
        <v>13212</v>
      </c>
      <c r="B168" s="1" t="s">
        <v>2350</v>
      </c>
      <c r="C168" s="1" t="s">
        <v>13213</v>
      </c>
      <c r="D168" s="1" t="s">
        <v>13214</v>
      </c>
      <c r="E168" s="1" t="s">
        <v>13216</v>
      </c>
      <c r="F168" s="1" t="s">
        <v>89</v>
      </c>
    </row>
    <row r="169">
      <c r="A169" s="1" t="s">
        <v>13218</v>
      </c>
      <c r="B169" s="1" t="s">
        <v>1721</v>
      </c>
      <c r="C169" s="1" t="s">
        <v>12848</v>
      </c>
      <c r="D169" s="1" t="s">
        <v>1733</v>
      </c>
      <c r="E169" s="1" t="s">
        <v>12849</v>
      </c>
      <c r="F169" s="1" t="s">
        <v>12552</v>
      </c>
    </row>
    <row r="170">
      <c r="A170" s="1" t="s">
        <v>13220</v>
      </c>
      <c r="B170" s="1" t="s">
        <v>1721</v>
      </c>
      <c r="C170" s="1" t="s">
        <v>13221</v>
      </c>
      <c r="D170" s="1" t="s">
        <v>13222</v>
      </c>
      <c r="E170" s="1" t="s">
        <v>13223</v>
      </c>
      <c r="F170" s="1" t="s">
        <v>45</v>
      </c>
    </row>
    <row r="171">
      <c r="A171" s="1" t="s">
        <v>13224</v>
      </c>
      <c r="B171" s="1" t="s">
        <v>1721</v>
      </c>
      <c r="C171" s="1" t="s">
        <v>12833</v>
      </c>
      <c r="D171" s="1" t="s">
        <v>12834</v>
      </c>
      <c r="E171" s="1" t="s">
        <v>12835</v>
      </c>
      <c r="F171" s="1" t="s">
        <v>12561</v>
      </c>
    </row>
    <row r="172">
      <c r="A172" s="1" t="s">
        <v>13226</v>
      </c>
      <c r="B172" s="1" t="s">
        <v>1721</v>
      </c>
      <c r="C172" s="1" t="s">
        <v>13221</v>
      </c>
      <c r="D172" s="1" t="s">
        <v>13222</v>
      </c>
      <c r="E172" s="1" t="s">
        <v>13223</v>
      </c>
      <c r="F172" s="1" t="s">
        <v>89</v>
      </c>
    </row>
    <row r="173">
      <c r="A173" s="1" t="s">
        <v>13228</v>
      </c>
      <c r="B173" s="1" t="s">
        <v>3372</v>
      </c>
      <c r="C173" s="1" t="s">
        <v>12597</v>
      </c>
      <c r="D173" s="1" t="s">
        <v>485</v>
      </c>
      <c r="E173" s="1" t="s">
        <v>12600</v>
      </c>
      <c r="F173" s="1" t="s">
        <v>12552</v>
      </c>
    </row>
    <row r="174">
      <c r="A174" s="1" t="s">
        <v>13230</v>
      </c>
      <c r="B174" s="1" t="s">
        <v>3358</v>
      </c>
      <c r="C174" s="1" t="s">
        <v>13231</v>
      </c>
      <c r="D174" s="1" t="s">
        <v>3650</v>
      </c>
      <c r="E174" s="1" t="s">
        <v>13232</v>
      </c>
      <c r="F174" s="1" t="s">
        <v>12552</v>
      </c>
    </row>
    <row r="175">
      <c r="A175" s="1" t="s">
        <v>13233</v>
      </c>
      <c r="B175" s="1" t="s">
        <v>1912</v>
      </c>
      <c r="C175" s="1" t="s">
        <v>13234</v>
      </c>
      <c r="D175" s="1" t="s">
        <v>1917</v>
      </c>
      <c r="E175" s="1" t="s">
        <v>13236</v>
      </c>
      <c r="F175" s="1" t="s">
        <v>12552</v>
      </c>
    </row>
    <row r="176">
      <c r="A176" s="1" t="s">
        <v>13237</v>
      </c>
      <c r="B176" s="1" t="s">
        <v>1930</v>
      </c>
      <c r="C176" s="1" t="s">
        <v>12604</v>
      </c>
      <c r="D176" s="1" t="s">
        <v>164</v>
      </c>
      <c r="E176" s="1" t="s">
        <v>12605</v>
      </c>
      <c r="F176" s="1" t="s">
        <v>12552</v>
      </c>
    </row>
    <row r="177">
      <c r="A177" s="1" t="s">
        <v>13239</v>
      </c>
      <c r="B177" s="1" t="s">
        <v>2359</v>
      </c>
      <c r="C177" s="1" t="s">
        <v>12597</v>
      </c>
      <c r="D177" s="1" t="s">
        <v>485</v>
      </c>
      <c r="E177" s="1" t="s">
        <v>12600</v>
      </c>
      <c r="F177" s="1" t="s">
        <v>12552</v>
      </c>
    </row>
    <row r="178">
      <c r="A178" s="1" t="s">
        <v>13240</v>
      </c>
      <c r="B178" s="1" t="s">
        <v>2359</v>
      </c>
      <c r="C178" s="1" t="s">
        <v>13241</v>
      </c>
      <c r="D178" s="1" t="s">
        <v>13242</v>
      </c>
      <c r="E178" s="1" t="s">
        <v>13243</v>
      </c>
      <c r="F178" s="1" t="s">
        <v>45</v>
      </c>
    </row>
    <row r="179">
      <c r="A179" s="1" t="s">
        <v>13244</v>
      </c>
      <c r="B179" s="1" t="s">
        <v>2359</v>
      </c>
      <c r="C179" s="1" t="s">
        <v>13241</v>
      </c>
      <c r="D179" s="1" t="s">
        <v>13242</v>
      </c>
      <c r="E179" s="1" t="s">
        <v>13243</v>
      </c>
      <c r="F179" s="1" t="s">
        <v>89</v>
      </c>
    </row>
    <row r="180">
      <c r="A180" s="1" t="s">
        <v>13246</v>
      </c>
      <c r="B180" s="1" t="s">
        <v>2362</v>
      </c>
      <c r="C180" s="1" t="s">
        <v>12597</v>
      </c>
      <c r="D180" s="1" t="s">
        <v>485</v>
      </c>
      <c r="E180" s="1" t="s">
        <v>12600</v>
      </c>
      <c r="F180" s="1" t="s">
        <v>12580</v>
      </c>
    </row>
    <row r="181">
      <c r="A181" s="1" t="s">
        <v>13247</v>
      </c>
      <c r="B181" s="1" t="s">
        <v>2362</v>
      </c>
      <c r="C181" s="1" t="s">
        <v>13248</v>
      </c>
      <c r="D181" s="1" t="s">
        <v>3581</v>
      </c>
      <c r="E181" s="1" t="s">
        <v>13249</v>
      </c>
      <c r="F181" s="1" t="s">
        <v>12552</v>
      </c>
    </row>
    <row r="182">
      <c r="A182" s="1" t="s">
        <v>13250</v>
      </c>
      <c r="B182" s="1" t="s">
        <v>1937</v>
      </c>
      <c r="C182" s="1" t="s">
        <v>12597</v>
      </c>
      <c r="D182" s="1" t="s">
        <v>485</v>
      </c>
      <c r="E182" s="1" t="s">
        <v>12600</v>
      </c>
      <c r="F182" s="1" t="s">
        <v>12552</v>
      </c>
    </row>
    <row r="183">
      <c r="A183" s="1" t="s">
        <v>13252</v>
      </c>
      <c r="B183" s="1" t="s">
        <v>3475</v>
      </c>
      <c r="C183" s="1" t="s">
        <v>13254</v>
      </c>
      <c r="D183" s="1" t="s">
        <v>3478</v>
      </c>
      <c r="E183" s="1" t="s">
        <v>13255</v>
      </c>
      <c r="F183" s="1" t="s">
        <v>12552</v>
      </c>
    </row>
    <row r="184">
      <c r="A184" s="1" t="s">
        <v>13256</v>
      </c>
      <c r="B184" s="1" t="s">
        <v>1980</v>
      </c>
      <c r="C184" s="1" t="s">
        <v>13257</v>
      </c>
      <c r="D184" s="1" t="s">
        <v>13258</v>
      </c>
      <c r="E184" s="1" t="s">
        <v>13259</v>
      </c>
      <c r="F184" s="1" t="s">
        <v>12561</v>
      </c>
    </row>
    <row r="185">
      <c r="A185" s="1" t="s">
        <v>13260</v>
      </c>
      <c r="B185" s="1" t="s">
        <v>1980</v>
      </c>
      <c r="C185" s="1" t="s">
        <v>12597</v>
      </c>
      <c r="D185" s="1" t="s">
        <v>485</v>
      </c>
      <c r="E185" s="1" t="s">
        <v>12600</v>
      </c>
      <c r="F185" s="1" t="s">
        <v>12552</v>
      </c>
    </row>
    <row r="186">
      <c r="A186" s="1" t="s">
        <v>13261</v>
      </c>
      <c r="B186" s="1" t="s">
        <v>1980</v>
      </c>
      <c r="C186" s="1" t="s">
        <v>13263</v>
      </c>
      <c r="D186" s="1" t="s">
        <v>8675</v>
      </c>
      <c r="E186" s="1" t="s">
        <v>13264</v>
      </c>
      <c r="F186" s="1" t="s">
        <v>12552</v>
      </c>
    </row>
    <row r="187">
      <c r="A187" s="1" t="s">
        <v>13265</v>
      </c>
      <c r="B187" s="1" t="s">
        <v>2035</v>
      </c>
      <c r="C187" s="1" t="s">
        <v>13023</v>
      </c>
      <c r="D187" s="1" t="s">
        <v>1591</v>
      </c>
      <c r="E187" s="1" t="s">
        <v>13024</v>
      </c>
      <c r="F187" s="1" t="s">
        <v>12580</v>
      </c>
    </row>
    <row r="188">
      <c r="A188" s="1" t="s">
        <v>13267</v>
      </c>
      <c r="B188" s="1" t="s">
        <v>2035</v>
      </c>
      <c r="C188" s="1" t="s">
        <v>12556</v>
      </c>
      <c r="D188" s="1" t="s">
        <v>12558</v>
      </c>
      <c r="E188" s="1" t="s">
        <v>12559</v>
      </c>
      <c r="F188" s="1" t="s">
        <v>12561</v>
      </c>
    </row>
    <row r="189">
      <c r="A189" s="1" t="s">
        <v>13268</v>
      </c>
      <c r="B189" s="1" t="s">
        <v>2035</v>
      </c>
      <c r="C189" s="1" t="s">
        <v>13269</v>
      </c>
      <c r="D189" s="1" t="s">
        <v>13270</v>
      </c>
      <c r="E189" s="1" t="s">
        <v>13271</v>
      </c>
      <c r="F189" s="1" t="s">
        <v>45</v>
      </c>
    </row>
    <row r="190">
      <c r="A190" s="1" t="s">
        <v>13273</v>
      </c>
      <c r="B190" s="1" t="s">
        <v>2035</v>
      </c>
      <c r="C190" s="1" t="s">
        <v>13274</v>
      </c>
      <c r="D190" s="1" t="s">
        <v>13275</v>
      </c>
      <c r="E190" s="1" t="s">
        <v>13276</v>
      </c>
      <c r="F190" s="1" t="s">
        <v>89</v>
      </c>
    </row>
    <row r="191">
      <c r="A191" s="1" t="s">
        <v>13278</v>
      </c>
      <c r="B191" s="1" t="s">
        <v>2365</v>
      </c>
      <c r="C191" s="1" t="s">
        <v>13279</v>
      </c>
      <c r="D191" s="1" t="s">
        <v>13280</v>
      </c>
      <c r="E191" s="1" t="s">
        <v>13281</v>
      </c>
      <c r="F191" s="1" t="s">
        <v>45</v>
      </c>
    </row>
    <row r="192">
      <c r="A192" s="1" t="s">
        <v>13282</v>
      </c>
      <c r="B192" s="1" t="s">
        <v>2365</v>
      </c>
      <c r="C192" s="1" t="s">
        <v>13023</v>
      </c>
      <c r="D192" s="1" t="s">
        <v>1591</v>
      </c>
      <c r="E192" s="1" t="s">
        <v>13024</v>
      </c>
      <c r="F192" s="1" t="s">
        <v>12552</v>
      </c>
    </row>
    <row r="193">
      <c r="A193" s="1" t="s">
        <v>13283</v>
      </c>
      <c r="B193" s="1" t="s">
        <v>2365</v>
      </c>
      <c r="C193" s="1" t="s">
        <v>12556</v>
      </c>
      <c r="D193" s="1" t="s">
        <v>12558</v>
      </c>
      <c r="E193" s="1" t="s">
        <v>12559</v>
      </c>
      <c r="F193" s="1" t="s">
        <v>12561</v>
      </c>
    </row>
    <row r="194">
      <c r="A194" s="1" t="s">
        <v>13285</v>
      </c>
      <c r="B194" s="1" t="s">
        <v>2365</v>
      </c>
      <c r="C194" s="1" t="s">
        <v>13279</v>
      </c>
      <c r="D194" s="1" t="s">
        <v>13280</v>
      </c>
      <c r="E194" s="1" t="s">
        <v>13281</v>
      </c>
      <c r="F194" s="1" t="s">
        <v>89</v>
      </c>
    </row>
    <row r="195">
      <c r="A195" s="1" t="s">
        <v>13288</v>
      </c>
      <c r="B195" s="1" t="s">
        <v>2365</v>
      </c>
      <c r="C195" s="1" t="s">
        <v>13289</v>
      </c>
      <c r="D195" s="1" t="s">
        <v>13290</v>
      </c>
      <c r="E195" s="1" t="s">
        <v>13291</v>
      </c>
      <c r="F195" s="1" t="s">
        <v>12580</v>
      </c>
    </row>
    <row r="196">
      <c r="A196" s="1" t="s">
        <v>13292</v>
      </c>
      <c r="B196" s="1" t="s">
        <v>3590</v>
      </c>
      <c r="C196" s="1" t="s">
        <v>12556</v>
      </c>
      <c r="D196" s="1" t="s">
        <v>12558</v>
      </c>
      <c r="E196" s="1" t="s">
        <v>12559</v>
      </c>
      <c r="F196" s="1" t="s">
        <v>12561</v>
      </c>
    </row>
    <row r="197">
      <c r="A197" s="1" t="s">
        <v>13294</v>
      </c>
      <c r="B197" s="1" t="s">
        <v>3590</v>
      </c>
      <c r="C197" s="1" t="s">
        <v>13295</v>
      </c>
      <c r="D197" s="1" t="s">
        <v>13296</v>
      </c>
      <c r="E197" s="1" t="s">
        <v>13297</v>
      </c>
      <c r="F197" s="1" t="s">
        <v>45</v>
      </c>
    </row>
    <row r="198">
      <c r="A198" s="1" t="s">
        <v>13299</v>
      </c>
      <c r="B198" s="1" t="s">
        <v>3590</v>
      </c>
      <c r="C198" s="1" t="s">
        <v>13130</v>
      </c>
      <c r="D198" s="1" t="s">
        <v>2077</v>
      </c>
      <c r="E198" s="1" t="s">
        <v>13131</v>
      </c>
      <c r="F198" s="1" t="s">
        <v>12552</v>
      </c>
    </row>
    <row r="199">
      <c r="A199" s="1" t="s">
        <v>13301</v>
      </c>
      <c r="B199" s="1" t="s">
        <v>3590</v>
      </c>
      <c r="C199" s="1" t="s">
        <v>13302</v>
      </c>
      <c r="D199" s="1" t="s">
        <v>13303</v>
      </c>
      <c r="E199" s="1" t="s">
        <v>13304</v>
      </c>
      <c r="F199" s="1" t="s">
        <v>89</v>
      </c>
    </row>
    <row r="200">
      <c r="A200" s="1" t="s">
        <v>13305</v>
      </c>
      <c r="B200" s="1" t="s">
        <v>2331</v>
      </c>
      <c r="C200" s="1" t="s">
        <v>13307</v>
      </c>
      <c r="D200" s="1" t="s">
        <v>13308</v>
      </c>
      <c r="E200" s="1" t="s">
        <v>13309</v>
      </c>
      <c r="F200" s="1" t="s">
        <v>45</v>
      </c>
    </row>
    <row r="201">
      <c r="A201" s="1" t="s">
        <v>13310</v>
      </c>
      <c r="B201" s="1" t="s">
        <v>2331</v>
      </c>
      <c r="C201" s="1" t="s">
        <v>13307</v>
      </c>
      <c r="D201" s="1" t="s">
        <v>13308</v>
      </c>
      <c r="E201" s="1" t="s">
        <v>13309</v>
      </c>
      <c r="F201" s="1" t="s">
        <v>89</v>
      </c>
    </row>
    <row r="202">
      <c r="A202" s="1" t="s">
        <v>13312</v>
      </c>
      <c r="B202" s="1" t="s">
        <v>2331</v>
      </c>
      <c r="C202" s="1" t="s">
        <v>12859</v>
      </c>
      <c r="D202" s="1" t="s">
        <v>803</v>
      </c>
      <c r="E202" s="1" t="s">
        <v>12860</v>
      </c>
      <c r="F202" s="1" t="s">
        <v>12552</v>
      </c>
    </row>
    <row r="203">
      <c r="A203" s="1" t="s">
        <v>13314</v>
      </c>
      <c r="B203" s="1" t="s">
        <v>2331</v>
      </c>
      <c r="C203" s="1" t="s">
        <v>12556</v>
      </c>
      <c r="D203" s="1" t="s">
        <v>12558</v>
      </c>
      <c r="E203" s="1" t="s">
        <v>12559</v>
      </c>
      <c r="F203" s="1" t="s">
        <v>12561</v>
      </c>
    </row>
    <row r="204">
      <c r="A204" s="1" t="s">
        <v>13316</v>
      </c>
      <c r="B204" s="1" t="s">
        <v>3646</v>
      </c>
      <c r="C204" s="1" t="s">
        <v>13231</v>
      </c>
      <c r="D204" s="1" t="s">
        <v>3650</v>
      </c>
      <c r="E204" s="1" t="s">
        <v>13232</v>
      </c>
      <c r="F204" s="1" t="s">
        <v>12552</v>
      </c>
    </row>
    <row r="205">
      <c r="A205" s="1" t="s">
        <v>13317</v>
      </c>
      <c r="B205" s="1" t="s">
        <v>2428</v>
      </c>
      <c r="C205" s="1" t="s">
        <v>12597</v>
      </c>
      <c r="D205" s="1" t="s">
        <v>485</v>
      </c>
      <c r="E205" s="1" t="s">
        <v>12600</v>
      </c>
      <c r="F205" s="1" t="s">
        <v>12552</v>
      </c>
    </row>
    <row r="206">
      <c r="A206" s="1" t="s">
        <v>13319</v>
      </c>
      <c r="B206" s="1" t="s">
        <v>2371</v>
      </c>
      <c r="C206" s="1" t="s">
        <v>13321</v>
      </c>
      <c r="D206" s="1" t="s">
        <v>13322</v>
      </c>
      <c r="E206" s="1" t="s">
        <v>13323</v>
      </c>
      <c r="F206" s="1" t="s">
        <v>45</v>
      </c>
    </row>
    <row r="207">
      <c r="A207" s="1" t="s">
        <v>13324</v>
      </c>
      <c r="B207" s="1" t="s">
        <v>2371</v>
      </c>
      <c r="C207" s="1" t="s">
        <v>12564</v>
      </c>
      <c r="D207" s="1" t="s">
        <v>3535</v>
      </c>
      <c r="E207" s="1" t="s">
        <v>12565</v>
      </c>
      <c r="F207" s="1" t="s">
        <v>12552</v>
      </c>
    </row>
    <row r="208">
      <c r="A208" s="1" t="s">
        <v>13327</v>
      </c>
      <c r="B208" s="1" t="s">
        <v>2371</v>
      </c>
      <c r="C208" s="1" t="s">
        <v>13321</v>
      </c>
      <c r="D208" s="1" t="s">
        <v>13322</v>
      </c>
      <c r="E208" s="1" t="s">
        <v>13323</v>
      </c>
      <c r="F208" s="1" t="s">
        <v>89</v>
      </c>
    </row>
    <row r="209">
      <c r="A209" s="1" t="s">
        <v>13328</v>
      </c>
      <c r="B209" s="1" t="s">
        <v>2373</v>
      </c>
      <c r="C209" s="1" t="s">
        <v>13329</v>
      </c>
      <c r="D209" s="1" t="s">
        <v>13330</v>
      </c>
      <c r="E209" s="1" t="s">
        <v>13332</v>
      </c>
      <c r="F209" s="1" t="s">
        <v>89</v>
      </c>
    </row>
    <row r="210">
      <c r="A210" s="1" t="s">
        <v>13333</v>
      </c>
      <c r="B210" s="1" t="s">
        <v>2373</v>
      </c>
      <c r="C210" s="1" t="s">
        <v>13329</v>
      </c>
      <c r="D210" s="1" t="s">
        <v>13330</v>
      </c>
      <c r="E210" s="1" t="s">
        <v>13332</v>
      </c>
      <c r="F210" s="1" t="s">
        <v>45</v>
      </c>
    </row>
    <row r="211">
      <c r="A211" s="1" t="s">
        <v>13336</v>
      </c>
      <c r="B211" s="1" t="s">
        <v>2373</v>
      </c>
      <c r="C211" s="1" t="s">
        <v>13337</v>
      </c>
      <c r="D211" s="1" t="s">
        <v>3360</v>
      </c>
      <c r="E211" s="1" t="s">
        <v>13338</v>
      </c>
      <c r="F211" s="1" t="s">
        <v>12552</v>
      </c>
    </row>
    <row r="212">
      <c r="A212" s="1" t="s">
        <v>13339</v>
      </c>
      <c r="B212" s="1" t="s">
        <v>2373</v>
      </c>
      <c r="C212" s="1" t="s">
        <v>12751</v>
      </c>
      <c r="D212" s="1" t="s">
        <v>12753</v>
      </c>
      <c r="E212" s="1" t="s">
        <v>12754</v>
      </c>
      <c r="F212" s="1" t="s">
        <v>12561</v>
      </c>
    </row>
    <row r="213">
      <c r="A213" s="1" t="s">
        <v>13341</v>
      </c>
      <c r="B213" s="1" t="s">
        <v>2376</v>
      </c>
      <c r="C213" s="1" t="s">
        <v>13343</v>
      </c>
      <c r="D213" s="1" t="s">
        <v>2452</v>
      </c>
      <c r="E213" s="1" t="s">
        <v>13344</v>
      </c>
      <c r="F213" s="1" t="s">
        <v>12552</v>
      </c>
    </row>
    <row r="214">
      <c r="A214" s="1" t="s">
        <v>13345</v>
      </c>
      <c r="B214" s="1" t="s">
        <v>2376</v>
      </c>
      <c r="C214" s="1" t="s">
        <v>13004</v>
      </c>
      <c r="D214" s="1" t="s">
        <v>13005</v>
      </c>
      <c r="E214" s="1" t="s">
        <v>13006</v>
      </c>
      <c r="F214" s="1" t="s">
        <v>12580</v>
      </c>
    </row>
    <row r="215">
      <c r="A215" s="1" t="s">
        <v>13347</v>
      </c>
      <c r="B215" s="1" t="s">
        <v>113</v>
      </c>
      <c r="C215" s="1" t="s">
        <v>13348</v>
      </c>
      <c r="D215" s="1" t="s">
        <v>134</v>
      </c>
      <c r="E215" s="1" t="s">
        <v>13349</v>
      </c>
      <c r="F215" s="1" t="s">
        <v>12552</v>
      </c>
    </row>
    <row r="216">
      <c r="A216" s="1" t="s">
        <v>13350</v>
      </c>
      <c r="B216" s="1" t="s">
        <v>2484</v>
      </c>
      <c r="C216" s="1" t="s">
        <v>13352</v>
      </c>
      <c r="D216" s="1" t="s">
        <v>5108</v>
      </c>
      <c r="E216" s="1" t="s">
        <v>13354</v>
      </c>
      <c r="F216" s="1" t="s">
        <v>12552</v>
      </c>
    </row>
    <row r="217">
      <c r="A217" s="1" t="s">
        <v>13355</v>
      </c>
      <c r="B217" s="1" t="s">
        <v>2484</v>
      </c>
      <c r="C217" s="1" t="s">
        <v>12597</v>
      </c>
      <c r="D217" s="1" t="s">
        <v>485</v>
      </c>
      <c r="E217" s="1" t="s">
        <v>12600</v>
      </c>
      <c r="F217" s="1" t="s">
        <v>12552</v>
      </c>
    </row>
    <row r="218">
      <c r="A218" s="1" t="s">
        <v>13357</v>
      </c>
      <c r="B218" s="1" t="s">
        <v>4174</v>
      </c>
      <c r="C218" s="1" t="s">
        <v>12597</v>
      </c>
      <c r="D218" s="1" t="s">
        <v>485</v>
      </c>
      <c r="E218" s="1" t="s">
        <v>12600</v>
      </c>
      <c r="F218" s="1" t="s">
        <v>12552</v>
      </c>
    </row>
    <row r="219">
      <c r="A219" s="1" t="s">
        <v>13359</v>
      </c>
      <c r="B219" s="1" t="s">
        <v>3941</v>
      </c>
      <c r="C219" s="1" t="s">
        <v>13231</v>
      </c>
      <c r="D219" s="1" t="s">
        <v>3650</v>
      </c>
      <c r="E219" s="1" t="s">
        <v>13232</v>
      </c>
      <c r="F219" s="1" t="s">
        <v>12552</v>
      </c>
    </row>
    <row r="220">
      <c r="A220" s="1" t="s">
        <v>13360</v>
      </c>
      <c r="B220" s="1" t="s">
        <v>4073</v>
      </c>
      <c r="C220" s="1" t="s">
        <v>13361</v>
      </c>
      <c r="D220" s="1" t="s">
        <v>4077</v>
      </c>
      <c r="E220" s="1" t="s">
        <v>13364</v>
      </c>
      <c r="F220" s="1" t="s">
        <v>12552</v>
      </c>
    </row>
    <row r="221">
      <c r="A221" s="1" t="s">
        <v>13365</v>
      </c>
      <c r="B221" s="1" t="s">
        <v>2388</v>
      </c>
      <c r="C221" s="1" t="s">
        <v>13367</v>
      </c>
      <c r="D221" s="1" t="s">
        <v>13368</v>
      </c>
      <c r="E221" s="1" t="s">
        <v>13369</v>
      </c>
      <c r="F221" s="1" t="s">
        <v>45</v>
      </c>
    </row>
    <row r="222">
      <c r="A222" s="1" t="s">
        <v>13370</v>
      </c>
      <c r="B222" s="1" t="s">
        <v>2388</v>
      </c>
      <c r="C222" s="1" t="s">
        <v>13371</v>
      </c>
      <c r="D222" s="1" t="s">
        <v>13372</v>
      </c>
      <c r="E222" s="1" t="s">
        <v>13373</v>
      </c>
      <c r="F222" s="1" t="s">
        <v>89</v>
      </c>
    </row>
    <row r="223">
      <c r="A223" s="1" t="s">
        <v>13374</v>
      </c>
      <c r="B223" s="1" t="s">
        <v>2388</v>
      </c>
      <c r="C223" s="1" t="s">
        <v>12920</v>
      </c>
      <c r="D223" s="1" t="s">
        <v>12921</v>
      </c>
      <c r="E223" s="1" t="s">
        <v>12922</v>
      </c>
      <c r="F223" s="1" t="s">
        <v>12561</v>
      </c>
    </row>
    <row r="224">
      <c r="A224" s="1" t="s">
        <v>13376</v>
      </c>
      <c r="B224" s="1" t="s">
        <v>2388</v>
      </c>
      <c r="C224" s="1" t="s">
        <v>12809</v>
      </c>
      <c r="D224" s="1" t="s">
        <v>3901</v>
      </c>
      <c r="E224" s="1" t="s">
        <v>12810</v>
      </c>
      <c r="F224" s="1" t="s">
        <v>12552</v>
      </c>
    </row>
    <row r="225">
      <c r="A225" s="1" t="s">
        <v>13378</v>
      </c>
      <c r="B225" s="1" t="s">
        <v>2390</v>
      </c>
      <c r="C225" s="1" t="s">
        <v>13379</v>
      </c>
      <c r="D225" s="1" t="s">
        <v>13380</v>
      </c>
      <c r="E225" s="1" t="s">
        <v>13381</v>
      </c>
      <c r="F225" s="1" t="s">
        <v>45</v>
      </c>
    </row>
    <row r="226">
      <c r="A226" s="1" t="s">
        <v>13382</v>
      </c>
      <c r="B226" s="1" t="s">
        <v>2390</v>
      </c>
      <c r="C226" s="1" t="s">
        <v>12556</v>
      </c>
      <c r="D226" s="1" t="s">
        <v>12558</v>
      </c>
      <c r="E226" s="1" t="s">
        <v>12559</v>
      </c>
      <c r="F226" s="1" t="s">
        <v>12561</v>
      </c>
    </row>
    <row r="227">
      <c r="A227" s="1" t="s">
        <v>13383</v>
      </c>
      <c r="B227" s="1" t="s">
        <v>2390</v>
      </c>
      <c r="C227" s="1" t="s">
        <v>13385</v>
      </c>
      <c r="D227" s="1" t="s">
        <v>13386</v>
      </c>
      <c r="E227" s="1" t="s">
        <v>13387</v>
      </c>
      <c r="F227" s="1" t="s">
        <v>89</v>
      </c>
    </row>
    <row r="228">
      <c r="A228" s="1" t="s">
        <v>13389</v>
      </c>
      <c r="B228" s="1" t="s">
        <v>2390</v>
      </c>
      <c r="C228" s="1" t="s">
        <v>13391</v>
      </c>
      <c r="D228" s="1" t="s">
        <v>4030</v>
      </c>
      <c r="E228" s="1" t="s">
        <v>13392</v>
      </c>
      <c r="F228" s="1" t="s">
        <v>12552</v>
      </c>
    </row>
    <row r="229">
      <c r="A229" s="1" t="s">
        <v>13393</v>
      </c>
      <c r="B229" s="1" t="s">
        <v>2393</v>
      </c>
      <c r="C229" s="1" t="s">
        <v>12597</v>
      </c>
      <c r="D229" s="1" t="s">
        <v>485</v>
      </c>
      <c r="E229" s="1" t="s">
        <v>12600</v>
      </c>
      <c r="F229" s="1" t="s">
        <v>12552</v>
      </c>
    </row>
    <row r="230">
      <c r="A230" s="1" t="s">
        <v>13394</v>
      </c>
      <c r="B230" s="1" t="s">
        <v>4163</v>
      </c>
      <c r="C230" s="1" t="s">
        <v>13395</v>
      </c>
      <c r="D230" s="1" t="s">
        <v>2068</v>
      </c>
      <c r="E230" s="1" t="s">
        <v>13397</v>
      </c>
      <c r="F230" s="1" t="s">
        <v>12580</v>
      </c>
    </row>
    <row r="231">
      <c r="A231" s="1" t="s">
        <v>13398</v>
      </c>
      <c r="B231" s="1" t="s">
        <v>4163</v>
      </c>
      <c r="C231" s="1" t="s">
        <v>12597</v>
      </c>
      <c r="D231" s="1" t="s">
        <v>485</v>
      </c>
      <c r="E231" s="1" t="s">
        <v>12600</v>
      </c>
      <c r="F231" s="1" t="s">
        <v>12552</v>
      </c>
    </row>
    <row r="232">
      <c r="A232" s="1" t="s">
        <v>13401</v>
      </c>
      <c r="B232" s="1" t="s">
        <v>2146</v>
      </c>
      <c r="C232" s="1" t="s">
        <v>13197</v>
      </c>
      <c r="D232" s="1" t="s">
        <v>2143</v>
      </c>
      <c r="E232" s="1" t="s">
        <v>13198</v>
      </c>
      <c r="F232" s="1" t="s">
        <v>12552</v>
      </c>
    </row>
    <row r="233">
      <c r="A233" s="1" t="s">
        <v>13402</v>
      </c>
      <c r="B233" s="1" t="s">
        <v>2160</v>
      </c>
      <c r="C233" s="1" t="s">
        <v>13403</v>
      </c>
      <c r="D233" s="1" t="s">
        <v>13404</v>
      </c>
      <c r="E233" s="1" t="s">
        <v>13405</v>
      </c>
      <c r="F233" s="1" t="s">
        <v>89</v>
      </c>
    </row>
    <row r="234">
      <c r="A234" s="1" t="s">
        <v>13407</v>
      </c>
      <c r="B234" s="1" t="s">
        <v>2160</v>
      </c>
      <c r="C234" s="1" t="s">
        <v>12556</v>
      </c>
      <c r="D234" s="1" t="s">
        <v>12558</v>
      </c>
      <c r="E234" s="1" t="s">
        <v>12559</v>
      </c>
      <c r="F234" s="1" t="s">
        <v>12561</v>
      </c>
    </row>
    <row r="235">
      <c r="A235" s="1" t="s">
        <v>13410</v>
      </c>
      <c r="B235" s="1" t="s">
        <v>2160</v>
      </c>
      <c r="C235" s="1" t="s">
        <v>13411</v>
      </c>
      <c r="D235" s="1" t="s">
        <v>2162</v>
      </c>
      <c r="E235" s="1" t="s">
        <v>13412</v>
      </c>
      <c r="F235" s="1" t="s">
        <v>12552</v>
      </c>
    </row>
    <row r="236">
      <c r="A236" s="1" t="s">
        <v>13413</v>
      </c>
      <c r="B236" s="1" t="s">
        <v>2160</v>
      </c>
      <c r="C236" s="1" t="s">
        <v>13414</v>
      </c>
      <c r="D236" s="1" t="s">
        <v>13415</v>
      </c>
      <c r="E236" s="1" t="s">
        <v>13416</v>
      </c>
      <c r="F236" s="1" t="s">
        <v>45</v>
      </c>
    </row>
    <row r="237">
      <c r="A237" s="1" t="s">
        <v>13417</v>
      </c>
      <c r="B237" s="1" t="s">
        <v>2426</v>
      </c>
      <c r="C237" s="1" t="s">
        <v>13418</v>
      </c>
      <c r="D237" s="1" t="s">
        <v>13420</v>
      </c>
      <c r="E237" s="1" t="s">
        <v>13421</v>
      </c>
      <c r="F237" s="1" t="s">
        <v>89</v>
      </c>
    </row>
    <row r="238">
      <c r="A238" s="1" t="s">
        <v>13422</v>
      </c>
      <c r="B238" s="1" t="s">
        <v>2426</v>
      </c>
      <c r="C238" s="1" t="s">
        <v>13425</v>
      </c>
      <c r="D238" s="1" t="s">
        <v>13426</v>
      </c>
      <c r="E238" s="1" t="s">
        <v>13427</v>
      </c>
      <c r="F238" s="1" t="s">
        <v>45</v>
      </c>
    </row>
    <row r="239">
      <c r="A239" s="1" t="s">
        <v>13428</v>
      </c>
      <c r="B239" s="1" t="s">
        <v>2291</v>
      </c>
      <c r="C239" s="1" t="s">
        <v>12867</v>
      </c>
      <c r="D239" s="1" t="s">
        <v>1786</v>
      </c>
      <c r="E239" s="1" t="s">
        <v>12868</v>
      </c>
      <c r="F239" s="1" t="s">
        <v>12552</v>
      </c>
    </row>
    <row r="240">
      <c r="A240" s="1" t="s">
        <v>13429</v>
      </c>
      <c r="B240" s="1" t="s">
        <v>2291</v>
      </c>
      <c r="C240" s="1" t="s">
        <v>13430</v>
      </c>
      <c r="D240" s="1" t="s">
        <v>13431</v>
      </c>
      <c r="E240" s="1" t="s">
        <v>13432</v>
      </c>
      <c r="F240" s="1" t="s">
        <v>45</v>
      </c>
    </row>
    <row r="241">
      <c r="A241" s="1" t="s">
        <v>13434</v>
      </c>
      <c r="B241" s="1" t="s">
        <v>2291</v>
      </c>
      <c r="C241" s="1" t="s">
        <v>13435</v>
      </c>
      <c r="D241" s="1" t="s">
        <v>13437</v>
      </c>
      <c r="E241" s="1" t="s">
        <v>13439</v>
      </c>
      <c r="F241" s="1" t="s">
        <v>89</v>
      </c>
    </row>
    <row r="242">
      <c r="A242" s="1" t="s">
        <v>13441</v>
      </c>
      <c r="B242" s="1" t="s">
        <v>2291</v>
      </c>
      <c r="C242" s="1" t="s">
        <v>12946</v>
      </c>
      <c r="D242" s="1" t="s">
        <v>12947</v>
      </c>
      <c r="E242" s="1" t="s">
        <v>12948</v>
      </c>
      <c r="F242" s="1" t="s">
        <v>12561</v>
      </c>
    </row>
    <row r="243">
      <c r="A243" s="1" t="s">
        <v>13442</v>
      </c>
      <c r="B243" s="1" t="s">
        <v>2481</v>
      </c>
      <c r="C243" s="1" t="s">
        <v>13443</v>
      </c>
      <c r="D243" s="1" t="s">
        <v>13444</v>
      </c>
      <c r="E243" s="1" t="s">
        <v>13445</v>
      </c>
      <c r="F243" s="1" t="s">
        <v>45</v>
      </c>
    </row>
    <row r="244">
      <c r="A244" s="1" t="s">
        <v>13447</v>
      </c>
      <c r="B244" s="1" t="s">
        <v>2481</v>
      </c>
      <c r="C244" s="1" t="s">
        <v>12626</v>
      </c>
      <c r="D244" s="1" t="s">
        <v>11803</v>
      </c>
      <c r="E244" s="1" t="s">
        <v>12628</v>
      </c>
      <c r="F244" s="1" t="s">
        <v>12580</v>
      </c>
    </row>
    <row r="245">
      <c r="A245" s="1" t="s">
        <v>13449</v>
      </c>
      <c r="B245" s="1" t="s">
        <v>2481</v>
      </c>
      <c r="C245" s="1" t="s">
        <v>12622</v>
      </c>
      <c r="D245" s="1" t="s">
        <v>2635</v>
      </c>
      <c r="E245" s="1" t="s">
        <v>12623</v>
      </c>
      <c r="F245" s="1" t="s">
        <v>12552</v>
      </c>
    </row>
    <row r="246">
      <c r="A246" s="1" t="s">
        <v>13451</v>
      </c>
      <c r="B246" s="1" t="s">
        <v>2481</v>
      </c>
      <c r="C246" s="1" t="s">
        <v>12633</v>
      </c>
      <c r="D246" s="1" t="s">
        <v>12634</v>
      </c>
      <c r="E246" s="1" t="s">
        <v>12635</v>
      </c>
      <c r="F246" s="1" t="s">
        <v>12561</v>
      </c>
    </row>
    <row r="247">
      <c r="A247" s="1" t="s">
        <v>13452</v>
      </c>
      <c r="B247" s="1" t="s">
        <v>2481</v>
      </c>
      <c r="C247" s="1" t="s">
        <v>13453</v>
      </c>
      <c r="D247" s="1" t="s">
        <v>13454</v>
      </c>
      <c r="E247" s="1" t="s">
        <v>13455</v>
      </c>
      <c r="F247" s="1" t="s">
        <v>89</v>
      </c>
    </row>
    <row r="248">
      <c r="A248" s="1" t="s">
        <v>13458</v>
      </c>
      <c r="B248" s="1" t="s">
        <v>2481</v>
      </c>
      <c r="C248" s="1" t="s">
        <v>13459</v>
      </c>
      <c r="D248" s="1" t="s">
        <v>13460</v>
      </c>
      <c r="E248" s="1" t="s">
        <v>13462</v>
      </c>
      <c r="F248" s="1" t="s">
        <v>89</v>
      </c>
    </row>
    <row r="249">
      <c r="A249" s="1" t="s">
        <v>13463</v>
      </c>
      <c r="B249" s="1" t="s">
        <v>2481</v>
      </c>
      <c r="C249" s="1" t="s">
        <v>13464</v>
      </c>
      <c r="D249" s="1" t="s">
        <v>13465</v>
      </c>
      <c r="E249" s="1" t="s">
        <v>13466</v>
      </c>
      <c r="F249" s="1" t="s">
        <v>45</v>
      </c>
    </row>
    <row r="250">
      <c r="A250" s="1" t="s">
        <v>13467</v>
      </c>
      <c r="B250" s="1" t="s">
        <v>2487</v>
      </c>
      <c r="C250" s="1" t="s">
        <v>13468</v>
      </c>
      <c r="D250" s="1" t="s">
        <v>13469</v>
      </c>
      <c r="E250" s="1" t="s">
        <v>13470</v>
      </c>
      <c r="F250" s="1" t="s">
        <v>12552</v>
      </c>
    </row>
    <row r="251">
      <c r="A251" s="1" t="s">
        <v>13472</v>
      </c>
      <c r="B251" s="1" t="s">
        <v>2487</v>
      </c>
      <c r="C251" s="1" t="s">
        <v>13473</v>
      </c>
      <c r="D251" s="1" t="s">
        <v>3180</v>
      </c>
      <c r="E251" s="1" t="s">
        <v>13474</v>
      </c>
      <c r="F251" s="1" t="s">
        <v>12552</v>
      </c>
    </row>
    <row r="252">
      <c r="A252" s="1" t="s">
        <v>13476</v>
      </c>
      <c r="B252" s="1" t="s">
        <v>2487</v>
      </c>
      <c r="C252" s="1" t="s">
        <v>12584</v>
      </c>
      <c r="D252" s="1" t="s">
        <v>12585</v>
      </c>
      <c r="E252" s="1" t="s">
        <v>12587</v>
      </c>
      <c r="F252" s="1" t="s">
        <v>12561</v>
      </c>
    </row>
    <row r="253">
      <c r="A253" s="1" t="s">
        <v>13478</v>
      </c>
      <c r="B253" s="1" t="s">
        <v>2487</v>
      </c>
      <c r="C253" s="1" t="s">
        <v>13479</v>
      </c>
      <c r="D253" s="1" t="s">
        <v>13480</v>
      </c>
      <c r="E253" s="1" t="s">
        <v>13481</v>
      </c>
      <c r="F253" s="1" t="s">
        <v>45</v>
      </c>
    </row>
    <row r="254">
      <c r="A254" s="1" t="s">
        <v>13483</v>
      </c>
      <c r="B254" s="1" t="s">
        <v>2487</v>
      </c>
      <c r="C254" s="1" t="s">
        <v>13484</v>
      </c>
      <c r="D254" s="1" t="s">
        <v>13486</v>
      </c>
      <c r="E254" s="1" t="s">
        <v>13487</v>
      </c>
      <c r="F254" s="1" t="s">
        <v>89</v>
      </c>
    </row>
    <row r="255">
      <c r="A255" s="1" t="s">
        <v>13488</v>
      </c>
      <c r="B255" s="1" t="s">
        <v>2492</v>
      </c>
      <c r="C255" s="1" t="s">
        <v>13490</v>
      </c>
      <c r="D255" s="1" t="s">
        <v>13491</v>
      </c>
      <c r="E255" s="1" t="s">
        <v>13493</v>
      </c>
      <c r="F255" s="1" t="s">
        <v>45</v>
      </c>
    </row>
    <row r="256">
      <c r="A256" s="1" t="s">
        <v>13494</v>
      </c>
      <c r="B256" s="1" t="s">
        <v>2492</v>
      </c>
      <c r="C256" s="1" t="s">
        <v>13495</v>
      </c>
      <c r="D256" s="1" t="s">
        <v>13496</v>
      </c>
      <c r="E256" s="1" t="s">
        <v>13498</v>
      </c>
      <c r="F256" s="1" t="s">
        <v>89</v>
      </c>
    </row>
    <row r="257">
      <c r="A257" s="1" t="s">
        <v>13499</v>
      </c>
      <c r="B257" s="1" t="s">
        <v>2492</v>
      </c>
      <c r="C257" s="1" t="s">
        <v>13204</v>
      </c>
      <c r="D257" s="1" t="s">
        <v>1844</v>
      </c>
      <c r="E257" s="1" t="s">
        <v>13205</v>
      </c>
      <c r="F257" s="1" t="s">
        <v>12552</v>
      </c>
    </row>
    <row r="258">
      <c r="A258" s="1" t="s">
        <v>13501</v>
      </c>
      <c r="B258" s="1" t="s">
        <v>2492</v>
      </c>
      <c r="C258" s="1" t="s">
        <v>12584</v>
      </c>
      <c r="D258" s="1" t="s">
        <v>12585</v>
      </c>
      <c r="E258" s="1" t="s">
        <v>12587</v>
      </c>
      <c r="F258" s="1" t="s">
        <v>12561</v>
      </c>
    </row>
    <row r="259">
      <c r="A259" s="1" t="s">
        <v>13503</v>
      </c>
      <c r="B259" s="1" t="s">
        <v>2212</v>
      </c>
      <c r="C259" s="1" t="s">
        <v>13504</v>
      </c>
      <c r="D259" s="1" t="s">
        <v>13505</v>
      </c>
      <c r="E259" s="1" t="s">
        <v>13506</v>
      </c>
      <c r="F259" s="1" t="s">
        <v>45</v>
      </c>
    </row>
    <row r="260">
      <c r="A260" s="1" t="s">
        <v>13507</v>
      </c>
      <c r="B260" s="1" t="s">
        <v>2212</v>
      </c>
      <c r="C260" s="1" t="s">
        <v>13509</v>
      </c>
      <c r="D260" s="1" t="s">
        <v>2218</v>
      </c>
      <c r="E260" s="1" t="s">
        <v>13510</v>
      </c>
      <c r="F260" s="1" t="s">
        <v>12552</v>
      </c>
    </row>
    <row r="261">
      <c r="A261" s="1" t="s">
        <v>13511</v>
      </c>
      <c r="B261" s="1" t="s">
        <v>2212</v>
      </c>
      <c r="C261" s="1" t="s">
        <v>12556</v>
      </c>
      <c r="D261" s="1" t="s">
        <v>12558</v>
      </c>
      <c r="E261" s="1" t="s">
        <v>12559</v>
      </c>
      <c r="F261" s="1" t="s">
        <v>12561</v>
      </c>
    </row>
    <row r="262">
      <c r="A262" s="1" t="s">
        <v>13513</v>
      </c>
      <c r="B262" s="1" t="s">
        <v>2212</v>
      </c>
      <c r="C262" s="1" t="s">
        <v>13514</v>
      </c>
      <c r="D262" s="1" t="s">
        <v>13515</v>
      </c>
      <c r="E262" s="1" t="s">
        <v>13516</v>
      </c>
      <c r="F262" s="1" t="s">
        <v>89</v>
      </c>
    </row>
    <row r="263">
      <c r="A263" s="1" t="s">
        <v>13518</v>
      </c>
      <c r="B263" s="1" t="s">
        <v>2066</v>
      </c>
      <c r="C263" s="1" t="s">
        <v>13519</v>
      </c>
      <c r="D263" s="1" t="s">
        <v>13520</v>
      </c>
      <c r="E263" s="1" t="s">
        <v>13521</v>
      </c>
      <c r="F263" s="1" t="s">
        <v>89</v>
      </c>
    </row>
    <row r="264">
      <c r="A264" s="1" t="s">
        <v>13523</v>
      </c>
      <c r="B264" s="1" t="s">
        <v>2066</v>
      </c>
      <c r="C264" s="1" t="s">
        <v>12556</v>
      </c>
      <c r="D264" s="1" t="s">
        <v>12558</v>
      </c>
      <c r="E264" s="1" t="s">
        <v>12559</v>
      </c>
      <c r="F264" s="1" t="s">
        <v>12561</v>
      </c>
    </row>
    <row r="265">
      <c r="A265" s="1" t="s">
        <v>13525</v>
      </c>
      <c r="B265" s="1" t="s">
        <v>2066</v>
      </c>
      <c r="C265" s="1" t="s">
        <v>13023</v>
      </c>
      <c r="D265" s="1" t="s">
        <v>1591</v>
      </c>
      <c r="E265" s="1" t="s">
        <v>13024</v>
      </c>
      <c r="F265" s="1" t="s">
        <v>12552</v>
      </c>
    </row>
    <row r="266">
      <c r="A266" s="1" t="s">
        <v>13526</v>
      </c>
      <c r="B266" s="1" t="s">
        <v>2066</v>
      </c>
      <c r="C266" s="1" t="s">
        <v>13527</v>
      </c>
      <c r="D266" s="1" t="s">
        <v>13528</v>
      </c>
      <c r="E266" s="1" t="s">
        <v>13529</v>
      </c>
      <c r="F266" s="1" t="s">
        <v>45</v>
      </c>
    </row>
    <row r="267">
      <c r="A267" s="1" t="s">
        <v>13531</v>
      </c>
      <c r="B267" s="1" t="s">
        <v>2066</v>
      </c>
      <c r="C267" s="1" t="s">
        <v>13533</v>
      </c>
      <c r="D267" s="1" t="s">
        <v>13528</v>
      </c>
      <c r="E267" s="1" t="s">
        <v>13534</v>
      </c>
      <c r="F267" s="1" t="s">
        <v>45</v>
      </c>
    </row>
    <row r="268">
      <c r="A268" s="1" t="s">
        <v>13535</v>
      </c>
      <c r="B268" s="1" t="s">
        <v>2501</v>
      </c>
      <c r="C268" s="1" t="s">
        <v>13537</v>
      </c>
      <c r="D268" s="1" t="s">
        <v>13538</v>
      </c>
      <c r="E268" s="1" t="s">
        <v>13539</v>
      </c>
      <c r="F268" s="1" t="s">
        <v>12561</v>
      </c>
    </row>
    <row r="269">
      <c r="A269" s="1" t="s">
        <v>13540</v>
      </c>
      <c r="B269" s="1" t="s">
        <v>2501</v>
      </c>
      <c r="C269" s="1" t="s">
        <v>13541</v>
      </c>
      <c r="D269" s="1" t="s">
        <v>2505</v>
      </c>
      <c r="E269" s="1" t="s">
        <v>13542</v>
      </c>
      <c r="F269" s="1" t="s">
        <v>12552</v>
      </c>
    </row>
    <row r="270">
      <c r="A270" s="1" t="s">
        <v>13543</v>
      </c>
      <c r="B270" s="1" t="s">
        <v>2501</v>
      </c>
      <c r="C270" s="1" t="s">
        <v>13545</v>
      </c>
      <c r="D270" s="1" t="s">
        <v>13546</v>
      </c>
      <c r="E270" s="1" t="s">
        <v>13547</v>
      </c>
      <c r="F270" s="1" t="s">
        <v>45</v>
      </c>
    </row>
    <row r="271">
      <c r="A271" s="1" t="s">
        <v>13549</v>
      </c>
      <c r="B271" s="1" t="s">
        <v>2501</v>
      </c>
      <c r="C271" s="1" t="s">
        <v>13551</v>
      </c>
      <c r="D271" s="1" t="s">
        <v>13552</v>
      </c>
      <c r="E271" s="1" t="s">
        <v>13553</v>
      </c>
      <c r="F271" s="1" t="s">
        <v>89</v>
      </c>
    </row>
    <row r="272">
      <c r="A272" s="1" t="s">
        <v>13554</v>
      </c>
      <c r="B272" s="1" t="s">
        <v>2705</v>
      </c>
      <c r="C272" s="1" t="s">
        <v>12916</v>
      </c>
      <c r="D272" s="1" t="s">
        <v>3329</v>
      </c>
      <c r="E272" s="1" t="s">
        <v>12917</v>
      </c>
      <c r="F272" s="1" t="s">
        <v>12552</v>
      </c>
    </row>
    <row r="273">
      <c r="A273" s="1" t="s">
        <v>13555</v>
      </c>
      <c r="B273" s="1" t="s">
        <v>2705</v>
      </c>
      <c r="C273" s="1" t="s">
        <v>13556</v>
      </c>
      <c r="D273" s="1" t="s">
        <v>13557</v>
      </c>
      <c r="E273" s="1" t="s">
        <v>13559</v>
      </c>
      <c r="F273" s="1" t="s">
        <v>89</v>
      </c>
    </row>
    <row r="274">
      <c r="A274" s="1" t="s">
        <v>13560</v>
      </c>
      <c r="B274" s="1" t="s">
        <v>2705</v>
      </c>
      <c r="C274" s="1" t="s">
        <v>13562</v>
      </c>
      <c r="D274" s="1" t="s">
        <v>13563</v>
      </c>
      <c r="E274" s="1" t="s">
        <v>13565</v>
      </c>
      <c r="F274" s="1" t="s">
        <v>45</v>
      </c>
    </row>
    <row r="275">
      <c r="A275" s="1" t="s">
        <v>13566</v>
      </c>
      <c r="B275" s="1" t="s">
        <v>2705</v>
      </c>
      <c r="C275" s="1" t="s">
        <v>13567</v>
      </c>
      <c r="D275" s="1" t="s">
        <v>13568</v>
      </c>
      <c r="E275" s="1" t="s">
        <v>13569</v>
      </c>
      <c r="F275" s="1" t="s">
        <v>45</v>
      </c>
    </row>
    <row r="276">
      <c r="A276" s="1" t="s">
        <v>13570</v>
      </c>
      <c r="B276" s="1" t="s">
        <v>2705</v>
      </c>
      <c r="C276" s="1" t="s">
        <v>13257</v>
      </c>
      <c r="D276" s="1" t="s">
        <v>13258</v>
      </c>
      <c r="E276" s="1" t="s">
        <v>13259</v>
      </c>
      <c r="F276" s="1" t="s">
        <v>12561</v>
      </c>
    </row>
    <row r="277">
      <c r="A277" s="1" t="s">
        <v>13572</v>
      </c>
      <c r="B277" s="1" t="s">
        <v>2712</v>
      </c>
      <c r="C277" s="1" t="s">
        <v>13574</v>
      </c>
      <c r="D277" s="1" t="s">
        <v>13575</v>
      </c>
      <c r="E277" s="1" t="s">
        <v>13576</v>
      </c>
      <c r="F277" s="1" t="s">
        <v>89</v>
      </c>
    </row>
    <row r="278">
      <c r="A278" s="1" t="s">
        <v>13578</v>
      </c>
      <c r="B278" s="1" t="s">
        <v>2712</v>
      </c>
      <c r="C278" s="1" t="s">
        <v>12862</v>
      </c>
      <c r="D278" s="1" t="s">
        <v>2768</v>
      </c>
      <c r="E278" s="1" t="s">
        <v>12863</v>
      </c>
      <c r="F278" s="1" t="s">
        <v>12552</v>
      </c>
    </row>
    <row r="279">
      <c r="A279" s="1" t="s">
        <v>13580</v>
      </c>
      <c r="B279" s="1" t="s">
        <v>2712</v>
      </c>
      <c r="C279" s="1" t="s">
        <v>13581</v>
      </c>
      <c r="D279" s="1" t="s">
        <v>13582</v>
      </c>
      <c r="E279" s="1" t="s">
        <v>13583</v>
      </c>
      <c r="F279" s="1" t="s">
        <v>45</v>
      </c>
    </row>
    <row r="280">
      <c r="A280" s="1" t="s">
        <v>13585</v>
      </c>
      <c r="B280" s="1" t="s">
        <v>2712</v>
      </c>
      <c r="C280" s="1" t="s">
        <v>12556</v>
      </c>
      <c r="D280" s="1" t="s">
        <v>12558</v>
      </c>
      <c r="E280" s="1" t="s">
        <v>12559</v>
      </c>
      <c r="F280" s="1" t="s">
        <v>12561</v>
      </c>
    </row>
    <row r="281">
      <c r="A281" s="1" t="s">
        <v>13586</v>
      </c>
      <c r="B281" s="1" t="s">
        <v>2194</v>
      </c>
      <c r="C281" s="1" t="s">
        <v>13588</v>
      </c>
      <c r="D281" s="1" t="s">
        <v>13589</v>
      </c>
      <c r="E281" s="1" t="s">
        <v>13590</v>
      </c>
      <c r="F281" s="1" t="s">
        <v>89</v>
      </c>
    </row>
    <row r="282">
      <c r="A282" s="1" t="s">
        <v>13592</v>
      </c>
      <c r="B282" s="1" t="s">
        <v>2194</v>
      </c>
      <c r="C282" s="1" t="s">
        <v>13593</v>
      </c>
      <c r="D282" s="1" t="s">
        <v>2201</v>
      </c>
      <c r="E282" s="1" t="s">
        <v>13594</v>
      </c>
      <c r="F282" s="1" t="s">
        <v>12552</v>
      </c>
    </row>
    <row r="283">
      <c r="A283" s="1" t="s">
        <v>13595</v>
      </c>
      <c r="B283" s="1" t="s">
        <v>2194</v>
      </c>
      <c r="C283" s="1" t="s">
        <v>12784</v>
      </c>
      <c r="D283" s="1" t="s">
        <v>12785</v>
      </c>
      <c r="E283" s="1" t="s">
        <v>12786</v>
      </c>
      <c r="F283" s="1" t="s">
        <v>12561</v>
      </c>
    </row>
    <row r="284">
      <c r="A284" s="1" t="s">
        <v>13597</v>
      </c>
      <c r="B284" s="1" t="s">
        <v>2194</v>
      </c>
      <c r="C284" s="1" t="s">
        <v>13598</v>
      </c>
      <c r="D284" s="1" t="s">
        <v>13600</v>
      </c>
      <c r="E284" s="1" t="s">
        <v>13601</v>
      </c>
      <c r="F284" s="1" t="s">
        <v>45</v>
      </c>
    </row>
    <row r="285">
      <c r="A285" s="1" t="s">
        <v>13602</v>
      </c>
      <c r="B285" s="1" t="s">
        <v>2194</v>
      </c>
      <c r="C285" s="1" t="s">
        <v>13588</v>
      </c>
      <c r="D285" s="1" t="s">
        <v>13589</v>
      </c>
      <c r="E285" s="1" t="s">
        <v>13590</v>
      </c>
      <c r="F285" s="1" t="s">
        <v>45</v>
      </c>
    </row>
    <row r="286">
      <c r="A286" s="1" t="s">
        <v>13604</v>
      </c>
      <c r="B286" s="1" t="s">
        <v>2725</v>
      </c>
      <c r="C286" s="1" t="s">
        <v>13605</v>
      </c>
      <c r="D286" s="1" t="s">
        <v>13606</v>
      </c>
      <c r="E286" s="1" t="s">
        <v>13607</v>
      </c>
      <c r="F286" s="1" t="s">
        <v>89</v>
      </c>
    </row>
    <row r="287">
      <c r="A287" s="1" t="s">
        <v>13608</v>
      </c>
      <c r="B287" s="1" t="s">
        <v>2725</v>
      </c>
      <c r="C287" s="1" t="s">
        <v>13610</v>
      </c>
      <c r="D287" s="1" t="s">
        <v>3322</v>
      </c>
      <c r="E287" s="1" t="s">
        <v>13612</v>
      </c>
      <c r="F287" s="1" t="s">
        <v>12552</v>
      </c>
    </row>
    <row r="288">
      <c r="A288" s="1" t="s">
        <v>13613</v>
      </c>
      <c r="B288" s="1" t="s">
        <v>1485</v>
      </c>
      <c r="C288" s="1" t="s">
        <v>13615</v>
      </c>
      <c r="D288" s="1" t="s">
        <v>13616</v>
      </c>
      <c r="E288" s="1" t="s">
        <v>13617</v>
      </c>
      <c r="F288" s="1" t="s">
        <v>89</v>
      </c>
    </row>
    <row r="289">
      <c r="A289" s="1" t="s">
        <v>13618</v>
      </c>
      <c r="B289" s="1" t="s">
        <v>1485</v>
      </c>
      <c r="C289" s="1" t="s">
        <v>13619</v>
      </c>
      <c r="D289" s="1" t="s">
        <v>7515</v>
      </c>
      <c r="E289" s="1" t="s">
        <v>13620</v>
      </c>
      <c r="F289" s="1" t="s">
        <v>12552</v>
      </c>
    </row>
    <row r="290">
      <c r="A290" s="1" t="s">
        <v>13621</v>
      </c>
      <c r="B290" s="1" t="s">
        <v>1485</v>
      </c>
      <c r="C290" s="1" t="s">
        <v>13622</v>
      </c>
      <c r="D290" s="1" t="s">
        <v>13623</v>
      </c>
      <c r="E290" s="1" t="s">
        <v>13625</v>
      </c>
      <c r="F290" s="1" t="s">
        <v>45</v>
      </c>
    </row>
    <row r="291">
      <c r="A291" s="1" t="s">
        <v>13627</v>
      </c>
      <c r="B291" s="1" t="s">
        <v>1485</v>
      </c>
      <c r="C291" s="1" t="s">
        <v>13628</v>
      </c>
      <c r="D291" s="1" t="s">
        <v>13630</v>
      </c>
      <c r="E291" s="1" t="s">
        <v>13631</v>
      </c>
      <c r="F291" s="1" t="s">
        <v>45</v>
      </c>
    </row>
    <row r="292">
      <c r="A292" s="1" t="s">
        <v>13632</v>
      </c>
      <c r="B292" s="1" t="s">
        <v>1485</v>
      </c>
      <c r="C292" s="1" t="s">
        <v>13633</v>
      </c>
      <c r="D292" s="1" t="s">
        <v>13634</v>
      </c>
      <c r="E292" s="1" t="s">
        <v>13635</v>
      </c>
      <c r="F292" s="1" t="s">
        <v>12561</v>
      </c>
    </row>
    <row r="293">
      <c r="A293" s="1" t="s">
        <v>13636</v>
      </c>
      <c r="B293" s="1" t="s">
        <v>2739</v>
      </c>
      <c r="C293" s="1" t="s">
        <v>13023</v>
      </c>
      <c r="D293" s="1" t="s">
        <v>1591</v>
      </c>
      <c r="E293" s="1" t="s">
        <v>13024</v>
      </c>
      <c r="F293" s="1" t="s">
        <v>12552</v>
      </c>
    </row>
    <row r="294">
      <c r="A294" s="1" t="s">
        <v>13638</v>
      </c>
      <c r="B294" s="1" t="s">
        <v>2525</v>
      </c>
      <c r="C294" s="1" t="s">
        <v>13639</v>
      </c>
      <c r="D294" s="1" t="s">
        <v>13640</v>
      </c>
      <c r="E294" s="1" t="s">
        <v>13643</v>
      </c>
      <c r="F294" s="1" t="s">
        <v>45</v>
      </c>
    </row>
    <row r="295">
      <c r="A295" s="1" t="s">
        <v>13644</v>
      </c>
      <c r="B295" s="1" t="s">
        <v>2525</v>
      </c>
      <c r="C295" s="1" t="s">
        <v>13645</v>
      </c>
      <c r="D295" s="1" t="s">
        <v>13646</v>
      </c>
      <c r="E295" s="1" t="s">
        <v>13647</v>
      </c>
      <c r="F295" s="1" t="s">
        <v>89</v>
      </c>
    </row>
    <row r="296">
      <c r="A296" s="1" t="s">
        <v>13648</v>
      </c>
      <c r="B296" s="1" t="s">
        <v>2817</v>
      </c>
      <c r="C296" s="1" t="s">
        <v>13649</v>
      </c>
      <c r="D296" s="1" t="s">
        <v>13650</v>
      </c>
      <c r="E296" s="1" t="s">
        <v>13652</v>
      </c>
      <c r="F296" s="1" t="s">
        <v>45</v>
      </c>
    </row>
    <row r="297">
      <c r="A297" s="1" t="s">
        <v>13653</v>
      </c>
      <c r="B297" s="1" t="s">
        <v>2817</v>
      </c>
      <c r="C297" s="1" t="s">
        <v>13655</v>
      </c>
      <c r="D297" s="1" t="s">
        <v>13656</v>
      </c>
      <c r="E297" s="1" t="s">
        <v>13657</v>
      </c>
      <c r="F297" s="1" t="s">
        <v>89</v>
      </c>
    </row>
    <row r="298">
      <c r="A298" s="1" t="s">
        <v>13659</v>
      </c>
      <c r="B298" s="1" t="s">
        <v>669</v>
      </c>
      <c r="C298" s="1" t="s">
        <v>13660</v>
      </c>
      <c r="D298" s="1" t="s">
        <v>13661</v>
      </c>
      <c r="E298" s="1" t="s">
        <v>13662</v>
      </c>
      <c r="F298" s="1" t="s">
        <v>45</v>
      </c>
    </row>
    <row r="299">
      <c r="A299" s="1" t="s">
        <v>13663</v>
      </c>
      <c r="B299" s="1" t="s">
        <v>669</v>
      </c>
      <c r="C299" s="1" t="s">
        <v>13665</v>
      </c>
      <c r="D299" s="1" t="s">
        <v>13666</v>
      </c>
      <c r="E299" s="1" t="s">
        <v>13667</v>
      </c>
      <c r="F299" s="1" t="s">
        <v>89</v>
      </c>
    </row>
    <row r="300">
      <c r="A300" s="1" t="s">
        <v>13669</v>
      </c>
      <c r="B300" s="1" t="s">
        <v>1053</v>
      </c>
      <c r="C300" s="1" t="s">
        <v>13670</v>
      </c>
      <c r="D300" s="1" t="s">
        <v>13672</v>
      </c>
      <c r="E300" s="1" t="s">
        <v>13673</v>
      </c>
      <c r="F300" s="1" t="s">
        <v>45</v>
      </c>
    </row>
    <row r="301">
      <c r="A301" s="1" t="s">
        <v>13674</v>
      </c>
      <c r="B301" s="1" t="s">
        <v>1053</v>
      </c>
      <c r="C301" s="1" t="s">
        <v>13675</v>
      </c>
      <c r="D301" s="1" t="s">
        <v>13676</v>
      </c>
      <c r="E301" s="1" t="s">
        <v>13677</v>
      </c>
      <c r="F301" s="1" t="s">
        <v>89</v>
      </c>
    </row>
    <row r="302">
      <c r="A302" s="1" t="s">
        <v>13679</v>
      </c>
      <c r="B302" s="1" t="s">
        <v>1053</v>
      </c>
      <c r="C302" s="1" t="s">
        <v>12992</v>
      </c>
      <c r="D302" s="1" t="s">
        <v>1058</v>
      </c>
      <c r="E302" s="1" t="s">
        <v>12993</v>
      </c>
      <c r="F302" s="1" t="s">
        <v>12552</v>
      </c>
    </row>
    <row r="303">
      <c r="A303" s="1" t="s">
        <v>13683</v>
      </c>
      <c r="B303" s="1" t="s">
        <v>1053</v>
      </c>
      <c r="C303" s="1" t="s">
        <v>12751</v>
      </c>
      <c r="D303" s="1" t="s">
        <v>12753</v>
      </c>
      <c r="E303" s="1" t="s">
        <v>12754</v>
      </c>
      <c r="F303" s="1" t="s">
        <v>12561</v>
      </c>
    </row>
    <row r="304">
      <c r="A304" s="1" t="s">
        <v>13684</v>
      </c>
      <c r="B304" s="1" t="s">
        <v>2933</v>
      </c>
      <c r="C304" s="1" t="s">
        <v>13509</v>
      </c>
      <c r="D304" s="1" t="s">
        <v>2218</v>
      </c>
      <c r="E304" s="1" t="s">
        <v>13510</v>
      </c>
      <c r="F304" s="1" t="s">
        <v>12552</v>
      </c>
    </row>
    <row r="305">
      <c r="A305" s="1" t="s">
        <v>13686</v>
      </c>
      <c r="B305" s="1" t="s">
        <v>3479</v>
      </c>
      <c r="C305" s="1" t="s">
        <v>13254</v>
      </c>
      <c r="D305" s="1" t="s">
        <v>3478</v>
      </c>
      <c r="E305" s="1" t="s">
        <v>13255</v>
      </c>
      <c r="F305" s="1" t="s">
        <v>12552</v>
      </c>
    </row>
    <row r="306">
      <c r="A306" s="1" t="s">
        <v>13688</v>
      </c>
      <c r="B306" s="1" t="s">
        <v>2954</v>
      </c>
      <c r="C306" s="1" t="s">
        <v>13689</v>
      </c>
      <c r="D306" s="1" t="s">
        <v>13691</v>
      </c>
      <c r="E306" s="1" t="s">
        <v>13692</v>
      </c>
      <c r="F306" s="1" t="s">
        <v>89</v>
      </c>
    </row>
    <row r="307">
      <c r="A307" s="1" t="s">
        <v>13694</v>
      </c>
      <c r="B307" s="1" t="s">
        <v>2954</v>
      </c>
      <c r="C307" s="1" t="s">
        <v>12859</v>
      </c>
      <c r="D307" s="1" t="s">
        <v>803</v>
      </c>
      <c r="E307" s="1" t="s">
        <v>12860</v>
      </c>
      <c r="F307" s="1" t="s">
        <v>12552</v>
      </c>
    </row>
    <row r="308">
      <c r="A308" s="1" t="s">
        <v>13696</v>
      </c>
      <c r="B308" s="1" t="s">
        <v>2954</v>
      </c>
      <c r="C308" s="1" t="s">
        <v>13697</v>
      </c>
      <c r="D308" s="1" t="s">
        <v>13699</v>
      </c>
      <c r="E308" s="1" t="s">
        <v>13700</v>
      </c>
      <c r="F308" s="1" t="s">
        <v>45</v>
      </c>
    </row>
    <row r="309">
      <c r="A309" s="1" t="s">
        <v>13702</v>
      </c>
      <c r="B309" s="1" t="s">
        <v>2954</v>
      </c>
      <c r="C309" s="1" t="s">
        <v>12556</v>
      </c>
      <c r="D309" s="1" t="s">
        <v>12558</v>
      </c>
      <c r="E309" s="1" t="s">
        <v>12559</v>
      </c>
      <c r="F309" s="1" t="s">
        <v>12561</v>
      </c>
    </row>
    <row r="310">
      <c r="A310" s="1" t="s">
        <v>13704</v>
      </c>
      <c r="B310" s="1" t="s">
        <v>2962</v>
      </c>
      <c r="C310" s="1" t="s">
        <v>13705</v>
      </c>
      <c r="D310" s="1" t="s">
        <v>13707</v>
      </c>
      <c r="E310" s="1" t="s">
        <v>13708</v>
      </c>
      <c r="F310" s="1" t="s">
        <v>45</v>
      </c>
    </row>
    <row r="311">
      <c r="A311" s="1" t="s">
        <v>13710</v>
      </c>
      <c r="B311" s="1" t="s">
        <v>2962</v>
      </c>
      <c r="C311" s="1" t="s">
        <v>12584</v>
      </c>
      <c r="D311" s="1" t="s">
        <v>12585</v>
      </c>
      <c r="E311" s="1" t="s">
        <v>12587</v>
      </c>
      <c r="F311" s="1" t="s">
        <v>12561</v>
      </c>
    </row>
    <row r="312">
      <c r="A312" s="1" t="s">
        <v>13712</v>
      </c>
      <c r="B312" s="1" t="s">
        <v>2962</v>
      </c>
      <c r="C312" s="1" t="s">
        <v>13714</v>
      </c>
      <c r="D312" s="1" t="s">
        <v>13715</v>
      </c>
      <c r="E312" s="1" t="s">
        <v>13716</v>
      </c>
      <c r="F312" s="1" t="s">
        <v>89</v>
      </c>
    </row>
    <row r="313">
      <c r="A313" s="1" t="s">
        <v>13718</v>
      </c>
      <c r="B313" s="1" t="s">
        <v>2962</v>
      </c>
      <c r="C313" s="1" t="s">
        <v>13719</v>
      </c>
      <c r="D313" s="1" t="s">
        <v>726</v>
      </c>
      <c r="E313" s="1" t="s">
        <v>13720</v>
      </c>
      <c r="F313" s="1" t="s">
        <v>12552</v>
      </c>
    </row>
    <row r="314">
      <c r="A314" s="1" t="s">
        <v>13721</v>
      </c>
      <c r="B314" s="1" t="s">
        <v>2967</v>
      </c>
      <c r="C314" s="1" t="s">
        <v>13719</v>
      </c>
      <c r="D314" s="1" t="s">
        <v>726</v>
      </c>
      <c r="E314" s="1" t="s">
        <v>13720</v>
      </c>
      <c r="F314" s="1" t="s">
        <v>12552</v>
      </c>
    </row>
    <row r="315">
      <c r="A315" s="1" t="s">
        <v>13724</v>
      </c>
      <c r="B315" s="1" t="s">
        <v>2967</v>
      </c>
      <c r="C315" s="1" t="s">
        <v>13725</v>
      </c>
      <c r="D315" s="1" t="s">
        <v>13726</v>
      </c>
      <c r="E315" s="1" t="s">
        <v>13727</v>
      </c>
      <c r="F315" s="1" t="s">
        <v>89</v>
      </c>
    </row>
    <row r="316">
      <c r="A316" s="1" t="s">
        <v>13729</v>
      </c>
      <c r="B316" s="1" t="s">
        <v>2967</v>
      </c>
      <c r="C316" s="1" t="s">
        <v>13730</v>
      </c>
      <c r="D316" s="1" t="s">
        <v>13726</v>
      </c>
      <c r="E316" s="1" t="s">
        <v>13727</v>
      </c>
      <c r="F316" s="1" t="s">
        <v>45</v>
      </c>
    </row>
    <row r="317">
      <c r="A317" s="1" t="s">
        <v>13733</v>
      </c>
      <c r="B317" s="1" t="s">
        <v>2967</v>
      </c>
      <c r="C317" s="1" t="s">
        <v>12584</v>
      </c>
      <c r="D317" s="1" t="s">
        <v>12585</v>
      </c>
      <c r="E317" s="1" t="s">
        <v>12587</v>
      </c>
      <c r="F317" s="1" t="s">
        <v>12561</v>
      </c>
    </row>
    <row r="318">
      <c r="A318" s="1" t="s">
        <v>13735</v>
      </c>
      <c r="B318" s="1" t="s">
        <v>3413</v>
      </c>
      <c r="C318" s="1" t="s">
        <v>13719</v>
      </c>
      <c r="D318" s="1" t="s">
        <v>726</v>
      </c>
      <c r="E318" s="1" t="s">
        <v>13720</v>
      </c>
      <c r="F318" s="1" t="s">
        <v>12552</v>
      </c>
    </row>
    <row r="319">
      <c r="A319" s="1" t="s">
        <v>13738</v>
      </c>
      <c r="B319" s="1" t="s">
        <v>2643</v>
      </c>
      <c r="C319" s="1" t="s">
        <v>13740</v>
      </c>
      <c r="D319" s="1" t="s">
        <v>13741</v>
      </c>
      <c r="E319" s="1" t="s">
        <v>13742</v>
      </c>
      <c r="F319" s="1" t="s">
        <v>45</v>
      </c>
    </row>
    <row r="320">
      <c r="A320" s="1" t="s">
        <v>13744</v>
      </c>
      <c r="B320" s="1" t="s">
        <v>2643</v>
      </c>
      <c r="C320" s="1" t="s">
        <v>13745</v>
      </c>
      <c r="D320" s="1" t="s">
        <v>13746</v>
      </c>
      <c r="E320" s="1" t="s">
        <v>13747</v>
      </c>
      <c r="F320" s="1" t="s">
        <v>89</v>
      </c>
    </row>
    <row r="321">
      <c r="A321" s="1" t="s">
        <v>13749</v>
      </c>
      <c r="B321" s="1" t="s">
        <v>224</v>
      </c>
      <c r="C321" s="1" t="s">
        <v>13750</v>
      </c>
      <c r="D321" s="1" t="s">
        <v>235</v>
      </c>
      <c r="E321" s="1" t="s">
        <v>13752</v>
      </c>
      <c r="F321" s="1" t="s">
        <v>12552</v>
      </c>
    </row>
    <row r="322">
      <c r="A322" s="1" t="s">
        <v>13753</v>
      </c>
      <c r="B322" s="1" t="s">
        <v>1997</v>
      </c>
      <c r="C322" s="1" t="s">
        <v>13352</v>
      </c>
      <c r="D322" s="1" t="s">
        <v>5108</v>
      </c>
      <c r="E322" s="1" t="s">
        <v>13354</v>
      </c>
      <c r="F322" s="1" t="s">
        <v>12552</v>
      </c>
    </row>
    <row r="323">
      <c r="A323" s="1" t="s">
        <v>13755</v>
      </c>
      <c r="B323" s="1" t="s">
        <v>2992</v>
      </c>
      <c r="C323" s="1" t="s">
        <v>13756</v>
      </c>
      <c r="D323" s="1" t="s">
        <v>5028</v>
      </c>
      <c r="E323" s="1" t="s">
        <v>13758</v>
      </c>
      <c r="F323" s="1" t="s">
        <v>12552</v>
      </c>
    </row>
    <row r="324">
      <c r="A324" s="1" t="s">
        <v>13760</v>
      </c>
      <c r="B324" s="1" t="s">
        <v>2992</v>
      </c>
      <c r="C324" s="1" t="s">
        <v>13761</v>
      </c>
      <c r="D324" s="1" t="s">
        <v>13762</v>
      </c>
      <c r="E324" s="1" t="s">
        <v>13763</v>
      </c>
      <c r="F324" s="1" t="s">
        <v>12580</v>
      </c>
    </row>
    <row r="325">
      <c r="A325" s="1" t="s">
        <v>13764</v>
      </c>
      <c r="B325" s="1" t="s">
        <v>2732</v>
      </c>
      <c r="C325" s="1" t="s">
        <v>13765</v>
      </c>
      <c r="D325" s="1" t="s">
        <v>2737</v>
      </c>
      <c r="E325" s="1" t="s">
        <v>13766</v>
      </c>
      <c r="F325" s="1" t="s">
        <v>12552</v>
      </c>
    </row>
    <row r="326">
      <c r="A326" s="1" t="s">
        <v>13767</v>
      </c>
      <c r="B326" s="1" t="s">
        <v>4595</v>
      </c>
      <c r="C326" s="1" t="s">
        <v>13352</v>
      </c>
      <c r="D326" s="1" t="s">
        <v>5108</v>
      </c>
      <c r="E326" s="1" t="s">
        <v>13354</v>
      </c>
      <c r="F326" s="1" t="s">
        <v>12552</v>
      </c>
    </row>
    <row r="327">
      <c r="A327" s="1" t="s">
        <v>13769</v>
      </c>
      <c r="B327" s="1" t="s">
        <v>4694</v>
      </c>
      <c r="C327" s="1" t="s">
        <v>13770</v>
      </c>
      <c r="D327" s="1" t="s">
        <v>11156</v>
      </c>
      <c r="E327" s="1" t="s">
        <v>13772</v>
      </c>
      <c r="F327" s="1" t="s">
        <v>12580</v>
      </c>
    </row>
    <row r="328">
      <c r="A328" s="1" t="s">
        <v>13774</v>
      </c>
      <c r="B328" s="1" t="s">
        <v>4694</v>
      </c>
      <c r="C328" s="1" t="s">
        <v>12777</v>
      </c>
      <c r="D328" s="1" t="s">
        <v>3561</v>
      </c>
      <c r="E328" s="1" t="s">
        <v>12779</v>
      </c>
      <c r="F328" s="1" t="s">
        <v>12552</v>
      </c>
    </row>
    <row r="329">
      <c r="A329" s="1" t="s">
        <v>13776</v>
      </c>
      <c r="B329" s="1" t="s">
        <v>5015</v>
      </c>
      <c r="C329" s="1" t="s">
        <v>13761</v>
      </c>
      <c r="D329" s="1" t="s">
        <v>13762</v>
      </c>
      <c r="E329" s="1" t="s">
        <v>13763</v>
      </c>
      <c r="F329" s="1" t="s">
        <v>12580</v>
      </c>
    </row>
    <row r="330">
      <c r="A330" s="1" t="s">
        <v>13780</v>
      </c>
      <c r="B330" s="1" t="s">
        <v>5015</v>
      </c>
      <c r="C330" s="1" t="s">
        <v>13756</v>
      </c>
      <c r="D330" s="1" t="s">
        <v>5028</v>
      </c>
      <c r="E330" s="1" t="s">
        <v>13758</v>
      </c>
      <c r="F330" s="1" t="s">
        <v>12552</v>
      </c>
    </row>
    <row r="331">
      <c r="A331" s="1" t="s">
        <v>13782</v>
      </c>
      <c r="B331" s="1" t="s">
        <v>4716</v>
      </c>
      <c r="C331" s="1" t="s">
        <v>13784</v>
      </c>
      <c r="D331" s="1" t="s">
        <v>12680</v>
      </c>
      <c r="E331" s="1" t="s">
        <v>13785</v>
      </c>
      <c r="F331" s="1" t="s">
        <v>12552</v>
      </c>
    </row>
    <row r="332">
      <c r="A332" s="1" t="s">
        <v>13786</v>
      </c>
      <c r="B332" s="1" t="s">
        <v>4716</v>
      </c>
      <c r="C332" s="1" t="s">
        <v>13788</v>
      </c>
      <c r="D332" s="1" t="s">
        <v>13789</v>
      </c>
      <c r="E332" s="1" t="s">
        <v>13790</v>
      </c>
      <c r="F332" s="1" t="s">
        <v>45</v>
      </c>
    </row>
    <row r="333">
      <c r="A333" s="1" t="s">
        <v>13791</v>
      </c>
      <c r="B333" s="1" t="s">
        <v>4716</v>
      </c>
      <c r="C333" s="1" t="s">
        <v>13792</v>
      </c>
      <c r="D333" s="1" t="s">
        <v>13793</v>
      </c>
      <c r="E333" s="1" t="s">
        <v>13795</v>
      </c>
      <c r="F333" s="1" t="s">
        <v>89</v>
      </c>
    </row>
    <row r="334">
      <c r="A334" s="1" t="s">
        <v>13797</v>
      </c>
      <c r="B334" s="1" t="s">
        <v>4334</v>
      </c>
      <c r="C334" s="1" t="s">
        <v>13750</v>
      </c>
      <c r="D334" s="1" t="s">
        <v>235</v>
      </c>
      <c r="E334" s="1" t="s">
        <v>13752</v>
      </c>
      <c r="F334" s="1" t="s">
        <v>12552</v>
      </c>
    </row>
    <row r="335">
      <c r="A335" s="1" t="s">
        <v>13799</v>
      </c>
      <c r="B335" s="1" t="s">
        <v>4334</v>
      </c>
      <c r="C335" s="1" t="s">
        <v>12556</v>
      </c>
      <c r="D335" s="1" t="s">
        <v>12558</v>
      </c>
      <c r="E335" s="1" t="s">
        <v>12559</v>
      </c>
      <c r="F335" s="1" t="s">
        <v>12561</v>
      </c>
    </row>
    <row r="336">
      <c r="A336" s="1" t="s">
        <v>13801</v>
      </c>
      <c r="B336" s="1" t="s">
        <v>7581</v>
      </c>
      <c r="C336" s="1" t="s">
        <v>13756</v>
      </c>
      <c r="D336" s="1" t="s">
        <v>5028</v>
      </c>
      <c r="E336" s="1" t="s">
        <v>13758</v>
      </c>
      <c r="F336" s="1" t="s">
        <v>12552</v>
      </c>
    </row>
    <row r="337">
      <c r="A337" s="1" t="s">
        <v>13804</v>
      </c>
      <c r="B337" s="1" t="s">
        <v>7581</v>
      </c>
      <c r="C337" s="1" t="s">
        <v>13761</v>
      </c>
      <c r="D337" s="1" t="s">
        <v>13762</v>
      </c>
      <c r="E337" s="1" t="s">
        <v>13763</v>
      </c>
      <c r="F337" s="1" t="s">
        <v>12580</v>
      </c>
    </row>
    <row r="338">
      <c r="A338" s="1" t="s">
        <v>13807</v>
      </c>
      <c r="B338" s="1" t="s">
        <v>13808</v>
      </c>
      <c r="C338" s="1" t="s">
        <v>13756</v>
      </c>
      <c r="D338" s="1" t="s">
        <v>5028</v>
      </c>
      <c r="E338" s="1" t="s">
        <v>13758</v>
      </c>
      <c r="F338" s="1" t="s">
        <v>12552</v>
      </c>
    </row>
    <row r="339">
      <c r="A339" s="1" t="s">
        <v>13810</v>
      </c>
      <c r="B339" s="1" t="s">
        <v>13808</v>
      </c>
      <c r="C339" s="1" t="s">
        <v>13761</v>
      </c>
      <c r="D339" s="1" t="s">
        <v>13762</v>
      </c>
      <c r="E339" s="1" t="s">
        <v>13763</v>
      </c>
      <c r="F339" s="1" t="s">
        <v>12580</v>
      </c>
    </row>
    <row r="340">
      <c r="A340" s="1" t="s">
        <v>13813</v>
      </c>
      <c r="B340" s="1" t="s">
        <v>13814</v>
      </c>
      <c r="C340" s="1" t="s">
        <v>13761</v>
      </c>
      <c r="D340" s="1" t="s">
        <v>13762</v>
      </c>
      <c r="E340" s="1" t="s">
        <v>13763</v>
      </c>
      <c r="F340" s="1" t="s">
        <v>12580</v>
      </c>
    </row>
    <row r="341">
      <c r="A341" s="1" t="s">
        <v>13816</v>
      </c>
      <c r="B341" s="1" t="s">
        <v>13814</v>
      </c>
      <c r="C341" s="1" t="s">
        <v>13756</v>
      </c>
      <c r="D341" s="1" t="s">
        <v>5028</v>
      </c>
      <c r="E341" s="1" t="s">
        <v>13758</v>
      </c>
      <c r="F341" s="1" t="s">
        <v>12552</v>
      </c>
    </row>
    <row r="342">
      <c r="A342" s="1" t="s">
        <v>13819</v>
      </c>
      <c r="B342" s="1" t="s">
        <v>4731</v>
      </c>
      <c r="C342" s="1" t="s">
        <v>13352</v>
      </c>
      <c r="D342" s="1" t="s">
        <v>5108</v>
      </c>
      <c r="E342" s="1" t="s">
        <v>13354</v>
      </c>
      <c r="F342" s="1" t="s">
        <v>12552</v>
      </c>
    </row>
    <row r="343">
      <c r="A343" s="1" t="s">
        <v>13821</v>
      </c>
      <c r="B343" s="1" t="s">
        <v>4747</v>
      </c>
      <c r="C343" s="1" t="s">
        <v>13770</v>
      </c>
      <c r="D343" s="1" t="s">
        <v>11156</v>
      </c>
      <c r="E343" s="1" t="s">
        <v>13772</v>
      </c>
      <c r="F343" s="1" t="s">
        <v>12552</v>
      </c>
    </row>
    <row r="344">
      <c r="A344" s="1" t="s">
        <v>13823</v>
      </c>
      <c r="B344" s="1" t="s">
        <v>4763</v>
      </c>
      <c r="C344" s="1" t="s">
        <v>12556</v>
      </c>
      <c r="D344" s="1" t="s">
        <v>12558</v>
      </c>
      <c r="E344" s="1" t="s">
        <v>12559</v>
      </c>
      <c r="F344" s="1" t="s">
        <v>12580</v>
      </c>
    </row>
    <row r="345">
      <c r="A345" s="1" t="s">
        <v>13826</v>
      </c>
      <c r="B345" s="1" t="s">
        <v>4763</v>
      </c>
      <c r="C345" s="1" t="s">
        <v>13147</v>
      </c>
      <c r="D345" s="1" t="s">
        <v>3022</v>
      </c>
      <c r="E345" s="1" t="s">
        <v>13148</v>
      </c>
      <c r="F345" s="1" t="s">
        <v>12552</v>
      </c>
    </row>
    <row r="346">
      <c r="A346" s="1" t="s">
        <v>13828</v>
      </c>
      <c r="B346" s="1" t="s">
        <v>11539</v>
      </c>
      <c r="C346" s="1" t="s">
        <v>13352</v>
      </c>
      <c r="D346" s="1" t="s">
        <v>5108</v>
      </c>
      <c r="E346" s="1" t="s">
        <v>13354</v>
      </c>
      <c r="F346" s="1" t="s">
        <v>12552</v>
      </c>
    </row>
    <row r="347">
      <c r="A347" s="1" t="s">
        <v>13831</v>
      </c>
      <c r="B347" s="1" t="s">
        <v>4780</v>
      </c>
      <c r="C347" s="1" t="s">
        <v>13352</v>
      </c>
      <c r="D347" s="1" t="s">
        <v>5108</v>
      </c>
      <c r="E347" s="1" t="s">
        <v>13354</v>
      </c>
      <c r="F347" s="1" t="s">
        <v>12552</v>
      </c>
    </row>
    <row r="348">
      <c r="A348" s="1" t="s">
        <v>13833</v>
      </c>
      <c r="B348" s="1" t="s">
        <v>4797</v>
      </c>
      <c r="C348" s="1" t="s">
        <v>13352</v>
      </c>
      <c r="D348" s="1" t="s">
        <v>5108</v>
      </c>
      <c r="E348" s="1" t="s">
        <v>13354</v>
      </c>
      <c r="F348" s="1" t="s">
        <v>12552</v>
      </c>
    </row>
    <row r="349">
      <c r="A349" s="1" t="s">
        <v>13835</v>
      </c>
      <c r="B349" s="1" t="s">
        <v>4816</v>
      </c>
      <c r="C349" s="1" t="s">
        <v>13352</v>
      </c>
      <c r="D349" s="1" t="s">
        <v>5108</v>
      </c>
      <c r="E349" s="1" t="s">
        <v>13354</v>
      </c>
      <c r="F349" s="1" t="s">
        <v>12552</v>
      </c>
    </row>
    <row r="350">
      <c r="A350" s="1" t="s">
        <v>13838</v>
      </c>
      <c r="B350" s="1" t="s">
        <v>4875</v>
      </c>
      <c r="C350" s="1" t="s">
        <v>13840</v>
      </c>
      <c r="D350" s="1" t="s">
        <v>13456</v>
      </c>
      <c r="E350" s="1" t="s">
        <v>13851</v>
      </c>
      <c r="F350" s="1" t="s">
        <v>12552</v>
      </c>
    </row>
    <row r="351">
      <c r="A351" s="1" t="s">
        <v>13852</v>
      </c>
      <c r="B351" s="1" t="s">
        <v>4875</v>
      </c>
      <c r="C351" s="1" t="s">
        <v>13257</v>
      </c>
      <c r="D351" s="1" t="s">
        <v>13258</v>
      </c>
      <c r="E351" s="1" t="s">
        <v>13259</v>
      </c>
      <c r="F351" s="1" t="s">
        <v>12561</v>
      </c>
    </row>
    <row r="352">
      <c r="A352" s="1" t="s">
        <v>13855</v>
      </c>
      <c r="B352" s="1" t="s">
        <v>4896</v>
      </c>
      <c r="C352" s="1" t="s">
        <v>13856</v>
      </c>
      <c r="D352" s="1" t="s">
        <v>13857</v>
      </c>
      <c r="E352" s="1" t="s">
        <v>13858</v>
      </c>
      <c r="F352" s="1" t="s">
        <v>12552</v>
      </c>
    </row>
    <row r="353">
      <c r="A353" s="1" t="s">
        <v>13859</v>
      </c>
      <c r="B353" s="1" t="s">
        <v>4915</v>
      </c>
      <c r="C353" s="1" t="s">
        <v>13861</v>
      </c>
      <c r="D353" s="1" t="s">
        <v>13862</v>
      </c>
      <c r="E353" s="1" t="s">
        <v>13863</v>
      </c>
      <c r="F353" s="1" t="s">
        <v>12580</v>
      </c>
    </row>
    <row r="354">
      <c r="A354" s="1" t="s">
        <v>13865</v>
      </c>
      <c r="B354" s="1" t="s">
        <v>4915</v>
      </c>
      <c r="C354" s="1" t="s">
        <v>13866</v>
      </c>
      <c r="D354" s="1" t="s">
        <v>13867</v>
      </c>
      <c r="E354" s="1" t="s">
        <v>13869</v>
      </c>
      <c r="F354" s="1" t="s">
        <v>12552</v>
      </c>
    </row>
    <row r="355">
      <c r="A355" s="1" t="s">
        <v>13870</v>
      </c>
      <c r="B355" s="1" t="s">
        <v>4933</v>
      </c>
      <c r="C355" s="1" t="s">
        <v>13871</v>
      </c>
      <c r="D355" s="1" t="s">
        <v>13872</v>
      </c>
      <c r="E355" s="1" t="s">
        <v>13873</v>
      </c>
      <c r="F355" s="1" t="s">
        <v>45</v>
      </c>
    </row>
    <row r="356">
      <c r="A356" s="1" t="s">
        <v>13874</v>
      </c>
      <c r="B356" s="1" t="s">
        <v>4933</v>
      </c>
      <c r="C356" s="1" t="s">
        <v>13876</v>
      </c>
      <c r="D356" s="1" t="s">
        <v>13877</v>
      </c>
      <c r="E356" s="1" t="s">
        <v>13878</v>
      </c>
      <c r="F356" s="1" t="s">
        <v>89</v>
      </c>
    </row>
    <row r="357">
      <c r="A357" s="1" t="s">
        <v>13879</v>
      </c>
      <c r="B357" s="1" t="s">
        <v>5040</v>
      </c>
      <c r="C357" s="1" t="s">
        <v>12556</v>
      </c>
      <c r="D357" s="1" t="s">
        <v>12558</v>
      </c>
      <c r="E357" s="1" t="s">
        <v>12559</v>
      </c>
      <c r="F357" s="1" t="s">
        <v>12552</v>
      </c>
    </row>
    <row r="358">
      <c r="A358" s="1" t="s">
        <v>13881</v>
      </c>
      <c r="B358" s="1" t="s">
        <v>5200</v>
      </c>
      <c r="C358" s="1" t="s">
        <v>12556</v>
      </c>
      <c r="D358" s="1" t="s">
        <v>12558</v>
      </c>
      <c r="E358" s="1" t="s">
        <v>12559</v>
      </c>
      <c r="F358" s="1" t="s">
        <v>12552</v>
      </c>
    </row>
    <row r="359">
      <c r="A359" s="1" t="s">
        <v>13882</v>
      </c>
      <c r="B359" s="1" t="s">
        <v>5745</v>
      </c>
      <c r="C359" s="1" t="s">
        <v>12556</v>
      </c>
      <c r="D359" s="1" t="s">
        <v>12558</v>
      </c>
      <c r="E359" s="1" t="s">
        <v>12559</v>
      </c>
      <c r="F359" s="1" t="s">
        <v>12552</v>
      </c>
    </row>
    <row r="360">
      <c r="A360" s="1" t="s">
        <v>13885</v>
      </c>
      <c r="B360" s="1" t="s">
        <v>6208</v>
      </c>
      <c r="C360" s="1" t="s">
        <v>12556</v>
      </c>
      <c r="D360" s="1" t="s">
        <v>12558</v>
      </c>
      <c r="E360" s="1" t="s">
        <v>12559</v>
      </c>
      <c r="F360" s="1" t="s">
        <v>12552</v>
      </c>
    </row>
    <row r="361">
      <c r="A361" s="1" t="s">
        <v>13886</v>
      </c>
      <c r="B361" s="1" t="s">
        <v>6631</v>
      </c>
      <c r="C361" s="1" t="s">
        <v>12556</v>
      </c>
      <c r="D361" s="1" t="s">
        <v>12558</v>
      </c>
      <c r="E361" s="1" t="s">
        <v>12559</v>
      </c>
      <c r="F361" s="1" t="s">
        <v>12552</v>
      </c>
    </row>
    <row r="362">
      <c r="A362" s="1" t="s">
        <v>13888</v>
      </c>
      <c r="B362" s="1" t="s">
        <v>6213</v>
      </c>
      <c r="C362" s="1" t="s">
        <v>12556</v>
      </c>
      <c r="D362" s="1" t="s">
        <v>12558</v>
      </c>
      <c r="E362" s="1" t="s">
        <v>12559</v>
      </c>
      <c r="F362" s="1" t="s">
        <v>12552</v>
      </c>
    </row>
    <row r="363">
      <c r="A363" s="1" t="s">
        <v>13890</v>
      </c>
      <c r="B363" s="1" t="s">
        <v>7679</v>
      </c>
      <c r="C363" s="1" t="s">
        <v>12556</v>
      </c>
      <c r="D363" s="1" t="s">
        <v>12558</v>
      </c>
      <c r="E363" s="1" t="s">
        <v>12559</v>
      </c>
      <c r="F363" s="1" t="s">
        <v>12552</v>
      </c>
    </row>
    <row r="364">
      <c r="A364" s="1" t="s">
        <v>13892</v>
      </c>
      <c r="B364" s="1" t="s">
        <v>7199</v>
      </c>
      <c r="C364" s="1" t="s">
        <v>12556</v>
      </c>
      <c r="D364" s="1" t="s">
        <v>12558</v>
      </c>
      <c r="E364" s="1" t="s">
        <v>12559</v>
      </c>
      <c r="F364" s="1" t="s">
        <v>12552</v>
      </c>
    </row>
    <row r="365">
      <c r="A365" s="1" t="s">
        <v>13894</v>
      </c>
      <c r="B365" s="1" t="s">
        <v>6005</v>
      </c>
      <c r="C365" s="1" t="s">
        <v>12556</v>
      </c>
      <c r="D365" s="1" t="s">
        <v>12558</v>
      </c>
      <c r="E365" s="1" t="s">
        <v>12559</v>
      </c>
      <c r="F365" s="1" t="s">
        <v>12552</v>
      </c>
    </row>
    <row r="366">
      <c r="A366" s="1" t="s">
        <v>13896</v>
      </c>
      <c r="B366" s="1" t="s">
        <v>8664</v>
      </c>
      <c r="C366" s="1" t="s">
        <v>12556</v>
      </c>
      <c r="D366" s="1" t="s">
        <v>12558</v>
      </c>
      <c r="E366" s="1" t="s">
        <v>12559</v>
      </c>
      <c r="F366" s="1" t="s">
        <v>12552</v>
      </c>
    </row>
    <row r="367">
      <c r="A367" s="1" t="s">
        <v>13898</v>
      </c>
      <c r="B367" s="1" t="s">
        <v>8875</v>
      </c>
      <c r="C367" s="1" t="s">
        <v>12556</v>
      </c>
      <c r="D367" s="1" t="s">
        <v>12558</v>
      </c>
      <c r="E367" s="1" t="s">
        <v>12559</v>
      </c>
      <c r="F367" s="1" t="s">
        <v>12552</v>
      </c>
    </row>
    <row r="368">
      <c r="A368" s="1" t="s">
        <v>13899</v>
      </c>
      <c r="B368" s="1" t="s">
        <v>9090</v>
      </c>
      <c r="C368" s="1" t="s">
        <v>12556</v>
      </c>
      <c r="D368" s="1" t="s">
        <v>12558</v>
      </c>
      <c r="E368" s="1" t="s">
        <v>12559</v>
      </c>
      <c r="F368" s="1" t="s">
        <v>12552</v>
      </c>
    </row>
    <row r="369">
      <c r="A369" s="1" t="s">
        <v>13902</v>
      </c>
      <c r="B369" s="1" t="s">
        <v>7109</v>
      </c>
      <c r="C369" s="1" t="s">
        <v>12556</v>
      </c>
      <c r="D369" s="1" t="s">
        <v>12558</v>
      </c>
      <c r="E369" s="1" t="s">
        <v>12559</v>
      </c>
      <c r="F369" s="1" t="s">
        <v>12552</v>
      </c>
    </row>
    <row r="370">
      <c r="A370" s="1" t="s">
        <v>13904</v>
      </c>
      <c r="B370" s="1" t="s">
        <v>9337</v>
      </c>
      <c r="C370" s="1" t="s">
        <v>12556</v>
      </c>
      <c r="D370" s="1" t="s">
        <v>12558</v>
      </c>
      <c r="E370" s="1" t="s">
        <v>12559</v>
      </c>
      <c r="F370" s="1" t="s">
        <v>12552</v>
      </c>
    </row>
    <row r="371">
      <c r="A371" s="1" t="s">
        <v>13905</v>
      </c>
      <c r="B371" s="1" t="s">
        <v>9599</v>
      </c>
      <c r="C371" s="1" t="s">
        <v>12556</v>
      </c>
      <c r="D371" s="1" t="s">
        <v>12558</v>
      </c>
      <c r="E371" s="1" t="s">
        <v>12559</v>
      </c>
      <c r="F371" s="1" t="s">
        <v>12552</v>
      </c>
    </row>
    <row r="372">
      <c r="A372" s="1" t="s">
        <v>13909</v>
      </c>
      <c r="B372" s="1" t="s">
        <v>9742</v>
      </c>
      <c r="C372" s="1" t="s">
        <v>12556</v>
      </c>
      <c r="D372" s="1" t="s">
        <v>12558</v>
      </c>
      <c r="E372" s="1" t="s">
        <v>12559</v>
      </c>
      <c r="F372" s="1" t="s">
        <v>12552</v>
      </c>
    </row>
    <row r="373">
      <c r="A373" s="1" t="s">
        <v>13911</v>
      </c>
      <c r="B373" s="1" t="s">
        <v>9936</v>
      </c>
      <c r="C373" s="1" t="s">
        <v>12556</v>
      </c>
      <c r="D373" s="1" t="s">
        <v>12558</v>
      </c>
      <c r="E373" s="1" t="s">
        <v>12559</v>
      </c>
      <c r="F373" s="1" t="s">
        <v>12552</v>
      </c>
    </row>
    <row r="374">
      <c r="A374" s="1" t="s">
        <v>13912</v>
      </c>
      <c r="B374" s="1" t="s">
        <v>10449</v>
      </c>
      <c r="C374" s="1" t="s">
        <v>12556</v>
      </c>
      <c r="D374" s="1" t="s">
        <v>12558</v>
      </c>
      <c r="E374" s="1" t="s">
        <v>12559</v>
      </c>
      <c r="F374" s="1" t="s">
        <v>12552</v>
      </c>
    </row>
    <row r="375">
      <c r="A375" s="1" t="s">
        <v>13914</v>
      </c>
      <c r="B375" s="1" t="s">
        <v>10539</v>
      </c>
      <c r="C375" s="1" t="s">
        <v>12556</v>
      </c>
      <c r="D375" s="1" t="s">
        <v>12558</v>
      </c>
      <c r="E375" s="1" t="s">
        <v>12559</v>
      </c>
      <c r="F375" s="1" t="s">
        <v>12552</v>
      </c>
    </row>
    <row r="376">
      <c r="A376" s="1" t="s">
        <v>13917</v>
      </c>
      <c r="B376" s="1" t="s">
        <v>10811</v>
      </c>
      <c r="C376" s="1" t="s">
        <v>12556</v>
      </c>
      <c r="D376" s="1" t="s">
        <v>12558</v>
      </c>
      <c r="E376" s="1" t="s">
        <v>12559</v>
      </c>
      <c r="F376" s="1" t="s">
        <v>12552</v>
      </c>
    </row>
    <row r="377">
      <c r="A377" s="1" t="s">
        <v>13918</v>
      </c>
      <c r="B377" s="1" t="s">
        <v>10860</v>
      </c>
      <c r="C377" s="1" t="s">
        <v>12556</v>
      </c>
      <c r="D377" s="1" t="s">
        <v>12558</v>
      </c>
      <c r="E377" s="1" t="s">
        <v>12559</v>
      </c>
      <c r="F377" s="1" t="s">
        <v>12552</v>
      </c>
    </row>
    <row r="378">
      <c r="A378" s="1" t="s">
        <v>13919</v>
      </c>
      <c r="B378" s="1" t="s">
        <v>4501</v>
      </c>
      <c r="C378" s="1" t="s">
        <v>12556</v>
      </c>
      <c r="D378" s="1" t="s">
        <v>12558</v>
      </c>
      <c r="E378" s="1" t="s">
        <v>12559</v>
      </c>
      <c r="F378" s="1" t="s">
        <v>12552</v>
      </c>
    </row>
    <row r="379">
      <c r="A379" s="1" t="s">
        <v>13923</v>
      </c>
      <c r="B379" s="1" t="s">
        <v>7356</v>
      </c>
      <c r="C379" s="1" t="s">
        <v>12777</v>
      </c>
      <c r="D379" s="1" t="s">
        <v>3561</v>
      </c>
      <c r="E379" s="1" t="s">
        <v>12779</v>
      </c>
      <c r="F379" s="1" t="s">
        <v>12552</v>
      </c>
    </row>
    <row r="380">
      <c r="A380" s="1" t="s">
        <v>13925</v>
      </c>
      <c r="B380" s="1" t="s">
        <v>7356</v>
      </c>
      <c r="C380" s="1" t="s">
        <v>13926</v>
      </c>
      <c r="D380" s="1" t="s">
        <v>13927</v>
      </c>
      <c r="E380" s="1" t="s">
        <v>13928</v>
      </c>
      <c r="F380" s="1" t="s">
        <v>89</v>
      </c>
    </row>
    <row r="381">
      <c r="A381" s="1" t="s">
        <v>13929</v>
      </c>
      <c r="B381" s="1" t="s">
        <v>7356</v>
      </c>
      <c r="C381" s="1" t="s">
        <v>13931</v>
      </c>
      <c r="D381" s="1" t="s">
        <v>13932</v>
      </c>
      <c r="E381" s="1" t="s">
        <v>13933</v>
      </c>
      <c r="F381" s="1" t="s">
        <v>45</v>
      </c>
    </row>
    <row r="382">
      <c r="A382" s="1" t="s">
        <v>13935</v>
      </c>
      <c r="B382" s="1" t="s">
        <v>6787</v>
      </c>
      <c r="C382" s="1" t="s">
        <v>12556</v>
      </c>
      <c r="D382" s="1" t="s">
        <v>12558</v>
      </c>
      <c r="E382" s="1" t="s">
        <v>12559</v>
      </c>
      <c r="F382" s="1" t="s">
        <v>12552</v>
      </c>
    </row>
    <row r="383">
      <c r="A383" s="1" t="s">
        <v>13937</v>
      </c>
      <c r="B383" s="1" t="s">
        <v>12486</v>
      </c>
      <c r="C383" s="1" t="s">
        <v>12556</v>
      </c>
      <c r="D383" s="1" t="s">
        <v>12558</v>
      </c>
      <c r="E383" s="1" t="s">
        <v>12559</v>
      </c>
      <c r="F383" s="1" t="s">
        <v>12552</v>
      </c>
    </row>
    <row r="384">
      <c r="A384" s="1" t="s">
        <v>13938</v>
      </c>
      <c r="B384" s="1" t="s">
        <v>6044</v>
      </c>
      <c r="C384" s="1" t="s">
        <v>12556</v>
      </c>
      <c r="D384" s="1" t="s">
        <v>12558</v>
      </c>
      <c r="E384" s="1" t="s">
        <v>12559</v>
      </c>
      <c r="F384" s="1" t="s">
        <v>12552</v>
      </c>
    </row>
    <row r="385">
      <c r="A385" s="1" t="s">
        <v>13940</v>
      </c>
      <c r="B385" s="1" t="s">
        <v>13018</v>
      </c>
      <c r="C385" s="1" t="s">
        <v>12556</v>
      </c>
      <c r="D385" s="1" t="s">
        <v>12558</v>
      </c>
      <c r="E385" s="1" t="s">
        <v>12559</v>
      </c>
      <c r="F385" s="1" t="s">
        <v>12552</v>
      </c>
    </row>
    <row r="386">
      <c r="A386" s="1" t="s">
        <v>13942</v>
      </c>
      <c r="B386" s="1" t="s">
        <v>9387</v>
      </c>
      <c r="C386" s="1" t="s">
        <v>12556</v>
      </c>
      <c r="D386" s="1" t="s">
        <v>12558</v>
      </c>
      <c r="E386" s="1" t="s">
        <v>12559</v>
      </c>
      <c r="F386" s="1" t="s">
        <v>12552</v>
      </c>
    </row>
    <row r="387">
      <c r="A387" s="1" t="s">
        <v>13943</v>
      </c>
      <c r="B387" s="1" t="s">
        <v>7293</v>
      </c>
      <c r="C387" s="1" t="s">
        <v>12556</v>
      </c>
      <c r="D387" s="1" t="s">
        <v>12558</v>
      </c>
      <c r="E387" s="1" t="s">
        <v>12559</v>
      </c>
      <c r="F387" s="1" t="s">
        <v>12552</v>
      </c>
    </row>
    <row r="388">
      <c r="A388" s="1" t="s">
        <v>13945</v>
      </c>
      <c r="B388" s="1" t="s">
        <v>9658</v>
      </c>
      <c r="C388" s="1" t="s">
        <v>12556</v>
      </c>
      <c r="D388" s="1" t="s">
        <v>12558</v>
      </c>
      <c r="E388" s="1" t="s">
        <v>12559</v>
      </c>
      <c r="F388" s="1" t="s">
        <v>12552</v>
      </c>
    </row>
    <row r="389">
      <c r="A389" s="1" t="s">
        <v>13947</v>
      </c>
      <c r="B389" s="1" t="s">
        <v>12812</v>
      </c>
      <c r="C389" s="1" t="s">
        <v>12556</v>
      </c>
      <c r="D389" s="1" t="s">
        <v>12558</v>
      </c>
      <c r="E389" s="1" t="s">
        <v>12559</v>
      </c>
      <c r="F389" s="1" t="s">
        <v>12552</v>
      </c>
    </row>
    <row r="390">
      <c r="A390" s="1" t="s">
        <v>13949</v>
      </c>
      <c r="B390" s="1" t="s">
        <v>13950</v>
      </c>
      <c r="C390" s="1" t="s">
        <v>12556</v>
      </c>
      <c r="D390" s="1" t="s">
        <v>12558</v>
      </c>
      <c r="E390" s="1" t="s">
        <v>12559</v>
      </c>
      <c r="F390" s="1" t="s">
        <v>12552</v>
      </c>
    </row>
    <row r="391">
      <c r="A391" s="1" t="s">
        <v>13951</v>
      </c>
      <c r="B391" s="1" t="s">
        <v>4431</v>
      </c>
      <c r="C391" s="1" t="s">
        <v>12556</v>
      </c>
      <c r="D391" s="1" t="s">
        <v>12558</v>
      </c>
      <c r="E391" s="1" t="s">
        <v>12559</v>
      </c>
      <c r="F391" s="1" t="s">
        <v>12552</v>
      </c>
    </row>
    <row r="392">
      <c r="A392" s="1" t="s">
        <v>13953</v>
      </c>
      <c r="B392" s="1" t="s">
        <v>13954</v>
      </c>
      <c r="C392" s="1" t="s">
        <v>12556</v>
      </c>
      <c r="D392" s="1" t="s">
        <v>12558</v>
      </c>
      <c r="E392" s="1" t="s">
        <v>12559</v>
      </c>
      <c r="F392" s="1" t="s">
        <v>12552</v>
      </c>
    </row>
    <row r="393">
      <c r="A393" s="1" t="s">
        <v>13957</v>
      </c>
      <c r="B393" s="1" t="s">
        <v>7269</v>
      </c>
      <c r="C393" s="1" t="s">
        <v>12556</v>
      </c>
      <c r="D393" s="1" t="s">
        <v>12558</v>
      </c>
      <c r="E393" s="1" t="s">
        <v>12559</v>
      </c>
      <c r="F393" s="1" t="s">
        <v>12552</v>
      </c>
    </row>
    <row r="394">
      <c r="A394" s="1" t="s">
        <v>13958</v>
      </c>
      <c r="B394" s="1" t="s">
        <v>4399</v>
      </c>
      <c r="C394" s="1" t="s">
        <v>12556</v>
      </c>
      <c r="D394" s="1" t="s">
        <v>12558</v>
      </c>
      <c r="E394" s="1" t="s">
        <v>12559</v>
      </c>
      <c r="F394" s="1" t="s">
        <v>12552</v>
      </c>
    </row>
    <row r="395">
      <c r="A395" s="1" t="s">
        <v>13960</v>
      </c>
      <c r="B395" s="1" t="s">
        <v>13961</v>
      </c>
      <c r="C395" s="1" t="s">
        <v>12556</v>
      </c>
      <c r="D395" s="1" t="s">
        <v>12558</v>
      </c>
      <c r="E395" s="1" t="s">
        <v>12559</v>
      </c>
      <c r="F395" s="1" t="s">
        <v>12552</v>
      </c>
    </row>
    <row r="396">
      <c r="A396" s="1" t="s">
        <v>13964</v>
      </c>
      <c r="B396" s="1" t="s">
        <v>13965</v>
      </c>
      <c r="C396" s="1" t="s">
        <v>12556</v>
      </c>
      <c r="D396" s="1" t="s">
        <v>12558</v>
      </c>
      <c r="E396" s="1" t="s">
        <v>12559</v>
      </c>
      <c r="F396" s="1" t="s">
        <v>12552</v>
      </c>
    </row>
    <row r="397">
      <c r="A397" s="1" t="s">
        <v>13966</v>
      </c>
      <c r="B397" s="1" t="s">
        <v>9121</v>
      </c>
      <c r="C397" s="1" t="s">
        <v>12777</v>
      </c>
      <c r="D397" s="1" t="s">
        <v>3561</v>
      </c>
      <c r="E397" s="1" t="s">
        <v>12779</v>
      </c>
      <c r="F397" s="1" t="s">
        <v>12552</v>
      </c>
    </row>
    <row r="398">
      <c r="A398" s="1" t="s">
        <v>13968</v>
      </c>
      <c r="B398" s="1" t="s">
        <v>9121</v>
      </c>
      <c r="C398" s="1" t="s">
        <v>13970</v>
      </c>
      <c r="D398" s="1" t="s">
        <v>13971</v>
      </c>
      <c r="E398" s="1" t="s">
        <v>13972</v>
      </c>
      <c r="F398" s="1" t="s">
        <v>45</v>
      </c>
    </row>
    <row r="399">
      <c r="A399" s="1" t="s">
        <v>13973</v>
      </c>
      <c r="B399" s="1" t="s">
        <v>9121</v>
      </c>
      <c r="C399" s="1" t="s">
        <v>13974</v>
      </c>
      <c r="D399" s="1" t="s">
        <v>13975</v>
      </c>
      <c r="E399" s="1" t="s">
        <v>13976</v>
      </c>
      <c r="F399" s="1" t="s">
        <v>89</v>
      </c>
    </row>
    <row r="400">
      <c r="A400" s="1" t="s">
        <v>13977</v>
      </c>
      <c r="B400" s="1" t="s">
        <v>6718</v>
      </c>
      <c r="C400" s="1" t="s">
        <v>12556</v>
      </c>
      <c r="D400" s="1" t="s">
        <v>12558</v>
      </c>
      <c r="E400" s="1" t="s">
        <v>12559</v>
      </c>
      <c r="F400" s="1" t="s">
        <v>12552</v>
      </c>
    </row>
    <row r="401">
      <c r="A401" s="1" t="s">
        <v>13981</v>
      </c>
      <c r="B401" s="1" t="s">
        <v>5895</v>
      </c>
      <c r="C401" s="1" t="s">
        <v>12556</v>
      </c>
      <c r="D401" s="1" t="s">
        <v>12558</v>
      </c>
      <c r="E401" s="1" t="s">
        <v>12559</v>
      </c>
      <c r="F401" s="1" t="s">
        <v>12552</v>
      </c>
    </row>
    <row r="402">
      <c r="A402" s="1" t="s">
        <v>13982</v>
      </c>
      <c r="B402" s="1" t="s">
        <v>13983</v>
      </c>
      <c r="C402" s="1" t="s">
        <v>12556</v>
      </c>
      <c r="D402" s="1" t="s">
        <v>12558</v>
      </c>
      <c r="E402" s="1" t="s">
        <v>12559</v>
      </c>
      <c r="F402" s="1" t="s">
        <v>12552</v>
      </c>
    </row>
    <row r="403">
      <c r="A403" s="1" t="s">
        <v>13985</v>
      </c>
      <c r="B403" s="1" t="s">
        <v>7367</v>
      </c>
      <c r="C403" s="1" t="s">
        <v>12556</v>
      </c>
      <c r="D403" s="1" t="s">
        <v>12558</v>
      </c>
      <c r="E403" s="1" t="s">
        <v>12559</v>
      </c>
      <c r="F403" s="1" t="s">
        <v>12552</v>
      </c>
    </row>
    <row r="404">
      <c r="A404" s="1" t="s">
        <v>13987</v>
      </c>
      <c r="B404" s="1" t="s">
        <v>9581</v>
      </c>
      <c r="C404" s="1" t="s">
        <v>13988</v>
      </c>
      <c r="D404" s="1" t="s">
        <v>9744</v>
      </c>
      <c r="E404" s="1" t="s">
        <v>13989</v>
      </c>
      <c r="F404" s="1" t="s">
        <v>12552</v>
      </c>
    </row>
    <row r="405">
      <c r="A405" s="1" t="s">
        <v>13990</v>
      </c>
      <c r="B405" s="1" t="s">
        <v>9581</v>
      </c>
      <c r="C405" s="1" t="s">
        <v>12556</v>
      </c>
      <c r="D405" s="1" t="s">
        <v>12558</v>
      </c>
      <c r="E405" s="1" t="s">
        <v>12559</v>
      </c>
      <c r="F405" s="1" t="s">
        <v>12552</v>
      </c>
    </row>
    <row r="406">
      <c r="A406" s="1" t="s">
        <v>13992</v>
      </c>
      <c r="B406" s="1" t="s">
        <v>4789</v>
      </c>
      <c r="C406" s="1" t="s">
        <v>13994</v>
      </c>
      <c r="D406" s="1" t="s">
        <v>13995</v>
      </c>
      <c r="E406" s="1" t="s">
        <v>13996</v>
      </c>
      <c r="F406" s="1" t="s">
        <v>45</v>
      </c>
    </row>
    <row r="407">
      <c r="A407" s="1" t="s">
        <v>13997</v>
      </c>
      <c r="B407" s="1" t="s">
        <v>4789</v>
      </c>
      <c r="C407" s="1" t="s">
        <v>13998</v>
      </c>
      <c r="D407" s="1" t="s">
        <v>4802</v>
      </c>
      <c r="E407" s="1" t="s">
        <v>13999</v>
      </c>
      <c r="F407" s="1" t="s">
        <v>12552</v>
      </c>
    </row>
    <row r="408">
      <c r="A408" s="1" t="s">
        <v>14000</v>
      </c>
      <c r="B408" s="1" t="s">
        <v>4789</v>
      </c>
      <c r="C408" s="1" t="s">
        <v>12556</v>
      </c>
      <c r="D408" s="1" t="s">
        <v>12558</v>
      </c>
      <c r="E408" s="1" t="s">
        <v>12559</v>
      </c>
      <c r="F408" s="1" t="s">
        <v>12561</v>
      </c>
    </row>
    <row r="409">
      <c r="A409" s="1" t="s">
        <v>14002</v>
      </c>
      <c r="B409" s="1" t="s">
        <v>4789</v>
      </c>
      <c r="C409" s="1" t="s">
        <v>14004</v>
      </c>
      <c r="D409" s="1" t="s">
        <v>14005</v>
      </c>
      <c r="E409" s="1" t="s">
        <v>14006</v>
      </c>
      <c r="F409" s="1" t="s">
        <v>89</v>
      </c>
    </row>
    <row r="410">
      <c r="A410" s="1" t="s">
        <v>14007</v>
      </c>
      <c r="B410" s="1" t="s">
        <v>9986</v>
      </c>
      <c r="C410" s="1" t="s">
        <v>14008</v>
      </c>
      <c r="D410" s="1" t="s">
        <v>14009</v>
      </c>
      <c r="E410" s="1" t="s">
        <v>14010</v>
      </c>
      <c r="F410" s="1" t="s">
        <v>89</v>
      </c>
    </row>
    <row r="411">
      <c r="A411" s="1" t="s">
        <v>14012</v>
      </c>
      <c r="B411" s="1" t="s">
        <v>9986</v>
      </c>
      <c r="C411" s="1" t="s">
        <v>13130</v>
      </c>
      <c r="D411" s="1" t="s">
        <v>2077</v>
      </c>
      <c r="E411" s="1" t="s">
        <v>13131</v>
      </c>
      <c r="F411" s="1" t="s">
        <v>12552</v>
      </c>
    </row>
    <row r="412">
      <c r="A412" s="1" t="s">
        <v>14015</v>
      </c>
      <c r="B412" s="1" t="s">
        <v>9986</v>
      </c>
      <c r="C412" s="1" t="s">
        <v>12556</v>
      </c>
      <c r="D412" s="1" t="s">
        <v>12558</v>
      </c>
      <c r="E412" s="1" t="s">
        <v>12559</v>
      </c>
      <c r="F412" s="1" t="s">
        <v>12561</v>
      </c>
    </row>
    <row r="413">
      <c r="A413" s="1" t="s">
        <v>14016</v>
      </c>
      <c r="B413" s="1" t="s">
        <v>9986</v>
      </c>
      <c r="C413" s="1" t="s">
        <v>14017</v>
      </c>
      <c r="D413" s="1" t="s">
        <v>14019</v>
      </c>
      <c r="E413" s="1" t="s">
        <v>14020</v>
      </c>
      <c r="F413" s="1" t="s">
        <v>45</v>
      </c>
    </row>
    <row r="414">
      <c r="A414" s="1" t="s">
        <v>14021</v>
      </c>
      <c r="B414" s="1" t="s">
        <v>7766</v>
      </c>
      <c r="C414" s="1" t="s">
        <v>12556</v>
      </c>
      <c r="D414" s="1" t="s">
        <v>12558</v>
      </c>
      <c r="E414" s="1" t="s">
        <v>12559</v>
      </c>
      <c r="F414" s="1" t="s">
        <v>12552</v>
      </c>
    </row>
    <row r="415">
      <c r="A415" s="1" t="s">
        <v>14023</v>
      </c>
      <c r="B415" s="1" t="s">
        <v>14024</v>
      </c>
      <c r="C415" s="1" t="s">
        <v>12556</v>
      </c>
      <c r="D415" s="1" t="s">
        <v>12558</v>
      </c>
      <c r="E415" s="1" t="s">
        <v>12559</v>
      </c>
      <c r="F415" s="1" t="s">
        <v>12552</v>
      </c>
    </row>
    <row r="416">
      <c r="A416" s="1" t="s">
        <v>14026</v>
      </c>
      <c r="B416" s="1" t="s">
        <v>8369</v>
      </c>
      <c r="C416" s="1" t="s">
        <v>12556</v>
      </c>
      <c r="D416" s="1" t="s">
        <v>12558</v>
      </c>
      <c r="E416" s="1" t="s">
        <v>12559</v>
      </c>
      <c r="F416" s="1" t="s">
        <v>12552</v>
      </c>
    </row>
    <row r="417">
      <c r="A417" s="1" t="s">
        <v>14028</v>
      </c>
      <c r="B417" s="1" t="s">
        <v>5537</v>
      </c>
      <c r="C417" s="1" t="s">
        <v>12556</v>
      </c>
      <c r="D417" s="1" t="s">
        <v>12558</v>
      </c>
      <c r="E417" s="1" t="s">
        <v>12559</v>
      </c>
      <c r="F417" s="1" t="s">
        <v>12552</v>
      </c>
    </row>
    <row r="418">
      <c r="A418" s="1" t="s">
        <v>14030</v>
      </c>
      <c r="B418" s="1" t="s">
        <v>10705</v>
      </c>
      <c r="C418" s="1" t="s">
        <v>12556</v>
      </c>
      <c r="D418" s="1" t="s">
        <v>12558</v>
      </c>
      <c r="E418" s="1" t="s">
        <v>12559</v>
      </c>
      <c r="F418" s="1" t="s">
        <v>12552</v>
      </c>
    </row>
    <row r="419">
      <c r="A419" s="1" t="s">
        <v>14031</v>
      </c>
      <c r="B419" s="1" t="s">
        <v>9753</v>
      </c>
      <c r="C419" s="1" t="s">
        <v>12556</v>
      </c>
      <c r="D419" s="1" t="s">
        <v>12558</v>
      </c>
      <c r="E419" s="1" t="s">
        <v>12559</v>
      </c>
      <c r="F419" s="1" t="s">
        <v>12552</v>
      </c>
    </row>
    <row r="420">
      <c r="A420" s="1" t="s">
        <v>14033</v>
      </c>
      <c r="B420" s="1" t="s">
        <v>6548</v>
      </c>
      <c r="C420" s="1" t="s">
        <v>12556</v>
      </c>
      <c r="D420" s="1" t="s">
        <v>12558</v>
      </c>
      <c r="E420" s="1" t="s">
        <v>12559</v>
      </c>
      <c r="F420" s="1" t="s">
        <v>12552</v>
      </c>
    </row>
    <row r="421">
      <c r="A421" s="1" t="s">
        <v>14036</v>
      </c>
      <c r="B421" s="1" t="s">
        <v>14037</v>
      </c>
      <c r="C421" s="1" t="s">
        <v>12556</v>
      </c>
      <c r="D421" s="1" t="s">
        <v>12558</v>
      </c>
      <c r="E421" s="1" t="s">
        <v>12559</v>
      </c>
      <c r="F421" s="1" t="s">
        <v>12552</v>
      </c>
    </row>
    <row r="422">
      <c r="A422" s="1" t="s">
        <v>14038</v>
      </c>
      <c r="B422" s="1" t="s">
        <v>14039</v>
      </c>
      <c r="C422" s="1" t="s">
        <v>12556</v>
      </c>
      <c r="D422" s="1" t="s">
        <v>12558</v>
      </c>
      <c r="E422" s="1" t="s">
        <v>12559</v>
      </c>
      <c r="F422" s="1" t="s">
        <v>12552</v>
      </c>
    </row>
    <row r="423">
      <c r="A423" s="1" t="s">
        <v>14041</v>
      </c>
      <c r="B423" s="1" t="s">
        <v>10918</v>
      </c>
      <c r="C423" s="1" t="s">
        <v>13130</v>
      </c>
      <c r="D423" s="1" t="s">
        <v>2077</v>
      </c>
      <c r="E423" s="1" t="s">
        <v>13131</v>
      </c>
      <c r="F423" s="1" t="s">
        <v>12552</v>
      </c>
    </row>
    <row r="424">
      <c r="A424" s="1" t="s">
        <v>14044</v>
      </c>
      <c r="B424" s="1" t="s">
        <v>10918</v>
      </c>
      <c r="C424" s="1" t="s">
        <v>12556</v>
      </c>
      <c r="D424" s="1" t="s">
        <v>12558</v>
      </c>
      <c r="E424" s="1" t="s">
        <v>12559</v>
      </c>
      <c r="F424" s="1" t="s">
        <v>12561</v>
      </c>
    </row>
    <row r="425">
      <c r="A425" s="1" t="s">
        <v>14045</v>
      </c>
      <c r="B425" s="1" t="s">
        <v>10918</v>
      </c>
      <c r="C425" s="1" t="s">
        <v>14046</v>
      </c>
      <c r="D425" s="1" t="s">
        <v>14047</v>
      </c>
      <c r="E425" s="1" t="s">
        <v>14048</v>
      </c>
      <c r="F425" s="1" t="s">
        <v>45</v>
      </c>
    </row>
    <row r="426">
      <c r="A426" s="1" t="s">
        <v>14049</v>
      </c>
      <c r="B426" s="1" t="s">
        <v>4923</v>
      </c>
      <c r="C426" s="1" t="s">
        <v>12556</v>
      </c>
      <c r="D426" s="1" t="s">
        <v>12558</v>
      </c>
      <c r="E426" s="1" t="s">
        <v>12559</v>
      </c>
      <c r="F426" s="1" t="s">
        <v>12552</v>
      </c>
    </row>
    <row r="427">
      <c r="A427" s="1" t="s">
        <v>14051</v>
      </c>
      <c r="B427" s="1" t="s">
        <v>9501</v>
      </c>
      <c r="C427" s="1" t="s">
        <v>12556</v>
      </c>
      <c r="D427" s="1" t="s">
        <v>12558</v>
      </c>
      <c r="E427" s="1" t="s">
        <v>12559</v>
      </c>
      <c r="F427" s="1" t="s">
        <v>12552</v>
      </c>
    </row>
    <row r="428">
      <c r="A428" s="1" t="s">
        <v>14054</v>
      </c>
      <c r="B428" s="1" t="s">
        <v>13351</v>
      </c>
      <c r="C428" s="1" t="s">
        <v>12556</v>
      </c>
      <c r="D428" s="1" t="s">
        <v>12558</v>
      </c>
      <c r="E428" s="1" t="s">
        <v>12559</v>
      </c>
      <c r="F428" s="1" t="s">
        <v>12552</v>
      </c>
    </row>
    <row r="429">
      <c r="A429" s="1" t="s">
        <v>14055</v>
      </c>
      <c r="B429" s="1" t="s">
        <v>14056</v>
      </c>
      <c r="C429" s="1" t="s">
        <v>12556</v>
      </c>
      <c r="D429" s="1" t="s">
        <v>12558</v>
      </c>
      <c r="E429" s="1" t="s">
        <v>12559</v>
      </c>
      <c r="F429" s="1" t="s">
        <v>12552</v>
      </c>
    </row>
    <row r="430">
      <c r="A430" s="1" t="s">
        <v>14059</v>
      </c>
      <c r="B430" s="1" t="s">
        <v>6094</v>
      </c>
      <c r="C430" s="1" t="s">
        <v>12556</v>
      </c>
      <c r="D430" s="1" t="s">
        <v>12558</v>
      </c>
      <c r="E430" s="1" t="s">
        <v>12559</v>
      </c>
      <c r="F430" s="1" t="s">
        <v>12552</v>
      </c>
    </row>
    <row r="431">
      <c r="A431" s="1" t="s">
        <v>14062</v>
      </c>
      <c r="B431" s="1" t="s">
        <v>5247</v>
      </c>
      <c r="C431" s="1" t="s">
        <v>12556</v>
      </c>
      <c r="D431" s="1" t="s">
        <v>12558</v>
      </c>
      <c r="E431" s="1" t="s">
        <v>12559</v>
      </c>
      <c r="F431" s="1" t="s">
        <v>12552</v>
      </c>
    </row>
    <row r="432">
      <c r="A432" s="1" t="s">
        <v>14064</v>
      </c>
      <c r="B432" s="1" t="s">
        <v>6439</v>
      </c>
      <c r="C432" s="1" t="s">
        <v>12556</v>
      </c>
      <c r="D432" s="1" t="s">
        <v>12558</v>
      </c>
      <c r="E432" s="1" t="s">
        <v>12559</v>
      </c>
      <c r="F432" s="1" t="s">
        <v>12552</v>
      </c>
    </row>
    <row r="433">
      <c r="A433" s="1" t="s">
        <v>14066</v>
      </c>
      <c r="B433" s="1" t="s">
        <v>6867</v>
      </c>
      <c r="C433" s="1" t="s">
        <v>12556</v>
      </c>
      <c r="D433" s="1" t="s">
        <v>12558</v>
      </c>
      <c r="E433" s="1" t="s">
        <v>12559</v>
      </c>
      <c r="F433" s="1" t="s">
        <v>12552</v>
      </c>
    </row>
    <row r="434">
      <c r="A434" s="1" t="s">
        <v>14068</v>
      </c>
      <c r="B434" s="1" t="s">
        <v>8930</v>
      </c>
      <c r="C434" s="1" t="s">
        <v>12556</v>
      </c>
      <c r="D434" s="1" t="s">
        <v>12558</v>
      </c>
      <c r="E434" s="1" t="s">
        <v>12559</v>
      </c>
      <c r="F434" s="1" t="s">
        <v>12552</v>
      </c>
    </row>
    <row r="435">
      <c r="A435" s="1" t="s">
        <v>14069</v>
      </c>
      <c r="B435" s="1" t="s">
        <v>10248</v>
      </c>
      <c r="C435" s="1" t="s">
        <v>12556</v>
      </c>
      <c r="D435" s="1" t="s">
        <v>12558</v>
      </c>
      <c r="E435" s="1" t="s">
        <v>12559</v>
      </c>
      <c r="F435" s="1" t="s">
        <v>12552</v>
      </c>
    </row>
    <row r="436">
      <c r="A436" s="1" t="s">
        <v>14071</v>
      </c>
      <c r="B436" s="1" t="s">
        <v>7862</v>
      </c>
      <c r="C436" s="1" t="s">
        <v>12556</v>
      </c>
      <c r="D436" s="1" t="s">
        <v>12558</v>
      </c>
      <c r="E436" s="1" t="s">
        <v>12559</v>
      </c>
      <c r="F436" s="1" t="s">
        <v>12552</v>
      </c>
    </row>
    <row r="437">
      <c r="A437" s="1" t="s">
        <v>14074</v>
      </c>
      <c r="B437" s="1" t="s">
        <v>14075</v>
      </c>
      <c r="C437" s="1" t="s">
        <v>12556</v>
      </c>
      <c r="D437" s="1" t="s">
        <v>12558</v>
      </c>
      <c r="E437" s="1" t="s">
        <v>12559</v>
      </c>
      <c r="F437" s="1" t="s">
        <v>12552</v>
      </c>
    </row>
    <row r="438">
      <c r="A438" s="1" t="s">
        <v>14076</v>
      </c>
      <c r="B438" s="1" t="s">
        <v>14077</v>
      </c>
      <c r="C438" s="1" t="s">
        <v>12556</v>
      </c>
      <c r="D438" s="1" t="s">
        <v>12558</v>
      </c>
      <c r="E438" s="1" t="s">
        <v>12559</v>
      </c>
      <c r="F438" s="1" t="s">
        <v>12552</v>
      </c>
    </row>
    <row r="439">
      <c r="A439" s="1" t="s">
        <v>14079</v>
      </c>
      <c r="B439" s="1" t="s">
        <v>14081</v>
      </c>
      <c r="C439" s="1" t="s">
        <v>12556</v>
      </c>
      <c r="D439" s="1" t="s">
        <v>12558</v>
      </c>
      <c r="E439" s="1" t="s">
        <v>12559</v>
      </c>
      <c r="F439" s="1" t="s">
        <v>12552</v>
      </c>
    </row>
    <row r="440">
      <c r="A440" s="1" t="s">
        <v>14083</v>
      </c>
      <c r="B440" s="1" t="s">
        <v>14084</v>
      </c>
      <c r="C440" s="1" t="s">
        <v>12556</v>
      </c>
      <c r="D440" s="1" t="s">
        <v>12558</v>
      </c>
      <c r="E440" s="1" t="s">
        <v>12559</v>
      </c>
      <c r="F440" s="1" t="s">
        <v>12552</v>
      </c>
    </row>
    <row r="441">
      <c r="A441" s="1" t="s">
        <v>14085</v>
      </c>
      <c r="B441" s="1" t="s">
        <v>4494</v>
      </c>
      <c r="C441" s="1" t="s">
        <v>12556</v>
      </c>
      <c r="D441" s="1" t="s">
        <v>12558</v>
      </c>
      <c r="E441" s="1" t="s">
        <v>12559</v>
      </c>
      <c r="F441" s="1" t="s">
        <v>12552</v>
      </c>
    </row>
    <row r="442">
      <c r="A442" s="1" t="s">
        <v>14087</v>
      </c>
      <c r="B442" s="1" t="s">
        <v>7025</v>
      </c>
      <c r="C442" s="1" t="s">
        <v>12556</v>
      </c>
      <c r="D442" s="1" t="s">
        <v>12558</v>
      </c>
      <c r="E442" s="1" t="s">
        <v>12559</v>
      </c>
      <c r="F442" s="1" t="s">
        <v>12552</v>
      </c>
    </row>
    <row r="443">
      <c r="A443" s="1" t="s">
        <v>14089</v>
      </c>
      <c r="B443" s="1" t="s">
        <v>14090</v>
      </c>
      <c r="C443" s="1" t="s">
        <v>12556</v>
      </c>
      <c r="D443" s="1" t="s">
        <v>12558</v>
      </c>
      <c r="E443" s="1" t="s">
        <v>12559</v>
      </c>
      <c r="F443" s="1" t="s">
        <v>12552</v>
      </c>
    </row>
    <row r="444">
      <c r="A444" s="1" t="s">
        <v>14091</v>
      </c>
      <c r="B444" s="1" t="s">
        <v>14092</v>
      </c>
      <c r="C444" s="1" t="s">
        <v>12556</v>
      </c>
      <c r="D444" s="1" t="s">
        <v>12558</v>
      </c>
      <c r="E444" s="1" t="s">
        <v>12559</v>
      </c>
      <c r="F444" s="1" t="s">
        <v>12552</v>
      </c>
    </row>
    <row r="445">
      <c r="A445" s="1" t="s">
        <v>14093</v>
      </c>
      <c r="B445" s="1" t="s">
        <v>7221</v>
      </c>
      <c r="C445" s="1" t="s">
        <v>12556</v>
      </c>
      <c r="D445" s="1" t="s">
        <v>12558</v>
      </c>
      <c r="E445" s="1" t="s">
        <v>12559</v>
      </c>
      <c r="F445" s="1" t="s">
        <v>12552</v>
      </c>
    </row>
    <row r="446">
      <c r="A446" s="1" t="s">
        <v>14095</v>
      </c>
      <c r="B446" s="1" t="s">
        <v>14097</v>
      </c>
      <c r="C446" s="1" t="s">
        <v>12556</v>
      </c>
      <c r="D446" s="1" t="s">
        <v>12558</v>
      </c>
      <c r="E446" s="1" t="s">
        <v>12559</v>
      </c>
      <c r="F446" s="1" t="s">
        <v>12552</v>
      </c>
    </row>
    <row r="447">
      <c r="A447" s="1" t="s">
        <v>14098</v>
      </c>
      <c r="B447" s="1" t="s">
        <v>5759</v>
      </c>
      <c r="C447" s="1" t="s">
        <v>12556</v>
      </c>
      <c r="D447" s="1" t="s">
        <v>12558</v>
      </c>
      <c r="E447" s="1" t="s">
        <v>12559</v>
      </c>
      <c r="F447" s="1" t="s">
        <v>12552</v>
      </c>
    </row>
    <row r="448">
      <c r="A448" s="1" t="s">
        <v>14100</v>
      </c>
      <c r="B448" s="1" t="s">
        <v>6036</v>
      </c>
      <c r="C448" s="1" t="s">
        <v>12556</v>
      </c>
      <c r="D448" s="1" t="s">
        <v>12558</v>
      </c>
      <c r="E448" s="1" t="s">
        <v>12559</v>
      </c>
      <c r="F448" s="1" t="s">
        <v>12552</v>
      </c>
    </row>
    <row r="449">
      <c r="A449" s="1" t="s">
        <v>14102</v>
      </c>
      <c r="B449" s="1" t="s">
        <v>13438</v>
      </c>
      <c r="C449" s="1" t="s">
        <v>12556</v>
      </c>
      <c r="D449" s="1" t="s">
        <v>12558</v>
      </c>
      <c r="E449" s="1" t="s">
        <v>12559</v>
      </c>
      <c r="F449" s="1" t="s">
        <v>12552</v>
      </c>
    </row>
    <row r="450">
      <c r="A450" s="1" t="s">
        <v>14104</v>
      </c>
      <c r="B450" s="1" t="s">
        <v>11195</v>
      </c>
      <c r="C450" s="1" t="s">
        <v>12556</v>
      </c>
      <c r="D450" s="1" t="s">
        <v>12558</v>
      </c>
      <c r="E450" s="1" t="s">
        <v>12559</v>
      </c>
      <c r="F450" s="1" t="s">
        <v>12552</v>
      </c>
    </row>
    <row r="451">
      <c r="A451" s="1" t="s">
        <v>14105</v>
      </c>
      <c r="B451" s="1" t="s">
        <v>14106</v>
      </c>
      <c r="C451" s="1" t="s">
        <v>12556</v>
      </c>
      <c r="D451" s="1" t="s">
        <v>12558</v>
      </c>
      <c r="E451" s="1" t="s">
        <v>12559</v>
      </c>
      <c r="F451" s="1" t="s">
        <v>12552</v>
      </c>
    </row>
    <row r="452">
      <c r="A452" s="1" t="s">
        <v>14108</v>
      </c>
      <c r="B452" s="1" t="s">
        <v>13775</v>
      </c>
      <c r="C452" s="1" t="s">
        <v>12556</v>
      </c>
      <c r="D452" s="1" t="s">
        <v>12558</v>
      </c>
      <c r="E452" s="1" t="s">
        <v>12559</v>
      </c>
      <c r="F452" s="1" t="s">
        <v>12552</v>
      </c>
    </row>
    <row r="453">
      <c r="A453" s="1" t="s">
        <v>14111</v>
      </c>
      <c r="B453" s="1" t="s">
        <v>12272</v>
      </c>
      <c r="C453" s="1" t="s">
        <v>12556</v>
      </c>
      <c r="D453" s="1" t="s">
        <v>12558</v>
      </c>
      <c r="E453" s="1" t="s">
        <v>12559</v>
      </c>
      <c r="F453" s="1" t="s">
        <v>12561</v>
      </c>
    </row>
    <row r="454">
      <c r="A454" s="1" t="s">
        <v>14112</v>
      </c>
      <c r="B454" s="1" t="s">
        <v>12272</v>
      </c>
      <c r="C454" s="1" t="s">
        <v>13130</v>
      </c>
      <c r="D454" s="1" t="s">
        <v>2077</v>
      </c>
      <c r="E454" s="1" t="s">
        <v>13131</v>
      </c>
      <c r="F454" s="1" t="s">
        <v>12552</v>
      </c>
    </row>
    <row r="455">
      <c r="A455" s="1" t="s">
        <v>14115</v>
      </c>
      <c r="B455" s="1" t="s">
        <v>12272</v>
      </c>
      <c r="C455" s="1" t="s">
        <v>14117</v>
      </c>
      <c r="D455" s="1" t="s">
        <v>14118</v>
      </c>
      <c r="E455" s="1" t="s">
        <v>14119</v>
      </c>
      <c r="F455" s="1" t="s">
        <v>45</v>
      </c>
    </row>
    <row r="456">
      <c r="A456" s="1" t="s">
        <v>14120</v>
      </c>
      <c r="B456" s="1" t="s">
        <v>12272</v>
      </c>
      <c r="C456" s="1" t="s">
        <v>14121</v>
      </c>
      <c r="D456" s="1" t="s">
        <v>14122</v>
      </c>
      <c r="E456" s="1" t="s">
        <v>14123</v>
      </c>
      <c r="F456" s="1" t="s">
        <v>89</v>
      </c>
    </row>
    <row r="457">
      <c r="A457" s="1" t="s">
        <v>14124</v>
      </c>
      <c r="B457" s="1" t="s">
        <v>14125</v>
      </c>
      <c r="C457" s="1" t="s">
        <v>12556</v>
      </c>
      <c r="D457" s="1" t="s">
        <v>12558</v>
      </c>
      <c r="E457" s="1" t="s">
        <v>12559</v>
      </c>
      <c r="F457" s="1" t="s">
        <v>12552</v>
      </c>
    </row>
    <row r="458">
      <c r="A458" s="1" t="s">
        <v>14128</v>
      </c>
      <c r="B458" s="1" t="s">
        <v>6105</v>
      </c>
      <c r="C458" s="1" t="s">
        <v>12556</v>
      </c>
      <c r="D458" s="1" t="s">
        <v>12558</v>
      </c>
      <c r="E458" s="1" t="s">
        <v>12559</v>
      </c>
      <c r="F458" s="1" t="s">
        <v>12552</v>
      </c>
    </row>
    <row r="459">
      <c r="A459" s="1" t="s">
        <v>14130</v>
      </c>
      <c r="B459" s="1" t="s">
        <v>9106</v>
      </c>
      <c r="C459" s="1" t="s">
        <v>12556</v>
      </c>
      <c r="D459" s="1" t="s">
        <v>12558</v>
      </c>
      <c r="E459" s="1" t="s">
        <v>12559</v>
      </c>
      <c r="F459" s="1" t="s">
        <v>12552</v>
      </c>
    </row>
    <row r="460">
      <c r="A460" s="1" t="s">
        <v>14131</v>
      </c>
      <c r="B460" s="1" t="s">
        <v>9094</v>
      </c>
      <c r="C460" s="1" t="s">
        <v>12556</v>
      </c>
      <c r="D460" s="1" t="s">
        <v>12558</v>
      </c>
      <c r="E460" s="1" t="s">
        <v>12559</v>
      </c>
      <c r="F460" s="1" t="s">
        <v>12552</v>
      </c>
    </row>
    <row r="461">
      <c r="A461" s="1" t="s">
        <v>14135</v>
      </c>
      <c r="B461" s="1" t="s">
        <v>12749</v>
      </c>
      <c r="C461" s="1" t="s">
        <v>14136</v>
      </c>
      <c r="D461" s="1" t="s">
        <v>14137</v>
      </c>
      <c r="E461" s="1" t="s">
        <v>14138</v>
      </c>
      <c r="F461" s="1" t="s">
        <v>89</v>
      </c>
    </row>
    <row r="462">
      <c r="A462" s="1" t="s">
        <v>14139</v>
      </c>
      <c r="B462" s="1" t="s">
        <v>12749</v>
      </c>
      <c r="C462" s="1" t="s">
        <v>13988</v>
      </c>
      <c r="D462" s="1" t="s">
        <v>9744</v>
      </c>
      <c r="E462" s="1" t="s">
        <v>13989</v>
      </c>
      <c r="F462" s="1" t="s">
        <v>12552</v>
      </c>
    </row>
    <row r="463">
      <c r="A463" s="1" t="s">
        <v>14142</v>
      </c>
      <c r="B463" s="1" t="s">
        <v>12749</v>
      </c>
      <c r="C463" s="1" t="s">
        <v>14136</v>
      </c>
      <c r="D463" s="1" t="s">
        <v>14137</v>
      </c>
      <c r="E463" s="1" t="s">
        <v>14138</v>
      </c>
      <c r="F463" s="1" t="s">
        <v>45</v>
      </c>
    </row>
    <row r="464">
      <c r="A464" s="1" t="s">
        <v>14144</v>
      </c>
      <c r="B464" s="1" t="s">
        <v>12749</v>
      </c>
      <c r="C464" s="1" t="s">
        <v>12556</v>
      </c>
      <c r="D464" s="1" t="s">
        <v>12558</v>
      </c>
      <c r="E464" s="1" t="s">
        <v>12559</v>
      </c>
      <c r="F464" s="1" t="s">
        <v>12561</v>
      </c>
    </row>
    <row r="465">
      <c r="A465" s="1" t="s">
        <v>14145</v>
      </c>
      <c r="B465" s="1" t="s">
        <v>9830</v>
      </c>
      <c r="C465" s="1" t="s">
        <v>14147</v>
      </c>
      <c r="D465" s="1" t="s">
        <v>14148</v>
      </c>
      <c r="E465" s="1" t="s">
        <v>14149</v>
      </c>
      <c r="F465" s="1" t="s">
        <v>12561</v>
      </c>
    </row>
    <row r="466">
      <c r="A466" s="1" t="s">
        <v>14150</v>
      </c>
      <c r="B466" s="1" t="s">
        <v>9830</v>
      </c>
      <c r="C466" s="1" t="s">
        <v>14152</v>
      </c>
      <c r="D466" s="1" t="s">
        <v>14153</v>
      </c>
      <c r="E466" s="1" t="s">
        <v>14154</v>
      </c>
      <c r="F466" s="1" t="s">
        <v>89</v>
      </c>
    </row>
    <row r="467">
      <c r="A467" s="1" t="s">
        <v>14155</v>
      </c>
      <c r="B467" s="1" t="s">
        <v>9830</v>
      </c>
      <c r="C467" s="1" t="s">
        <v>14156</v>
      </c>
      <c r="D467" s="1" t="s">
        <v>14157</v>
      </c>
      <c r="E467" s="1" t="s">
        <v>14158</v>
      </c>
      <c r="F467" s="1" t="s">
        <v>45</v>
      </c>
    </row>
    <row r="468">
      <c r="A468" s="1" t="s">
        <v>14159</v>
      </c>
      <c r="B468" s="1" t="s">
        <v>9830</v>
      </c>
      <c r="C468" s="1" t="s">
        <v>14162</v>
      </c>
      <c r="D468" s="1" t="s">
        <v>9846</v>
      </c>
      <c r="E468" s="1" t="s">
        <v>14163</v>
      </c>
      <c r="F468" s="1" t="s">
        <v>12552</v>
      </c>
    </row>
    <row r="469">
      <c r="A469" s="1" t="s">
        <v>14168</v>
      </c>
      <c r="B469" s="1" t="s">
        <v>9830</v>
      </c>
      <c r="C469" s="1" t="s">
        <v>14169</v>
      </c>
      <c r="D469" s="1" t="s">
        <v>14170</v>
      </c>
      <c r="E469" s="1" t="s">
        <v>14171</v>
      </c>
      <c r="F469" s="1" t="s">
        <v>12552</v>
      </c>
    </row>
    <row r="470">
      <c r="A470" s="1" t="s">
        <v>14172</v>
      </c>
      <c r="B470" s="1" t="s">
        <v>9622</v>
      </c>
      <c r="C470" s="1" t="s">
        <v>14173</v>
      </c>
      <c r="D470" s="1" t="s">
        <v>14174</v>
      </c>
      <c r="E470" s="1" t="s">
        <v>14175</v>
      </c>
      <c r="F470" s="1" t="s">
        <v>89</v>
      </c>
    </row>
    <row r="471">
      <c r="A471" s="1" t="s">
        <v>14177</v>
      </c>
      <c r="B471" s="1" t="s">
        <v>9622</v>
      </c>
      <c r="C471" s="1" t="s">
        <v>14178</v>
      </c>
      <c r="D471" s="1" t="s">
        <v>9635</v>
      </c>
      <c r="E471" s="1" t="s">
        <v>14180</v>
      </c>
      <c r="F471" s="1" t="s">
        <v>12552</v>
      </c>
    </row>
    <row r="472">
      <c r="A472" s="1" t="s">
        <v>14181</v>
      </c>
      <c r="B472" s="1" t="s">
        <v>14182</v>
      </c>
      <c r="C472" s="1" t="s">
        <v>13352</v>
      </c>
      <c r="D472" s="1" t="s">
        <v>5108</v>
      </c>
      <c r="E472" s="1" t="s">
        <v>13354</v>
      </c>
      <c r="F472" s="1" t="s">
        <v>12580</v>
      </c>
    </row>
    <row r="473">
      <c r="A473" s="1" t="s">
        <v>14184</v>
      </c>
      <c r="B473" s="1" t="s">
        <v>14182</v>
      </c>
      <c r="C473" s="1" t="s">
        <v>14185</v>
      </c>
      <c r="D473" s="1" t="s">
        <v>14187</v>
      </c>
      <c r="E473" s="1" t="s">
        <v>14188</v>
      </c>
      <c r="F473" s="1" t="s">
        <v>12552</v>
      </c>
    </row>
    <row r="474">
      <c r="A474" s="1" t="s">
        <v>14189</v>
      </c>
      <c r="B474" s="1" t="s">
        <v>7989</v>
      </c>
      <c r="C474" s="1" t="s">
        <v>14191</v>
      </c>
      <c r="D474" s="1" t="s">
        <v>8001</v>
      </c>
      <c r="E474" s="1" t="s">
        <v>14192</v>
      </c>
      <c r="F474" s="1" t="s">
        <v>12552</v>
      </c>
    </row>
    <row r="475">
      <c r="A475" s="1" t="s">
        <v>14193</v>
      </c>
      <c r="B475" s="1" t="s">
        <v>13907</v>
      </c>
      <c r="C475" s="1" t="s">
        <v>12556</v>
      </c>
      <c r="D475" s="1" t="s">
        <v>12558</v>
      </c>
      <c r="E475" s="1" t="s">
        <v>12559</v>
      </c>
      <c r="F475" s="1" t="s">
        <v>12580</v>
      </c>
    </row>
    <row r="476">
      <c r="A476" s="1" t="s">
        <v>14195</v>
      </c>
      <c r="B476" s="1" t="s">
        <v>14197</v>
      </c>
      <c r="C476" s="1" t="s">
        <v>14198</v>
      </c>
      <c r="D476" s="1" t="s">
        <v>14199</v>
      </c>
      <c r="E476" s="1" t="s">
        <v>14200</v>
      </c>
      <c r="F476" s="1" t="s">
        <v>12552</v>
      </c>
    </row>
    <row r="477">
      <c r="A477" s="1" t="s">
        <v>14202</v>
      </c>
      <c r="B477" s="1" t="s">
        <v>12240</v>
      </c>
      <c r="C477" s="1" t="s">
        <v>14203</v>
      </c>
      <c r="D477" s="1" t="s">
        <v>10967</v>
      </c>
      <c r="E477" s="1" t="s">
        <v>14204</v>
      </c>
      <c r="F477" s="1" t="s">
        <v>12552</v>
      </c>
    </row>
    <row r="478">
      <c r="A478" s="4"/>
      <c r="B478" s="4"/>
      <c r="C478" s="4"/>
      <c r="D478" s="4"/>
      <c r="E478" s="4"/>
      <c r="F478" s="4"/>
    </row>
    <row r="479">
      <c r="A479" s="4"/>
      <c r="B479" s="4"/>
      <c r="C479" s="4"/>
      <c r="D479" s="4"/>
      <c r="E479" s="4"/>
      <c r="F479" s="4"/>
    </row>
    <row r="480">
      <c r="A480" s="4"/>
      <c r="B480" s="4"/>
      <c r="C480" s="4"/>
      <c r="D480" s="4"/>
      <c r="E480" s="4"/>
      <c r="F480" s="4"/>
    </row>
    <row r="481">
      <c r="A481" s="4"/>
      <c r="B481" s="4"/>
      <c r="C481" s="4"/>
      <c r="D481" s="4"/>
      <c r="E481" s="4"/>
      <c r="F481" s="4"/>
    </row>
    <row r="482">
      <c r="A482" s="4"/>
      <c r="B482" s="4"/>
      <c r="C482" s="4"/>
      <c r="D482" s="4"/>
      <c r="E482" s="4"/>
      <c r="F482" s="4"/>
    </row>
    <row r="483">
      <c r="A483" s="4"/>
      <c r="B483" s="4"/>
      <c r="C483" s="4"/>
      <c r="D483" s="4"/>
      <c r="E483" s="4"/>
      <c r="F483" s="4"/>
    </row>
    <row r="484">
      <c r="A484" s="4"/>
      <c r="B484" s="4"/>
      <c r="C484" s="4"/>
      <c r="D484" s="4"/>
      <c r="E484" s="4"/>
      <c r="F484" s="4"/>
    </row>
    <row r="485">
      <c r="A485" s="4"/>
      <c r="B485" s="4"/>
      <c r="C485" s="4"/>
      <c r="D485" s="4"/>
      <c r="E485" s="4"/>
      <c r="F485" s="4"/>
    </row>
    <row r="486">
      <c r="A486" s="4"/>
      <c r="B486" s="4"/>
      <c r="C486" s="4"/>
      <c r="D486" s="4"/>
      <c r="E486" s="4"/>
      <c r="F486" s="4"/>
    </row>
    <row r="487">
      <c r="A487" s="4"/>
      <c r="B487" s="4"/>
      <c r="C487" s="4"/>
      <c r="D487" s="4"/>
      <c r="E487" s="4"/>
      <c r="F487" s="4"/>
    </row>
    <row r="488">
      <c r="A488" s="4"/>
      <c r="B488" s="4"/>
      <c r="C488" s="4"/>
      <c r="D488" s="4"/>
      <c r="E488" s="4"/>
      <c r="F488" s="4"/>
    </row>
    <row r="489">
      <c r="A489" s="4"/>
      <c r="B489" s="4"/>
      <c r="C489" s="4"/>
      <c r="D489" s="4"/>
      <c r="E489" s="4"/>
      <c r="F489" s="4"/>
    </row>
    <row r="490">
      <c r="A490" s="4"/>
      <c r="B490" s="4"/>
      <c r="C490" s="4"/>
      <c r="D490" s="4"/>
      <c r="E490" s="4"/>
      <c r="F490" s="4"/>
    </row>
    <row r="491">
      <c r="A491" s="4"/>
      <c r="B491" s="4"/>
      <c r="C491" s="4"/>
      <c r="D491" s="4"/>
      <c r="E491" s="4"/>
      <c r="F491" s="4"/>
    </row>
    <row r="492">
      <c r="A492" s="4"/>
      <c r="B492" s="4"/>
      <c r="C492" s="4"/>
      <c r="D492" s="4"/>
      <c r="E492" s="4"/>
      <c r="F492" s="4"/>
    </row>
    <row r="493">
      <c r="A493" s="4"/>
      <c r="B493" s="4"/>
      <c r="C493" s="4"/>
      <c r="D493" s="4"/>
      <c r="E493" s="4"/>
      <c r="F493" s="4"/>
    </row>
    <row r="494">
      <c r="A494" s="4"/>
      <c r="B494" s="4"/>
      <c r="C494" s="4"/>
      <c r="D494" s="4"/>
      <c r="E494" s="4"/>
      <c r="F494" s="4"/>
    </row>
    <row r="495">
      <c r="A495" s="4"/>
      <c r="B495" s="4"/>
      <c r="C495" s="4"/>
      <c r="D495" s="4"/>
      <c r="E495" s="4"/>
      <c r="F495" s="4"/>
    </row>
    <row r="496">
      <c r="A496" s="4"/>
      <c r="B496" s="4"/>
      <c r="C496" s="4"/>
      <c r="D496" s="4"/>
      <c r="E496" s="4"/>
      <c r="F496" s="4"/>
    </row>
    <row r="497">
      <c r="A497" s="4"/>
      <c r="B497" s="4"/>
      <c r="C497" s="4"/>
      <c r="D497" s="4"/>
      <c r="E497" s="4"/>
      <c r="F497" s="4"/>
    </row>
    <row r="498">
      <c r="A498" s="4"/>
      <c r="B498" s="4"/>
      <c r="C498" s="4"/>
      <c r="D498" s="4"/>
      <c r="E498" s="4"/>
      <c r="F498" s="4"/>
    </row>
    <row r="499">
      <c r="A499" s="4"/>
      <c r="B499" s="4"/>
      <c r="C499" s="4"/>
      <c r="D499" s="4"/>
      <c r="E499" s="4"/>
      <c r="F499" s="4"/>
    </row>
    <row r="500">
      <c r="A500" s="4"/>
      <c r="B500" s="4"/>
      <c r="C500" s="4"/>
      <c r="D500" s="4"/>
      <c r="E500" s="4"/>
      <c r="F500" s="4"/>
    </row>
    <row r="501">
      <c r="A501" s="4"/>
      <c r="B501" s="4"/>
      <c r="C501" s="4"/>
      <c r="D501" s="4"/>
      <c r="E501" s="4"/>
      <c r="F501" s="4"/>
    </row>
    <row r="502">
      <c r="A502" s="4"/>
      <c r="B502" s="4"/>
      <c r="C502" s="4"/>
      <c r="D502" s="4"/>
      <c r="E502" s="4"/>
      <c r="F502" s="4"/>
    </row>
    <row r="503">
      <c r="A503" s="4"/>
      <c r="B503" s="4"/>
      <c r="C503" s="4"/>
      <c r="D503" s="4"/>
      <c r="E503" s="4"/>
      <c r="F503" s="4"/>
    </row>
    <row r="504">
      <c r="A504" s="4"/>
      <c r="B504" s="4"/>
      <c r="C504" s="4"/>
      <c r="D504" s="4"/>
      <c r="E504" s="4"/>
      <c r="F504" s="4"/>
    </row>
    <row r="505">
      <c r="A505" s="4"/>
      <c r="B505" s="4"/>
      <c r="C505" s="4"/>
      <c r="D505" s="4"/>
      <c r="E505" s="4"/>
      <c r="F505" s="4"/>
    </row>
    <row r="506">
      <c r="A506" s="4"/>
      <c r="B506" s="4"/>
      <c r="C506" s="4"/>
      <c r="D506" s="4"/>
      <c r="E506" s="4"/>
      <c r="F506" s="4"/>
    </row>
    <row r="507">
      <c r="A507" s="4"/>
      <c r="B507" s="4"/>
      <c r="C507" s="4"/>
      <c r="D507" s="4"/>
      <c r="E507" s="4"/>
      <c r="F507" s="4"/>
    </row>
    <row r="508">
      <c r="A508" s="4"/>
      <c r="B508" s="4"/>
      <c r="C508" s="4"/>
      <c r="D508" s="4"/>
      <c r="E508" s="4"/>
      <c r="F508" s="4"/>
    </row>
    <row r="509">
      <c r="A509" s="4"/>
      <c r="B509" s="4"/>
      <c r="C509" s="4"/>
      <c r="D509" s="4"/>
      <c r="E509" s="4"/>
      <c r="F509" s="4"/>
    </row>
    <row r="510">
      <c r="A510" s="4"/>
      <c r="B510" s="4"/>
      <c r="C510" s="4"/>
      <c r="D510" s="4"/>
      <c r="E510" s="4"/>
      <c r="F510" s="4"/>
    </row>
    <row r="511">
      <c r="A511" s="4"/>
      <c r="B511" s="4"/>
      <c r="C511" s="4"/>
      <c r="D511" s="4"/>
      <c r="E511" s="4"/>
      <c r="F511" s="4"/>
    </row>
    <row r="512">
      <c r="A512" s="4"/>
      <c r="B512" s="4"/>
      <c r="C512" s="4"/>
      <c r="D512" s="4"/>
      <c r="E512" s="4"/>
      <c r="F512" s="4"/>
    </row>
    <row r="513">
      <c r="A513" s="4"/>
      <c r="B513" s="4"/>
      <c r="C513" s="4"/>
      <c r="D513" s="4"/>
      <c r="E513" s="4"/>
      <c r="F513" s="4"/>
    </row>
    <row r="514">
      <c r="A514" s="4"/>
      <c r="B514" s="4"/>
      <c r="C514" s="4"/>
      <c r="D514" s="4"/>
      <c r="E514" s="4"/>
      <c r="F514" s="4"/>
    </row>
    <row r="515">
      <c r="A515" s="4"/>
      <c r="B515" s="4"/>
      <c r="C515" s="4"/>
      <c r="D515" s="4"/>
      <c r="E515" s="4"/>
      <c r="F515" s="4"/>
    </row>
    <row r="516">
      <c r="A516" s="4"/>
      <c r="B516" s="4"/>
      <c r="C516" s="4"/>
      <c r="D516" s="4"/>
      <c r="E516" s="4"/>
      <c r="F516" s="4"/>
    </row>
    <row r="517">
      <c r="A517" s="4"/>
      <c r="B517" s="4"/>
      <c r="C517" s="4"/>
      <c r="D517" s="4"/>
      <c r="E517" s="4"/>
      <c r="F517" s="4"/>
    </row>
    <row r="518">
      <c r="A518" s="4"/>
      <c r="B518" s="4"/>
      <c r="C518" s="4"/>
      <c r="D518" s="4"/>
      <c r="E518" s="4"/>
      <c r="F518" s="4"/>
    </row>
    <row r="519">
      <c r="A519" s="4"/>
      <c r="B519" s="4"/>
      <c r="C519" s="4"/>
      <c r="D519" s="4"/>
      <c r="E519" s="4"/>
      <c r="F519" s="4"/>
    </row>
    <row r="520">
      <c r="A520" s="4"/>
      <c r="B520" s="4"/>
      <c r="C520" s="4"/>
      <c r="D520" s="4"/>
      <c r="E520" s="4"/>
      <c r="F520" s="4"/>
    </row>
    <row r="521">
      <c r="A521" s="4"/>
      <c r="B521" s="4"/>
      <c r="C521" s="4"/>
      <c r="D521" s="4"/>
      <c r="E521" s="4"/>
      <c r="F521" s="4"/>
    </row>
    <row r="522">
      <c r="A522" s="4"/>
      <c r="B522" s="4"/>
      <c r="C522" s="4"/>
      <c r="D522" s="4"/>
      <c r="E522" s="4"/>
      <c r="F522" s="4"/>
    </row>
    <row r="523">
      <c r="A523" s="4"/>
      <c r="B523" s="4"/>
      <c r="C523" s="4"/>
      <c r="D523" s="4"/>
      <c r="E523" s="4"/>
      <c r="F523" s="4"/>
    </row>
    <row r="524">
      <c r="A524" s="4"/>
      <c r="B524" s="4"/>
      <c r="C524" s="4"/>
      <c r="D524" s="4"/>
      <c r="E524" s="4"/>
      <c r="F524" s="4"/>
    </row>
    <row r="525">
      <c r="A525" s="4"/>
      <c r="B525" s="4"/>
      <c r="C525" s="4"/>
      <c r="D525" s="4"/>
      <c r="E525" s="4"/>
      <c r="F525" s="4"/>
    </row>
    <row r="526">
      <c r="A526" s="4"/>
      <c r="B526" s="4"/>
      <c r="C526" s="4"/>
      <c r="D526" s="4"/>
      <c r="E526" s="4"/>
      <c r="F526" s="4"/>
    </row>
    <row r="527">
      <c r="A527" s="4"/>
      <c r="B527" s="4"/>
      <c r="C527" s="4"/>
      <c r="D527" s="4"/>
      <c r="E527" s="4"/>
      <c r="F527" s="4"/>
    </row>
    <row r="528">
      <c r="A528" s="4"/>
      <c r="B528" s="4"/>
      <c r="C528" s="4"/>
      <c r="D528" s="4"/>
      <c r="E528" s="4"/>
      <c r="F528" s="4"/>
    </row>
    <row r="529">
      <c r="A529" s="4"/>
      <c r="B529" s="4"/>
      <c r="C529" s="4"/>
      <c r="D529" s="4"/>
      <c r="E529" s="4"/>
      <c r="F529" s="4"/>
    </row>
    <row r="530">
      <c r="A530" s="4"/>
      <c r="B530" s="4"/>
      <c r="C530" s="4"/>
      <c r="D530" s="4"/>
      <c r="E530" s="4"/>
      <c r="F530" s="4"/>
    </row>
    <row r="531">
      <c r="A531" s="4"/>
      <c r="B531" s="4"/>
      <c r="C531" s="4"/>
      <c r="D531" s="4"/>
      <c r="E531" s="4"/>
      <c r="F531" s="4"/>
    </row>
    <row r="532">
      <c r="A532" s="4"/>
      <c r="B532" s="4"/>
      <c r="C532" s="4"/>
      <c r="D532" s="4"/>
      <c r="E532" s="4"/>
      <c r="F532" s="4"/>
    </row>
    <row r="533">
      <c r="A533" s="4"/>
      <c r="B533" s="4"/>
      <c r="C533" s="4"/>
      <c r="D533" s="4"/>
      <c r="E533" s="4"/>
      <c r="F533" s="4"/>
    </row>
    <row r="534">
      <c r="A534" s="4"/>
      <c r="B534" s="4"/>
      <c r="C534" s="4"/>
      <c r="D534" s="4"/>
      <c r="E534" s="4"/>
      <c r="F534" s="4"/>
    </row>
    <row r="535">
      <c r="A535" s="4"/>
      <c r="B535" s="4"/>
      <c r="C535" s="4"/>
      <c r="D535" s="4"/>
      <c r="E535" s="4"/>
      <c r="F535" s="4"/>
    </row>
    <row r="536">
      <c r="A536" s="4"/>
      <c r="B536" s="4"/>
      <c r="C536" s="4"/>
      <c r="D536" s="4"/>
      <c r="E536" s="4"/>
      <c r="F536" s="4"/>
    </row>
    <row r="537">
      <c r="A537" s="4"/>
      <c r="B537" s="4"/>
      <c r="C537" s="4"/>
      <c r="D537" s="4"/>
      <c r="E537" s="4"/>
      <c r="F537" s="4"/>
    </row>
    <row r="538">
      <c r="A538" s="4"/>
      <c r="B538" s="4"/>
      <c r="C538" s="4"/>
      <c r="D538" s="4"/>
      <c r="E538" s="4"/>
      <c r="F538" s="4"/>
    </row>
    <row r="539">
      <c r="A539" s="4"/>
      <c r="B539" s="4"/>
      <c r="C539" s="4"/>
      <c r="D539" s="4"/>
      <c r="E539" s="4"/>
      <c r="F539" s="4"/>
    </row>
    <row r="540">
      <c r="A540" s="4"/>
      <c r="B540" s="4"/>
      <c r="C540" s="4"/>
      <c r="D540" s="4"/>
      <c r="E540" s="4"/>
      <c r="F540" s="4"/>
    </row>
    <row r="541">
      <c r="A541" s="4"/>
      <c r="B541" s="4"/>
      <c r="C541" s="4"/>
      <c r="D541" s="4"/>
      <c r="E541" s="4"/>
      <c r="F541" s="4"/>
    </row>
    <row r="542">
      <c r="A542" s="4"/>
      <c r="B542" s="4"/>
      <c r="C542" s="4"/>
      <c r="D542" s="4"/>
      <c r="E542" s="4"/>
      <c r="F542" s="4"/>
    </row>
    <row r="543">
      <c r="A543" s="4"/>
      <c r="B543" s="4"/>
      <c r="C543" s="4"/>
      <c r="D543" s="4"/>
      <c r="E543" s="4"/>
      <c r="F543" s="4"/>
    </row>
    <row r="544">
      <c r="A544" s="4"/>
      <c r="B544" s="4"/>
      <c r="C544" s="4"/>
      <c r="D544" s="4"/>
      <c r="E544" s="4"/>
      <c r="F544" s="4"/>
    </row>
    <row r="545">
      <c r="A545" s="4"/>
      <c r="B545" s="4"/>
      <c r="C545" s="4"/>
      <c r="D545" s="4"/>
      <c r="E545" s="4"/>
      <c r="F545" s="4"/>
    </row>
    <row r="546">
      <c r="A546" s="4"/>
      <c r="B546" s="4"/>
      <c r="C546" s="4"/>
      <c r="D546" s="4"/>
      <c r="E546" s="4"/>
      <c r="F546" s="4"/>
    </row>
    <row r="547">
      <c r="A547" s="4"/>
      <c r="B547" s="4"/>
      <c r="C547" s="4"/>
      <c r="D547" s="4"/>
      <c r="E547" s="4"/>
      <c r="F547" s="4"/>
    </row>
    <row r="548">
      <c r="A548" s="4"/>
      <c r="B548" s="4"/>
      <c r="C548" s="4"/>
      <c r="D548" s="4"/>
      <c r="E548" s="4"/>
      <c r="F548" s="4"/>
    </row>
    <row r="549">
      <c r="A549" s="4"/>
      <c r="B549" s="4"/>
      <c r="C549" s="4"/>
      <c r="D549" s="4"/>
      <c r="E549" s="4"/>
      <c r="F549" s="4"/>
    </row>
    <row r="550">
      <c r="A550" s="4"/>
      <c r="B550" s="4"/>
      <c r="C550" s="4"/>
      <c r="D550" s="4"/>
      <c r="E550" s="4"/>
      <c r="F550" s="4"/>
    </row>
    <row r="551">
      <c r="A551" s="4"/>
      <c r="B551" s="4"/>
      <c r="C551" s="4"/>
      <c r="D551" s="4"/>
      <c r="E551" s="4"/>
      <c r="F551" s="4"/>
    </row>
    <row r="552">
      <c r="A552" s="4"/>
      <c r="B552" s="4"/>
      <c r="C552" s="4"/>
      <c r="D552" s="4"/>
      <c r="E552" s="4"/>
      <c r="F552" s="4"/>
    </row>
    <row r="553">
      <c r="A553" s="4"/>
      <c r="B553" s="4"/>
      <c r="C553" s="4"/>
      <c r="D553" s="4"/>
      <c r="E553" s="4"/>
      <c r="F553" s="4"/>
    </row>
    <row r="554">
      <c r="A554" s="4"/>
      <c r="B554" s="4"/>
      <c r="C554" s="4"/>
      <c r="D554" s="4"/>
      <c r="E554" s="4"/>
      <c r="F554" s="4"/>
    </row>
    <row r="555">
      <c r="A555" s="4"/>
      <c r="B555" s="4"/>
      <c r="C555" s="4"/>
      <c r="D555" s="4"/>
      <c r="E555" s="4"/>
      <c r="F555" s="4"/>
    </row>
    <row r="556">
      <c r="A556" s="4"/>
      <c r="B556" s="4"/>
      <c r="C556" s="4"/>
      <c r="D556" s="4"/>
      <c r="E556" s="4"/>
      <c r="F556" s="4"/>
    </row>
    <row r="557">
      <c r="A557" s="4"/>
      <c r="B557" s="4"/>
      <c r="C557" s="4"/>
      <c r="D557" s="4"/>
      <c r="E557" s="4"/>
      <c r="F557" s="4"/>
    </row>
    <row r="558">
      <c r="A558" s="4"/>
      <c r="B558" s="4"/>
      <c r="C558" s="4"/>
      <c r="D558" s="4"/>
      <c r="E558" s="4"/>
      <c r="F558" s="4"/>
    </row>
    <row r="559">
      <c r="A559" s="4"/>
      <c r="B559" s="4"/>
      <c r="C559" s="4"/>
      <c r="D559" s="4"/>
      <c r="E559" s="4"/>
      <c r="F559" s="4"/>
    </row>
    <row r="560">
      <c r="A560" s="4"/>
      <c r="B560" s="4"/>
      <c r="C560" s="4"/>
      <c r="D560" s="4"/>
      <c r="E560" s="4"/>
      <c r="F560" s="4"/>
    </row>
    <row r="561">
      <c r="A561" s="4"/>
      <c r="B561" s="4"/>
      <c r="C561" s="4"/>
      <c r="D561" s="4"/>
      <c r="E561" s="4"/>
      <c r="F561" s="4"/>
    </row>
    <row r="562">
      <c r="A562" s="4"/>
      <c r="B562" s="4"/>
      <c r="C562" s="4"/>
      <c r="D562" s="4"/>
      <c r="E562" s="4"/>
      <c r="F562" s="4"/>
    </row>
    <row r="563">
      <c r="A563" s="4"/>
      <c r="B563" s="4"/>
      <c r="C563" s="4"/>
      <c r="D563" s="4"/>
      <c r="E563" s="4"/>
      <c r="F563" s="4"/>
    </row>
    <row r="564">
      <c r="A564" s="4"/>
      <c r="B564" s="4"/>
      <c r="C564" s="4"/>
      <c r="D564" s="4"/>
      <c r="E564" s="4"/>
      <c r="F564" s="4"/>
    </row>
    <row r="565">
      <c r="A565" s="4"/>
      <c r="B565" s="4"/>
      <c r="C565" s="4"/>
      <c r="D565" s="4"/>
      <c r="E565" s="4"/>
      <c r="F565" s="4"/>
    </row>
    <row r="566">
      <c r="A566" s="4"/>
      <c r="B566" s="4"/>
      <c r="C566" s="4"/>
      <c r="D566" s="4"/>
      <c r="E566" s="4"/>
      <c r="F566" s="4"/>
    </row>
    <row r="567">
      <c r="A567" s="4"/>
      <c r="B567" s="4"/>
      <c r="C567" s="4"/>
      <c r="D567" s="4"/>
      <c r="E567" s="4"/>
      <c r="F567" s="4"/>
    </row>
    <row r="568">
      <c r="A568" s="4"/>
      <c r="B568" s="4"/>
      <c r="C568" s="4"/>
      <c r="D568" s="4"/>
      <c r="E568" s="4"/>
      <c r="F568" s="4"/>
    </row>
    <row r="569">
      <c r="A569" s="4"/>
      <c r="B569" s="4"/>
      <c r="C569" s="4"/>
      <c r="D569" s="4"/>
      <c r="E569" s="4"/>
      <c r="F569" s="4"/>
    </row>
    <row r="570">
      <c r="A570" s="4"/>
      <c r="B570" s="4"/>
      <c r="C570" s="4"/>
      <c r="D570" s="4"/>
      <c r="E570" s="4"/>
      <c r="F570" s="4"/>
    </row>
    <row r="571">
      <c r="A571" s="4"/>
      <c r="B571" s="4"/>
      <c r="C571" s="4"/>
      <c r="D571" s="4"/>
      <c r="E571" s="4"/>
      <c r="F571" s="4"/>
    </row>
    <row r="572">
      <c r="A572" s="4"/>
      <c r="B572" s="4"/>
      <c r="C572" s="4"/>
      <c r="D572" s="4"/>
      <c r="E572" s="4"/>
      <c r="F572" s="4"/>
    </row>
    <row r="573">
      <c r="A573" s="4"/>
      <c r="B573" s="4"/>
      <c r="C573" s="4"/>
      <c r="D573" s="4"/>
      <c r="E573" s="4"/>
      <c r="F573" s="4"/>
    </row>
    <row r="574">
      <c r="A574" s="4"/>
      <c r="B574" s="4"/>
      <c r="C574" s="4"/>
      <c r="D574" s="4"/>
      <c r="E574" s="4"/>
      <c r="F574" s="4"/>
    </row>
    <row r="575">
      <c r="A575" s="4"/>
      <c r="B575" s="4"/>
      <c r="C575" s="4"/>
      <c r="D575" s="4"/>
      <c r="E575" s="4"/>
      <c r="F575" s="4"/>
    </row>
    <row r="576">
      <c r="A576" s="4"/>
      <c r="B576" s="4"/>
      <c r="C576" s="4"/>
      <c r="D576" s="4"/>
      <c r="E576" s="4"/>
      <c r="F576" s="4"/>
    </row>
    <row r="577">
      <c r="A577" s="4"/>
      <c r="B577" s="4"/>
      <c r="C577" s="4"/>
      <c r="D577" s="4"/>
      <c r="E577" s="4"/>
      <c r="F577" s="4"/>
    </row>
    <row r="578">
      <c r="A578" s="4"/>
      <c r="B578" s="4"/>
      <c r="C578" s="4"/>
      <c r="D578" s="4"/>
      <c r="E578" s="4"/>
      <c r="F578" s="4"/>
    </row>
    <row r="579">
      <c r="A579" s="4"/>
      <c r="B579" s="4"/>
      <c r="C579" s="4"/>
      <c r="D579" s="4"/>
      <c r="E579" s="4"/>
      <c r="F579" s="4"/>
    </row>
    <row r="580">
      <c r="A580" s="4"/>
      <c r="B580" s="4"/>
      <c r="C580" s="4"/>
      <c r="D580" s="4"/>
      <c r="E580" s="4"/>
      <c r="F580" s="4"/>
    </row>
    <row r="581">
      <c r="A581" s="4"/>
      <c r="B581" s="4"/>
      <c r="C581" s="4"/>
      <c r="D581" s="4"/>
      <c r="E581" s="4"/>
      <c r="F581" s="4"/>
    </row>
    <row r="582">
      <c r="A582" s="4"/>
      <c r="B582" s="4"/>
      <c r="C582" s="4"/>
      <c r="D582" s="4"/>
      <c r="E582" s="4"/>
      <c r="F582" s="4"/>
    </row>
    <row r="583">
      <c r="A583" s="4"/>
      <c r="B583" s="4"/>
      <c r="C583" s="4"/>
      <c r="D583" s="4"/>
      <c r="E583" s="4"/>
      <c r="F583" s="4"/>
    </row>
    <row r="584">
      <c r="A584" s="4"/>
      <c r="B584" s="4"/>
      <c r="C584" s="4"/>
      <c r="D584" s="4"/>
      <c r="E584" s="4"/>
      <c r="F584" s="4"/>
    </row>
    <row r="585">
      <c r="A585" s="4"/>
      <c r="B585" s="4"/>
      <c r="C585" s="4"/>
      <c r="D585" s="4"/>
      <c r="E585" s="4"/>
      <c r="F585" s="4"/>
    </row>
    <row r="586">
      <c r="A586" s="4"/>
      <c r="B586" s="4"/>
      <c r="C586" s="4"/>
      <c r="D586" s="4"/>
      <c r="E586" s="4"/>
      <c r="F586" s="4"/>
    </row>
    <row r="587">
      <c r="A587" s="4"/>
      <c r="B587" s="4"/>
      <c r="C587" s="4"/>
      <c r="D587" s="4"/>
      <c r="E587" s="4"/>
      <c r="F587" s="4"/>
    </row>
    <row r="588">
      <c r="A588" s="4"/>
      <c r="B588" s="4"/>
      <c r="C588" s="4"/>
      <c r="D588" s="4"/>
      <c r="E588" s="4"/>
      <c r="F588" s="4"/>
    </row>
    <row r="589">
      <c r="A589" s="4"/>
      <c r="B589" s="4"/>
      <c r="C589" s="4"/>
      <c r="D589" s="4"/>
      <c r="E589" s="4"/>
      <c r="F589" s="4"/>
    </row>
    <row r="590">
      <c r="A590" s="4"/>
      <c r="B590" s="4"/>
      <c r="C590" s="4"/>
      <c r="D590" s="4"/>
      <c r="E590" s="4"/>
      <c r="F590" s="4"/>
    </row>
    <row r="591">
      <c r="A591" s="4"/>
      <c r="B591" s="4"/>
      <c r="C591" s="4"/>
      <c r="D591" s="4"/>
      <c r="E591" s="4"/>
      <c r="F591" s="4"/>
    </row>
    <row r="592">
      <c r="A592" s="4"/>
      <c r="B592" s="4"/>
      <c r="C592" s="4"/>
      <c r="D592" s="4"/>
      <c r="E592" s="4"/>
      <c r="F592" s="4"/>
    </row>
    <row r="593">
      <c r="A593" s="4"/>
      <c r="B593" s="4"/>
      <c r="C593" s="4"/>
      <c r="D593" s="4"/>
      <c r="E593" s="4"/>
      <c r="F593" s="4"/>
    </row>
    <row r="594">
      <c r="A594" s="4"/>
      <c r="B594" s="4"/>
      <c r="C594" s="4"/>
      <c r="D594" s="4"/>
      <c r="E594" s="4"/>
      <c r="F594" s="4"/>
    </row>
    <row r="595">
      <c r="A595" s="4"/>
      <c r="B595" s="4"/>
      <c r="C595" s="4"/>
      <c r="D595" s="4"/>
      <c r="E595" s="4"/>
      <c r="F595" s="4"/>
    </row>
    <row r="596">
      <c r="A596" s="4"/>
      <c r="B596" s="4"/>
      <c r="C596" s="4"/>
      <c r="D596" s="4"/>
      <c r="E596" s="4"/>
      <c r="F596" s="4"/>
    </row>
    <row r="597">
      <c r="A597" s="4"/>
      <c r="B597" s="4"/>
      <c r="C597" s="4"/>
      <c r="D597" s="4"/>
      <c r="E597" s="4"/>
      <c r="F597" s="4"/>
    </row>
    <row r="598">
      <c r="A598" s="4"/>
      <c r="B598" s="4"/>
      <c r="C598" s="4"/>
      <c r="D598" s="4"/>
      <c r="E598" s="4"/>
      <c r="F598" s="4"/>
    </row>
    <row r="599">
      <c r="A599" s="4"/>
      <c r="B599" s="4"/>
      <c r="C599" s="4"/>
      <c r="D599" s="4"/>
      <c r="E599" s="4"/>
      <c r="F599" s="4"/>
    </row>
    <row r="600">
      <c r="A600" s="4"/>
      <c r="B600" s="4"/>
      <c r="C600" s="4"/>
      <c r="D600" s="4"/>
      <c r="E600" s="4"/>
      <c r="F600" s="4"/>
    </row>
    <row r="601">
      <c r="A601" s="4"/>
      <c r="B601" s="4"/>
      <c r="C601" s="4"/>
      <c r="D601" s="4"/>
      <c r="E601" s="4"/>
      <c r="F601" s="4"/>
    </row>
    <row r="602">
      <c r="A602" s="4"/>
      <c r="B602" s="4"/>
      <c r="C602" s="4"/>
      <c r="D602" s="4"/>
      <c r="E602" s="4"/>
      <c r="F602" s="4"/>
    </row>
    <row r="603">
      <c r="A603" s="4"/>
      <c r="B603" s="4"/>
      <c r="C603" s="4"/>
      <c r="D603" s="4"/>
      <c r="E603" s="4"/>
      <c r="F603" s="4"/>
    </row>
    <row r="604">
      <c r="A604" s="4"/>
      <c r="B604" s="4"/>
      <c r="C604" s="4"/>
      <c r="D604" s="4"/>
      <c r="E604" s="4"/>
      <c r="F604" s="4"/>
    </row>
    <row r="605">
      <c r="A605" s="4"/>
      <c r="B605" s="4"/>
      <c r="C605" s="4"/>
      <c r="D605" s="4"/>
      <c r="E605" s="4"/>
      <c r="F605" s="4"/>
    </row>
    <row r="606">
      <c r="A606" s="4"/>
      <c r="B606" s="4"/>
      <c r="C606" s="4"/>
      <c r="D606" s="4"/>
      <c r="E606" s="4"/>
      <c r="F606" s="4"/>
    </row>
    <row r="607">
      <c r="A607" s="4"/>
      <c r="B607" s="4"/>
      <c r="C607" s="4"/>
      <c r="D607" s="4"/>
      <c r="E607" s="4"/>
      <c r="F607" s="4"/>
    </row>
    <row r="608">
      <c r="A608" s="4"/>
      <c r="B608" s="4"/>
      <c r="C608" s="4"/>
      <c r="D608" s="4"/>
      <c r="E608" s="4"/>
      <c r="F608" s="4"/>
    </row>
    <row r="609">
      <c r="A609" s="4"/>
      <c r="B609" s="4"/>
      <c r="C609" s="4"/>
      <c r="D609" s="4"/>
      <c r="E609" s="4"/>
      <c r="F609" s="4"/>
    </row>
    <row r="610">
      <c r="A610" s="4"/>
      <c r="B610" s="4"/>
      <c r="C610" s="4"/>
      <c r="D610" s="4"/>
      <c r="E610" s="4"/>
      <c r="F610" s="4"/>
    </row>
    <row r="611">
      <c r="A611" s="4"/>
      <c r="B611" s="4"/>
      <c r="C611" s="4"/>
      <c r="D611" s="4"/>
      <c r="E611" s="4"/>
      <c r="F611" s="4"/>
    </row>
    <row r="612">
      <c r="A612" s="4"/>
      <c r="B612" s="4"/>
      <c r="C612" s="4"/>
      <c r="D612" s="4"/>
      <c r="E612" s="4"/>
      <c r="F612" s="4"/>
    </row>
    <row r="613">
      <c r="A613" s="4"/>
      <c r="B613" s="4"/>
      <c r="C613" s="4"/>
      <c r="D613" s="4"/>
      <c r="E613" s="4"/>
      <c r="F613" s="4"/>
    </row>
    <row r="614">
      <c r="A614" s="4"/>
      <c r="B614" s="4"/>
      <c r="C614" s="4"/>
      <c r="D614" s="4"/>
      <c r="E614" s="4"/>
      <c r="F614" s="4"/>
    </row>
    <row r="615">
      <c r="A615" s="4"/>
      <c r="B615" s="4"/>
      <c r="C615" s="4"/>
      <c r="D615" s="4"/>
      <c r="E615" s="4"/>
      <c r="F615" s="4"/>
    </row>
    <row r="616">
      <c r="A616" s="4"/>
      <c r="B616" s="4"/>
      <c r="C616" s="4"/>
      <c r="D616" s="4"/>
      <c r="E616" s="4"/>
      <c r="F616" s="4"/>
    </row>
    <row r="617">
      <c r="A617" s="4"/>
      <c r="B617" s="4"/>
      <c r="C617" s="4"/>
      <c r="D617" s="4"/>
      <c r="E617" s="4"/>
      <c r="F617" s="4"/>
    </row>
    <row r="618">
      <c r="A618" s="4"/>
      <c r="B618" s="4"/>
      <c r="C618" s="4"/>
      <c r="D618" s="4"/>
      <c r="E618" s="4"/>
      <c r="F618" s="4"/>
    </row>
    <row r="619">
      <c r="A619" s="4"/>
      <c r="B619" s="4"/>
      <c r="C619" s="4"/>
      <c r="D619" s="4"/>
      <c r="E619" s="4"/>
      <c r="F619" s="4"/>
    </row>
    <row r="620">
      <c r="A620" s="4"/>
      <c r="B620" s="4"/>
      <c r="C620" s="4"/>
      <c r="D620" s="4"/>
      <c r="E620" s="4"/>
      <c r="F620" s="4"/>
    </row>
    <row r="621">
      <c r="A621" s="4"/>
      <c r="B621" s="4"/>
      <c r="C621" s="4"/>
      <c r="D621" s="4"/>
      <c r="E621" s="4"/>
      <c r="F621" s="4"/>
    </row>
    <row r="622">
      <c r="A622" s="4"/>
      <c r="B622" s="4"/>
      <c r="C622" s="4"/>
      <c r="D622" s="4"/>
      <c r="E622" s="4"/>
      <c r="F622" s="4"/>
    </row>
    <row r="623">
      <c r="A623" s="4"/>
      <c r="B623" s="4"/>
      <c r="C623" s="4"/>
      <c r="D623" s="4"/>
      <c r="E623" s="4"/>
      <c r="F623" s="4"/>
    </row>
    <row r="624">
      <c r="A624" s="4"/>
      <c r="B624" s="4"/>
      <c r="C624" s="4"/>
      <c r="D624" s="4"/>
      <c r="E624" s="4"/>
      <c r="F624" s="4"/>
    </row>
    <row r="625">
      <c r="A625" s="4"/>
      <c r="B625" s="4"/>
      <c r="C625" s="4"/>
      <c r="D625" s="4"/>
      <c r="E625" s="4"/>
      <c r="F625" s="4"/>
    </row>
    <row r="626">
      <c r="A626" s="4"/>
      <c r="B626" s="4"/>
      <c r="C626" s="4"/>
      <c r="D626" s="4"/>
      <c r="E626" s="4"/>
      <c r="F626" s="4"/>
    </row>
    <row r="627">
      <c r="A627" s="4"/>
      <c r="B627" s="4"/>
      <c r="C627" s="4"/>
      <c r="D627" s="4"/>
      <c r="E627" s="4"/>
      <c r="F627" s="4"/>
    </row>
    <row r="628">
      <c r="A628" s="4"/>
      <c r="B628" s="4"/>
      <c r="C628" s="4"/>
      <c r="D628" s="4"/>
      <c r="E628" s="4"/>
      <c r="F628" s="4"/>
    </row>
    <row r="629">
      <c r="A629" s="4"/>
      <c r="B629" s="4"/>
      <c r="C629" s="4"/>
      <c r="D629" s="4"/>
      <c r="E629" s="4"/>
      <c r="F629" s="4"/>
    </row>
    <row r="630">
      <c r="A630" s="4"/>
      <c r="B630" s="4"/>
      <c r="C630" s="4"/>
      <c r="D630" s="4"/>
      <c r="E630" s="4"/>
      <c r="F630" s="4"/>
    </row>
    <row r="631">
      <c r="A631" s="4"/>
      <c r="B631" s="4"/>
      <c r="C631" s="4"/>
      <c r="D631" s="4"/>
      <c r="E631" s="4"/>
      <c r="F631" s="4"/>
    </row>
    <row r="632">
      <c r="A632" s="4"/>
      <c r="B632" s="4"/>
      <c r="C632" s="4"/>
      <c r="D632" s="4"/>
      <c r="E632" s="4"/>
      <c r="F632" s="4"/>
    </row>
    <row r="633">
      <c r="A633" s="4"/>
      <c r="B633" s="4"/>
      <c r="C633" s="4"/>
      <c r="D633" s="4"/>
      <c r="E633" s="4"/>
      <c r="F633" s="4"/>
    </row>
    <row r="634">
      <c r="A634" s="4"/>
      <c r="B634" s="4"/>
      <c r="C634" s="4"/>
      <c r="D634" s="4"/>
      <c r="E634" s="4"/>
      <c r="F634" s="4"/>
    </row>
    <row r="635">
      <c r="A635" s="4"/>
      <c r="B635" s="4"/>
      <c r="C635" s="4"/>
      <c r="D635" s="4"/>
      <c r="E635" s="4"/>
      <c r="F635" s="4"/>
    </row>
    <row r="636">
      <c r="A636" s="4"/>
      <c r="B636" s="4"/>
      <c r="C636" s="4"/>
      <c r="D636" s="4"/>
      <c r="E636" s="4"/>
      <c r="F636" s="4"/>
    </row>
    <row r="637">
      <c r="A637" s="4"/>
      <c r="B637" s="4"/>
      <c r="C637" s="4"/>
      <c r="D637" s="4"/>
      <c r="E637" s="4"/>
      <c r="F637" s="4"/>
    </row>
    <row r="638">
      <c r="A638" s="4"/>
      <c r="B638" s="4"/>
      <c r="C638" s="4"/>
      <c r="D638" s="4"/>
      <c r="E638" s="4"/>
      <c r="F638" s="4"/>
    </row>
    <row r="639">
      <c r="A639" s="4"/>
      <c r="B639" s="4"/>
      <c r="C639" s="4"/>
      <c r="D639" s="4"/>
      <c r="E639" s="4"/>
      <c r="F639" s="4"/>
    </row>
    <row r="640">
      <c r="A640" s="4"/>
      <c r="B640" s="4"/>
      <c r="C640" s="4"/>
      <c r="D640" s="4"/>
      <c r="E640" s="4"/>
      <c r="F640" s="4"/>
    </row>
    <row r="641">
      <c r="A641" s="4"/>
      <c r="B641" s="4"/>
      <c r="C641" s="4"/>
      <c r="D641" s="4"/>
      <c r="E641" s="4"/>
      <c r="F641" s="4"/>
    </row>
    <row r="642">
      <c r="A642" s="4"/>
      <c r="B642" s="4"/>
      <c r="C642" s="4"/>
      <c r="D642" s="4"/>
      <c r="E642" s="4"/>
      <c r="F642" s="4"/>
    </row>
    <row r="643">
      <c r="A643" s="4"/>
      <c r="B643" s="4"/>
      <c r="C643" s="4"/>
      <c r="D643" s="4"/>
      <c r="E643" s="4"/>
      <c r="F643" s="4"/>
    </row>
    <row r="644">
      <c r="A644" s="4"/>
      <c r="B644" s="4"/>
      <c r="C644" s="4"/>
      <c r="D644" s="4"/>
      <c r="E644" s="4"/>
      <c r="F644" s="4"/>
    </row>
    <row r="645">
      <c r="A645" s="4"/>
      <c r="B645" s="4"/>
      <c r="C645" s="4"/>
      <c r="D645" s="4"/>
      <c r="E645" s="4"/>
      <c r="F645" s="4"/>
    </row>
    <row r="646">
      <c r="A646" s="4"/>
      <c r="B646" s="4"/>
      <c r="C646" s="4"/>
      <c r="D646" s="4"/>
      <c r="E646" s="4"/>
      <c r="F646" s="4"/>
    </row>
    <row r="647">
      <c r="A647" s="4"/>
      <c r="B647" s="4"/>
      <c r="C647" s="4"/>
      <c r="D647" s="4"/>
      <c r="E647" s="4"/>
      <c r="F647" s="4"/>
    </row>
    <row r="648">
      <c r="A648" s="4"/>
      <c r="B648" s="4"/>
      <c r="C648" s="4"/>
      <c r="D648" s="4"/>
      <c r="E648" s="4"/>
      <c r="F648" s="4"/>
    </row>
    <row r="649">
      <c r="A649" s="4"/>
      <c r="B649" s="4"/>
      <c r="C649" s="4"/>
      <c r="D649" s="4"/>
      <c r="E649" s="4"/>
      <c r="F649" s="4"/>
    </row>
    <row r="650">
      <c r="A650" s="4"/>
      <c r="B650" s="4"/>
      <c r="C650" s="4"/>
      <c r="D650" s="4"/>
      <c r="E650" s="4"/>
      <c r="F650" s="4"/>
    </row>
    <row r="651">
      <c r="A651" s="4"/>
      <c r="B651" s="4"/>
      <c r="C651" s="4"/>
      <c r="D651" s="4"/>
      <c r="E651" s="4"/>
      <c r="F651" s="4"/>
    </row>
    <row r="652">
      <c r="A652" s="4"/>
      <c r="B652" s="4"/>
      <c r="C652" s="4"/>
      <c r="D652" s="4"/>
      <c r="E652" s="4"/>
      <c r="F652" s="4"/>
    </row>
    <row r="653">
      <c r="A653" s="4"/>
      <c r="B653" s="4"/>
      <c r="C653" s="4"/>
      <c r="D653" s="4"/>
      <c r="E653" s="4"/>
      <c r="F653" s="4"/>
    </row>
    <row r="654">
      <c r="A654" s="4"/>
      <c r="B654" s="4"/>
      <c r="C654" s="4"/>
      <c r="D654" s="4"/>
      <c r="E654" s="4"/>
      <c r="F654" s="4"/>
    </row>
    <row r="655">
      <c r="A655" s="4"/>
      <c r="B655" s="4"/>
      <c r="C655" s="4"/>
      <c r="D655" s="4"/>
      <c r="E655" s="4"/>
      <c r="F655" s="4"/>
    </row>
    <row r="656">
      <c r="A656" s="4"/>
      <c r="B656" s="4"/>
      <c r="C656" s="4"/>
      <c r="D656" s="4"/>
      <c r="E656" s="4"/>
      <c r="F656" s="4"/>
    </row>
    <row r="657">
      <c r="A657" s="4"/>
      <c r="B657" s="4"/>
      <c r="C657" s="4"/>
      <c r="D657" s="4"/>
      <c r="E657" s="4"/>
      <c r="F657" s="4"/>
    </row>
    <row r="658">
      <c r="A658" s="4"/>
      <c r="B658" s="4"/>
      <c r="C658" s="4"/>
      <c r="D658" s="4"/>
      <c r="E658" s="4"/>
      <c r="F658" s="4"/>
    </row>
    <row r="659">
      <c r="A659" s="4"/>
      <c r="B659" s="4"/>
      <c r="C659" s="4"/>
      <c r="D659" s="4"/>
      <c r="E659" s="4"/>
      <c r="F659" s="4"/>
    </row>
    <row r="660">
      <c r="A660" s="4"/>
      <c r="B660" s="4"/>
      <c r="C660" s="4"/>
      <c r="D660" s="4"/>
      <c r="E660" s="4"/>
      <c r="F660" s="4"/>
    </row>
    <row r="661">
      <c r="A661" s="4"/>
      <c r="B661" s="4"/>
      <c r="C661" s="4"/>
      <c r="D661" s="4"/>
      <c r="E661" s="4"/>
      <c r="F661" s="4"/>
    </row>
    <row r="662">
      <c r="A662" s="4"/>
      <c r="B662" s="4"/>
      <c r="C662" s="4"/>
      <c r="D662" s="4"/>
      <c r="E662" s="4"/>
      <c r="F662" s="4"/>
    </row>
    <row r="663">
      <c r="A663" s="4"/>
      <c r="B663" s="4"/>
      <c r="C663" s="4"/>
      <c r="D663" s="4"/>
      <c r="E663" s="4"/>
      <c r="F663" s="4"/>
    </row>
    <row r="664">
      <c r="A664" s="4"/>
      <c r="B664" s="4"/>
      <c r="C664" s="4"/>
      <c r="D664" s="4"/>
      <c r="E664" s="4"/>
      <c r="F664" s="4"/>
    </row>
    <row r="665">
      <c r="A665" s="4"/>
      <c r="B665" s="4"/>
      <c r="C665" s="4"/>
      <c r="D665" s="4"/>
      <c r="E665" s="4"/>
      <c r="F665" s="4"/>
    </row>
    <row r="666">
      <c r="A666" s="4"/>
      <c r="B666" s="4"/>
      <c r="C666" s="4"/>
      <c r="D666" s="4"/>
      <c r="E666" s="4"/>
      <c r="F666" s="4"/>
    </row>
    <row r="667">
      <c r="A667" s="4"/>
      <c r="B667" s="4"/>
      <c r="C667" s="4"/>
      <c r="D667" s="4"/>
      <c r="E667" s="4"/>
      <c r="F667" s="4"/>
    </row>
    <row r="668">
      <c r="A668" s="4"/>
      <c r="B668" s="4"/>
      <c r="C668" s="4"/>
      <c r="D668" s="4"/>
      <c r="E668" s="4"/>
      <c r="F668" s="4"/>
    </row>
    <row r="669">
      <c r="A669" s="4"/>
      <c r="B669" s="4"/>
      <c r="C669" s="4"/>
      <c r="D669" s="4"/>
      <c r="E669" s="4"/>
      <c r="F669" s="4"/>
    </row>
    <row r="670">
      <c r="A670" s="4"/>
      <c r="B670" s="4"/>
      <c r="C670" s="4"/>
      <c r="D670" s="4"/>
      <c r="E670" s="4"/>
      <c r="F670" s="4"/>
    </row>
    <row r="671">
      <c r="A671" s="4"/>
      <c r="B671" s="4"/>
      <c r="C671" s="4"/>
      <c r="D671" s="4"/>
      <c r="E671" s="4"/>
      <c r="F671" s="4"/>
    </row>
    <row r="672">
      <c r="A672" s="4"/>
      <c r="B672" s="4"/>
      <c r="C672" s="4"/>
      <c r="D672" s="4"/>
      <c r="E672" s="4"/>
      <c r="F672" s="4"/>
    </row>
    <row r="673">
      <c r="A673" s="4"/>
      <c r="B673" s="4"/>
      <c r="C673" s="4"/>
      <c r="D673" s="4"/>
      <c r="E673" s="4"/>
      <c r="F673" s="4"/>
    </row>
    <row r="674">
      <c r="A674" s="4"/>
      <c r="B674" s="4"/>
      <c r="C674" s="4"/>
      <c r="D674" s="4"/>
      <c r="E674" s="4"/>
      <c r="F674" s="4"/>
    </row>
    <row r="675">
      <c r="A675" s="4"/>
      <c r="B675" s="4"/>
      <c r="C675" s="4"/>
      <c r="D675" s="4"/>
      <c r="E675" s="4"/>
      <c r="F675" s="4"/>
    </row>
    <row r="676">
      <c r="A676" s="4"/>
      <c r="B676" s="4"/>
      <c r="C676" s="4"/>
      <c r="D676" s="4"/>
      <c r="E676" s="4"/>
      <c r="F676" s="4"/>
    </row>
    <row r="677">
      <c r="A677" s="4"/>
      <c r="B677" s="4"/>
      <c r="C677" s="4"/>
      <c r="D677" s="4"/>
      <c r="E677" s="4"/>
      <c r="F677" s="4"/>
    </row>
    <row r="678">
      <c r="A678" s="4"/>
      <c r="B678" s="4"/>
      <c r="C678" s="4"/>
      <c r="D678" s="4"/>
      <c r="E678" s="4"/>
      <c r="F678" s="4"/>
    </row>
    <row r="679">
      <c r="A679" s="4"/>
      <c r="B679" s="4"/>
      <c r="C679" s="4"/>
      <c r="D679" s="4"/>
      <c r="E679" s="4"/>
      <c r="F679" s="4"/>
    </row>
    <row r="680">
      <c r="A680" s="4"/>
      <c r="B680" s="4"/>
      <c r="C680" s="4"/>
      <c r="D680" s="4"/>
      <c r="E680" s="4"/>
      <c r="F680" s="4"/>
    </row>
    <row r="681">
      <c r="A681" s="4"/>
      <c r="B681" s="4"/>
      <c r="C681" s="4"/>
      <c r="D681" s="4"/>
      <c r="E681" s="4"/>
      <c r="F681" s="4"/>
    </row>
    <row r="682">
      <c r="A682" s="4"/>
      <c r="B682" s="4"/>
      <c r="C682" s="4"/>
      <c r="D682" s="4"/>
      <c r="E682" s="4"/>
      <c r="F682" s="4"/>
    </row>
    <row r="683">
      <c r="A683" s="4"/>
      <c r="B683" s="4"/>
      <c r="C683" s="4"/>
      <c r="D683" s="4"/>
      <c r="E683" s="4"/>
      <c r="F683" s="4"/>
    </row>
    <row r="684">
      <c r="A684" s="4"/>
      <c r="B684" s="4"/>
      <c r="C684" s="4"/>
      <c r="D684" s="4"/>
      <c r="E684" s="4"/>
      <c r="F684" s="4"/>
    </row>
    <row r="685">
      <c r="A685" s="4"/>
      <c r="B685" s="4"/>
      <c r="C685" s="4"/>
      <c r="D685" s="4"/>
      <c r="E685" s="4"/>
      <c r="F685" s="4"/>
    </row>
    <row r="686">
      <c r="A686" s="4"/>
      <c r="B686" s="4"/>
      <c r="C686" s="4"/>
      <c r="D686" s="4"/>
      <c r="E686" s="4"/>
      <c r="F686" s="4"/>
    </row>
    <row r="687">
      <c r="A687" s="4"/>
      <c r="B687" s="4"/>
      <c r="C687" s="4"/>
      <c r="D687" s="4"/>
      <c r="E687" s="4"/>
      <c r="F687" s="4"/>
    </row>
    <row r="688">
      <c r="A688" s="4"/>
      <c r="B688" s="4"/>
      <c r="C688" s="4"/>
      <c r="D688" s="4"/>
      <c r="E688" s="4"/>
      <c r="F688" s="4"/>
    </row>
    <row r="689">
      <c r="A689" s="4"/>
      <c r="B689" s="4"/>
      <c r="C689" s="4"/>
      <c r="D689" s="4"/>
      <c r="E689" s="4"/>
      <c r="F689" s="4"/>
    </row>
    <row r="690">
      <c r="A690" s="4"/>
      <c r="B690" s="4"/>
      <c r="C690" s="4"/>
      <c r="D690" s="4"/>
      <c r="E690" s="4"/>
      <c r="F690" s="4"/>
    </row>
    <row r="691">
      <c r="A691" s="4"/>
      <c r="B691" s="4"/>
      <c r="C691" s="4"/>
      <c r="D691" s="4"/>
      <c r="E691" s="4"/>
      <c r="F691" s="4"/>
    </row>
    <row r="692">
      <c r="A692" s="4"/>
      <c r="B692" s="4"/>
      <c r="C692" s="4"/>
      <c r="D692" s="4"/>
      <c r="E692" s="4"/>
      <c r="F692" s="4"/>
    </row>
    <row r="693">
      <c r="A693" s="4"/>
      <c r="B693" s="4"/>
      <c r="C693" s="4"/>
      <c r="D693" s="4"/>
      <c r="E693" s="4"/>
      <c r="F693" s="4"/>
    </row>
    <row r="694">
      <c r="A694" s="4"/>
      <c r="B694" s="4"/>
      <c r="C694" s="4"/>
      <c r="D694" s="4"/>
      <c r="E694" s="4"/>
      <c r="F694" s="4"/>
    </row>
    <row r="695">
      <c r="A695" s="4"/>
      <c r="B695" s="4"/>
      <c r="C695" s="4"/>
      <c r="D695" s="4"/>
      <c r="E695" s="4"/>
      <c r="F695" s="4"/>
    </row>
    <row r="696">
      <c r="A696" s="4"/>
      <c r="B696" s="4"/>
      <c r="C696" s="4"/>
      <c r="D696" s="4"/>
      <c r="E696" s="4"/>
      <c r="F696" s="4"/>
    </row>
    <row r="697">
      <c r="A697" s="4"/>
      <c r="B697" s="4"/>
      <c r="C697" s="4"/>
      <c r="D697" s="4"/>
      <c r="E697" s="4"/>
      <c r="F697" s="4"/>
    </row>
    <row r="698">
      <c r="A698" s="4"/>
      <c r="B698" s="4"/>
      <c r="C698" s="4"/>
      <c r="D698" s="4"/>
      <c r="E698" s="4"/>
      <c r="F698" s="4"/>
    </row>
    <row r="699">
      <c r="A699" s="4"/>
      <c r="B699" s="4"/>
      <c r="C699" s="4"/>
      <c r="D699" s="4"/>
      <c r="E699" s="4"/>
      <c r="F699" s="4"/>
    </row>
    <row r="700">
      <c r="A700" s="4"/>
      <c r="B700" s="4"/>
      <c r="C700" s="4"/>
      <c r="D700" s="4"/>
      <c r="E700" s="4"/>
      <c r="F700" s="4"/>
    </row>
    <row r="701">
      <c r="A701" s="4"/>
      <c r="B701" s="4"/>
      <c r="C701" s="4"/>
      <c r="D701" s="4"/>
      <c r="E701" s="4"/>
      <c r="F701" s="4"/>
    </row>
    <row r="702">
      <c r="A702" s="4"/>
      <c r="B702" s="4"/>
      <c r="C702" s="4"/>
      <c r="D702" s="4"/>
      <c r="E702" s="4"/>
      <c r="F702" s="4"/>
    </row>
    <row r="703">
      <c r="A703" s="4"/>
      <c r="B703" s="4"/>
      <c r="C703" s="4"/>
      <c r="D703" s="4"/>
      <c r="E703" s="4"/>
      <c r="F703" s="4"/>
    </row>
    <row r="704">
      <c r="A704" s="4"/>
      <c r="B704" s="4"/>
      <c r="C704" s="4"/>
      <c r="D704" s="4"/>
      <c r="E704" s="4"/>
      <c r="F704" s="4"/>
    </row>
    <row r="705">
      <c r="A705" s="4"/>
      <c r="B705" s="4"/>
      <c r="C705" s="4"/>
      <c r="D705" s="4"/>
      <c r="E705" s="4"/>
      <c r="F705" s="4"/>
    </row>
    <row r="706">
      <c r="A706" s="4"/>
      <c r="B706" s="4"/>
      <c r="C706" s="4"/>
      <c r="D706" s="4"/>
      <c r="E706" s="4"/>
      <c r="F706" s="4"/>
    </row>
    <row r="707">
      <c r="A707" s="4"/>
      <c r="B707" s="4"/>
      <c r="C707" s="4"/>
      <c r="D707" s="4"/>
      <c r="E707" s="4"/>
      <c r="F707" s="4"/>
    </row>
    <row r="708">
      <c r="A708" s="4"/>
      <c r="B708" s="4"/>
      <c r="C708" s="4"/>
      <c r="D708" s="4"/>
      <c r="E708" s="4"/>
      <c r="F708" s="4"/>
    </row>
    <row r="709">
      <c r="A709" s="4"/>
      <c r="B709" s="4"/>
      <c r="C709" s="4"/>
      <c r="D709" s="4"/>
      <c r="E709" s="4"/>
      <c r="F709" s="4"/>
    </row>
    <row r="710">
      <c r="A710" s="4"/>
      <c r="B710" s="4"/>
      <c r="C710" s="4"/>
      <c r="D710" s="4"/>
      <c r="E710" s="4"/>
      <c r="F710" s="4"/>
    </row>
    <row r="711">
      <c r="A711" s="4"/>
      <c r="B711" s="4"/>
      <c r="C711" s="4"/>
      <c r="D711" s="4"/>
      <c r="E711" s="4"/>
      <c r="F711" s="4"/>
    </row>
    <row r="712">
      <c r="A712" s="4"/>
      <c r="B712" s="4"/>
      <c r="C712" s="4"/>
      <c r="D712" s="4"/>
      <c r="E712" s="4"/>
      <c r="F712" s="4"/>
    </row>
    <row r="713">
      <c r="A713" s="4"/>
      <c r="B713" s="4"/>
      <c r="C713" s="4"/>
      <c r="D713" s="4"/>
      <c r="E713" s="4"/>
      <c r="F713" s="4"/>
    </row>
    <row r="714">
      <c r="A714" s="4"/>
      <c r="B714" s="4"/>
      <c r="C714" s="4"/>
      <c r="D714" s="4"/>
      <c r="E714" s="4"/>
      <c r="F714" s="4"/>
    </row>
    <row r="715">
      <c r="A715" s="4"/>
      <c r="B715" s="4"/>
      <c r="C715" s="4"/>
      <c r="D715" s="4"/>
      <c r="E715" s="4"/>
      <c r="F715" s="4"/>
    </row>
    <row r="716">
      <c r="A716" s="4"/>
      <c r="B716" s="4"/>
      <c r="C716" s="4"/>
      <c r="D716" s="4"/>
      <c r="E716" s="4"/>
      <c r="F716" s="4"/>
    </row>
    <row r="717">
      <c r="A717" s="4"/>
      <c r="B717" s="4"/>
      <c r="C717" s="4"/>
      <c r="D717" s="4"/>
      <c r="E717" s="4"/>
      <c r="F717" s="4"/>
    </row>
    <row r="718">
      <c r="A718" s="4"/>
      <c r="B718" s="4"/>
      <c r="C718" s="4"/>
      <c r="D718" s="4"/>
      <c r="E718" s="4"/>
      <c r="F718" s="4"/>
    </row>
    <row r="719">
      <c r="A719" s="4"/>
      <c r="B719" s="4"/>
      <c r="C719" s="4"/>
      <c r="D719" s="4"/>
      <c r="E719" s="4"/>
      <c r="F719" s="4"/>
    </row>
    <row r="720">
      <c r="A720" s="4"/>
      <c r="B720" s="4"/>
      <c r="C720" s="4"/>
      <c r="D720" s="4"/>
      <c r="E720" s="4"/>
      <c r="F720" s="4"/>
    </row>
    <row r="721">
      <c r="A721" s="4"/>
      <c r="B721" s="4"/>
      <c r="C721" s="4"/>
      <c r="D721" s="4"/>
      <c r="E721" s="4"/>
      <c r="F721" s="4"/>
    </row>
    <row r="722">
      <c r="A722" s="4"/>
      <c r="B722" s="4"/>
      <c r="C722" s="4"/>
      <c r="D722" s="4"/>
      <c r="E722" s="4"/>
      <c r="F722" s="4"/>
    </row>
    <row r="723">
      <c r="A723" s="4"/>
      <c r="B723" s="4"/>
      <c r="C723" s="4"/>
      <c r="D723" s="4"/>
      <c r="E723" s="4"/>
      <c r="F723" s="4"/>
    </row>
    <row r="724">
      <c r="A724" s="4"/>
      <c r="B724" s="4"/>
      <c r="C724" s="4"/>
      <c r="D724" s="4"/>
      <c r="E724" s="4"/>
      <c r="F724" s="4"/>
    </row>
    <row r="725">
      <c r="A725" s="4"/>
      <c r="B725" s="4"/>
      <c r="C725" s="4"/>
      <c r="D725" s="4"/>
      <c r="E725" s="4"/>
      <c r="F725" s="4"/>
    </row>
    <row r="726">
      <c r="A726" s="4"/>
      <c r="B726" s="4"/>
      <c r="C726" s="4"/>
      <c r="D726" s="4"/>
      <c r="E726" s="4"/>
      <c r="F726" s="4"/>
    </row>
    <row r="727">
      <c r="A727" s="4"/>
      <c r="B727" s="4"/>
      <c r="C727" s="4"/>
      <c r="D727" s="4"/>
      <c r="E727" s="4"/>
      <c r="F727" s="4"/>
    </row>
    <row r="728">
      <c r="A728" s="4"/>
      <c r="B728" s="4"/>
      <c r="C728" s="4"/>
      <c r="D728" s="4"/>
      <c r="E728" s="4"/>
      <c r="F728" s="4"/>
    </row>
    <row r="729">
      <c r="A729" s="4"/>
      <c r="B729" s="4"/>
      <c r="C729" s="4"/>
      <c r="D729" s="4"/>
      <c r="E729" s="4"/>
      <c r="F729" s="4"/>
    </row>
    <row r="730">
      <c r="A730" s="4"/>
      <c r="B730" s="4"/>
      <c r="C730" s="4"/>
      <c r="D730" s="4"/>
      <c r="E730" s="4"/>
      <c r="F730" s="4"/>
    </row>
    <row r="731">
      <c r="A731" s="4"/>
      <c r="B731" s="4"/>
      <c r="C731" s="4"/>
      <c r="D731" s="4"/>
      <c r="E731" s="4"/>
      <c r="F731" s="4"/>
    </row>
    <row r="732">
      <c r="A732" s="4"/>
      <c r="B732" s="4"/>
      <c r="C732" s="4"/>
      <c r="D732" s="4"/>
      <c r="E732" s="4"/>
      <c r="F732" s="4"/>
    </row>
    <row r="733">
      <c r="A733" s="4"/>
      <c r="B733" s="4"/>
      <c r="C733" s="4"/>
      <c r="D733" s="4"/>
      <c r="E733" s="4"/>
      <c r="F733" s="4"/>
    </row>
    <row r="734">
      <c r="A734" s="4"/>
      <c r="B734" s="4"/>
      <c r="C734" s="4"/>
      <c r="D734" s="4"/>
      <c r="E734" s="4"/>
      <c r="F734" s="4"/>
    </row>
    <row r="735">
      <c r="A735" s="4"/>
      <c r="B735" s="4"/>
      <c r="C735" s="4"/>
      <c r="D735" s="4"/>
      <c r="E735" s="4"/>
      <c r="F735" s="4"/>
    </row>
    <row r="736">
      <c r="A736" s="4"/>
      <c r="B736" s="4"/>
      <c r="C736" s="4"/>
      <c r="D736" s="4"/>
      <c r="E736" s="4"/>
      <c r="F736" s="4"/>
    </row>
    <row r="737">
      <c r="A737" s="4"/>
      <c r="B737" s="4"/>
      <c r="C737" s="4"/>
      <c r="D737" s="4"/>
      <c r="E737" s="4"/>
      <c r="F737" s="4"/>
    </row>
    <row r="738">
      <c r="A738" s="4"/>
      <c r="B738" s="4"/>
      <c r="C738" s="4"/>
      <c r="D738" s="4"/>
      <c r="E738" s="4"/>
      <c r="F738" s="4"/>
    </row>
    <row r="739">
      <c r="A739" s="4"/>
      <c r="B739" s="4"/>
      <c r="C739" s="4"/>
      <c r="D739" s="4"/>
      <c r="E739" s="4"/>
      <c r="F739" s="4"/>
    </row>
    <row r="740">
      <c r="A740" s="4"/>
      <c r="B740" s="4"/>
      <c r="C740" s="4"/>
      <c r="D740" s="4"/>
      <c r="E740" s="4"/>
      <c r="F740" s="4"/>
    </row>
    <row r="741">
      <c r="A741" s="4"/>
      <c r="B741" s="4"/>
      <c r="C741" s="4"/>
      <c r="D741" s="4"/>
      <c r="E741" s="4"/>
      <c r="F741" s="4"/>
    </row>
    <row r="742">
      <c r="A742" s="4"/>
      <c r="B742" s="4"/>
      <c r="C742" s="4"/>
      <c r="D742" s="4"/>
      <c r="E742" s="4"/>
      <c r="F742" s="4"/>
    </row>
    <row r="743">
      <c r="A743" s="4"/>
      <c r="B743" s="4"/>
      <c r="C743" s="4"/>
      <c r="D743" s="4"/>
      <c r="E743" s="4"/>
      <c r="F743" s="4"/>
    </row>
    <row r="744">
      <c r="A744" s="4"/>
      <c r="B744" s="4"/>
      <c r="C744" s="4"/>
      <c r="D744" s="4"/>
      <c r="E744" s="4"/>
      <c r="F744" s="4"/>
    </row>
    <row r="745">
      <c r="A745" s="4"/>
      <c r="B745" s="4"/>
      <c r="C745" s="4"/>
      <c r="D745" s="4"/>
      <c r="E745" s="4"/>
      <c r="F745" s="4"/>
    </row>
    <row r="746">
      <c r="A746" s="4"/>
      <c r="B746" s="4"/>
      <c r="C746" s="4"/>
      <c r="D746" s="4"/>
      <c r="E746" s="4"/>
      <c r="F746" s="4"/>
    </row>
    <row r="747">
      <c r="A747" s="4"/>
      <c r="B747" s="4"/>
      <c r="C747" s="4"/>
      <c r="D747" s="4"/>
      <c r="E747" s="4"/>
      <c r="F747" s="4"/>
    </row>
    <row r="748">
      <c r="A748" s="4"/>
      <c r="B748" s="4"/>
      <c r="C748" s="4"/>
      <c r="D748" s="4"/>
      <c r="E748" s="4"/>
      <c r="F748" s="4"/>
    </row>
    <row r="749">
      <c r="A749" s="4"/>
      <c r="B749" s="4"/>
      <c r="C749" s="4"/>
      <c r="D749" s="4"/>
      <c r="E749" s="4"/>
      <c r="F749" s="4"/>
    </row>
    <row r="750">
      <c r="A750" s="4"/>
      <c r="B750" s="4"/>
      <c r="C750" s="4"/>
      <c r="D750" s="4"/>
      <c r="E750" s="4"/>
      <c r="F750" s="4"/>
    </row>
    <row r="751">
      <c r="A751" s="4"/>
      <c r="B751" s="4"/>
      <c r="C751" s="4"/>
      <c r="D751" s="4"/>
      <c r="E751" s="4"/>
      <c r="F751" s="4"/>
    </row>
    <row r="752">
      <c r="A752" s="4"/>
      <c r="B752" s="4"/>
      <c r="C752" s="4"/>
      <c r="D752" s="4"/>
      <c r="E752" s="4"/>
      <c r="F752" s="4"/>
    </row>
    <row r="753">
      <c r="A753" s="4"/>
      <c r="B753" s="4"/>
      <c r="C753" s="4"/>
      <c r="D753" s="4"/>
      <c r="E753" s="4"/>
      <c r="F753" s="4"/>
    </row>
    <row r="754">
      <c r="A754" s="4"/>
      <c r="B754" s="4"/>
      <c r="C754" s="4"/>
      <c r="D754" s="4"/>
      <c r="E754" s="4"/>
      <c r="F754" s="4"/>
    </row>
    <row r="755">
      <c r="A755" s="4"/>
      <c r="B755" s="4"/>
      <c r="C755" s="4"/>
      <c r="D755" s="4"/>
      <c r="E755" s="4"/>
      <c r="F755" s="4"/>
    </row>
    <row r="756">
      <c r="A756" s="4"/>
      <c r="B756" s="4"/>
      <c r="C756" s="4"/>
      <c r="D756" s="4"/>
      <c r="E756" s="4"/>
      <c r="F756" s="4"/>
    </row>
    <row r="757">
      <c r="A757" s="4"/>
      <c r="B757" s="4"/>
      <c r="C757" s="4"/>
      <c r="D757" s="4"/>
      <c r="E757" s="4"/>
      <c r="F757" s="4"/>
    </row>
    <row r="758">
      <c r="A758" s="4"/>
      <c r="B758" s="4"/>
      <c r="C758" s="4"/>
      <c r="D758" s="4"/>
      <c r="E758" s="4"/>
      <c r="F758" s="4"/>
    </row>
    <row r="759">
      <c r="A759" s="4"/>
      <c r="B759" s="4"/>
      <c r="C759" s="4"/>
      <c r="D759" s="4"/>
      <c r="E759" s="4"/>
      <c r="F759" s="4"/>
    </row>
    <row r="760">
      <c r="A760" s="4"/>
      <c r="B760" s="4"/>
      <c r="C760" s="4"/>
      <c r="D760" s="4"/>
      <c r="E760" s="4"/>
      <c r="F760" s="4"/>
    </row>
    <row r="761">
      <c r="A761" s="4"/>
      <c r="B761" s="4"/>
      <c r="C761" s="4"/>
      <c r="D761" s="4"/>
      <c r="E761" s="4"/>
      <c r="F761" s="4"/>
    </row>
    <row r="762">
      <c r="A762" s="4"/>
      <c r="B762" s="4"/>
      <c r="C762" s="4"/>
      <c r="D762" s="4"/>
      <c r="E762" s="4"/>
      <c r="F762" s="4"/>
    </row>
    <row r="763">
      <c r="A763" s="4"/>
      <c r="B763" s="4"/>
      <c r="C763" s="4"/>
      <c r="D763" s="4"/>
      <c r="E763" s="4"/>
      <c r="F763" s="4"/>
    </row>
    <row r="764">
      <c r="A764" s="4"/>
      <c r="B764" s="4"/>
      <c r="C764" s="4"/>
      <c r="D764" s="4"/>
      <c r="E764" s="4"/>
      <c r="F764" s="4"/>
    </row>
    <row r="765">
      <c r="A765" s="4"/>
      <c r="B765" s="4"/>
      <c r="C765" s="4"/>
      <c r="D765" s="4"/>
      <c r="E765" s="4"/>
      <c r="F765" s="4"/>
    </row>
    <row r="766">
      <c r="A766" s="4"/>
      <c r="B766" s="4"/>
      <c r="C766" s="4"/>
      <c r="D766" s="4"/>
      <c r="E766" s="4"/>
      <c r="F766" s="4"/>
    </row>
    <row r="767">
      <c r="A767" s="4"/>
      <c r="B767" s="4"/>
      <c r="C767" s="4"/>
      <c r="D767" s="4"/>
      <c r="E767" s="4"/>
      <c r="F767" s="4"/>
    </row>
    <row r="768">
      <c r="A768" s="4"/>
      <c r="B768" s="4"/>
      <c r="C768" s="4"/>
      <c r="D768" s="4"/>
      <c r="E768" s="4"/>
      <c r="F768" s="4"/>
    </row>
    <row r="769">
      <c r="A769" s="4"/>
      <c r="B769" s="4"/>
      <c r="C769" s="4"/>
      <c r="D769" s="4"/>
      <c r="E769" s="4"/>
      <c r="F769" s="4"/>
    </row>
    <row r="770">
      <c r="A770" s="4"/>
      <c r="B770" s="4"/>
      <c r="C770" s="4"/>
      <c r="D770" s="4"/>
      <c r="E770" s="4"/>
      <c r="F770" s="4"/>
    </row>
    <row r="771">
      <c r="A771" s="4"/>
      <c r="B771" s="4"/>
      <c r="C771" s="4"/>
      <c r="D771" s="4"/>
      <c r="E771" s="4"/>
      <c r="F771" s="4"/>
    </row>
    <row r="772">
      <c r="A772" s="4"/>
      <c r="B772" s="4"/>
      <c r="C772" s="4"/>
      <c r="D772" s="4"/>
      <c r="E772" s="4"/>
      <c r="F772" s="4"/>
    </row>
    <row r="773">
      <c r="A773" s="4"/>
      <c r="B773" s="4"/>
      <c r="C773" s="4"/>
      <c r="D773" s="4"/>
      <c r="E773" s="4"/>
      <c r="F773" s="4"/>
    </row>
    <row r="774">
      <c r="A774" s="4"/>
      <c r="B774" s="4"/>
      <c r="C774" s="4"/>
      <c r="D774" s="4"/>
      <c r="E774" s="4"/>
      <c r="F774" s="4"/>
    </row>
    <row r="775">
      <c r="A775" s="4"/>
      <c r="B775" s="4"/>
      <c r="C775" s="4"/>
      <c r="D775" s="4"/>
      <c r="E775" s="4"/>
      <c r="F775" s="4"/>
    </row>
    <row r="776">
      <c r="A776" s="4"/>
      <c r="B776" s="4"/>
      <c r="C776" s="4"/>
      <c r="D776" s="4"/>
      <c r="E776" s="4"/>
      <c r="F776" s="4"/>
    </row>
    <row r="777">
      <c r="A777" s="4"/>
      <c r="B777" s="4"/>
      <c r="C777" s="4"/>
      <c r="D777" s="4"/>
      <c r="E777" s="4"/>
      <c r="F777" s="4"/>
    </row>
    <row r="778">
      <c r="A778" s="4"/>
      <c r="B778" s="4"/>
      <c r="C778" s="4"/>
      <c r="D778" s="4"/>
      <c r="E778" s="4"/>
      <c r="F778" s="4"/>
    </row>
    <row r="779">
      <c r="A779" s="4"/>
      <c r="B779" s="4"/>
      <c r="C779" s="4"/>
      <c r="D779" s="4"/>
      <c r="E779" s="4"/>
      <c r="F779" s="4"/>
    </row>
    <row r="780">
      <c r="A780" s="4"/>
      <c r="B780" s="4"/>
      <c r="C780" s="4"/>
      <c r="D780" s="4"/>
      <c r="E780" s="4"/>
      <c r="F780" s="4"/>
    </row>
    <row r="781">
      <c r="A781" s="4"/>
      <c r="B781" s="4"/>
      <c r="C781" s="4"/>
      <c r="D781" s="4"/>
      <c r="E781" s="4"/>
      <c r="F781" s="4"/>
    </row>
    <row r="782">
      <c r="A782" s="4"/>
      <c r="B782" s="4"/>
      <c r="C782" s="4"/>
      <c r="D782" s="4"/>
      <c r="E782" s="4"/>
      <c r="F782" s="4"/>
    </row>
    <row r="783">
      <c r="A783" s="4"/>
      <c r="B783" s="4"/>
      <c r="C783" s="4"/>
      <c r="D783" s="4"/>
      <c r="E783" s="4"/>
      <c r="F783" s="4"/>
    </row>
    <row r="784">
      <c r="A784" s="4"/>
      <c r="B784" s="4"/>
      <c r="C784" s="4"/>
      <c r="D784" s="4"/>
      <c r="E784" s="4"/>
      <c r="F784" s="4"/>
    </row>
    <row r="785">
      <c r="A785" s="4"/>
      <c r="B785" s="4"/>
      <c r="C785" s="4"/>
      <c r="D785" s="4"/>
      <c r="E785" s="4"/>
      <c r="F785" s="4"/>
    </row>
    <row r="786">
      <c r="A786" s="4"/>
      <c r="B786" s="4"/>
      <c r="C786" s="4"/>
      <c r="D786" s="4"/>
      <c r="E786" s="4"/>
      <c r="F786" s="4"/>
    </row>
    <row r="787">
      <c r="A787" s="4"/>
      <c r="B787" s="4"/>
      <c r="C787" s="4"/>
      <c r="D787" s="4"/>
      <c r="E787" s="4"/>
      <c r="F787" s="4"/>
    </row>
    <row r="788">
      <c r="A788" s="4"/>
      <c r="B788" s="4"/>
      <c r="C788" s="4"/>
      <c r="D788" s="4"/>
      <c r="E788" s="4"/>
      <c r="F788" s="4"/>
    </row>
    <row r="789">
      <c r="A789" s="4"/>
      <c r="B789" s="4"/>
      <c r="C789" s="4"/>
      <c r="D789" s="4"/>
      <c r="E789" s="4"/>
      <c r="F789" s="4"/>
    </row>
    <row r="790">
      <c r="A790" s="4"/>
      <c r="B790" s="4"/>
      <c r="C790" s="4"/>
      <c r="D790" s="4"/>
      <c r="E790" s="4"/>
      <c r="F790" s="4"/>
    </row>
    <row r="791">
      <c r="A791" s="4"/>
      <c r="B791" s="4"/>
      <c r="C791" s="4"/>
      <c r="D791" s="4"/>
      <c r="E791" s="4"/>
      <c r="F791" s="4"/>
    </row>
    <row r="792">
      <c r="A792" s="4"/>
      <c r="B792" s="4"/>
      <c r="C792" s="4"/>
      <c r="D792" s="4"/>
      <c r="E792" s="4"/>
      <c r="F792" s="4"/>
    </row>
    <row r="793">
      <c r="A793" s="4"/>
      <c r="B793" s="4"/>
      <c r="C793" s="4"/>
      <c r="D793" s="4"/>
      <c r="E793" s="4"/>
      <c r="F793" s="4"/>
    </row>
    <row r="794">
      <c r="A794" s="4"/>
      <c r="B794" s="4"/>
      <c r="C794" s="4"/>
      <c r="D794" s="4"/>
      <c r="E794" s="4"/>
      <c r="F794" s="4"/>
    </row>
    <row r="795">
      <c r="A795" s="4"/>
      <c r="B795" s="4"/>
      <c r="C795" s="4"/>
      <c r="D795" s="4"/>
      <c r="E795" s="4"/>
      <c r="F795" s="4"/>
    </row>
    <row r="796">
      <c r="A796" s="4"/>
      <c r="B796" s="4"/>
      <c r="C796" s="4"/>
      <c r="D796" s="4"/>
      <c r="E796" s="4"/>
      <c r="F796" s="4"/>
    </row>
    <row r="797">
      <c r="A797" s="4"/>
      <c r="B797" s="4"/>
      <c r="C797" s="4"/>
      <c r="D797" s="4"/>
      <c r="E797" s="4"/>
      <c r="F797" s="4"/>
    </row>
    <row r="798">
      <c r="A798" s="4"/>
      <c r="B798" s="4"/>
      <c r="C798" s="4"/>
      <c r="D798" s="4"/>
      <c r="E798" s="4"/>
      <c r="F798" s="4"/>
    </row>
    <row r="799">
      <c r="A799" s="4"/>
      <c r="B799" s="4"/>
      <c r="C799" s="4"/>
      <c r="D799" s="4"/>
      <c r="E799" s="4"/>
      <c r="F799" s="4"/>
    </row>
    <row r="800">
      <c r="A800" s="4"/>
      <c r="B800" s="4"/>
      <c r="C800" s="4"/>
      <c r="D800" s="4"/>
      <c r="E800" s="4"/>
      <c r="F800" s="4"/>
    </row>
    <row r="801">
      <c r="A801" s="4"/>
      <c r="B801" s="4"/>
      <c r="C801" s="4"/>
      <c r="D801" s="4"/>
      <c r="E801" s="4"/>
      <c r="F801" s="4"/>
    </row>
    <row r="802">
      <c r="A802" s="4"/>
      <c r="B802" s="4"/>
      <c r="C802" s="4"/>
      <c r="D802" s="4"/>
      <c r="E802" s="4"/>
      <c r="F802" s="4"/>
    </row>
    <row r="803">
      <c r="A803" s="4"/>
      <c r="B803" s="4"/>
      <c r="C803" s="4"/>
      <c r="D803" s="4"/>
      <c r="E803" s="4"/>
      <c r="F803" s="4"/>
    </row>
    <row r="804">
      <c r="A804" s="4"/>
      <c r="B804" s="4"/>
      <c r="C804" s="4"/>
      <c r="D804" s="4"/>
      <c r="E804" s="4"/>
      <c r="F804" s="4"/>
    </row>
    <row r="805">
      <c r="A805" s="4"/>
      <c r="B805" s="4"/>
      <c r="C805" s="4"/>
      <c r="D805" s="4"/>
      <c r="E805" s="4"/>
      <c r="F805" s="4"/>
    </row>
    <row r="806">
      <c r="A806" s="4"/>
      <c r="B806" s="4"/>
      <c r="C806" s="4"/>
      <c r="D806" s="4"/>
      <c r="E806" s="4"/>
      <c r="F806" s="4"/>
    </row>
    <row r="807">
      <c r="A807" s="4"/>
      <c r="B807" s="4"/>
      <c r="C807" s="4"/>
      <c r="D807" s="4"/>
      <c r="E807" s="4"/>
      <c r="F807" s="4"/>
    </row>
    <row r="808">
      <c r="A808" s="4"/>
      <c r="B808" s="4"/>
      <c r="C808" s="4"/>
      <c r="D808" s="4"/>
      <c r="E808" s="4"/>
      <c r="F808" s="4"/>
    </row>
    <row r="809">
      <c r="A809" s="4"/>
      <c r="B809" s="4"/>
      <c r="C809" s="4"/>
      <c r="D809" s="4"/>
      <c r="E809" s="4"/>
      <c r="F809" s="4"/>
    </row>
    <row r="810">
      <c r="A810" s="4"/>
      <c r="B810" s="4"/>
      <c r="C810" s="4"/>
      <c r="D810" s="4"/>
      <c r="E810" s="4"/>
      <c r="F810" s="4"/>
    </row>
    <row r="811">
      <c r="A811" s="4"/>
      <c r="B811" s="4"/>
      <c r="C811" s="4"/>
      <c r="D811" s="4"/>
      <c r="E811" s="4"/>
      <c r="F811" s="4"/>
    </row>
    <row r="812">
      <c r="A812" s="4"/>
      <c r="B812" s="4"/>
      <c r="C812" s="4"/>
      <c r="D812" s="4"/>
      <c r="E812" s="4"/>
      <c r="F812" s="4"/>
    </row>
    <row r="813">
      <c r="A813" s="4"/>
      <c r="B813" s="4"/>
      <c r="C813" s="4"/>
      <c r="D813" s="4"/>
      <c r="E813" s="4"/>
      <c r="F813" s="4"/>
    </row>
    <row r="814">
      <c r="A814" s="4"/>
      <c r="B814" s="4"/>
      <c r="C814" s="4"/>
      <c r="D814" s="4"/>
      <c r="E814" s="4"/>
      <c r="F814" s="4"/>
    </row>
    <row r="815">
      <c r="A815" s="4"/>
      <c r="B815" s="4"/>
      <c r="C815" s="4"/>
      <c r="D815" s="4"/>
      <c r="E815" s="4"/>
      <c r="F815" s="4"/>
    </row>
    <row r="816">
      <c r="A816" s="4"/>
      <c r="B816" s="4"/>
      <c r="C816" s="4"/>
      <c r="D816" s="4"/>
      <c r="E816" s="4"/>
      <c r="F816" s="4"/>
    </row>
    <row r="817">
      <c r="A817" s="4"/>
      <c r="B817" s="4"/>
      <c r="C817" s="4"/>
      <c r="D817" s="4"/>
      <c r="E817" s="4"/>
      <c r="F817" s="4"/>
    </row>
    <row r="818">
      <c r="A818" s="4"/>
      <c r="B818" s="4"/>
      <c r="C818" s="4"/>
      <c r="D818" s="4"/>
      <c r="E818" s="4"/>
      <c r="F818" s="4"/>
    </row>
    <row r="819">
      <c r="A819" s="4"/>
      <c r="B819" s="4"/>
      <c r="C819" s="4"/>
      <c r="D819" s="4"/>
      <c r="E819" s="4"/>
      <c r="F819" s="4"/>
    </row>
    <row r="820">
      <c r="A820" s="4"/>
      <c r="B820" s="4"/>
      <c r="C820" s="4"/>
      <c r="D820" s="4"/>
      <c r="E820" s="4"/>
      <c r="F820" s="4"/>
    </row>
    <row r="821">
      <c r="A821" s="4"/>
      <c r="B821" s="4"/>
      <c r="C821" s="4"/>
      <c r="D821" s="4"/>
      <c r="E821" s="4"/>
      <c r="F821" s="4"/>
    </row>
    <row r="822">
      <c r="A822" s="4"/>
      <c r="B822" s="4"/>
      <c r="C822" s="4"/>
      <c r="D822" s="4"/>
      <c r="E822" s="4"/>
      <c r="F822" s="4"/>
    </row>
    <row r="823">
      <c r="A823" s="4"/>
      <c r="B823" s="4"/>
      <c r="C823" s="4"/>
      <c r="D823" s="4"/>
      <c r="E823" s="4"/>
      <c r="F823" s="4"/>
    </row>
    <row r="824">
      <c r="A824" s="4"/>
      <c r="B824" s="4"/>
      <c r="C824" s="4"/>
      <c r="D824" s="4"/>
      <c r="E824" s="4"/>
      <c r="F824" s="4"/>
    </row>
    <row r="825">
      <c r="A825" s="4"/>
      <c r="B825" s="4"/>
      <c r="C825" s="4"/>
      <c r="D825" s="4"/>
      <c r="E825" s="4"/>
      <c r="F825" s="4"/>
    </row>
    <row r="826">
      <c r="A826" s="4"/>
      <c r="B826" s="4"/>
      <c r="C826" s="4"/>
      <c r="D826" s="4"/>
      <c r="E826" s="4"/>
      <c r="F826" s="4"/>
    </row>
    <row r="827">
      <c r="A827" s="4"/>
      <c r="B827" s="4"/>
      <c r="C827" s="4"/>
      <c r="D827" s="4"/>
      <c r="E827" s="4"/>
      <c r="F827" s="4"/>
    </row>
    <row r="828">
      <c r="A828" s="4"/>
      <c r="B828" s="4"/>
      <c r="C828" s="4"/>
      <c r="D828" s="4"/>
      <c r="E828" s="4"/>
      <c r="F828" s="4"/>
    </row>
    <row r="829">
      <c r="A829" s="4"/>
      <c r="B829" s="4"/>
      <c r="C829" s="4"/>
      <c r="D829" s="4"/>
      <c r="E829" s="4"/>
      <c r="F829" s="4"/>
    </row>
    <row r="830">
      <c r="A830" s="4"/>
      <c r="B830" s="4"/>
      <c r="C830" s="4"/>
      <c r="D830" s="4"/>
      <c r="E830" s="4"/>
      <c r="F830" s="4"/>
    </row>
    <row r="831">
      <c r="A831" s="4"/>
      <c r="B831" s="4"/>
      <c r="C831" s="4"/>
      <c r="D831" s="4"/>
      <c r="E831" s="4"/>
      <c r="F831" s="4"/>
    </row>
    <row r="832">
      <c r="A832" s="4"/>
      <c r="B832" s="4"/>
      <c r="C832" s="4"/>
      <c r="D832" s="4"/>
      <c r="E832" s="4"/>
      <c r="F832" s="4"/>
    </row>
    <row r="833">
      <c r="A833" s="4"/>
      <c r="B833" s="4"/>
      <c r="C833" s="4"/>
      <c r="D833" s="4"/>
      <c r="E833" s="4"/>
      <c r="F833" s="4"/>
    </row>
    <row r="834">
      <c r="A834" s="4"/>
      <c r="B834" s="4"/>
      <c r="C834" s="4"/>
      <c r="D834" s="4"/>
      <c r="E834" s="4"/>
      <c r="F834" s="4"/>
    </row>
    <row r="835">
      <c r="A835" s="4"/>
      <c r="B835" s="4"/>
      <c r="C835" s="4"/>
      <c r="D835" s="4"/>
      <c r="E835" s="4"/>
      <c r="F835" s="4"/>
    </row>
    <row r="836">
      <c r="A836" s="4"/>
      <c r="B836" s="4"/>
      <c r="C836" s="4"/>
      <c r="D836" s="4"/>
      <c r="E836" s="4"/>
      <c r="F836" s="4"/>
    </row>
    <row r="837">
      <c r="A837" s="4"/>
      <c r="B837" s="4"/>
      <c r="C837" s="4"/>
      <c r="D837" s="4"/>
      <c r="E837" s="4"/>
      <c r="F837" s="4"/>
    </row>
    <row r="838">
      <c r="A838" s="4"/>
      <c r="B838" s="4"/>
      <c r="C838" s="4"/>
      <c r="D838" s="4"/>
      <c r="E838" s="4"/>
      <c r="F838" s="4"/>
    </row>
    <row r="839">
      <c r="A839" s="4"/>
      <c r="B839" s="4"/>
      <c r="C839" s="4"/>
      <c r="D839" s="4"/>
      <c r="E839" s="4"/>
      <c r="F839" s="4"/>
    </row>
    <row r="840">
      <c r="A840" s="4"/>
      <c r="B840" s="4"/>
      <c r="C840" s="4"/>
      <c r="D840" s="4"/>
      <c r="E840" s="4"/>
      <c r="F840" s="4"/>
    </row>
    <row r="841">
      <c r="A841" s="4"/>
      <c r="B841" s="4"/>
      <c r="C841" s="4"/>
      <c r="D841" s="4"/>
      <c r="E841" s="4"/>
      <c r="F841" s="4"/>
    </row>
    <row r="842">
      <c r="A842" s="4"/>
      <c r="B842" s="4"/>
      <c r="C842" s="4"/>
      <c r="D842" s="4"/>
      <c r="E842" s="4"/>
      <c r="F842" s="4"/>
    </row>
    <row r="843">
      <c r="A843" s="4"/>
      <c r="B843" s="4"/>
      <c r="C843" s="4"/>
      <c r="D843" s="4"/>
      <c r="E843" s="4"/>
      <c r="F843" s="4"/>
    </row>
    <row r="844">
      <c r="A844" s="4"/>
      <c r="B844" s="4"/>
      <c r="C844" s="4"/>
      <c r="D844" s="4"/>
      <c r="E844" s="4"/>
      <c r="F844" s="4"/>
    </row>
    <row r="845">
      <c r="A845" s="4"/>
      <c r="B845" s="4"/>
      <c r="C845" s="4"/>
      <c r="D845" s="4"/>
      <c r="E845" s="4"/>
      <c r="F845" s="4"/>
    </row>
    <row r="846">
      <c r="A846" s="4"/>
      <c r="B846" s="4"/>
      <c r="C846" s="4"/>
      <c r="D846" s="4"/>
      <c r="E846" s="4"/>
      <c r="F846" s="4"/>
    </row>
    <row r="847">
      <c r="A847" s="4"/>
      <c r="B847" s="4"/>
      <c r="C847" s="4"/>
      <c r="D847" s="4"/>
      <c r="E847" s="4"/>
      <c r="F847" s="4"/>
    </row>
    <row r="848">
      <c r="A848" s="4"/>
      <c r="B848" s="4"/>
      <c r="C848" s="4"/>
      <c r="D848" s="4"/>
      <c r="E848" s="4"/>
      <c r="F848" s="4"/>
    </row>
    <row r="849">
      <c r="A849" s="4"/>
      <c r="B849" s="4"/>
      <c r="C849" s="4"/>
      <c r="D849" s="4"/>
      <c r="E849" s="4"/>
      <c r="F849" s="4"/>
    </row>
    <row r="850">
      <c r="A850" s="4"/>
      <c r="B850" s="4"/>
      <c r="C850" s="4"/>
      <c r="D850" s="4"/>
      <c r="E850" s="4"/>
      <c r="F850" s="4"/>
    </row>
    <row r="851">
      <c r="A851" s="4"/>
      <c r="B851" s="4"/>
      <c r="C851" s="4"/>
      <c r="D851" s="4"/>
      <c r="E851" s="4"/>
      <c r="F851" s="4"/>
    </row>
    <row r="852">
      <c r="A852" s="4"/>
      <c r="B852" s="4"/>
      <c r="C852" s="4"/>
      <c r="D852" s="4"/>
      <c r="E852" s="4"/>
      <c r="F852" s="4"/>
    </row>
    <row r="853">
      <c r="A853" s="4"/>
      <c r="B853" s="4"/>
      <c r="C853" s="4"/>
      <c r="D853" s="4"/>
      <c r="E853" s="4"/>
      <c r="F853" s="4"/>
    </row>
    <row r="854">
      <c r="A854" s="4"/>
      <c r="B854" s="4"/>
      <c r="C854" s="4"/>
      <c r="D854" s="4"/>
      <c r="E854" s="4"/>
      <c r="F854" s="4"/>
    </row>
    <row r="855">
      <c r="A855" s="4"/>
      <c r="B855" s="4"/>
      <c r="C855" s="4"/>
      <c r="D855" s="4"/>
      <c r="E855" s="4"/>
      <c r="F855" s="4"/>
    </row>
    <row r="856">
      <c r="A856" s="4"/>
      <c r="B856" s="4"/>
      <c r="C856" s="4"/>
      <c r="D856" s="4"/>
      <c r="E856" s="4"/>
      <c r="F856" s="4"/>
    </row>
    <row r="857">
      <c r="A857" s="4"/>
      <c r="B857" s="4"/>
      <c r="C857" s="4"/>
      <c r="D857" s="4"/>
      <c r="E857" s="4"/>
      <c r="F857" s="4"/>
    </row>
    <row r="858">
      <c r="A858" s="4"/>
      <c r="B858" s="4"/>
      <c r="C858" s="4"/>
      <c r="D858" s="4"/>
      <c r="E858" s="4"/>
      <c r="F858" s="4"/>
    </row>
    <row r="859">
      <c r="A859" s="4"/>
      <c r="B859" s="4"/>
      <c r="C859" s="4"/>
      <c r="D859" s="4"/>
      <c r="E859" s="4"/>
      <c r="F859" s="4"/>
    </row>
    <row r="860">
      <c r="A860" s="4"/>
      <c r="B860" s="4"/>
      <c r="C860" s="4"/>
      <c r="D860" s="4"/>
      <c r="E860" s="4"/>
      <c r="F860" s="4"/>
    </row>
    <row r="861">
      <c r="A861" s="4"/>
      <c r="B861" s="4"/>
      <c r="C861" s="4"/>
      <c r="D861" s="4"/>
      <c r="E861" s="4"/>
      <c r="F861" s="4"/>
    </row>
    <row r="862">
      <c r="A862" s="4"/>
      <c r="B862" s="4"/>
      <c r="C862" s="4"/>
      <c r="D862" s="4"/>
      <c r="E862" s="4"/>
      <c r="F862" s="4"/>
    </row>
    <row r="863">
      <c r="A863" s="4"/>
      <c r="B863" s="4"/>
      <c r="C863" s="4"/>
      <c r="D863" s="4"/>
      <c r="E863" s="4"/>
      <c r="F863" s="4"/>
    </row>
    <row r="864">
      <c r="A864" s="4"/>
      <c r="B864" s="4"/>
      <c r="C864" s="4"/>
      <c r="D864" s="4"/>
      <c r="E864" s="4"/>
      <c r="F864" s="4"/>
    </row>
    <row r="865">
      <c r="A865" s="4"/>
      <c r="B865" s="4"/>
      <c r="C865" s="4"/>
      <c r="D865" s="4"/>
      <c r="E865" s="4"/>
      <c r="F865" s="4"/>
    </row>
    <row r="866">
      <c r="A866" s="4"/>
      <c r="B866" s="4"/>
      <c r="C866" s="4"/>
      <c r="D866" s="4"/>
      <c r="E866" s="4"/>
      <c r="F866" s="4"/>
    </row>
    <row r="867">
      <c r="A867" s="4"/>
      <c r="B867" s="4"/>
      <c r="C867" s="4"/>
      <c r="D867" s="4"/>
      <c r="E867" s="4"/>
      <c r="F867" s="4"/>
    </row>
    <row r="868">
      <c r="A868" s="4"/>
      <c r="B868" s="4"/>
      <c r="C868" s="4"/>
      <c r="D868" s="4"/>
      <c r="E868" s="4"/>
      <c r="F868" s="4"/>
    </row>
    <row r="869">
      <c r="A869" s="4"/>
      <c r="B869" s="4"/>
      <c r="C869" s="4"/>
      <c r="D869" s="4"/>
      <c r="E869" s="4"/>
      <c r="F869" s="4"/>
    </row>
    <row r="870">
      <c r="A870" s="4"/>
      <c r="B870" s="4"/>
      <c r="C870" s="4"/>
      <c r="D870" s="4"/>
      <c r="E870" s="4"/>
      <c r="F870" s="4"/>
    </row>
    <row r="871">
      <c r="A871" s="4"/>
      <c r="B871" s="4"/>
      <c r="C871" s="4"/>
      <c r="D871" s="4"/>
      <c r="E871" s="4"/>
      <c r="F871" s="4"/>
    </row>
    <row r="872">
      <c r="A872" s="4"/>
      <c r="B872" s="4"/>
      <c r="C872" s="4"/>
      <c r="D872" s="4"/>
      <c r="E872" s="4"/>
      <c r="F872" s="4"/>
    </row>
    <row r="873">
      <c r="A873" s="4"/>
      <c r="B873" s="4"/>
      <c r="C873" s="4"/>
      <c r="D873" s="4"/>
      <c r="E873" s="4"/>
      <c r="F873" s="4"/>
    </row>
    <row r="874">
      <c r="A874" s="4"/>
      <c r="B874" s="4"/>
      <c r="C874" s="4"/>
      <c r="D874" s="4"/>
      <c r="E874" s="4"/>
      <c r="F874" s="4"/>
    </row>
    <row r="875">
      <c r="A875" s="4"/>
      <c r="B875" s="4"/>
      <c r="C875" s="4"/>
      <c r="D875" s="4"/>
      <c r="E875" s="4"/>
      <c r="F875" s="4"/>
    </row>
    <row r="876">
      <c r="A876" s="4"/>
      <c r="B876" s="4"/>
      <c r="C876" s="4"/>
      <c r="D876" s="4"/>
      <c r="E876" s="4"/>
      <c r="F876" s="4"/>
    </row>
    <row r="877">
      <c r="A877" s="4"/>
      <c r="B877" s="4"/>
      <c r="C877" s="4"/>
      <c r="D877" s="4"/>
      <c r="E877" s="4"/>
      <c r="F877" s="4"/>
    </row>
    <row r="878">
      <c r="A878" s="4"/>
      <c r="B878" s="4"/>
      <c r="C878" s="4"/>
      <c r="D878" s="4"/>
      <c r="E878" s="4"/>
      <c r="F878" s="4"/>
    </row>
    <row r="879">
      <c r="A879" s="4"/>
      <c r="B879" s="4"/>
      <c r="C879" s="4"/>
      <c r="D879" s="4"/>
      <c r="E879" s="4"/>
      <c r="F879" s="4"/>
    </row>
    <row r="880">
      <c r="A880" s="4"/>
      <c r="B880" s="4"/>
      <c r="C880" s="4"/>
      <c r="D880" s="4"/>
      <c r="E880" s="4"/>
      <c r="F880" s="4"/>
    </row>
    <row r="881">
      <c r="A881" s="4"/>
      <c r="B881" s="4"/>
      <c r="C881" s="4"/>
      <c r="D881" s="4"/>
      <c r="E881" s="4"/>
      <c r="F881" s="4"/>
    </row>
    <row r="882">
      <c r="A882" s="4"/>
      <c r="B882" s="4"/>
      <c r="C882" s="4"/>
      <c r="D882" s="4"/>
      <c r="E882" s="4"/>
      <c r="F882" s="4"/>
    </row>
    <row r="883">
      <c r="A883" s="4"/>
      <c r="B883" s="4"/>
      <c r="C883" s="4"/>
      <c r="D883" s="4"/>
      <c r="E883" s="4"/>
      <c r="F883" s="4"/>
    </row>
    <row r="884">
      <c r="A884" s="4"/>
      <c r="B884" s="4"/>
      <c r="C884" s="4"/>
      <c r="D884" s="4"/>
      <c r="E884" s="4"/>
      <c r="F884" s="4"/>
    </row>
    <row r="885">
      <c r="A885" s="4"/>
      <c r="B885" s="4"/>
      <c r="C885" s="4"/>
      <c r="D885" s="4"/>
      <c r="E885" s="4"/>
      <c r="F885" s="4"/>
    </row>
    <row r="886">
      <c r="A886" s="4"/>
      <c r="B886" s="4"/>
      <c r="C886" s="4"/>
      <c r="D886" s="4"/>
      <c r="E886" s="4"/>
      <c r="F886" s="4"/>
    </row>
    <row r="887">
      <c r="A887" s="4"/>
      <c r="B887" s="4"/>
      <c r="C887" s="4"/>
      <c r="D887" s="4"/>
      <c r="E887" s="4"/>
      <c r="F887" s="4"/>
    </row>
    <row r="888">
      <c r="A888" s="4"/>
      <c r="B888" s="4"/>
      <c r="C888" s="4"/>
      <c r="D888" s="4"/>
      <c r="E888" s="4"/>
      <c r="F888" s="4"/>
    </row>
    <row r="889">
      <c r="A889" s="4"/>
      <c r="B889" s="4"/>
      <c r="C889" s="4"/>
      <c r="D889" s="4"/>
      <c r="E889" s="4"/>
      <c r="F889" s="4"/>
    </row>
    <row r="890">
      <c r="A890" s="4"/>
      <c r="B890" s="4"/>
      <c r="C890" s="4"/>
      <c r="D890" s="4"/>
      <c r="E890" s="4"/>
      <c r="F890" s="4"/>
    </row>
    <row r="891">
      <c r="A891" s="4"/>
      <c r="B891" s="4"/>
      <c r="C891" s="4"/>
      <c r="D891" s="4"/>
      <c r="E891" s="4"/>
      <c r="F891" s="4"/>
    </row>
    <row r="892">
      <c r="A892" s="4"/>
      <c r="B892" s="4"/>
      <c r="C892" s="4"/>
      <c r="D892" s="4"/>
      <c r="E892" s="4"/>
      <c r="F892" s="4"/>
    </row>
    <row r="893">
      <c r="A893" s="4"/>
      <c r="B893" s="4"/>
      <c r="C893" s="4"/>
      <c r="D893" s="4"/>
      <c r="E893" s="4"/>
      <c r="F893" s="4"/>
    </row>
    <row r="894">
      <c r="A894" s="4"/>
      <c r="B894" s="4"/>
      <c r="C894" s="4"/>
      <c r="D894" s="4"/>
      <c r="E894" s="4"/>
      <c r="F894" s="4"/>
    </row>
    <row r="895">
      <c r="A895" s="4"/>
      <c r="B895" s="4"/>
      <c r="C895" s="4"/>
      <c r="D895" s="4"/>
      <c r="E895" s="4"/>
      <c r="F895" s="4"/>
    </row>
    <row r="896">
      <c r="A896" s="4"/>
      <c r="B896" s="4"/>
      <c r="C896" s="4"/>
      <c r="D896" s="4"/>
      <c r="E896" s="4"/>
      <c r="F896" s="4"/>
    </row>
    <row r="897">
      <c r="A897" s="4"/>
      <c r="B897" s="4"/>
      <c r="C897" s="4"/>
      <c r="D897" s="4"/>
      <c r="E897" s="4"/>
      <c r="F897" s="4"/>
    </row>
    <row r="898">
      <c r="A898" s="4"/>
      <c r="B898" s="4"/>
      <c r="C898" s="4"/>
      <c r="D898" s="4"/>
      <c r="E898" s="4"/>
      <c r="F898" s="4"/>
    </row>
    <row r="899">
      <c r="A899" s="4"/>
      <c r="B899" s="4"/>
      <c r="C899" s="4"/>
      <c r="D899" s="4"/>
      <c r="E899" s="4"/>
      <c r="F899" s="4"/>
    </row>
    <row r="900">
      <c r="A900" s="4"/>
      <c r="B900" s="4"/>
      <c r="C900" s="4"/>
      <c r="D900" s="4"/>
      <c r="E900" s="4"/>
      <c r="F900" s="4"/>
    </row>
    <row r="901">
      <c r="A901" s="4"/>
      <c r="B901" s="4"/>
      <c r="C901" s="4"/>
      <c r="D901" s="4"/>
      <c r="E901" s="4"/>
      <c r="F901" s="4"/>
    </row>
    <row r="902">
      <c r="A902" s="4"/>
      <c r="B902" s="4"/>
      <c r="C902" s="4"/>
      <c r="D902" s="4"/>
      <c r="E902" s="4"/>
      <c r="F902" s="4"/>
    </row>
    <row r="903">
      <c r="A903" s="4"/>
      <c r="B903" s="4"/>
      <c r="C903" s="4"/>
      <c r="D903" s="4"/>
      <c r="E903" s="4"/>
      <c r="F903" s="4"/>
    </row>
    <row r="904">
      <c r="A904" s="4"/>
      <c r="B904" s="4"/>
      <c r="C904" s="4"/>
      <c r="D904" s="4"/>
      <c r="E904" s="4"/>
      <c r="F904" s="4"/>
    </row>
    <row r="905">
      <c r="A905" s="4"/>
      <c r="B905" s="4"/>
      <c r="C905" s="4"/>
      <c r="D905" s="4"/>
      <c r="E905" s="4"/>
      <c r="F905" s="4"/>
    </row>
    <row r="906">
      <c r="A906" s="4"/>
      <c r="B906" s="4"/>
      <c r="C906" s="4"/>
      <c r="D906" s="4"/>
      <c r="E906" s="4"/>
      <c r="F906" s="4"/>
    </row>
    <row r="907">
      <c r="A907" s="4"/>
      <c r="B907" s="4"/>
      <c r="C907" s="4"/>
      <c r="D907" s="4"/>
      <c r="E907" s="4"/>
      <c r="F907" s="4"/>
    </row>
    <row r="908">
      <c r="A908" s="4"/>
      <c r="B908" s="4"/>
      <c r="C908" s="4"/>
      <c r="D908" s="4"/>
      <c r="E908" s="4"/>
      <c r="F908" s="4"/>
    </row>
    <row r="909">
      <c r="A909" s="4"/>
      <c r="B909" s="4"/>
      <c r="C909" s="4"/>
      <c r="D909" s="4"/>
      <c r="E909" s="4"/>
      <c r="F909" s="4"/>
    </row>
    <row r="910">
      <c r="A910" s="4"/>
      <c r="B910" s="4"/>
      <c r="C910" s="4"/>
      <c r="D910" s="4"/>
      <c r="E910" s="4"/>
      <c r="F910" s="4"/>
    </row>
    <row r="911">
      <c r="A911" s="4"/>
      <c r="B911" s="4"/>
      <c r="C911" s="4"/>
      <c r="D911" s="4"/>
      <c r="E911" s="4"/>
      <c r="F911" s="4"/>
    </row>
    <row r="912">
      <c r="A912" s="4"/>
      <c r="B912" s="4"/>
      <c r="C912" s="4"/>
      <c r="D912" s="4"/>
      <c r="E912" s="4"/>
      <c r="F912" s="4"/>
    </row>
    <row r="913">
      <c r="A913" s="4"/>
      <c r="B913" s="4"/>
      <c r="C913" s="4"/>
      <c r="D913" s="4"/>
      <c r="E913" s="4"/>
      <c r="F913" s="4"/>
    </row>
    <row r="914">
      <c r="A914" s="4"/>
      <c r="B914" s="4"/>
      <c r="C914" s="4"/>
      <c r="D914" s="4"/>
      <c r="E914" s="4"/>
      <c r="F914" s="4"/>
    </row>
    <row r="915">
      <c r="A915" s="4"/>
      <c r="B915" s="4"/>
      <c r="C915" s="4"/>
      <c r="D915" s="4"/>
      <c r="E915" s="4"/>
      <c r="F915" s="4"/>
    </row>
    <row r="916">
      <c r="A916" s="4"/>
      <c r="B916" s="4"/>
      <c r="C916" s="4"/>
      <c r="D916" s="4"/>
      <c r="E916" s="4"/>
      <c r="F916" s="4"/>
    </row>
    <row r="917">
      <c r="A917" s="4"/>
      <c r="B917" s="4"/>
      <c r="C917" s="4"/>
      <c r="D917" s="4"/>
      <c r="E917" s="4"/>
      <c r="F917" s="4"/>
    </row>
    <row r="918">
      <c r="A918" s="4"/>
      <c r="B918" s="4"/>
      <c r="C918" s="4"/>
      <c r="D918" s="4"/>
      <c r="E918" s="4"/>
      <c r="F918" s="4"/>
    </row>
    <row r="919">
      <c r="A919" s="4"/>
      <c r="B919" s="4"/>
      <c r="C919" s="4"/>
      <c r="D919" s="4"/>
      <c r="E919" s="4"/>
      <c r="F919" s="4"/>
    </row>
    <row r="920">
      <c r="A920" s="4"/>
      <c r="B920" s="4"/>
      <c r="C920" s="4"/>
      <c r="D920" s="4"/>
      <c r="E920" s="4"/>
      <c r="F920" s="4"/>
    </row>
    <row r="921">
      <c r="A921" s="4"/>
      <c r="B921" s="4"/>
      <c r="C921" s="4"/>
      <c r="D921" s="4"/>
      <c r="E921" s="4"/>
      <c r="F921" s="4"/>
    </row>
    <row r="922">
      <c r="A922" s="4"/>
      <c r="B922" s="4"/>
      <c r="C922" s="4"/>
      <c r="D922" s="4"/>
      <c r="E922" s="4"/>
      <c r="F922" s="4"/>
    </row>
    <row r="923">
      <c r="A923" s="4"/>
      <c r="B923" s="4"/>
      <c r="C923" s="4"/>
      <c r="D923" s="4"/>
      <c r="E923" s="4"/>
      <c r="F923" s="4"/>
    </row>
    <row r="924">
      <c r="A924" s="4"/>
      <c r="B924" s="4"/>
      <c r="C924" s="4"/>
      <c r="D924" s="4"/>
      <c r="E924" s="4"/>
      <c r="F924" s="4"/>
    </row>
    <row r="925">
      <c r="A925" s="4"/>
      <c r="B925" s="4"/>
      <c r="C925" s="4"/>
      <c r="D925" s="4"/>
      <c r="E925" s="4"/>
      <c r="F925" s="4"/>
    </row>
    <row r="926">
      <c r="A926" s="4"/>
      <c r="B926" s="4"/>
      <c r="C926" s="4"/>
      <c r="D926" s="4"/>
      <c r="E926" s="4"/>
      <c r="F926" s="4"/>
    </row>
    <row r="927">
      <c r="A927" s="4"/>
      <c r="B927" s="4"/>
      <c r="C927" s="4"/>
      <c r="D927" s="4"/>
      <c r="E927" s="4"/>
      <c r="F927" s="4"/>
    </row>
    <row r="928">
      <c r="A928" s="4"/>
      <c r="B928" s="4"/>
      <c r="C928" s="4"/>
      <c r="D928" s="4"/>
      <c r="E928" s="4"/>
      <c r="F928" s="4"/>
    </row>
    <row r="929">
      <c r="A929" s="4"/>
      <c r="B929" s="4"/>
      <c r="C929" s="4"/>
      <c r="D929" s="4"/>
      <c r="E929" s="4"/>
      <c r="F929" s="4"/>
    </row>
    <row r="930">
      <c r="A930" s="4"/>
      <c r="B930" s="4"/>
      <c r="C930" s="4"/>
      <c r="D930" s="4"/>
      <c r="E930" s="4"/>
      <c r="F930" s="4"/>
    </row>
    <row r="931">
      <c r="A931" s="4"/>
      <c r="B931" s="4"/>
      <c r="C931" s="4"/>
      <c r="D931" s="4"/>
      <c r="E931" s="4"/>
      <c r="F931" s="4"/>
    </row>
  </sheetData>
  <hyperlinks>
    <hyperlink r:id="rId2" ref="D1"/>
  </hyperlinks>
  <drawing r:id="rId3"/>
  <legacy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1</v>
      </c>
      <c r="B1" s="2" t="s">
        <v>12</v>
      </c>
      <c r="C1" s="2" t="s">
        <v>12525</v>
      </c>
      <c r="D1" s="5" t="s">
        <v>12527</v>
      </c>
      <c r="E1" s="2" t="s">
        <v>12542</v>
      </c>
      <c r="F1" s="2" t="s">
        <v>12543</v>
      </c>
    </row>
    <row r="2">
      <c r="A2" s="1" t="s">
        <v>12546</v>
      </c>
      <c r="B2" s="1" t="s">
        <v>1575</v>
      </c>
      <c r="C2" s="1" t="s">
        <v>12549</v>
      </c>
      <c r="D2" s="1" t="s">
        <v>3041</v>
      </c>
      <c r="E2" s="1" t="s">
        <v>12551</v>
      </c>
      <c r="F2" s="1" t="s">
        <v>12552</v>
      </c>
    </row>
    <row r="3">
      <c r="A3" s="1" t="s">
        <v>14533</v>
      </c>
      <c r="B3" s="1" t="s">
        <v>1988</v>
      </c>
      <c r="C3" s="1" t="s">
        <v>14534</v>
      </c>
      <c r="D3" s="1" t="s">
        <v>14536</v>
      </c>
      <c r="E3" s="1" t="s">
        <v>14537</v>
      </c>
      <c r="F3" s="1" t="s">
        <v>12552</v>
      </c>
    </row>
    <row r="4">
      <c r="A4" s="1" t="s">
        <v>14540</v>
      </c>
      <c r="B4" s="1" t="s">
        <v>1988</v>
      </c>
      <c r="C4" s="1" t="s">
        <v>14541</v>
      </c>
      <c r="D4" s="1" t="s">
        <v>14542</v>
      </c>
      <c r="E4" s="1" t="s">
        <v>14543</v>
      </c>
      <c r="F4" s="1" t="s">
        <v>89</v>
      </c>
    </row>
    <row r="5">
      <c r="A5" s="1" t="s">
        <v>14544</v>
      </c>
      <c r="B5" s="1" t="s">
        <v>1988</v>
      </c>
      <c r="C5" s="1" t="s">
        <v>14545</v>
      </c>
      <c r="D5" s="1" t="s">
        <v>14546</v>
      </c>
      <c r="E5" s="1" t="s">
        <v>14547</v>
      </c>
      <c r="F5" s="1" t="s">
        <v>89</v>
      </c>
    </row>
    <row r="6">
      <c r="A6" s="1" t="s">
        <v>14549</v>
      </c>
      <c r="B6" s="1" t="s">
        <v>1988</v>
      </c>
      <c r="C6" s="1" t="s">
        <v>14551</v>
      </c>
      <c r="D6" s="1" t="s">
        <v>14552</v>
      </c>
      <c r="E6" s="1" t="s">
        <v>14553</v>
      </c>
      <c r="F6" s="1" t="s">
        <v>89</v>
      </c>
    </row>
    <row r="7">
      <c r="A7" s="1" t="s">
        <v>14555</v>
      </c>
      <c r="B7" s="1" t="s">
        <v>1988</v>
      </c>
      <c r="C7" s="1" t="s">
        <v>14556</v>
      </c>
      <c r="D7" s="1" t="s">
        <v>14557</v>
      </c>
      <c r="E7" s="1" t="s">
        <v>14558</v>
      </c>
      <c r="F7" s="1" t="s">
        <v>89</v>
      </c>
    </row>
    <row r="8">
      <c r="A8" s="1" t="s">
        <v>14559</v>
      </c>
      <c r="B8" s="1" t="s">
        <v>1988</v>
      </c>
      <c r="C8" s="1" t="s">
        <v>14561</v>
      </c>
      <c r="D8" s="1" t="s">
        <v>14562</v>
      </c>
      <c r="E8" s="1" t="s">
        <v>14563</v>
      </c>
      <c r="F8" s="1" t="s">
        <v>12580</v>
      </c>
    </row>
    <row r="9">
      <c r="A9" s="1" t="s">
        <v>14565</v>
      </c>
      <c r="B9" s="1" t="s">
        <v>1988</v>
      </c>
      <c r="C9" s="1" t="s">
        <v>14566</v>
      </c>
      <c r="D9" s="1" t="s">
        <v>14567</v>
      </c>
      <c r="E9" s="1" t="s">
        <v>14569</v>
      </c>
      <c r="F9" s="1" t="s">
        <v>45</v>
      </c>
    </row>
    <row r="10">
      <c r="A10" s="1" t="s">
        <v>14570</v>
      </c>
      <c r="B10" s="1" t="s">
        <v>1988</v>
      </c>
      <c r="C10" s="1" t="s">
        <v>14571</v>
      </c>
      <c r="D10" s="1" t="s">
        <v>14572</v>
      </c>
      <c r="E10" s="1" t="s">
        <v>14574</v>
      </c>
      <c r="F10" s="1" t="s">
        <v>12561</v>
      </c>
    </row>
    <row r="11">
      <c r="A11" s="1" t="s">
        <v>14575</v>
      </c>
      <c r="B11" s="1" t="s">
        <v>1988</v>
      </c>
      <c r="C11" s="1" t="s">
        <v>14576</v>
      </c>
      <c r="D11" s="1" t="s">
        <v>14578</v>
      </c>
      <c r="E11" s="1" t="s">
        <v>14579</v>
      </c>
      <c r="F11" s="1" t="s">
        <v>12580</v>
      </c>
    </row>
    <row r="12">
      <c r="A12" s="1" t="s">
        <v>12589</v>
      </c>
      <c r="B12" s="1" t="s">
        <v>2011</v>
      </c>
      <c r="C12" s="1" t="s">
        <v>12591</v>
      </c>
      <c r="D12" s="1" t="s">
        <v>12592</v>
      </c>
      <c r="E12" s="1" t="s">
        <v>12594</v>
      </c>
      <c r="F12" s="1" t="s">
        <v>45</v>
      </c>
    </row>
    <row r="13">
      <c r="A13" s="1" t="s">
        <v>12574</v>
      </c>
      <c r="B13" s="1" t="s">
        <v>2011</v>
      </c>
      <c r="C13" s="1" t="s">
        <v>12576</v>
      </c>
      <c r="D13" s="1" t="s">
        <v>12577</v>
      </c>
      <c r="E13" s="1" t="s">
        <v>12579</v>
      </c>
      <c r="F13" s="1" t="s">
        <v>12580</v>
      </c>
    </row>
    <row r="14">
      <c r="A14" s="1" t="s">
        <v>12563</v>
      </c>
      <c r="B14" s="1" t="s">
        <v>2011</v>
      </c>
      <c r="C14" s="1" t="s">
        <v>12564</v>
      </c>
      <c r="D14" s="1" t="s">
        <v>3535</v>
      </c>
      <c r="E14" s="1" t="s">
        <v>12565</v>
      </c>
      <c r="F14" s="1" t="s">
        <v>12552</v>
      </c>
    </row>
    <row r="15">
      <c r="A15" s="1" t="s">
        <v>12582</v>
      </c>
      <c r="B15" s="1" t="s">
        <v>2011</v>
      </c>
      <c r="C15" s="1" t="s">
        <v>12584</v>
      </c>
      <c r="D15" s="1" t="s">
        <v>12585</v>
      </c>
      <c r="E15" s="1" t="s">
        <v>12587</v>
      </c>
      <c r="F15" s="1" t="s">
        <v>12561</v>
      </c>
    </row>
    <row r="16">
      <c r="A16" s="1" t="s">
        <v>12566</v>
      </c>
      <c r="B16" s="1" t="s">
        <v>2011</v>
      </c>
      <c r="C16" s="1" t="s">
        <v>12569</v>
      </c>
      <c r="D16" s="1" t="s">
        <v>12571</v>
      </c>
      <c r="E16" s="1" t="s">
        <v>12572</v>
      </c>
      <c r="F16" s="1" t="s">
        <v>89</v>
      </c>
    </row>
    <row r="17">
      <c r="A17" s="1" t="s">
        <v>12553</v>
      </c>
      <c r="B17" s="1" t="s">
        <v>2011</v>
      </c>
      <c r="C17" s="1" t="s">
        <v>12556</v>
      </c>
      <c r="D17" s="1" t="s">
        <v>12558</v>
      </c>
      <c r="E17" s="1" t="s">
        <v>12559</v>
      </c>
      <c r="F17" s="1" t="s">
        <v>12561</v>
      </c>
    </row>
    <row r="18">
      <c r="A18" s="1" t="s">
        <v>12595</v>
      </c>
      <c r="B18" s="1" t="s">
        <v>2038</v>
      </c>
      <c r="C18" s="1" t="s">
        <v>12597</v>
      </c>
      <c r="D18" s="1" t="s">
        <v>485</v>
      </c>
      <c r="E18" s="1" t="s">
        <v>12600</v>
      </c>
      <c r="F18" s="1" t="s">
        <v>12552</v>
      </c>
    </row>
    <row r="19">
      <c r="A19" s="1" t="s">
        <v>12657</v>
      </c>
      <c r="B19" s="1" t="s">
        <v>2073</v>
      </c>
      <c r="C19" s="1" t="s">
        <v>12660</v>
      </c>
      <c r="D19" s="1" t="s">
        <v>12661</v>
      </c>
      <c r="E19" s="1" t="s">
        <v>12663</v>
      </c>
      <c r="F19" s="1" t="s">
        <v>89</v>
      </c>
    </row>
    <row r="20">
      <c r="A20" s="1" t="s">
        <v>12652</v>
      </c>
      <c r="B20" s="1" t="s">
        <v>2073</v>
      </c>
      <c r="C20" s="1" t="s">
        <v>12654</v>
      </c>
      <c r="D20" s="1" t="s">
        <v>12655</v>
      </c>
      <c r="E20" s="1" t="s">
        <v>12656</v>
      </c>
      <c r="F20" s="1" t="s">
        <v>89</v>
      </c>
    </row>
    <row r="21">
      <c r="A21" s="1" t="s">
        <v>12644</v>
      </c>
      <c r="B21" s="1" t="s">
        <v>2073</v>
      </c>
      <c r="C21" s="1" t="s">
        <v>12645</v>
      </c>
      <c r="D21" s="1" t="s">
        <v>12647</v>
      </c>
      <c r="E21" s="1" t="s">
        <v>12649</v>
      </c>
      <c r="F21" s="1" t="s">
        <v>89</v>
      </c>
    </row>
    <row r="22">
      <c r="A22" s="1" t="s">
        <v>12621</v>
      </c>
      <c r="B22" s="1" t="s">
        <v>2073</v>
      </c>
      <c r="C22" s="1" t="s">
        <v>12622</v>
      </c>
      <c r="D22" s="1" t="s">
        <v>2635</v>
      </c>
      <c r="E22" s="1" t="s">
        <v>12623</v>
      </c>
      <c r="F22" s="1" t="s">
        <v>12552</v>
      </c>
    </row>
    <row r="23">
      <c r="A23" s="1" t="s">
        <v>12637</v>
      </c>
      <c r="B23" s="1" t="s">
        <v>2073</v>
      </c>
      <c r="C23" s="1" t="s">
        <v>12639</v>
      </c>
      <c r="D23" s="1" t="s">
        <v>12641</v>
      </c>
      <c r="E23" s="1" t="s">
        <v>12642</v>
      </c>
      <c r="F23" s="1" t="s">
        <v>45</v>
      </c>
    </row>
    <row r="24">
      <c r="A24" s="1" t="s">
        <v>12632</v>
      </c>
      <c r="B24" s="1" t="s">
        <v>2073</v>
      </c>
      <c r="C24" s="1" t="s">
        <v>12633</v>
      </c>
      <c r="D24" s="1" t="s">
        <v>12634</v>
      </c>
      <c r="E24" s="1" t="s">
        <v>12635</v>
      </c>
      <c r="F24" s="1" t="s">
        <v>12561</v>
      </c>
    </row>
    <row r="25">
      <c r="A25" s="1" t="s">
        <v>12624</v>
      </c>
      <c r="B25" s="1" t="s">
        <v>2073</v>
      </c>
      <c r="C25" s="1" t="s">
        <v>12626</v>
      </c>
      <c r="D25" s="1" t="s">
        <v>11803</v>
      </c>
      <c r="E25" s="1" t="s">
        <v>12628</v>
      </c>
      <c r="F25" s="1" t="s">
        <v>12580</v>
      </c>
    </row>
    <row r="26">
      <c r="A26" s="1" t="s">
        <v>12614</v>
      </c>
      <c r="B26" s="1" t="s">
        <v>2073</v>
      </c>
      <c r="C26" s="1" t="s">
        <v>12616</v>
      </c>
      <c r="D26" s="1" t="s">
        <v>12618</v>
      </c>
      <c r="E26" s="1" t="s">
        <v>12619</v>
      </c>
      <c r="F26" s="1" t="s">
        <v>89</v>
      </c>
    </row>
    <row r="27">
      <c r="A27" s="1" t="s">
        <v>12606</v>
      </c>
      <c r="B27" s="1" t="s">
        <v>2073</v>
      </c>
      <c r="C27" s="1" t="s">
        <v>12607</v>
      </c>
      <c r="D27" s="1" t="s">
        <v>12609</v>
      </c>
      <c r="E27" s="1" t="s">
        <v>12611</v>
      </c>
      <c r="F27" s="1" t="s">
        <v>89</v>
      </c>
    </row>
    <row r="28">
      <c r="A28" s="1" t="s">
        <v>12673</v>
      </c>
      <c r="B28" s="1" t="s">
        <v>2079</v>
      </c>
      <c r="C28" s="1" t="s">
        <v>12667</v>
      </c>
      <c r="D28" s="1" t="s">
        <v>12668</v>
      </c>
      <c r="E28" s="1" t="s">
        <v>12671</v>
      </c>
      <c r="F28" s="1" t="s">
        <v>89</v>
      </c>
    </row>
    <row r="29">
      <c r="A29" s="1" t="s">
        <v>12677</v>
      </c>
      <c r="B29" s="1" t="s">
        <v>2079</v>
      </c>
      <c r="C29" s="1" t="s">
        <v>12678</v>
      </c>
      <c r="D29" s="1" t="s">
        <v>1262</v>
      </c>
      <c r="E29" s="1" t="s">
        <v>12679</v>
      </c>
      <c r="F29" s="1" t="s">
        <v>12552</v>
      </c>
    </row>
    <row r="30">
      <c r="A30" s="1" t="s">
        <v>12665</v>
      </c>
      <c r="B30" s="1" t="s">
        <v>2079</v>
      </c>
      <c r="C30" s="1" t="s">
        <v>12667</v>
      </c>
      <c r="D30" s="1" t="s">
        <v>12668</v>
      </c>
      <c r="E30" s="1" t="s">
        <v>12671</v>
      </c>
      <c r="F30" s="1" t="s">
        <v>45</v>
      </c>
    </row>
    <row r="31">
      <c r="A31" s="1" t="s">
        <v>12681</v>
      </c>
      <c r="B31" s="1" t="s">
        <v>2079</v>
      </c>
      <c r="C31" s="1" t="s">
        <v>12584</v>
      </c>
      <c r="D31" s="1" t="s">
        <v>12585</v>
      </c>
      <c r="E31" s="1" t="s">
        <v>12587</v>
      </c>
      <c r="F31" s="1" t="s">
        <v>12561</v>
      </c>
    </row>
    <row r="32">
      <c r="A32" s="1" t="s">
        <v>12683</v>
      </c>
      <c r="B32" s="1" t="s">
        <v>1495</v>
      </c>
      <c r="C32" s="1" t="s">
        <v>12684</v>
      </c>
      <c r="D32" s="1" t="s">
        <v>12685</v>
      </c>
      <c r="E32" s="1" t="s">
        <v>12686</v>
      </c>
      <c r="F32" s="1" t="s">
        <v>45</v>
      </c>
    </row>
    <row r="33">
      <c r="A33" s="1" t="s">
        <v>12693</v>
      </c>
      <c r="B33" s="1" t="s">
        <v>1495</v>
      </c>
      <c r="C33" s="1" t="s">
        <v>12696</v>
      </c>
      <c r="D33" s="1" t="s">
        <v>1501</v>
      </c>
      <c r="E33" s="1" t="s">
        <v>12697</v>
      </c>
      <c r="F33" s="1" t="s">
        <v>12552</v>
      </c>
    </row>
    <row r="34">
      <c r="A34" s="1" t="s">
        <v>12698</v>
      </c>
      <c r="B34" s="1" t="s">
        <v>1495</v>
      </c>
      <c r="C34" s="1" t="s">
        <v>12699</v>
      </c>
      <c r="D34" s="1" t="s">
        <v>12700</v>
      </c>
      <c r="E34" s="1" t="s">
        <v>12702</v>
      </c>
      <c r="F34" s="1" t="s">
        <v>89</v>
      </c>
    </row>
    <row r="35">
      <c r="A35" s="1" t="s">
        <v>12688</v>
      </c>
      <c r="B35" s="1" t="s">
        <v>1495</v>
      </c>
      <c r="C35" s="1" t="s">
        <v>12689</v>
      </c>
      <c r="D35" s="1" t="s">
        <v>12690</v>
      </c>
      <c r="E35" s="1" t="s">
        <v>12691</v>
      </c>
      <c r="F35" s="1" t="s">
        <v>12561</v>
      </c>
    </row>
    <row r="36">
      <c r="A36" s="1" t="s">
        <v>12725</v>
      </c>
      <c r="B36" s="1" t="s">
        <v>2127</v>
      </c>
      <c r="C36" s="1" t="s">
        <v>12728</v>
      </c>
      <c r="D36" s="1" t="s">
        <v>12729</v>
      </c>
      <c r="E36" s="1" t="s">
        <v>12730</v>
      </c>
      <c r="F36" s="1" t="s">
        <v>12580</v>
      </c>
    </row>
    <row r="37">
      <c r="A37" s="1" t="s">
        <v>12733</v>
      </c>
      <c r="B37" s="1" t="s">
        <v>2127</v>
      </c>
      <c r="C37" s="1" t="s">
        <v>12735</v>
      </c>
      <c r="D37" s="1" t="s">
        <v>3864</v>
      </c>
      <c r="E37" s="1" t="s">
        <v>12736</v>
      </c>
      <c r="F37" s="1" t="s">
        <v>12552</v>
      </c>
    </row>
    <row r="38">
      <c r="A38" s="1" t="s">
        <v>12739</v>
      </c>
      <c r="B38" s="1" t="s">
        <v>2127</v>
      </c>
      <c r="C38" s="1" t="s">
        <v>12556</v>
      </c>
      <c r="D38" s="1" t="s">
        <v>12558</v>
      </c>
      <c r="E38" s="1" t="s">
        <v>12559</v>
      </c>
      <c r="F38" s="1" t="s">
        <v>12580</v>
      </c>
    </row>
    <row r="39">
      <c r="A39" s="1" t="s">
        <v>14607</v>
      </c>
      <c r="B39" s="1" t="s">
        <v>2141</v>
      </c>
      <c r="C39" s="1" t="s">
        <v>14608</v>
      </c>
      <c r="D39" s="1" t="s">
        <v>14609</v>
      </c>
      <c r="E39" s="1" t="s">
        <v>14610</v>
      </c>
      <c r="F39" s="1" t="s">
        <v>45</v>
      </c>
    </row>
    <row r="40">
      <c r="A40" s="1" t="s">
        <v>14611</v>
      </c>
      <c r="B40" s="1" t="s">
        <v>2141</v>
      </c>
      <c r="C40" s="1" t="s">
        <v>14612</v>
      </c>
      <c r="D40" s="1" t="s">
        <v>14613</v>
      </c>
      <c r="E40" s="1" t="s">
        <v>14614</v>
      </c>
      <c r="F40" s="1" t="s">
        <v>89</v>
      </c>
    </row>
    <row r="41">
      <c r="A41" s="1" t="s">
        <v>12759</v>
      </c>
      <c r="B41" s="1" t="s">
        <v>2150</v>
      </c>
      <c r="C41" s="1" t="s">
        <v>12761</v>
      </c>
      <c r="D41" s="1" t="s">
        <v>3369</v>
      </c>
      <c r="E41" s="1" t="s">
        <v>12763</v>
      </c>
      <c r="F41" s="1" t="s">
        <v>12552</v>
      </c>
    </row>
    <row r="42">
      <c r="A42" s="1" t="s">
        <v>12744</v>
      </c>
      <c r="B42" s="1" t="s">
        <v>2150</v>
      </c>
      <c r="C42" s="1" t="s">
        <v>12745</v>
      </c>
      <c r="D42" s="1" t="s">
        <v>12746</v>
      </c>
      <c r="E42" s="1" t="s">
        <v>12747</v>
      </c>
      <c r="F42" s="1" t="s">
        <v>89</v>
      </c>
    </row>
    <row r="43">
      <c r="A43" s="1" t="s">
        <v>12750</v>
      </c>
      <c r="B43" s="1" t="s">
        <v>2150</v>
      </c>
      <c r="C43" s="1" t="s">
        <v>12751</v>
      </c>
      <c r="D43" s="1" t="s">
        <v>12753</v>
      </c>
      <c r="E43" s="1" t="s">
        <v>12754</v>
      </c>
      <c r="F43" s="1" t="s">
        <v>12561</v>
      </c>
    </row>
    <row r="44">
      <c r="A44" s="1" t="s">
        <v>12757</v>
      </c>
      <c r="B44" s="1" t="s">
        <v>2150</v>
      </c>
      <c r="C44" s="1" t="s">
        <v>12745</v>
      </c>
      <c r="D44" s="1" t="s">
        <v>12746</v>
      </c>
      <c r="E44" s="1" t="s">
        <v>12747</v>
      </c>
      <c r="F44" s="1" t="s">
        <v>45</v>
      </c>
    </row>
    <row r="45">
      <c r="A45" s="1" t="s">
        <v>12771</v>
      </c>
      <c r="B45" s="1" t="s">
        <v>2155</v>
      </c>
      <c r="C45" s="1" t="s">
        <v>12772</v>
      </c>
      <c r="D45" s="1" t="s">
        <v>12774</v>
      </c>
      <c r="E45" s="1" t="s">
        <v>12775</v>
      </c>
      <c r="F45" s="1" t="s">
        <v>45</v>
      </c>
    </row>
    <row r="46">
      <c r="A46" s="1" t="s">
        <v>12765</v>
      </c>
      <c r="B46" s="1" t="s">
        <v>2155</v>
      </c>
      <c r="C46" s="1" t="s">
        <v>12767</v>
      </c>
      <c r="D46" s="1" t="s">
        <v>12768</v>
      </c>
      <c r="E46" s="1" t="s">
        <v>12769</v>
      </c>
      <c r="F46" s="1" t="s">
        <v>89</v>
      </c>
    </row>
    <row r="47">
      <c r="A47" s="1" t="s">
        <v>12776</v>
      </c>
      <c r="B47" s="1" t="s">
        <v>2155</v>
      </c>
      <c r="C47" s="1" t="s">
        <v>12777</v>
      </c>
      <c r="D47" s="1" t="s">
        <v>3561</v>
      </c>
      <c r="E47" s="1" t="s">
        <v>12779</v>
      </c>
      <c r="F47" s="1" t="s">
        <v>12552</v>
      </c>
    </row>
    <row r="48">
      <c r="A48" s="1" t="s">
        <v>12798</v>
      </c>
      <c r="B48" s="1" t="s">
        <v>2168</v>
      </c>
      <c r="C48" s="1" t="s">
        <v>12799</v>
      </c>
      <c r="D48" s="1" t="s">
        <v>12800</v>
      </c>
      <c r="E48" s="1" t="s">
        <v>12801</v>
      </c>
      <c r="F48" s="1" t="s">
        <v>89</v>
      </c>
    </row>
    <row r="49">
      <c r="A49" s="1" t="s">
        <v>12802</v>
      </c>
      <c r="B49" s="1" t="s">
        <v>2168</v>
      </c>
      <c r="C49" s="1" t="s">
        <v>12804</v>
      </c>
      <c r="D49" s="1" t="s">
        <v>12805</v>
      </c>
      <c r="E49" s="1" t="s">
        <v>12806</v>
      </c>
      <c r="F49" s="1" t="s">
        <v>45</v>
      </c>
    </row>
    <row r="50">
      <c r="A50" s="1" t="s">
        <v>12847</v>
      </c>
      <c r="B50" s="1" t="s">
        <v>2186</v>
      </c>
      <c r="C50" s="1" t="s">
        <v>12848</v>
      </c>
      <c r="D50" s="1" t="s">
        <v>1733</v>
      </c>
      <c r="E50" s="1" t="s">
        <v>12849</v>
      </c>
      <c r="F50" s="1" t="s">
        <v>12552</v>
      </c>
    </row>
    <row r="51">
      <c r="A51" s="1" t="s">
        <v>12836</v>
      </c>
      <c r="B51" s="1" t="s">
        <v>2186</v>
      </c>
      <c r="C51" s="1" t="s">
        <v>12556</v>
      </c>
      <c r="D51" s="1" t="s">
        <v>12558</v>
      </c>
      <c r="E51" s="1" t="s">
        <v>12559</v>
      </c>
      <c r="F51" s="1" t="s">
        <v>12561</v>
      </c>
    </row>
    <row r="52">
      <c r="A52" s="1" t="s">
        <v>12840</v>
      </c>
      <c r="B52" s="1" t="s">
        <v>2186</v>
      </c>
      <c r="C52" s="1" t="s">
        <v>12841</v>
      </c>
      <c r="D52" s="1" t="s">
        <v>12842</v>
      </c>
      <c r="E52" s="1" t="s">
        <v>12843</v>
      </c>
      <c r="F52" s="1" t="s">
        <v>45</v>
      </c>
    </row>
    <row r="53">
      <c r="A53" s="1" t="s">
        <v>12839</v>
      </c>
      <c r="B53" s="1" t="s">
        <v>2186</v>
      </c>
      <c r="C53" s="1" t="s">
        <v>12716</v>
      </c>
      <c r="D53" s="1" t="s">
        <v>1792</v>
      </c>
      <c r="E53" s="1" t="s">
        <v>12719</v>
      </c>
      <c r="F53" s="1" t="s">
        <v>12552</v>
      </c>
    </row>
    <row r="54">
      <c r="A54" s="1" t="s">
        <v>12831</v>
      </c>
      <c r="B54" s="1" t="s">
        <v>2186</v>
      </c>
      <c r="C54" s="1" t="s">
        <v>12833</v>
      </c>
      <c r="D54" s="1" t="s">
        <v>12834</v>
      </c>
      <c r="E54" s="1" t="s">
        <v>12835</v>
      </c>
      <c r="F54" s="1" t="s">
        <v>12561</v>
      </c>
    </row>
    <row r="55">
      <c r="A55" s="1" t="s">
        <v>12845</v>
      </c>
      <c r="B55" s="1" t="s">
        <v>2186</v>
      </c>
      <c r="C55" s="1" t="s">
        <v>12841</v>
      </c>
      <c r="D55" s="1" t="s">
        <v>12842</v>
      </c>
      <c r="E55" s="1" t="s">
        <v>12843</v>
      </c>
      <c r="F55" s="1" t="s">
        <v>89</v>
      </c>
    </row>
    <row r="56">
      <c r="A56" s="1" t="s">
        <v>12857</v>
      </c>
      <c r="B56" s="1" t="s">
        <v>2081</v>
      </c>
      <c r="C56" s="1" t="s">
        <v>12859</v>
      </c>
      <c r="D56" s="1" t="s">
        <v>803</v>
      </c>
      <c r="E56" s="1" t="s">
        <v>12860</v>
      </c>
      <c r="F56" s="1" t="s">
        <v>12552</v>
      </c>
    </row>
    <row r="57">
      <c r="A57" s="1" t="s">
        <v>12855</v>
      </c>
      <c r="B57" s="1" t="s">
        <v>2081</v>
      </c>
      <c r="C57" s="1" t="s">
        <v>12851</v>
      </c>
      <c r="D57" s="1" t="s">
        <v>12852</v>
      </c>
      <c r="E57" s="1" t="s">
        <v>12853</v>
      </c>
      <c r="F57" s="1" t="s">
        <v>89</v>
      </c>
    </row>
    <row r="58">
      <c r="A58" s="1" t="s">
        <v>12850</v>
      </c>
      <c r="B58" s="1" t="s">
        <v>2081</v>
      </c>
      <c r="C58" s="1" t="s">
        <v>12851</v>
      </c>
      <c r="D58" s="1" t="s">
        <v>12852</v>
      </c>
      <c r="E58" s="1" t="s">
        <v>12853</v>
      </c>
      <c r="F58" s="1" t="s">
        <v>45</v>
      </c>
    </row>
    <row r="59">
      <c r="A59" s="1" t="s">
        <v>12864</v>
      </c>
      <c r="B59" s="1" t="s">
        <v>3331</v>
      </c>
      <c r="C59" s="1" t="s">
        <v>12556</v>
      </c>
      <c r="D59" s="1" t="s">
        <v>12558</v>
      </c>
      <c r="E59" s="1" t="s">
        <v>12559</v>
      </c>
      <c r="F59" s="1" t="s">
        <v>12561</v>
      </c>
    </row>
    <row r="60">
      <c r="A60" s="1" t="s">
        <v>12861</v>
      </c>
      <c r="B60" s="1" t="s">
        <v>3331</v>
      </c>
      <c r="C60" s="1" t="s">
        <v>12862</v>
      </c>
      <c r="D60" s="1" t="s">
        <v>2768</v>
      </c>
      <c r="E60" s="1" t="s">
        <v>12863</v>
      </c>
      <c r="F60" s="1" t="s">
        <v>12552</v>
      </c>
    </row>
    <row r="61">
      <c r="A61" s="1" t="s">
        <v>12872</v>
      </c>
      <c r="B61" s="1" t="s">
        <v>2239</v>
      </c>
      <c r="C61" s="1" t="s">
        <v>12873</v>
      </c>
      <c r="D61" s="1" t="s">
        <v>12874</v>
      </c>
      <c r="E61" s="1" t="s">
        <v>12875</v>
      </c>
      <c r="F61" s="1" t="s">
        <v>89</v>
      </c>
    </row>
    <row r="62">
      <c r="A62" s="1" t="s">
        <v>12866</v>
      </c>
      <c r="B62" s="1" t="s">
        <v>2239</v>
      </c>
      <c r="C62" s="1" t="s">
        <v>12867</v>
      </c>
      <c r="D62" s="1" t="s">
        <v>1786</v>
      </c>
      <c r="E62" s="1" t="s">
        <v>12868</v>
      </c>
      <c r="F62" s="1" t="s">
        <v>12552</v>
      </c>
    </row>
    <row r="63">
      <c r="A63" s="1" t="s">
        <v>12876</v>
      </c>
      <c r="B63" s="1" t="s">
        <v>2239</v>
      </c>
      <c r="C63" s="1" t="s">
        <v>12878</v>
      </c>
      <c r="D63" s="1" t="s">
        <v>12879</v>
      </c>
      <c r="E63" s="1" t="s">
        <v>12880</v>
      </c>
      <c r="F63" s="1" t="s">
        <v>45</v>
      </c>
    </row>
    <row r="64">
      <c r="A64" s="1" t="s">
        <v>12871</v>
      </c>
      <c r="B64" s="1" t="s">
        <v>2239</v>
      </c>
      <c r="C64" s="1" t="s">
        <v>12817</v>
      </c>
      <c r="D64" s="1" t="s">
        <v>12819</v>
      </c>
      <c r="E64" s="1" t="s">
        <v>12820</v>
      </c>
      <c r="F64" s="1" t="s">
        <v>12561</v>
      </c>
    </row>
    <row r="65">
      <c r="A65" s="1" t="s">
        <v>12882</v>
      </c>
      <c r="B65" s="1" t="s">
        <v>2247</v>
      </c>
      <c r="C65" s="1" t="s">
        <v>12883</v>
      </c>
      <c r="D65" s="1" t="s">
        <v>12884</v>
      </c>
      <c r="E65" s="1" t="s">
        <v>12885</v>
      </c>
      <c r="F65" s="1" t="s">
        <v>12561</v>
      </c>
    </row>
    <row r="66">
      <c r="A66" s="1" t="s">
        <v>12891</v>
      </c>
      <c r="B66" s="1" t="s">
        <v>2247</v>
      </c>
      <c r="C66" s="1" t="s">
        <v>12893</v>
      </c>
      <c r="D66" s="1" t="s">
        <v>12894</v>
      </c>
      <c r="E66" s="1" t="s">
        <v>12895</v>
      </c>
      <c r="F66" s="1" t="s">
        <v>89</v>
      </c>
    </row>
    <row r="67">
      <c r="A67" s="1" t="s">
        <v>12897</v>
      </c>
      <c r="B67" s="1" t="s">
        <v>2247</v>
      </c>
      <c r="C67" s="1" t="s">
        <v>12898</v>
      </c>
      <c r="D67" s="1" t="s">
        <v>3195</v>
      </c>
      <c r="E67" s="1" t="s">
        <v>12899</v>
      </c>
      <c r="F67" s="1" t="s">
        <v>12552</v>
      </c>
    </row>
    <row r="68">
      <c r="A68" s="1" t="s">
        <v>12886</v>
      </c>
      <c r="B68" s="1" t="s">
        <v>2247</v>
      </c>
      <c r="C68" s="1" t="s">
        <v>12887</v>
      </c>
      <c r="D68" s="1" t="s">
        <v>12888</v>
      </c>
      <c r="E68" s="1" t="s">
        <v>12889</v>
      </c>
      <c r="F68" s="1" t="s">
        <v>45</v>
      </c>
    </row>
    <row r="69">
      <c r="A69" s="1" t="s">
        <v>12912</v>
      </c>
      <c r="B69" s="1" t="s">
        <v>449</v>
      </c>
      <c r="C69" s="1" t="s">
        <v>12913</v>
      </c>
      <c r="D69" s="1" t="s">
        <v>462</v>
      </c>
      <c r="E69" s="1" t="s">
        <v>12914</v>
      </c>
      <c r="F69" s="1" t="s">
        <v>12552</v>
      </c>
    </row>
    <row r="70">
      <c r="A70" s="1" t="s">
        <v>12901</v>
      </c>
      <c r="B70" s="1" t="s">
        <v>449</v>
      </c>
      <c r="C70" s="1" t="s">
        <v>12902</v>
      </c>
      <c r="D70" s="1" t="s">
        <v>12904</v>
      </c>
      <c r="E70" s="1" t="s">
        <v>12905</v>
      </c>
      <c r="F70" s="1" t="s">
        <v>89</v>
      </c>
    </row>
    <row r="71">
      <c r="A71" s="1" t="s">
        <v>12900</v>
      </c>
      <c r="B71" s="1" t="s">
        <v>449</v>
      </c>
      <c r="C71" s="1" t="s">
        <v>12761</v>
      </c>
      <c r="D71" s="1" t="s">
        <v>3369</v>
      </c>
      <c r="E71" s="1" t="s">
        <v>12763</v>
      </c>
      <c r="F71" s="1" t="s">
        <v>12561</v>
      </c>
    </row>
    <row r="72">
      <c r="A72" s="1" t="s">
        <v>12906</v>
      </c>
      <c r="B72" s="1" t="s">
        <v>449</v>
      </c>
      <c r="C72" s="1" t="s">
        <v>12907</v>
      </c>
      <c r="D72" s="1" t="s">
        <v>12909</v>
      </c>
      <c r="E72" s="1" t="s">
        <v>12910</v>
      </c>
      <c r="F72" s="1" t="s">
        <v>45</v>
      </c>
    </row>
    <row r="73">
      <c r="A73" s="1" t="s">
        <v>12932</v>
      </c>
      <c r="B73" s="1" t="s">
        <v>2255</v>
      </c>
      <c r="C73" s="1" t="s">
        <v>12862</v>
      </c>
      <c r="D73" s="1" t="s">
        <v>2768</v>
      </c>
      <c r="E73" s="1" t="s">
        <v>12863</v>
      </c>
      <c r="F73" s="1" t="s">
        <v>12552</v>
      </c>
    </row>
    <row r="74">
      <c r="A74" s="1" t="s">
        <v>12928</v>
      </c>
      <c r="B74" s="1" t="s">
        <v>2255</v>
      </c>
      <c r="C74" s="1" t="s">
        <v>12929</v>
      </c>
      <c r="D74" s="1" t="s">
        <v>12930</v>
      </c>
      <c r="E74" s="1" t="s">
        <v>12931</v>
      </c>
      <c r="F74" s="1" t="s">
        <v>89</v>
      </c>
    </row>
    <row r="75">
      <c r="A75" s="1" t="s">
        <v>12924</v>
      </c>
      <c r="B75" s="1" t="s">
        <v>2255</v>
      </c>
      <c r="C75" s="1" t="s">
        <v>12925</v>
      </c>
      <c r="D75" s="1" t="s">
        <v>12926</v>
      </c>
      <c r="E75" s="1" t="s">
        <v>12927</v>
      </c>
      <c r="F75" s="1" t="s">
        <v>45</v>
      </c>
    </row>
    <row r="76">
      <c r="A76" s="1" t="s">
        <v>12915</v>
      </c>
      <c r="B76" s="1" t="s">
        <v>2255</v>
      </c>
      <c r="C76" s="1" t="s">
        <v>12916</v>
      </c>
      <c r="D76" s="1" t="s">
        <v>3329</v>
      </c>
      <c r="E76" s="1" t="s">
        <v>12917</v>
      </c>
      <c r="F76" s="1" t="s">
        <v>12580</v>
      </c>
    </row>
    <row r="77">
      <c r="A77" s="1" t="s">
        <v>12919</v>
      </c>
      <c r="B77" s="1" t="s">
        <v>2255</v>
      </c>
      <c r="C77" s="1" t="s">
        <v>12920</v>
      </c>
      <c r="D77" s="1" t="s">
        <v>12921</v>
      </c>
      <c r="E77" s="1" t="s">
        <v>12922</v>
      </c>
      <c r="F77" s="1" t="s">
        <v>12561</v>
      </c>
    </row>
    <row r="78">
      <c r="A78" s="1" t="s">
        <v>12935</v>
      </c>
      <c r="B78" s="1" t="s">
        <v>2262</v>
      </c>
      <c r="C78" s="1" t="s">
        <v>12937</v>
      </c>
      <c r="D78" s="1" t="s">
        <v>529</v>
      </c>
      <c r="E78" s="1" t="s">
        <v>12938</v>
      </c>
      <c r="F78" s="1" t="s">
        <v>12552</v>
      </c>
    </row>
    <row r="79">
      <c r="A79" s="1" t="s">
        <v>12954</v>
      </c>
      <c r="B79" s="1" t="s">
        <v>1781</v>
      </c>
      <c r="C79" s="1" t="s">
        <v>12955</v>
      </c>
      <c r="D79" s="1" t="s">
        <v>12957</v>
      </c>
      <c r="E79" s="1" t="s">
        <v>12958</v>
      </c>
      <c r="F79" s="1" t="s">
        <v>89</v>
      </c>
    </row>
    <row r="80">
      <c r="A80" s="1" t="s">
        <v>12939</v>
      </c>
      <c r="B80" s="1" t="s">
        <v>1781</v>
      </c>
      <c r="C80" s="1" t="s">
        <v>12940</v>
      </c>
      <c r="D80" s="1" t="s">
        <v>12941</v>
      </c>
      <c r="E80" s="1" t="s">
        <v>12942</v>
      </c>
      <c r="F80" s="1" t="s">
        <v>89</v>
      </c>
    </row>
    <row r="81">
      <c r="A81" s="1" t="s">
        <v>12943</v>
      </c>
      <c r="B81" s="1" t="s">
        <v>1781</v>
      </c>
      <c r="C81" s="1" t="s">
        <v>12867</v>
      </c>
      <c r="D81" s="1" t="s">
        <v>1786</v>
      </c>
      <c r="E81" s="1" t="s">
        <v>12868</v>
      </c>
      <c r="F81" s="1" t="s">
        <v>12552</v>
      </c>
    </row>
    <row r="82">
      <c r="A82" s="1" t="s">
        <v>12945</v>
      </c>
      <c r="B82" s="1" t="s">
        <v>1781</v>
      </c>
      <c r="C82" s="1" t="s">
        <v>12946</v>
      </c>
      <c r="D82" s="1" t="s">
        <v>12947</v>
      </c>
      <c r="E82" s="1" t="s">
        <v>12948</v>
      </c>
      <c r="F82" s="1" t="s">
        <v>12561</v>
      </c>
    </row>
    <row r="83">
      <c r="A83" s="1" t="s">
        <v>12949</v>
      </c>
      <c r="B83" s="1" t="s">
        <v>1781</v>
      </c>
      <c r="C83" s="1" t="s">
        <v>12951</v>
      </c>
      <c r="D83" s="1" t="s">
        <v>12952</v>
      </c>
      <c r="E83" s="1" t="s">
        <v>12953</v>
      </c>
      <c r="F83" s="1" t="s">
        <v>45</v>
      </c>
    </row>
    <row r="84">
      <c r="A84" s="1" t="s">
        <v>12962</v>
      </c>
      <c r="B84" s="1" t="s">
        <v>590</v>
      </c>
      <c r="C84" s="1" t="s">
        <v>12963</v>
      </c>
      <c r="D84" s="1" t="s">
        <v>12964</v>
      </c>
      <c r="E84" s="1" t="s">
        <v>12965</v>
      </c>
      <c r="F84" s="1" t="s">
        <v>45</v>
      </c>
    </row>
    <row r="85">
      <c r="A85" s="1" t="s">
        <v>12959</v>
      </c>
      <c r="B85" s="1" t="s">
        <v>590</v>
      </c>
      <c r="C85" s="1" t="s">
        <v>12960</v>
      </c>
      <c r="D85" s="1" t="s">
        <v>596</v>
      </c>
      <c r="E85" s="1" t="s">
        <v>12961</v>
      </c>
      <c r="F85" s="1" t="s">
        <v>12552</v>
      </c>
    </row>
    <row r="86">
      <c r="A86" s="1" t="s">
        <v>12979</v>
      </c>
      <c r="B86" s="1" t="s">
        <v>1139</v>
      </c>
      <c r="C86" s="1" t="s">
        <v>12980</v>
      </c>
      <c r="D86" s="1" t="s">
        <v>12981</v>
      </c>
      <c r="E86" s="1" t="s">
        <v>12982</v>
      </c>
      <c r="F86" s="1" t="s">
        <v>89</v>
      </c>
    </row>
    <row r="87">
      <c r="A87" s="1" t="s">
        <v>12966</v>
      </c>
      <c r="B87" s="1" t="s">
        <v>1139</v>
      </c>
      <c r="C87" s="1" t="s">
        <v>12968</v>
      </c>
      <c r="D87" s="1" t="s">
        <v>1149</v>
      </c>
      <c r="E87" s="1" t="s">
        <v>12969</v>
      </c>
      <c r="F87" s="1" t="s">
        <v>12552</v>
      </c>
    </row>
    <row r="88">
      <c r="A88" s="1" t="s">
        <v>12970</v>
      </c>
      <c r="B88" s="1" t="s">
        <v>1139</v>
      </c>
      <c r="C88" s="1" t="s">
        <v>12971</v>
      </c>
      <c r="D88" s="1" t="s">
        <v>12973</v>
      </c>
      <c r="E88" s="1" t="s">
        <v>12974</v>
      </c>
      <c r="F88" s="1" t="s">
        <v>45</v>
      </c>
    </row>
    <row r="89">
      <c r="A89" s="1" t="s">
        <v>12975</v>
      </c>
      <c r="B89" s="1" t="s">
        <v>1139</v>
      </c>
      <c r="C89" s="1" t="s">
        <v>12976</v>
      </c>
      <c r="D89" s="1" t="s">
        <v>12977</v>
      </c>
      <c r="E89" s="1" t="s">
        <v>12978</v>
      </c>
      <c r="F89" s="1" t="s">
        <v>12561</v>
      </c>
    </row>
    <row r="90">
      <c r="A90" s="1" t="s">
        <v>12991</v>
      </c>
      <c r="B90" s="1" t="s">
        <v>2290</v>
      </c>
      <c r="C90" s="1" t="s">
        <v>12992</v>
      </c>
      <c r="D90" s="1" t="s">
        <v>1058</v>
      </c>
      <c r="E90" s="1" t="s">
        <v>12993</v>
      </c>
      <c r="F90" s="1" t="s">
        <v>12552</v>
      </c>
    </row>
    <row r="91">
      <c r="A91" s="1" t="s">
        <v>12989</v>
      </c>
      <c r="B91" s="1" t="s">
        <v>2290</v>
      </c>
      <c r="C91" s="1" t="s">
        <v>12824</v>
      </c>
      <c r="D91" s="1" t="s">
        <v>12825</v>
      </c>
      <c r="E91" s="1" t="s">
        <v>12826</v>
      </c>
      <c r="F91" s="1" t="s">
        <v>12552</v>
      </c>
    </row>
    <row r="92">
      <c r="A92" s="1" t="s">
        <v>13003</v>
      </c>
      <c r="B92" s="1" t="s">
        <v>2290</v>
      </c>
      <c r="C92" s="1" t="s">
        <v>13004</v>
      </c>
      <c r="D92" s="1" t="s">
        <v>13005</v>
      </c>
      <c r="E92" s="1" t="s">
        <v>13006</v>
      </c>
      <c r="F92" s="1" t="s">
        <v>12552</v>
      </c>
    </row>
    <row r="93">
      <c r="A93" s="1" t="s">
        <v>12999</v>
      </c>
      <c r="B93" s="1" t="s">
        <v>2290</v>
      </c>
      <c r="C93" s="1" t="s">
        <v>13000</v>
      </c>
      <c r="D93" s="1" t="s">
        <v>3757</v>
      </c>
      <c r="E93" s="1" t="s">
        <v>13001</v>
      </c>
      <c r="F93" s="1" t="s">
        <v>12580</v>
      </c>
    </row>
    <row r="94">
      <c r="A94" s="1" t="s">
        <v>12994</v>
      </c>
      <c r="B94" s="1" t="s">
        <v>2290</v>
      </c>
      <c r="C94" s="1" t="s">
        <v>12995</v>
      </c>
      <c r="D94" s="1" t="s">
        <v>12996</v>
      </c>
      <c r="E94" s="1" t="s">
        <v>12997</v>
      </c>
      <c r="F94" s="1" t="s">
        <v>45</v>
      </c>
    </row>
    <row r="95">
      <c r="A95" s="1" t="s">
        <v>13007</v>
      </c>
      <c r="B95" s="1" t="s">
        <v>2290</v>
      </c>
      <c r="C95" s="1" t="s">
        <v>12817</v>
      </c>
      <c r="D95" s="1" t="s">
        <v>12819</v>
      </c>
      <c r="E95" s="1" t="s">
        <v>12820</v>
      </c>
      <c r="F95" s="1" t="s">
        <v>12561</v>
      </c>
    </row>
    <row r="96">
      <c r="A96" s="1" t="s">
        <v>12984</v>
      </c>
      <c r="B96" s="1" t="s">
        <v>2290</v>
      </c>
      <c r="C96" s="1" t="s">
        <v>12985</v>
      </c>
      <c r="D96" s="1" t="s">
        <v>12986</v>
      </c>
      <c r="E96" s="1" t="s">
        <v>12987</v>
      </c>
      <c r="F96" s="1" t="s">
        <v>45</v>
      </c>
    </row>
    <row r="97">
      <c r="A97" s="1" t="s">
        <v>13009</v>
      </c>
      <c r="B97" s="1" t="s">
        <v>2290</v>
      </c>
      <c r="C97" s="1" t="s">
        <v>13010</v>
      </c>
      <c r="D97" s="1" t="s">
        <v>13011</v>
      </c>
      <c r="E97" s="1" t="s">
        <v>13012</v>
      </c>
      <c r="F97" s="1" t="s">
        <v>89</v>
      </c>
    </row>
    <row r="98">
      <c r="A98" s="1" t="s">
        <v>13019</v>
      </c>
      <c r="B98" s="1" t="s">
        <v>2294</v>
      </c>
      <c r="C98" s="1" t="s">
        <v>12556</v>
      </c>
      <c r="D98" s="1" t="s">
        <v>12558</v>
      </c>
      <c r="E98" s="1" t="s">
        <v>12559</v>
      </c>
      <c r="F98" s="1" t="s">
        <v>12561</v>
      </c>
    </row>
    <row r="99">
      <c r="A99" s="1" t="s">
        <v>13022</v>
      </c>
      <c r="B99" s="1" t="s">
        <v>2294</v>
      </c>
      <c r="C99" s="1" t="s">
        <v>13023</v>
      </c>
      <c r="D99" s="1" t="s">
        <v>1591</v>
      </c>
      <c r="E99" s="1" t="s">
        <v>13024</v>
      </c>
      <c r="F99" s="1" t="s">
        <v>12552</v>
      </c>
    </row>
    <row r="100">
      <c r="A100" s="1" t="s">
        <v>13026</v>
      </c>
      <c r="B100" s="1" t="s">
        <v>2294</v>
      </c>
      <c r="C100" s="1" t="s">
        <v>13027</v>
      </c>
      <c r="D100" s="1" t="s">
        <v>13028</v>
      </c>
      <c r="E100" s="1" t="s">
        <v>13029</v>
      </c>
      <c r="F100" s="1" t="s">
        <v>89</v>
      </c>
    </row>
    <row r="101">
      <c r="A101" s="1" t="s">
        <v>13013</v>
      </c>
      <c r="B101" s="1" t="s">
        <v>2294</v>
      </c>
      <c r="C101" s="1" t="s">
        <v>13014</v>
      </c>
      <c r="D101" s="1" t="s">
        <v>13015</v>
      </c>
      <c r="E101" s="1" t="s">
        <v>13017</v>
      </c>
      <c r="F101" s="1" t="s">
        <v>45</v>
      </c>
    </row>
    <row r="102">
      <c r="A102" s="1" t="s">
        <v>13037</v>
      </c>
      <c r="B102" s="1" t="s">
        <v>167</v>
      </c>
      <c r="C102" s="1" t="s">
        <v>12689</v>
      </c>
      <c r="D102" s="1" t="s">
        <v>12690</v>
      </c>
      <c r="E102" s="1" t="s">
        <v>12691</v>
      </c>
      <c r="F102" s="1" t="s">
        <v>12561</v>
      </c>
    </row>
    <row r="103">
      <c r="A103" s="1" t="s">
        <v>13040</v>
      </c>
      <c r="B103" s="1" t="s">
        <v>167</v>
      </c>
      <c r="C103" s="1" t="s">
        <v>13042</v>
      </c>
      <c r="D103" s="1" t="s">
        <v>13043</v>
      </c>
      <c r="E103" s="1" t="s">
        <v>13044</v>
      </c>
      <c r="F103" s="1" t="s">
        <v>12552</v>
      </c>
    </row>
    <row r="104">
      <c r="A104" s="1" t="s">
        <v>13034</v>
      </c>
      <c r="B104" s="1" t="s">
        <v>167</v>
      </c>
      <c r="C104" s="1" t="s">
        <v>13035</v>
      </c>
      <c r="D104" s="1" t="s">
        <v>186</v>
      </c>
      <c r="E104" s="1" t="s">
        <v>13036</v>
      </c>
      <c r="F104" s="1" t="s">
        <v>12552</v>
      </c>
    </row>
    <row r="105">
      <c r="A105" s="1" t="s">
        <v>13045</v>
      </c>
      <c r="B105" s="1" t="s">
        <v>478</v>
      </c>
      <c r="C105" s="1" t="s">
        <v>12597</v>
      </c>
      <c r="D105" s="1" t="s">
        <v>485</v>
      </c>
      <c r="E105" s="1" t="s">
        <v>12600</v>
      </c>
      <c r="F105" s="1" t="s">
        <v>12552</v>
      </c>
    </row>
    <row r="106">
      <c r="A106" s="1" t="s">
        <v>13046</v>
      </c>
      <c r="B106" s="1" t="s">
        <v>1256</v>
      </c>
      <c r="C106" s="1" t="s">
        <v>12859</v>
      </c>
      <c r="D106" s="1" t="s">
        <v>803</v>
      </c>
      <c r="E106" s="1" t="s">
        <v>12860</v>
      </c>
      <c r="F106" s="1" t="s">
        <v>12580</v>
      </c>
    </row>
    <row r="107">
      <c r="A107" s="1" t="s">
        <v>13048</v>
      </c>
      <c r="B107" s="1" t="s">
        <v>1256</v>
      </c>
      <c r="C107" s="1" t="s">
        <v>12584</v>
      </c>
      <c r="D107" s="1" t="s">
        <v>12585</v>
      </c>
      <c r="E107" s="1" t="s">
        <v>12587</v>
      </c>
      <c r="F107" s="1" t="s">
        <v>12561</v>
      </c>
    </row>
    <row r="108">
      <c r="A108" s="1" t="s">
        <v>13058</v>
      </c>
      <c r="B108" s="1" t="s">
        <v>1256</v>
      </c>
      <c r="C108" s="1" t="s">
        <v>12678</v>
      </c>
      <c r="D108" s="1" t="s">
        <v>1262</v>
      </c>
      <c r="E108" s="1" t="s">
        <v>12679</v>
      </c>
      <c r="F108" s="1" t="s">
        <v>12552</v>
      </c>
    </row>
    <row r="109">
      <c r="A109" s="1" t="s">
        <v>13050</v>
      </c>
      <c r="B109" s="1" t="s">
        <v>1256</v>
      </c>
      <c r="C109" s="1" t="s">
        <v>13051</v>
      </c>
      <c r="D109" s="1" t="s">
        <v>13052</v>
      </c>
      <c r="E109" s="1" t="s">
        <v>13054</v>
      </c>
      <c r="F109" s="1" t="s">
        <v>89</v>
      </c>
    </row>
    <row r="110">
      <c r="A110" s="1" t="s">
        <v>13055</v>
      </c>
      <c r="B110" s="1" t="s">
        <v>1256</v>
      </c>
      <c r="C110" s="1" t="s">
        <v>13051</v>
      </c>
      <c r="D110" s="1" t="s">
        <v>13052</v>
      </c>
      <c r="E110" s="1" t="s">
        <v>13054</v>
      </c>
      <c r="F110" s="1" t="s">
        <v>45</v>
      </c>
    </row>
    <row r="111">
      <c r="A111" s="1" t="s">
        <v>13085</v>
      </c>
      <c r="B111" s="1" t="s">
        <v>583</v>
      </c>
      <c r="C111" s="1" t="s">
        <v>13086</v>
      </c>
      <c r="D111" s="1" t="s">
        <v>588</v>
      </c>
      <c r="E111" s="1" t="s">
        <v>13087</v>
      </c>
      <c r="F111" s="1" t="s">
        <v>12552</v>
      </c>
    </row>
    <row r="112">
      <c r="A112" s="1" t="s">
        <v>13084</v>
      </c>
      <c r="B112" s="1" t="s">
        <v>583</v>
      </c>
      <c r="C112" s="1" t="s">
        <v>12862</v>
      </c>
      <c r="D112" s="1" t="s">
        <v>2768</v>
      </c>
      <c r="E112" s="1" t="s">
        <v>12863</v>
      </c>
      <c r="F112" s="1" t="s">
        <v>12552</v>
      </c>
    </row>
    <row r="113">
      <c r="A113" s="1" t="s">
        <v>13090</v>
      </c>
      <c r="B113" s="1" t="s">
        <v>790</v>
      </c>
      <c r="C113" s="1" t="s">
        <v>12859</v>
      </c>
      <c r="D113" s="1" t="s">
        <v>803</v>
      </c>
      <c r="E113" s="1" t="s">
        <v>12860</v>
      </c>
      <c r="F113" s="1" t="s">
        <v>12552</v>
      </c>
    </row>
    <row r="114">
      <c r="A114" s="1" t="s">
        <v>13094</v>
      </c>
      <c r="B114" s="1" t="s">
        <v>827</v>
      </c>
      <c r="C114" s="1" t="s">
        <v>12597</v>
      </c>
      <c r="D114" s="1" t="s">
        <v>485</v>
      </c>
      <c r="E114" s="1" t="s">
        <v>12600</v>
      </c>
      <c r="F114" s="1" t="s">
        <v>12552</v>
      </c>
    </row>
    <row r="115">
      <c r="A115" s="1" t="s">
        <v>13095</v>
      </c>
      <c r="B115" s="1" t="s">
        <v>2325</v>
      </c>
      <c r="C115" s="1" t="s">
        <v>12960</v>
      </c>
      <c r="D115" s="1" t="s">
        <v>596</v>
      </c>
      <c r="E115" s="1" t="s">
        <v>12961</v>
      </c>
      <c r="F115" s="1" t="s">
        <v>12552</v>
      </c>
    </row>
    <row r="116">
      <c r="A116" s="1" t="s">
        <v>13108</v>
      </c>
      <c r="B116" s="1" t="s">
        <v>2327</v>
      </c>
      <c r="C116" s="1" t="s">
        <v>13109</v>
      </c>
      <c r="D116" s="1" t="s">
        <v>13111</v>
      </c>
      <c r="E116" s="1" t="s">
        <v>13112</v>
      </c>
      <c r="F116" s="1" t="s">
        <v>45</v>
      </c>
    </row>
    <row r="117">
      <c r="A117" s="1" t="s">
        <v>13113</v>
      </c>
      <c r="B117" s="1" t="s">
        <v>2327</v>
      </c>
      <c r="C117" s="1" t="s">
        <v>12859</v>
      </c>
      <c r="D117" s="1" t="s">
        <v>803</v>
      </c>
      <c r="E117" s="1" t="s">
        <v>12860</v>
      </c>
      <c r="F117" s="1" t="s">
        <v>12561</v>
      </c>
    </row>
    <row r="118">
      <c r="A118" s="1" t="s">
        <v>13106</v>
      </c>
      <c r="B118" s="1" t="s">
        <v>2327</v>
      </c>
      <c r="C118" s="1" t="s">
        <v>12859</v>
      </c>
      <c r="D118" s="1" t="s">
        <v>803</v>
      </c>
      <c r="E118" s="1" t="s">
        <v>12860</v>
      </c>
      <c r="F118" s="1" t="s">
        <v>12552</v>
      </c>
    </row>
    <row r="119">
      <c r="A119" s="1" t="s">
        <v>13100</v>
      </c>
      <c r="B119" s="1" t="s">
        <v>2327</v>
      </c>
      <c r="C119" s="1" t="s">
        <v>12992</v>
      </c>
      <c r="D119" s="1" t="s">
        <v>1058</v>
      </c>
      <c r="E119" s="1" t="s">
        <v>12993</v>
      </c>
      <c r="F119" s="1" t="s">
        <v>12552</v>
      </c>
    </row>
    <row r="120">
      <c r="A120" s="1" t="s">
        <v>13101</v>
      </c>
      <c r="B120" s="1" t="s">
        <v>2327</v>
      </c>
      <c r="C120" s="1" t="s">
        <v>13103</v>
      </c>
      <c r="D120" s="1" t="s">
        <v>13104</v>
      </c>
      <c r="E120" s="1" t="s">
        <v>13105</v>
      </c>
      <c r="F120" s="1" t="s">
        <v>89</v>
      </c>
    </row>
    <row r="121">
      <c r="A121" s="1" t="s">
        <v>13099</v>
      </c>
      <c r="B121" s="1" t="s">
        <v>2327</v>
      </c>
      <c r="C121" s="1" t="s">
        <v>12597</v>
      </c>
      <c r="D121" s="1" t="s">
        <v>485</v>
      </c>
      <c r="E121" s="1" t="s">
        <v>12600</v>
      </c>
      <c r="F121" s="1" t="s">
        <v>12552</v>
      </c>
    </row>
    <row r="122">
      <c r="A122" s="1" t="s">
        <v>13127</v>
      </c>
      <c r="B122" s="1" t="s">
        <v>1021</v>
      </c>
      <c r="C122" s="1" t="s">
        <v>12604</v>
      </c>
      <c r="D122" s="1" t="s">
        <v>164</v>
      </c>
      <c r="E122" s="1" t="s">
        <v>12605</v>
      </c>
      <c r="F122" s="1" t="s">
        <v>12552</v>
      </c>
    </row>
    <row r="123">
      <c r="A123" s="1" t="s">
        <v>13120</v>
      </c>
      <c r="B123" s="1" t="s">
        <v>1021</v>
      </c>
      <c r="C123" s="1" t="s">
        <v>13121</v>
      </c>
      <c r="D123" s="1" t="s">
        <v>13122</v>
      </c>
      <c r="E123" s="1" t="s">
        <v>13123</v>
      </c>
      <c r="F123" s="1" t="s">
        <v>45</v>
      </c>
    </row>
    <row r="124">
      <c r="A124" s="1" t="s">
        <v>13126</v>
      </c>
      <c r="B124" s="1" t="s">
        <v>1021</v>
      </c>
      <c r="C124" s="1" t="s">
        <v>12604</v>
      </c>
      <c r="D124" s="1" t="s">
        <v>164</v>
      </c>
      <c r="E124" s="1" t="s">
        <v>12605</v>
      </c>
      <c r="F124" s="1" t="s">
        <v>12561</v>
      </c>
    </row>
    <row r="125">
      <c r="A125" s="1" t="s">
        <v>13114</v>
      </c>
      <c r="B125" s="1" t="s">
        <v>1021</v>
      </c>
      <c r="C125" s="1" t="s">
        <v>12604</v>
      </c>
      <c r="D125" s="1" t="s">
        <v>164</v>
      </c>
      <c r="E125" s="1" t="s">
        <v>12605</v>
      </c>
      <c r="F125" s="1" t="s">
        <v>12580</v>
      </c>
    </row>
    <row r="126">
      <c r="A126" s="1" t="s">
        <v>13115</v>
      </c>
      <c r="B126" s="1" t="s">
        <v>1021</v>
      </c>
      <c r="C126" s="1" t="s">
        <v>13116</v>
      </c>
      <c r="D126" s="1" t="s">
        <v>13117</v>
      </c>
      <c r="E126" s="1" t="s">
        <v>13118</v>
      </c>
      <c r="F126" s="1" t="s">
        <v>89</v>
      </c>
    </row>
    <row r="127">
      <c r="A127" s="1" t="s">
        <v>13128</v>
      </c>
      <c r="B127" s="1" t="s">
        <v>1473</v>
      </c>
      <c r="C127" s="1" t="s">
        <v>13130</v>
      </c>
      <c r="D127" s="1" t="s">
        <v>2077</v>
      </c>
      <c r="E127" s="1" t="s">
        <v>13131</v>
      </c>
      <c r="F127" s="1" t="s">
        <v>12580</v>
      </c>
    </row>
    <row r="128">
      <c r="A128" s="1" t="s">
        <v>13132</v>
      </c>
      <c r="B128" s="1" t="s">
        <v>1473</v>
      </c>
      <c r="C128" s="1" t="s">
        <v>12556</v>
      </c>
      <c r="D128" s="1" t="s">
        <v>12558</v>
      </c>
      <c r="E128" s="1" t="s">
        <v>12559</v>
      </c>
      <c r="F128" s="1" t="s">
        <v>12561</v>
      </c>
    </row>
    <row r="129">
      <c r="A129" s="1" t="s">
        <v>13142</v>
      </c>
      <c r="B129" s="1" t="s">
        <v>1582</v>
      </c>
      <c r="C129" s="1" t="s">
        <v>13138</v>
      </c>
      <c r="D129" s="1" t="s">
        <v>13139</v>
      </c>
      <c r="E129" s="1" t="s">
        <v>13141</v>
      </c>
      <c r="F129" s="1" t="s">
        <v>89</v>
      </c>
    </row>
    <row r="130">
      <c r="A130" s="1" t="s">
        <v>13136</v>
      </c>
      <c r="B130" s="1" t="s">
        <v>1582</v>
      </c>
      <c r="C130" s="1" t="s">
        <v>13138</v>
      </c>
      <c r="D130" s="1" t="s">
        <v>13139</v>
      </c>
      <c r="E130" s="1" t="s">
        <v>13141</v>
      </c>
      <c r="F130" s="1" t="s">
        <v>45</v>
      </c>
    </row>
    <row r="131">
      <c r="A131" s="1" t="s">
        <v>13144</v>
      </c>
      <c r="B131" s="1" t="s">
        <v>1582</v>
      </c>
      <c r="C131" s="1" t="s">
        <v>12556</v>
      </c>
      <c r="D131" s="1" t="s">
        <v>12558</v>
      </c>
      <c r="E131" s="1" t="s">
        <v>12559</v>
      </c>
      <c r="F131" s="1" t="s">
        <v>12561</v>
      </c>
    </row>
    <row r="132">
      <c r="A132" s="1" t="s">
        <v>13134</v>
      </c>
      <c r="B132" s="1" t="s">
        <v>1582</v>
      </c>
      <c r="C132" s="1" t="s">
        <v>13023</v>
      </c>
      <c r="D132" s="1" t="s">
        <v>1591</v>
      </c>
      <c r="E132" s="1" t="s">
        <v>13024</v>
      </c>
      <c r="F132" s="1" t="s">
        <v>12552</v>
      </c>
    </row>
    <row r="133">
      <c r="A133" s="1" t="s">
        <v>13146</v>
      </c>
      <c r="B133" s="1" t="s">
        <v>2337</v>
      </c>
      <c r="C133" s="1" t="s">
        <v>13147</v>
      </c>
      <c r="D133" s="1" t="s">
        <v>3022</v>
      </c>
      <c r="E133" s="1" t="s">
        <v>13148</v>
      </c>
      <c r="F133" s="1" t="s">
        <v>12552</v>
      </c>
    </row>
    <row r="134">
      <c r="A134" s="1" t="s">
        <v>13159</v>
      </c>
      <c r="B134" s="1" t="s">
        <v>2337</v>
      </c>
      <c r="C134" s="1" t="s">
        <v>12556</v>
      </c>
      <c r="D134" s="1" t="s">
        <v>12558</v>
      </c>
      <c r="E134" s="1" t="s">
        <v>12559</v>
      </c>
      <c r="F134" s="1" t="s">
        <v>12561</v>
      </c>
    </row>
    <row r="135">
      <c r="A135" s="1" t="s">
        <v>13150</v>
      </c>
      <c r="B135" s="1" t="s">
        <v>2337</v>
      </c>
      <c r="C135" s="1" t="s">
        <v>13151</v>
      </c>
      <c r="D135" s="1" t="s">
        <v>13152</v>
      </c>
      <c r="E135" s="1" t="s">
        <v>13153</v>
      </c>
      <c r="F135" s="1" t="s">
        <v>45</v>
      </c>
    </row>
    <row r="136">
      <c r="A136" s="1" t="s">
        <v>13155</v>
      </c>
      <c r="B136" s="1" t="s">
        <v>2337</v>
      </c>
      <c r="C136" s="1" t="s">
        <v>13156</v>
      </c>
      <c r="D136" s="1" t="s">
        <v>13157</v>
      </c>
      <c r="E136" s="1" t="s">
        <v>13158</v>
      </c>
      <c r="F136" s="1" t="s">
        <v>89</v>
      </c>
    </row>
    <row r="137">
      <c r="A137" s="1" t="s">
        <v>13161</v>
      </c>
      <c r="B137" s="1" t="s">
        <v>2339</v>
      </c>
      <c r="C137" s="1" t="s">
        <v>13162</v>
      </c>
      <c r="D137" s="1" t="s">
        <v>2409</v>
      </c>
      <c r="E137" s="1" t="s">
        <v>13163</v>
      </c>
      <c r="F137" s="1" t="s">
        <v>12552</v>
      </c>
    </row>
    <row r="138">
      <c r="A138" s="1" t="s">
        <v>13168</v>
      </c>
      <c r="B138" s="1" t="s">
        <v>3382</v>
      </c>
      <c r="C138" s="1" t="s">
        <v>12751</v>
      </c>
      <c r="D138" s="1" t="s">
        <v>12753</v>
      </c>
      <c r="E138" s="1" t="s">
        <v>12754</v>
      </c>
      <c r="F138" s="1" t="s">
        <v>12561</v>
      </c>
    </row>
    <row r="139">
      <c r="A139" s="1" t="s">
        <v>13171</v>
      </c>
      <c r="B139" s="1" t="s">
        <v>3382</v>
      </c>
      <c r="C139" s="1" t="s">
        <v>13172</v>
      </c>
      <c r="D139" s="1" t="s">
        <v>13173</v>
      </c>
      <c r="E139" s="1" t="s">
        <v>13174</v>
      </c>
      <c r="F139" s="1" t="s">
        <v>45</v>
      </c>
    </row>
    <row r="140">
      <c r="A140" s="1" t="s">
        <v>13175</v>
      </c>
      <c r="B140" s="1" t="s">
        <v>3382</v>
      </c>
      <c r="C140" s="1" t="s">
        <v>13177</v>
      </c>
      <c r="D140" s="1" t="s">
        <v>13173</v>
      </c>
      <c r="E140" s="1" t="s">
        <v>13178</v>
      </c>
      <c r="F140" s="1" t="s">
        <v>89</v>
      </c>
    </row>
    <row r="141">
      <c r="A141" s="1" t="s">
        <v>13165</v>
      </c>
      <c r="B141" s="1" t="s">
        <v>3382</v>
      </c>
      <c r="C141" s="1" t="s">
        <v>13166</v>
      </c>
      <c r="D141" s="1" t="s">
        <v>3384</v>
      </c>
      <c r="E141" s="1" t="s">
        <v>13167</v>
      </c>
      <c r="F141" s="1" t="s">
        <v>12552</v>
      </c>
    </row>
    <row r="142">
      <c r="A142" s="1" t="s">
        <v>13181</v>
      </c>
      <c r="B142" s="1" t="s">
        <v>2341</v>
      </c>
      <c r="C142" s="1" t="s">
        <v>12859</v>
      </c>
      <c r="D142" s="1" t="s">
        <v>803</v>
      </c>
      <c r="E142" s="1" t="s">
        <v>12860</v>
      </c>
      <c r="F142" s="1" t="s">
        <v>12552</v>
      </c>
    </row>
    <row r="143">
      <c r="A143" s="1" t="s">
        <v>13179</v>
      </c>
      <c r="B143" s="1" t="s">
        <v>2341</v>
      </c>
      <c r="C143" s="1" t="s">
        <v>12556</v>
      </c>
      <c r="D143" s="1" t="s">
        <v>12558</v>
      </c>
      <c r="E143" s="1" t="s">
        <v>12559</v>
      </c>
      <c r="F143" s="1" t="s">
        <v>12561</v>
      </c>
    </row>
    <row r="144">
      <c r="A144" s="1" t="s">
        <v>13183</v>
      </c>
      <c r="B144" s="1" t="s">
        <v>2075</v>
      </c>
      <c r="C144" s="1" t="s">
        <v>13130</v>
      </c>
      <c r="D144" s="1" t="s">
        <v>2077</v>
      </c>
      <c r="E144" s="1" t="s">
        <v>13131</v>
      </c>
      <c r="F144" s="1" t="s">
        <v>12552</v>
      </c>
    </row>
    <row r="145">
      <c r="A145" s="1" t="s">
        <v>13189</v>
      </c>
      <c r="B145" s="1" t="s">
        <v>2075</v>
      </c>
      <c r="C145" s="1" t="s">
        <v>12556</v>
      </c>
      <c r="D145" s="1" t="s">
        <v>12558</v>
      </c>
      <c r="E145" s="1" t="s">
        <v>12559</v>
      </c>
      <c r="F145" s="1" t="s">
        <v>12561</v>
      </c>
    </row>
    <row r="146">
      <c r="A146" s="1" t="s">
        <v>13192</v>
      </c>
      <c r="B146" s="1" t="s">
        <v>2075</v>
      </c>
      <c r="C146" s="1" t="s">
        <v>13185</v>
      </c>
      <c r="D146" s="1" t="s">
        <v>13186</v>
      </c>
      <c r="E146" s="1" t="s">
        <v>13187</v>
      </c>
      <c r="F146" s="1" t="s">
        <v>45</v>
      </c>
    </row>
    <row r="147">
      <c r="A147" s="1" t="s">
        <v>13184</v>
      </c>
      <c r="B147" s="1" t="s">
        <v>2075</v>
      </c>
      <c r="C147" s="1" t="s">
        <v>13185</v>
      </c>
      <c r="D147" s="1" t="s">
        <v>13186</v>
      </c>
      <c r="E147" s="1" t="s">
        <v>13187</v>
      </c>
      <c r="F147" s="1" t="s">
        <v>89</v>
      </c>
    </row>
    <row r="148">
      <c r="A148" s="1" t="s">
        <v>13193</v>
      </c>
      <c r="B148" s="1" t="s">
        <v>2138</v>
      </c>
      <c r="C148" s="1" t="s">
        <v>12597</v>
      </c>
      <c r="D148" s="1" t="s">
        <v>485</v>
      </c>
      <c r="E148" s="1" t="s">
        <v>12600</v>
      </c>
      <c r="F148" s="1" t="s">
        <v>12552</v>
      </c>
    </row>
    <row r="149">
      <c r="A149" s="1" t="s">
        <v>13195</v>
      </c>
      <c r="B149" s="1" t="s">
        <v>2138</v>
      </c>
      <c r="C149" s="1" t="s">
        <v>13197</v>
      </c>
      <c r="D149" s="1" t="s">
        <v>2143</v>
      </c>
      <c r="E149" s="1" t="s">
        <v>13198</v>
      </c>
      <c r="F149" s="1" t="s">
        <v>12552</v>
      </c>
    </row>
    <row r="150">
      <c r="A150" s="1" t="s">
        <v>13199</v>
      </c>
      <c r="B150" s="1" t="s">
        <v>2138</v>
      </c>
      <c r="C150" s="1" t="s">
        <v>13200</v>
      </c>
      <c r="D150" s="1" t="s">
        <v>9623</v>
      </c>
      <c r="E150" s="1" t="s">
        <v>13201</v>
      </c>
      <c r="F150" s="1" t="s">
        <v>12561</v>
      </c>
    </row>
    <row r="151">
      <c r="A151" s="1" t="s">
        <v>13208</v>
      </c>
      <c r="B151" s="1" t="s">
        <v>2350</v>
      </c>
      <c r="C151" s="1" t="s">
        <v>13209</v>
      </c>
      <c r="D151" s="1" t="s">
        <v>13210</v>
      </c>
      <c r="E151" s="1" t="s">
        <v>13211</v>
      </c>
      <c r="F151" s="1" t="s">
        <v>45</v>
      </c>
    </row>
    <row r="152">
      <c r="A152" s="1" t="s">
        <v>13202</v>
      </c>
      <c r="B152" s="1" t="s">
        <v>2350</v>
      </c>
      <c r="C152" s="1" t="s">
        <v>13204</v>
      </c>
      <c r="D152" s="1" t="s">
        <v>1844</v>
      </c>
      <c r="E152" s="1" t="s">
        <v>13205</v>
      </c>
      <c r="F152" s="1" t="s">
        <v>12552</v>
      </c>
    </row>
    <row r="153">
      <c r="A153" s="1" t="s">
        <v>13212</v>
      </c>
      <c r="B153" s="1" t="s">
        <v>2350</v>
      </c>
      <c r="C153" s="1" t="s">
        <v>13213</v>
      </c>
      <c r="D153" s="1" t="s">
        <v>13214</v>
      </c>
      <c r="E153" s="1" t="s">
        <v>13216</v>
      </c>
      <c r="F153" s="1" t="s">
        <v>89</v>
      </c>
    </row>
    <row r="154">
      <c r="A154" s="1" t="s">
        <v>13206</v>
      </c>
      <c r="B154" s="1" t="s">
        <v>2350</v>
      </c>
      <c r="C154" s="1" t="s">
        <v>12584</v>
      </c>
      <c r="D154" s="1" t="s">
        <v>12585</v>
      </c>
      <c r="E154" s="1" t="s">
        <v>12587</v>
      </c>
      <c r="F154" s="1" t="s">
        <v>12561</v>
      </c>
    </row>
    <row r="155">
      <c r="A155" s="1" t="s">
        <v>13218</v>
      </c>
      <c r="B155" s="1" t="s">
        <v>1721</v>
      </c>
      <c r="C155" s="1" t="s">
        <v>12848</v>
      </c>
      <c r="D155" s="1" t="s">
        <v>1733</v>
      </c>
      <c r="E155" s="1" t="s">
        <v>12849</v>
      </c>
      <c r="F155" s="1" t="s">
        <v>12552</v>
      </c>
    </row>
    <row r="156">
      <c r="A156" s="1" t="s">
        <v>13220</v>
      </c>
      <c r="B156" s="1" t="s">
        <v>1721</v>
      </c>
      <c r="C156" s="1" t="s">
        <v>13221</v>
      </c>
      <c r="D156" s="1" t="s">
        <v>13222</v>
      </c>
      <c r="E156" s="1" t="s">
        <v>13223</v>
      </c>
      <c r="F156" s="1" t="s">
        <v>45</v>
      </c>
    </row>
    <row r="157">
      <c r="A157" s="1" t="s">
        <v>13224</v>
      </c>
      <c r="B157" s="1" t="s">
        <v>1721</v>
      </c>
      <c r="C157" s="1" t="s">
        <v>12833</v>
      </c>
      <c r="D157" s="1" t="s">
        <v>12834</v>
      </c>
      <c r="E157" s="1" t="s">
        <v>12835</v>
      </c>
      <c r="F157" s="1" t="s">
        <v>12561</v>
      </c>
    </row>
    <row r="158">
      <c r="A158" s="1" t="s">
        <v>13226</v>
      </c>
      <c r="B158" s="1" t="s">
        <v>1721</v>
      </c>
      <c r="C158" s="1" t="s">
        <v>13221</v>
      </c>
      <c r="D158" s="1" t="s">
        <v>13222</v>
      </c>
      <c r="E158" s="1" t="s">
        <v>13223</v>
      </c>
      <c r="F158" s="1" t="s">
        <v>89</v>
      </c>
    </row>
    <row r="159">
      <c r="A159" s="1" t="s">
        <v>13233</v>
      </c>
      <c r="B159" s="1" t="s">
        <v>1912</v>
      </c>
      <c r="C159" s="1" t="s">
        <v>13234</v>
      </c>
      <c r="D159" s="1" t="s">
        <v>1917</v>
      </c>
      <c r="E159" s="1" t="s">
        <v>13236</v>
      </c>
      <c r="F159" s="1" t="s">
        <v>12552</v>
      </c>
    </row>
    <row r="160">
      <c r="A160" s="1" t="s">
        <v>13252</v>
      </c>
      <c r="B160" s="1" t="s">
        <v>3475</v>
      </c>
      <c r="C160" s="1" t="s">
        <v>13254</v>
      </c>
      <c r="D160" s="1" t="s">
        <v>3478</v>
      </c>
      <c r="E160" s="1" t="s">
        <v>13255</v>
      </c>
      <c r="F160" s="1" t="s">
        <v>12552</v>
      </c>
    </row>
    <row r="161">
      <c r="A161" s="1" t="s">
        <v>13256</v>
      </c>
      <c r="B161" s="1" t="s">
        <v>1980</v>
      </c>
      <c r="C161" s="1" t="s">
        <v>13257</v>
      </c>
      <c r="D161" s="1" t="s">
        <v>13258</v>
      </c>
      <c r="E161" s="1" t="s">
        <v>13259</v>
      </c>
      <c r="F161" s="1" t="s">
        <v>12561</v>
      </c>
    </row>
    <row r="162">
      <c r="A162" s="1" t="s">
        <v>13260</v>
      </c>
      <c r="B162" s="1" t="s">
        <v>1980</v>
      </c>
      <c r="C162" s="1" t="s">
        <v>12597</v>
      </c>
      <c r="D162" s="1" t="s">
        <v>485</v>
      </c>
      <c r="E162" s="1" t="s">
        <v>12600</v>
      </c>
      <c r="F162" s="1" t="s">
        <v>12552</v>
      </c>
    </row>
    <row r="163">
      <c r="A163" s="1" t="s">
        <v>13261</v>
      </c>
      <c r="B163" s="1" t="s">
        <v>1980</v>
      </c>
      <c r="C163" s="1" t="s">
        <v>13263</v>
      </c>
      <c r="D163" s="1" t="s">
        <v>8675</v>
      </c>
      <c r="E163" s="1" t="s">
        <v>13264</v>
      </c>
      <c r="F163" s="1" t="s">
        <v>12552</v>
      </c>
    </row>
    <row r="164">
      <c r="A164" s="1" t="s">
        <v>13273</v>
      </c>
      <c r="B164" s="1" t="s">
        <v>2035</v>
      </c>
      <c r="C164" s="1" t="s">
        <v>13274</v>
      </c>
      <c r="D164" s="1" t="s">
        <v>13275</v>
      </c>
      <c r="E164" s="1" t="s">
        <v>13276</v>
      </c>
      <c r="F164" s="1" t="s">
        <v>89</v>
      </c>
    </row>
    <row r="165">
      <c r="A165" s="1" t="s">
        <v>13268</v>
      </c>
      <c r="B165" s="1" t="s">
        <v>2035</v>
      </c>
      <c r="C165" s="1" t="s">
        <v>13269</v>
      </c>
      <c r="D165" s="1" t="s">
        <v>13270</v>
      </c>
      <c r="E165" s="1" t="s">
        <v>13271</v>
      </c>
      <c r="F165" s="1" t="s">
        <v>45</v>
      </c>
    </row>
    <row r="166">
      <c r="A166" s="1" t="s">
        <v>13267</v>
      </c>
      <c r="B166" s="1" t="s">
        <v>2035</v>
      </c>
      <c r="C166" s="1" t="s">
        <v>12556</v>
      </c>
      <c r="D166" s="1" t="s">
        <v>12558</v>
      </c>
      <c r="E166" s="1" t="s">
        <v>12559</v>
      </c>
      <c r="F166" s="1" t="s">
        <v>12561</v>
      </c>
    </row>
    <row r="167">
      <c r="A167" s="1" t="s">
        <v>13265</v>
      </c>
      <c r="B167" s="1" t="s">
        <v>2035</v>
      </c>
      <c r="C167" s="1" t="s">
        <v>13023</v>
      </c>
      <c r="D167" s="1" t="s">
        <v>1591</v>
      </c>
      <c r="E167" s="1" t="s">
        <v>13024</v>
      </c>
      <c r="F167" s="1" t="s">
        <v>12580</v>
      </c>
    </row>
    <row r="168">
      <c r="A168" s="1" t="s">
        <v>13283</v>
      </c>
      <c r="B168" s="1" t="s">
        <v>2365</v>
      </c>
      <c r="C168" s="1" t="s">
        <v>12556</v>
      </c>
      <c r="D168" s="1" t="s">
        <v>12558</v>
      </c>
      <c r="E168" s="1" t="s">
        <v>12559</v>
      </c>
      <c r="F168" s="1" t="s">
        <v>12561</v>
      </c>
    </row>
    <row r="169">
      <c r="A169" s="1" t="s">
        <v>13278</v>
      </c>
      <c r="B169" s="1" t="s">
        <v>2365</v>
      </c>
      <c r="C169" s="1" t="s">
        <v>13279</v>
      </c>
      <c r="D169" s="1" t="s">
        <v>13280</v>
      </c>
      <c r="E169" s="1" t="s">
        <v>13281</v>
      </c>
      <c r="F169" s="1" t="s">
        <v>45</v>
      </c>
    </row>
    <row r="170">
      <c r="A170" s="1" t="s">
        <v>13285</v>
      </c>
      <c r="B170" s="1" t="s">
        <v>2365</v>
      </c>
      <c r="C170" s="1" t="s">
        <v>13279</v>
      </c>
      <c r="D170" s="1" t="s">
        <v>13280</v>
      </c>
      <c r="E170" s="1" t="s">
        <v>13281</v>
      </c>
      <c r="F170" s="1" t="s">
        <v>89</v>
      </c>
    </row>
    <row r="171">
      <c r="A171" s="1" t="s">
        <v>13288</v>
      </c>
      <c r="B171" s="1" t="s">
        <v>2365</v>
      </c>
      <c r="C171" s="1" t="s">
        <v>13289</v>
      </c>
      <c r="D171" s="1" t="s">
        <v>13290</v>
      </c>
      <c r="E171" s="1" t="s">
        <v>13291</v>
      </c>
      <c r="F171" s="1" t="s">
        <v>12580</v>
      </c>
    </row>
    <row r="172">
      <c r="A172" s="1" t="s">
        <v>13282</v>
      </c>
      <c r="B172" s="1" t="s">
        <v>2365</v>
      </c>
      <c r="C172" s="1" t="s">
        <v>13023</v>
      </c>
      <c r="D172" s="1" t="s">
        <v>1591</v>
      </c>
      <c r="E172" s="1" t="s">
        <v>13024</v>
      </c>
      <c r="F172" s="1" t="s">
        <v>12552</v>
      </c>
    </row>
    <row r="173">
      <c r="A173" s="1" t="s">
        <v>13299</v>
      </c>
      <c r="B173" s="1" t="s">
        <v>3590</v>
      </c>
      <c r="C173" s="1" t="s">
        <v>13130</v>
      </c>
      <c r="D173" s="1" t="s">
        <v>2077</v>
      </c>
      <c r="E173" s="1" t="s">
        <v>13131</v>
      </c>
      <c r="F173" s="1" t="s">
        <v>12552</v>
      </c>
    </row>
    <row r="174">
      <c r="A174" s="1" t="s">
        <v>13292</v>
      </c>
      <c r="B174" s="1" t="s">
        <v>3590</v>
      </c>
      <c r="C174" s="1" t="s">
        <v>12556</v>
      </c>
      <c r="D174" s="1" t="s">
        <v>12558</v>
      </c>
      <c r="E174" s="1" t="s">
        <v>12559</v>
      </c>
      <c r="F174" s="1" t="s">
        <v>12561</v>
      </c>
    </row>
    <row r="175">
      <c r="A175" s="1" t="s">
        <v>13301</v>
      </c>
      <c r="B175" s="1" t="s">
        <v>3590</v>
      </c>
      <c r="C175" s="1" t="s">
        <v>13302</v>
      </c>
      <c r="D175" s="1" t="s">
        <v>13303</v>
      </c>
      <c r="E175" s="1" t="s">
        <v>13304</v>
      </c>
      <c r="F175" s="1" t="s">
        <v>89</v>
      </c>
    </row>
    <row r="176">
      <c r="A176" s="1" t="s">
        <v>13294</v>
      </c>
      <c r="B176" s="1" t="s">
        <v>3590</v>
      </c>
      <c r="C176" s="1" t="s">
        <v>13295</v>
      </c>
      <c r="D176" s="1" t="s">
        <v>13296</v>
      </c>
      <c r="E176" s="1" t="s">
        <v>13297</v>
      </c>
      <c r="F176" s="1" t="s">
        <v>45</v>
      </c>
    </row>
    <row r="177">
      <c r="A177" s="1" t="s">
        <v>13314</v>
      </c>
      <c r="B177" s="1" t="s">
        <v>2331</v>
      </c>
      <c r="C177" s="1" t="s">
        <v>12556</v>
      </c>
      <c r="D177" s="1" t="s">
        <v>12558</v>
      </c>
      <c r="E177" s="1" t="s">
        <v>12559</v>
      </c>
      <c r="F177" s="1" t="s">
        <v>12561</v>
      </c>
    </row>
    <row r="178">
      <c r="A178" s="1" t="s">
        <v>13305</v>
      </c>
      <c r="B178" s="1" t="s">
        <v>2331</v>
      </c>
      <c r="C178" s="1" t="s">
        <v>13307</v>
      </c>
      <c r="D178" s="1" t="s">
        <v>13308</v>
      </c>
      <c r="E178" s="1" t="s">
        <v>13309</v>
      </c>
      <c r="F178" s="1" t="s">
        <v>45</v>
      </c>
    </row>
    <row r="179">
      <c r="A179" s="1" t="s">
        <v>13310</v>
      </c>
      <c r="B179" s="1" t="s">
        <v>2331</v>
      </c>
      <c r="C179" s="1" t="s">
        <v>13307</v>
      </c>
      <c r="D179" s="1" t="s">
        <v>13308</v>
      </c>
      <c r="E179" s="1" t="s">
        <v>13309</v>
      </c>
      <c r="F179" s="1" t="s">
        <v>89</v>
      </c>
    </row>
    <row r="180">
      <c r="A180" s="1" t="s">
        <v>13312</v>
      </c>
      <c r="B180" s="1" t="s">
        <v>2331</v>
      </c>
      <c r="C180" s="1" t="s">
        <v>12859</v>
      </c>
      <c r="D180" s="1" t="s">
        <v>803</v>
      </c>
      <c r="E180" s="1" t="s">
        <v>12860</v>
      </c>
      <c r="F180" s="1" t="s">
        <v>12552</v>
      </c>
    </row>
    <row r="181">
      <c r="A181" s="1" t="s">
        <v>13324</v>
      </c>
      <c r="B181" s="1" t="s">
        <v>2371</v>
      </c>
      <c r="C181" s="1" t="s">
        <v>12564</v>
      </c>
      <c r="D181" s="1" t="s">
        <v>3535</v>
      </c>
      <c r="E181" s="1" t="s">
        <v>12565</v>
      </c>
      <c r="F181" s="1" t="s">
        <v>12552</v>
      </c>
    </row>
    <row r="182">
      <c r="A182" s="1" t="s">
        <v>13319</v>
      </c>
      <c r="B182" s="1" t="s">
        <v>2371</v>
      </c>
      <c r="C182" s="1" t="s">
        <v>13321</v>
      </c>
      <c r="D182" s="1" t="s">
        <v>13322</v>
      </c>
      <c r="E182" s="1" t="s">
        <v>13323</v>
      </c>
      <c r="F182" s="1" t="s">
        <v>45</v>
      </c>
    </row>
    <row r="183">
      <c r="A183" s="1" t="s">
        <v>13327</v>
      </c>
      <c r="B183" s="1" t="s">
        <v>2371</v>
      </c>
      <c r="C183" s="1" t="s">
        <v>13321</v>
      </c>
      <c r="D183" s="1" t="s">
        <v>13322</v>
      </c>
      <c r="E183" s="1" t="s">
        <v>13323</v>
      </c>
      <c r="F183" s="1" t="s">
        <v>89</v>
      </c>
    </row>
    <row r="184">
      <c r="A184" s="1" t="s">
        <v>13328</v>
      </c>
      <c r="B184" s="1" t="s">
        <v>2373</v>
      </c>
      <c r="C184" s="1" t="s">
        <v>13329</v>
      </c>
      <c r="D184" s="1" t="s">
        <v>13330</v>
      </c>
      <c r="E184" s="1" t="s">
        <v>13332</v>
      </c>
      <c r="F184" s="1" t="s">
        <v>89</v>
      </c>
    </row>
    <row r="185">
      <c r="A185" s="1" t="s">
        <v>13336</v>
      </c>
      <c r="B185" s="1" t="s">
        <v>2373</v>
      </c>
      <c r="C185" s="1" t="s">
        <v>13337</v>
      </c>
      <c r="D185" s="1" t="s">
        <v>3360</v>
      </c>
      <c r="E185" s="1" t="s">
        <v>13338</v>
      </c>
      <c r="F185" s="1" t="s">
        <v>12552</v>
      </c>
    </row>
    <row r="186">
      <c r="A186" s="1" t="s">
        <v>13339</v>
      </c>
      <c r="B186" s="1" t="s">
        <v>2373</v>
      </c>
      <c r="C186" s="1" t="s">
        <v>12751</v>
      </c>
      <c r="D186" s="1" t="s">
        <v>12753</v>
      </c>
      <c r="E186" s="1" t="s">
        <v>12754</v>
      </c>
      <c r="F186" s="1" t="s">
        <v>12561</v>
      </c>
    </row>
    <row r="187">
      <c r="A187" s="1" t="s">
        <v>13333</v>
      </c>
      <c r="B187" s="1" t="s">
        <v>2373</v>
      </c>
      <c r="C187" s="1" t="s">
        <v>13329</v>
      </c>
      <c r="D187" s="1" t="s">
        <v>13330</v>
      </c>
      <c r="E187" s="1" t="s">
        <v>13332</v>
      </c>
      <c r="F187" s="1" t="s">
        <v>45</v>
      </c>
    </row>
    <row r="188">
      <c r="A188" s="1" t="s">
        <v>13345</v>
      </c>
      <c r="B188" s="1" t="s">
        <v>2376</v>
      </c>
      <c r="C188" s="1" t="s">
        <v>13004</v>
      </c>
      <c r="D188" s="1" t="s">
        <v>13005</v>
      </c>
      <c r="E188" s="1" t="s">
        <v>13006</v>
      </c>
      <c r="F188" s="1" t="s">
        <v>12580</v>
      </c>
    </row>
    <row r="189">
      <c r="A189" s="1" t="s">
        <v>13341</v>
      </c>
      <c r="B189" s="1" t="s">
        <v>2376</v>
      </c>
      <c r="C189" s="1" t="s">
        <v>13343</v>
      </c>
      <c r="D189" s="1" t="s">
        <v>2452</v>
      </c>
      <c r="E189" s="1" t="s">
        <v>13344</v>
      </c>
      <c r="F189" s="1" t="s">
        <v>12552</v>
      </c>
    </row>
    <row r="190">
      <c r="A190" s="1" t="s">
        <v>13350</v>
      </c>
      <c r="B190" s="1" t="s">
        <v>2484</v>
      </c>
      <c r="C190" s="1" t="s">
        <v>13352</v>
      </c>
      <c r="D190" s="1" t="s">
        <v>5108</v>
      </c>
      <c r="E190" s="1" t="s">
        <v>13354</v>
      </c>
      <c r="F190" s="1" t="s">
        <v>12552</v>
      </c>
    </row>
    <row r="191">
      <c r="A191" s="1" t="s">
        <v>13355</v>
      </c>
      <c r="B191" s="1" t="s">
        <v>2484</v>
      </c>
      <c r="C191" s="1" t="s">
        <v>12597</v>
      </c>
      <c r="D191" s="1" t="s">
        <v>485</v>
      </c>
      <c r="E191" s="1" t="s">
        <v>12600</v>
      </c>
      <c r="F191" s="1" t="s">
        <v>12552</v>
      </c>
    </row>
    <row r="192">
      <c r="A192" s="1" t="s">
        <v>13383</v>
      </c>
      <c r="B192" s="1" t="s">
        <v>2390</v>
      </c>
      <c r="C192" s="1" t="s">
        <v>13385</v>
      </c>
      <c r="D192" s="1" t="s">
        <v>13386</v>
      </c>
      <c r="E192" s="1" t="s">
        <v>13387</v>
      </c>
      <c r="F192" s="1" t="s">
        <v>89</v>
      </c>
    </row>
    <row r="193">
      <c r="A193" s="1" t="s">
        <v>13389</v>
      </c>
      <c r="B193" s="1" t="s">
        <v>2390</v>
      </c>
      <c r="C193" s="1" t="s">
        <v>13391</v>
      </c>
      <c r="D193" s="1" t="s">
        <v>4030</v>
      </c>
      <c r="E193" s="1" t="s">
        <v>13392</v>
      </c>
      <c r="F193" s="1" t="s">
        <v>12552</v>
      </c>
    </row>
    <row r="194">
      <c r="A194" s="1" t="s">
        <v>13378</v>
      </c>
      <c r="B194" s="1" t="s">
        <v>2390</v>
      </c>
      <c r="C194" s="1" t="s">
        <v>13379</v>
      </c>
      <c r="D194" s="1" t="s">
        <v>13380</v>
      </c>
      <c r="E194" s="1" t="s">
        <v>13381</v>
      </c>
      <c r="F194" s="1" t="s">
        <v>45</v>
      </c>
    </row>
    <row r="195">
      <c r="A195" s="1" t="s">
        <v>13382</v>
      </c>
      <c r="B195" s="1" t="s">
        <v>2390</v>
      </c>
      <c r="C195" s="1" t="s">
        <v>12556</v>
      </c>
      <c r="D195" s="1" t="s">
        <v>12558</v>
      </c>
      <c r="E195" s="1" t="s">
        <v>12559</v>
      </c>
      <c r="F195" s="1" t="s">
        <v>12561</v>
      </c>
    </row>
    <row r="196">
      <c r="A196" s="1" t="s">
        <v>13393</v>
      </c>
      <c r="B196" s="1" t="s">
        <v>2393</v>
      </c>
      <c r="C196" s="1" t="s">
        <v>12597</v>
      </c>
      <c r="D196" s="1" t="s">
        <v>485</v>
      </c>
      <c r="E196" s="1" t="s">
        <v>12600</v>
      </c>
      <c r="F196" s="1" t="s">
        <v>12552</v>
      </c>
    </row>
    <row r="197">
      <c r="A197" s="1" t="s">
        <v>13413</v>
      </c>
      <c r="B197" s="1" t="s">
        <v>2160</v>
      </c>
      <c r="C197" s="1" t="s">
        <v>13414</v>
      </c>
      <c r="D197" s="1" t="s">
        <v>13415</v>
      </c>
      <c r="E197" s="1" t="s">
        <v>13416</v>
      </c>
      <c r="F197" s="1" t="s">
        <v>45</v>
      </c>
    </row>
    <row r="198">
      <c r="A198" s="1" t="s">
        <v>13407</v>
      </c>
      <c r="B198" s="1" t="s">
        <v>2160</v>
      </c>
      <c r="C198" s="1" t="s">
        <v>12556</v>
      </c>
      <c r="D198" s="1" t="s">
        <v>12558</v>
      </c>
      <c r="E198" s="1" t="s">
        <v>12559</v>
      </c>
      <c r="F198" s="1" t="s">
        <v>12561</v>
      </c>
    </row>
    <row r="199">
      <c r="A199" s="1" t="s">
        <v>13410</v>
      </c>
      <c r="B199" s="1" t="s">
        <v>2160</v>
      </c>
      <c r="C199" s="1" t="s">
        <v>13411</v>
      </c>
      <c r="D199" s="1" t="s">
        <v>2162</v>
      </c>
      <c r="E199" s="1" t="s">
        <v>13412</v>
      </c>
      <c r="F199" s="1" t="s">
        <v>12552</v>
      </c>
    </row>
    <row r="200">
      <c r="A200" s="1" t="s">
        <v>13402</v>
      </c>
      <c r="B200" s="1" t="s">
        <v>2160</v>
      </c>
      <c r="C200" s="1" t="s">
        <v>13403</v>
      </c>
      <c r="D200" s="1" t="s">
        <v>13404</v>
      </c>
      <c r="E200" s="1" t="s">
        <v>13405</v>
      </c>
      <c r="F200" s="1" t="s">
        <v>89</v>
      </c>
    </row>
    <row r="201">
      <c r="A201" s="1" t="s">
        <v>13434</v>
      </c>
      <c r="B201" s="1" t="s">
        <v>2291</v>
      </c>
      <c r="C201" s="1" t="s">
        <v>13435</v>
      </c>
      <c r="D201" s="1" t="s">
        <v>13437</v>
      </c>
      <c r="E201" s="1" t="s">
        <v>13439</v>
      </c>
      <c r="F201" s="1" t="s">
        <v>89</v>
      </c>
    </row>
    <row r="202">
      <c r="A202" s="1" t="s">
        <v>13429</v>
      </c>
      <c r="B202" s="1" t="s">
        <v>2291</v>
      </c>
      <c r="C202" s="1" t="s">
        <v>13430</v>
      </c>
      <c r="D202" s="1" t="s">
        <v>13431</v>
      </c>
      <c r="E202" s="1" t="s">
        <v>13432</v>
      </c>
      <c r="F202" s="1" t="s">
        <v>45</v>
      </c>
    </row>
    <row r="203">
      <c r="A203" s="1" t="s">
        <v>13441</v>
      </c>
      <c r="B203" s="1" t="s">
        <v>2291</v>
      </c>
      <c r="C203" s="1" t="s">
        <v>12946</v>
      </c>
      <c r="D203" s="1" t="s">
        <v>12947</v>
      </c>
      <c r="E203" s="1" t="s">
        <v>12948</v>
      </c>
      <c r="F203" s="1" t="s">
        <v>12561</v>
      </c>
    </row>
    <row r="204">
      <c r="A204" s="1" t="s">
        <v>13428</v>
      </c>
      <c r="B204" s="1" t="s">
        <v>2291</v>
      </c>
      <c r="C204" s="1" t="s">
        <v>12867</v>
      </c>
      <c r="D204" s="1" t="s">
        <v>1786</v>
      </c>
      <c r="E204" s="1" t="s">
        <v>12868</v>
      </c>
      <c r="F204" s="1" t="s">
        <v>12552</v>
      </c>
    </row>
    <row r="205">
      <c r="A205" s="1" t="s">
        <v>13451</v>
      </c>
      <c r="B205" s="1" t="s">
        <v>2481</v>
      </c>
      <c r="C205" s="1" t="s">
        <v>12633</v>
      </c>
      <c r="D205" s="1" t="s">
        <v>12634</v>
      </c>
      <c r="E205" s="1" t="s">
        <v>12635</v>
      </c>
      <c r="F205" s="1" t="s">
        <v>12561</v>
      </c>
    </row>
    <row r="206">
      <c r="A206" s="1" t="s">
        <v>13463</v>
      </c>
      <c r="B206" s="1" t="s">
        <v>2481</v>
      </c>
      <c r="C206" s="1" t="s">
        <v>13464</v>
      </c>
      <c r="D206" s="1" t="s">
        <v>13465</v>
      </c>
      <c r="E206" s="1" t="s">
        <v>13466</v>
      </c>
      <c r="F206" s="1" t="s">
        <v>45</v>
      </c>
    </row>
    <row r="207">
      <c r="A207" s="1" t="s">
        <v>13452</v>
      </c>
      <c r="B207" s="1" t="s">
        <v>2481</v>
      </c>
      <c r="C207" s="1" t="s">
        <v>13453</v>
      </c>
      <c r="D207" s="1" t="s">
        <v>13454</v>
      </c>
      <c r="E207" s="1" t="s">
        <v>13455</v>
      </c>
      <c r="F207" s="1" t="s">
        <v>89</v>
      </c>
    </row>
    <row r="208">
      <c r="A208" s="1" t="s">
        <v>13458</v>
      </c>
      <c r="B208" s="1" t="s">
        <v>2481</v>
      </c>
      <c r="C208" s="1" t="s">
        <v>13459</v>
      </c>
      <c r="D208" s="1" t="s">
        <v>13460</v>
      </c>
      <c r="E208" s="1" t="s">
        <v>13462</v>
      </c>
      <c r="F208" s="1" t="s">
        <v>89</v>
      </c>
    </row>
    <row r="209">
      <c r="A209" s="1" t="s">
        <v>13449</v>
      </c>
      <c r="B209" s="1" t="s">
        <v>2481</v>
      </c>
      <c r="C209" s="1" t="s">
        <v>12622</v>
      </c>
      <c r="D209" s="1" t="s">
        <v>2635</v>
      </c>
      <c r="E209" s="1" t="s">
        <v>12623</v>
      </c>
      <c r="F209" s="1" t="s">
        <v>12552</v>
      </c>
    </row>
    <row r="210">
      <c r="A210" s="1" t="s">
        <v>13447</v>
      </c>
      <c r="B210" s="1" t="s">
        <v>2481</v>
      </c>
      <c r="C210" s="1" t="s">
        <v>12626</v>
      </c>
      <c r="D210" s="1" t="s">
        <v>11803</v>
      </c>
      <c r="E210" s="1" t="s">
        <v>12628</v>
      </c>
      <c r="F210" s="1" t="s">
        <v>12580</v>
      </c>
    </row>
    <row r="211">
      <c r="A211" s="1" t="s">
        <v>13442</v>
      </c>
      <c r="B211" s="1" t="s">
        <v>2481</v>
      </c>
      <c r="C211" s="1" t="s">
        <v>13443</v>
      </c>
      <c r="D211" s="1" t="s">
        <v>13444</v>
      </c>
      <c r="E211" s="1" t="s">
        <v>13445</v>
      </c>
      <c r="F211" s="1" t="s">
        <v>45</v>
      </c>
    </row>
    <row r="212">
      <c r="A212" s="1" t="s">
        <v>13467</v>
      </c>
      <c r="B212" s="1" t="s">
        <v>2487</v>
      </c>
      <c r="C212" s="1" t="s">
        <v>13468</v>
      </c>
      <c r="D212" s="1" t="s">
        <v>13469</v>
      </c>
      <c r="E212" s="1" t="s">
        <v>13470</v>
      </c>
      <c r="F212" s="1" t="s">
        <v>12552</v>
      </c>
    </row>
    <row r="213">
      <c r="A213" s="1" t="s">
        <v>13476</v>
      </c>
      <c r="B213" s="1" t="s">
        <v>2487</v>
      </c>
      <c r="C213" s="1" t="s">
        <v>12584</v>
      </c>
      <c r="D213" s="1" t="s">
        <v>12585</v>
      </c>
      <c r="E213" s="1" t="s">
        <v>12587</v>
      </c>
      <c r="F213" s="1" t="s">
        <v>12561</v>
      </c>
    </row>
    <row r="214">
      <c r="A214" s="1" t="s">
        <v>13472</v>
      </c>
      <c r="B214" s="1" t="s">
        <v>2487</v>
      </c>
      <c r="C214" s="1" t="s">
        <v>13473</v>
      </c>
      <c r="D214" s="1" t="s">
        <v>3180</v>
      </c>
      <c r="E214" s="1" t="s">
        <v>13474</v>
      </c>
      <c r="F214" s="1" t="s">
        <v>12552</v>
      </c>
    </row>
    <row r="215">
      <c r="A215" s="1" t="s">
        <v>13478</v>
      </c>
      <c r="B215" s="1" t="s">
        <v>2487</v>
      </c>
      <c r="C215" s="1" t="s">
        <v>13479</v>
      </c>
      <c r="D215" s="1" t="s">
        <v>13480</v>
      </c>
      <c r="E215" s="1" t="s">
        <v>13481</v>
      </c>
      <c r="F215" s="1" t="s">
        <v>45</v>
      </c>
    </row>
    <row r="216">
      <c r="A216" s="1" t="s">
        <v>13483</v>
      </c>
      <c r="B216" s="1" t="s">
        <v>2487</v>
      </c>
      <c r="C216" s="1" t="s">
        <v>13484</v>
      </c>
      <c r="D216" s="1" t="s">
        <v>13486</v>
      </c>
      <c r="E216" s="1" t="s">
        <v>13487</v>
      </c>
      <c r="F216" s="1" t="s">
        <v>89</v>
      </c>
    </row>
    <row r="217">
      <c r="A217" s="1" t="s">
        <v>13501</v>
      </c>
      <c r="B217" s="1" t="s">
        <v>2492</v>
      </c>
      <c r="C217" s="1" t="s">
        <v>12584</v>
      </c>
      <c r="D217" s="1" t="s">
        <v>12585</v>
      </c>
      <c r="E217" s="1" t="s">
        <v>12587</v>
      </c>
      <c r="F217" s="1" t="s">
        <v>12561</v>
      </c>
    </row>
    <row r="218">
      <c r="A218" s="1" t="s">
        <v>13494</v>
      </c>
      <c r="B218" s="1" t="s">
        <v>2492</v>
      </c>
      <c r="C218" s="1" t="s">
        <v>13495</v>
      </c>
      <c r="D218" s="1" t="s">
        <v>13496</v>
      </c>
      <c r="E218" s="1" t="s">
        <v>13498</v>
      </c>
      <c r="F218" s="1" t="s">
        <v>89</v>
      </c>
    </row>
    <row r="219">
      <c r="A219" s="1" t="s">
        <v>13488</v>
      </c>
      <c r="B219" s="1" t="s">
        <v>2492</v>
      </c>
      <c r="C219" s="1" t="s">
        <v>13490</v>
      </c>
      <c r="D219" s="1" t="s">
        <v>13491</v>
      </c>
      <c r="E219" s="1" t="s">
        <v>13493</v>
      </c>
      <c r="F219" s="1" t="s">
        <v>45</v>
      </c>
    </row>
    <row r="220">
      <c r="A220" s="1" t="s">
        <v>13499</v>
      </c>
      <c r="B220" s="1" t="s">
        <v>2492</v>
      </c>
      <c r="C220" s="1" t="s">
        <v>13204</v>
      </c>
      <c r="D220" s="1" t="s">
        <v>1844</v>
      </c>
      <c r="E220" s="1" t="s">
        <v>13205</v>
      </c>
      <c r="F220" s="1" t="s">
        <v>12552</v>
      </c>
    </row>
    <row r="221">
      <c r="A221" s="1" t="s">
        <v>13511</v>
      </c>
      <c r="B221" s="1" t="s">
        <v>2212</v>
      </c>
      <c r="C221" s="1" t="s">
        <v>12556</v>
      </c>
      <c r="D221" s="1" t="s">
        <v>12558</v>
      </c>
      <c r="E221" s="1" t="s">
        <v>12559</v>
      </c>
      <c r="F221" s="1" t="s">
        <v>12561</v>
      </c>
    </row>
    <row r="222">
      <c r="A222" s="1" t="s">
        <v>13513</v>
      </c>
      <c r="B222" s="1" t="s">
        <v>2212</v>
      </c>
      <c r="C222" s="1" t="s">
        <v>13514</v>
      </c>
      <c r="D222" s="1" t="s">
        <v>13515</v>
      </c>
      <c r="E222" s="1" t="s">
        <v>13516</v>
      </c>
      <c r="F222" s="1" t="s">
        <v>89</v>
      </c>
    </row>
    <row r="223">
      <c r="A223" s="1" t="s">
        <v>13503</v>
      </c>
      <c r="B223" s="1" t="s">
        <v>2212</v>
      </c>
      <c r="C223" s="1" t="s">
        <v>13504</v>
      </c>
      <c r="D223" s="1" t="s">
        <v>13505</v>
      </c>
      <c r="E223" s="1" t="s">
        <v>13506</v>
      </c>
      <c r="F223" s="1" t="s">
        <v>45</v>
      </c>
    </row>
    <row r="224">
      <c r="A224" s="1" t="s">
        <v>13507</v>
      </c>
      <c r="B224" s="1" t="s">
        <v>2212</v>
      </c>
      <c r="C224" s="1" t="s">
        <v>13509</v>
      </c>
      <c r="D224" s="1" t="s">
        <v>2218</v>
      </c>
      <c r="E224" s="1" t="s">
        <v>13510</v>
      </c>
      <c r="F224" s="1" t="s">
        <v>12552</v>
      </c>
    </row>
    <row r="225">
      <c r="A225" s="1" t="s">
        <v>13531</v>
      </c>
      <c r="B225" s="1" t="s">
        <v>2066</v>
      </c>
      <c r="C225" s="1" t="s">
        <v>13533</v>
      </c>
      <c r="D225" s="1" t="s">
        <v>13528</v>
      </c>
      <c r="E225" s="1" t="s">
        <v>13534</v>
      </c>
      <c r="F225" s="1" t="s">
        <v>45</v>
      </c>
    </row>
    <row r="226">
      <c r="A226" s="1" t="s">
        <v>13525</v>
      </c>
      <c r="B226" s="1" t="s">
        <v>2066</v>
      </c>
      <c r="C226" s="1" t="s">
        <v>13023</v>
      </c>
      <c r="D226" s="1" t="s">
        <v>1591</v>
      </c>
      <c r="E226" s="1" t="s">
        <v>13024</v>
      </c>
      <c r="F226" s="1" t="s">
        <v>12552</v>
      </c>
    </row>
    <row r="227">
      <c r="A227" s="1" t="s">
        <v>13523</v>
      </c>
      <c r="B227" s="1" t="s">
        <v>2066</v>
      </c>
      <c r="C227" s="1" t="s">
        <v>12556</v>
      </c>
      <c r="D227" s="1" t="s">
        <v>12558</v>
      </c>
      <c r="E227" s="1" t="s">
        <v>12559</v>
      </c>
      <c r="F227" s="1" t="s">
        <v>12561</v>
      </c>
    </row>
    <row r="228">
      <c r="A228" s="1" t="s">
        <v>13526</v>
      </c>
      <c r="B228" s="1" t="s">
        <v>2066</v>
      </c>
      <c r="C228" s="1" t="s">
        <v>13527</v>
      </c>
      <c r="D228" s="1" t="s">
        <v>13528</v>
      </c>
      <c r="E228" s="1" t="s">
        <v>13529</v>
      </c>
      <c r="F228" s="1" t="s">
        <v>45</v>
      </c>
    </row>
    <row r="229">
      <c r="A229" s="1" t="s">
        <v>13518</v>
      </c>
      <c r="B229" s="1" t="s">
        <v>2066</v>
      </c>
      <c r="C229" s="1" t="s">
        <v>13519</v>
      </c>
      <c r="D229" s="1" t="s">
        <v>13520</v>
      </c>
      <c r="E229" s="1" t="s">
        <v>13521</v>
      </c>
      <c r="F229" s="1" t="s">
        <v>89</v>
      </c>
    </row>
    <row r="230">
      <c r="A230" s="1" t="s">
        <v>13543</v>
      </c>
      <c r="B230" s="1" t="s">
        <v>2501</v>
      </c>
      <c r="C230" s="1" t="s">
        <v>13545</v>
      </c>
      <c r="D230" s="1" t="s">
        <v>13546</v>
      </c>
      <c r="E230" s="1" t="s">
        <v>13547</v>
      </c>
      <c r="F230" s="1" t="s">
        <v>45</v>
      </c>
    </row>
    <row r="231">
      <c r="A231" s="1" t="s">
        <v>13540</v>
      </c>
      <c r="B231" s="1" t="s">
        <v>2501</v>
      </c>
      <c r="C231" s="1" t="s">
        <v>13541</v>
      </c>
      <c r="D231" s="1" t="s">
        <v>2505</v>
      </c>
      <c r="E231" s="1" t="s">
        <v>13542</v>
      </c>
      <c r="F231" s="1" t="s">
        <v>12552</v>
      </c>
    </row>
    <row r="232">
      <c r="A232" s="1" t="s">
        <v>13535</v>
      </c>
      <c r="B232" s="1" t="s">
        <v>2501</v>
      </c>
      <c r="C232" s="1" t="s">
        <v>13537</v>
      </c>
      <c r="D232" s="1" t="s">
        <v>13538</v>
      </c>
      <c r="E232" s="1" t="s">
        <v>13539</v>
      </c>
      <c r="F232" s="1" t="s">
        <v>12561</v>
      </c>
    </row>
    <row r="233">
      <c r="A233" s="1" t="s">
        <v>13549</v>
      </c>
      <c r="B233" s="1" t="s">
        <v>2501</v>
      </c>
      <c r="C233" s="1" t="s">
        <v>13551</v>
      </c>
      <c r="D233" s="1" t="s">
        <v>13552</v>
      </c>
      <c r="E233" s="1" t="s">
        <v>13553</v>
      </c>
      <c r="F233" s="1" t="s">
        <v>89</v>
      </c>
    </row>
    <row r="234">
      <c r="A234" s="1" t="s">
        <v>13554</v>
      </c>
      <c r="B234" s="1" t="s">
        <v>2705</v>
      </c>
      <c r="C234" s="1" t="s">
        <v>12916</v>
      </c>
      <c r="D234" s="1" t="s">
        <v>3329</v>
      </c>
      <c r="E234" s="1" t="s">
        <v>12917</v>
      </c>
      <c r="F234" s="1" t="s">
        <v>12552</v>
      </c>
    </row>
    <row r="235">
      <c r="A235" s="1" t="s">
        <v>13555</v>
      </c>
      <c r="B235" s="1" t="s">
        <v>2705</v>
      </c>
      <c r="C235" s="1" t="s">
        <v>13556</v>
      </c>
      <c r="D235" s="1" t="s">
        <v>13557</v>
      </c>
      <c r="E235" s="1" t="s">
        <v>13559</v>
      </c>
      <c r="F235" s="1" t="s">
        <v>89</v>
      </c>
    </row>
    <row r="236">
      <c r="A236" s="1" t="s">
        <v>13560</v>
      </c>
      <c r="B236" s="1" t="s">
        <v>2705</v>
      </c>
      <c r="C236" s="1" t="s">
        <v>13562</v>
      </c>
      <c r="D236" s="1" t="s">
        <v>13563</v>
      </c>
      <c r="E236" s="1" t="s">
        <v>13565</v>
      </c>
      <c r="F236" s="1" t="s">
        <v>45</v>
      </c>
    </row>
    <row r="237">
      <c r="A237" s="1" t="s">
        <v>13566</v>
      </c>
      <c r="B237" s="1" t="s">
        <v>2705</v>
      </c>
      <c r="C237" s="1" t="s">
        <v>13567</v>
      </c>
      <c r="D237" s="1" t="s">
        <v>13568</v>
      </c>
      <c r="E237" s="1" t="s">
        <v>13569</v>
      </c>
      <c r="F237" s="1" t="s">
        <v>45</v>
      </c>
    </row>
    <row r="238">
      <c r="A238" s="1" t="s">
        <v>13570</v>
      </c>
      <c r="B238" s="1" t="s">
        <v>2705</v>
      </c>
      <c r="C238" s="1" t="s">
        <v>13257</v>
      </c>
      <c r="D238" s="1" t="s">
        <v>13258</v>
      </c>
      <c r="E238" s="1" t="s">
        <v>13259</v>
      </c>
      <c r="F238" s="1" t="s">
        <v>12561</v>
      </c>
    </row>
    <row r="239">
      <c r="A239" s="1" t="s">
        <v>13580</v>
      </c>
      <c r="B239" s="1" t="s">
        <v>2712</v>
      </c>
      <c r="C239" s="1" t="s">
        <v>13581</v>
      </c>
      <c r="D239" s="1" t="s">
        <v>13582</v>
      </c>
      <c r="E239" s="1" t="s">
        <v>13583</v>
      </c>
      <c r="F239" s="1" t="s">
        <v>45</v>
      </c>
    </row>
    <row r="240">
      <c r="A240" s="1" t="s">
        <v>13585</v>
      </c>
      <c r="B240" s="1" t="s">
        <v>2712</v>
      </c>
      <c r="C240" s="1" t="s">
        <v>12556</v>
      </c>
      <c r="D240" s="1" t="s">
        <v>12558</v>
      </c>
      <c r="E240" s="1" t="s">
        <v>12559</v>
      </c>
      <c r="F240" s="1" t="s">
        <v>12561</v>
      </c>
    </row>
    <row r="241">
      <c r="A241" s="1" t="s">
        <v>13572</v>
      </c>
      <c r="B241" s="1" t="s">
        <v>2712</v>
      </c>
      <c r="C241" s="1" t="s">
        <v>13574</v>
      </c>
      <c r="D241" s="1" t="s">
        <v>13575</v>
      </c>
      <c r="E241" s="1" t="s">
        <v>13576</v>
      </c>
      <c r="F241" s="1" t="s">
        <v>89</v>
      </c>
    </row>
    <row r="242">
      <c r="A242" s="1" t="s">
        <v>13578</v>
      </c>
      <c r="B242" s="1" t="s">
        <v>2712</v>
      </c>
      <c r="C242" s="1" t="s">
        <v>12862</v>
      </c>
      <c r="D242" s="1" t="s">
        <v>2768</v>
      </c>
      <c r="E242" s="1" t="s">
        <v>12863</v>
      </c>
      <c r="F242" s="1" t="s">
        <v>12552</v>
      </c>
    </row>
    <row r="243">
      <c r="A243" s="1" t="s">
        <v>13592</v>
      </c>
      <c r="B243" s="1" t="s">
        <v>2194</v>
      </c>
      <c r="C243" s="1" t="s">
        <v>13593</v>
      </c>
      <c r="D243" s="1" t="s">
        <v>2201</v>
      </c>
      <c r="E243" s="1" t="s">
        <v>13594</v>
      </c>
      <c r="F243" s="1" t="s">
        <v>12552</v>
      </c>
    </row>
    <row r="244">
      <c r="A244" s="1" t="s">
        <v>13597</v>
      </c>
      <c r="B244" s="1" t="s">
        <v>2194</v>
      </c>
      <c r="C244" s="1" t="s">
        <v>13598</v>
      </c>
      <c r="D244" s="1" t="s">
        <v>13600</v>
      </c>
      <c r="E244" s="1" t="s">
        <v>13601</v>
      </c>
      <c r="F244" s="1" t="s">
        <v>45</v>
      </c>
    </row>
    <row r="245">
      <c r="A245" s="1" t="s">
        <v>13602</v>
      </c>
      <c r="B245" s="1" t="s">
        <v>2194</v>
      </c>
      <c r="C245" s="1" t="s">
        <v>13588</v>
      </c>
      <c r="D245" s="1" t="s">
        <v>13589</v>
      </c>
      <c r="E245" s="1" t="s">
        <v>13590</v>
      </c>
      <c r="F245" s="1" t="s">
        <v>45</v>
      </c>
    </row>
    <row r="246">
      <c r="A246" s="1" t="s">
        <v>13586</v>
      </c>
      <c r="B246" s="1" t="s">
        <v>2194</v>
      </c>
      <c r="C246" s="1" t="s">
        <v>13588</v>
      </c>
      <c r="D246" s="1" t="s">
        <v>13589</v>
      </c>
      <c r="E246" s="1" t="s">
        <v>13590</v>
      </c>
      <c r="F246" s="1" t="s">
        <v>89</v>
      </c>
    </row>
    <row r="247">
      <c r="A247" s="1" t="s">
        <v>13595</v>
      </c>
      <c r="B247" s="1" t="s">
        <v>2194</v>
      </c>
      <c r="C247" s="1" t="s">
        <v>12784</v>
      </c>
      <c r="D247" s="1" t="s">
        <v>12785</v>
      </c>
      <c r="E247" s="1" t="s">
        <v>12786</v>
      </c>
      <c r="F247" s="1" t="s">
        <v>12561</v>
      </c>
    </row>
    <row r="248">
      <c r="A248" s="1" t="s">
        <v>13604</v>
      </c>
      <c r="B248" s="1" t="s">
        <v>2725</v>
      </c>
      <c r="C248" s="1" t="s">
        <v>13605</v>
      </c>
      <c r="D248" s="1" t="s">
        <v>13606</v>
      </c>
      <c r="E248" s="1" t="s">
        <v>13607</v>
      </c>
      <c r="F248" s="1" t="s">
        <v>89</v>
      </c>
    </row>
    <row r="249">
      <c r="A249" s="1" t="s">
        <v>13608</v>
      </c>
      <c r="B249" s="1" t="s">
        <v>2725</v>
      </c>
      <c r="C249" s="1" t="s">
        <v>13610</v>
      </c>
      <c r="D249" s="1" t="s">
        <v>3322</v>
      </c>
      <c r="E249" s="1" t="s">
        <v>13612</v>
      </c>
      <c r="F249" s="1" t="s">
        <v>12552</v>
      </c>
    </row>
    <row r="250">
      <c r="A250" s="1" t="s">
        <v>13632</v>
      </c>
      <c r="B250" s="1" t="s">
        <v>1485</v>
      </c>
      <c r="C250" s="1" t="s">
        <v>13633</v>
      </c>
      <c r="D250" s="1" t="s">
        <v>13634</v>
      </c>
      <c r="E250" s="1" t="s">
        <v>13635</v>
      </c>
      <c r="F250" s="1" t="s">
        <v>12561</v>
      </c>
    </row>
    <row r="251">
      <c r="A251" s="1" t="s">
        <v>13613</v>
      </c>
      <c r="B251" s="1" t="s">
        <v>1485</v>
      </c>
      <c r="C251" s="1" t="s">
        <v>13615</v>
      </c>
      <c r="D251" s="1" t="s">
        <v>13616</v>
      </c>
      <c r="E251" s="1" t="s">
        <v>13617</v>
      </c>
      <c r="F251" s="1" t="s">
        <v>89</v>
      </c>
    </row>
    <row r="252">
      <c r="A252" s="1" t="s">
        <v>13618</v>
      </c>
      <c r="B252" s="1" t="s">
        <v>1485</v>
      </c>
      <c r="C252" s="1" t="s">
        <v>13619</v>
      </c>
      <c r="D252" s="1" t="s">
        <v>7515</v>
      </c>
      <c r="E252" s="1" t="s">
        <v>13620</v>
      </c>
      <c r="F252" s="1" t="s">
        <v>12552</v>
      </c>
    </row>
    <row r="253">
      <c r="A253" s="1" t="s">
        <v>13621</v>
      </c>
      <c r="B253" s="1" t="s">
        <v>1485</v>
      </c>
      <c r="C253" s="1" t="s">
        <v>13622</v>
      </c>
      <c r="D253" s="1" t="s">
        <v>13623</v>
      </c>
      <c r="E253" s="1" t="s">
        <v>13625</v>
      </c>
      <c r="F253" s="1" t="s">
        <v>45</v>
      </c>
    </row>
    <row r="254">
      <c r="A254" s="1" t="s">
        <v>13627</v>
      </c>
      <c r="B254" s="1" t="s">
        <v>1485</v>
      </c>
      <c r="C254" s="1" t="s">
        <v>13628</v>
      </c>
      <c r="D254" s="1" t="s">
        <v>13630</v>
      </c>
      <c r="E254" s="1" t="s">
        <v>13631</v>
      </c>
      <c r="F254" s="1" t="s">
        <v>45</v>
      </c>
    </row>
    <row r="255">
      <c r="A255" s="1" t="s">
        <v>13636</v>
      </c>
      <c r="B255" s="1" t="s">
        <v>2739</v>
      </c>
      <c r="C255" s="1" t="s">
        <v>13023</v>
      </c>
      <c r="D255" s="1" t="s">
        <v>1591</v>
      </c>
      <c r="E255" s="1" t="s">
        <v>13024</v>
      </c>
      <c r="F255" s="1" t="s">
        <v>12552</v>
      </c>
    </row>
    <row r="256">
      <c r="A256" s="1" t="s">
        <v>14841</v>
      </c>
      <c r="B256" s="1" t="s">
        <v>2778</v>
      </c>
      <c r="C256" s="1" t="s">
        <v>14843</v>
      </c>
      <c r="D256" s="1" t="s">
        <v>14844</v>
      </c>
      <c r="E256" s="1" t="s">
        <v>14845</v>
      </c>
      <c r="F256" s="1" t="s">
        <v>89</v>
      </c>
    </row>
    <row r="257">
      <c r="A257" s="1" t="s">
        <v>14846</v>
      </c>
      <c r="B257" s="1" t="s">
        <v>2778</v>
      </c>
      <c r="C257" s="1" t="s">
        <v>12859</v>
      </c>
      <c r="D257" s="1" t="s">
        <v>803</v>
      </c>
      <c r="E257" s="1" t="s">
        <v>12860</v>
      </c>
      <c r="F257" s="1" t="s">
        <v>12552</v>
      </c>
    </row>
    <row r="258">
      <c r="A258" s="1" t="s">
        <v>14848</v>
      </c>
      <c r="B258" s="1" t="s">
        <v>2778</v>
      </c>
      <c r="C258" s="1" t="s">
        <v>12556</v>
      </c>
      <c r="D258" s="1" t="s">
        <v>12558</v>
      </c>
      <c r="E258" s="1" t="s">
        <v>12559</v>
      </c>
      <c r="F258" s="1" t="s">
        <v>12561</v>
      </c>
    </row>
    <row r="259">
      <c r="A259" s="1" t="s">
        <v>14851</v>
      </c>
      <c r="B259" s="1" t="s">
        <v>2778</v>
      </c>
      <c r="C259" s="1" t="s">
        <v>14852</v>
      </c>
      <c r="D259" s="1" t="s">
        <v>14853</v>
      </c>
      <c r="E259" s="1" t="s">
        <v>14854</v>
      </c>
      <c r="F259" s="1" t="s">
        <v>45</v>
      </c>
    </row>
    <row r="260">
      <c r="A260" s="1" t="s">
        <v>13644</v>
      </c>
      <c r="B260" s="1" t="s">
        <v>2525</v>
      </c>
      <c r="C260" s="1" t="s">
        <v>13645</v>
      </c>
      <c r="D260" s="1" t="s">
        <v>13646</v>
      </c>
      <c r="E260" s="1" t="s">
        <v>13647</v>
      </c>
      <c r="F260" s="1" t="s">
        <v>89</v>
      </c>
    </row>
    <row r="261">
      <c r="A261" s="1" t="s">
        <v>13638</v>
      </c>
      <c r="B261" s="1" t="s">
        <v>2525</v>
      </c>
      <c r="C261" s="1" t="s">
        <v>13639</v>
      </c>
      <c r="D261" s="1" t="s">
        <v>13640</v>
      </c>
      <c r="E261" s="1" t="s">
        <v>13643</v>
      </c>
      <c r="F261" s="1" t="s">
        <v>45</v>
      </c>
    </row>
    <row r="262">
      <c r="A262" s="1" t="s">
        <v>13653</v>
      </c>
      <c r="B262" s="1" t="s">
        <v>2817</v>
      </c>
      <c r="C262" s="1" t="s">
        <v>13655</v>
      </c>
      <c r="D262" s="1" t="s">
        <v>13656</v>
      </c>
      <c r="E262" s="1" t="s">
        <v>13657</v>
      </c>
      <c r="F262" s="1" t="s">
        <v>89</v>
      </c>
    </row>
    <row r="263">
      <c r="A263" s="1" t="s">
        <v>13648</v>
      </c>
      <c r="B263" s="1" t="s">
        <v>2817</v>
      </c>
      <c r="C263" s="1" t="s">
        <v>13649</v>
      </c>
      <c r="D263" s="1" t="s">
        <v>13650</v>
      </c>
      <c r="E263" s="1" t="s">
        <v>13652</v>
      </c>
      <c r="F263" s="1" t="s">
        <v>45</v>
      </c>
    </row>
    <row r="264">
      <c r="A264" s="1" t="s">
        <v>13663</v>
      </c>
      <c r="B264" s="1" t="s">
        <v>669</v>
      </c>
      <c r="C264" s="1" t="s">
        <v>13665</v>
      </c>
      <c r="D264" s="1" t="s">
        <v>13666</v>
      </c>
      <c r="E264" s="1" t="s">
        <v>13667</v>
      </c>
      <c r="F264" s="1" t="s">
        <v>89</v>
      </c>
    </row>
    <row r="265">
      <c r="A265" s="1" t="s">
        <v>13659</v>
      </c>
      <c r="B265" s="1" t="s">
        <v>669</v>
      </c>
      <c r="C265" s="1" t="s">
        <v>13660</v>
      </c>
      <c r="D265" s="1" t="s">
        <v>13661</v>
      </c>
      <c r="E265" s="1" t="s">
        <v>13662</v>
      </c>
      <c r="F265" s="1" t="s">
        <v>45</v>
      </c>
    </row>
    <row r="266">
      <c r="A266" s="1" t="s">
        <v>13669</v>
      </c>
      <c r="B266" s="1" t="s">
        <v>1053</v>
      </c>
      <c r="C266" s="1" t="s">
        <v>13670</v>
      </c>
      <c r="D266" s="1" t="s">
        <v>13672</v>
      </c>
      <c r="E266" s="1" t="s">
        <v>13673</v>
      </c>
      <c r="F266" s="1" t="s">
        <v>45</v>
      </c>
    </row>
    <row r="267">
      <c r="A267" s="1" t="s">
        <v>13674</v>
      </c>
      <c r="B267" s="1" t="s">
        <v>1053</v>
      </c>
      <c r="C267" s="1" t="s">
        <v>13675</v>
      </c>
      <c r="D267" s="1" t="s">
        <v>13676</v>
      </c>
      <c r="E267" s="1" t="s">
        <v>13677</v>
      </c>
      <c r="F267" s="1" t="s">
        <v>89</v>
      </c>
    </row>
    <row r="268">
      <c r="A268" s="1" t="s">
        <v>13679</v>
      </c>
      <c r="B268" s="1" t="s">
        <v>1053</v>
      </c>
      <c r="C268" s="1" t="s">
        <v>12992</v>
      </c>
      <c r="D268" s="1" t="s">
        <v>1058</v>
      </c>
      <c r="E268" s="1" t="s">
        <v>12993</v>
      </c>
      <c r="F268" s="1" t="s">
        <v>12552</v>
      </c>
    </row>
    <row r="269">
      <c r="A269" s="1" t="s">
        <v>13683</v>
      </c>
      <c r="B269" s="1" t="s">
        <v>1053</v>
      </c>
      <c r="C269" s="1" t="s">
        <v>12751</v>
      </c>
      <c r="D269" s="1" t="s">
        <v>12753</v>
      </c>
      <c r="E269" s="1" t="s">
        <v>12754</v>
      </c>
      <c r="F269" s="1" t="s">
        <v>12561</v>
      </c>
    </row>
    <row r="270">
      <c r="A270" s="1" t="s">
        <v>14865</v>
      </c>
      <c r="B270" s="1" t="s">
        <v>2853</v>
      </c>
      <c r="C270" s="1" t="s">
        <v>14866</v>
      </c>
      <c r="D270" s="1" t="s">
        <v>14867</v>
      </c>
      <c r="E270" s="1" t="s">
        <v>14868</v>
      </c>
      <c r="F270" s="1" t="s">
        <v>45</v>
      </c>
    </row>
    <row r="271">
      <c r="A271" s="1" t="s">
        <v>14870</v>
      </c>
      <c r="B271" s="1" t="s">
        <v>2853</v>
      </c>
      <c r="C271" s="1" t="s">
        <v>14866</v>
      </c>
      <c r="D271" s="1" t="s">
        <v>14867</v>
      </c>
      <c r="E271" s="1" t="s">
        <v>14868</v>
      </c>
      <c r="F271" s="1" t="s">
        <v>89</v>
      </c>
    </row>
    <row r="272">
      <c r="A272" s="1" t="s">
        <v>14873</v>
      </c>
      <c r="B272" s="1" t="s">
        <v>3853</v>
      </c>
      <c r="C272" s="1" t="s">
        <v>14875</v>
      </c>
      <c r="D272" s="1" t="s">
        <v>1221</v>
      </c>
      <c r="E272" s="1" t="s">
        <v>14876</v>
      </c>
      <c r="F272" s="1" t="s">
        <v>12552</v>
      </c>
    </row>
    <row r="273">
      <c r="A273" s="1" t="s">
        <v>13684</v>
      </c>
      <c r="B273" s="1" t="s">
        <v>2933</v>
      </c>
      <c r="C273" s="1" t="s">
        <v>13509</v>
      </c>
      <c r="D273" s="1" t="s">
        <v>2218</v>
      </c>
      <c r="E273" s="1" t="s">
        <v>13510</v>
      </c>
      <c r="F273" s="1" t="s">
        <v>12552</v>
      </c>
    </row>
    <row r="274">
      <c r="A274" s="1" t="s">
        <v>13702</v>
      </c>
      <c r="B274" s="1" t="s">
        <v>2954</v>
      </c>
      <c r="C274" s="1" t="s">
        <v>12556</v>
      </c>
      <c r="D274" s="1" t="s">
        <v>12558</v>
      </c>
      <c r="E274" s="1" t="s">
        <v>12559</v>
      </c>
      <c r="F274" s="1" t="s">
        <v>12561</v>
      </c>
    </row>
    <row r="275">
      <c r="A275" s="1" t="s">
        <v>13688</v>
      </c>
      <c r="B275" s="1" t="s">
        <v>2954</v>
      </c>
      <c r="C275" s="1" t="s">
        <v>13689</v>
      </c>
      <c r="D275" s="1" t="s">
        <v>13691</v>
      </c>
      <c r="E275" s="1" t="s">
        <v>13692</v>
      </c>
      <c r="F275" s="1" t="s">
        <v>89</v>
      </c>
    </row>
    <row r="276">
      <c r="A276" s="1" t="s">
        <v>13696</v>
      </c>
      <c r="B276" s="1" t="s">
        <v>2954</v>
      </c>
      <c r="C276" s="1" t="s">
        <v>13697</v>
      </c>
      <c r="D276" s="1" t="s">
        <v>13699</v>
      </c>
      <c r="E276" s="1" t="s">
        <v>13700</v>
      </c>
      <c r="F276" s="1" t="s">
        <v>45</v>
      </c>
    </row>
    <row r="277">
      <c r="A277" s="1" t="s">
        <v>13694</v>
      </c>
      <c r="B277" s="1" t="s">
        <v>2954</v>
      </c>
      <c r="C277" s="1" t="s">
        <v>12859</v>
      </c>
      <c r="D277" s="1" t="s">
        <v>803</v>
      </c>
      <c r="E277" s="1" t="s">
        <v>12860</v>
      </c>
      <c r="F277" s="1" t="s">
        <v>12552</v>
      </c>
    </row>
    <row r="278">
      <c r="A278" s="1" t="s">
        <v>13718</v>
      </c>
      <c r="B278" s="1" t="s">
        <v>2962</v>
      </c>
      <c r="C278" s="1" t="s">
        <v>13719</v>
      </c>
      <c r="D278" s="1" t="s">
        <v>726</v>
      </c>
      <c r="E278" s="1" t="s">
        <v>13720</v>
      </c>
      <c r="F278" s="1" t="s">
        <v>12552</v>
      </c>
    </row>
    <row r="279">
      <c r="A279" s="1" t="s">
        <v>13712</v>
      </c>
      <c r="B279" s="1" t="s">
        <v>2962</v>
      </c>
      <c r="C279" s="1" t="s">
        <v>13714</v>
      </c>
      <c r="D279" s="1" t="s">
        <v>13715</v>
      </c>
      <c r="E279" s="1" t="s">
        <v>13716</v>
      </c>
      <c r="F279" s="1" t="s">
        <v>89</v>
      </c>
    </row>
    <row r="280">
      <c r="A280" s="1" t="s">
        <v>13704</v>
      </c>
      <c r="B280" s="1" t="s">
        <v>2962</v>
      </c>
      <c r="C280" s="1" t="s">
        <v>13705</v>
      </c>
      <c r="D280" s="1" t="s">
        <v>13707</v>
      </c>
      <c r="E280" s="1" t="s">
        <v>13708</v>
      </c>
      <c r="F280" s="1" t="s">
        <v>45</v>
      </c>
    </row>
    <row r="281">
      <c r="A281" s="1" t="s">
        <v>13710</v>
      </c>
      <c r="B281" s="1" t="s">
        <v>2962</v>
      </c>
      <c r="C281" s="1" t="s">
        <v>12584</v>
      </c>
      <c r="D281" s="1" t="s">
        <v>12585</v>
      </c>
      <c r="E281" s="1" t="s">
        <v>12587</v>
      </c>
      <c r="F281" s="1" t="s">
        <v>12561</v>
      </c>
    </row>
    <row r="282">
      <c r="A282" s="1" t="s">
        <v>13724</v>
      </c>
      <c r="B282" s="1" t="s">
        <v>2967</v>
      </c>
      <c r="C282" s="1" t="s">
        <v>13725</v>
      </c>
      <c r="D282" s="1" t="s">
        <v>13726</v>
      </c>
      <c r="E282" s="1" t="s">
        <v>13727</v>
      </c>
      <c r="F282" s="1" t="s">
        <v>89</v>
      </c>
    </row>
    <row r="283">
      <c r="A283" s="1" t="s">
        <v>13729</v>
      </c>
      <c r="B283" s="1" t="s">
        <v>2967</v>
      </c>
      <c r="C283" s="1" t="s">
        <v>13730</v>
      </c>
      <c r="D283" s="1" t="s">
        <v>13726</v>
      </c>
      <c r="E283" s="1" t="s">
        <v>13727</v>
      </c>
      <c r="F283" s="1" t="s">
        <v>45</v>
      </c>
    </row>
    <row r="284">
      <c r="A284" s="1" t="s">
        <v>13733</v>
      </c>
      <c r="B284" s="1" t="s">
        <v>2967</v>
      </c>
      <c r="C284" s="1" t="s">
        <v>12584</v>
      </c>
      <c r="D284" s="1" t="s">
        <v>12585</v>
      </c>
      <c r="E284" s="1" t="s">
        <v>12587</v>
      </c>
      <c r="F284" s="1" t="s">
        <v>12561</v>
      </c>
    </row>
    <row r="285">
      <c r="A285" s="1" t="s">
        <v>13721</v>
      </c>
      <c r="B285" s="1" t="s">
        <v>2967</v>
      </c>
      <c r="C285" s="1" t="s">
        <v>13719</v>
      </c>
      <c r="D285" s="1" t="s">
        <v>726</v>
      </c>
      <c r="E285" s="1" t="s">
        <v>13720</v>
      </c>
      <c r="F285" s="1" t="s">
        <v>12552</v>
      </c>
    </row>
    <row r="286">
      <c r="A286" s="1" t="s">
        <v>13738</v>
      </c>
      <c r="B286" s="1" t="s">
        <v>2643</v>
      </c>
      <c r="C286" s="1" t="s">
        <v>13740</v>
      </c>
      <c r="D286" s="1" t="s">
        <v>13741</v>
      </c>
      <c r="E286" s="1" t="s">
        <v>13742</v>
      </c>
      <c r="F286" s="1" t="s">
        <v>45</v>
      </c>
    </row>
    <row r="287">
      <c r="A287" s="1" t="s">
        <v>13744</v>
      </c>
      <c r="B287" s="1" t="s">
        <v>2643</v>
      </c>
      <c r="C287" s="1" t="s">
        <v>13745</v>
      </c>
      <c r="D287" s="1" t="s">
        <v>13746</v>
      </c>
      <c r="E287" s="1" t="s">
        <v>13747</v>
      </c>
      <c r="F287" s="1" t="s">
        <v>89</v>
      </c>
    </row>
    <row r="288">
      <c r="A288" s="1" t="s">
        <v>13753</v>
      </c>
      <c r="B288" s="1" t="s">
        <v>1997</v>
      </c>
      <c r="C288" s="1" t="s">
        <v>13352</v>
      </c>
      <c r="D288" s="1" t="s">
        <v>5108</v>
      </c>
      <c r="E288" s="1" t="s">
        <v>13354</v>
      </c>
      <c r="F288" s="1" t="s">
        <v>12552</v>
      </c>
    </row>
    <row r="289">
      <c r="A289" s="1" t="s">
        <v>13755</v>
      </c>
      <c r="B289" s="1" t="s">
        <v>2992</v>
      </c>
      <c r="C289" s="1" t="s">
        <v>13756</v>
      </c>
      <c r="D289" s="1" t="s">
        <v>5028</v>
      </c>
      <c r="E289" s="1" t="s">
        <v>13758</v>
      </c>
      <c r="F289" s="1" t="s">
        <v>12552</v>
      </c>
    </row>
    <row r="290">
      <c r="A290" s="1" t="s">
        <v>13760</v>
      </c>
      <c r="B290" s="1" t="s">
        <v>2992</v>
      </c>
      <c r="C290" s="1" t="s">
        <v>13761</v>
      </c>
      <c r="D290" s="1" t="s">
        <v>13762</v>
      </c>
      <c r="E290" s="1" t="s">
        <v>13763</v>
      </c>
      <c r="F290" s="1" t="s">
        <v>12580</v>
      </c>
    </row>
    <row r="291">
      <c r="A291" s="1" t="s">
        <v>13767</v>
      </c>
      <c r="B291" s="1" t="s">
        <v>4595</v>
      </c>
      <c r="C291" s="1" t="s">
        <v>13352</v>
      </c>
      <c r="D291" s="1" t="s">
        <v>5108</v>
      </c>
      <c r="E291" s="1" t="s">
        <v>13354</v>
      </c>
      <c r="F291" s="1" t="s">
        <v>12552</v>
      </c>
    </row>
    <row r="292">
      <c r="A292" s="1" t="s">
        <v>13769</v>
      </c>
      <c r="B292" s="1" t="s">
        <v>4694</v>
      </c>
      <c r="C292" s="1" t="s">
        <v>13770</v>
      </c>
      <c r="D292" s="1" t="s">
        <v>11156</v>
      </c>
      <c r="E292" s="1" t="s">
        <v>13772</v>
      </c>
      <c r="F292" s="1" t="s">
        <v>12580</v>
      </c>
    </row>
    <row r="293">
      <c r="A293" s="1" t="s">
        <v>13774</v>
      </c>
      <c r="B293" s="1" t="s">
        <v>4694</v>
      </c>
      <c r="C293" s="1" t="s">
        <v>12777</v>
      </c>
      <c r="D293" s="1" t="s">
        <v>3561</v>
      </c>
      <c r="E293" s="1" t="s">
        <v>12779</v>
      </c>
      <c r="F293" s="1" t="s">
        <v>12552</v>
      </c>
    </row>
    <row r="294">
      <c r="A294" s="1" t="s">
        <v>13782</v>
      </c>
      <c r="B294" s="1" t="s">
        <v>4716</v>
      </c>
      <c r="C294" s="1" t="s">
        <v>13784</v>
      </c>
      <c r="D294" s="1" t="s">
        <v>12680</v>
      </c>
      <c r="E294" s="1" t="s">
        <v>13785</v>
      </c>
      <c r="F294" s="1" t="s">
        <v>12552</v>
      </c>
    </row>
    <row r="295">
      <c r="A295" s="1" t="s">
        <v>13791</v>
      </c>
      <c r="B295" s="1" t="s">
        <v>4716</v>
      </c>
      <c r="C295" s="1" t="s">
        <v>13792</v>
      </c>
      <c r="D295" s="1" t="s">
        <v>13793</v>
      </c>
      <c r="E295" s="1" t="s">
        <v>13795</v>
      </c>
      <c r="F295" s="1" t="s">
        <v>89</v>
      </c>
    </row>
    <row r="296">
      <c r="A296" s="1" t="s">
        <v>13786</v>
      </c>
      <c r="B296" s="1" t="s">
        <v>4716</v>
      </c>
      <c r="C296" s="1" t="s">
        <v>13788</v>
      </c>
      <c r="D296" s="1" t="s">
        <v>13789</v>
      </c>
      <c r="E296" s="1" t="s">
        <v>13790</v>
      </c>
      <c r="F296" s="1" t="s">
        <v>45</v>
      </c>
    </row>
    <row r="297">
      <c r="A297" s="1" t="s">
        <v>13819</v>
      </c>
      <c r="B297" s="1" t="s">
        <v>4731</v>
      </c>
      <c r="C297" s="1" t="s">
        <v>13352</v>
      </c>
      <c r="D297" s="1" t="s">
        <v>5108</v>
      </c>
      <c r="E297" s="1" t="s">
        <v>13354</v>
      </c>
      <c r="F297" s="1" t="s">
        <v>12552</v>
      </c>
    </row>
    <row r="298">
      <c r="A298" s="1" t="s">
        <v>13821</v>
      </c>
      <c r="B298" s="1" t="s">
        <v>4747</v>
      </c>
      <c r="C298" s="1" t="s">
        <v>13770</v>
      </c>
      <c r="D298" s="1" t="s">
        <v>11156</v>
      </c>
      <c r="E298" s="1" t="s">
        <v>13772</v>
      </c>
      <c r="F298" s="1" t="s">
        <v>12552</v>
      </c>
    </row>
    <row r="299">
      <c r="A299" s="1" t="s">
        <v>13823</v>
      </c>
      <c r="B299" s="1" t="s">
        <v>4763</v>
      </c>
      <c r="C299" s="1" t="s">
        <v>12556</v>
      </c>
      <c r="D299" s="1" t="s">
        <v>12558</v>
      </c>
      <c r="E299" s="1" t="s">
        <v>12559</v>
      </c>
      <c r="F299" s="1" t="s">
        <v>12580</v>
      </c>
    </row>
    <row r="300">
      <c r="A300" s="1" t="s">
        <v>13826</v>
      </c>
      <c r="B300" s="1" t="s">
        <v>4763</v>
      </c>
      <c r="C300" s="1" t="s">
        <v>13147</v>
      </c>
      <c r="D300" s="1" t="s">
        <v>3022</v>
      </c>
      <c r="E300" s="1" t="s">
        <v>13148</v>
      </c>
      <c r="F300" s="1" t="s">
        <v>12552</v>
      </c>
    </row>
    <row r="301">
      <c r="A301" s="1" t="s">
        <v>13831</v>
      </c>
      <c r="B301" s="1" t="s">
        <v>4780</v>
      </c>
      <c r="C301" s="1" t="s">
        <v>13352</v>
      </c>
      <c r="D301" s="1" t="s">
        <v>5108</v>
      </c>
      <c r="E301" s="1" t="s">
        <v>13354</v>
      </c>
      <c r="F301" s="1" t="s">
        <v>12552</v>
      </c>
    </row>
    <row r="302">
      <c r="A302" s="1" t="s">
        <v>13833</v>
      </c>
      <c r="B302" s="1" t="s">
        <v>4797</v>
      </c>
      <c r="C302" s="1" t="s">
        <v>13352</v>
      </c>
      <c r="D302" s="1" t="s">
        <v>5108</v>
      </c>
      <c r="E302" s="1" t="s">
        <v>13354</v>
      </c>
      <c r="F302" s="1" t="s">
        <v>12552</v>
      </c>
    </row>
    <row r="303">
      <c r="A303" s="1" t="s">
        <v>13835</v>
      </c>
      <c r="B303" s="1" t="s">
        <v>4816</v>
      </c>
      <c r="C303" s="1" t="s">
        <v>13352</v>
      </c>
      <c r="D303" s="1" t="s">
        <v>5108</v>
      </c>
      <c r="E303" s="1" t="s">
        <v>13354</v>
      </c>
      <c r="F303" s="1" t="s">
        <v>12552</v>
      </c>
    </row>
    <row r="304">
      <c r="A304" s="1" t="s">
        <v>13852</v>
      </c>
      <c r="B304" s="1" t="s">
        <v>4875</v>
      </c>
      <c r="C304" s="1" t="s">
        <v>13257</v>
      </c>
      <c r="D304" s="1" t="s">
        <v>13258</v>
      </c>
      <c r="E304" s="1" t="s">
        <v>13259</v>
      </c>
      <c r="F304" s="1" t="s">
        <v>12561</v>
      </c>
    </row>
    <row r="305">
      <c r="A305" s="1" t="s">
        <v>13838</v>
      </c>
      <c r="B305" s="1" t="s">
        <v>4875</v>
      </c>
      <c r="C305" s="1" t="s">
        <v>13840</v>
      </c>
      <c r="D305" s="1" t="s">
        <v>13456</v>
      </c>
      <c r="E305" s="1" t="s">
        <v>13851</v>
      </c>
      <c r="F305" s="1" t="s">
        <v>12552</v>
      </c>
    </row>
    <row r="306">
      <c r="A306" s="1" t="s">
        <v>13855</v>
      </c>
      <c r="B306" s="1" t="s">
        <v>4896</v>
      </c>
      <c r="C306" s="1" t="s">
        <v>13856</v>
      </c>
      <c r="D306" s="1" t="s">
        <v>13857</v>
      </c>
      <c r="E306" s="1" t="s">
        <v>13858</v>
      </c>
      <c r="F306" s="1" t="s">
        <v>12552</v>
      </c>
    </row>
    <row r="307">
      <c r="A307" s="1" t="s">
        <v>13865</v>
      </c>
      <c r="B307" s="1" t="s">
        <v>4915</v>
      </c>
      <c r="C307" s="1" t="s">
        <v>13866</v>
      </c>
      <c r="D307" s="1" t="s">
        <v>13867</v>
      </c>
      <c r="E307" s="1" t="s">
        <v>13869</v>
      </c>
      <c r="F307" s="1" t="s">
        <v>12552</v>
      </c>
    </row>
    <row r="308">
      <c r="A308" s="1" t="s">
        <v>13859</v>
      </c>
      <c r="B308" s="1" t="s">
        <v>4915</v>
      </c>
      <c r="C308" s="1" t="s">
        <v>13861</v>
      </c>
      <c r="D308" s="1" t="s">
        <v>13862</v>
      </c>
      <c r="E308" s="1" t="s">
        <v>13863</v>
      </c>
      <c r="F308" s="1" t="s">
        <v>12580</v>
      </c>
    </row>
    <row r="309">
      <c r="A309" s="1" t="s">
        <v>13870</v>
      </c>
      <c r="B309" s="1" t="s">
        <v>4933</v>
      </c>
      <c r="C309" s="1" t="s">
        <v>13871</v>
      </c>
      <c r="D309" s="1" t="s">
        <v>13872</v>
      </c>
      <c r="E309" s="1" t="s">
        <v>13873</v>
      </c>
      <c r="F309" s="1" t="s">
        <v>45</v>
      </c>
    </row>
    <row r="310">
      <c r="A310" s="1" t="s">
        <v>13874</v>
      </c>
      <c r="B310" s="1" t="s">
        <v>4933</v>
      </c>
      <c r="C310" s="1" t="s">
        <v>13876</v>
      </c>
      <c r="D310" s="1" t="s">
        <v>13877</v>
      </c>
      <c r="E310" s="1" t="s">
        <v>13878</v>
      </c>
      <c r="F310" s="1" t="s">
        <v>89</v>
      </c>
    </row>
    <row r="311">
      <c r="A311" s="1" t="s">
        <v>13879</v>
      </c>
      <c r="B311" s="1" t="s">
        <v>5040</v>
      </c>
      <c r="C311" s="1" t="s">
        <v>12556</v>
      </c>
      <c r="D311" s="1" t="s">
        <v>12558</v>
      </c>
      <c r="E311" s="1" t="s">
        <v>12559</v>
      </c>
      <c r="F311" s="1" t="s">
        <v>12552</v>
      </c>
    </row>
    <row r="312">
      <c r="A312" s="1" t="s">
        <v>13881</v>
      </c>
      <c r="B312" s="1" t="s">
        <v>5200</v>
      </c>
      <c r="C312" s="1" t="s">
        <v>12556</v>
      </c>
      <c r="D312" s="1" t="s">
        <v>12558</v>
      </c>
      <c r="E312" s="1" t="s">
        <v>12559</v>
      </c>
      <c r="F312" s="1" t="s">
        <v>12552</v>
      </c>
    </row>
    <row r="313">
      <c r="A313" s="1" t="s">
        <v>13882</v>
      </c>
      <c r="B313" s="1" t="s">
        <v>5745</v>
      </c>
      <c r="C313" s="1" t="s">
        <v>12556</v>
      </c>
      <c r="D313" s="1" t="s">
        <v>12558</v>
      </c>
      <c r="E313" s="1" t="s">
        <v>12559</v>
      </c>
      <c r="F313" s="1" t="s">
        <v>12552</v>
      </c>
    </row>
    <row r="314">
      <c r="A314" s="1" t="s">
        <v>13885</v>
      </c>
      <c r="B314" s="1" t="s">
        <v>6208</v>
      </c>
      <c r="C314" s="1" t="s">
        <v>12556</v>
      </c>
      <c r="D314" s="1" t="s">
        <v>12558</v>
      </c>
      <c r="E314" s="1" t="s">
        <v>12559</v>
      </c>
      <c r="F314" s="1" t="s">
        <v>12552</v>
      </c>
    </row>
    <row r="315">
      <c r="A315" s="1" t="s">
        <v>13886</v>
      </c>
      <c r="B315" s="1" t="s">
        <v>6631</v>
      </c>
      <c r="C315" s="1" t="s">
        <v>12556</v>
      </c>
      <c r="D315" s="1" t="s">
        <v>12558</v>
      </c>
      <c r="E315" s="1" t="s">
        <v>12559</v>
      </c>
      <c r="F315" s="1" t="s">
        <v>12552</v>
      </c>
    </row>
    <row r="316">
      <c r="A316" s="1" t="s">
        <v>13888</v>
      </c>
      <c r="B316" s="1" t="s">
        <v>6213</v>
      </c>
      <c r="C316" s="1" t="s">
        <v>12556</v>
      </c>
      <c r="D316" s="1" t="s">
        <v>12558</v>
      </c>
      <c r="E316" s="1" t="s">
        <v>12559</v>
      </c>
      <c r="F316" s="1" t="s">
        <v>12552</v>
      </c>
    </row>
    <row r="317">
      <c r="A317" s="1" t="s">
        <v>13890</v>
      </c>
      <c r="B317" s="1" t="s">
        <v>7679</v>
      </c>
      <c r="C317" s="1" t="s">
        <v>12556</v>
      </c>
      <c r="D317" s="1" t="s">
        <v>12558</v>
      </c>
      <c r="E317" s="1" t="s">
        <v>12559</v>
      </c>
      <c r="F317" s="1" t="s">
        <v>12552</v>
      </c>
    </row>
    <row r="318">
      <c r="A318" s="1" t="s">
        <v>13892</v>
      </c>
      <c r="B318" s="1" t="s">
        <v>7199</v>
      </c>
      <c r="C318" s="1" t="s">
        <v>12556</v>
      </c>
      <c r="D318" s="1" t="s">
        <v>12558</v>
      </c>
      <c r="E318" s="1" t="s">
        <v>12559</v>
      </c>
      <c r="F318" s="1" t="s">
        <v>12552</v>
      </c>
    </row>
    <row r="319">
      <c r="A319" s="1" t="s">
        <v>13894</v>
      </c>
      <c r="B319" s="1" t="s">
        <v>6005</v>
      </c>
      <c r="C319" s="1" t="s">
        <v>12556</v>
      </c>
      <c r="D319" s="1" t="s">
        <v>12558</v>
      </c>
      <c r="E319" s="1" t="s">
        <v>12559</v>
      </c>
      <c r="F319" s="1" t="s">
        <v>12552</v>
      </c>
    </row>
    <row r="320">
      <c r="A320" s="1" t="s">
        <v>13896</v>
      </c>
      <c r="B320" s="1" t="s">
        <v>8664</v>
      </c>
      <c r="C320" s="1" t="s">
        <v>12556</v>
      </c>
      <c r="D320" s="1" t="s">
        <v>12558</v>
      </c>
      <c r="E320" s="1" t="s">
        <v>12559</v>
      </c>
      <c r="F320" s="1" t="s">
        <v>12552</v>
      </c>
    </row>
    <row r="321">
      <c r="A321" s="1" t="s">
        <v>13898</v>
      </c>
      <c r="B321" s="1" t="s">
        <v>8875</v>
      </c>
      <c r="C321" s="1" t="s">
        <v>12556</v>
      </c>
      <c r="D321" s="1" t="s">
        <v>12558</v>
      </c>
      <c r="E321" s="1" t="s">
        <v>12559</v>
      </c>
      <c r="F321" s="1" t="s">
        <v>12552</v>
      </c>
    </row>
    <row r="322">
      <c r="A322" s="1" t="s">
        <v>13899</v>
      </c>
      <c r="B322" s="1" t="s">
        <v>9090</v>
      </c>
      <c r="C322" s="1" t="s">
        <v>12556</v>
      </c>
      <c r="D322" s="1" t="s">
        <v>12558</v>
      </c>
      <c r="E322" s="1" t="s">
        <v>12559</v>
      </c>
      <c r="F322" s="1" t="s">
        <v>12552</v>
      </c>
    </row>
    <row r="323">
      <c r="A323" s="1" t="s">
        <v>13902</v>
      </c>
      <c r="B323" s="1" t="s">
        <v>7109</v>
      </c>
      <c r="C323" s="1" t="s">
        <v>12556</v>
      </c>
      <c r="D323" s="1" t="s">
        <v>12558</v>
      </c>
      <c r="E323" s="1" t="s">
        <v>12559</v>
      </c>
      <c r="F323" s="1" t="s">
        <v>12552</v>
      </c>
    </row>
    <row r="324">
      <c r="A324" s="1" t="s">
        <v>13904</v>
      </c>
      <c r="B324" s="1" t="s">
        <v>9337</v>
      </c>
      <c r="C324" s="1" t="s">
        <v>12556</v>
      </c>
      <c r="D324" s="1" t="s">
        <v>12558</v>
      </c>
      <c r="E324" s="1" t="s">
        <v>12559</v>
      </c>
      <c r="F324" s="1" t="s">
        <v>12552</v>
      </c>
    </row>
    <row r="325">
      <c r="A325" s="1" t="s">
        <v>13905</v>
      </c>
      <c r="B325" s="1" t="s">
        <v>9599</v>
      </c>
      <c r="C325" s="1" t="s">
        <v>12556</v>
      </c>
      <c r="D325" s="1" t="s">
        <v>12558</v>
      </c>
      <c r="E325" s="1" t="s">
        <v>12559</v>
      </c>
      <c r="F325" s="1" t="s">
        <v>12552</v>
      </c>
    </row>
    <row r="326">
      <c r="A326" s="1" t="s">
        <v>13909</v>
      </c>
      <c r="B326" s="1" t="s">
        <v>9742</v>
      </c>
      <c r="C326" s="1" t="s">
        <v>12556</v>
      </c>
      <c r="D326" s="1" t="s">
        <v>12558</v>
      </c>
      <c r="E326" s="1" t="s">
        <v>12559</v>
      </c>
      <c r="F326" s="1" t="s">
        <v>12552</v>
      </c>
    </row>
    <row r="327">
      <c r="A327" s="1" t="s">
        <v>13911</v>
      </c>
      <c r="B327" s="1" t="s">
        <v>9936</v>
      </c>
      <c r="C327" s="1" t="s">
        <v>12556</v>
      </c>
      <c r="D327" s="1" t="s">
        <v>12558</v>
      </c>
      <c r="E327" s="1" t="s">
        <v>12559</v>
      </c>
      <c r="F327" s="1" t="s">
        <v>12552</v>
      </c>
    </row>
    <row r="328">
      <c r="A328" s="1" t="s">
        <v>13912</v>
      </c>
      <c r="B328" s="1" t="s">
        <v>10449</v>
      </c>
      <c r="C328" s="1" t="s">
        <v>12556</v>
      </c>
      <c r="D328" s="1" t="s">
        <v>12558</v>
      </c>
      <c r="E328" s="1" t="s">
        <v>12559</v>
      </c>
      <c r="F328" s="1" t="s">
        <v>12552</v>
      </c>
    </row>
    <row r="329">
      <c r="A329" s="1" t="s">
        <v>13914</v>
      </c>
      <c r="B329" s="1" t="s">
        <v>10539</v>
      </c>
      <c r="C329" s="1" t="s">
        <v>12556</v>
      </c>
      <c r="D329" s="1" t="s">
        <v>12558</v>
      </c>
      <c r="E329" s="1" t="s">
        <v>12559</v>
      </c>
      <c r="F329" s="1" t="s">
        <v>12552</v>
      </c>
    </row>
    <row r="330">
      <c r="A330" s="1" t="s">
        <v>13917</v>
      </c>
      <c r="B330" s="1" t="s">
        <v>10811</v>
      </c>
      <c r="C330" s="1" t="s">
        <v>12556</v>
      </c>
      <c r="D330" s="1" t="s">
        <v>12558</v>
      </c>
      <c r="E330" s="1" t="s">
        <v>12559</v>
      </c>
      <c r="F330" s="1" t="s">
        <v>12552</v>
      </c>
    </row>
    <row r="331">
      <c r="A331" s="1" t="s">
        <v>13918</v>
      </c>
      <c r="B331" s="1" t="s">
        <v>10860</v>
      </c>
      <c r="C331" s="1" t="s">
        <v>12556</v>
      </c>
      <c r="D331" s="1" t="s">
        <v>12558</v>
      </c>
      <c r="E331" s="1" t="s">
        <v>12559</v>
      </c>
      <c r="F331" s="1" t="s">
        <v>12552</v>
      </c>
    </row>
    <row r="332">
      <c r="A332" s="1" t="s">
        <v>13919</v>
      </c>
      <c r="B332" s="1" t="s">
        <v>4501</v>
      </c>
      <c r="C332" s="1" t="s">
        <v>12556</v>
      </c>
      <c r="D332" s="1" t="s">
        <v>12558</v>
      </c>
      <c r="E332" s="1" t="s">
        <v>12559</v>
      </c>
      <c r="F332" s="1" t="s">
        <v>12552</v>
      </c>
    </row>
    <row r="333">
      <c r="A333" s="1" t="s">
        <v>13923</v>
      </c>
      <c r="B333" s="1" t="s">
        <v>7356</v>
      </c>
      <c r="C333" s="1" t="s">
        <v>12777</v>
      </c>
      <c r="D333" s="1" t="s">
        <v>3561</v>
      </c>
      <c r="E333" s="1" t="s">
        <v>12779</v>
      </c>
      <c r="F333" s="1" t="s">
        <v>12552</v>
      </c>
    </row>
    <row r="334">
      <c r="A334" s="1" t="s">
        <v>13929</v>
      </c>
      <c r="B334" s="1" t="s">
        <v>7356</v>
      </c>
      <c r="C334" s="1" t="s">
        <v>13931</v>
      </c>
      <c r="D334" s="1" t="s">
        <v>13932</v>
      </c>
      <c r="E334" s="1" t="s">
        <v>13933</v>
      </c>
      <c r="F334" s="1" t="s">
        <v>45</v>
      </c>
    </row>
    <row r="335">
      <c r="A335" s="1" t="s">
        <v>13925</v>
      </c>
      <c r="B335" s="1" t="s">
        <v>7356</v>
      </c>
      <c r="C335" s="1" t="s">
        <v>13926</v>
      </c>
      <c r="D335" s="1" t="s">
        <v>13927</v>
      </c>
      <c r="E335" s="1" t="s">
        <v>13928</v>
      </c>
      <c r="F335" s="1" t="s">
        <v>89</v>
      </c>
    </row>
    <row r="336">
      <c r="A336" s="1" t="s">
        <v>13935</v>
      </c>
      <c r="B336" s="1" t="s">
        <v>6787</v>
      </c>
      <c r="C336" s="1" t="s">
        <v>12556</v>
      </c>
      <c r="D336" s="1" t="s">
        <v>12558</v>
      </c>
      <c r="E336" s="1" t="s">
        <v>12559</v>
      </c>
      <c r="F336" s="1" t="s">
        <v>12552</v>
      </c>
    </row>
    <row r="337">
      <c r="A337" s="1" t="s">
        <v>13937</v>
      </c>
      <c r="B337" s="1" t="s">
        <v>12486</v>
      </c>
      <c r="C337" s="1" t="s">
        <v>12556</v>
      </c>
      <c r="D337" s="1" t="s">
        <v>12558</v>
      </c>
      <c r="E337" s="1" t="s">
        <v>12559</v>
      </c>
      <c r="F337" s="1" t="s">
        <v>12552</v>
      </c>
    </row>
    <row r="338">
      <c r="A338" s="1" t="s">
        <v>13938</v>
      </c>
      <c r="B338" s="1" t="s">
        <v>6044</v>
      </c>
      <c r="C338" s="1" t="s">
        <v>12556</v>
      </c>
      <c r="D338" s="1" t="s">
        <v>12558</v>
      </c>
      <c r="E338" s="1" t="s">
        <v>12559</v>
      </c>
      <c r="F338" s="1" t="s">
        <v>12552</v>
      </c>
    </row>
    <row r="339">
      <c r="A339" s="1" t="s">
        <v>13940</v>
      </c>
      <c r="B339" s="1" t="s">
        <v>13018</v>
      </c>
      <c r="C339" s="1" t="s">
        <v>12556</v>
      </c>
      <c r="D339" s="1" t="s">
        <v>12558</v>
      </c>
      <c r="E339" s="1" t="s">
        <v>12559</v>
      </c>
      <c r="F339" s="1" t="s">
        <v>12552</v>
      </c>
    </row>
    <row r="340">
      <c r="A340" s="1" t="s">
        <v>13942</v>
      </c>
      <c r="B340" s="1" t="s">
        <v>9387</v>
      </c>
      <c r="C340" s="1" t="s">
        <v>12556</v>
      </c>
      <c r="D340" s="1" t="s">
        <v>12558</v>
      </c>
      <c r="E340" s="1" t="s">
        <v>12559</v>
      </c>
      <c r="F340" s="1" t="s">
        <v>12552</v>
      </c>
    </row>
    <row r="341">
      <c r="A341" s="1" t="s">
        <v>13943</v>
      </c>
      <c r="B341" s="1" t="s">
        <v>7293</v>
      </c>
      <c r="C341" s="1" t="s">
        <v>12556</v>
      </c>
      <c r="D341" s="1" t="s">
        <v>12558</v>
      </c>
      <c r="E341" s="1" t="s">
        <v>12559</v>
      </c>
      <c r="F341" s="1" t="s">
        <v>12552</v>
      </c>
    </row>
    <row r="342">
      <c r="A342" s="1" t="s">
        <v>13945</v>
      </c>
      <c r="B342" s="1" t="s">
        <v>9658</v>
      </c>
      <c r="C342" s="1" t="s">
        <v>12556</v>
      </c>
      <c r="D342" s="1" t="s">
        <v>12558</v>
      </c>
      <c r="E342" s="1" t="s">
        <v>12559</v>
      </c>
      <c r="F342" s="1" t="s">
        <v>12552</v>
      </c>
    </row>
    <row r="343">
      <c r="A343" s="1" t="s">
        <v>13947</v>
      </c>
      <c r="B343" s="1" t="s">
        <v>12812</v>
      </c>
      <c r="C343" s="1" t="s">
        <v>12556</v>
      </c>
      <c r="D343" s="1" t="s">
        <v>12558</v>
      </c>
      <c r="E343" s="1" t="s">
        <v>12559</v>
      </c>
      <c r="F343" s="1" t="s">
        <v>12552</v>
      </c>
    </row>
    <row r="344">
      <c r="A344" s="1" t="s">
        <v>13949</v>
      </c>
      <c r="B344" s="1" t="s">
        <v>13950</v>
      </c>
      <c r="C344" s="1" t="s">
        <v>12556</v>
      </c>
      <c r="D344" s="1" t="s">
        <v>12558</v>
      </c>
      <c r="E344" s="1" t="s">
        <v>12559</v>
      </c>
      <c r="F344" s="1" t="s">
        <v>12552</v>
      </c>
    </row>
    <row r="345">
      <c r="A345" s="1" t="s">
        <v>13951</v>
      </c>
      <c r="B345" s="1" t="s">
        <v>4431</v>
      </c>
      <c r="C345" s="1" t="s">
        <v>12556</v>
      </c>
      <c r="D345" s="1" t="s">
        <v>12558</v>
      </c>
      <c r="E345" s="1" t="s">
        <v>12559</v>
      </c>
      <c r="F345" s="1" t="s">
        <v>12552</v>
      </c>
    </row>
    <row r="346">
      <c r="A346" s="1" t="s">
        <v>13953</v>
      </c>
      <c r="B346" s="1" t="s">
        <v>13954</v>
      </c>
      <c r="C346" s="1" t="s">
        <v>12556</v>
      </c>
      <c r="D346" s="1" t="s">
        <v>12558</v>
      </c>
      <c r="E346" s="1" t="s">
        <v>12559</v>
      </c>
      <c r="F346" s="1" t="s">
        <v>12552</v>
      </c>
    </row>
    <row r="347">
      <c r="A347" s="1" t="s">
        <v>13957</v>
      </c>
      <c r="B347" s="1" t="s">
        <v>7269</v>
      </c>
      <c r="C347" s="1" t="s">
        <v>12556</v>
      </c>
      <c r="D347" s="1" t="s">
        <v>12558</v>
      </c>
      <c r="E347" s="1" t="s">
        <v>12559</v>
      </c>
      <c r="F347" s="1" t="s">
        <v>12552</v>
      </c>
    </row>
    <row r="348">
      <c r="A348" s="1" t="s">
        <v>13958</v>
      </c>
      <c r="B348" s="1" t="s">
        <v>4399</v>
      </c>
      <c r="C348" s="1" t="s">
        <v>12556</v>
      </c>
      <c r="D348" s="1" t="s">
        <v>12558</v>
      </c>
      <c r="E348" s="1" t="s">
        <v>12559</v>
      </c>
      <c r="F348" s="1" t="s">
        <v>12552</v>
      </c>
    </row>
    <row r="349">
      <c r="A349" s="1" t="s">
        <v>13960</v>
      </c>
      <c r="B349" s="1" t="s">
        <v>13961</v>
      </c>
      <c r="C349" s="1" t="s">
        <v>12556</v>
      </c>
      <c r="D349" s="1" t="s">
        <v>12558</v>
      </c>
      <c r="E349" s="1" t="s">
        <v>12559</v>
      </c>
      <c r="F349" s="1" t="s">
        <v>12552</v>
      </c>
    </row>
    <row r="350">
      <c r="A350" s="1" t="s">
        <v>13964</v>
      </c>
      <c r="B350" s="1" t="s">
        <v>13965</v>
      </c>
      <c r="C350" s="1" t="s">
        <v>12556</v>
      </c>
      <c r="D350" s="1" t="s">
        <v>12558</v>
      </c>
      <c r="E350" s="1" t="s">
        <v>12559</v>
      </c>
      <c r="F350" s="1" t="s">
        <v>12552</v>
      </c>
    </row>
    <row r="351">
      <c r="A351" s="1" t="s">
        <v>13973</v>
      </c>
      <c r="B351" s="1" t="s">
        <v>9121</v>
      </c>
      <c r="C351" s="1" t="s">
        <v>13974</v>
      </c>
      <c r="D351" s="1" t="s">
        <v>13975</v>
      </c>
      <c r="E351" s="1" t="s">
        <v>13976</v>
      </c>
      <c r="F351" s="1" t="s">
        <v>89</v>
      </c>
    </row>
    <row r="352">
      <c r="A352" s="1" t="s">
        <v>13968</v>
      </c>
      <c r="B352" s="1" t="s">
        <v>9121</v>
      </c>
      <c r="C352" s="1" t="s">
        <v>13970</v>
      </c>
      <c r="D352" s="1" t="s">
        <v>13971</v>
      </c>
      <c r="E352" s="1" t="s">
        <v>13972</v>
      </c>
      <c r="F352" s="1" t="s">
        <v>45</v>
      </c>
    </row>
    <row r="353">
      <c r="A353" s="1" t="s">
        <v>13966</v>
      </c>
      <c r="B353" s="1" t="s">
        <v>9121</v>
      </c>
      <c r="C353" s="1" t="s">
        <v>12777</v>
      </c>
      <c r="D353" s="1" t="s">
        <v>3561</v>
      </c>
      <c r="E353" s="1" t="s">
        <v>12779</v>
      </c>
      <c r="F353" s="1" t="s">
        <v>12552</v>
      </c>
    </row>
    <row r="354">
      <c r="A354" s="1" t="s">
        <v>13977</v>
      </c>
      <c r="B354" s="1" t="s">
        <v>6718</v>
      </c>
      <c r="C354" s="1" t="s">
        <v>12556</v>
      </c>
      <c r="D354" s="1" t="s">
        <v>12558</v>
      </c>
      <c r="E354" s="1" t="s">
        <v>12559</v>
      </c>
      <c r="F354" s="1" t="s">
        <v>12552</v>
      </c>
    </row>
    <row r="355">
      <c r="A355" s="1" t="s">
        <v>13981</v>
      </c>
      <c r="B355" s="1" t="s">
        <v>5895</v>
      </c>
      <c r="C355" s="1" t="s">
        <v>12556</v>
      </c>
      <c r="D355" s="1" t="s">
        <v>12558</v>
      </c>
      <c r="E355" s="1" t="s">
        <v>12559</v>
      </c>
      <c r="F355" s="1" t="s">
        <v>12552</v>
      </c>
    </row>
    <row r="356">
      <c r="A356" s="1" t="s">
        <v>13982</v>
      </c>
      <c r="B356" s="1" t="s">
        <v>13983</v>
      </c>
      <c r="C356" s="1" t="s">
        <v>12556</v>
      </c>
      <c r="D356" s="1" t="s">
        <v>12558</v>
      </c>
      <c r="E356" s="1" t="s">
        <v>12559</v>
      </c>
      <c r="F356" s="1" t="s">
        <v>12552</v>
      </c>
    </row>
    <row r="357">
      <c r="A357" s="1" t="s">
        <v>13985</v>
      </c>
      <c r="B357" s="1" t="s">
        <v>7367</v>
      </c>
      <c r="C357" s="1" t="s">
        <v>12556</v>
      </c>
      <c r="D357" s="1" t="s">
        <v>12558</v>
      </c>
      <c r="E357" s="1" t="s">
        <v>12559</v>
      </c>
      <c r="F357" s="1" t="s">
        <v>12552</v>
      </c>
    </row>
    <row r="358">
      <c r="A358" s="1" t="s">
        <v>13990</v>
      </c>
      <c r="B358" s="1" t="s">
        <v>9581</v>
      </c>
      <c r="C358" s="1" t="s">
        <v>12556</v>
      </c>
      <c r="D358" s="1" t="s">
        <v>12558</v>
      </c>
      <c r="E358" s="1" t="s">
        <v>12559</v>
      </c>
      <c r="F358" s="1" t="s">
        <v>12552</v>
      </c>
    </row>
    <row r="359">
      <c r="A359" s="1" t="s">
        <v>13987</v>
      </c>
      <c r="B359" s="1" t="s">
        <v>9581</v>
      </c>
      <c r="C359" s="1" t="s">
        <v>13988</v>
      </c>
      <c r="D359" s="1" t="s">
        <v>9744</v>
      </c>
      <c r="E359" s="1" t="s">
        <v>13989</v>
      </c>
      <c r="F359" s="1" t="s">
        <v>12552</v>
      </c>
    </row>
    <row r="360">
      <c r="A360" s="1" t="s">
        <v>14000</v>
      </c>
      <c r="B360" s="1" t="s">
        <v>4789</v>
      </c>
      <c r="C360" s="1" t="s">
        <v>12556</v>
      </c>
      <c r="D360" s="1" t="s">
        <v>12558</v>
      </c>
      <c r="E360" s="1" t="s">
        <v>12559</v>
      </c>
      <c r="F360" s="1" t="s">
        <v>12561</v>
      </c>
    </row>
    <row r="361">
      <c r="A361" s="1" t="s">
        <v>14002</v>
      </c>
      <c r="B361" s="1" t="s">
        <v>4789</v>
      </c>
      <c r="C361" s="1" t="s">
        <v>14004</v>
      </c>
      <c r="D361" s="1" t="s">
        <v>14005</v>
      </c>
      <c r="E361" s="1" t="s">
        <v>14006</v>
      </c>
      <c r="F361" s="1" t="s">
        <v>89</v>
      </c>
    </row>
    <row r="362">
      <c r="A362" s="1" t="s">
        <v>13992</v>
      </c>
      <c r="B362" s="1" t="s">
        <v>4789</v>
      </c>
      <c r="C362" s="1" t="s">
        <v>13994</v>
      </c>
      <c r="D362" s="1" t="s">
        <v>13995</v>
      </c>
      <c r="E362" s="1" t="s">
        <v>13996</v>
      </c>
      <c r="F362" s="1" t="s">
        <v>45</v>
      </c>
    </row>
    <row r="363">
      <c r="A363" s="1" t="s">
        <v>13997</v>
      </c>
      <c r="B363" s="1" t="s">
        <v>4789</v>
      </c>
      <c r="C363" s="1" t="s">
        <v>13998</v>
      </c>
      <c r="D363" s="1" t="s">
        <v>4802</v>
      </c>
      <c r="E363" s="1" t="s">
        <v>13999</v>
      </c>
      <c r="F363" s="1" t="s">
        <v>12552</v>
      </c>
    </row>
    <row r="364">
      <c r="A364" s="1" t="s">
        <v>14007</v>
      </c>
      <c r="B364" s="1" t="s">
        <v>9986</v>
      </c>
      <c r="C364" s="1" t="s">
        <v>14008</v>
      </c>
      <c r="D364" s="1" t="s">
        <v>14009</v>
      </c>
      <c r="E364" s="1" t="s">
        <v>14010</v>
      </c>
      <c r="F364" s="1" t="s">
        <v>89</v>
      </c>
    </row>
    <row r="365">
      <c r="A365" s="1" t="s">
        <v>14015</v>
      </c>
      <c r="B365" s="1" t="s">
        <v>9986</v>
      </c>
      <c r="C365" s="1" t="s">
        <v>12556</v>
      </c>
      <c r="D365" s="1" t="s">
        <v>12558</v>
      </c>
      <c r="E365" s="1" t="s">
        <v>12559</v>
      </c>
      <c r="F365" s="1" t="s">
        <v>12561</v>
      </c>
    </row>
    <row r="366">
      <c r="A366" s="1" t="s">
        <v>14016</v>
      </c>
      <c r="B366" s="1" t="s">
        <v>9986</v>
      </c>
      <c r="C366" s="1" t="s">
        <v>14017</v>
      </c>
      <c r="D366" s="1" t="s">
        <v>14019</v>
      </c>
      <c r="E366" s="1" t="s">
        <v>14020</v>
      </c>
      <c r="F366" s="1" t="s">
        <v>45</v>
      </c>
    </row>
    <row r="367">
      <c r="A367" s="1" t="s">
        <v>14012</v>
      </c>
      <c r="B367" s="1" t="s">
        <v>9986</v>
      </c>
      <c r="C367" s="1" t="s">
        <v>13130</v>
      </c>
      <c r="D367" s="1" t="s">
        <v>2077</v>
      </c>
      <c r="E367" s="1" t="s">
        <v>13131</v>
      </c>
      <c r="F367" s="1" t="s">
        <v>12552</v>
      </c>
    </row>
    <row r="368">
      <c r="A368" s="1" t="s">
        <v>14021</v>
      </c>
      <c r="B368" s="1" t="s">
        <v>7766</v>
      </c>
      <c r="C368" s="1" t="s">
        <v>12556</v>
      </c>
      <c r="D368" s="1" t="s">
        <v>12558</v>
      </c>
      <c r="E368" s="1" t="s">
        <v>12559</v>
      </c>
      <c r="F368" s="1" t="s">
        <v>12552</v>
      </c>
    </row>
    <row r="369">
      <c r="A369" s="1" t="s">
        <v>14023</v>
      </c>
      <c r="B369" s="1" t="s">
        <v>14024</v>
      </c>
      <c r="C369" s="1" t="s">
        <v>12556</v>
      </c>
      <c r="D369" s="1" t="s">
        <v>12558</v>
      </c>
      <c r="E369" s="1" t="s">
        <v>12559</v>
      </c>
      <c r="F369" s="1" t="s">
        <v>12552</v>
      </c>
    </row>
    <row r="370">
      <c r="A370" s="1" t="s">
        <v>14026</v>
      </c>
      <c r="B370" s="1" t="s">
        <v>8369</v>
      </c>
      <c r="C370" s="1" t="s">
        <v>12556</v>
      </c>
      <c r="D370" s="1" t="s">
        <v>12558</v>
      </c>
      <c r="E370" s="1" t="s">
        <v>12559</v>
      </c>
      <c r="F370" s="1" t="s">
        <v>12552</v>
      </c>
    </row>
    <row r="371">
      <c r="A371" s="1" t="s">
        <v>14028</v>
      </c>
      <c r="B371" s="1" t="s">
        <v>5537</v>
      </c>
      <c r="C371" s="1" t="s">
        <v>12556</v>
      </c>
      <c r="D371" s="1" t="s">
        <v>12558</v>
      </c>
      <c r="E371" s="1" t="s">
        <v>12559</v>
      </c>
      <c r="F371" s="1" t="s">
        <v>12552</v>
      </c>
    </row>
    <row r="372">
      <c r="A372" s="1" t="s">
        <v>14030</v>
      </c>
      <c r="B372" s="1" t="s">
        <v>10705</v>
      </c>
      <c r="C372" s="1" t="s">
        <v>12556</v>
      </c>
      <c r="D372" s="1" t="s">
        <v>12558</v>
      </c>
      <c r="E372" s="1" t="s">
        <v>12559</v>
      </c>
      <c r="F372" s="1" t="s">
        <v>12552</v>
      </c>
    </row>
    <row r="373">
      <c r="A373" s="1" t="s">
        <v>14031</v>
      </c>
      <c r="B373" s="1" t="s">
        <v>9753</v>
      </c>
      <c r="C373" s="1" t="s">
        <v>12556</v>
      </c>
      <c r="D373" s="1" t="s">
        <v>12558</v>
      </c>
      <c r="E373" s="1" t="s">
        <v>12559</v>
      </c>
      <c r="F373" s="1" t="s">
        <v>12552</v>
      </c>
    </row>
    <row r="374">
      <c r="A374" s="1" t="s">
        <v>14033</v>
      </c>
      <c r="B374" s="1" t="s">
        <v>6548</v>
      </c>
      <c r="C374" s="1" t="s">
        <v>12556</v>
      </c>
      <c r="D374" s="1" t="s">
        <v>12558</v>
      </c>
      <c r="E374" s="1" t="s">
        <v>12559</v>
      </c>
      <c r="F374" s="1" t="s">
        <v>12552</v>
      </c>
    </row>
    <row r="375">
      <c r="A375" s="1" t="s">
        <v>14036</v>
      </c>
      <c r="B375" s="1" t="s">
        <v>14037</v>
      </c>
      <c r="C375" s="1" t="s">
        <v>12556</v>
      </c>
      <c r="D375" s="1" t="s">
        <v>12558</v>
      </c>
      <c r="E375" s="1" t="s">
        <v>12559</v>
      </c>
      <c r="F375" s="1" t="s">
        <v>12552</v>
      </c>
    </row>
    <row r="376">
      <c r="A376" s="1" t="s">
        <v>14038</v>
      </c>
      <c r="B376" s="1" t="s">
        <v>14039</v>
      </c>
      <c r="C376" s="1" t="s">
        <v>12556</v>
      </c>
      <c r="D376" s="1" t="s">
        <v>12558</v>
      </c>
      <c r="E376" s="1" t="s">
        <v>12559</v>
      </c>
      <c r="F376" s="1" t="s">
        <v>12552</v>
      </c>
    </row>
    <row r="377">
      <c r="A377" s="1" t="s">
        <v>14044</v>
      </c>
      <c r="B377" s="1" t="s">
        <v>10918</v>
      </c>
      <c r="C377" s="1" t="s">
        <v>12556</v>
      </c>
      <c r="D377" s="1" t="s">
        <v>12558</v>
      </c>
      <c r="E377" s="1" t="s">
        <v>12559</v>
      </c>
      <c r="F377" s="1" t="s">
        <v>12561</v>
      </c>
    </row>
    <row r="378">
      <c r="A378" s="1" t="s">
        <v>14045</v>
      </c>
      <c r="B378" s="1" t="s">
        <v>10918</v>
      </c>
      <c r="C378" s="1" t="s">
        <v>14046</v>
      </c>
      <c r="D378" s="1" t="s">
        <v>14047</v>
      </c>
      <c r="E378" s="1" t="s">
        <v>14048</v>
      </c>
      <c r="F378" s="1" t="s">
        <v>45</v>
      </c>
    </row>
    <row r="379">
      <c r="A379" s="1" t="s">
        <v>14041</v>
      </c>
      <c r="B379" s="1" t="s">
        <v>10918</v>
      </c>
      <c r="C379" s="1" t="s">
        <v>13130</v>
      </c>
      <c r="D379" s="1" t="s">
        <v>2077</v>
      </c>
      <c r="E379" s="1" t="s">
        <v>13131</v>
      </c>
      <c r="F379" s="1" t="s">
        <v>12552</v>
      </c>
    </row>
    <row r="380">
      <c r="A380" s="1" t="s">
        <v>14049</v>
      </c>
      <c r="B380" s="1" t="s">
        <v>4923</v>
      </c>
      <c r="C380" s="1" t="s">
        <v>12556</v>
      </c>
      <c r="D380" s="1" t="s">
        <v>12558</v>
      </c>
      <c r="E380" s="1" t="s">
        <v>12559</v>
      </c>
      <c r="F380" s="1" t="s">
        <v>12552</v>
      </c>
    </row>
    <row r="381">
      <c r="A381" s="1" t="s">
        <v>14051</v>
      </c>
      <c r="B381" s="1" t="s">
        <v>9501</v>
      </c>
      <c r="C381" s="1" t="s">
        <v>12556</v>
      </c>
      <c r="D381" s="1" t="s">
        <v>12558</v>
      </c>
      <c r="E381" s="1" t="s">
        <v>12559</v>
      </c>
      <c r="F381" s="1" t="s">
        <v>12552</v>
      </c>
    </row>
    <row r="382">
      <c r="A382" s="1" t="s">
        <v>14054</v>
      </c>
      <c r="B382" s="1" t="s">
        <v>13351</v>
      </c>
      <c r="C382" s="1" t="s">
        <v>12556</v>
      </c>
      <c r="D382" s="1" t="s">
        <v>12558</v>
      </c>
      <c r="E382" s="1" t="s">
        <v>12559</v>
      </c>
      <c r="F382" s="1" t="s">
        <v>12552</v>
      </c>
    </row>
    <row r="383">
      <c r="A383" s="1" t="s">
        <v>14055</v>
      </c>
      <c r="B383" s="1" t="s">
        <v>14056</v>
      </c>
      <c r="C383" s="1" t="s">
        <v>12556</v>
      </c>
      <c r="D383" s="1" t="s">
        <v>12558</v>
      </c>
      <c r="E383" s="1" t="s">
        <v>12559</v>
      </c>
      <c r="F383" s="1" t="s">
        <v>12552</v>
      </c>
    </row>
    <row r="384">
      <c r="A384" s="1" t="s">
        <v>14059</v>
      </c>
      <c r="B384" s="1" t="s">
        <v>6094</v>
      </c>
      <c r="C384" s="1" t="s">
        <v>12556</v>
      </c>
      <c r="D384" s="1" t="s">
        <v>12558</v>
      </c>
      <c r="E384" s="1" t="s">
        <v>12559</v>
      </c>
      <c r="F384" s="1" t="s">
        <v>12552</v>
      </c>
    </row>
    <row r="385">
      <c r="A385" s="1" t="s">
        <v>14062</v>
      </c>
      <c r="B385" s="1" t="s">
        <v>5247</v>
      </c>
      <c r="C385" s="1" t="s">
        <v>12556</v>
      </c>
      <c r="D385" s="1" t="s">
        <v>12558</v>
      </c>
      <c r="E385" s="1" t="s">
        <v>12559</v>
      </c>
      <c r="F385" s="1" t="s">
        <v>12552</v>
      </c>
    </row>
    <row r="386">
      <c r="A386" s="1" t="s">
        <v>14064</v>
      </c>
      <c r="B386" s="1" t="s">
        <v>6439</v>
      </c>
      <c r="C386" s="1" t="s">
        <v>12556</v>
      </c>
      <c r="D386" s="1" t="s">
        <v>12558</v>
      </c>
      <c r="E386" s="1" t="s">
        <v>12559</v>
      </c>
      <c r="F386" s="1" t="s">
        <v>12552</v>
      </c>
    </row>
    <row r="387">
      <c r="A387" s="1" t="s">
        <v>14066</v>
      </c>
      <c r="B387" s="1" t="s">
        <v>6867</v>
      </c>
      <c r="C387" s="1" t="s">
        <v>12556</v>
      </c>
      <c r="D387" s="1" t="s">
        <v>12558</v>
      </c>
      <c r="E387" s="1" t="s">
        <v>12559</v>
      </c>
      <c r="F387" s="1" t="s">
        <v>12552</v>
      </c>
    </row>
    <row r="388">
      <c r="A388" s="1" t="s">
        <v>14068</v>
      </c>
      <c r="B388" s="1" t="s">
        <v>8930</v>
      </c>
      <c r="C388" s="1" t="s">
        <v>12556</v>
      </c>
      <c r="D388" s="1" t="s">
        <v>12558</v>
      </c>
      <c r="E388" s="1" t="s">
        <v>12559</v>
      </c>
      <c r="F388" s="1" t="s">
        <v>12552</v>
      </c>
    </row>
    <row r="389">
      <c r="A389" s="1" t="s">
        <v>14069</v>
      </c>
      <c r="B389" s="1" t="s">
        <v>10248</v>
      </c>
      <c r="C389" s="1" t="s">
        <v>12556</v>
      </c>
      <c r="D389" s="1" t="s">
        <v>12558</v>
      </c>
      <c r="E389" s="1" t="s">
        <v>12559</v>
      </c>
      <c r="F389" s="1" t="s">
        <v>12552</v>
      </c>
    </row>
    <row r="390">
      <c r="A390" s="1" t="s">
        <v>14071</v>
      </c>
      <c r="B390" s="1" t="s">
        <v>7862</v>
      </c>
      <c r="C390" s="1" t="s">
        <v>12556</v>
      </c>
      <c r="D390" s="1" t="s">
        <v>12558</v>
      </c>
      <c r="E390" s="1" t="s">
        <v>12559</v>
      </c>
      <c r="F390" s="1" t="s">
        <v>12552</v>
      </c>
    </row>
    <row r="391">
      <c r="A391" s="1" t="s">
        <v>14074</v>
      </c>
      <c r="B391" s="1" t="s">
        <v>14075</v>
      </c>
      <c r="C391" s="1" t="s">
        <v>12556</v>
      </c>
      <c r="D391" s="1" t="s">
        <v>12558</v>
      </c>
      <c r="E391" s="1" t="s">
        <v>12559</v>
      </c>
      <c r="F391" s="1" t="s">
        <v>12552</v>
      </c>
    </row>
    <row r="392">
      <c r="A392" s="1" t="s">
        <v>14076</v>
      </c>
      <c r="B392" s="1" t="s">
        <v>14077</v>
      </c>
      <c r="C392" s="1" t="s">
        <v>12556</v>
      </c>
      <c r="D392" s="1" t="s">
        <v>12558</v>
      </c>
      <c r="E392" s="1" t="s">
        <v>12559</v>
      </c>
      <c r="F392" s="1" t="s">
        <v>12552</v>
      </c>
    </row>
    <row r="393">
      <c r="A393" s="1" t="s">
        <v>14079</v>
      </c>
      <c r="B393" s="1" t="s">
        <v>14081</v>
      </c>
      <c r="C393" s="1" t="s">
        <v>12556</v>
      </c>
      <c r="D393" s="1" t="s">
        <v>12558</v>
      </c>
      <c r="E393" s="1" t="s">
        <v>12559</v>
      </c>
      <c r="F393" s="1" t="s">
        <v>12552</v>
      </c>
    </row>
    <row r="394">
      <c r="A394" s="1" t="s">
        <v>14083</v>
      </c>
      <c r="B394" s="1" t="s">
        <v>14084</v>
      </c>
      <c r="C394" s="1" t="s">
        <v>12556</v>
      </c>
      <c r="D394" s="1" t="s">
        <v>12558</v>
      </c>
      <c r="E394" s="1" t="s">
        <v>12559</v>
      </c>
      <c r="F394" s="1" t="s">
        <v>12552</v>
      </c>
    </row>
    <row r="395">
      <c r="A395" s="1" t="s">
        <v>14085</v>
      </c>
      <c r="B395" s="1" t="s">
        <v>4494</v>
      </c>
      <c r="C395" s="1" t="s">
        <v>12556</v>
      </c>
      <c r="D395" s="1" t="s">
        <v>12558</v>
      </c>
      <c r="E395" s="1" t="s">
        <v>12559</v>
      </c>
      <c r="F395" s="1" t="s">
        <v>12552</v>
      </c>
    </row>
    <row r="396">
      <c r="A396" s="1" t="s">
        <v>14087</v>
      </c>
      <c r="B396" s="1" t="s">
        <v>7025</v>
      </c>
      <c r="C396" s="1" t="s">
        <v>12556</v>
      </c>
      <c r="D396" s="1" t="s">
        <v>12558</v>
      </c>
      <c r="E396" s="1" t="s">
        <v>12559</v>
      </c>
      <c r="F396" s="1" t="s">
        <v>12552</v>
      </c>
    </row>
    <row r="397">
      <c r="A397" s="1" t="s">
        <v>14089</v>
      </c>
      <c r="B397" s="1" t="s">
        <v>14090</v>
      </c>
      <c r="C397" s="1" t="s">
        <v>12556</v>
      </c>
      <c r="D397" s="1" t="s">
        <v>12558</v>
      </c>
      <c r="E397" s="1" t="s">
        <v>12559</v>
      </c>
      <c r="F397" s="1" t="s">
        <v>12552</v>
      </c>
    </row>
    <row r="398">
      <c r="A398" s="1" t="s">
        <v>14091</v>
      </c>
      <c r="B398" s="1" t="s">
        <v>14092</v>
      </c>
      <c r="C398" s="1" t="s">
        <v>12556</v>
      </c>
      <c r="D398" s="1" t="s">
        <v>12558</v>
      </c>
      <c r="E398" s="1" t="s">
        <v>12559</v>
      </c>
      <c r="F398" s="1" t="s">
        <v>12552</v>
      </c>
    </row>
    <row r="399">
      <c r="A399" s="1" t="s">
        <v>14093</v>
      </c>
      <c r="B399" s="1" t="s">
        <v>7221</v>
      </c>
      <c r="C399" s="1" t="s">
        <v>12556</v>
      </c>
      <c r="D399" s="1" t="s">
        <v>12558</v>
      </c>
      <c r="E399" s="1" t="s">
        <v>12559</v>
      </c>
      <c r="F399" s="1" t="s">
        <v>12552</v>
      </c>
    </row>
    <row r="400">
      <c r="A400" s="1" t="s">
        <v>14095</v>
      </c>
      <c r="B400" s="1" t="s">
        <v>14097</v>
      </c>
      <c r="C400" s="1" t="s">
        <v>12556</v>
      </c>
      <c r="D400" s="1" t="s">
        <v>12558</v>
      </c>
      <c r="E400" s="1" t="s">
        <v>12559</v>
      </c>
      <c r="F400" s="1" t="s">
        <v>12552</v>
      </c>
    </row>
    <row r="401">
      <c r="A401" s="1" t="s">
        <v>14098</v>
      </c>
      <c r="B401" s="1" t="s">
        <v>5759</v>
      </c>
      <c r="C401" s="1" t="s">
        <v>12556</v>
      </c>
      <c r="D401" s="1" t="s">
        <v>12558</v>
      </c>
      <c r="E401" s="1" t="s">
        <v>12559</v>
      </c>
      <c r="F401" s="1" t="s">
        <v>12552</v>
      </c>
    </row>
    <row r="402">
      <c r="A402" s="1" t="s">
        <v>14100</v>
      </c>
      <c r="B402" s="1" t="s">
        <v>6036</v>
      </c>
      <c r="C402" s="1" t="s">
        <v>12556</v>
      </c>
      <c r="D402" s="1" t="s">
        <v>12558</v>
      </c>
      <c r="E402" s="1" t="s">
        <v>12559</v>
      </c>
      <c r="F402" s="1" t="s">
        <v>12552</v>
      </c>
    </row>
    <row r="403">
      <c r="A403" s="1" t="s">
        <v>14102</v>
      </c>
      <c r="B403" s="1" t="s">
        <v>13438</v>
      </c>
      <c r="C403" s="1" t="s">
        <v>12556</v>
      </c>
      <c r="D403" s="1" t="s">
        <v>12558</v>
      </c>
      <c r="E403" s="1" t="s">
        <v>12559</v>
      </c>
      <c r="F403" s="1" t="s">
        <v>12552</v>
      </c>
    </row>
    <row r="404">
      <c r="A404" s="1" t="s">
        <v>14104</v>
      </c>
      <c r="B404" s="1" t="s">
        <v>11195</v>
      </c>
      <c r="C404" s="1" t="s">
        <v>12556</v>
      </c>
      <c r="D404" s="1" t="s">
        <v>12558</v>
      </c>
      <c r="E404" s="1" t="s">
        <v>12559</v>
      </c>
      <c r="F404" s="1" t="s">
        <v>12552</v>
      </c>
    </row>
    <row r="405">
      <c r="A405" s="1" t="s">
        <v>14105</v>
      </c>
      <c r="B405" s="1" t="s">
        <v>14106</v>
      </c>
      <c r="C405" s="1" t="s">
        <v>12556</v>
      </c>
      <c r="D405" s="1" t="s">
        <v>12558</v>
      </c>
      <c r="E405" s="1" t="s">
        <v>12559</v>
      </c>
      <c r="F405" s="1" t="s">
        <v>12552</v>
      </c>
    </row>
    <row r="406">
      <c r="A406" s="1" t="s">
        <v>14108</v>
      </c>
      <c r="B406" s="1" t="s">
        <v>13775</v>
      </c>
      <c r="C406" s="1" t="s">
        <v>12556</v>
      </c>
      <c r="D406" s="1" t="s">
        <v>12558</v>
      </c>
      <c r="E406" s="1" t="s">
        <v>12559</v>
      </c>
      <c r="F406" s="1" t="s">
        <v>12552</v>
      </c>
    </row>
    <row r="407">
      <c r="A407" s="1" t="s">
        <v>14115</v>
      </c>
      <c r="B407" s="1" t="s">
        <v>12272</v>
      </c>
      <c r="C407" s="1" t="s">
        <v>14117</v>
      </c>
      <c r="D407" s="1" t="s">
        <v>14118</v>
      </c>
      <c r="E407" s="1" t="s">
        <v>14119</v>
      </c>
      <c r="F407" s="1" t="s">
        <v>45</v>
      </c>
    </row>
    <row r="408">
      <c r="A408" s="1" t="s">
        <v>14112</v>
      </c>
      <c r="B408" s="1" t="s">
        <v>12272</v>
      </c>
      <c r="C408" s="1" t="s">
        <v>13130</v>
      </c>
      <c r="D408" s="1" t="s">
        <v>2077</v>
      </c>
      <c r="E408" s="1" t="s">
        <v>13131</v>
      </c>
      <c r="F408" s="1" t="s">
        <v>12552</v>
      </c>
    </row>
    <row r="409">
      <c r="A409" s="1" t="s">
        <v>14111</v>
      </c>
      <c r="B409" s="1" t="s">
        <v>12272</v>
      </c>
      <c r="C409" s="1" t="s">
        <v>12556</v>
      </c>
      <c r="D409" s="1" t="s">
        <v>12558</v>
      </c>
      <c r="E409" s="1" t="s">
        <v>12559</v>
      </c>
      <c r="F409" s="1" t="s">
        <v>12561</v>
      </c>
    </row>
    <row r="410">
      <c r="A410" s="1" t="s">
        <v>14120</v>
      </c>
      <c r="B410" s="1" t="s">
        <v>12272</v>
      </c>
      <c r="C410" s="1" t="s">
        <v>14121</v>
      </c>
      <c r="D410" s="1" t="s">
        <v>14122</v>
      </c>
      <c r="E410" s="1" t="s">
        <v>14123</v>
      </c>
      <c r="F410" s="1" t="s">
        <v>89</v>
      </c>
    </row>
    <row r="411">
      <c r="A411" s="1" t="s">
        <v>14124</v>
      </c>
      <c r="B411" s="1" t="s">
        <v>14125</v>
      </c>
      <c r="C411" s="1" t="s">
        <v>12556</v>
      </c>
      <c r="D411" s="1" t="s">
        <v>12558</v>
      </c>
      <c r="E411" s="1" t="s">
        <v>12559</v>
      </c>
      <c r="F411" s="1" t="s">
        <v>12552</v>
      </c>
    </row>
    <row r="412">
      <c r="A412" s="1" t="s">
        <v>14128</v>
      </c>
      <c r="B412" s="1" t="s">
        <v>6105</v>
      </c>
      <c r="C412" s="1" t="s">
        <v>12556</v>
      </c>
      <c r="D412" s="1" t="s">
        <v>12558</v>
      </c>
      <c r="E412" s="1" t="s">
        <v>12559</v>
      </c>
      <c r="F412" s="1" t="s">
        <v>12552</v>
      </c>
    </row>
    <row r="413">
      <c r="A413" s="1" t="s">
        <v>14130</v>
      </c>
      <c r="B413" s="1" t="s">
        <v>9106</v>
      </c>
      <c r="C413" s="1" t="s">
        <v>12556</v>
      </c>
      <c r="D413" s="1" t="s">
        <v>12558</v>
      </c>
      <c r="E413" s="1" t="s">
        <v>12559</v>
      </c>
      <c r="F413" s="1" t="s">
        <v>12552</v>
      </c>
    </row>
    <row r="414">
      <c r="A414" s="1" t="s">
        <v>14131</v>
      </c>
      <c r="B414" s="1" t="s">
        <v>9094</v>
      </c>
      <c r="C414" s="1" t="s">
        <v>12556</v>
      </c>
      <c r="D414" s="1" t="s">
        <v>12558</v>
      </c>
      <c r="E414" s="1" t="s">
        <v>12559</v>
      </c>
      <c r="F414" s="1" t="s">
        <v>12552</v>
      </c>
    </row>
    <row r="415">
      <c r="A415" s="1" t="s">
        <v>14142</v>
      </c>
      <c r="B415" s="1" t="s">
        <v>12749</v>
      </c>
      <c r="C415" s="1" t="s">
        <v>14136</v>
      </c>
      <c r="D415" s="1" t="s">
        <v>14137</v>
      </c>
      <c r="E415" s="1" t="s">
        <v>14138</v>
      </c>
      <c r="F415" s="1" t="s">
        <v>45</v>
      </c>
    </row>
    <row r="416">
      <c r="A416" s="1" t="s">
        <v>14135</v>
      </c>
      <c r="B416" s="1" t="s">
        <v>12749</v>
      </c>
      <c r="C416" s="1" t="s">
        <v>14136</v>
      </c>
      <c r="D416" s="1" t="s">
        <v>14137</v>
      </c>
      <c r="E416" s="1" t="s">
        <v>14138</v>
      </c>
      <c r="F416" s="1" t="s">
        <v>89</v>
      </c>
    </row>
    <row r="417">
      <c r="A417" s="1" t="s">
        <v>14144</v>
      </c>
      <c r="B417" s="1" t="s">
        <v>12749</v>
      </c>
      <c r="C417" s="1" t="s">
        <v>12556</v>
      </c>
      <c r="D417" s="1" t="s">
        <v>12558</v>
      </c>
      <c r="E417" s="1" t="s">
        <v>12559</v>
      </c>
      <c r="F417" s="1" t="s">
        <v>12561</v>
      </c>
    </row>
    <row r="418">
      <c r="A418" s="1" t="s">
        <v>14139</v>
      </c>
      <c r="B418" s="1" t="s">
        <v>12749</v>
      </c>
      <c r="C418" s="1" t="s">
        <v>13988</v>
      </c>
      <c r="D418" s="1" t="s">
        <v>9744</v>
      </c>
      <c r="E418" s="1" t="s">
        <v>13989</v>
      </c>
      <c r="F418" s="1" t="s">
        <v>12552</v>
      </c>
    </row>
    <row r="419">
      <c r="A419" s="1" t="s">
        <v>14155</v>
      </c>
      <c r="B419" s="1" t="s">
        <v>9830</v>
      </c>
      <c r="C419" s="1" t="s">
        <v>14156</v>
      </c>
      <c r="D419" s="1" t="s">
        <v>14157</v>
      </c>
      <c r="E419" s="1" t="s">
        <v>14158</v>
      </c>
      <c r="F419" s="1" t="s">
        <v>45</v>
      </c>
    </row>
    <row r="420">
      <c r="A420" s="1" t="s">
        <v>14145</v>
      </c>
      <c r="B420" s="1" t="s">
        <v>9830</v>
      </c>
      <c r="C420" s="1" t="s">
        <v>14147</v>
      </c>
      <c r="D420" s="1" t="s">
        <v>14148</v>
      </c>
      <c r="E420" s="1" t="s">
        <v>14149</v>
      </c>
      <c r="F420" s="1" t="s">
        <v>12561</v>
      </c>
    </row>
    <row r="421">
      <c r="A421" s="1" t="s">
        <v>14150</v>
      </c>
      <c r="B421" s="1" t="s">
        <v>9830</v>
      </c>
      <c r="C421" s="1" t="s">
        <v>14152</v>
      </c>
      <c r="D421" s="1" t="s">
        <v>14153</v>
      </c>
      <c r="E421" s="1" t="s">
        <v>14154</v>
      </c>
      <c r="F421" s="1" t="s">
        <v>89</v>
      </c>
    </row>
    <row r="422">
      <c r="A422" s="1" t="s">
        <v>14168</v>
      </c>
      <c r="B422" s="1" t="s">
        <v>9830</v>
      </c>
      <c r="C422" s="1" t="s">
        <v>14169</v>
      </c>
      <c r="D422" s="1" t="s">
        <v>14170</v>
      </c>
      <c r="E422" s="1" t="s">
        <v>14171</v>
      </c>
      <c r="F422" s="1" t="s">
        <v>12552</v>
      </c>
    </row>
    <row r="423">
      <c r="A423" s="1" t="s">
        <v>14159</v>
      </c>
      <c r="B423" s="1" t="s">
        <v>9830</v>
      </c>
      <c r="C423" s="1" t="s">
        <v>14162</v>
      </c>
      <c r="D423" s="1" t="s">
        <v>9846</v>
      </c>
      <c r="E423" s="1" t="s">
        <v>14163</v>
      </c>
      <c r="F423" s="1" t="s">
        <v>12552</v>
      </c>
    </row>
    <row r="424">
      <c r="A424" s="4"/>
      <c r="B424" s="4"/>
      <c r="C424" s="4"/>
      <c r="D424" s="4"/>
      <c r="E424" s="4"/>
      <c r="F424" s="4"/>
    </row>
    <row r="425">
      <c r="A425" s="4"/>
      <c r="B425" s="4"/>
      <c r="C425" s="4"/>
      <c r="D425" s="4"/>
      <c r="E425" s="4"/>
      <c r="F425" s="4"/>
    </row>
    <row r="426">
      <c r="A426" s="4"/>
      <c r="B426" s="4"/>
      <c r="C426" s="4"/>
      <c r="D426" s="4"/>
      <c r="E426" s="4"/>
      <c r="F426" s="4"/>
    </row>
    <row r="427">
      <c r="A427" s="4"/>
      <c r="B427" s="4"/>
      <c r="C427" s="4"/>
      <c r="D427" s="4"/>
      <c r="E427" s="4"/>
      <c r="F427" s="4"/>
    </row>
    <row r="428">
      <c r="A428" s="4"/>
      <c r="B428" s="4"/>
      <c r="C428" s="4"/>
      <c r="D428" s="4"/>
      <c r="E428" s="4"/>
      <c r="F428" s="4"/>
    </row>
    <row r="429">
      <c r="A429" s="4"/>
      <c r="B429" s="4"/>
      <c r="C429" s="4"/>
      <c r="D429" s="4"/>
      <c r="E429" s="4"/>
      <c r="F429" s="4"/>
    </row>
    <row r="430">
      <c r="A430" s="4"/>
      <c r="B430" s="4"/>
      <c r="C430" s="4"/>
      <c r="D430" s="4"/>
      <c r="E430" s="4"/>
      <c r="F430" s="4"/>
    </row>
    <row r="431">
      <c r="A431" s="4"/>
      <c r="B431" s="4"/>
      <c r="C431" s="4"/>
      <c r="D431" s="4"/>
      <c r="E431" s="4"/>
      <c r="F431" s="4"/>
    </row>
    <row r="432">
      <c r="A432" s="4"/>
      <c r="B432" s="4"/>
      <c r="C432" s="4"/>
      <c r="D432" s="4"/>
      <c r="E432" s="4"/>
      <c r="F432" s="4"/>
    </row>
    <row r="433">
      <c r="A433" s="4"/>
      <c r="B433" s="4"/>
      <c r="C433" s="4"/>
      <c r="D433" s="4"/>
      <c r="E433" s="4"/>
      <c r="F433" s="4"/>
    </row>
    <row r="434">
      <c r="A434" s="4"/>
      <c r="B434" s="4"/>
      <c r="C434" s="4"/>
      <c r="D434" s="4"/>
      <c r="E434" s="4"/>
      <c r="F434" s="4"/>
    </row>
    <row r="435">
      <c r="A435" s="4"/>
      <c r="B435" s="4"/>
      <c r="C435" s="4"/>
      <c r="D435" s="4"/>
      <c r="E435" s="4"/>
      <c r="F435" s="4"/>
    </row>
    <row r="436">
      <c r="A436" s="4"/>
      <c r="B436" s="4"/>
      <c r="C436" s="4"/>
      <c r="D436" s="4"/>
      <c r="E436" s="4"/>
      <c r="F436" s="4"/>
    </row>
    <row r="437">
      <c r="A437" s="4"/>
      <c r="B437" s="4"/>
      <c r="C437" s="4"/>
      <c r="D437" s="4"/>
      <c r="E437" s="4"/>
      <c r="F437" s="4"/>
    </row>
    <row r="438">
      <c r="A438" s="4"/>
      <c r="B438" s="4"/>
      <c r="C438" s="4"/>
      <c r="D438" s="4"/>
      <c r="E438" s="4"/>
      <c r="F438" s="4"/>
    </row>
    <row r="439">
      <c r="A439" s="4"/>
      <c r="B439" s="4"/>
      <c r="C439" s="4"/>
      <c r="D439" s="4"/>
      <c r="E439" s="4"/>
      <c r="F439" s="4"/>
    </row>
    <row r="440">
      <c r="A440" s="4"/>
      <c r="B440" s="4"/>
      <c r="C440" s="4"/>
      <c r="D440" s="4"/>
      <c r="E440" s="4"/>
      <c r="F440" s="4"/>
    </row>
    <row r="441">
      <c r="A441" s="4"/>
      <c r="B441" s="4"/>
      <c r="C441" s="4"/>
      <c r="D441" s="4"/>
      <c r="E441" s="4"/>
      <c r="F441" s="4"/>
    </row>
    <row r="442">
      <c r="A442" s="4"/>
      <c r="B442" s="4"/>
      <c r="C442" s="4"/>
      <c r="D442" s="4"/>
      <c r="E442" s="4"/>
      <c r="F442" s="4"/>
    </row>
    <row r="443">
      <c r="A443" s="4"/>
      <c r="B443" s="4"/>
      <c r="C443" s="4"/>
      <c r="D443" s="4"/>
      <c r="E443" s="4"/>
      <c r="F443" s="4"/>
    </row>
    <row r="444">
      <c r="A444" s="4"/>
      <c r="B444" s="4"/>
      <c r="C444" s="4"/>
      <c r="D444" s="4"/>
      <c r="E444" s="4"/>
      <c r="F444" s="4"/>
    </row>
    <row r="445">
      <c r="A445" s="4"/>
      <c r="B445" s="4"/>
      <c r="C445" s="4"/>
      <c r="D445" s="4"/>
      <c r="E445" s="4"/>
      <c r="F445" s="4"/>
    </row>
    <row r="446">
      <c r="A446" s="4"/>
      <c r="B446" s="4"/>
      <c r="C446" s="4"/>
      <c r="D446" s="4"/>
      <c r="E446" s="4"/>
      <c r="F446" s="4"/>
    </row>
    <row r="447">
      <c r="A447" s="4"/>
      <c r="B447" s="4"/>
      <c r="C447" s="4"/>
      <c r="D447" s="4"/>
      <c r="E447" s="4"/>
      <c r="F447" s="4"/>
    </row>
    <row r="448">
      <c r="A448" s="4"/>
      <c r="B448" s="4"/>
      <c r="C448" s="4"/>
      <c r="D448" s="4"/>
      <c r="E448" s="4"/>
      <c r="F448" s="4"/>
    </row>
    <row r="449">
      <c r="A449" s="4"/>
      <c r="B449" s="4"/>
      <c r="C449" s="4"/>
      <c r="D449" s="4"/>
      <c r="E449" s="4"/>
      <c r="F449" s="4"/>
    </row>
    <row r="450">
      <c r="A450" s="4"/>
      <c r="B450" s="4"/>
      <c r="C450" s="4"/>
      <c r="D450" s="4"/>
      <c r="E450" s="4"/>
      <c r="F450" s="4"/>
    </row>
    <row r="451">
      <c r="A451" s="4"/>
      <c r="B451" s="4"/>
      <c r="C451" s="4"/>
      <c r="D451" s="4"/>
      <c r="E451" s="4"/>
      <c r="F451" s="4"/>
    </row>
    <row r="452">
      <c r="A452" s="4"/>
      <c r="B452" s="4"/>
      <c r="C452" s="4"/>
      <c r="D452" s="4"/>
      <c r="E452" s="4"/>
      <c r="F452" s="4"/>
    </row>
    <row r="453">
      <c r="A453" s="4"/>
      <c r="B453" s="4"/>
      <c r="C453" s="4"/>
      <c r="D453" s="4"/>
      <c r="E453" s="4"/>
      <c r="F453" s="4"/>
    </row>
    <row r="454">
      <c r="A454" s="4"/>
      <c r="B454" s="4"/>
      <c r="C454" s="4"/>
      <c r="D454" s="4"/>
      <c r="E454" s="4"/>
      <c r="F454" s="4"/>
    </row>
    <row r="455">
      <c r="A455" s="4"/>
      <c r="B455" s="4"/>
      <c r="C455" s="4"/>
      <c r="D455" s="4"/>
      <c r="E455" s="4"/>
      <c r="F455" s="4"/>
    </row>
    <row r="456">
      <c r="A456" s="4"/>
      <c r="B456" s="4"/>
      <c r="C456" s="4"/>
      <c r="D456" s="4"/>
      <c r="E456" s="4"/>
      <c r="F456" s="4"/>
    </row>
    <row r="457">
      <c r="A457" s="4"/>
      <c r="B457" s="4"/>
      <c r="C457" s="4"/>
      <c r="D457" s="4"/>
      <c r="E457" s="4"/>
      <c r="F457" s="4"/>
    </row>
    <row r="458">
      <c r="A458" s="4"/>
      <c r="B458" s="4"/>
      <c r="C458" s="4"/>
      <c r="D458" s="4"/>
      <c r="E458" s="4"/>
      <c r="F458" s="4"/>
    </row>
    <row r="459">
      <c r="A459" s="4"/>
      <c r="B459" s="4"/>
      <c r="C459" s="4"/>
      <c r="D459" s="4"/>
      <c r="E459" s="4"/>
      <c r="F459" s="4"/>
    </row>
    <row r="460">
      <c r="A460" s="4"/>
      <c r="B460" s="4"/>
      <c r="C460" s="4"/>
      <c r="D460" s="4"/>
      <c r="E460" s="4"/>
      <c r="F460" s="4"/>
    </row>
    <row r="461">
      <c r="A461" s="4"/>
      <c r="B461" s="4"/>
      <c r="C461" s="4"/>
      <c r="D461" s="4"/>
      <c r="E461" s="4"/>
      <c r="F461" s="4"/>
    </row>
    <row r="462">
      <c r="A462" s="4"/>
      <c r="B462" s="4"/>
      <c r="C462" s="4"/>
      <c r="D462" s="4"/>
      <c r="E462" s="4"/>
      <c r="F462" s="4"/>
    </row>
    <row r="463">
      <c r="A463" s="4"/>
      <c r="B463" s="4"/>
      <c r="C463" s="4"/>
      <c r="D463" s="4"/>
      <c r="E463" s="4"/>
      <c r="F463" s="4"/>
    </row>
    <row r="464">
      <c r="A464" s="4"/>
      <c r="B464" s="4"/>
      <c r="C464" s="4"/>
      <c r="D464" s="4"/>
      <c r="E464" s="4"/>
      <c r="F464" s="4"/>
    </row>
    <row r="465">
      <c r="A465" s="4"/>
      <c r="B465" s="4"/>
      <c r="C465" s="4"/>
      <c r="D465" s="4"/>
      <c r="E465" s="4"/>
      <c r="F465" s="4"/>
    </row>
    <row r="466">
      <c r="A466" s="4"/>
      <c r="B466" s="4"/>
      <c r="C466" s="4"/>
      <c r="D466" s="4"/>
      <c r="E466" s="4"/>
      <c r="F466" s="4"/>
    </row>
    <row r="467">
      <c r="A467" s="4"/>
      <c r="B467" s="4"/>
      <c r="C467" s="4"/>
      <c r="D467" s="4"/>
      <c r="E467" s="4"/>
      <c r="F467" s="4"/>
    </row>
    <row r="468">
      <c r="A468" s="4"/>
      <c r="B468" s="4"/>
      <c r="C468" s="4"/>
      <c r="D468" s="4"/>
      <c r="E468" s="4"/>
      <c r="F468" s="4"/>
    </row>
    <row r="469">
      <c r="A469" s="4"/>
      <c r="B469" s="4"/>
      <c r="C469" s="4"/>
      <c r="D469" s="4"/>
      <c r="E469" s="4"/>
      <c r="F469" s="4"/>
    </row>
    <row r="470">
      <c r="A470" s="4"/>
      <c r="B470" s="4"/>
      <c r="C470" s="4"/>
      <c r="D470" s="4"/>
      <c r="E470" s="4"/>
      <c r="F470" s="4"/>
    </row>
    <row r="471">
      <c r="A471" s="4"/>
      <c r="B471" s="4"/>
      <c r="C471" s="4"/>
      <c r="D471" s="4"/>
      <c r="E471" s="4"/>
      <c r="F471" s="4"/>
    </row>
    <row r="472">
      <c r="A472" s="4"/>
      <c r="B472" s="4"/>
      <c r="C472" s="4"/>
      <c r="D472" s="4"/>
      <c r="E472" s="4"/>
      <c r="F472" s="4"/>
    </row>
    <row r="473">
      <c r="A473" s="4"/>
      <c r="B473" s="4"/>
      <c r="C473" s="4"/>
      <c r="D473" s="4"/>
      <c r="E473" s="4"/>
      <c r="F473" s="4"/>
    </row>
    <row r="474">
      <c r="A474" s="4"/>
      <c r="B474" s="4"/>
      <c r="C474" s="4"/>
      <c r="D474" s="4"/>
      <c r="E474" s="4"/>
      <c r="F474" s="4"/>
    </row>
    <row r="475">
      <c r="A475" s="4"/>
      <c r="B475" s="4"/>
      <c r="C475" s="4"/>
      <c r="D475" s="4"/>
      <c r="E475" s="4"/>
      <c r="F475" s="4"/>
    </row>
    <row r="476">
      <c r="A476" s="4"/>
      <c r="B476" s="4"/>
      <c r="C476" s="4"/>
      <c r="D476" s="4"/>
      <c r="E476" s="4"/>
      <c r="F476" s="4"/>
    </row>
    <row r="477">
      <c r="A477" s="4"/>
      <c r="B477" s="4"/>
      <c r="C477" s="4"/>
      <c r="D477" s="4"/>
      <c r="E477" s="4"/>
      <c r="F477" s="4"/>
    </row>
    <row r="478">
      <c r="A478" s="4"/>
      <c r="B478" s="4"/>
      <c r="C478" s="4"/>
      <c r="D478" s="4"/>
      <c r="E478" s="4"/>
      <c r="F478" s="4"/>
    </row>
    <row r="479">
      <c r="A479" s="4"/>
      <c r="B479" s="4"/>
      <c r="C479" s="4"/>
      <c r="D479" s="4"/>
      <c r="E479" s="4"/>
      <c r="F479" s="4"/>
    </row>
    <row r="480">
      <c r="A480" s="4"/>
      <c r="B480" s="4"/>
      <c r="C480" s="4"/>
      <c r="D480" s="4"/>
      <c r="E480" s="4"/>
      <c r="F480" s="4"/>
    </row>
    <row r="481">
      <c r="A481" s="4"/>
      <c r="B481" s="4"/>
      <c r="C481" s="4"/>
      <c r="D481" s="4"/>
      <c r="E481" s="4"/>
      <c r="F481" s="4"/>
    </row>
    <row r="482">
      <c r="A482" s="4"/>
      <c r="B482" s="4"/>
      <c r="C482" s="4"/>
      <c r="D482" s="4"/>
      <c r="E482" s="4"/>
      <c r="F482" s="4"/>
    </row>
    <row r="483">
      <c r="A483" s="4"/>
      <c r="B483" s="4"/>
      <c r="C483" s="4"/>
      <c r="D483" s="4"/>
      <c r="E483" s="4"/>
      <c r="F483" s="4"/>
    </row>
    <row r="484">
      <c r="A484" s="4"/>
      <c r="B484" s="4"/>
      <c r="C484" s="4"/>
      <c r="D484" s="4"/>
      <c r="E484" s="4"/>
      <c r="F484" s="4"/>
    </row>
    <row r="485">
      <c r="A485" s="4"/>
      <c r="B485" s="4"/>
      <c r="C485" s="4"/>
      <c r="D485" s="4"/>
      <c r="E485" s="4"/>
      <c r="F485" s="4"/>
    </row>
    <row r="486">
      <c r="A486" s="4"/>
      <c r="B486" s="4"/>
      <c r="C486" s="4"/>
      <c r="D486" s="4"/>
      <c r="E486" s="4"/>
      <c r="F486" s="4"/>
    </row>
    <row r="487">
      <c r="A487" s="4"/>
      <c r="B487" s="4"/>
      <c r="C487" s="4"/>
      <c r="D487" s="4"/>
      <c r="E487" s="4"/>
      <c r="F487" s="4"/>
    </row>
    <row r="488">
      <c r="A488" s="4"/>
      <c r="B488" s="4"/>
      <c r="C488" s="4"/>
      <c r="D488" s="4"/>
      <c r="E488" s="4"/>
      <c r="F488" s="4"/>
    </row>
    <row r="489">
      <c r="A489" s="4"/>
      <c r="B489" s="4"/>
      <c r="C489" s="4"/>
      <c r="D489" s="4"/>
      <c r="E489" s="4"/>
      <c r="F489" s="4"/>
    </row>
    <row r="490">
      <c r="A490" s="4"/>
      <c r="B490" s="4"/>
      <c r="C490" s="4"/>
      <c r="D490" s="4"/>
      <c r="E490" s="4"/>
      <c r="F490" s="4"/>
    </row>
    <row r="491">
      <c r="A491" s="4"/>
      <c r="B491" s="4"/>
      <c r="C491" s="4"/>
      <c r="D491" s="4"/>
      <c r="E491" s="4"/>
      <c r="F491" s="4"/>
    </row>
    <row r="492">
      <c r="A492" s="4"/>
      <c r="B492" s="4"/>
      <c r="C492" s="4"/>
      <c r="D492" s="4"/>
      <c r="E492" s="4"/>
      <c r="F492" s="4"/>
    </row>
    <row r="493">
      <c r="A493" s="4"/>
      <c r="B493" s="4"/>
      <c r="C493" s="4"/>
      <c r="D493" s="4"/>
      <c r="E493" s="4"/>
      <c r="F493" s="4"/>
    </row>
    <row r="494">
      <c r="A494" s="4"/>
      <c r="B494" s="4"/>
      <c r="C494" s="4"/>
      <c r="D494" s="4"/>
      <c r="E494" s="4"/>
      <c r="F494" s="4"/>
    </row>
    <row r="495">
      <c r="A495" s="4"/>
      <c r="B495" s="4"/>
      <c r="C495" s="4"/>
      <c r="D495" s="4"/>
      <c r="E495" s="4"/>
      <c r="F495" s="4"/>
    </row>
    <row r="496">
      <c r="A496" s="4"/>
      <c r="B496" s="4"/>
      <c r="C496" s="4"/>
      <c r="D496" s="4"/>
      <c r="E496" s="4"/>
      <c r="F496" s="4"/>
    </row>
    <row r="497">
      <c r="A497" s="4"/>
      <c r="B497" s="4"/>
      <c r="C497" s="4"/>
      <c r="D497" s="4"/>
      <c r="E497" s="4"/>
      <c r="F497" s="4"/>
    </row>
    <row r="498">
      <c r="A498" s="4"/>
      <c r="B498" s="4"/>
      <c r="C498" s="4"/>
      <c r="D498" s="4"/>
      <c r="E498" s="4"/>
      <c r="F498" s="4"/>
    </row>
    <row r="499">
      <c r="A499" s="4"/>
      <c r="B499" s="4"/>
      <c r="C499" s="4"/>
      <c r="D499" s="4"/>
      <c r="E499" s="4"/>
      <c r="F499" s="4"/>
    </row>
    <row r="500">
      <c r="A500" s="4"/>
      <c r="B500" s="4"/>
      <c r="C500" s="4"/>
      <c r="D500" s="4"/>
      <c r="E500" s="4"/>
      <c r="F500" s="4"/>
    </row>
    <row r="501">
      <c r="A501" s="4"/>
      <c r="B501" s="4"/>
      <c r="C501" s="4"/>
      <c r="D501" s="4"/>
      <c r="E501" s="4"/>
      <c r="F501" s="4"/>
    </row>
    <row r="502">
      <c r="A502" s="4"/>
      <c r="B502" s="4"/>
      <c r="C502" s="4"/>
      <c r="D502" s="4"/>
      <c r="E502" s="4"/>
      <c r="F502" s="4"/>
    </row>
    <row r="503">
      <c r="A503" s="4"/>
      <c r="B503" s="4"/>
      <c r="C503" s="4"/>
      <c r="D503" s="4"/>
      <c r="E503" s="4"/>
      <c r="F503" s="4"/>
    </row>
    <row r="504">
      <c r="A504" s="4"/>
      <c r="B504" s="4"/>
      <c r="C504" s="4"/>
      <c r="D504" s="4"/>
      <c r="E504" s="4"/>
      <c r="F504" s="4"/>
    </row>
    <row r="505">
      <c r="A505" s="4"/>
      <c r="B505" s="4"/>
      <c r="C505" s="4"/>
      <c r="D505" s="4"/>
      <c r="E505" s="4"/>
      <c r="F505" s="4"/>
    </row>
    <row r="506">
      <c r="A506" s="4"/>
      <c r="B506" s="4"/>
      <c r="C506" s="4"/>
      <c r="D506" s="4"/>
      <c r="E506" s="4"/>
      <c r="F506" s="4"/>
    </row>
    <row r="507">
      <c r="A507" s="4"/>
      <c r="B507" s="4"/>
      <c r="C507" s="4"/>
      <c r="D507" s="4"/>
      <c r="E507" s="4"/>
      <c r="F507" s="4"/>
    </row>
    <row r="508">
      <c r="A508" s="4"/>
      <c r="B508" s="4"/>
      <c r="C508" s="4"/>
      <c r="D508" s="4"/>
      <c r="E508" s="4"/>
      <c r="F508" s="4"/>
    </row>
    <row r="509">
      <c r="A509" s="4"/>
      <c r="B509" s="4"/>
      <c r="C509" s="4"/>
      <c r="D509" s="4"/>
      <c r="E509" s="4"/>
      <c r="F509" s="4"/>
    </row>
    <row r="510">
      <c r="A510" s="4"/>
      <c r="B510" s="4"/>
      <c r="C510" s="4"/>
      <c r="D510" s="4"/>
      <c r="E510" s="4"/>
      <c r="F510" s="4"/>
    </row>
    <row r="511">
      <c r="A511" s="4"/>
      <c r="B511" s="4"/>
      <c r="C511" s="4"/>
      <c r="D511" s="4"/>
      <c r="E511" s="4"/>
      <c r="F511" s="4"/>
    </row>
    <row r="512">
      <c r="A512" s="4"/>
      <c r="B512" s="4"/>
      <c r="C512" s="4"/>
      <c r="D512" s="4"/>
      <c r="E512" s="4"/>
      <c r="F512" s="4"/>
    </row>
    <row r="513">
      <c r="A513" s="4"/>
      <c r="B513" s="4"/>
      <c r="C513" s="4"/>
      <c r="D513" s="4"/>
      <c r="E513" s="4"/>
      <c r="F513" s="4"/>
    </row>
    <row r="514">
      <c r="A514" s="4"/>
      <c r="B514" s="4"/>
      <c r="C514" s="4"/>
      <c r="D514" s="4"/>
      <c r="E514" s="4"/>
      <c r="F514" s="4"/>
    </row>
    <row r="515">
      <c r="A515" s="4"/>
      <c r="B515" s="4"/>
      <c r="C515" s="4"/>
      <c r="D515" s="4"/>
      <c r="E515" s="4"/>
      <c r="F515" s="4"/>
    </row>
    <row r="516">
      <c r="A516" s="4"/>
      <c r="B516" s="4"/>
      <c r="C516" s="4"/>
      <c r="D516" s="4"/>
      <c r="E516" s="4"/>
      <c r="F516" s="4"/>
    </row>
    <row r="517">
      <c r="A517" s="4"/>
      <c r="B517" s="4"/>
      <c r="C517" s="4"/>
      <c r="D517" s="4"/>
      <c r="E517" s="4"/>
      <c r="F517" s="4"/>
    </row>
    <row r="518">
      <c r="A518" s="4"/>
      <c r="B518" s="4"/>
      <c r="C518" s="4"/>
      <c r="D518" s="4"/>
      <c r="E518" s="4"/>
      <c r="F518" s="4"/>
    </row>
    <row r="519">
      <c r="A519" s="4"/>
      <c r="B519" s="4"/>
      <c r="C519" s="4"/>
      <c r="D519" s="4"/>
      <c r="E519" s="4"/>
      <c r="F519" s="4"/>
    </row>
    <row r="520">
      <c r="A520" s="4"/>
      <c r="B520" s="4"/>
      <c r="C520" s="4"/>
      <c r="D520" s="4"/>
      <c r="E520" s="4"/>
      <c r="F520" s="4"/>
    </row>
    <row r="521">
      <c r="A521" s="4"/>
      <c r="B521" s="4"/>
      <c r="C521" s="4"/>
      <c r="D521" s="4"/>
      <c r="E521" s="4"/>
      <c r="F521" s="4"/>
    </row>
    <row r="522">
      <c r="A522" s="4"/>
      <c r="B522" s="4"/>
      <c r="C522" s="4"/>
      <c r="D522" s="4"/>
      <c r="E522" s="4"/>
      <c r="F522" s="4"/>
    </row>
    <row r="523">
      <c r="A523" s="4"/>
      <c r="B523" s="4"/>
      <c r="C523" s="4"/>
      <c r="D523" s="4"/>
      <c r="E523" s="4"/>
      <c r="F523" s="4"/>
    </row>
    <row r="524">
      <c r="A524" s="4"/>
      <c r="B524" s="4"/>
      <c r="C524" s="4"/>
      <c r="D524" s="4"/>
      <c r="E524" s="4"/>
      <c r="F524" s="4"/>
    </row>
    <row r="525">
      <c r="A525" s="4"/>
      <c r="B525" s="4"/>
      <c r="C525" s="4"/>
      <c r="D525" s="4"/>
      <c r="E525" s="4"/>
      <c r="F525" s="4"/>
    </row>
    <row r="526">
      <c r="A526" s="4"/>
      <c r="B526" s="4"/>
      <c r="C526" s="4"/>
      <c r="D526" s="4"/>
      <c r="E526" s="4"/>
      <c r="F526" s="4"/>
    </row>
    <row r="527">
      <c r="A527" s="4"/>
      <c r="B527" s="4"/>
      <c r="C527" s="4"/>
      <c r="D527" s="4"/>
      <c r="E527" s="4"/>
      <c r="F527" s="4"/>
    </row>
    <row r="528">
      <c r="A528" s="4"/>
      <c r="B528" s="4"/>
      <c r="C528" s="4"/>
      <c r="D528" s="4"/>
      <c r="E528" s="4"/>
      <c r="F528" s="4"/>
    </row>
    <row r="529">
      <c r="A529" s="4"/>
      <c r="B529" s="4"/>
      <c r="C529" s="4"/>
      <c r="D529" s="4"/>
      <c r="E529" s="4"/>
      <c r="F529" s="4"/>
    </row>
    <row r="530">
      <c r="A530" s="4"/>
      <c r="B530" s="4"/>
      <c r="C530" s="4"/>
      <c r="D530" s="4"/>
      <c r="E530" s="4"/>
      <c r="F530" s="4"/>
    </row>
    <row r="531">
      <c r="A531" s="4"/>
      <c r="B531" s="4"/>
      <c r="C531" s="4"/>
      <c r="D531" s="4"/>
      <c r="E531" s="4"/>
      <c r="F531" s="4"/>
    </row>
    <row r="532">
      <c r="A532" s="4"/>
      <c r="B532" s="4"/>
      <c r="C532" s="4"/>
      <c r="D532" s="4"/>
      <c r="E532" s="4"/>
      <c r="F532" s="4"/>
    </row>
    <row r="533">
      <c r="A533" s="4"/>
      <c r="B533" s="4"/>
      <c r="C533" s="4"/>
      <c r="D533" s="4"/>
      <c r="E533" s="4"/>
      <c r="F533" s="4"/>
    </row>
    <row r="534">
      <c r="A534" s="4"/>
      <c r="B534" s="4"/>
      <c r="C534" s="4"/>
      <c r="D534" s="4"/>
      <c r="E534" s="4"/>
      <c r="F534" s="4"/>
    </row>
    <row r="535">
      <c r="A535" s="4"/>
      <c r="B535" s="4"/>
      <c r="C535" s="4"/>
      <c r="D535" s="4"/>
      <c r="E535" s="4"/>
      <c r="F535" s="4"/>
    </row>
    <row r="536">
      <c r="A536" s="4"/>
      <c r="B536" s="4"/>
      <c r="C536" s="4"/>
      <c r="D536" s="4"/>
      <c r="E536" s="4"/>
      <c r="F536" s="4"/>
    </row>
    <row r="537">
      <c r="A537" s="4"/>
      <c r="B537" s="4"/>
      <c r="C537" s="4"/>
      <c r="D537" s="4"/>
      <c r="E537" s="4"/>
      <c r="F537" s="4"/>
    </row>
    <row r="538">
      <c r="A538" s="4"/>
      <c r="B538" s="4"/>
      <c r="C538" s="4"/>
      <c r="D538" s="4"/>
      <c r="E538" s="4"/>
      <c r="F538" s="4"/>
    </row>
    <row r="539">
      <c r="A539" s="4"/>
      <c r="B539" s="4"/>
      <c r="C539" s="4"/>
      <c r="D539" s="4"/>
      <c r="E539" s="4"/>
      <c r="F539" s="4"/>
    </row>
    <row r="540">
      <c r="A540" s="4"/>
      <c r="B540" s="4"/>
      <c r="C540" s="4"/>
      <c r="D540" s="4"/>
      <c r="E540" s="4"/>
      <c r="F540" s="4"/>
    </row>
    <row r="541">
      <c r="A541" s="4"/>
      <c r="B541" s="4"/>
      <c r="C541" s="4"/>
      <c r="D541" s="4"/>
      <c r="E541" s="4"/>
      <c r="F541" s="4"/>
    </row>
    <row r="542">
      <c r="A542" s="4"/>
      <c r="B542" s="4"/>
      <c r="C542" s="4"/>
      <c r="D542" s="4"/>
      <c r="E542" s="4"/>
      <c r="F542" s="4"/>
    </row>
    <row r="543">
      <c r="A543" s="4"/>
      <c r="B543" s="4"/>
      <c r="C543" s="4"/>
      <c r="D543" s="4"/>
      <c r="E543" s="4"/>
      <c r="F543" s="4"/>
    </row>
    <row r="544">
      <c r="A544" s="4"/>
      <c r="B544" s="4"/>
      <c r="C544" s="4"/>
      <c r="D544" s="4"/>
      <c r="E544" s="4"/>
      <c r="F544" s="4"/>
    </row>
    <row r="545">
      <c r="A545" s="4"/>
      <c r="B545" s="4"/>
      <c r="C545" s="4"/>
      <c r="D545" s="4"/>
      <c r="E545" s="4"/>
      <c r="F545" s="4"/>
    </row>
    <row r="546">
      <c r="A546" s="4"/>
      <c r="B546" s="4"/>
      <c r="C546" s="4"/>
      <c r="D546" s="4"/>
      <c r="E546" s="4"/>
      <c r="F546" s="4"/>
    </row>
    <row r="547">
      <c r="A547" s="4"/>
      <c r="B547" s="4"/>
      <c r="C547" s="4"/>
      <c r="D547" s="4"/>
      <c r="E547" s="4"/>
      <c r="F547" s="4"/>
    </row>
    <row r="548">
      <c r="A548" s="4"/>
      <c r="B548" s="4"/>
      <c r="C548" s="4"/>
      <c r="D548" s="4"/>
      <c r="E548" s="4"/>
      <c r="F548" s="4"/>
    </row>
    <row r="549">
      <c r="A549" s="4"/>
      <c r="B549" s="4"/>
      <c r="C549" s="4"/>
      <c r="D549" s="4"/>
      <c r="E549" s="4"/>
      <c r="F549" s="4"/>
    </row>
    <row r="550">
      <c r="A550" s="4"/>
      <c r="B550" s="4"/>
      <c r="C550" s="4"/>
      <c r="D550" s="4"/>
      <c r="E550" s="4"/>
      <c r="F550" s="4"/>
    </row>
    <row r="551">
      <c r="A551" s="4"/>
      <c r="B551" s="4"/>
      <c r="C551" s="4"/>
      <c r="D551" s="4"/>
      <c r="E551" s="4"/>
      <c r="F551" s="4"/>
    </row>
    <row r="552">
      <c r="A552" s="4"/>
      <c r="B552" s="4"/>
      <c r="C552" s="4"/>
      <c r="D552" s="4"/>
      <c r="E552" s="4"/>
      <c r="F552" s="4"/>
    </row>
    <row r="553">
      <c r="A553" s="4"/>
      <c r="B553" s="4"/>
      <c r="C553" s="4"/>
      <c r="D553" s="4"/>
      <c r="E553" s="4"/>
      <c r="F553" s="4"/>
    </row>
    <row r="554">
      <c r="A554" s="4"/>
      <c r="B554" s="4"/>
      <c r="C554" s="4"/>
      <c r="D554" s="4"/>
      <c r="E554" s="4"/>
      <c r="F554" s="4"/>
    </row>
    <row r="555">
      <c r="A555" s="4"/>
      <c r="B555" s="4"/>
      <c r="C555" s="4"/>
      <c r="D555" s="4"/>
      <c r="E555" s="4"/>
      <c r="F555" s="4"/>
    </row>
    <row r="556">
      <c r="A556" s="4"/>
      <c r="B556" s="4"/>
      <c r="C556" s="4"/>
      <c r="D556" s="4"/>
      <c r="E556" s="4"/>
      <c r="F556" s="4"/>
    </row>
    <row r="557">
      <c r="A557" s="4"/>
      <c r="B557" s="4"/>
      <c r="C557" s="4"/>
      <c r="D557" s="4"/>
      <c r="E557" s="4"/>
      <c r="F557" s="4"/>
    </row>
    <row r="558">
      <c r="A558" s="4"/>
      <c r="B558" s="4"/>
      <c r="C558" s="4"/>
      <c r="D558" s="4"/>
      <c r="E558" s="4"/>
      <c r="F558" s="4"/>
    </row>
    <row r="559">
      <c r="A559" s="4"/>
      <c r="B559" s="4"/>
      <c r="C559" s="4"/>
      <c r="D559" s="4"/>
      <c r="E559" s="4"/>
      <c r="F559" s="4"/>
    </row>
    <row r="560">
      <c r="A560" s="4"/>
      <c r="B560" s="4"/>
      <c r="C560" s="4"/>
      <c r="D560" s="4"/>
      <c r="E560" s="4"/>
      <c r="F560" s="4"/>
    </row>
    <row r="561">
      <c r="A561" s="4"/>
      <c r="B561" s="4"/>
      <c r="C561" s="4"/>
      <c r="D561" s="4"/>
      <c r="E561" s="4"/>
      <c r="F561" s="4"/>
    </row>
    <row r="562">
      <c r="A562" s="4"/>
      <c r="B562" s="4"/>
      <c r="C562" s="4"/>
      <c r="D562" s="4"/>
      <c r="E562" s="4"/>
      <c r="F562" s="4"/>
    </row>
    <row r="563">
      <c r="A563" s="4"/>
      <c r="B563" s="4"/>
      <c r="C563" s="4"/>
      <c r="D563" s="4"/>
      <c r="E563" s="4"/>
      <c r="F563" s="4"/>
    </row>
    <row r="564">
      <c r="A564" s="4"/>
      <c r="B564" s="4"/>
      <c r="C564" s="4"/>
      <c r="D564" s="4"/>
      <c r="E564" s="4"/>
      <c r="F564" s="4"/>
    </row>
    <row r="565">
      <c r="A565" s="4"/>
      <c r="B565" s="4"/>
      <c r="C565" s="4"/>
      <c r="D565" s="4"/>
      <c r="E565" s="4"/>
      <c r="F565" s="4"/>
    </row>
    <row r="566">
      <c r="A566" s="4"/>
      <c r="B566" s="4"/>
      <c r="C566" s="4"/>
      <c r="D566" s="4"/>
      <c r="E566" s="4"/>
      <c r="F566" s="4"/>
    </row>
    <row r="567">
      <c r="A567" s="4"/>
      <c r="B567" s="4"/>
      <c r="C567" s="4"/>
      <c r="D567" s="4"/>
      <c r="E567" s="4"/>
      <c r="F567" s="4"/>
    </row>
    <row r="568">
      <c r="A568" s="4"/>
      <c r="B568" s="4"/>
      <c r="C568" s="4"/>
      <c r="D568" s="4"/>
      <c r="E568" s="4"/>
      <c r="F568" s="4"/>
    </row>
    <row r="569">
      <c r="A569" s="4"/>
      <c r="B569" s="4"/>
      <c r="C569" s="4"/>
      <c r="D569" s="4"/>
      <c r="E569" s="4"/>
      <c r="F569" s="4"/>
    </row>
    <row r="570">
      <c r="A570" s="4"/>
      <c r="B570" s="4"/>
      <c r="C570" s="4"/>
      <c r="D570" s="4"/>
      <c r="E570" s="4"/>
      <c r="F570" s="4"/>
    </row>
    <row r="571">
      <c r="A571" s="4"/>
      <c r="B571" s="4"/>
      <c r="C571" s="4"/>
      <c r="D571" s="4"/>
      <c r="E571" s="4"/>
      <c r="F571" s="4"/>
    </row>
    <row r="572">
      <c r="A572" s="4"/>
      <c r="B572" s="4"/>
      <c r="C572" s="4"/>
      <c r="D572" s="4"/>
      <c r="E572" s="4"/>
      <c r="F572" s="4"/>
    </row>
    <row r="573">
      <c r="A573" s="4"/>
      <c r="B573" s="4"/>
      <c r="C573" s="4"/>
      <c r="D573" s="4"/>
      <c r="E573" s="4"/>
      <c r="F573" s="4"/>
    </row>
    <row r="574">
      <c r="A574" s="4"/>
      <c r="B574" s="4"/>
      <c r="C574" s="4"/>
      <c r="D574" s="4"/>
      <c r="E574" s="4"/>
      <c r="F574" s="4"/>
    </row>
    <row r="575">
      <c r="A575" s="4"/>
      <c r="B575" s="4"/>
      <c r="C575" s="4"/>
      <c r="D575" s="4"/>
      <c r="E575" s="4"/>
      <c r="F575" s="4"/>
    </row>
    <row r="576">
      <c r="A576" s="4"/>
      <c r="B576" s="4"/>
      <c r="C576" s="4"/>
      <c r="D576" s="4"/>
      <c r="E576" s="4"/>
      <c r="F576" s="4"/>
    </row>
    <row r="577">
      <c r="A577" s="4"/>
      <c r="B577" s="4"/>
      <c r="C577" s="4"/>
      <c r="D577" s="4"/>
      <c r="E577" s="4"/>
      <c r="F577" s="4"/>
    </row>
    <row r="578">
      <c r="A578" s="4"/>
      <c r="B578" s="4"/>
      <c r="C578" s="4"/>
      <c r="D578" s="4"/>
      <c r="E578" s="4"/>
      <c r="F578" s="4"/>
    </row>
    <row r="579">
      <c r="A579" s="4"/>
      <c r="B579" s="4"/>
      <c r="C579" s="4"/>
      <c r="D579" s="4"/>
      <c r="E579" s="4"/>
      <c r="F579" s="4"/>
    </row>
    <row r="580">
      <c r="A580" s="4"/>
      <c r="B580" s="4"/>
      <c r="C580" s="4"/>
      <c r="D580" s="4"/>
      <c r="E580" s="4"/>
      <c r="F580" s="4"/>
    </row>
    <row r="581">
      <c r="A581" s="4"/>
      <c r="B581" s="4"/>
      <c r="C581" s="4"/>
      <c r="D581" s="4"/>
      <c r="E581" s="4"/>
      <c r="F581" s="4"/>
    </row>
    <row r="582">
      <c r="A582" s="4"/>
      <c r="B582" s="4"/>
      <c r="C582" s="4"/>
      <c r="D582" s="4"/>
      <c r="E582" s="4"/>
      <c r="F582" s="4"/>
    </row>
    <row r="583">
      <c r="A583" s="4"/>
      <c r="B583" s="4"/>
      <c r="C583" s="4"/>
      <c r="D583" s="4"/>
      <c r="E583" s="4"/>
      <c r="F583" s="4"/>
    </row>
    <row r="584">
      <c r="A584" s="4"/>
      <c r="B584" s="4"/>
      <c r="C584" s="4"/>
      <c r="D584" s="4"/>
      <c r="E584" s="4"/>
      <c r="F584" s="4"/>
    </row>
    <row r="585">
      <c r="A585" s="4"/>
      <c r="B585" s="4"/>
      <c r="C585" s="4"/>
      <c r="D585" s="4"/>
      <c r="E585" s="4"/>
      <c r="F585" s="4"/>
    </row>
    <row r="586">
      <c r="A586" s="4"/>
      <c r="B586" s="4"/>
      <c r="C586" s="4"/>
      <c r="D586" s="4"/>
      <c r="E586" s="4"/>
      <c r="F586" s="4"/>
    </row>
    <row r="587">
      <c r="A587" s="4"/>
      <c r="B587" s="4"/>
      <c r="C587" s="4"/>
      <c r="D587" s="4"/>
      <c r="E587" s="4"/>
      <c r="F587" s="4"/>
    </row>
    <row r="588">
      <c r="A588" s="4"/>
      <c r="B588" s="4"/>
      <c r="C588" s="4"/>
      <c r="D588" s="4"/>
      <c r="E588" s="4"/>
      <c r="F588" s="4"/>
    </row>
    <row r="589">
      <c r="A589" s="4"/>
      <c r="B589" s="4"/>
      <c r="C589" s="4"/>
      <c r="D589" s="4"/>
      <c r="E589" s="4"/>
      <c r="F589" s="4"/>
    </row>
    <row r="590">
      <c r="A590" s="4"/>
      <c r="B590" s="4"/>
      <c r="C590" s="4"/>
      <c r="D590" s="4"/>
      <c r="E590" s="4"/>
      <c r="F590" s="4"/>
    </row>
    <row r="591">
      <c r="A591" s="4"/>
      <c r="B591" s="4"/>
      <c r="C591" s="4"/>
      <c r="D591" s="4"/>
      <c r="E591" s="4"/>
      <c r="F591" s="4"/>
    </row>
    <row r="592">
      <c r="A592" s="4"/>
      <c r="B592" s="4"/>
      <c r="C592" s="4"/>
      <c r="D592" s="4"/>
      <c r="E592" s="4"/>
      <c r="F592" s="4"/>
    </row>
    <row r="593">
      <c r="A593" s="4"/>
      <c r="B593" s="4"/>
      <c r="C593" s="4"/>
      <c r="D593" s="4"/>
      <c r="E593" s="4"/>
      <c r="F593" s="4"/>
    </row>
    <row r="594">
      <c r="A594" s="4"/>
      <c r="B594" s="4"/>
      <c r="C594" s="4"/>
      <c r="D594" s="4"/>
      <c r="E594" s="4"/>
      <c r="F594" s="4"/>
    </row>
    <row r="595">
      <c r="A595" s="4"/>
      <c r="B595" s="4"/>
      <c r="C595" s="4"/>
      <c r="D595" s="4"/>
      <c r="E595" s="4"/>
      <c r="F595" s="4"/>
    </row>
    <row r="596">
      <c r="A596" s="4"/>
      <c r="B596" s="4"/>
      <c r="C596" s="4"/>
      <c r="D596" s="4"/>
      <c r="E596" s="4"/>
      <c r="F596" s="4"/>
    </row>
    <row r="597">
      <c r="A597" s="4"/>
      <c r="B597" s="4"/>
      <c r="C597" s="4"/>
      <c r="D597" s="4"/>
      <c r="E597" s="4"/>
      <c r="F597" s="4"/>
    </row>
    <row r="598">
      <c r="A598" s="4"/>
      <c r="B598" s="4"/>
      <c r="C598" s="4"/>
      <c r="D598" s="4"/>
      <c r="E598" s="4"/>
      <c r="F598" s="4"/>
    </row>
    <row r="599">
      <c r="A599" s="4"/>
      <c r="B599" s="4"/>
      <c r="C599" s="4"/>
      <c r="D599" s="4"/>
      <c r="E599" s="4"/>
      <c r="F599" s="4"/>
    </row>
    <row r="600">
      <c r="A600" s="4"/>
      <c r="B600" s="4"/>
      <c r="C600" s="4"/>
      <c r="D600" s="4"/>
      <c r="E600" s="4"/>
      <c r="F600" s="4"/>
    </row>
    <row r="601">
      <c r="A601" s="4"/>
      <c r="B601" s="4"/>
      <c r="C601" s="4"/>
      <c r="D601" s="4"/>
      <c r="E601" s="4"/>
      <c r="F601" s="4"/>
    </row>
    <row r="602">
      <c r="A602" s="4"/>
      <c r="B602" s="4"/>
      <c r="C602" s="4"/>
      <c r="D602" s="4"/>
      <c r="E602" s="4"/>
      <c r="F602" s="4"/>
    </row>
    <row r="603">
      <c r="A603" s="4"/>
      <c r="B603" s="4"/>
      <c r="C603" s="4"/>
      <c r="D603" s="4"/>
      <c r="E603" s="4"/>
      <c r="F603" s="4"/>
    </row>
    <row r="604">
      <c r="A604" s="4"/>
      <c r="B604" s="4"/>
      <c r="C604" s="4"/>
      <c r="D604" s="4"/>
      <c r="E604" s="4"/>
      <c r="F604" s="4"/>
    </row>
    <row r="605">
      <c r="A605" s="4"/>
      <c r="B605" s="4"/>
      <c r="C605" s="4"/>
      <c r="D605" s="4"/>
      <c r="E605" s="4"/>
      <c r="F605" s="4"/>
    </row>
    <row r="606">
      <c r="A606" s="4"/>
      <c r="B606" s="4"/>
      <c r="C606" s="4"/>
      <c r="D606" s="4"/>
      <c r="E606" s="4"/>
      <c r="F606" s="4"/>
    </row>
    <row r="607">
      <c r="A607" s="4"/>
      <c r="B607" s="4"/>
      <c r="C607" s="4"/>
      <c r="D607" s="4"/>
      <c r="E607" s="4"/>
      <c r="F607" s="4"/>
    </row>
    <row r="608">
      <c r="A608" s="4"/>
      <c r="B608" s="4"/>
      <c r="C608" s="4"/>
      <c r="D608" s="4"/>
      <c r="E608" s="4"/>
      <c r="F608" s="4"/>
    </row>
    <row r="609">
      <c r="A609" s="4"/>
      <c r="B609" s="4"/>
      <c r="C609" s="4"/>
      <c r="D609" s="4"/>
      <c r="E609" s="4"/>
      <c r="F609" s="4"/>
    </row>
    <row r="610">
      <c r="A610" s="4"/>
      <c r="B610" s="4"/>
      <c r="C610" s="4"/>
      <c r="D610" s="4"/>
      <c r="E610" s="4"/>
      <c r="F610" s="4"/>
    </row>
    <row r="611">
      <c r="A611" s="4"/>
      <c r="B611" s="4"/>
      <c r="C611" s="4"/>
      <c r="D611" s="4"/>
      <c r="E611" s="4"/>
      <c r="F611" s="4"/>
    </row>
    <row r="612">
      <c r="A612" s="4"/>
      <c r="B612" s="4"/>
      <c r="C612" s="4"/>
      <c r="D612" s="4"/>
      <c r="E612" s="4"/>
      <c r="F612" s="4"/>
    </row>
    <row r="613">
      <c r="A613" s="4"/>
      <c r="B613" s="4"/>
      <c r="C613" s="4"/>
      <c r="D613" s="4"/>
      <c r="E613" s="4"/>
      <c r="F613" s="4"/>
    </row>
    <row r="614">
      <c r="A614" s="4"/>
      <c r="B614" s="4"/>
      <c r="C614" s="4"/>
      <c r="D614" s="4"/>
      <c r="E614" s="4"/>
      <c r="F614" s="4"/>
    </row>
    <row r="615">
      <c r="A615" s="4"/>
      <c r="B615" s="4"/>
      <c r="C615" s="4"/>
      <c r="D615" s="4"/>
      <c r="E615" s="4"/>
      <c r="F615" s="4"/>
    </row>
    <row r="616">
      <c r="A616" s="4"/>
      <c r="B616" s="4"/>
      <c r="C616" s="4"/>
      <c r="D616" s="4"/>
      <c r="E616" s="4"/>
      <c r="F616" s="4"/>
    </row>
    <row r="617">
      <c r="A617" s="4"/>
      <c r="B617" s="4"/>
      <c r="C617" s="4"/>
      <c r="D617" s="4"/>
      <c r="E617" s="4"/>
      <c r="F617" s="4"/>
    </row>
    <row r="618">
      <c r="A618" s="4"/>
      <c r="B618" s="4"/>
      <c r="C618" s="4"/>
      <c r="D618" s="4"/>
      <c r="E618" s="4"/>
      <c r="F618" s="4"/>
    </row>
    <row r="619">
      <c r="A619" s="4"/>
      <c r="B619" s="4"/>
      <c r="C619" s="4"/>
      <c r="D619" s="4"/>
      <c r="E619" s="4"/>
      <c r="F619" s="4"/>
    </row>
    <row r="620">
      <c r="A620" s="4"/>
      <c r="B620" s="4"/>
      <c r="C620" s="4"/>
      <c r="D620" s="4"/>
      <c r="E620" s="4"/>
      <c r="F620" s="4"/>
    </row>
    <row r="621">
      <c r="A621" s="4"/>
      <c r="B621" s="4"/>
      <c r="C621" s="4"/>
      <c r="D621" s="4"/>
      <c r="E621" s="4"/>
      <c r="F621" s="4"/>
    </row>
    <row r="622">
      <c r="A622" s="4"/>
      <c r="B622" s="4"/>
      <c r="C622" s="4"/>
      <c r="D622" s="4"/>
      <c r="E622" s="4"/>
      <c r="F622" s="4"/>
    </row>
    <row r="623">
      <c r="A623" s="4"/>
      <c r="B623" s="4"/>
      <c r="C623" s="4"/>
      <c r="D623" s="4"/>
      <c r="E623" s="4"/>
      <c r="F623" s="4"/>
    </row>
    <row r="624">
      <c r="A624" s="4"/>
      <c r="B624" s="4"/>
      <c r="C624" s="4"/>
      <c r="D624" s="4"/>
      <c r="E624" s="4"/>
      <c r="F624" s="4"/>
    </row>
    <row r="625">
      <c r="A625" s="4"/>
      <c r="B625" s="4"/>
      <c r="C625" s="4"/>
      <c r="D625" s="4"/>
      <c r="E625" s="4"/>
      <c r="F625" s="4"/>
    </row>
    <row r="626">
      <c r="A626" s="4"/>
      <c r="B626" s="4"/>
      <c r="C626" s="4"/>
      <c r="D626" s="4"/>
      <c r="E626" s="4"/>
      <c r="F626" s="4"/>
    </row>
    <row r="627">
      <c r="A627" s="4"/>
      <c r="B627" s="4"/>
      <c r="C627" s="4"/>
      <c r="D627" s="4"/>
      <c r="E627" s="4"/>
      <c r="F627" s="4"/>
    </row>
    <row r="628">
      <c r="A628" s="4"/>
      <c r="B628" s="4"/>
      <c r="C628" s="4"/>
      <c r="D628" s="4"/>
      <c r="E628" s="4"/>
      <c r="F628" s="4"/>
    </row>
    <row r="629">
      <c r="A629" s="4"/>
      <c r="B629" s="4"/>
      <c r="C629" s="4"/>
      <c r="D629" s="4"/>
      <c r="E629" s="4"/>
      <c r="F629" s="4"/>
    </row>
    <row r="630">
      <c r="A630" s="4"/>
      <c r="B630" s="4"/>
      <c r="C630" s="4"/>
      <c r="D630" s="4"/>
      <c r="E630" s="4"/>
      <c r="F630" s="4"/>
    </row>
    <row r="631">
      <c r="A631" s="4"/>
      <c r="B631" s="4"/>
      <c r="C631" s="4"/>
      <c r="D631" s="4"/>
      <c r="E631" s="4"/>
      <c r="F631" s="4"/>
    </row>
    <row r="632">
      <c r="A632" s="4"/>
      <c r="B632" s="4"/>
      <c r="C632" s="4"/>
      <c r="D632" s="4"/>
      <c r="E632" s="4"/>
      <c r="F632" s="4"/>
    </row>
    <row r="633">
      <c r="A633" s="4"/>
      <c r="B633" s="4"/>
      <c r="C633" s="4"/>
      <c r="D633" s="4"/>
      <c r="E633" s="4"/>
      <c r="F633" s="4"/>
    </row>
    <row r="634">
      <c r="A634" s="4"/>
      <c r="B634" s="4"/>
      <c r="C634" s="4"/>
      <c r="D634" s="4"/>
      <c r="E634" s="4"/>
      <c r="F634" s="4"/>
    </row>
    <row r="635">
      <c r="A635" s="4"/>
      <c r="B635" s="4"/>
      <c r="C635" s="4"/>
      <c r="D635" s="4"/>
      <c r="E635" s="4"/>
      <c r="F635" s="4"/>
    </row>
    <row r="636">
      <c r="A636" s="4"/>
      <c r="B636" s="4"/>
      <c r="C636" s="4"/>
      <c r="D636" s="4"/>
      <c r="E636" s="4"/>
      <c r="F636" s="4"/>
    </row>
    <row r="637">
      <c r="A637" s="4"/>
      <c r="B637" s="4"/>
      <c r="C637" s="4"/>
      <c r="D637" s="4"/>
      <c r="E637" s="4"/>
      <c r="F637" s="4"/>
    </row>
    <row r="638">
      <c r="A638" s="4"/>
      <c r="B638" s="4"/>
      <c r="C638" s="4"/>
      <c r="D638" s="4"/>
      <c r="E638" s="4"/>
      <c r="F638" s="4"/>
    </row>
    <row r="639">
      <c r="A639" s="4"/>
      <c r="B639" s="4"/>
      <c r="C639" s="4"/>
      <c r="D639" s="4"/>
      <c r="E639" s="4"/>
      <c r="F639" s="4"/>
    </row>
    <row r="640">
      <c r="A640" s="4"/>
      <c r="B640" s="4"/>
      <c r="C640" s="4"/>
      <c r="D640" s="4"/>
      <c r="E640" s="4"/>
      <c r="F640" s="4"/>
    </row>
    <row r="641">
      <c r="A641" s="4"/>
      <c r="B641" s="4"/>
      <c r="C641" s="4"/>
      <c r="D641" s="4"/>
      <c r="E641" s="4"/>
      <c r="F641" s="4"/>
    </row>
    <row r="642">
      <c r="A642" s="4"/>
      <c r="B642" s="4"/>
      <c r="C642" s="4"/>
      <c r="D642" s="4"/>
      <c r="E642" s="4"/>
      <c r="F642" s="4"/>
    </row>
    <row r="643">
      <c r="A643" s="4"/>
      <c r="B643" s="4"/>
      <c r="C643" s="4"/>
      <c r="D643" s="4"/>
      <c r="E643" s="4"/>
      <c r="F643" s="4"/>
    </row>
    <row r="644">
      <c r="A644" s="4"/>
      <c r="B644" s="4"/>
      <c r="C644" s="4"/>
      <c r="D644" s="4"/>
      <c r="E644" s="4"/>
      <c r="F644" s="4"/>
    </row>
    <row r="645">
      <c r="A645" s="4"/>
      <c r="B645" s="4"/>
      <c r="C645" s="4"/>
      <c r="D645" s="4"/>
      <c r="E645" s="4"/>
      <c r="F645" s="4"/>
    </row>
    <row r="646">
      <c r="A646" s="4"/>
      <c r="B646" s="4"/>
      <c r="C646" s="4"/>
      <c r="D646" s="4"/>
      <c r="E646" s="4"/>
      <c r="F646" s="4"/>
    </row>
    <row r="647">
      <c r="A647" s="4"/>
      <c r="B647" s="4"/>
      <c r="C647" s="4"/>
      <c r="D647" s="4"/>
      <c r="E647" s="4"/>
      <c r="F647" s="4"/>
    </row>
    <row r="648">
      <c r="A648" s="4"/>
      <c r="B648" s="4"/>
      <c r="C648" s="4"/>
      <c r="D648" s="4"/>
      <c r="E648" s="4"/>
      <c r="F648" s="4"/>
    </row>
    <row r="649">
      <c r="A649" s="4"/>
      <c r="B649" s="4"/>
      <c r="C649" s="4"/>
      <c r="D649" s="4"/>
      <c r="E649" s="4"/>
      <c r="F649" s="4"/>
    </row>
    <row r="650">
      <c r="A650" s="4"/>
      <c r="B650" s="4"/>
      <c r="C650" s="4"/>
      <c r="D650" s="4"/>
      <c r="E650" s="4"/>
      <c r="F650" s="4"/>
    </row>
    <row r="651">
      <c r="A651" s="4"/>
      <c r="B651" s="4"/>
      <c r="C651" s="4"/>
      <c r="D651" s="4"/>
      <c r="E651" s="4"/>
      <c r="F651" s="4"/>
    </row>
    <row r="652">
      <c r="A652" s="4"/>
      <c r="B652" s="4"/>
      <c r="C652" s="4"/>
      <c r="D652" s="4"/>
      <c r="E652" s="4"/>
      <c r="F652" s="4"/>
    </row>
    <row r="653">
      <c r="A653" s="4"/>
      <c r="B653" s="4"/>
      <c r="C653" s="4"/>
      <c r="D653" s="4"/>
      <c r="E653" s="4"/>
      <c r="F653" s="4"/>
    </row>
    <row r="654">
      <c r="A654" s="4"/>
      <c r="B654" s="4"/>
      <c r="C654" s="4"/>
      <c r="D654" s="4"/>
      <c r="E654" s="4"/>
      <c r="F654" s="4"/>
    </row>
    <row r="655">
      <c r="A655" s="4"/>
      <c r="B655" s="4"/>
      <c r="C655" s="4"/>
      <c r="D655" s="4"/>
      <c r="E655" s="4"/>
      <c r="F655" s="4"/>
    </row>
    <row r="656">
      <c r="A656" s="4"/>
      <c r="B656" s="4"/>
      <c r="C656" s="4"/>
      <c r="D656" s="4"/>
      <c r="E656" s="4"/>
      <c r="F656" s="4"/>
    </row>
    <row r="657">
      <c r="A657" s="4"/>
      <c r="B657" s="4"/>
      <c r="C657" s="4"/>
      <c r="D657" s="4"/>
      <c r="E657" s="4"/>
      <c r="F657" s="4"/>
    </row>
    <row r="658">
      <c r="A658" s="4"/>
      <c r="B658" s="4"/>
      <c r="C658" s="4"/>
      <c r="D658" s="4"/>
      <c r="E658" s="4"/>
      <c r="F658" s="4"/>
    </row>
    <row r="659">
      <c r="A659" s="4"/>
      <c r="B659" s="4"/>
      <c r="C659" s="4"/>
      <c r="D659" s="4"/>
      <c r="E659" s="4"/>
      <c r="F659" s="4"/>
    </row>
    <row r="660">
      <c r="A660" s="4"/>
      <c r="B660" s="4"/>
      <c r="C660" s="4"/>
      <c r="D660" s="4"/>
      <c r="E660" s="4"/>
      <c r="F660" s="4"/>
    </row>
    <row r="661">
      <c r="A661" s="4"/>
      <c r="B661" s="4"/>
      <c r="C661" s="4"/>
      <c r="D661" s="4"/>
      <c r="E661" s="4"/>
      <c r="F661" s="4"/>
    </row>
    <row r="662">
      <c r="A662" s="4"/>
      <c r="B662" s="4"/>
      <c r="C662" s="4"/>
      <c r="D662" s="4"/>
      <c r="E662" s="4"/>
      <c r="F662" s="4"/>
    </row>
    <row r="663">
      <c r="A663" s="4"/>
      <c r="B663" s="4"/>
      <c r="C663" s="4"/>
      <c r="D663" s="4"/>
      <c r="E663" s="4"/>
      <c r="F663" s="4"/>
    </row>
    <row r="664">
      <c r="A664" s="4"/>
      <c r="B664" s="4"/>
      <c r="C664" s="4"/>
      <c r="D664" s="4"/>
      <c r="E664" s="4"/>
      <c r="F664" s="4"/>
    </row>
    <row r="665">
      <c r="A665" s="4"/>
      <c r="B665" s="4"/>
      <c r="C665" s="4"/>
      <c r="D665" s="4"/>
      <c r="E665" s="4"/>
      <c r="F665" s="4"/>
    </row>
    <row r="666">
      <c r="A666" s="4"/>
      <c r="B666" s="4"/>
      <c r="C666" s="4"/>
      <c r="D666" s="4"/>
      <c r="E666" s="4"/>
      <c r="F666" s="4"/>
    </row>
    <row r="667">
      <c r="A667" s="4"/>
      <c r="B667" s="4"/>
      <c r="C667" s="4"/>
      <c r="D667" s="4"/>
      <c r="E667" s="4"/>
      <c r="F667" s="4"/>
    </row>
    <row r="668">
      <c r="A668" s="4"/>
      <c r="B668" s="4"/>
      <c r="C668" s="4"/>
      <c r="D668" s="4"/>
      <c r="E668" s="4"/>
      <c r="F668" s="4"/>
    </row>
    <row r="669">
      <c r="A669" s="4"/>
      <c r="B669" s="4"/>
      <c r="C669" s="4"/>
      <c r="D669" s="4"/>
      <c r="E669" s="4"/>
      <c r="F669" s="4"/>
    </row>
    <row r="670">
      <c r="A670" s="4"/>
      <c r="B670" s="4"/>
      <c r="C670" s="4"/>
      <c r="D670" s="4"/>
      <c r="E670" s="4"/>
      <c r="F670" s="4"/>
    </row>
    <row r="671">
      <c r="A671" s="4"/>
      <c r="B671" s="4"/>
      <c r="C671" s="4"/>
      <c r="D671" s="4"/>
      <c r="E671" s="4"/>
      <c r="F671" s="4"/>
    </row>
    <row r="672">
      <c r="A672" s="4"/>
      <c r="B672" s="4"/>
      <c r="C672" s="4"/>
      <c r="D672" s="4"/>
      <c r="E672" s="4"/>
      <c r="F672" s="4"/>
    </row>
    <row r="673">
      <c r="A673" s="4"/>
      <c r="B673" s="4"/>
      <c r="C673" s="4"/>
      <c r="D673" s="4"/>
      <c r="E673" s="4"/>
      <c r="F673" s="4"/>
    </row>
    <row r="674">
      <c r="A674" s="4"/>
      <c r="B674" s="4"/>
      <c r="C674" s="4"/>
      <c r="D674" s="4"/>
      <c r="E674" s="4"/>
      <c r="F674" s="4"/>
    </row>
    <row r="675">
      <c r="A675" s="4"/>
      <c r="B675" s="4"/>
      <c r="C675" s="4"/>
      <c r="D675" s="4"/>
      <c r="E675" s="4"/>
      <c r="F675" s="4"/>
    </row>
    <row r="676">
      <c r="A676" s="4"/>
      <c r="B676" s="4"/>
      <c r="C676" s="4"/>
      <c r="D676" s="4"/>
      <c r="E676" s="4"/>
      <c r="F676" s="4"/>
    </row>
    <row r="677">
      <c r="A677" s="4"/>
      <c r="B677" s="4"/>
      <c r="C677" s="4"/>
      <c r="D677" s="4"/>
      <c r="E677" s="4"/>
      <c r="F677" s="4"/>
    </row>
    <row r="678">
      <c r="A678" s="4"/>
      <c r="B678" s="4"/>
      <c r="C678" s="4"/>
      <c r="D678" s="4"/>
      <c r="E678" s="4"/>
      <c r="F678" s="4"/>
    </row>
    <row r="679">
      <c r="A679" s="4"/>
      <c r="B679" s="4"/>
      <c r="C679" s="4"/>
      <c r="D679" s="4"/>
      <c r="E679" s="4"/>
      <c r="F679" s="4"/>
    </row>
    <row r="680">
      <c r="A680" s="4"/>
      <c r="B680" s="4"/>
      <c r="C680" s="4"/>
      <c r="D680" s="4"/>
      <c r="E680" s="4"/>
      <c r="F680" s="4"/>
    </row>
    <row r="681">
      <c r="A681" s="4"/>
      <c r="B681" s="4"/>
      <c r="C681" s="4"/>
      <c r="D681" s="4"/>
      <c r="E681" s="4"/>
      <c r="F681" s="4"/>
    </row>
    <row r="682">
      <c r="A682" s="4"/>
      <c r="B682" s="4"/>
      <c r="C682" s="4"/>
      <c r="D682" s="4"/>
      <c r="E682" s="4"/>
      <c r="F682" s="4"/>
    </row>
    <row r="683">
      <c r="A683" s="4"/>
      <c r="B683" s="4"/>
      <c r="C683" s="4"/>
      <c r="D683" s="4"/>
      <c r="E683" s="4"/>
      <c r="F683" s="4"/>
    </row>
    <row r="684">
      <c r="A684" s="4"/>
      <c r="B684" s="4"/>
      <c r="C684" s="4"/>
      <c r="D684" s="4"/>
      <c r="E684" s="4"/>
      <c r="F684" s="4"/>
    </row>
    <row r="685">
      <c r="A685" s="4"/>
      <c r="B685" s="4"/>
      <c r="C685" s="4"/>
      <c r="D685" s="4"/>
      <c r="E685" s="4"/>
      <c r="F685" s="4"/>
    </row>
    <row r="686">
      <c r="A686" s="4"/>
      <c r="B686" s="4"/>
      <c r="C686" s="4"/>
      <c r="D686" s="4"/>
      <c r="E686" s="4"/>
      <c r="F686" s="4"/>
    </row>
    <row r="687">
      <c r="A687" s="4"/>
      <c r="B687" s="4"/>
      <c r="C687" s="4"/>
      <c r="D687" s="4"/>
      <c r="E687" s="4"/>
      <c r="F687" s="4"/>
    </row>
    <row r="688">
      <c r="A688" s="4"/>
      <c r="B688" s="4"/>
      <c r="C688" s="4"/>
      <c r="D688" s="4"/>
      <c r="E688" s="4"/>
      <c r="F688" s="4"/>
    </row>
    <row r="689">
      <c r="A689" s="4"/>
      <c r="B689" s="4"/>
      <c r="C689" s="4"/>
      <c r="D689" s="4"/>
      <c r="E689" s="4"/>
      <c r="F689" s="4"/>
    </row>
    <row r="690">
      <c r="A690" s="4"/>
      <c r="B690" s="4"/>
      <c r="C690" s="4"/>
      <c r="D690" s="4"/>
      <c r="E690" s="4"/>
      <c r="F690" s="4"/>
    </row>
    <row r="691">
      <c r="A691" s="4"/>
      <c r="B691" s="4"/>
      <c r="C691" s="4"/>
      <c r="D691" s="4"/>
      <c r="E691" s="4"/>
      <c r="F691" s="4"/>
    </row>
    <row r="692">
      <c r="A692" s="4"/>
      <c r="B692" s="4"/>
      <c r="C692" s="4"/>
      <c r="D692" s="4"/>
      <c r="E692" s="4"/>
      <c r="F692" s="4"/>
    </row>
    <row r="693">
      <c r="A693" s="4"/>
      <c r="B693" s="4"/>
      <c r="C693" s="4"/>
      <c r="D693" s="4"/>
      <c r="E693" s="4"/>
      <c r="F693" s="4"/>
    </row>
    <row r="694">
      <c r="A694" s="4"/>
      <c r="B694" s="4"/>
      <c r="C694" s="4"/>
      <c r="D694" s="4"/>
      <c r="E694" s="4"/>
      <c r="F694" s="4"/>
    </row>
    <row r="695">
      <c r="A695" s="4"/>
      <c r="B695" s="4"/>
      <c r="C695" s="4"/>
      <c r="D695" s="4"/>
      <c r="E695" s="4"/>
      <c r="F695" s="4"/>
    </row>
    <row r="696">
      <c r="A696" s="4"/>
      <c r="B696" s="4"/>
      <c r="C696" s="4"/>
      <c r="D696" s="4"/>
      <c r="E696" s="4"/>
      <c r="F696" s="4"/>
    </row>
    <row r="697">
      <c r="A697" s="4"/>
      <c r="B697" s="4"/>
      <c r="C697" s="4"/>
      <c r="D697" s="4"/>
      <c r="E697" s="4"/>
      <c r="F697" s="4"/>
    </row>
    <row r="698">
      <c r="A698" s="4"/>
      <c r="B698" s="4"/>
      <c r="C698" s="4"/>
      <c r="D698" s="4"/>
      <c r="E698" s="4"/>
      <c r="F698" s="4"/>
    </row>
    <row r="699">
      <c r="A699" s="4"/>
      <c r="B699" s="4"/>
      <c r="C699" s="4"/>
      <c r="D699" s="4"/>
      <c r="E699" s="4"/>
      <c r="F699" s="4"/>
    </row>
    <row r="700">
      <c r="A700" s="4"/>
      <c r="B700" s="4"/>
      <c r="C700" s="4"/>
      <c r="D700" s="4"/>
      <c r="E700" s="4"/>
      <c r="F700" s="4"/>
    </row>
    <row r="701">
      <c r="A701" s="4"/>
      <c r="B701" s="4"/>
      <c r="C701" s="4"/>
      <c r="D701" s="4"/>
      <c r="E701" s="4"/>
      <c r="F701" s="4"/>
    </row>
    <row r="702">
      <c r="A702" s="4"/>
      <c r="B702" s="4"/>
      <c r="C702" s="4"/>
      <c r="D702" s="4"/>
      <c r="E702" s="4"/>
      <c r="F702" s="4"/>
    </row>
    <row r="703">
      <c r="A703" s="4"/>
      <c r="B703" s="4"/>
      <c r="C703" s="4"/>
      <c r="D703" s="4"/>
      <c r="E703" s="4"/>
      <c r="F703" s="4"/>
    </row>
    <row r="704">
      <c r="A704" s="4"/>
      <c r="B704" s="4"/>
      <c r="C704" s="4"/>
      <c r="D704" s="4"/>
      <c r="E704" s="4"/>
      <c r="F704" s="4"/>
    </row>
    <row r="705">
      <c r="A705" s="4"/>
      <c r="B705" s="4"/>
      <c r="C705" s="4"/>
      <c r="D705" s="4"/>
      <c r="E705" s="4"/>
      <c r="F705" s="4"/>
    </row>
    <row r="706">
      <c r="A706" s="4"/>
      <c r="B706" s="4"/>
      <c r="C706" s="4"/>
      <c r="D706" s="4"/>
      <c r="E706" s="4"/>
      <c r="F706" s="4"/>
    </row>
    <row r="707">
      <c r="A707" s="4"/>
      <c r="B707" s="4"/>
      <c r="C707" s="4"/>
      <c r="D707" s="4"/>
      <c r="E707" s="4"/>
      <c r="F707" s="4"/>
    </row>
    <row r="708">
      <c r="A708" s="4"/>
      <c r="B708" s="4"/>
      <c r="C708" s="4"/>
      <c r="D708" s="4"/>
      <c r="E708" s="4"/>
      <c r="F708" s="4"/>
    </row>
    <row r="709">
      <c r="A709" s="4"/>
      <c r="B709" s="4"/>
      <c r="C709" s="4"/>
      <c r="D709" s="4"/>
      <c r="E709" s="4"/>
      <c r="F709" s="4"/>
    </row>
    <row r="710">
      <c r="A710" s="4"/>
      <c r="B710" s="4"/>
      <c r="C710" s="4"/>
      <c r="D710" s="4"/>
      <c r="E710" s="4"/>
      <c r="F710" s="4"/>
    </row>
    <row r="711">
      <c r="A711" s="4"/>
      <c r="B711" s="4"/>
      <c r="C711" s="4"/>
      <c r="D711" s="4"/>
      <c r="E711" s="4"/>
      <c r="F711" s="4"/>
    </row>
    <row r="712">
      <c r="A712" s="4"/>
      <c r="B712" s="4"/>
      <c r="C712" s="4"/>
      <c r="D712" s="4"/>
      <c r="E712" s="4"/>
      <c r="F712" s="4"/>
    </row>
    <row r="713">
      <c r="A713" s="4"/>
      <c r="B713" s="4"/>
      <c r="C713" s="4"/>
      <c r="D713" s="4"/>
      <c r="E713" s="4"/>
      <c r="F713" s="4"/>
    </row>
    <row r="714">
      <c r="A714" s="4"/>
      <c r="B714" s="4"/>
      <c r="C714" s="4"/>
      <c r="D714" s="4"/>
      <c r="E714" s="4"/>
      <c r="F714" s="4"/>
    </row>
    <row r="715">
      <c r="A715" s="4"/>
      <c r="B715" s="4"/>
      <c r="C715" s="4"/>
      <c r="D715" s="4"/>
      <c r="E715" s="4"/>
      <c r="F715" s="4"/>
    </row>
    <row r="716">
      <c r="A716" s="4"/>
      <c r="B716" s="4"/>
      <c r="C716" s="4"/>
      <c r="D716" s="4"/>
      <c r="E716" s="4"/>
      <c r="F716" s="4"/>
    </row>
    <row r="717">
      <c r="A717" s="4"/>
      <c r="B717" s="4"/>
      <c r="C717" s="4"/>
      <c r="D717" s="4"/>
      <c r="E717" s="4"/>
      <c r="F717" s="4"/>
    </row>
    <row r="718">
      <c r="A718" s="4"/>
      <c r="B718" s="4"/>
      <c r="C718" s="4"/>
      <c r="D718" s="4"/>
      <c r="E718" s="4"/>
      <c r="F718" s="4"/>
    </row>
    <row r="719">
      <c r="A719" s="4"/>
      <c r="B719" s="4"/>
      <c r="C719" s="4"/>
      <c r="D719" s="4"/>
      <c r="E719" s="4"/>
      <c r="F719" s="4"/>
    </row>
    <row r="720">
      <c r="A720" s="4"/>
      <c r="B720" s="4"/>
      <c r="C720" s="4"/>
      <c r="D720" s="4"/>
      <c r="E720" s="4"/>
      <c r="F720" s="4"/>
    </row>
    <row r="721">
      <c r="A721" s="4"/>
      <c r="B721" s="4"/>
      <c r="C721" s="4"/>
      <c r="D721" s="4"/>
      <c r="E721" s="4"/>
      <c r="F721" s="4"/>
    </row>
    <row r="722">
      <c r="A722" s="4"/>
      <c r="B722" s="4"/>
      <c r="C722" s="4"/>
      <c r="D722" s="4"/>
      <c r="E722" s="4"/>
      <c r="F722" s="4"/>
    </row>
    <row r="723">
      <c r="A723" s="4"/>
      <c r="B723" s="4"/>
      <c r="C723" s="4"/>
      <c r="D723" s="4"/>
      <c r="E723" s="4"/>
      <c r="F723" s="4"/>
    </row>
    <row r="724">
      <c r="A724" s="4"/>
      <c r="B724" s="4"/>
      <c r="C724" s="4"/>
      <c r="D724" s="4"/>
      <c r="E724" s="4"/>
      <c r="F724" s="4"/>
    </row>
    <row r="725">
      <c r="A725" s="4"/>
      <c r="B725" s="4"/>
      <c r="C725" s="4"/>
      <c r="D725" s="4"/>
      <c r="E725" s="4"/>
      <c r="F725" s="4"/>
    </row>
    <row r="726">
      <c r="A726" s="4"/>
      <c r="B726" s="4"/>
      <c r="C726" s="4"/>
      <c r="D726" s="4"/>
      <c r="E726" s="4"/>
      <c r="F726" s="4"/>
    </row>
    <row r="727">
      <c r="A727" s="4"/>
      <c r="B727" s="4"/>
      <c r="C727" s="4"/>
      <c r="D727" s="4"/>
      <c r="E727" s="4"/>
      <c r="F727" s="4"/>
    </row>
    <row r="728">
      <c r="A728" s="4"/>
      <c r="B728" s="4"/>
      <c r="C728" s="4"/>
      <c r="D728" s="4"/>
      <c r="E728" s="4"/>
      <c r="F728" s="4"/>
    </row>
    <row r="729">
      <c r="A729" s="4"/>
      <c r="B729" s="4"/>
      <c r="C729" s="4"/>
      <c r="D729" s="4"/>
      <c r="E729" s="4"/>
      <c r="F729" s="4"/>
    </row>
    <row r="730">
      <c r="A730" s="4"/>
      <c r="B730" s="4"/>
      <c r="C730" s="4"/>
      <c r="D730" s="4"/>
      <c r="E730" s="4"/>
      <c r="F730" s="4"/>
    </row>
    <row r="731">
      <c r="A731" s="4"/>
      <c r="B731" s="4"/>
      <c r="C731" s="4"/>
      <c r="D731" s="4"/>
      <c r="E731" s="4"/>
      <c r="F731" s="4"/>
    </row>
    <row r="732">
      <c r="A732" s="4"/>
      <c r="B732" s="4"/>
      <c r="C732" s="4"/>
      <c r="D732" s="4"/>
      <c r="E732" s="4"/>
      <c r="F732" s="4"/>
    </row>
    <row r="733">
      <c r="A733" s="4"/>
      <c r="B733" s="4"/>
      <c r="C733" s="4"/>
      <c r="D733" s="4"/>
      <c r="E733" s="4"/>
      <c r="F733" s="4"/>
    </row>
    <row r="734">
      <c r="A734" s="4"/>
      <c r="B734" s="4"/>
      <c r="C734" s="4"/>
      <c r="D734" s="4"/>
      <c r="E734" s="4"/>
      <c r="F734" s="4"/>
    </row>
    <row r="735">
      <c r="A735" s="4"/>
      <c r="B735" s="4"/>
      <c r="C735" s="4"/>
      <c r="D735" s="4"/>
      <c r="E735" s="4"/>
      <c r="F735" s="4"/>
    </row>
    <row r="736">
      <c r="A736" s="4"/>
      <c r="B736" s="4"/>
      <c r="C736" s="4"/>
      <c r="D736" s="4"/>
      <c r="E736" s="4"/>
      <c r="F736" s="4"/>
    </row>
    <row r="737">
      <c r="A737" s="4"/>
      <c r="B737" s="4"/>
      <c r="C737" s="4"/>
      <c r="D737" s="4"/>
      <c r="E737" s="4"/>
      <c r="F737" s="4"/>
    </row>
    <row r="738">
      <c r="A738" s="4"/>
      <c r="B738" s="4"/>
      <c r="C738" s="4"/>
      <c r="D738" s="4"/>
      <c r="E738" s="4"/>
      <c r="F738" s="4"/>
    </row>
    <row r="739">
      <c r="A739" s="4"/>
      <c r="B739" s="4"/>
      <c r="C739" s="4"/>
      <c r="D739" s="4"/>
      <c r="E739" s="4"/>
      <c r="F739" s="4"/>
    </row>
    <row r="740">
      <c r="A740" s="4"/>
      <c r="B740" s="4"/>
      <c r="C740" s="4"/>
      <c r="D740" s="4"/>
      <c r="E740" s="4"/>
      <c r="F740" s="4"/>
    </row>
    <row r="741">
      <c r="A741" s="4"/>
      <c r="B741" s="4"/>
      <c r="C741" s="4"/>
      <c r="D741" s="4"/>
      <c r="E741" s="4"/>
      <c r="F741" s="4"/>
    </row>
    <row r="742">
      <c r="A742" s="4"/>
      <c r="B742" s="4"/>
      <c r="C742" s="4"/>
      <c r="D742" s="4"/>
      <c r="E742" s="4"/>
      <c r="F742" s="4"/>
    </row>
    <row r="743">
      <c r="A743" s="4"/>
      <c r="B743" s="4"/>
      <c r="C743" s="4"/>
      <c r="D743" s="4"/>
      <c r="E743" s="4"/>
      <c r="F743" s="4"/>
    </row>
    <row r="744">
      <c r="A744" s="4"/>
      <c r="B744" s="4"/>
      <c r="C744" s="4"/>
      <c r="D744" s="4"/>
      <c r="E744" s="4"/>
      <c r="F744" s="4"/>
    </row>
    <row r="745">
      <c r="A745" s="4"/>
      <c r="B745" s="4"/>
      <c r="C745" s="4"/>
      <c r="D745" s="4"/>
      <c r="E745" s="4"/>
      <c r="F745" s="4"/>
    </row>
    <row r="746">
      <c r="A746" s="4"/>
      <c r="B746" s="4"/>
      <c r="C746" s="4"/>
      <c r="D746" s="4"/>
      <c r="E746" s="4"/>
      <c r="F746" s="4"/>
    </row>
    <row r="747">
      <c r="A747" s="4"/>
      <c r="B747" s="4"/>
      <c r="C747" s="4"/>
      <c r="D747" s="4"/>
      <c r="E747" s="4"/>
      <c r="F747" s="4"/>
    </row>
    <row r="748">
      <c r="A748" s="4"/>
      <c r="B748" s="4"/>
      <c r="C748" s="4"/>
      <c r="D748" s="4"/>
      <c r="E748" s="4"/>
      <c r="F748" s="4"/>
    </row>
    <row r="749">
      <c r="A749" s="4"/>
      <c r="B749" s="4"/>
      <c r="C749" s="4"/>
      <c r="D749" s="4"/>
      <c r="E749" s="4"/>
      <c r="F749" s="4"/>
    </row>
    <row r="750">
      <c r="A750" s="4"/>
      <c r="B750" s="4"/>
      <c r="C750" s="4"/>
      <c r="D750" s="4"/>
      <c r="E750" s="4"/>
      <c r="F750" s="4"/>
    </row>
    <row r="751">
      <c r="A751" s="4"/>
      <c r="B751" s="4"/>
      <c r="C751" s="4"/>
      <c r="D751" s="4"/>
      <c r="E751" s="4"/>
      <c r="F751" s="4"/>
    </row>
    <row r="752">
      <c r="A752" s="4"/>
      <c r="B752" s="4"/>
      <c r="C752" s="4"/>
      <c r="D752" s="4"/>
      <c r="E752" s="4"/>
      <c r="F752" s="4"/>
    </row>
    <row r="753">
      <c r="A753" s="4"/>
      <c r="B753" s="4"/>
      <c r="C753" s="4"/>
      <c r="D753" s="4"/>
      <c r="E753" s="4"/>
      <c r="F753" s="4"/>
    </row>
    <row r="754">
      <c r="A754" s="4"/>
      <c r="B754" s="4"/>
      <c r="C754" s="4"/>
      <c r="D754" s="4"/>
      <c r="E754" s="4"/>
      <c r="F754" s="4"/>
    </row>
    <row r="755">
      <c r="A755" s="4"/>
      <c r="B755" s="4"/>
      <c r="C755" s="4"/>
      <c r="D755" s="4"/>
      <c r="E755" s="4"/>
      <c r="F755" s="4"/>
    </row>
    <row r="756">
      <c r="A756" s="4"/>
      <c r="B756" s="4"/>
      <c r="C756" s="4"/>
      <c r="D756" s="4"/>
      <c r="E756" s="4"/>
      <c r="F756" s="4"/>
    </row>
    <row r="757">
      <c r="A757" s="4"/>
      <c r="B757" s="4"/>
      <c r="C757" s="4"/>
      <c r="D757" s="4"/>
      <c r="E757" s="4"/>
      <c r="F757" s="4"/>
    </row>
    <row r="758">
      <c r="A758" s="4"/>
      <c r="B758" s="4"/>
      <c r="C758" s="4"/>
      <c r="D758" s="4"/>
      <c r="E758" s="4"/>
      <c r="F758" s="4"/>
    </row>
    <row r="759">
      <c r="A759" s="4"/>
      <c r="B759" s="4"/>
      <c r="C759" s="4"/>
      <c r="D759" s="4"/>
      <c r="E759" s="4"/>
      <c r="F759" s="4"/>
    </row>
    <row r="760">
      <c r="A760" s="4"/>
      <c r="B760" s="4"/>
      <c r="C760" s="4"/>
      <c r="D760" s="4"/>
      <c r="E760" s="4"/>
      <c r="F760" s="4"/>
    </row>
    <row r="761">
      <c r="A761" s="4"/>
      <c r="B761" s="4"/>
      <c r="C761" s="4"/>
      <c r="D761" s="4"/>
      <c r="E761" s="4"/>
      <c r="F761" s="4"/>
    </row>
    <row r="762">
      <c r="A762" s="4"/>
      <c r="B762" s="4"/>
      <c r="C762" s="4"/>
      <c r="D762" s="4"/>
      <c r="E762" s="4"/>
      <c r="F762" s="4"/>
    </row>
    <row r="763">
      <c r="A763" s="4"/>
      <c r="B763" s="4"/>
      <c r="C763" s="4"/>
      <c r="D763" s="4"/>
      <c r="E763" s="4"/>
      <c r="F763" s="4"/>
    </row>
    <row r="764">
      <c r="A764" s="4"/>
      <c r="B764" s="4"/>
      <c r="C764" s="4"/>
      <c r="D764" s="4"/>
      <c r="E764" s="4"/>
      <c r="F764" s="4"/>
    </row>
    <row r="765">
      <c r="A765" s="4"/>
      <c r="B765" s="4"/>
      <c r="C765" s="4"/>
      <c r="D765" s="4"/>
      <c r="E765" s="4"/>
      <c r="F765" s="4"/>
    </row>
    <row r="766">
      <c r="A766" s="4"/>
      <c r="B766" s="4"/>
      <c r="C766" s="4"/>
      <c r="D766" s="4"/>
      <c r="E766" s="4"/>
      <c r="F766" s="4"/>
    </row>
    <row r="767">
      <c r="A767" s="4"/>
      <c r="B767" s="4"/>
      <c r="C767" s="4"/>
      <c r="D767" s="4"/>
      <c r="E767" s="4"/>
      <c r="F767" s="4"/>
    </row>
    <row r="768">
      <c r="A768" s="4"/>
      <c r="B768" s="4"/>
      <c r="C768" s="4"/>
      <c r="D768" s="4"/>
      <c r="E768" s="4"/>
      <c r="F768" s="4"/>
    </row>
    <row r="769">
      <c r="A769" s="4"/>
      <c r="B769" s="4"/>
      <c r="C769" s="4"/>
      <c r="D769" s="4"/>
      <c r="E769" s="4"/>
      <c r="F769" s="4"/>
    </row>
    <row r="770">
      <c r="A770" s="4"/>
      <c r="B770" s="4"/>
      <c r="C770" s="4"/>
      <c r="D770" s="4"/>
      <c r="E770" s="4"/>
      <c r="F770" s="4"/>
    </row>
    <row r="771">
      <c r="A771" s="4"/>
      <c r="B771" s="4"/>
      <c r="C771" s="4"/>
      <c r="D771" s="4"/>
      <c r="E771" s="4"/>
      <c r="F771" s="4"/>
    </row>
    <row r="772">
      <c r="A772" s="4"/>
      <c r="B772" s="4"/>
      <c r="C772" s="4"/>
      <c r="D772" s="4"/>
      <c r="E772" s="4"/>
      <c r="F772" s="4"/>
    </row>
    <row r="773">
      <c r="A773" s="4"/>
      <c r="B773" s="4"/>
      <c r="C773" s="4"/>
      <c r="D773" s="4"/>
      <c r="E773" s="4"/>
      <c r="F773" s="4"/>
    </row>
    <row r="774">
      <c r="A774" s="4"/>
      <c r="B774" s="4"/>
      <c r="C774" s="4"/>
      <c r="D774" s="4"/>
      <c r="E774" s="4"/>
      <c r="F774" s="4"/>
    </row>
    <row r="775">
      <c r="A775" s="4"/>
      <c r="B775" s="4"/>
      <c r="C775" s="4"/>
      <c r="D775" s="4"/>
      <c r="E775" s="4"/>
      <c r="F775" s="4"/>
    </row>
    <row r="776">
      <c r="A776" s="4"/>
      <c r="B776" s="4"/>
      <c r="C776" s="4"/>
      <c r="D776" s="4"/>
      <c r="E776" s="4"/>
      <c r="F776" s="4"/>
    </row>
    <row r="777">
      <c r="A777" s="4"/>
      <c r="B777" s="4"/>
      <c r="C777" s="4"/>
      <c r="D777" s="4"/>
      <c r="E777" s="4"/>
      <c r="F777" s="4"/>
    </row>
    <row r="778">
      <c r="A778" s="4"/>
      <c r="B778" s="4"/>
      <c r="C778" s="4"/>
      <c r="D778" s="4"/>
      <c r="E778" s="4"/>
      <c r="F778" s="4"/>
    </row>
    <row r="779">
      <c r="A779" s="4"/>
      <c r="B779" s="4"/>
      <c r="C779" s="4"/>
      <c r="D779" s="4"/>
      <c r="E779" s="4"/>
      <c r="F779" s="4"/>
    </row>
    <row r="780">
      <c r="A780" s="4"/>
      <c r="B780" s="4"/>
      <c r="C780" s="4"/>
      <c r="D780" s="4"/>
      <c r="E780" s="4"/>
      <c r="F780" s="4"/>
    </row>
    <row r="781">
      <c r="A781" s="4"/>
      <c r="B781" s="4"/>
      <c r="C781" s="4"/>
      <c r="D781" s="4"/>
      <c r="E781" s="4"/>
      <c r="F781" s="4"/>
    </row>
    <row r="782">
      <c r="A782" s="4"/>
      <c r="B782" s="4"/>
      <c r="C782" s="4"/>
      <c r="D782" s="4"/>
      <c r="E782" s="4"/>
      <c r="F782" s="4"/>
    </row>
    <row r="783">
      <c r="A783" s="4"/>
      <c r="B783" s="4"/>
      <c r="C783" s="4"/>
      <c r="D783" s="4"/>
      <c r="E783" s="4"/>
      <c r="F783" s="4"/>
    </row>
    <row r="784">
      <c r="A784" s="4"/>
      <c r="B784" s="4"/>
      <c r="C784" s="4"/>
      <c r="D784" s="4"/>
      <c r="E784" s="4"/>
      <c r="F784" s="4"/>
    </row>
    <row r="785">
      <c r="A785" s="4"/>
      <c r="B785" s="4"/>
      <c r="C785" s="4"/>
      <c r="D785" s="4"/>
      <c r="E785" s="4"/>
      <c r="F785" s="4"/>
    </row>
    <row r="786">
      <c r="A786" s="4"/>
      <c r="B786" s="4"/>
      <c r="C786" s="4"/>
      <c r="D786" s="4"/>
      <c r="E786" s="4"/>
      <c r="F786" s="4"/>
    </row>
    <row r="787">
      <c r="A787" s="4"/>
      <c r="B787" s="4"/>
      <c r="C787" s="4"/>
      <c r="D787" s="4"/>
      <c r="E787" s="4"/>
      <c r="F787" s="4"/>
    </row>
    <row r="788">
      <c r="A788" s="4"/>
      <c r="B788" s="4"/>
      <c r="C788" s="4"/>
      <c r="D788" s="4"/>
      <c r="E788" s="4"/>
      <c r="F788" s="4"/>
    </row>
    <row r="789">
      <c r="A789" s="4"/>
      <c r="B789" s="4"/>
      <c r="C789" s="4"/>
      <c r="D789" s="4"/>
      <c r="E789" s="4"/>
      <c r="F789" s="4"/>
    </row>
    <row r="790">
      <c r="A790" s="4"/>
      <c r="B790" s="4"/>
      <c r="C790" s="4"/>
      <c r="D790" s="4"/>
      <c r="E790" s="4"/>
      <c r="F790" s="4"/>
    </row>
    <row r="791">
      <c r="A791" s="4"/>
      <c r="B791" s="4"/>
      <c r="C791" s="4"/>
      <c r="D791" s="4"/>
      <c r="E791" s="4"/>
      <c r="F791" s="4"/>
    </row>
    <row r="792">
      <c r="A792" s="4"/>
      <c r="B792" s="4"/>
      <c r="C792" s="4"/>
      <c r="D792" s="4"/>
      <c r="E792" s="4"/>
      <c r="F792" s="4"/>
    </row>
    <row r="793">
      <c r="A793" s="4"/>
      <c r="B793" s="4"/>
      <c r="C793" s="4"/>
      <c r="D793" s="4"/>
      <c r="E793" s="4"/>
      <c r="F793" s="4"/>
    </row>
    <row r="794">
      <c r="A794" s="4"/>
      <c r="B794" s="4"/>
      <c r="C794" s="4"/>
      <c r="D794" s="4"/>
      <c r="E794" s="4"/>
      <c r="F794" s="4"/>
    </row>
    <row r="795">
      <c r="A795" s="4"/>
      <c r="B795" s="4"/>
      <c r="C795" s="4"/>
      <c r="D795" s="4"/>
      <c r="E795" s="4"/>
      <c r="F795" s="4"/>
    </row>
    <row r="796">
      <c r="A796" s="4"/>
      <c r="B796" s="4"/>
      <c r="C796" s="4"/>
      <c r="D796" s="4"/>
      <c r="E796" s="4"/>
      <c r="F796" s="4"/>
    </row>
    <row r="797">
      <c r="A797" s="4"/>
      <c r="B797" s="4"/>
      <c r="C797" s="4"/>
      <c r="D797" s="4"/>
      <c r="E797" s="4"/>
      <c r="F797" s="4"/>
    </row>
    <row r="798">
      <c r="A798" s="4"/>
      <c r="B798" s="4"/>
      <c r="C798" s="4"/>
      <c r="D798" s="4"/>
      <c r="E798" s="4"/>
      <c r="F798" s="4"/>
    </row>
    <row r="799">
      <c r="A799" s="4"/>
      <c r="B799" s="4"/>
      <c r="C799" s="4"/>
      <c r="D799" s="4"/>
      <c r="E799" s="4"/>
      <c r="F799" s="4"/>
    </row>
    <row r="800">
      <c r="A800" s="4"/>
      <c r="B800" s="4"/>
      <c r="C800" s="4"/>
      <c r="D800" s="4"/>
      <c r="E800" s="4"/>
      <c r="F800" s="4"/>
    </row>
    <row r="801">
      <c r="A801" s="4"/>
      <c r="B801" s="4"/>
      <c r="C801" s="4"/>
      <c r="D801" s="4"/>
      <c r="E801" s="4"/>
      <c r="F801" s="4"/>
    </row>
    <row r="802">
      <c r="A802" s="4"/>
      <c r="B802" s="4"/>
      <c r="C802" s="4"/>
      <c r="D802" s="4"/>
      <c r="E802" s="4"/>
      <c r="F802" s="4"/>
    </row>
    <row r="803">
      <c r="A803" s="4"/>
      <c r="B803" s="4"/>
      <c r="C803" s="4"/>
      <c r="D803" s="4"/>
      <c r="E803" s="4"/>
      <c r="F803" s="4"/>
    </row>
    <row r="804">
      <c r="A804" s="4"/>
      <c r="B804" s="4"/>
      <c r="C804" s="4"/>
      <c r="D804" s="4"/>
      <c r="E804" s="4"/>
      <c r="F804" s="4"/>
    </row>
    <row r="805">
      <c r="A805" s="4"/>
      <c r="B805" s="4"/>
      <c r="C805" s="4"/>
      <c r="D805" s="4"/>
      <c r="E805" s="4"/>
      <c r="F805" s="4"/>
    </row>
    <row r="806">
      <c r="A806" s="4"/>
      <c r="B806" s="4"/>
      <c r="C806" s="4"/>
      <c r="D806" s="4"/>
      <c r="E806" s="4"/>
      <c r="F806" s="4"/>
    </row>
    <row r="807">
      <c r="A807" s="4"/>
      <c r="B807" s="4"/>
      <c r="C807" s="4"/>
      <c r="D807" s="4"/>
      <c r="E807" s="4"/>
      <c r="F807" s="4"/>
    </row>
    <row r="808">
      <c r="A808" s="4"/>
      <c r="B808" s="4"/>
      <c r="C808" s="4"/>
      <c r="D808" s="4"/>
      <c r="E808" s="4"/>
      <c r="F808" s="4"/>
    </row>
    <row r="809">
      <c r="A809" s="4"/>
      <c r="B809" s="4"/>
      <c r="C809" s="4"/>
      <c r="D809" s="4"/>
      <c r="E809" s="4"/>
      <c r="F809" s="4"/>
    </row>
    <row r="810">
      <c r="A810" s="4"/>
      <c r="B810" s="4"/>
      <c r="C810" s="4"/>
      <c r="D810" s="4"/>
      <c r="E810" s="4"/>
      <c r="F810" s="4"/>
    </row>
    <row r="811">
      <c r="A811" s="4"/>
      <c r="B811" s="4"/>
      <c r="C811" s="4"/>
      <c r="D811" s="4"/>
      <c r="E811" s="4"/>
      <c r="F811" s="4"/>
    </row>
    <row r="812">
      <c r="A812" s="4"/>
      <c r="B812" s="4"/>
      <c r="C812" s="4"/>
      <c r="D812" s="4"/>
      <c r="E812" s="4"/>
      <c r="F812" s="4"/>
    </row>
    <row r="813">
      <c r="A813" s="4"/>
      <c r="B813" s="4"/>
      <c r="C813" s="4"/>
      <c r="D813" s="4"/>
      <c r="E813" s="4"/>
      <c r="F813" s="4"/>
    </row>
    <row r="814">
      <c r="A814" s="4"/>
      <c r="B814" s="4"/>
      <c r="C814" s="4"/>
      <c r="D814" s="4"/>
      <c r="E814" s="4"/>
      <c r="F814" s="4"/>
    </row>
    <row r="815">
      <c r="A815" s="4"/>
      <c r="B815" s="4"/>
      <c r="C815" s="4"/>
      <c r="D815" s="4"/>
      <c r="E815" s="4"/>
      <c r="F815" s="4"/>
    </row>
    <row r="816">
      <c r="A816" s="4"/>
      <c r="B816" s="4"/>
      <c r="C816" s="4"/>
      <c r="D816" s="4"/>
      <c r="E816" s="4"/>
      <c r="F816" s="4"/>
    </row>
    <row r="817">
      <c r="A817" s="4"/>
      <c r="B817" s="4"/>
      <c r="C817" s="4"/>
      <c r="D817" s="4"/>
      <c r="E817" s="4"/>
      <c r="F817" s="4"/>
    </row>
    <row r="818">
      <c r="A818" s="4"/>
      <c r="B818" s="4"/>
      <c r="C818" s="4"/>
      <c r="D818" s="4"/>
      <c r="E818" s="4"/>
      <c r="F818" s="4"/>
    </row>
    <row r="819">
      <c r="A819" s="4"/>
      <c r="B819" s="4"/>
      <c r="C819" s="4"/>
      <c r="D819" s="4"/>
      <c r="E819" s="4"/>
      <c r="F819" s="4"/>
    </row>
    <row r="820">
      <c r="A820" s="4"/>
      <c r="B820" s="4"/>
      <c r="C820" s="4"/>
      <c r="D820" s="4"/>
      <c r="E820" s="4"/>
      <c r="F820" s="4"/>
    </row>
    <row r="821">
      <c r="A821" s="4"/>
      <c r="B821" s="4"/>
      <c r="C821" s="4"/>
      <c r="D821" s="4"/>
      <c r="E821" s="4"/>
      <c r="F821" s="4"/>
    </row>
    <row r="822">
      <c r="A822" s="4"/>
      <c r="B822" s="4"/>
      <c r="C822" s="4"/>
      <c r="D822" s="4"/>
      <c r="E822" s="4"/>
      <c r="F822" s="4"/>
    </row>
    <row r="823">
      <c r="A823" s="4"/>
      <c r="B823" s="4"/>
      <c r="C823" s="4"/>
      <c r="D823" s="4"/>
      <c r="E823" s="4"/>
      <c r="F823" s="4"/>
    </row>
    <row r="824">
      <c r="A824" s="4"/>
      <c r="B824" s="4"/>
      <c r="C824" s="4"/>
      <c r="D824" s="4"/>
      <c r="E824" s="4"/>
      <c r="F824" s="4"/>
    </row>
    <row r="825">
      <c r="A825" s="4"/>
      <c r="B825" s="4"/>
      <c r="C825" s="4"/>
      <c r="D825" s="4"/>
      <c r="E825" s="4"/>
      <c r="F825" s="4"/>
    </row>
    <row r="826">
      <c r="A826" s="4"/>
      <c r="B826" s="4"/>
      <c r="C826" s="4"/>
      <c r="D826" s="4"/>
      <c r="E826" s="4"/>
      <c r="F826" s="4"/>
    </row>
    <row r="827">
      <c r="A827" s="4"/>
      <c r="B827" s="4"/>
      <c r="C827" s="4"/>
      <c r="D827" s="4"/>
      <c r="E827" s="4"/>
      <c r="F827" s="4"/>
    </row>
    <row r="828">
      <c r="A828" s="4"/>
      <c r="B828" s="4"/>
      <c r="C828" s="4"/>
      <c r="D828" s="4"/>
      <c r="E828" s="4"/>
      <c r="F828" s="4"/>
    </row>
    <row r="829">
      <c r="A829" s="4"/>
      <c r="B829" s="4"/>
      <c r="C829" s="4"/>
      <c r="D829" s="4"/>
      <c r="E829" s="4"/>
      <c r="F829" s="4"/>
    </row>
    <row r="830">
      <c r="A830" s="4"/>
      <c r="B830" s="4"/>
      <c r="C830" s="4"/>
      <c r="D830" s="4"/>
      <c r="E830" s="4"/>
      <c r="F830" s="4"/>
    </row>
    <row r="831">
      <c r="A831" s="4"/>
      <c r="B831" s="4"/>
      <c r="C831" s="4"/>
      <c r="D831" s="4"/>
      <c r="E831" s="4"/>
      <c r="F831" s="4"/>
    </row>
    <row r="832">
      <c r="A832" s="4"/>
      <c r="B832" s="4"/>
      <c r="C832" s="4"/>
      <c r="D832" s="4"/>
      <c r="E832" s="4"/>
      <c r="F832" s="4"/>
    </row>
    <row r="833">
      <c r="A833" s="4"/>
      <c r="B833" s="4"/>
      <c r="C833" s="4"/>
      <c r="D833" s="4"/>
      <c r="E833" s="4"/>
      <c r="F833" s="4"/>
    </row>
    <row r="834">
      <c r="A834" s="4"/>
      <c r="B834" s="4"/>
      <c r="C834" s="4"/>
      <c r="D834" s="4"/>
      <c r="E834" s="4"/>
      <c r="F834" s="4"/>
    </row>
    <row r="835">
      <c r="A835" s="4"/>
      <c r="B835" s="4"/>
      <c r="C835" s="4"/>
      <c r="D835" s="4"/>
      <c r="E835" s="4"/>
      <c r="F835" s="4"/>
    </row>
    <row r="836">
      <c r="A836" s="4"/>
      <c r="B836" s="4"/>
      <c r="C836" s="4"/>
      <c r="D836" s="4"/>
      <c r="E836" s="4"/>
      <c r="F836" s="4"/>
    </row>
    <row r="837">
      <c r="A837" s="4"/>
      <c r="B837" s="4"/>
      <c r="C837" s="4"/>
      <c r="D837" s="4"/>
      <c r="E837" s="4"/>
      <c r="F837" s="4"/>
    </row>
    <row r="838">
      <c r="A838" s="4"/>
      <c r="B838" s="4"/>
      <c r="C838" s="4"/>
      <c r="D838" s="4"/>
      <c r="E838" s="4"/>
      <c r="F838" s="4"/>
    </row>
    <row r="839">
      <c r="A839" s="4"/>
      <c r="B839" s="4"/>
      <c r="C839" s="4"/>
      <c r="D839" s="4"/>
      <c r="E839" s="4"/>
      <c r="F839" s="4"/>
    </row>
    <row r="840">
      <c r="A840" s="4"/>
      <c r="B840" s="4"/>
      <c r="C840" s="4"/>
      <c r="D840" s="4"/>
      <c r="E840" s="4"/>
      <c r="F840" s="4"/>
    </row>
    <row r="841">
      <c r="A841" s="4"/>
      <c r="B841" s="4"/>
      <c r="C841" s="4"/>
      <c r="D841" s="4"/>
      <c r="E841" s="4"/>
      <c r="F841" s="4"/>
    </row>
    <row r="842">
      <c r="A842" s="4"/>
      <c r="B842" s="4"/>
      <c r="C842" s="4"/>
      <c r="D842" s="4"/>
      <c r="E842" s="4"/>
      <c r="F842" s="4"/>
    </row>
    <row r="843">
      <c r="A843" s="4"/>
      <c r="B843" s="4"/>
      <c r="C843" s="4"/>
      <c r="D843" s="4"/>
      <c r="E843" s="4"/>
      <c r="F843" s="4"/>
    </row>
    <row r="844">
      <c r="A844" s="4"/>
      <c r="B844" s="4"/>
      <c r="C844" s="4"/>
      <c r="D844" s="4"/>
      <c r="E844" s="4"/>
      <c r="F844" s="4"/>
    </row>
    <row r="845">
      <c r="A845" s="4"/>
      <c r="B845" s="4"/>
      <c r="C845" s="4"/>
      <c r="D845" s="4"/>
      <c r="E845" s="4"/>
      <c r="F845" s="4"/>
    </row>
    <row r="846">
      <c r="A846" s="4"/>
      <c r="B846" s="4"/>
      <c r="C846" s="4"/>
      <c r="D846" s="4"/>
      <c r="E846" s="4"/>
      <c r="F846" s="4"/>
    </row>
    <row r="847">
      <c r="A847" s="4"/>
      <c r="B847" s="4"/>
      <c r="C847" s="4"/>
      <c r="D847" s="4"/>
      <c r="E847" s="4"/>
      <c r="F847" s="4"/>
    </row>
    <row r="848">
      <c r="A848" s="4"/>
      <c r="B848" s="4"/>
      <c r="C848" s="4"/>
      <c r="D848" s="4"/>
      <c r="E848" s="4"/>
      <c r="F848" s="4"/>
    </row>
    <row r="849">
      <c r="A849" s="4"/>
      <c r="B849" s="4"/>
      <c r="C849" s="4"/>
      <c r="D849" s="4"/>
      <c r="E849" s="4"/>
      <c r="F849" s="4"/>
    </row>
    <row r="850">
      <c r="A850" s="4"/>
      <c r="B850" s="4"/>
      <c r="C850" s="4"/>
      <c r="D850" s="4"/>
      <c r="E850" s="4"/>
      <c r="F850" s="4"/>
    </row>
    <row r="851">
      <c r="A851" s="4"/>
      <c r="B851" s="4"/>
      <c r="C851" s="4"/>
      <c r="D851" s="4"/>
      <c r="E851" s="4"/>
      <c r="F851" s="4"/>
    </row>
    <row r="852">
      <c r="A852" s="4"/>
      <c r="B852" s="4"/>
      <c r="C852" s="4"/>
      <c r="D852" s="4"/>
      <c r="E852" s="4"/>
      <c r="F852" s="4"/>
    </row>
    <row r="853">
      <c r="A853" s="4"/>
      <c r="B853" s="4"/>
      <c r="C853" s="4"/>
      <c r="D853" s="4"/>
      <c r="E853" s="4"/>
      <c r="F853" s="4"/>
    </row>
    <row r="854">
      <c r="A854" s="4"/>
      <c r="B854" s="4"/>
      <c r="C854" s="4"/>
      <c r="D854" s="4"/>
      <c r="E854" s="4"/>
      <c r="F854" s="4"/>
    </row>
    <row r="855">
      <c r="A855" s="4"/>
      <c r="B855" s="4"/>
      <c r="C855" s="4"/>
      <c r="D855" s="4"/>
      <c r="E855" s="4"/>
      <c r="F855" s="4"/>
    </row>
    <row r="856">
      <c r="A856" s="4"/>
      <c r="B856" s="4"/>
      <c r="C856" s="4"/>
      <c r="D856" s="4"/>
      <c r="E856" s="4"/>
      <c r="F856" s="4"/>
    </row>
    <row r="857">
      <c r="A857" s="4"/>
      <c r="B857" s="4"/>
      <c r="C857" s="4"/>
      <c r="D857" s="4"/>
      <c r="E857" s="4"/>
      <c r="F857" s="4"/>
    </row>
    <row r="858">
      <c r="A858" s="4"/>
      <c r="B858" s="4"/>
      <c r="C858" s="4"/>
      <c r="D858" s="4"/>
      <c r="E858" s="4"/>
      <c r="F858" s="4"/>
    </row>
    <row r="859">
      <c r="A859" s="4"/>
      <c r="B859" s="4"/>
      <c r="C859" s="4"/>
      <c r="D859" s="4"/>
      <c r="E859" s="4"/>
      <c r="F859" s="4"/>
    </row>
    <row r="860">
      <c r="A860" s="4"/>
      <c r="B860" s="4"/>
      <c r="C860" s="4"/>
      <c r="D860" s="4"/>
      <c r="E860" s="4"/>
      <c r="F860" s="4"/>
    </row>
    <row r="861">
      <c r="A861" s="4"/>
      <c r="B861" s="4"/>
      <c r="C861" s="4"/>
      <c r="D861" s="4"/>
      <c r="E861" s="4"/>
      <c r="F861" s="4"/>
    </row>
    <row r="862">
      <c r="A862" s="4"/>
      <c r="B862" s="4"/>
      <c r="C862" s="4"/>
      <c r="D862" s="4"/>
      <c r="E862" s="4"/>
      <c r="F862" s="4"/>
    </row>
    <row r="863">
      <c r="A863" s="4"/>
      <c r="B863" s="4"/>
      <c r="C863" s="4"/>
      <c r="D863" s="4"/>
      <c r="E863" s="4"/>
      <c r="F863" s="4"/>
    </row>
    <row r="864">
      <c r="A864" s="4"/>
      <c r="B864" s="4"/>
      <c r="C864" s="4"/>
      <c r="D864" s="4"/>
      <c r="E864" s="4"/>
      <c r="F864" s="4"/>
    </row>
    <row r="865">
      <c r="A865" s="4"/>
      <c r="B865" s="4"/>
      <c r="C865" s="4"/>
      <c r="D865" s="4"/>
      <c r="E865" s="4"/>
      <c r="F865" s="4"/>
    </row>
    <row r="866">
      <c r="A866" s="4"/>
      <c r="B866" s="4"/>
      <c r="C866" s="4"/>
      <c r="D866" s="4"/>
      <c r="E866" s="4"/>
      <c r="F866" s="4"/>
    </row>
    <row r="867">
      <c r="A867" s="4"/>
      <c r="B867" s="4"/>
      <c r="C867" s="4"/>
      <c r="D867" s="4"/>
      <c r="E867" s="4"/>
      <c r="F867" s="4"/>
    </row>
    <row r="868">
      <c r="A868" s="4"/>
      <c r="B868" s="4"/>
      <c r="C868" s="4"/>
      <c r="D868" s="4"/>
      <c r="E868" s="4"/>
      <c r="F868" s="4"/>
    </row>
    <row r="869">
      <c r="A869" s="4"/>
      <c r="B869" s="4"/>
      <c r="C869" s="4"/>
      <c r="D869" s="4"/>
      <c r="E869" s="4"/>
      <c r="F869" s="4"/>
    </row>
    <row r="870">
      <c r="A870" s="4"/>
      <c r="B870" s="4"/>
      <c r="C870" s="4"/>
      <c r="D870" s="4"/>
      <c r="E870" s="4"/>
      <c r="F870" s="4"/>
    </row>
    <row r="871">
      <c r="A871" s="4"/>
      <c r="B871" s="4"/>
      <c r="C871" s="4"/>
      <c r="D871" s="4"/>
      <c r="E871" s="4"/>
      <c r="F871" s="4"/>
    </row>
    <row r="872">
      <c r="A872" s="4"/>
      <c r="B872" s="4"/>
      <c r="C872" s="4"/>
      <c r="D872" s="4"/>
      <c r="E872" s="4"/>
      <c r="F872" s="4"/>
    </row>
    <row r="873">
      <c r="A873" s="4"/>
      <c r="B873" s="4"/>
      <c r="C873" s="4"/>
      <c r="D873" s="4"/>
      <c r="E873" s="4"/>
      <c r="F873" s="4"/>
    </row>
    <row r="874">
      <c r="A874" s="4"/>
      <c r="B874" s="4"/>
      <c r="C874" s="4"/>
      <c r="D874" s="4"/>
      <c r="E874" s="4"/>
      <c r="F874" s="4"/>
    </row>
    <row r="875">
      <c r="A875" s="4"/>
      <c r="B875" s="4"/>
      <c r="C875" s="4"/>
      <c r="D875" s="4"/>
      <c r="E875" s="4"/>
      <c r="F875" s="4"/>
    </row>
    <row r="876">
      <c r="A876" s="4"/>
      <c r="B876" s="4"/>
      <c r="C876" s="4"/>
      <c r="D876" s="4"/>
      <c r="E876" s="4"/>
      <c r="F876" s="4"/>
    </row>
    <row r="877">
      <c r="A877" s="4"/>
      <c r="B877" s="4"/>
      <c r="C877" s="4"/>
      <c r="D877" s="4"/>
      <c r="E877" s="4"/>
      <c r="F877" s="4"/>
    </row>
    <row r="878">
      <c r="A878" s="4"/>
      <c r="B878" s="4"/>
      <c r="C878" s="4"/>
      <c r="D878" s="4"/>
      <c r="E878" s="4"/>
      <c r="F878" s="4"/>
    </row>
    <row r="879">
      <c r="A879" s="4"/>
      <c r="B879" s="4"/>
      <c r="C879" s="4"/>
      <c r="D879" s="4"/>
      <c r="E879" s="4"/>
      <c r="F879" s="4"/>
    </row>
    <row r="880">
      <c r="A880" s="4"/>
      <c r="B880" s="4"/>
      <c r="C880" s="4"/>
      <c r="D880" s="4"/>
      <c r="E880" s="4"/>
      <c r="F880" s="4"/>
    </row>
    <row r="881">
      <c r="A881" s="4"/>
      <c r="B881" s="4"/>
      <c r="C881" s="4"/>
      <c r="D881" s="4"/>
      <c r="E881" s="4"/>
      <c r="F881" s="4"/>
    </row>
    <row r="882">
      <c r="A882" s="4"/>
      <c r="B882" s="4"/>
      <c r="C882" s="4"/>
      <c r="D882" s="4"/>
      <c r="E882" s="4"/>
      <c r="F882" s="4"/>
    </row>
    <row r="883">
      <c r="A883" s="4"/>
      <c r="B883" s="4"/>
      <c r="C883" s="4"/>
      <c r="D883" s="4"/>
      <c r="E883" s="4"/>
      <c r="F883" s="4"/>
    </row>
    <row r="884">
      <c r="A884" s="4"/>
      <c r="B884" s="4"/>
      <c r="C884" s="4"/>
      <c r="D884" s="4"/>
      <c r="E884" s="4"/>
      <c r="F884" s="4"/>
    </row>
    <row r="885">
      <c r="A885" s="4"/>
      <c r="B885" s="4"/>
      <c r="C885" s="4"/>
      <c r="D885" s="4"/>
      <c r="E885" s="4"/>
      <c r="F885" s="4"/>
    </row>
    <row r="886">
      <c r="A886" s="4"/>
      <c r="B886" s="4"/>
      <c r="C886" s="4"/>
      <c r="D886" s="4"/>
      <c r="E886" s="4"/>
      <c r="F886" s="4"/>
    </row>
    <row r="887">
      <c r="A887" s="4"/>
      <c r="B887" s="4"/>
      <c r="C887" s="4"/>
      <c r="D887" s="4"/>
      <c r="E887" s="4"/>
      <c r="F887" s="4"/>
    </row>
    <row r="888">
      <c r="A888" s="4"/>
      <c r="B888" s="4"/>
      <c r="C888" s="4"/>
      <c r="D888" s="4"/>
      <c r="E888" s="4"/>
      <c r="F888" s="4"/>
    </row>
    <row r="889">
      <c r="A889" s="4"/>
      <c r="B889" s="4"/>
      <c r="C889" s="4"/>
      <c r="D889" s="4"/>
      <c r="E889" s="4"/>
      <c r="F889" s="4"/>
    </row>
    <row r="890">
      <c r="A890" s="4"/>
      <c r="B890" s="4"/>
      <c r="C890" s="4"/>
      <c r="D890" s="4"/>
      <c r="E890" s="4"/>
      <c r="F890" s="4"/>
    </row>
    <row r="891">
      <c r="A891" s="4"/>
      <c r="B891" s="4"/>
      <c r="C891" s="4"/>
      <c r="D891" s="4"/>
      <c r="E891" s="4"/>
      <c r="F891" s="4"/>
    </row>
    <row r="892">
      <c r="A892" s="4"/>
      <c r="B892" s="4"/>
      <c r="C892" s="4"/>
      <c r="D892" s="4"/>
      <c r="E892" s="4"/>
      <c r="F892" s="4"/>
    </row>
    <row r="893">
      <c r="A893" s="4"/>
      <c r="B893" s="4"/>
      <c r="C893" s="4"/>
      <c r="D893" s="4"/>
      <c r="E893" s="4"/>
      <c r="F893" s="4"/>
    </row>
    <row r="894">
      <c r="A894" s="4"/>
      <c r="B894" s="4"/>
      <c r="C894" s="4"/>
      <c r="D894" s="4"/>
      <c r="E894" s="4"/>
      <c r="F894" s="4"/>
    </row>
    <row r="895">
      <c r="A895" s="4"/>
      <c r="B895" s="4"/>
      <c r="C895" s="4"/>
      <c r="D895" s="4"/>
      <c r="E895" s="4"/>
      <c r="F895" s="4"/>
    </row>
    <row r="896">
      <c r="A896" s="4"/>
      <c r="B896" s="4"/>
      <c r="C896" s="4"/>
      <c r="D896" s="4"/>
      <c r="E896" s="4"/>
      <c r="F896" s="4"/>
    </row>
    <row r="897">
      <c r="A897" s="4"/>
      <c r="B897" s="4"/>
      <c r="C897" s="4"/>
      <c r="D897" s="4"/>
      <c r="E897" s="4"/>
      <c r="F897" s="4"/>
    </row>
    <row r="898">
      <c r="A898" s="4"/>
      <c r="B898" s="4"/>
      <c r="C898" s="4"/>
      <c r="D898" s="4"/>
      <c r="E898" s="4"/>
      <c r="F898" s="4"/>
    </row>
    <row r="899">
      <c r="A899" s="4"/>
      <c r="B899" s="4"/>
      <c r="C899" s="4"/>
      <c r="D899" s="4"/>
      <c r="E899" s="4"/>
      <c r="F899" s="4"/>
    </row>
    <row r="900">
      <c r="A900" s="4"/>
      <c r="B900" s="4"/>
      <c r="C900" s="4"/>
      <c r="D900" s="4"/>
      <c r="E900" s="4"/>
      <c r="F900" s="4"/>
    </row>
    <row r="901">
      <c r="A901" s="4"/>
      <c r="B901" s="4"/>
      <c r="C901" s="4"/>
      <c r="D901" s="4"/>
      <c r="E901" s="4"/>
      <c r="F901" s="4"/>
    </row>
    <row r="902">
      <c r="A902" s="4"/>
      <c r="B902" s="4"/>
      <c r="C902" s="4"/>
      <c r="D902" s="4"/>
      <c r="E902" s="4"/>
      <c r="F902" s="4"/>
    </row>
    <row r="903">
      <c r="A903" s="4"/>
      <c r="B903" s="4"/>
      <c r="C903" s="4"/>
      <c r="D903" s="4"/>
      <c r="E903" s="4"/>
      <c r="F903" s="4"/>
    </row>
    <row r="904">
      <c r="A904" s="4"/>
      <c r="B904" s="4"/>
      <c r="C904" s="4"/>
      <c r="D904" s="4"/>
      <c r="E904" s="4"/>
      <c r="F904" s="4"/>
    </row>
    <row r="905">
      <c r="A905" s="4"/>
      <c r="B905" s="4"/>
      <c r="C905" s="4"/>
      <c r="D905" s="4"/>
      <c r="E905" s="4"/>
      <c r="F905" s="4"/>
    </row>
    <row r="906">
      <c r="A906" s="4"/>
      <c r="B906" s="4"/>
      <c r="C906" s="4"/>
      <c r="D906" s="4"/>
      <c r="E906" s="4"/>
      <c r="F906" s="4"/>
    </row>
    <row r="907">
      <c r="A907" s="4"/>
      <c r="B907" s="4"/>
      <c r="C907" s="4"/>
      <c r="D907" s="4"/>
      <c r="E907" s="4"/>
      <c r="F907" s="4"/>
    </row>
    <row r="908">
      <c r="A908" s="4"/>
      <c r="B908" s="4"/>
      <c r="C908" s="4"/>
      <c r="D908" s="4"/>
      <c r="E908" s="4"/>
      <c r="F908" s="4"/>
    </row>
    <row r="909">
      <c r="A909" s="4"/>
      <c r="B909" s="4"/>
      <c r="C909" s="4"/>
      <c r="D909" s="4"/>
      <c r="E909" s="4"/>
      <c r="F909" s="4"/>
    </row>
    <row r="910">
      <c r="A910" s="4"/>
      <c r="B910" s="4"/>
      <c r="C910" s="4"/>
      <c r="D910" s="4"/>
      <c r="E910" s="4"/>
      <c r="F910" s="4"/>
    </row>
    <row r="911">
      <c r="A911" s="4"/>
      <c r="B911" s="4"/>
      <c r="C911" s="4"/>
      <c r="D911" s="4"/>
      <c r="E911" s="4"/>
      <c r="F911" s="4"/>
    </row>
    <row r="912">
      <c r="A912" s="4"/>
      <c r="B912" s="4"/>
      <c r="C912" s="4"/>
      <c r="D912" s="4"/>
      <c r="E912" s="4"/>
      <c r="F912" s="4"/>
    </row>
  </sheetData>
  <hyperlinks>
    <hyperlink r:id="rId2" ref="D1"/>
  </hyperlinks>
  <drawing r:id="rId3"/>
  <legacy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30.38"/>
  </cols>
  <sheetData>
    <row r="1">
      <c r="A1" s="2" t="str">
        <f>IFERROR(__xludf.DUMMYFUNCTION("QUERY({Contacts1!A:F; Contacts2!A:F}, ""SELECT * WHERE Col1 IS NOT NULL"", 1)"),"Id")</f>
        <v>Id</v>
      </c>
      <c r="B1" s="2" t="str">
        <f>IFERROR(__xludf.DUMMYFUNCTION("""COMPUTED_VALUE"""),"Deployment__c")</f>
        <v>Deployment__c</v>
      </c>
      <c r="C1" s="2" t="str">
        <f>IFERROR(__xludf.DUMMYFUNCTION("""COMPUTED_VALUE"""),"Contact__c")</f>
        <v>Contact__c</v>
      </c>
      <c r="D1" s="5" t="str">
        <f>IFERROR(__xludf.DUMMYFUNCTION("""COMPUTED_VALUE"""),"Contact__r.Name")</f>
        <v>Contact__r.Name</v>
      </c>
      <c r="E1" s="2" t="str">
        <f>IFERROR(__xludf.DUMMYFUNCTION("""COMPUTED_VALUE"""),"Contact__r.Email")</f>
        <v>Contact__r.Email</v>
      </c>
      <c r="F1" s="2" t="str">
        <f>IFERROR(__xludf.DUMMYFUNCTION("""COMPUTED_VALUE"""),"Contact_Role__c")</f>
        <v>Contact_Role__c</v>
      </c>
    </row>
    <row r="2">
      <c r="A2" s="12" t="str">
        <f>IFERROR(__xludf.DUMMYFUNCTION("""COMPUTED_VALUE"""),"a0lVT000005JQn7YAG")</f>
        <v>a0lVT000005JQn7YAG</v>
      </c>
      <c r="B2" s="12" t="str">
        <f>IFERROR(__xludf.DUMMYFUNCTION("""COMPUTED_VALUE"""),"a0rVT00000uNzYnYAK")</f>
        <v>a0rVT00000uNzYnYAK</v>
      </c>
      <c r="C2" s="12" t="str">
        <f>IFERROR(__xludf.DUMMYFUNCTION("""COMPUTED_VALUE"""),"0038000001goW9YAAU")</f>
        <v>0038000001goW9YAAU</v>
      </c>
      <c r="D2" s="12" t="str">
        <f>IFERROR(__xludf.DUMMYFUNCTION("""COMPUTED_VALUE"""),"Shane Cline")</f>
        <v>Shane Cline</v>
      </c>
      <c r="E2" s="12" t="str">
        <f>IFERROR(__xludf.DUMMYFUNCTION("""COMPUTED_VALUE"""),"shane.cline@workday.com")</f>
        <v>shane.cline@workday.com</v>
      </c>
      <c r="F2" s="12" t="str">
        <f>IFERROR(__xludf.DUMMYFUNCTION("""COMPUTED_VALUE"""),"Engagement Manager [Primary]")</f>
        <v>Engagement Manager [Primary]</v>
      </c>
    </row>
    <row r="3">
      <c r="A3" s="12" t="str">
        <f>IFERROR(__xludf.DUMMYFUNCTION("""COMPUTED_VALUE"""),"a0lVT000005UokTYAS")</f>
        <v>a0lVT000005UokTYAS</v>
      </c>
      <c r="B3" s="12" t="str">
        <f>IFERROR(__xludf.DUMMYFUNCTION("""COMPUTED_VALUE"""),"a0rVT00000z6QWHYA2")</f>
        <v>a0rVT00000z6QWHYA2</v>
      </c>
      <c r="C3" s="12" t="str">
        <f>IFERROR(__xludf.DUMMYFUNCTION("""COMPUTED_VALUE"""),"0034X00003EtGr8QAF")</f>
        <v>0034X00003EtGr8QAF</v>
      </c>
      <c r="D3" s="12" t="str">
        <f>IFERROR(__xludf.DUMMYFUNCTION("""COMPUTED_VALUE"""),"Aaron Barnes")</f>
        <v>Aaron Barnes</v>
      </c>
      <c r="E3" s="12" t="str">
        <f>IFERROR(__xludf.DUMMYFUNCTION("""COMPUTED_VALUE"""),"aaron.barnes@workday.com")</f>
        <v>aaron.barnes@workday.com</v>
      </c>
      <c r="F3" s="12" t="str">
        <f>IFERROR(__xludf.DUMMYFUNCTION("""COMPUTED_VALUE"""),"Deployment Sponsor")</f>
        <v>Deployment Sponsor</v>
      </c>
    </row>
    <row r="4">
      <c r="A4" s="12" t="str">
        <f>IFERROR(__xludf.DUMMYFUNCTION("""COMPUTED_VALUE"""),"a0lVT0000061M6HYAU")</f>
        <v>a0lVT0000061M6HYAU</v>
      </c>
      <c r="B4" s="12" t="str">
        <f>IFERROR(__xludf.DUMMYFUNCTION("""COMPUTED_VALUE"""),"a0rVT00000z6QWHYA2")</f>
        <v>a0rVT00000z6QWHYA2</v>
      </c>
      <c r="C4" s="12" t="str">
        <f>IFERROR(__xludf.DUMMYFUNCTION("""COMPUTED_VALUE"""),"003VT00000i5jl9YAA")</f>
        <v>003VT00000i5jl9YAA</v>
      </c>
      <c r="D4" s="12" t="str">
        <f>IFERROR(__xludf.DUMMYFUNCTION("""COMPUTED_VALUE"""),"Helen Wright")</f>
        <v>Helen Wright</v>
      </c>
      <c r="E4" s="12" t="str">
        <f>IFERROR(__xludf.DUMMYFUNCTION("""COMPUTED_VALUE"""),"helen.wright@workday.com")</f>
        <v>helen.wright@workday.com</v>
      </c>
      <c r="F4" s="12" t="str">
        <f>IFERROR(__xludf.DUMMYFUNCTION("""COMPUTED_VALUE"""),"Engagement Manager [Primary]")</f>
        <v>Engagement Manager [Primary]</v>
      </c>
    </row>
    <row r="5">
      <c r="A5" s="12" t="str">
        <f>IFERROR(__xludf.DUMMYFUNCTION("""COMPUTED_VALUE"""),"a0lVT000006Bc1hYAC")</f>
        <v>a0lVT000006Bc1hYAC</v>
      </c>
      <c r="B5" s="12" t="str">
        <f>IFERROR(__xludf.DUMMYFUNCTION("""COMPUTED_VALUE"""),"a0rVT00000z6QWHYA2")</f>
        <v>a0rVT00000z6QWHYA2</v>
      </c>
      <c r="C5" s="12" t="str">
        <f>IFERROR(__xludf.DUMMYFUNCTION("""COMPUTED_VALUE"""),"003VT00000fbuMWYAY")</f>
        <v>003VT00000fbuMWYAY</v>
      </c>
      <c r="D5" s="12" t="str">
        <f>IFERROR(__xludf.DUMMYFUNCTION("""COMPUTED_VALUE"""),"Erin Henning")</f>
        <v>Erin Henning</v>
      </c>
      <c r="E5" s="12" t="str">
        <f>IFERROR(__xludf.DUMMYFUNCTION("""COMPUTED_VALUE"""),"erin.henning@siemens.com")</f>
        <v>erin.henning@siemens.com</v>
      </c>
      <c r="F5" s="12" t="str">
        <f>IFERROR(__xludf.DUMMYFUNCTION("""COMPUTED_VALUE"""),"Executive Sponsor")</f>
        <v>Executive Sponsor</v>
      </c>
    </row>
    <row r="6">
      <c r="A6" s="12" t="str">
        <f>IFERROR(__xludf.DUMMYFUNCTION("""COMPUTED_VALUE"""),"a0lVT000006HwtlYAC")</f>
        <v>a0lVT000006HwtlYAC</v>
      </c>
      <c r="B6" s="12" t="str">
        <f>IFERROR(__xludf.DUMMYFUNCTION("""COMPUTED_VALUE"""),"a0rVT00000z6QWHYA2")</f>
        <v>a0rVT00000z6QWHYA2</v>
      </c>
      <c r="C6" s="12" t="str">
        <f>IFERROR(__xludf.DUMMYFUNCTION("""COMPUTED_VALUE"""),"003VT00000FsFXhYAN")</f>
        <v>003VT00000FsFXhYAN</v>
      </c>
      <c r="D6" s="12" t="str">
        <f>IFERROR(__xludf.DUMMYFUNCTION("""COMPUTED_VALUE"""),"Christian Wedel")</f>
        <v>Christian Wedel</v>
      </c>
      <c r="E6" s="12" t="str">
        <f>IFERROR(__xludf.DUMMYFUNCTION("""COMPUTED_VALUE"""),"christian.wedel@workday.com")</f>
        <v>christian.wedel@workday.com</v>
      </c>
      <c r="F6" s="12" t="str">
        <f>IFERROR(__xludf.DUMMYFUNCTION("""COMPUTED_VALUE"""),"Engagement Manager [Secondary]")</f>
        <v>Engagement Manager [Secondary]</v>
      </c>
    </row>
    <row r="7">
      <c r="A7" s="12" t="str">
        <f>IFERROR(__xludf.DUMMYFUNCTION("""COMPUTED_VALUE"""),"a0lVT000006KQ2vYAG")</f>
        <v>a0lVT000006KQ2vYAG</v>
      </c>
      <c r="B7" s="12" t="str">
        <f>IFERROR(__xludf.DUMMYFUNCTION("""COMPUTED_VALUE"""),"a0rVT00000z6QWHYA2")</f>
        <v>a0rVT00000z6QWHYA2</v>
      </c>
      <c r="C7" s="12" t="str">
        <f>IFERROR(__xludf.DUMMYFUNCTION("""COMPUTED_VALUE"""),"0038000001i7N4rAAE")</f>
        <v>0038000001i7N4rAAE</v>
      </c>
      <c r="D7" s="12" t="str">
        <f>IFERROR(__xludf.DUMMYFUNCTION("""COMPUTED_VALUE"""),"Val Tsvetkov")</f>
        <v>Val Tsvetkov</v>
      </c>
      <c r="E7" s="12" t="str">
        <f>IFERROR(__xludf.DUMMYFUNCTION("""COMPUTED_VALUE"""),"val.tsvetkov@workday.com")</f>
        <v>val.tsvetkov@workday.com</v>
      </c>
      <c r="F7" s="12" t="str">
        <f>IFERROR(__xludf.DUMMYFUNCTION("""COMPUTED_VALUE"""),"Deployment Sponsor")</f>
        <v>Deployment Sponsor</v>
      </c>
    </row>
    <row r="8">
      <c r="A8" s="12" t="str">
        <f>IFERROR(__xludf.DUMMYFUNCTION("""COMPUTED_VALUE"""),"a0lVT000006Bc1iYAC")</f>
        <v>a0lVT000006Bc1iYAC</v>
      </c>
      <c r="B8" s="12" t="str">
        <f>IFERROR(__xludf.DUMMYFUNCTION("""COMPUTED_VALUE"""),"a0rVT00000z6QWHYA2")</f>
        <v>a0rVT00000z6QWHYA2</v>
      </c>
      <c r="C8" s="12" t="str">
        <f>IFERROR(__xludf.DUMMYFUNCTION("""COMPUTED_VALUE"""),"003VT00000IEyJjYAL")</f>
        <v>003VT00000IEyJjYAL</v>
      </c>
      <c r="D8" s="12" t="str">
        <f>IFERROR(__xludf.DUMMYFUNCTION("""COMPUTED_VALUE"""),"Sophie Bieber")</f>
        <v>Sophie Bieber</v>
      </c>
      <c r="E8" s="12" t="str">
        <f>IFERROR(__xludf.DUMMYFUNCTION("""COMPUTED_VALUE"""),"sophie.bieber@siemens.com")</f>
        <v>sophie.bieber@siemens.com</v>
      </c>
      <c r="F8" s="12" t="str">
        <f>IFERROR(__xludf.DUMMYFUNCTION("""COMPUTED_VALUE"""),"Project Manager [Customer]")</f>
        <v>Project Manager [Customer]</v>
      </c>
    </row>
    <row r="9">
      <c r="A9" s="12" t="str">
        <f>IFERROR(__xludf.DUMMYFUNCTION("""COMPUTED_VALUE"""),"a0lVT000005YLQXYA4")</f>
        <v>a0lVT000005YLQXYA4</v>
      </c>
      <c r="B9" s="12" t="str">
        <f>IFERROR(__xludf.DUMMYFUNCTION("""COMPUTED_VALUE"""),"a0rVT00000zw8IIYAY")</f>
        <v>a0rVT00000zw8IIYAY</v>
      </c>
      <c r="C9" s="12" t="str">
        <f>IFERROR(__xludf.DUMMYFUNCTION("""COMPUTED_VALUE"""),"00380000024qaNvAAI")</f>
        <v>00380000024qaNvAAI</v>
      </c>
      <c r="D9" s="12" t="str">
        <f>IFERROR(__xludf.DUMMYFUNCTION("""COMPUTED_VALUE"""),"Doris Pulsifer")</f>
        <v>Doris Pulsifer</v>
      </c>
      <c r="E9" s="12" t="str">
        <f>IFERROR(__xludf.DUMMYFUNCTION("""COMPUTED_VALUE"""),"doris.pulsifer@workday.com")</f>
        <v>doris.pulsifer@workday.com</v>
      </c>
      <c r="F9" s="12" t="str">
        <f>IFERROR(__xludf.DUMMYFUNCTION("""COMPUTED_VALUE"""),"Engagement Manager [Primary]")</f>
        <v>Engagement Manager [Primary]</v>
      </c>
    </row>
    <row r="10">
      <c r="A10" s="12" t="str">
        <f>IFERROR(__xludf.DUMMYFUNCTION("""COMPUTED_VALUE"""),"a0lVT000005mYMHYA2")</f>
        <v>a0lVT000005mYMHYA2</v>
      </c>
      <c r="B10" s="12" t="str">
        <f>IFERROR(__xludf.DUMMYFUNCTION("""COMPUTED_VALUE"""),"a0rVT000010EfCTYA0")</f>
        <v>a0rVT000010EfCTYA0</v>
      </c>
      <c r="C10" s="12" t="str">
        <f>IFERROR(__xludf.DUMMYFUNCTION("""COMPUTED_VALUE"""),"003VT00000fcEf6YAE")</f>
        <v>003VT00000fcEf6YAE</v>
      </c>
      <c r="D10" s="12" t="str">
        <f>IFERROR(__xludf.DUMMYFUNCTION("""COMPUTED_VALUE"""),"Nichole Maher")</f>
        <v>Nichole Maher</v>
      </c>
      <c r="E10" s="12" t="str">
        <f>IFERROR(__xludf.DUMMYFUNCTION("""COMPUTED_VALUE"""),"nichole.maher@workday.com")</f>
        <v>nichole.maher@workday.com</v>
      </c>
      <c r="F10" s="12" t="str">
        <f>IFERROR(__xludf.DUMMYFUNCTION("""COMPUTED_VALUE"""),"Engagement Manager [Primary]")</f>
        <v>Engagement Manager [Primary]</v>
      </c>
    </row>
    <row r="11">
      <c r="A11" s="12" t="str">
        <f>IFERROR(__xludf.DUMMYFUNCTION("""COMPUTED_VALUE"""),"a0lVT000005lqt8YAA")</f>
        <v>a0lVT000005lqt8YAA</v>
      </c>
      <c r="B11" s="12" t="str">
        <f>IFERROR(__xludf.DUMMYFUNCTION("""COMPUTED_VALUE"""),"a0rVT000010WmBHYA0")</f>
        <v>a0rVT000010WmBHYA0</v>
      </c>
      <c r="C11" s="12" t="str">
        <f>IFERROR(__xludf.DUMMYFUNCTION("""COMPUTED_VALUE"""),"0034X00002tsN2LQAU")</f>
        <v>0034X00002tsN2LQAU</v>
      </c>
      <c r="D11" s="12" t="str">
        <f>IFERROR(__xludf.DUMMYFUNCTION("""COMPUTED_VALUE"""),"Susan Kearney")</f>
        <v>Susan Kearney</v>
      </c>
      <c r="E11" s="12" t="str">
        <f>IFERROR(__xludf.DUMMYFUNCTION("""COMPUTED_VALUE"""),"susan.kearney@regeneron.com")</f>
        <v>susan.kearney@regeneron.com</v>
      </c>
      <c r="F11" s="12" t="str">
        <f>IFERROR(__xludf.DUMMYFUNCTION("""COMPUTED_VALUE"""),"Executive Sponsor")</f>
        <v>Executive Sponsor</v>
      </c>
    </row>
    <row r="12">
      <c r="A12" s="12" t="str">
        <f>IFERROR(__xludf.DUMMYFUNCTION("""COMPUTED_VALUE"""),"a0lVT000005Yv4EYAS")</f>
        <v>a0lVT000005Yv4EYAS</v>
      </c>
      <c r="B12" s="12" t="str">
        <f>IFERROR(__xludf.DUMMYFUNCTION("""COMPUTED_VALUE"""),"a0rVT000010WmBHYA0")</f>
        <v>a0rVT000010WmBHYA0</v>
      </c>
      <c r="C12" s="12" t="str">
        <f>IFERROR(__xludf.DUMMYFUNCTION("""COMPUTED_VALUE"""),"0038000001jImyNAAS")</f>
        <v>0038000001jImyNAAS</v>
      </c>
      <c r="D12" s="12" t="str">
        <f>IFERROR(__xludf.DUMMYFUNCTION("""COMPUTED_VALUE"""),"Patricia Lockett")</f>
        <v>Patricia Lockett</v>
      </c>
      <c r="E12" s="12" t="str">
        <f>IFERROR(__xludf.DUMMYFUNCTION("""COMPUTED_VALUE"""),"patricia.lockett@timeinc.com")</f>
        <v>patricia.lockett@timeinc.com</v>
      </c>
      <c r="F12" s="12" t="str">
        <f>IFERROR(__xludf.DUMMYFUNCTION("""COMPUTED_VALUE"""),"Executive Sponsor")</f>
        <v>Executive Sponsor</v>
      </c>
    </row>
    <row r="13">
      <c r="A13" s="12" t="str">
        <f>IFERROR(__xludf.DUMMYFUNCTION("""COMPUTED_VALUE"""),"a0lVT000005YejJYAS")</f>
        <v>a0lVT000005YejJYAS</v>
      </c>
      <c r="B13" s="12" t="str">
        <f>IFERROR(__xludf.DUMMYFUNCTION("""COMPUTED_VALUE"""),"a0rVT000010WmBHYA0")</f>
        <v>a0rVT000010WmBHYA0</v>
      </c>
      <c r="C13" s="12" t="str">
        <f>IFERROR(__xludf.DUMMYFUNCTION("""COMPUTED_VALUE"""),"003VT00000c69PMYAY")</f>
        <v>003VT00000c69PMYAY</v>
      </c>
      <c r="D13" s="12" t="str">
        <f>IFERROR(__xludf.DUMMYFUNCTION("""COMPUTED_VALUE"""),"Brad Whitford")</f>
        <v>Brad Whitford</v>
      </c>
      <c r="E13" s="12" t="str">
        <f>IFERROR(__xludf.DUMMYFUNCTION("""COMPUTED_VALUE"""),"brad.whitford@workday.com")</f>
        <v>brad.whitford@workday.com</v>
      </c>
      <c r="F13" s="12" t="str">
        <f>IFERROR(__xludf.DUMMYFUNCTION("""COMPUTED_VALUE"""),"Engagement Manager [Primary]")</f>
        <v>Engagement Manager [Primary]</v>
      </c>
    </row>
    <row r="14">
      <c r="A14" s="12" t="str">
        <f>IFERROR(__xludf.DUMMYFUNCTION("""COMPUTED_VALUE"""),"a0lVT000005wXtZYAU")</f>
        <v>a0lVT000005wXtZYAU</v>
      </c>
      <c r="B14" s="12" t="str">
        <f>IFERROR(__xludf.DUMMYFUNCTION("""COMPUTED_VALUE"""),"a0rVT000010WmBHYA0")</f>
        <v>a0rVT000010WmBHYA0</v>
      </c>
      <c r="C14" s="12" t="str">
        <f>IFERROR(__xludf.DUMMYFUNCTION("""COMPUTED_VALUE"""),"0034X00002yXBHxQAO")</f>
        <v>0034X00002yXBHxQAO</v>
      </c>
      <c r="D14" s="12" t="str">
        <f>IFERROR(__xludf.DUMMYFUNCTION("""COMPUTED_VALUE"""),"Jennifer Mitchell")</f>
        <v>Jennifer Mitchell</v>
      </c>
      <c r="E14" s="12" t="str">
        <f>IFERROR(__xludf.DUMMYFUNCTION("""COMPUTED_VALUE"""),"jennifer.mitchell@workday.com")</f>
        <v>jennifer.mitchell@workday.com</v>
      </c>
      <c r="F14" s="12" t="str">
        <f>IFERROR(__xludf.DUMMYFUNCTION("""COMPUTED_VALUE"""),"Engagement Manager [Secondary]")</f>
        <v>Engagement Manager [Secondary]</v>
      </c>
    </row>
    <row r="15">
      <c r="A15" s="12" t="str">
        <f>IFERROR(__xludf.DUMMYFUNCTION("""COMPUTED_VALUE"""),"a0lVT000005wR4zYAE")</f>
        <v>a0lVT000005wR4zYAE</v>
      </c>
      <c r="B15" s="12" t="str">
        <f>IFERROR(__xludf.DUMMYFUNCTION("""COMPUTED_VALUE"""),"a0rVT000010WmBHYA0")</f>
        <v>a0rVT000010WmBHYA0</v>
      </c>
      <c r="C15" s="12" t="str">
        <f>IFERROR(__xludf.DUMMYFUNCTION("""COMPUTED_VALUE"""),"0038000001HTmLFAA1")</f>
        <v>0038000001HTmLFAA1</v>
      </c>
      <c r="D15" s="12" t="str">
        <f>IFERROR(__xludf.DUMMYFUNCTION("""COMPUTED_VALUE"""),"Angela Chu-Matsuno")</f>
        <v>Angela Chu-Matsuno</v>
      </c>
      <c r="E15" s="12" t="str">
        <f>IFERROR(__xludf.DUMMYFUNCTION("""COMPUTED_VALUE"""),"angela.chu-matsuno@workday.com")</f>
        <v>angela.chu-matsuno@workday.com</v>
      </c>
      <c r="F15" s="12" t="str">
        <f>IFERROR(__xludf.DUMMYFUNCTION("""COMPUTED_VALUE"""),"Deployment Sponsor")</f>
        <v>Deployment Sponsor</v>
      </c>
    </row>
    <row r="16">
      <c r="A16" s="12" t="str">
        <f>IFERROR(__xludf.DUMMYFUNCTION("""COMPUTED_VALUE"""),"a0lVT000005lqtFYAQ")</f>
        <v>a0lVT000005lqtFYAQ</v>
      </c>
      <c r="B16" s="12" t="str">
        <f>IFERROR(__xludf.DUMMYFUNCTION("""COMPUTED_VALUE"""),"a0rVT000010WmBHYA0")</f>
        <v>a0rVT000010WmBHYA0</v>
      </c>
      <c r="C16" s="12" t="str">
        <f>IFERROR(__xludf.DUMMYFUNCTION("""COMPUTED_VALUE"""),"0031B00002lMPUNQA4")</f>
        <v>0031B00002lMPUNQA4</v>
      </c>
      <c r="D16" s="12" t="str">
        <f>IFERROR(__xludf.DUMMYFUNCTION("""COMPUTED_VALUE"""),"Jhonelle Prince")</f>
        <v>Jhonelle Prince</v>
      </c>
      <c r="E16" s="12" t="str">
        <f>IFERROR(__xludf.DUMMYFUNCTION("""COMPUTED_VALUE"""),"jhonelle.prince@regeneron.com")</f>
        <v>jhonelle.prince@regeneron.com</v>
      </c>
      <c r="F16" s="12" t="str">
        <f>IFERROR(__xludf.DUMMYFUNCTION("""COMPUTED_VALUE"""),"Project Manager [Customer]")</f>
        <v>Project Manager [Customer]</v>
      </c>
    </row>
    <row r="17">
      <c r="A17" s="12" t="str">
        <f>IFERROR(__xludf.DUMMYFUNCTION("""COMPUTED_VALUE"""),"a0lVT000005lqtAYAQ")</f>
        <v>a0lVT000005lqtAYAQ</v>
      </c>
      <c r="B17" s="12" t="str">
        <f>IFERROR(__xludf.DUMMYFUNCTION("""COMPUTED_VALUE"""),"a0rVT000010WmBHYA0")</f>
        <v>a0rVT000010WmBHYA0</v>
      </c>
      <c r="C17" s="12" t="str">
        <f>IFERROR(__xludf.DUMMYFUNCTION("""COMPUTED_VALUE"""),"0034X00002wQULtQAO")</f>
        <v>0034X00002wQULtQAO</v>
      </c>
      <c r="D17" s="12" t="str">
        <f>IFERROR(__xludf.DUMMYFUNCTION("""COMPUTED_VALUE"""),"Elisabeth Ramey")</f>
        <v>Elisabeth Ramey</v>
      </c>
      <c r="E17" s="12" t="str">
        <f>IFERROR(__xludf.DUMMYFUNCTION("""COMPUTED_VALUE"""),"elisabeth.ramey@regeneron.com")</f>
        <v>elisabeth.ramey@regeneron.com</v>
      </c>
      <c r="F17" s="12" t="str">
        <f>IFERROR(__xludf.DUMMYFUNCTION("""COMPUTED_VALUE"""),"Executive Sponsor")</f>
        <v>Executive Sponsor</v>
      </c>
    </row>
    <row r="18">
      <c r="A18" s="12" t="str">
        <f>IFERROR(__xludf.DUMMYFUNCTION("""COMPUTED_VALUE"""),"a0lVT000005lqt9YAA")</f>
        <v>a0lVT000005lqt9YAA</v>
      </c>
      <c r="B18" s="12" t="str">
        <f>IFERROR(__xludf.DUMMYFUNCTION("""COMPUTED_VALUE"""),"a0rVT000010WmBHYA0")</f>
        <v>a0rVT000010WmBHYA0</v>
      </c>
      <c r="C18" s="12" t="str">
        <f>IFERROR(__xludf.DUMMYFUNCTION("""COMPUTED_VALUE"""),"0034X00002vnvZDQAY")</f>
        <v>0034X00002vnvZDQAY</v>
      </c>
      <c r="D18" s="12" t="str">
        <f>IFERROR(__xludf.DUMMYFUNCTION("""COMPUTED_VALUE"""),"Jai Gulati")</f>
        <v>Jai Gulati</v>
      </c>
      <c r="E18" s="12" t="str">
        <f>IFERROR(__xludf.DUMMYFUNCTION("""COMPUTED_VALUE"""),"jai.gulati@regeneron.com")</f>
        <v>jai.gulati@regeneron.com</v>
      </c>
      <c r="F18" s="12" t="str">
        <f>IFERROR(__xludf.DUMMYFUNCTION("""COMPUTED_VALUE"""),"Executive Sponsor")</f>
        <v>Executive Sponsor</v>
      </c>
    </row>
    <row r="19">
      <c r="A19" s="12" t="str">
        <f>IFERROR(__xludf.DUMMYFUNCTION("""COMPUTED_VALUE"""),"a0lVT000005lqt7YAA")</f>
        <v>a0lVT000005lqt7YAA</v>
      </c>
      <c r="B19" s="12" t="str">
        <f>IFERROR(__xludf.DUMMYFUNCTION("""COMPUTED_VALUE"""),"a0rVT000010WmBHYA0")</f>
        <v>a0rVT000010WmBHYA0</v>
      </c>
      <c r="C19" s="12" t="str">
        <f>IFERROR(__xludf.DUMMYFUNCTION("""COMPUTED_VALUE"""),"003VT00000fbzhgYAA")</f>
        <v>003VT00000fbzhgYAA</v>
      </c>
      <c r="D19" s="12" t="str">
        <f>IFERROR(__xludf.DUMMYFUNCTION("""COMPUTED_VALUE"""),"Regina Thomas")</f>
        <v>Regina Thomas</v>
      </c>
      <c r="E19" s="12" t="str">
        <f>IFERROR(__xludf.DUMMYFUNCTION("""COMPUTED_VALUE"""),"regina.thomas@regeneron.com")</f>
        <v>regina.thomas@regeneron.com</v>
      </c>
      <c r="F19" s="12" t="str">
        <f>IFERROR(__xludf.DUMMYFUNCTION("""COMPUTED_VALUE"""),"Executive Sponsor")</f>
        <v>Executive Sponsor</v>
      </c>
    </row>
    <row r="20">
      <c r="A20" s="12" t="str">
        <f>IFERROR(__xludf.DUMMYFUNCTION("""COMPUTED_VALUE"""),"a0lVT000006NKaTYAW")</f>
        <v>a0lVT000006NKaTYAW</v>
      </c>
      <c r="B20" s="12" t="str">
        <f>IFERROR(__xludf.DUMMYFUNCTION("""COMPUTED_VALUE"""),"a0rVT000010Wpc7YAC")</f>
        <v>a0rVT000010Wpc7YAC</v>
      </c>
      <c r="C20" s="12" t="str">
        <f>IFERROR(__xludf.DUMMYFUNCTION("""COMPUTED_VALUE"""),"0034X00003GLFCrQAP")</f>
        <v>0034X00003GLFCrQAP</v>
      </c>
      <c r="D20" s="12" t="str">
        <f>IFERROR(__xludf.DUMMYFUNCTION("""COMPUTED_VALUE"""),"Mere Ramsey")</f>
        <v>Mere Ramsey</v>
      </c>
      <c r="E20" s="12" t="str">
        <f>IFERROR(__xludf.DUMMYFUNCTION("""COMPUTED_VALUE"""),"mere.ramsey@woodward.com")</f>
        <v>mere.ramsey@woodward.com</v>
      </c>
      <c r="F20" s="12" t="str">
        <f>IFERROR(__xludf.DUMMYFUNCTION("""COMPUTED_VALUE"""),"Project Manager [Customer]")</f>
        <v>Project Manager [Customer]</v>
      </c>
    </row>
    <row r="21">
      <c r="A21" s="12" t="str">
        <f>IFERROR(__xludf.DUMMYFUNCTION("""COMPUTED_VALUE"""),"a0lVT000006NKaUYAW")</f>
        <v>a0lVT000006NKaUYAW</v>
      </c>
      <c r="B21" s="12" t="str">
        <f>IFERROR(__xludf.DUMMYFUNCTION("""COMPUTED_VALUE"""),"a0rVT000010Wpc7YAC")</f>
        <v>a0rVT000010Wpc7YAC</v>
      </c>
      <c r="C21" s="12" t="str">
        <f>IFERROR(__xludf.DUMMYFUNCTION("""COMPUTED_VALUE"""),"0034X00003GLFCrQAP")</f>
        <v>0034X00003GLFCrQAP</v>
      </c>
      <c r="D21" s="12" t="str">
        <f>IFERROR(__xludf.DUMMYFUNCTION("""COMPUTED_VALUE"""),"Mere Ramsey")</f>
        <v>Mere Ramsey</v>
      </c>
      <c r="E21" s="12" t="str">
        <f>IFERROR(__xludf.DUMMYFUNCTION("""COMPUTED_VALUE"""),"mere.ramsey@woodward.com")</f>
        <v>mere.ramsey@woodward.com</v>
      </c>
      <c r="F21" s="12" t="str">
        <f>IFERROR(__xludf.DUMMYFUNCTION("""COMPUTED_VALUE"""),"Executive Sponsor")</f>
        <v>Executive Sponsor</v>
      </c>
    </row>
    <row r="22">
      <c r="A22" s="12" t="str">
        <f>IFERROR(__xludf.DUMMYFUNCTION("""COMPUTED_VALUE"""),"a0lVT000005YeszYAC")</f>
        <v>a0lVT000005YeszYAC</v>
      </c>
      <c r="B22" s="12" t="str">
        <f>IFERROR(__xludf.DUMMYFUNCTION("""COMPUTED_VALUE"""),"a0rVT000010Wpc7YAC")</f>
        <v>a0rVT000010Wpc7YAC</v>
      </c>
      <c r="C22" s="12" t="str">
        <f>IFERROR(__xludf.DUMMYFUNCTION("""COMPUTED_VALUE"""),"0034X00003T11MqQAJ")</f>
        <v>0034X00003T11MqQAJ</v>
      </c>
      <c r="D22" s="12" t="str">
        <f>IFERROR(__xludf.DUMMYFUNCTION("""COMPUTED_VALUE"""),"Andres Baudrit")</f>
        <v>Andres Baudrit</v>
      </c>
      <c r="E22" s="12" t="str">
        <f>IFERROR(__xludf.DUMMYFUNCTION("""COMPUTED_VALUE"""),"andres.baudrit@workday.com")</f>
        <v>andres.baudrit@workday.com</v>
      </c>
      <c r="F22" s="12" t="str">
        <f>IFERROR(__xludf.DUMMYFUNCTION("""COMPUTED_VALUE"""),"Engagement Manager [Primary]")</f>
        <v>Engagement Manager [Primary]</v>
      </c>
    </row>
    <row r="23">
      <c r="A23" s="12" t="str">
        <f>IFERROR(__xludf.DUMMYFUNCTION("""COMPUTED_VALUE"""),"a0lVT000006NKIjYAO")</f>
        <v>a0lVT000006NKIjYAO</v>
      </c>
      <c r="B23" s="12" t="str">
        <f>IFERROR(__xludf.DUMMYFUNCTION("""COMPUTED_VALUE"""),"a0rVT000010Wpc7YAC")</f>
        <v>a0rVT000010Wpc7YAC</v>
      </c>
      <c r="C23" s="12" t="str">
        <f>IFERROR(__xludf.DUMMYFUNCTION("""COMPUTED_VALUE"""),"0038000001i7N4rAAE")</f>
        <v>0038000001i7N4rAAE</v>
      </c>
      <c r="D23" s="12" t="str">
        <f>IFERROR(__xludf.DUMMYFUNCTION("""COMPUTED_VALUE"""),"Val Tsvetkov")</f>
        <v>Val Tsvetkov</v>
      </c>
      <c r="E23" s="12" t="str">
        <f>IFERROR(__xludf.DUMMYFUNCTION("""COMPUTED_VALUE"""),"val.tsvetkov@workday.com")</f>
        <v>val.tsvetkov@workday.com</v>
      </c>
      <c r="F23" s="12" t="str">
        <f>IFERROR(__xludf.DUMMYFUNCTION("""COMPUTED_VALUE"""),"Deployment Sponsor")</f>
        <v>Deployment Sponsor</v>
      </c>
    </row>
    <row r="24">
      <c r="A24" s="12" t="str">
        <f>IFERROR(__xludf.DUMMYFUNCTION("""COMPUTED_VALUE"""),"a0lVT000005qvnJYAQ")</f>
        <v>a0lVT000005qvnJYAQ</v>
      </c>
      <c r="B24" s="12" t="str">
        <f>IFERROR(__xludf.DUMMYFUNCTION("""COMPUTED_VALUE"""),"a0rVT0000110z45YAA")</f>
        <v>a0rVT0000110z45YAA</v>
      </c>
      <c r="C24" s="12" t="str">
        <f>IFERROR(__xludf.DUMMYFUNCTION("""COMPUTED_VALUE"""),"003VT00000Oo7msYAB")</f>
        <v>003VT00000Oo7msYAB</v>
      </c>
      <c r="D24" s="12" t="str">
        <f>IFERROR(__xludf.DUMMYFUNCTION("""COMPUTED_VALUE"""),"Diego Hernandez")</f>
        <v>Diego Hernandez</v>
      </c>
      <c r="E24" s="12" t="str">
        <f>IFERROR(__xludf.DUMMYFUNCTION("""COMPUTED_VALUE"""),"dhernandez1@csd.me")</f>
        <v>dhernandez1@csd.me</v>
      </c>
      <c r="F24" s="12" t="str">
        <f>IFERROR(__xludf.DUMMYFUNCTION("""COMPUTED_VALUE"""),"Project Manager [Customer]")</f>
        <v>Project Manager [Customer]</v>
      </c>
    </row>
    <row r="25">
      <c r="A25" s="12" t="str">
        <f>IFERROR(__xludf.DUMMYFUNCTION("""COMPUTED_VALUE"""),"a0lVT000005xqNtYAI")</f>
        <v>a0lVT000005xqNtYAI</v>
      </c>
      <c r="B25" s="12" t="str">
        <f>IFERROR(__xludf.DUMMYFUNCTION("""COMPUTED_VALUE"""),"a0rVT0000110z45YAA")</f>
        <v>a0rVT0000110z45YAA</v>
      </c>
      <c r="C25" s="12" t="str">
        <f>IFERROR(__xludf.DUMMYFUNCTION("""COMPUTED_VALUE"""),"0034X000037BufGQAS")</f>
        <v>0034X000037BufGQAS</v>
      </c>
      <c r="D25" s="12" t="str">
        <f>IFERROR(__xludf.DUMMYFUNCTION("""COMPUTED_VALUE"""),"Omar Gonzalez")</f>
        <v>Omar Gonzalez</v>
      </c>
      <c r="E25" s="12" t="str">
        <f>IFERROR(__xludf.DUMMYFUNCTION("""COMPUTED_VALUE"""),"omar.gonzalez@workday.com")</f>
        <v>omar.gonzalez@workday.com</v>
      </c>
      <c r="F25" s="12" t="str">
        <f>IFERROR(__xludf.DUMMYFUNCTION("""COMPUTED_VALUE"""),"Deployment Sponsor")</f>
        <v>Deployment Sponsor</v>
      </c>
    </row>
    <row r="26">
      <c r="A26" s="12" t="str">
        <f>IFERROR(__xludf.DUMMYFUNCTION("""COMPUTED_VALUE"""),"a0lVT000005mUovYAE")</f>
        <v>a0lVT000005mUovYAE</v>
      </c>
      <c r="B26" s="12" t="str">
        <f>IFERROR(__xludf.DUMMYFUNCTION("""COMPUTED_VALUE"""),"a0rVT0000110z45YAA")</f>
        <v>a0rVT0000110z45YAA</v>
      </c>
      <c r="C26" s="12" t="str">
        <f>IFERROR(__xludf.DUMMYFUNCTION("""COMPUTED_VALUE"""),"0034X00003BnYOqQAN")</f>
        <v>0034X00003BnYOqQAN</v>
      </c>
      <c r="D26" s="12" t="str">
        <f>IFERROR(__xludf.DUMMYFUNCTION("""COMPUTED_VALUE"""),"Alfonso DelValle")</f>
        <v>Alfonso DelValle</v>
      </c>
      <c r="E26" s="12" t="str">
        <f>IFERROR(__xludf.DUMMYFUNCTION("""COMPUTED_VALUE"""),"alfonso.delvalle@workday.com")</f>
        <v>alfonso.delvalle@workday.com</v>
      </c>
      <c r="F26" s="12" t="str">
        <f>IFERROR(__xludf.DUMMYFUNCTION("""COMPUTED_VALUE"""),"Engagement Manager [Primary]")</f>
        <v>Engagement Manager [Primary]</v>
      </c>
    </row>
    <row r="27">
      <c r="A27" s="12" t="str">
        <f>IFERROR(__xludf.DUMMYFUNCTION("""COMPUTED_VALUE"""),"a0lVT000005qvSLYAY")</f>
        <v>a0lVT000005qvSLYAY</v>
      </c>
      <c r="B27" s="12" t="str">
        <f>IFERROR(__xludf.DUMMYFUNCTION("""COMPUTED_VALUE"""),"a0rVT0000110z45YAA")</f>
        <v>a0rVT0000110z45YAA</v>
      </c>
      <c r="C27" s="12" t="str">
        <f>IFERROR(__xludf.DUMMYFUNCTION("""COMPUTED_VALUE"""),"003VT00000KJEIHYA5")</f>
        <v>003VT00000KJEIHYA5</v>
      </c>
      <c r="D27" s="12" t="str">
        <f>IFERROR(__xludf.DUMMYFUNCTION("""COMPUTED_VALUE"""),"Cedar Francis-Scofield")</f>
        <v>Cedar Francis-Scofield</v>
      </c>
      <c r="E27" s="12" t="str">
        <f>IFERROR(__xludf.DUMMYFUNCTION("""COMPUTED_VALUE"""),"cfrancis-scofield@csd.me")</f>
        <v>cfrancis-scofield@csd.me</v>
      </c>
      <c r="F27" s="12" t="str">
        <f>IFERROR(__xludf.DUMMYFUNCTION("""COMPUTED_VALUE"""),"Executive Sponsor")</f>
        <v>Executive Sponsor</v>
      </c>
    </row>
    <row r="28">
      <c r="A28" s="12" t="str">
        <f>IFERROR(__xludf.DUMMYFUNCTION("""COMPUTED_VALUE"""),"a0lVT000005vTs2YAE")</f>
        <v>a0lVT000005vTs2YAE</v>
      </c>
      <c r="B28" s="12" t="str">
        <f>IFERROR(__xludf.DUMMYFUNCTION("""COMPUTED_VALUE"""),"a0rVT0000111WKyYAM")</f>
        <v>a0rVT0000111WKyYAM</v>
      </c>
      <c r="C28" s="12" t="str">
        <f>IFERROR(__xludf.DUMMYFUNCTION("""COMPUTED_VALUE"""),"0034X00002vrSCZQA2")</f>
        <v>0034X00002vrSCZQA2</v>
      </c>
      <c r="D28" s="12" t="str">
        <f>IFERROR(__xludf.DUMMYFUNCTION("""COMPUTED_VALUE"""),"Nichole Dunn")</f>
        <v>Nichole Dunn</v>
      </c>
      <c r="E28" s="12" t="str">
        <f>IFERROR(__xludf.DUMMYFUNCTION("""COMPUTED_VALUE"""),"nichole_dunn@comcast.com")</f>
        <v>nichole_dunn@comcast.com</v>
      </c>
      <c r="F28" s="12" t="str">
        <f>IFERROR(__xludf.DUMMYFUNCTION("""COMPUTED_VALUE"""),"Project Manager [Customer]")</f>
        <v>Project Manager [Customer]</v>
      </c>
    </row>
    <row r="29">
      <c r="A29" s="12" t="str">
        <f>IFERROR(__xludf.DUMMYFUNCTION("""COMPUTED_VALUE"""),"a0lVT000005vU05YAE")</f>
        <v>a0lVT000005vU05YAE</v>
      </c>
      <c r="B29" s="12" t="str">
        <f>IFERROR(__xludf.DUMMYFUNCTION("""COMPUTED_VALUE"""),"a0rVT0000111WKyYAM")</f>
        <v>a0rVT0000111WKyYAM</v>
      </c>
      <c r="C29" s="12" t="str">
        <f>IFERROR(__xludf.DUMMYFUNCTION("""COMPUTED_VALUE"""),"0038000001i7N4rAAE")</f>
        <v>0038000001i7N4rAAE</v>
      </c>
      <c r="D29" s="12" t="str">
        <f>IFERROR(__xludf.DUMMYFUNCTION("""COMPUTED_VALUE"""),"Val Tsvetkov")</f>
        <v>Val Tsvetkov</v>
      </c>
      <c r="E29" s="12" t="str">
        <f>IFERROR(__xludf.DUMMYFUNCTION("""COMPUTED_VALUE"""),"val.tsvetkov@workday.com")</f>
        <v>val.tsvetkov@workday.com</v>
      </c>
      <c r="F29" s="12" t="str">
        <f>IFERROR(__xludf.DUMMYFUNCTION("""COMPUTED_VALUE"""),"Deployment Sponsor")</f>
        <v>Deployment Sponsor</v>
      </c>
    </row>
    <row r="30">
      <c r="A30" s="12" t="str">
        <f>IFERROR(__xludf.DUMMYFUNCTION("""COMPUTED_VALUE"""),"a0lVT000005a1h3YAA")</f>
        <v>a0lVT000005a1h3YAA</v>
      </c>
      <c r="B30" s="12" t="str">
        <f>IFERROR(__xludf.DUMMYFUNCTION("""COMPUTED_VALUE"""),"a0rVT0000111WKyYAM")</f>
        <v>a0rVT0000111WKyYAM</v>
      </c>
      <c r="C30" s="12" t="str">
        <f>IFERROR(__xludf.DUMMYFUNCTION("""COMPUTED_VALUE"""),"0034X00002vn9k1QAA")</f>
        <v>0034X00002vn9k1QAA</v>
      </c>
      <c r="D30" s="12" t="str">
        <f>IFERROR(__xludf.DUMMYFUNCTION("""COMPUTED_VALUE"""),"Brianna Robak")</f>
        <v>Brianna Robak</v>
      </c>
      <c r="E30" s="12" t="str">
        <f>IFERROR(__xludf.DUMMYFUNCTION("""COMPUTED_VALUE"""),"brianna.robak@workday.com")</f>
        <v>brianna.robak@workday.com</v>
      </c>
      <c r="F30" s="12" t="str">
        <f>IFERROR(__xludf.DUMMYFUNCTION("""COMPUTED_VALUE"""),"Engagement Manager [Primary]")</f>
        <v>Engagement Manager [Primary]</v>
      </c>
    </row>
    <row r="31">
      <c r="A31" s="12" t="str">
        <f>IFERROR(__xludf.DUMMYFUNCTION("""COMPUTED_VALUE"""),"a0lVT000005vTs1YAE")</f>
        <v>a0lVT000005vTs1YAE</v>
      </c>
      <c r="B31" s="12" t="str">
        <f>IFERROR(__xludf.DUMMYFUNCTION("""COMPUTED_VALUE"""),"a0rVT0000111WKyYAM")</f>
        <v>a0rVT0000111WKyYAM</v>
      </c>
      <c r="C31" s="12" t="str">
        <f>IFERROR(__xludf.DUMMYFUNCTION("""COMPUTED_VALUE"""),"0031B00002s2STkQAM")</f>
        <v>0031B00002s2STkQAM</v>
      </c>
      <c r="D31" s="12" t="str">
        <f>IFERROR(__xludf.DUMMYFUNCTION("""COMPUTED_VALUE"""),"Shelly Gross")</f>
        <v>Shelly Gross</v>
      </c>
      <c r="E31" s="12" t="str">
        <f>IFERROR(__xludf.DUMMYFUNCTION("""COMPUTED_VALUE"""),"shelly_gross@cable.comcast.com")</f>
        <v>shelly_gross@cable.comcast.com</v>
      </c>
      <c r="F31" s="12" t="str">
        <f>IFERROR(__xludf.DUMMYFUNCTION("""COMPUTED_VALUE"""),"Executive Sponsor")</f>
        <v>Executive Sponsor</v>
      </c>
    </row>
    <row r="32">
      <c r="A32" s="12" t="str">
        <f>IFERROR(__xludf.DUMMYFUNCTION("""COMPUTED_VALUE"""),"a0lVT000005s4a1YAA")</f>
        <v>a0lVT000005s4a1YAA</v>
      </c>
      <c r="B32" s="12" t="str">
        <f>IFERROR(__xludf.DUMMYFUNCTION("""COMPUTED_VALUE"""),"a0rVT000011EAPrYAO")</f>
        <v>a0rVT000011EAPrYAO</v>
      </c>
      <c r="C32" s="12" t="str">
        <f>IFERROR(__xludf.DUMMYFUNCTION("""COMPUTED_VALUE"""),"0038000001H72ioAAB")</f>
        <v>0038000001H72ioAAB</v>
      </c>
      <c r="D32" s="12" t="str">
        <f>IFERROR(__xludf.DUMMYFUNCTION("""COMPUTED_VALUE"""),"Alexandra Dolores")</f>
        <v>Alexandra Dolores</v>
      </c>
      <c r="E32" s="12" t="str">
        <f>IFERROR(__xludf.DUMMYFUNCTION("""COMPUTED_VALUE"""),"alexandra.dolores@workday.com")</f>
        <v>alexandra.dolores@workday.com</v>
      </c>
      <c r="F32" s="12" t="str">
        <f>IFERROR(__xludf.DUMMYFUNCTION("""COMPUTED_VALUE"""),"Engagement Manager [Secondary]")</f>
        <v>Engagement Manager [Secondary]</v>
      </c>
    </row>
    <row r="33">
      <c r="A33" s="12" t="str">
        <f>IFERROR(__xludf.DUMMYFUNCTION("""COMPUTED_VALUE"""),"a0lVT000005yGlNYAU")</f>
        <v>a0lVT000005yGlNYAU</v>
      </c>
      <c r="B33" s="12" t="str">
        <f>IFERROR(__xludf.DUMMYFUNCTION("""COMPUTED_VALUE"""),"a0rVT000011EAPrYAO")</f>
        <v>a0rVT000011EAPrYAO</v>
      </c>
      <c r="C33" s="12" t="str">
        <f>IFERROR(__xludf.DUMMYFUNCTION("""COMPUTED_VALUE"""),"003VT00000NOFs0YAH")</f>
        <v>003VT00000NOFs0YAH</v>
      </c>
      <c r="D33" s="12" t="str">
        <f>IFERROR(__xludf.DUMMYFUNCTION("""COMPUTED_VALUE"""),"Catherine Dietrich")</f>
        <v>Catherine Dietrich</v>
      </c>
      <c r="E33" s="12" t="str">
        <f>IFERROR(__xludf.DUMMYFUNCTION("""COMPUTED_VALUE"""),"catherine.dietrich@workday.com")</f>
        <v>catherine.dietrich@workday.com</v>
      </c>
      <c r="F33" s="12" t="str">
        <f>IFERROR(__xludf.DUMMYFUNCTION("""COMPUTED_VALUE"""),"Engagement Manager [Primary]")</f>
        <v>Engagement Manager [Primary]</v>
      </c>
    </row>
    <row r="34">
      <c r="A34" s="12" t="str">
        <f>IFERROR(__xludf.DUMMYFUNCTION("""COMPUTED_VALUE"""),"a0lVT000005aVwrYAE")</f>
        <v>a0lVT000005aVwrYAE</v>
      </c>
      <c r="B34" s="12" t="str">
        <f>IFERROR(__xludf.DUMMYFUNCTION("""COMPUTED_VALUE"""),"a0rVT000011EAPrYAO")</f>
        <v>a0rVT000011EAPrYAO</v>
      </c>
      <c r="C34" s="12" t="str">
        <f>IFERROR(__xludf.DUMMYFUNCTION("""COMPUTED_VALUE"""),"0034X00003EtGr8QAF")</f>
        <v>0034X00003EtGr8QAF</v>
      </c>
      <c r="D34" s="12" t="str">
        <f>IFERROR(__xludf.DUMMYFUNCTION("""COMPUTED_VALUE"""),"Aaron Barnes")</f>
        <v>Aaron Barnes</v>
      </c>
      <c r="E34" s="12" t="str">
        <f>IFERROR(__xludf.DUMMYFUNCTION("""COMPUTED_VALUE"""),"aaron.barnes@workday.com")</f>
        <v>aaron.barnes@workday.com</v>
      </c>
      <c r="F34" s="12" t="str">
        <f>IFERROR(__xludf.DUMMYFUNCTION("""COMPUTED_VALUE"""),"Engagement Manager [Secondary]")</f>
        <v>Engagement Manager [Secondary]</v>
      </c>
    </row>
    <row r="35">
      <c r="A35" s="12" t="str">
        <f>IFERROR(__xludf.DUMMYFUNCTION("""COMPUTED_VALUE"""),"a0lVT0000066dT3YAI")</f>
        <v>a0lVT0000066dT3YAI</v>
      </c>
      <c r="B35" s="12" t="str">
        <f>IFERROR(__xludf.DUMMYFUNCTION("""COMPUTED_VALUE"""),"a0rVT000011QoOHYA0")</f>
        <v>a0rVT000011QoOHYA0</v>
      </c>
      <c r="C35" s="12" t="str">
        <f>IFERROR(__xludf.DUMMYFUNCTION("""COMPUTED_VALUE"""),"0034X000038dYiPQAU")</f>
        <v>0034X000038dYiPQAU</v>
      </c>
      <c r="D35" s="12" t="str">
        <f>IFERROR(__xludf.DUMMYFUNCTION("""COMPUTED_VALUE"""),"Mandy Moore")</f>
        <v>Mandy Moore</v>
      </c>
      <c r="E35" s="12" t="str">
        <f>IFERROR(__xludf.DUMMYFUNCTION("""COMPUTED_VALUE"""),"amanda.moore@rackspace.com")</f>
        <v>amanda.moore@rackspace.com</v>
      </c>
      <c r="F35" s="12" t="str">
        <f>IFERROR(__xludf.DUMMYFUNCTION("""COMPUTED_VALUE"""),"Executive Sponsor")</f>
        <v>Executive Sponsor</v>
      </c>
    </row>
    <row r="36">
      <c r="A36" s="12" t="str">
        <f>IFERROR(__xludf.DUMMYFUNCTION("""COMPUTED_VALUE"""),"a0lVT0000066dhZYAQ")</f>
        <v>a0lVT0000066dhZYAQ</v>
      </c>
      <c r="B36" s="12" t="str">
        <f>IFERROR(__xludf.DUMMYFUNCTION("""COMPUTED_VALUE"""),"a0rVT000011QoOHYA0")</f>
        <v>a0rVT000011QoOHYA0</v>
      </c>
      <c r="C36" s="12" t="str">
        <f>IFERROR(__xludf.DUMMYFUNCTION("""COMPUTED_VALUE"""),"0038000001sCnOiAAK")</f>
        <v>0038000001sCnOiAAK</v>
      </c>
      <c r="D36" s="12" t="str">
        <f>IFERROR(__xludf.DUMMYFUNCTION("""COMPUTED_VALUE"""),"Nate Allen")</f>
        <v>Nate Allen</v>
      </c>
      <c r="E36" s="12" t="str">
        <f>IFERROR(__xludf.DUMMYFUNCTION("""COMPUTED_VALUE"""),"nate.allen2@workday.com")</f>
        <v>nate.allen2@workday.com</v>
      </c>
      <c r="F36" s="12" t="str">
        <f>IFERROR(__xludf.DUMMYFUNCTION("""COMPUTED_VALUE"""),"Deployment Sponsor")</f>
        <v>Deployment Sponsor</v>
      </c>
    </row>
    <row r="37">
      <c r="A37" s="12" t="str">
        <f>IFERROR(__xludf.DUMMYFUNCTION("""COMPUTED_VALUE"""),"a0lVT0000066dcjYAA")</f>
        <v>a0lVT0000066dcjYAA</v>
      </c>
      <c r="B37" s="12" t="str">
        <f>IFERROR(__xludf.DUMMYFUNCTION("""COMPUTED_VALUE"""),"a0rVT000011QoOHYA0")</f>
        <v>a0rVT000011QoOHYA0</v>
      </c>
      <c r="C37" s="12" t="str">
        <f>IFERROR(__xludf.DUMMYFUNCTION("""COMPUTED_VALUE"""),"0034X000038dYiPQAU")</f>
        <v>0034X000038dYiPQAU</v>
      </c>
      <c r="D37" s="12" t="str">
        <f>IFERROR(__xludf.DUMMYFUNCTION("""COMPUTED_VALUE"""),"Mandy Moore")</f>
        <v>Mandy Moore</v>
      </c>
      <c r="E37" s="12" t="str">
        <f>IFERROR(__xludf.DUMMYFUNCTION("""COMPUTED_VALUE"""),"amanda.moore@rackspace.com")</f>
        <v>amanda.moore@rackspace.com</v>
      </c>
      <c r="F37" s="12" t="str">
        <f>IFERROR(__xludf.DUMMYFUNCTION("""COMPUTED_VALUE"""),"Project Manager [Customer]")</f>
        <v>Project Manager [Customer]</v>
      </c>
    </row>
    <row r="38">
      <c r="A38" s="12" t="str">
        <f>IFERROR(__xludf.DUMMYFUNCTION("""COMPUTED_VALUE"""),"a0lVT000005iDptYAE")</f>
        <v>a0lVT000005iDptYAE</v>
      </c>
      <c r="B38" s="12" t="str">
        <f>IFERROR(__xludf.DUMMYFUNCTION("""COMPUTED_VALUE"""),"a0rVT000011QoOHYA0")</f>
        <v>a0rVT000011QoOHYA0</v>
      </c>
      <c r="C38" s="12" t="str">
        <f>IFERROR(__xludf.DUMMYFUNCTION("""COMPUTED_VALUE"""),"0031B00002p1PsFQAU")</f>
        <v>0031B00002p1PsFQAU</v>
      </c>
      <c r="D38" s="12" t="str">
        <f>IFERROR(__xludf.DUMMYFUNCTION("""COMPUTED_VALUE"""),"Bhavika Patel")</f>
        <v>Bhavika Patel</v>
      </c>
      <c r="E38" s="12" t="str">
        <f>IFERROR(__xludf.DUMMYFUNCTION("""COMPUTED_VALUE"""),"bhavika.patel@workday.com")</f>
        <v>bhavika.patel@workday.com</v>
      </c>
      <c r="F38" s="12" t="str">
        <f>IFERROR(__xludf.DUMMYFUNCTION("""COMPUTED_VALUE"""),"Engagement Manager [Primary]")</f>
        <v>Engagement Manager [Primary]</v>
      </c>
    </row>
    <row r="39">
      <c r="A39" s="12" t="str">
        <f>IFERROR(__xludf.DUMMYFUNCTION("""COMPUTED_VALUE"""),"a0lVT000006QPwzYAG")</f>
        <v>a0lVT000006QPwzYAG</v>
      </c>
      <c r="B39" s="12" t="str">
        <f>IFERROR(__xludf.DUMMYFUNCTION("""COMPUTED_VALUE"""),"a0rVT000011Z4E9YAK")</f>
        <v>a0rVT000011Z4E9YAK</v>
      </c>
      <c r="C39" s="12" t="str">
        <f>IFERROR(__xludf.DUMMYFUNCTION("""COMPUTED_VALUE"""),"0031B00002rm6CCQAY")</f>
        <v>0031B00002rm6CCQAY</v>
      </c>
      <c r="D39" s="12" t="str">
        <f>IFERROR(__xludf.DUMMYFUNCTION("""COMPUTED_VALUE"""),"Lisa Lewis")</f>
        <v>Lisa Lewis</v>
      </c>
      <c r="E39" s="12" t="str">
        <f>IFERROR(__xludf.DUMMYFUNCTION("""COMPUTED_VALUE"""),"lisa.lewis@brookfield.com")</f>
        <v>lisa.lewis@brookfield.com</v>
      </c>
      <c r="F39" s="12" t="str">
        <f>IFERROR(__xludf.DUMMYFUNCTION("""COMPUTED_VALUE"""),"Executive Sponsor")</f>
        <v>Executive Sponsor</v>
      </c>
    </row>
    <row r="40">
      <c r="A40" s="12" t="str">
        <f>IFERROR(__xludf.DUMMYFUNCTION("""COMPUTED_VALUE"""),"a0lVT000006QPx0YAG")</f>
        <v>a0lVT000006QPx0YAG</v>
      </c>
      <c r="B40" s="12" t="str">
        <f>IFERROR(__xludf.DUMMYFUNCTION("""COMPUTED_VALUE"""),"a0rVT000011Z4E9YAK")</f>
        <v>a0rVT000011Z4E9YAK</v>
      </c>
      <c r="C40" s="12" t="str">
        <f>IFERROR(__xludf.DUMMYFUNCTION("""COMPUTED_VALUE"""),"0038000002DLGG8AAP")</f>
        <v>0038000002DLGG8AAP</v>
      </c>
      <c r="D40" s="12" t="str">
        <f>IFERROR(__xludf.DUMMYFUNCTION("""COMPUTED_VALUE"""),"Cecilia Chan")</f>
        <v>Cecilia Chan</v>
      </c>
      <c r="E40" s="12" t="str">
        <f>IFERROR(__xludf.DUMMYFUNCTION("""COMPUTED_VALUE"""),"cecilia.chan@brookfield.com")</f>
        <v>cecilia.chan@brookfield.com</v>
      </c>
      <c r="F40" s="12" t="str">
        <f>IFERROR(__xludf.DUMMYFUNCTION("""COMPUTED_VALUE"""),"Project Manager [Customer]")</f>
        <v>Project Manager [Customer]</v>
      </c>
    </row>
    <row r="41">
      <c r="A41" s="12" t="str">
        <f>IFERROR(__xludf.DUMMYFUNCTION("""COMPUTED_VALUE"""),"a0lVT000006NZb9YAG")</f>
        <v>a0lVT000006NZb9YAG</v>
      </c>
      <c r="B41" s="12" t="str">
        <f>IFERROR(__xludf.DUMMYFUNCTION("""COMPUTED_VALUE"""),"a0rVT000011Z4E9YAK")</f>
        <v>a0rVT000011Z4E9YAK</v>
      </c>
      <c r="C41" s="12" t="str">
        <f>IFERROR(__xludf.DUMMYFUNCTION("""COMPUTED_VALUE"""),"003VT00000fc4shYAA")</f>
        <v>003VT00000fc4shYAA</v>
      </c>
      <c r="D41" s="12" t="str">
        <f>IFERROR(__xludf.DUMMYFUNCTION("""COMPUTED_VALUE"""),"Michelle Holland")</f>
        <v>Michelle Holland</v>
      </c>
      <c r="E41" s="12" t="str">
        <f>IFERROR(__xludf.DUMMYFUNCTION("""COMPUTED_VALUE"""),"michelle.holland@workday.com")</f>
        <v>michelle.holland@workday.com</v>
      </c>
      <c r="F41" s="12" t="str">
        <f>IFERROR(__xludf.DUMMYFUNCTION("""COMPUTED_VALUE"""),"Engagement Manager [Primary]")</f>
        <v>Engagement Manager [Primary]</v>
      </c>
    </row>
    <row r="42">
      <c r="A42" s="12" t="str">
        <f>IFERROR(__xludf.DUMMYFUNCTION("""COMPUTED_VALUE"""),"a0lVT000005irybYAA")</f>
        <v>a0lVT000005irybYAA</v>
      </c>
      <c r="B42" s="12" t="str">
        <f>IFERROR(__xludf.DUMMYFUNCTION("""COMPUTED_VALUE"""),"a0rVT000011a0q1YAA")</f>
        <v>a0rVT000011a0q1YAA</v>
      </c>
      <c r="C42" s="12" t="str">
        <f>IFERROR(__xludf.DUMMYFUNCTION("""COMPUTED_VALUE"""),"0031B00002rnFcYQAU")</f>
        <v>0031B00002rnFcYQAU</v>
      </c>
      <c r="D42" s="12" t="str">
        <f>IFERROR(__xludf.DUMMYFUNCTION("""COMPUTED_VALUE"""),"Jennifer Tidwell")</f>
        <v>Jennifer Tidwell</v>
      </c>
      <c r="E42" s="12" t="str">
        <f>IFERROR(__xludf.DUMMYFUNCTION("""COMPUTED_VALUE"""),"jennifer.tidwell@workday.com")</f>
        <v>jennifer.tidwell@workday.com</v>
      </c>
      <c r="F42" s="12" t="str">
        <f>IFERROR(__xludf.DUMMYFUNCTION("""COMPUTED_VALUE"""),"Engagement Manager [Primary]")</f>
        <v>Engagement Manager [Primary]</v>
      </c>
    </row>
    <row r="43">
      <c r="A43" s="12" t="str">
        <f>IFERROR(__xludf.DUMMYFUNCTION("""COMPUTED_VALUE"""),"a0lVT000006AAaXYAW")</f>
        <v>a0lVT000006AAaXYAW</v>
      </c>
      <c r="B43" s="12" t="str">
        <f>IFERROR(__xludf.DUMMYFUNCTION("""COMPUTED_VALUE"""),"a0rVT000011a0q1YAA")</f>
        <v>a0rVT000011a0q1YAA</v>
      </c>
      <c r="C43" s="12" t="str">
        <f>IFERROR(__xludf.DUMMYFUNCTION("""COMPUTED_VALUE"""),"0038000002FRHEOAA5")</f>
        <v>0038000002FRHEOAA5</v>
      </c>
      <c r="D43" s="12" t="str">
        <f>IFERROR(__xludf.DUMMYFUNCTION("""COMPUTED_VALUE"""),"Subash Sitaraman")</f>
        <v>Subash Sitaraman</v>
      </c>
      <c r="E43" s="12" t="str">
        <f>IFERROR(__xludf.DUMMYFUNCTION("""COMPUTED_VALUE"""),"subash.sitaraman@workday.com")</f>
        <v>subash.sitaraman@workday.com</v>
      </c>
      <c r="F43" s="12" t="str">
        <f>IFERROR(__xludf.DUMMYFUNCTION("""COMPUTED_VALUE"""),"Deployment Sponsor")</f>
        <v>Deployment Sponsor</v>
      </c>
    </row>
    <row r="44">
      <c r="A44" s="12" t="str">
        <f>IFERROR(__xludf.DUMMYFUNCTION("""COMPUTED_VALUE"""),"a0lVT000006AAXJYA4")</f>
        <v>a0lVT000006AAXJYA4</v>
      </c>
      <c r="B44" s="12" t="str">
        <f>IFERROR(__xludf.DUMMYFUNCTION("""COMPUTED_VALUE"""),"a0rVT000011a0q1YAA")</f>
        <v>a0rVT000011a0q1YAA</v>
      </c>
      <c r="C44" s="12" t="str">
        <f>IFERROR(__xludf.DUMMYFUNCTION("""COMPUTED_VALUE"""),"003VT00000fBAULYA4")</f>
        <v>003VT00000fBAULYA4</v>
      </c>
      <c r="D44" s="12" t="str">
        <f>IFERROR(__xludf.DUMMYFUNCTION("""COMPUTED_VALUE"""),"Jenny Morris")</f>
        <v>Jenny Morris</v>
      </c>
      <c r="E44" s="12" t="str">
        <f>IFERROR(__xludf.DUMMYFUNCTION("""COMPUTED_VALUE"""),"jennifer.clack@jll.com")</f>
        <v>jennifer.clack@jll.com</v>
      </c>
      <c r="F44" s="12" t="str">
        <f>IFERROR(__xludf.DUMMYFUNCTION("""COMPUTED_VALUE"""),"Project Manager [Customer]")</f>
        <v>Project Manager [Customer]</v>
      </c>
    </row>
    <row r="45">
      <c r="A45" s="12" t="str">
        <f>IFERROR(__xludf.DUMMYFUNCTION("""COMPUTED_VALUE"""),"a0lVT000006AAibYAG")</f>
        <v>a0lVT000006AAibYAG</v>
      </c>
      <c r="B45" s="12" t="str">
        <f>IFERROR(__xludf.DUMMYFUNCTION("""COMPUTED_VALUE"""),"a0rVT000011a0q1YAA")</f>
        <v>a0rVT000011a0q1YAA</v>
      </c>
      <c r="C45" s="12" t="str">
        <f>IFERROR(__xludf.DUMMYFUNCTION("""COMPUTED_VALUE"""),"0038000001FxtiCAAR")</f>
        <v>0038000001FxtiCAAR</v>
      </c>
      <c r="D45" s="12" t="str">
        <f>IFERROR(__xludf.DUMMYFUNCTION("""COMPUTED_VALUE"""),"Jane Curran")</f>
        <v>Jane Curran</v>
      </c>
      <c r="E45" s="12" t="str">
        <f>IFERROR(__xludf.DUMMYFUNCTION("""COMPUTED_VALUE"""),"jane.curran@jll.com")</f>
        <v>jane.curran@jll.com</v>
      </c>
      <c r="F45" s="12" t="str">
        <f>IFERROR(__xludf.DUMMYFUNCTION("""COMPUTED_VALUE"""),"Executive Sponsor")</f>
        <v>Executive Sponsor</v>
      </c>
    </row>
    <row r="46">
      <c r="A46" s="12" t="str">
        <f>IFERROR(__xludf.DUMMYFUNCTION("""COMPUTED_VALUE"""),"a0lVT000005wRpmYAE")</f>
        <v>a0lVT000005wRpmYAE</v>
      </c>
      <c r="B46" s="12" t="str">
        <f>IFERROR(__xludf.DUMMYFUNCTION("""COMPUTED_VALUE"""),"a0rVT000011dC1pYAE")</f>
        <v>a0rVT000011dC1pYAE</v>
      </c>
      <c r="C46" s="12" t="str">
        <f>IFERROR(__xludf.DUMMYFUNCTION("""COMPUTED_VALUE"""),"0034X00003IUcilQAD")</f>
        <v>0034X00003IUcilQAD</v>
      </c>
      <c r="D46" s="12" t="str">
        <f>IFERROR(__xludf.DUMMYFUNCTION("""COMPUTED_VALUE"""),"Mimi Chen")</f>
        <v>Mimi Chen</v>
      </c>
      <c r="E46" s="12" t="str">
        <f>IFERROR(__xludf.DUMMYFUNCTION("""COMPUTED_VALUE"""),"mimi.chen@us.sumitomo-pharma.com")</f>
        <v>mimi.chen@us.sumitomo-pharma.com</v>
      </c>
      <c r="F46" s="12" t="str">
        <f>IFERROR(__xludf.DUMMYFUNCTION("""COMPUTED_VALUE"""),"Executive Sponsor")</f>
        <v>Executive Sponsor</v>
      </c>
    </row>
    <row r="47">
      <c r="A47" s="12" t="str">
        <f>IFERROR(__xludf.DUMMYFUNCTION("""COMPUTED_VALUE"""),"a0lVT000005wRplYAE")</f>
        <v>a0lVT000005wRplYAE</v>
      </c>
      <c r="B47" s="12" t="str">
        <f>IFERROR(__xludf.DUMMYFUNCTION("""COMPUTED_VALUE"""),"a0rVT000011dC1pYAE")</f>
        <v>a0rVT000011dC1pYAE</v>
      </c>
      <c r="C47" s="12" t="str">
        <f>IFERROR(__xludf.DUMMYFUNCTION("""COMPUTED_VALUE"""),"0034X00003S9zNmQAJ")</f>
        <v>0034X00003S9zNmQAJ</v>
      </c>
      <c r="D47" s="12" t="str">
        <f>IFERROR(__xludf.DUMMYFUNCTION("""COMPUTED_VALUE"""),"Chakradhar Thopuri")</f>
        <v>Chakradhar Thopuri</v>
      </c>
      <c r="E47" s="12" t="str">
        <f>IFERROR(__xludf.DUMMYFUNCTION("""COMPUTED_VALUE"""),"chakradhar.thopuri@us.sumitomo-pharma.com")</f>
        <v>chakradhar.thopuri@us.sumitomo-pharma.com</v>
      </c>
      <c r="F47" s="12" t="str">
        <f>IFERROR(__xludf.DUMMYFUNCTION("""COMPUTED_VALUE"""),"Project Manager [Customer]")</f>
        <v>Project Manager [Customer]</v>
      </c>
    </row>
    <row r="48">
      <c r="A48" s="12" t="str">
        <f>IFERROR(__xludf.DUMMYFUNCTION("""COMPUTED_VALUE"""),"a0lVT0000066eFRYAY")</f>
        <v>a0lVT0000066eFRYAY</v>
      </c>
      <c r="B48" s="12" t="str">
        <f>IFERROR(__xludf.DUMMYFUNCTION("""COMPUTED_VALUE"""),"a0rVT000011jq7pYAA")</f>
        <v>a0rVT000011jq7pYAA</v>
      </c>
      <c r="C48" s="12" t="str">
        <f>IFERROR(__xludf.DUMMYFUNCTION("""COMPUTED_VALUE"""),"003VT00000XYwEgYAL")</f>
        <v>003VT00000XYwEgYAL</v>
      </c>
      <c r="D48" s="12" t="str">
        <f>IFERROR(__xludf.DUMMYFUNCTION("""COMPUTED_VALUE"""),"Cristhofer Mena")</f>
        <v>Cristhofer Mena</v>
      </c>
      <c r="E48" s="12" t="str">
        <f>IFERROR(__xludf.DUMMYFUNCTION("""COMPUTED_VALUE"""),"cristhofer.mena@workday.com")</f>
        <v>cristhofer.mena@workday.com</v>
      </c>
      <c r="F48" s="12" t="str">
        <f>IFERROR(__xludf.DUMMYFUNCTION("""COMPUTED_VALUE"""),"Engagement Manager [Primary]")</f>
        <v>Engagement Manager [Primary]</v>
      </c>
    </row>
    <row r="49">
      <c r="A49" s="12" t="str">
        <f>IFERROR(__xludf.DUMMYFUNCTION("""COMPUTED_VALUE"""),"a0lVT0000060EM5YAM")</f>
        <v>a0lVT0000060EM5YAM</v>
      </c>
      <c r="B49" s="12" t="str">
        <f>IFERROR(__xludf.DUMMYFUNCTION("""COMPUTED_VALUE"""),"a0rVT000011jq7pYAA")</f>
        <v>a0rVT000011jq7pYAA</v>
      </c>
      <c r="C49" s="12" t="str">
        <f>IFERROR(__xludf.DUMMYFUNCTION("""COMPUTED_VALUE"""),"003VT00000jlD9ZYAU")</f>
        <v>003VT00000jlD9ZYAU</v>
      </c>
      <c r="D49" s="12" t="str">
        <f>IFERROR(__xludf.DUMMYFUNCTION("""COMPUTED_VALUE"""),"Tina Enberg")</f>
        <v>Tina Enberg</v>
      </c>
      <c r="E49" s="12" t="str">
        <f>IFERROR(__xludf.DUMMYFUNCTION("""COMPUTED_VALUE"""),"tina.enberg@thomsonreuters.com")</f>
        <v>tina.enberg@thomsonreuters.com</v>
      </c>
      <c r="F49" s="12" t="str">
        <f>IFERROR(__xludf.DUMMYFUNCTION("""COMPUTED_VALUE"""),"Project Manager [Customer]")</f>
        <v>Project Manager [Customer]</v>
      </c>
    </row>
    <row r="50">
      <c r="A50" s="12" t="str">
        <f>IFERROR(__xludf.DUMMYFUNCTION("""COMPUTED_VALUE"""),"a0lVT0000060E60YAE")</f>
        <v>a0lVT0000060E60YAE</v>
      </c>
      <c r="B50" s="12" t="str">
        <f>IFERROR(__xludf.DUMMYFUNCTION("""COMPUTED_VALUE"""),"a0rVT000011jq7pYAA")</f>
        <v>a0rVT000011jq7pYAA</v>
      </c>
      <c r="C50" s="12" t="str">
        <f>IFERROR(__xludf.DUMMYFUNCTION("""COMPUTED_VALUE"""),"0038000001xowKtAAI")</f>
        <v>0038000001xowKtAAI</v>
      </c>
      <c r="D50" s="12" t="str">
        <f>IFERROR(__xludf.DUMMYFUNCTION("""COMPUTED_VALUE"""),"stayce thomas")</f>
        <v>stayce thomas</v>
      </c>
      <c r="E50" s="12" t="str">
        <f>IFERROR(__xludf.DUMMYFUNCTION("""COMPUTED_VALUE"""),"stayce.thomas@workday.com")</f>
        <v>stayce.thomas@workday.com</v>
      </c>
      <c r="F50" s="12" t="str">
        <f>IFERROR(__xludf.DUMMYFUNCTION("""COMPUTED_VALUE"""),"Deployment Sponsor")</f>
        <v>Deployment Sponsor</v>
      </c>
    </row>
    <row r="51">
      <c r="A51" s="12" t="str">
        <f>IFERROR(__xludf.DUMMYFUNCTION("""COMPUTED_VALUE"""),"a0lVT000005jZBdYAM")</f>
        <v>a0lVT000005jZBdYAM</v>
      </c>
      <c r="B51" s="12" t="str">
        <f>IFERROR(__xludf.DUMMYFUNCTION("""COMPUTED_VALUE"""),"a0rVT000011jq7pYAA")</f>
        <v>a0rVT000011jq7pYAA</v>
      </c>
      <c r="C51" s="12" t="str">
        <f>IFERROR(__xludf.DUMMYFUNCTION("""COMPUTED_VALUE"""),"0034X000032N0hhQAC")</f>
        <v>0034X000032N0hhQAC</v>
      </c>
      <c r="D51" s="12" t="str">
        <f>IFERROR(__xludf.DUMMYFUNCTION("""COMPUTED_VALUE"""),"JoJo Burstein")</f>
        <v>JoJo Burstein</v>
      </c>
      <c r="E51" s="12" t="str">
        <f>IFERROR(__xludf.DUMMYFUNCTION("""COMPUTED_VALUE"""),"jojo.burstein@workday.com")</f>
        <v>jojo.burstein@workday.com</v>
      </c>
      <c r="F51" s="12" t="str">
        <f>IFERROR(__xludf.DUMMYFUNCTION("""COMPUTED_VALUE"""),"Engagement Manager [Primary]")</f>
        <v>Engagement Manager [Primary]</v>
      </c>
    </row>
    <row r="52">
      <c r="A52" s="12" t="str">
        <f>IFERROR(__xludf.DUMMYFUNCTION("""COMPUTED_VALUE"""),"a0lVT0000060EM6YAM")</f>
        <v>a0lVT0000060EM6YAM</v>
      </c>
      <c r="B52" s="12" t="str">
        <f>IFERROR(__xludf.DUMMYFUNCTION("""COMPUTED_VALUE"""),"a0rVT000011jq7pYAA")</f>
        <v>a0rVT000011jq7pYAA</v>
      </c>
      <c r="C52" s="12" t="str">
        <f>IFERROR(__xludf.DUMMYFUNCTION("""COMPUTED_VALUE"""),"003VT00000aQR34YAG")</f>
        <v>003VT00000aQR34YAG</v>
      </c>
      <c r="D52" s="12" t="str">
        <f>IFERROR(__xludf.DUMMYFUNCTION("""COMPUTED_VALUE"""),"Melissa Aune")</f>
        <v>Melissa Aune</v>
      </c>
      <c r="E52" s="12" t="str">
        <f>IFERROR(__xludf.DUMMYFUNCTION("""COMPUTED_VALUE"""),"melissa.aune@thomsonreuters.com")</f>
        <v>melissa.aune@thomsonreuters.com</v>
      </c>
      <c r="F52" s="12" t="str">
        <f>IFERROR(__xludf.DUMMYFUNCTION("""COMPUTED_VALUE"""),"Executive Sponsor")</f>
        <v>Executive Sponsor</v>
      </c>
    </row>
    <row r="53">
      <c r="A53" s="12" t="str">
        <f>IFERROR(__xludf.DUMMYFUNCTION("""COMPUTED_VALUE"""),"a0lVT0000065PTlYAM")</f>
        <v>a0lVT0000065PTlYAM</v>
      </c>
      <c r="B53" s="12" t="str">
        <f>IFERROR(__xludf.DUMMYFUNCTION("""COMPUTED_VALUE"""),"a0rVT000011qTCvYAM")</f>
        <v>a0rVT000011qTCvYAM</v>
      </c>
      <c r="C53" s="12" t="str">
        <f>IFERROR(__xludf.DUMMYFUNCTION("""COMPUTED_VALUE"""),"0031B00002iqMZ3QAM")</f>
        <v>0031B00002iqMZ3QAM</v>
      </c>
      <c r="D53" s="12" t="str">
        <f>IFERROR(__xludf.DUMMYFUNCTION("""COMPUTED_VALUE"""),"Erin Smith")</f>
        <v>Erin Smith</v>
      </c>
      <c r="E53" s="12" t="str">
        <f>IFERROR(__xludf.DUMMYFUNCTION("""COMPUTED_VALUE"""),"erin.smith@workday.com")</f>
        <v>erin.smith@workday.com</v>
      </c>
      <c r="F53" s="12" t="str">
        <f>IFERROR(__xludf.DUMMYFUNCTION("""COMPUTED_VALUE"""),"Deployment Sponsor")</f>
        <v>Deployment Sponsor</v>
      </c>
    </row>
    <row r="54">
      <c r="A54" s="12" t="str">
        <f>IFERROR(__xludf.DUMMYFUNCTION("""COMPUTED_VALUE"""),"a0lVT000006KLknYAG")</f>
        <v>a0lVT000006KLknYAG</v>
      </c>
      <c r="B54" s="12" t="str">
        <f>IFERROR(__xludf.DUMMYFUNCTION("""COMPUTED_VALUE"""),"a0rVT000011qTCvYAM")</f>
        <v>a0rVT000011qTCvYAM</v>
      </c>
      <c r="C54" s="12" t="str">
        <f>IFERROR(__xludf.DUMMYFUNCTION("""COMPUTED_VALUE"""),"0034X00003EtGr8QAF")</f>
        <v>0034X00003EtGr8QAF</v>
      </c>
      <c r="D54" s="12" t="str">
        <f>IFERROR(__xludf.DUMMYFUNCTION("""COMPUTED_VALUE"""),"Aaron Barnes")</f>
        <v>Aaron Barnes</v>
      </c>
      <c r="E54" s="12" t="str">
        <f>IFERROR(__xludf.DUMMYFUNCTION("""COMPUTED_VALUE"""),"aaron.barnes@workday.com")</f>
        <v>aaron.barnes@workday.com</v>
      </c>
      <c r="F54" s="12" t="str">
        <f>IFERROR(__xludf.DUMMYFUNCTION("""COMPUTED_VALUE"""),"Deployment Sponsor")</f>
        <v>Deployment Sponsor</v>
      </c>
    </row>
    <row r="55">
      <c r="A55" s="12" t="str">
        <f>IFERROR(__xludf.DUMMYFUNCTION("""COMPUTED_VALUE"""),"a0lVT000006Fc6LYAS")</f>
        <v>a0lVT000006Fc6LYAS</v>
      </c>
      <c r="B55" s="12" t="str">
        <f>IFERROR(__xludf.DUMMYFUNCTION("""COMPUTED_VALUE"""),"a0rVT000011qTCvYAM")</f>
        <v>a0rVT000011qTCvYAM</v>
      </c>
      <c r="C55" s="12" t="str">
        <f>IFERROR(__xludf.DUMMYFUNCTION("""COMPUTED_VALUE"""),"0034X00002vn9k1QAA")</f>
        <v>0034X00002vn9k1QAA</v>
      </c>
      <c r="D55" s="12" t="str">
        <f>IFERROR(__xludf.DUMMYFUNCTION("""COMPUTED_VALUE"""),"Brianna Robak")</f>
        <v>Brianna Robak</v>
      </c>
      <c r="E55" s="12" t="str">
        <f>IFERROR(__xludf.DUMMYFUNCTION("""COMPUTED_VALUE"""),"brianna.robak@workday.com")</f>
        <v>brianna.robak@workday.com</v>
      </c>
      <c r="F55" s="12" t="str">
        <f>IFERROR(__xludf.DUMMYFUNCTION("""COMPUTED_VALUE"""),"Engagement Manager [Primary]")</f>
        <v>Engagement Manager [Primary]</v>
      </c>
    </row>
    <row r="56">
      <c r="A56" s="12" t="str">
        <f>IFERROR(__xludf.DUMMYFUNCTION("""COMPUTED_VALUE"""),"a0lVT000005zDYYYA2")</f>
        <v>a0lVT000005zDYYYA2</v>
      </c>
      <c r="B56" s="12" t="str">
        <f>IFERROR(__xludf.DUMMYFUNCTION("""COMPUTED_VALUE"""),"a0rVT000011qTCvYAM")</f>
        <v>a0rVT000011qTCvYAM</v>
      </c>
      <c r="C56" s="12" t="str">
        <f>IFERROR(__xludf.DUMMYFUNCTION("""COMPUTED_VALUE"""),"003VT00000py1YZYAY")</f>
        <v>003VT00000py1YZYAY</v>
      </c>
      <c r="D56" s="12" t="str">
        <f>IFERROR(__xludf.DUMMYFUNCTION("""COMPUTED_VALUE"""),"Leonar Bowen")</f>
        <v>Leonar Bowen</v>
      </c>
      <c r="E56" s="12" t="str">
        <f>IFERROR(__xludf.DUMMYFUNCTION("""COMPUTED_VALUE"""),"leonar.bowen@omc.com")</f>
        <v>leonar.bowen@omc.com</v>
      </c>
      <c r="F56" s="12" t="str">
        <f>IFERROR(__xludf.DUMMYFUNCTION("""COMPUTED_VALUE"""),"Project Manager [Customer]")</f>
        <v>Project Manager [Customer]</v>
      </c>
    </row>
    <row r="57">
      <c r="A57" s="12" t="str">
        <f>IFERROR(__xludf.DUMMYFUNCTION("""COMPUTED_VALUE"""),"a0lVT000005zDYXYA2")</f>
        <v>a0lVT000005zDYXYA2</v>
      </c>
      <c r="B57" s="12" t="str">
        <f>IFERROR(__xludf.DUMMYFUNCTION("""COMPUTED_VALUE"""),"a0rVT000011qTCvYAM")</f>
        <v>a0rVT000011qTCvYAM</v>
      </c>
      <c r="C57" s="12" t="str">
        <f>IFERROR(__xludf.DUMMYFUNCTION("""COMPUTED_VALUE"""),"003VT00000py1YZYAY")</f>
        <v>003VT00000py1YZYAY</v>
      </c>
      <c r="D57" s="12" t="str">
        <f>IFERROR(__xludf.DUMMYFUNCTION("""COMPUTED_VALUE"""),"Leonar Bowen")</f>
        <v>Leonar Bowen</v>
      </c>
      <c r="E57" s="12" t="str">
        <f>IFERROR(__xludf.DUMMYFUNCTION("""COMPUTED_VALUE"""),"leonar.bowen@omc.com")</f>
        <v>leonar.bowen@omc.com</v>
      </c>
      <c r="F57" s="12" t="str">
        <f>IFERROR(__xludf.DUMMYFUNCTION("""COMPUTED_VALUE"""),"Executive Sponsor")</f>
        <v>Executive Sponsor</v>
      </c>
    </row>
    <row r="58">
      <c r="A58" s="12" t="str">
        <f>IFERROR(__xludf.DUMMYFUNCTION("""COMPUTED_VALUE"""),"a0lVT000005k4wzYAA")</f>
        <v>a0lVT000005k4wzYAA</v>
      </c>
      <c r="B58" s="12" t="str">
        <f>IFERROR(__xludf.DUMMYFUNCTION("""COMPUTED_VALUE"""),"a0rVT000011qTCvYAM")</f>
        <v>a0rVT000011qTCvYAM</v>
      </c>
      <c r="C58" s="12" t="str">
        <f>IFERROR(__xludf.DUMMYFUNCTION("""COMPUTED_VALUE"""),"0038000002Bsyh3AAB")</f>
        <v>0038000002Bsyh3AAB</v>
      </c>
      <c r="D58" s="12" t="str">
        <f>IFERROR(__xludf.DUMMYFUNCTION("""COMPUTED_VALUE"""),"Carla Posey")</f>
        <v>Carla Posey</v>
      </c>
      <c r="E58" s="12" t="str">
        <f>IFERROR(__xludf.DUMMYFUNCTION("""COMPUTED_VALUE"""),"carla.posey@workday.com")</f>
        <v>carla.posey@workday.com</v>
      </c>
      <c r="F58" s="12" t="str">
        <f>IFERROR(__xludf.DUMMYFUNCTION("""COMPUTED_VALUE"""),"Engagement Manager [Primary]")</f>
        <v>Engagement Manager [Primary]</v>
      </c>
    </row>
    <row r="59">
      <c r="A59" s="12" t="str">
        <f>IFERROR(__xludf.DUMMYFUNCTION("""COMPUTED_VALUE"""),"a0lVT000005w6qAYAQ")</f>
        <v>a0lVT000005w6qAYAQ</v>
      </c>
      <c r="B59" s="12" t="str">
        <f>IFERROR(__xludf.DUMMYFUNCTION("""COMPUTED_VALUE"""),"a0rVT000011yRM1YAM")</f>
        <v>a0rVT000011yRM1YAM</v>
      </c>
      <c r="C59" s="12" t="str">
        <f>IFERROR(__xludf.DUMMYFUNCTION("""COMPUTED_VALUE"""),"0031B00002mOvxdQAC")</f>
        <v>0031B00002mOvxdQAC</v>
      </c>
      <c r="D59" s="12" t="str">
        <f>IFERROR(__xludf.DUMMYFUNCTION("""COMPUTED_VALUE"""),"Aaron Faris")</f>
        <v>Aaron Faris</v>
      </c>
      <c r="E59" s="12" t="str">
        <f>IFERROR(__xludf.DUMMYFUNCTION("""COMPUTED_VALUE"""),"aaron.faris@dinebrands.com")</f>
        <v>aaron.faris@dinebrands.com</v>
      </c>
      <c r="F59" s="12" t="str">
        <f>IFERROR(__xludf.DUMMYFUNCTION("""COMPUTED_VALUE"""),"Project Manager [Customer]")</f>
        <v>Project Manager [Customer]</v>
      </c>
    </row>
    <row r="60">
      <c r="A60" s="12" t="str">
        <f>IFERROR(__xludf.DUMMYFUNCTION("""COMPUTED_VALUE"""),"a0lVT000006BhhJYAS")</f>
        <v>a0lVT000006BhhJYAS</v>
      </c>
      <c r="B60" s="12" t="str">
        <f>IFERROR(__xludf.DUMMYFUNCTION("""COMPUTED_VALUE"""),"a0rVT000011yRM1YAM")</f>
        <v>a0rVT000011yRM1YAM</v>
      </c>
      <c r="C60" s="12" t="str">
        <f>IFERROR(__xludf.DUMMYFUNCTION("""COMPUTED_VALUE"""),"0031B00002mOvxdQAC")</f>
        <v>0031B00002mOvxdQAC</v>
      </c>
      <c r="D60" s="12" t="str">
        <f>IFERROR(__xludf.DUMMYFUNCTION("""COMPUTED_VALUE"""),"Aaron Faris")</f>
        <v>Aaron Faris</v>
      </c>
      <c r="E60" s="12" t="str">
        <f>IFERROR(__xludf.DUMMYFUNCTION("""COMPUTED_VALUE"""),"aaron.faris@dinebrands.com")</f>
        <v>aaron.faris@dinebrands.com</v>
      </c>
      <c r="F60" s="12" t="str">
        <f>IFERROR(__xludf.DUMMYFUNCTION("""COMPUTED_VALUE"""),"Executive Sponsor")</f>
        <v>Executive Sponsor</v>
      </c>
    </row>
    <row r="61">
      <c r="A61" s="12" t="str">
        <f>IFERROR(__xludf.DUMMYFUNCTION("""COMPUTED_VALUE"""),"a0lVT000005w6q9YAA")</f>
        <v>a0lVT000005w6q9YAA</v>
      </c>
      <c r="B61" s="12" t="str">
        <f>IFERROR(__xludf.DUMMYFUNCTION("""COMPUTED_VALUE"""),"a0rVT000011yRM1YAM")</f>
        <v>a0rVT000011yRM1YAM</v>
      </c>
      <c r="C61" s="12" t="str">
        <f>IFERROR(__xludf.DUMMYFUNCTION("""COMPUTED_VALUE"""),"003VT00000fc4sfYAA")</f>
        <v>003VT00000fc4sfYAA</v>
      </c>
      <c r="D61" s="12" t="str">
        <f>IFERROR(__xludf.DUMMYFUNCTION("""COMPUTED_VALUE"""),"Katie Nehrenz")</f>
        <v>Katie Nehrenz</v>
      </c>
      <c r="E61" s="12" t="str">
        <f>IFERROR(__xludf.DUMMYFUNCTION("""COMPUTED_VALUE"""),"katie.nehrenz@workday.com")</f>
        <v>katie.nehrenz@workday.com</v>
      </c>
      <c r="F61" s="12" t="str">
        <f>IFERROR(__xludf.DUMMYFUNCTION("""COMPUTED_VALUE"""),"Engagement Manager [Primary]")</f>
        <v>Engagement Manager [Primary]</v>
      </c>
    </row>
    <row r="62">
      <c r="A62" s="12" t="str">
        <f>IFERROR(__xludf.DUMMYFUNCTION("""COMPUTED_VALUE"""),"a0lVT000005ws5BYAQ")</f>
        <v>a0lVT000005ws5BYAQ</v>
      </c>
      <c r="B62" s="12" t="str">
        <f>IFERROR(__xludf.DUMMYFUNCTION("""COMPUTED_VALUE"""),"a0rVT000011ySGTYA2")</f>
        <v>a0rVT000011ySGTYA2</v>
      </c>
      <c r="C62" s="12" t="str">
        <f>IFERROR(__xludf.DUMMYFUNCTION("""COMPUTED_VALUE"""),"0034X00003T2sCmQAJ")</f>
        <v>0034X00003T2sCmQAJ</v>
      </c>
      <c r="D62" s="12" t="str">
        <f>IFERROR(__xludf.DUMMYFUNCTION("""COMPUTED_VALUE"""),"Felix Cordero")</f>
        <v>Felix Cordero</v>
      </c>
      <c r="E62" s="12" t="str">
        <f>IFERROR(__xludf.DUMMYFUNCTION("""COMPUTED_VALUE"""),"felix.cordero@workday.com")</f>
        <v>felix.cordero@workday.com</v>
      </c>
      <c r="F62" s="12" t="str">
        <f>IFERROR(__xludf.DUMMYFUNCTION("""COMPUTED_VALUE"""),"Engagement Manager [Primary]")</f>
        <v>Engagement Manager [Primary]</v>
      </c>
    </row>
    <row r="63">
      <c r="A63" s="12" t="str">
        <f>IFERROR(__xludf.DUMMYFUNCTION("""COMPUTED_VALUE"""),"a0lVT000006FKXdYAO")</f>
        <v>a0lVT000006FKXdYAO</v>
      </c>
      <c r="B63" s="12" t="str">
        <f>IFERROR(__xludf.DUMMYFUNCTION("""COMPUTED_VALUE"""),"a0rVT000011ySGTYA2")</f>
        <v>a0rVT000011ySGTYA2</v>
      </c>
      <c r="C63" s="12" t="str">
        <f>IFERROR(__xludf.DUMMYFUNCTION("""COMPUTED_VALUE"""),"0034X00003EtGr8QAF")</f>
        <v>0034X00003EtGr8QAF</v>
      </c>
      <c r="D63" s="12" t="str">
        <f>IFERROR(__xludf.DUMMYFUNCTION("""COMPUTED_VALUE"""),"Aaron Barnes")</f>
        <v>Aaron Barnes</v>
      </c>
      <c r="E63" s="12" t="str">
        <f>IFERROR(__xludf.DUMMYFUNCTION("""COMPUTED_VALUE"""),"aaron.barnes@workday.com")</f>
        <v>aaron.barnes@workday.com</v>
      </c>
      <c r="F63" s="12" t="str">
        <f>IFERROR(__xludf.DUMMYFUNCTION("""COMPUTED_VALUE"""),"Deployment Sponsor")</f>
        <v>Deployment Sponsor</v>
      </c>
    </row>
    <row r="64">
      <c r="A64" s="12" t="str">
        <f>IFERROR(__xludf.DUMMYFUNCTION("""COMPUTED_VALUE"""),"a0lVT0000065Aw9YAE")</f>
        <v>a0lVT0000065Aw9YAE</v>
      </c>
      <c r="B64" s="12" t="str">
        <f>IFERROR(__xludf.DUMMYFUNCTION("""COMPUTED_VALUE"""),"a0rVT0000124F72YAE")</f>
        <v>a0rVT0000124F72YAE</v>
      </c>
      <c r="C64" s="12" t="str">
        <f>IFERROR(__xludf.DUMMYFUNCTION("""COMPUTED_VALUE"""),"0031B00002mO8bwQAC")</f>
        <v>0031B00002mO8bwQAC</v>
      </c>
      <c r="D64" s="12" t="str">
        <f>IFERROR(__xludf.DUMMYFUNCTION("""COMPUTED_VALUE"""),"Samantha Kowalski")</f>
        <v>Samantha Kowalski</v>
      </c>
      <c r="E64" s="12" t="str">
        <f>IFERROR(__xludf.DUMMYFUNCTION("""COMPUTED_VALUE"""),"samantha.kowalski@workday.com")</f>
        <v>samantha.kowalski@workday.com</v>
      </c>
      <c r="F64" s="12" t="str">
        <f>IFERROR(__xludf.DUMMYFUNCTION("""COMPUTED_VALUE"""),"Engagement Manager [Primary]")</f>
        <v>Engagement Manager [Primary]</v>
      </c>
    </row>
    <row r="65">
      <c r="A65" s="12" t="str">
        <f>IFERROR(__xludf.DUMMYFUNCTION("""COMPUTED_VALUE"""),"a0lVT000005mtYnYAI")</f>
        <v>a0lVT000005mtYnYAI</v>
      </c>
      <c r="B65" s="12" t="str">
        <f>IFERROR(__xludf.DUMMYFUNCTION("""COMPUTED_VALUE"""),"a0rVT0000124F72YAE")</f>
        <v>a0rVT0000124F72YAE</v>
      </c>
      <c r="C65" s="12" t="str">
        <f>IFERROR(__xludf.DUMMYFUNCTION("""COMPUTED_VALUE"""),"0038000001xowKtAAI")</f>
        <v>0038000001xowKtAAI</v>
      </c>
      <c r="D65" s="12" t="str">
        <f>IFERROR(__xludf.DUMMYFUNCTION("""COMPUTED_VALUE"""),"stayce thomas")</f>
        <v>stayce thomas</v>
      </c>
      <c r="E65" s="12" t="str">
        <f>IFERROR(__xludf.DUMMYFUNCTION("""COMPUTED_VALUE"""),"stayce.thomas@workday.com")</f>
        <v>stayce.thomas@workday.com</v>
      </c>
      <c r="F65" s="12" t="str">
        <f>IFERROR(__xludf.DUMMYFUNCTION("""COMPUTED_VALUE"""),"Deployment Sponsor")</f>
        <v>Deployment Sponsor</v>
      </c>
    </row>
    <row r="66">
      <c r="A66" s="12" t="str">
        <f>IFERROR(__xludf.DUMMYFUNCTION("""COMPUTED_VALUE"""),"a0lVT000005oJz3YAE")</f>
        <v>a0lVT000005oJz3YAE</v>
      </c>
      <c r="B66" s="12" t="str">
        <f>IFERROR(__xludf.DUMMYFUNCTION("""COMPUTED_VALUE"""),"a0rVT0000124F72YAE")</f>
        <v>a0rVT0000124F72YAE</v>
      </c>
      <c r="C66" s="12" t="str">
        <f>IFERROR(__xludf.DUMMYFUNCTION("""COMPUTED_VALUE"""),"0034X00003P97DpQAJ")</f>
        <v>0034X00003P97DpQAJ</v>
      </c>
      <c r="D66" s="12" t="str">
        <f>IFERROR(__xludf.DUMMYFUNCTION("""COMPUTED_VALUE"""),"Suman Bysani")</f>
        <v>Suman Bysani</v>
      </c>
      <c r="E66" s="12" t="str">
        <f>IFERROR(__xludf.DUMMYFUNCTION("""COMPUTED_VALUE"""),"suman.bysani@campingworld.com")</f>
        <v>suman.bysani@campingworld.com</v>
      </c>
      <c r="F66" s="12" t="str">
        <f>IFERROR(__xludf.DUMMYFUNCTION("""COMPUTED_VALUE"""),"Executive Sponsor")</f>
        <v>Executive Sponsor</v>
      </c>
    </row>
    <row r="67">
      <c r="A67" s="12" t="str">
        <f>IFERROR(__xludf.DUMMYFUNCTION("""COMPUTED_VALUE"""),"a0lVT000005oJz4YAE")</f>
        <v>a0lVT000005oJz4YAE</v>
      </c>
      <c r="B67" s="12" t="str">
        <f>IFERROR(__xludf.DUMMYFUNCTION("""COMPUTED_VALUE"""),"a0rVT0000124F72YAE")</f>
        <v>a0rVT0000124F72YAE</v>
      </c>
      <c r="C67" s="12" t="str">
        <f>IFERROR(__xludf.DUMMYFUNCTION("""COMPUTED_VALUE"""),"003VT00000FEhXWYA1")</f>
        <v>003VT00000FEhXWYA1</v>
      </c>
      <c r="D67" s="12" t="str">
        <f>IFERROR(__xludf.DUMMYFUNCTION("""COMPUTED_VALUE"""),"Rob Yerushalmi")</f>
        <v>Rob Yerushalmi</v>
      </c>
      <c r="E67" s="12" t="str">
        <f>IFERROR(__xludf.DUMMYFUNCTION("""COMPUTED_VALUE"""),"ryerushalmi@campingworld.com")</f>
        <v>ryerushalmi@campingworld.com</v>
      </c>
      <c r="F67" s="12" t="str">
        <f>IFERROR(__xludf.DUMMYFUNCTION("""COMPUTED_VALUE"""),"Project Manager [Customer]")</f>
        <v>Project Manager [Customer]</v>
      </c>
    </row>
    <row r="68">
      <c r="A68" s="12" t="str">
        <f>IFERROR(__xludf.DUMMYFUNCTION("""COMPUTED_VALUE"""),"a0lVT0000066dG9YAI")</f>
        <v>a0lVT0000066dG9YAI</v>
      </c>
      <c r="B68" s="12" t="str">
        <f>IFERROR(__xludf.DUMMYFUNCTION("""COMPUTED_VALUE"""),"a0rVT000012ENO5YAO")</f>
        <v>a0rVT000012ENO5YAO</v>
      </c>
      <c r="C68" s="12" t="str">
        <f>IFERROR(__xludf.DUMMYFUNCTION("""COMPUTED_VALUE"""),"0038000001W7wiIAAR")</f>
        <v>0038000001W7wiIAAR</v>
      </c>
      <c r="D68" s="12" t="str">
        <f>IFERROR(__xludf.DUMMYFUNCTION("""COMPUTED_VALUE"""),"William Kohnke")</f>
        <v>William Kohnke</v>
      </c>
      <c r="E68" s="12" t="str">
        <f>IFERROR(__xludf.DUMMYFUNCTION("""COMPUTED_VALUE"""),"william.kohnke@workday.com")</f>
        <v>william.kohnke@workday.com</v>
      </c>
      <c r="F68" s="12" t="str">
        <f>IFERROR(__xludf.DUMMYFUNCTION("""COMPUTED_VALUE"""),"Deployment Sponsor")</f>
        <v>Deployment Sponsor</v>
      </c>
    </row>
    <row r="69">
      <c r="A69" s="12" t="str">
        <f>IFERROR(__xludf.DUMMYFUNCTION("""COMPUTED_VALUE"""),"a0lVT000005mxPVYAY")</f>
        <v>a0lVT000005mxPVYAY</v>
      </c>
      <c r="B69" s="12" t="str">
        <f>IFERROR(__xludf.DUMMYFUNCTION("""COMPUTED_VALUE"""),"a0rVT000012ENO5YAO")</f>
        <v>a0rVT000012ENO5YAO</v>
      </c>
      <c r="C69" s="12" t="str">
        <f>IFERROR(__xludf.DUMMYFUNCTION("""COMPUTED_VALUE"""),"0034X00002tSDtJQAW")</f>
        <v>0034X00002tSDtJQAW</v>
      </c>
      <c r="D69" s="12" t="str">
        <f>IFERROR(__xludf.DUMMYFUNCTION("""COMPUTED_VALUE"""),"Susan Walker")</f>
        <v>Susan Walker</v>
      </c>
      <c r="E69" s="12" t="str">
        <f>IFERROR(__xludf.DUMMYFUNCTION("""COMPUTED_VALUE"""),"susan.walker@mvtransit.com")</f>
        <v>susan.walker@mvtransit.com</v>
      </c>
      <c r="F69" s="12" t="str">
        <f>IFERROR(__xludf.DUMMYFUNCTION("""COMPUTED_VALUE"""),"Project Manager [Customer]")</f>
        <v>Project Manager [Customer]</v>
      </c>
    </row>
    <row r="70">
      <c r="A70" s="12" t="str">
        <f>IFERROR(__xludf.DUMMYFUNCTION("""COMPUTED_VALUE"""),"a0lVT000005mxPWYAY")</f>
        <v>a0lVT000005mxPWYAY</v>
      </c>
      <c r="B70" s="12" t="str">
        <f>IFERROR(__xludf.DUMMYFUNCTION("""COMPUTED_VALUE"""),"a0rVT000012ENO5YAO")</f>
        <v>a0rVT000012ENO5YAO</v>
      </c>
      <c r="C70" s="12" t="str">
        <f>IFERROR(__xludf.DUMMYFUNCTION("""COMPUTED_VALUE"""),"0031B00002q2xEOQAY")</f>
        <v>0031B00002q2xEOQAY</v>
      </c>
      <c r="D70" s="12" t="str">
        <f>IFERROR(__xludf.DUMMYFUNCTION("""COMPUTED_VALUE"""),"David Lee")</f>
        <v>David Lee</v>
      </c>
      <c r="E70" s="12" t="str">
        <f>IFERROR(__xludf.DUMMYFUNCTION("""COMPUTED_VALUE"""),"david.lee@mvtransit.com")</f>
        <v>david.lee@mvtransit.com</v>
      </c>
      <c r="F70" s="12" t="str">
        <f>IFERROR(__xludf.DUMMYFUNCTION("""COMPUTED_VALUE"""),"Executive Sponsor")</f>
        <v>Executive Sponsor</v>
      </c>
    </row>
    <row r="71">
      <c r="A71" s="12" t="str">
        <f>IFERROR(__xludf.DUMMYFUNCTION("""COMPUTED_VALUE"""),"a0lVT000005lQCHYA2")</f>
        <v>a0lVT000005lQCHYA2</v>
      </c>
      <c r="B71" s="12" t="str">
        <f>IFERROR(__xludf.DUMMYFUNCTION("""COMPUTED_VALUE"""),"a0rVT000012ENO5YAO")</f>
        <v>a0rVT000012ENO5YAO</v>
      </c>
      <c r="C71" s="12" t="str">
        <f>IFERROR(__xludf.DUMMYFUNCTION("""COMPUTED_VALUE"""),"0034X000039nd1IQAQ")</f>
        <v>0034X000039nd1IQAQ</v>
      </c>
      <c r="D71" s="12" t="str">
        <f>IFERROR(__xludf.DUMMYFUNCTION("""COMPUTED_VALUE"""),"Teresa Jenkins")</f>
        <v>Teresa Jenkins</v>
      </c>
      <c r="E71" s="12" t="str">
        <f>IFERROR(__xludf.DUMMYFUNCTION("""COMPUTED_VALUE"""),"teresa.jenkins@workday.com")</f>
        <v>teresa.jenkins@workday.com</v>
      </c>
      <c r="F71" s="12" t="str">
        <f>IFERROR(__xludf.DUMMYFUNCTION("""COMPUTED_VALUE"""),"Engagement Manager [Primary]")</f>
        <v>Engagement Manager [Primary]</v>
      </c>
    </row>
    <row r="72">
      <c r="A72" s="12" t="str">
        <f>IFERROR(__xludf.DUMMYFUNCTION("""COMPUTED_VALUE"""),"a0lVT000005lR57YAE")</f>
        <v>a0lVT000005lR57YAE</v>
      </c>
      <c r="B72" s="12" t="str">
        <f>IFERROR(__xludf.DUMMYFUNCTION("""COMPUTED_VALUE"""),"a0rVT000012ESSbYAO")</f>
        <v>a0rVT000012ESSbYAO</v>
      </c>
      <c r="C72" s="12" t="str">
        <f>IFERROR(__xludf.DUMMYFUNCTION("""COMPUTED_VALUE"""),"0031B00002p1PsFQAU")</f>
        <v>0031B00002p1PsFQAU</v>
      </c>
      <c r="D72" s="12" t="str">
        <f>IFERROR(__xludf.DUMMYFUNCTION("""COMPUTED_VALUE"""),"Bhavika Patel")</f>
        <v>Bhavika Patel</v>
      </c>
      <c r="E72" s="12" t="str">
        <f>IFERROR(__xludf.DUMMYFUNCTION("""COMPUTED_VALUE"""),"bhavika.patel@workday.com")</f>
        <v>bhavika.patel@workday.com</v>
      </c>
      <c r="F72" s="12" t="str">
        <f>IFERROR(__xludf.DUMMYFUNCTION("""COMPUTED_VALUE"""),"Deployment Sponsor")</f>
        <v>Deployment Sponsor</v>
      </c>
    </row>
    <row r="73">
      <c r="A73" s="12" t="str">
        <f>IFERROR(__xludf.DUMMYFUNCTION("""COMPUTED_VALUE"""),"a0lVT000005vqgZYAQ")</f>
        <v>a0lVT000005vqgZYAQ</v>
      </c>
      <c r="B73" s="12" t="str">
        <f>IFERROR(__xludf.DUMMYFUNCTION("""COMPUTED_VALUE"""),"a0rVT000012ESSbYAO")</f>
        <v>a0rVT000012ESSbYAO</v>
      </c>
      <c r="C73" s="12" t="str">
        <f>IFERROR(__xludf.DUMMYFUNCTION("""COMPUTED_VALUE"""),"0034X000032M6WDQA0")</f>
        <v>0034X000032M6WDQA0</v>
      </c>
      <c r="D73" s="12" t="str">
        <f>IFERROR(__xludf.DUMMYFUNCTION("""COMPUTED_VALUE"""),"Laura Kromer")</f>
        <v>Laura Kromer</v>
      </c>
      <c r="E73" s="12" t="str">
        <f>IFERROR(__xludf.DUMMYFUNCTION("""COMPUTED_VALUE"""),"laura.kromer@ally.com")</f>
        <v>laura.kromer@ally.com</v>
      </c>
      <c r="F73" s="12" t="str">
        <f>IFERROR(__xludf.DUMMYFUNCTION("""COMPUTED_VALUE"""),"Executive Sponsor")</f>
        <v>Executive Sponsor</v>
      </c>
    </row>
    <row r="74">
      <c r="A74" s="12" t="str">
        <f>IFERROR(__xludf.DUMMYFUNCTION("""COMPUTED_VALUE"""),"a0lVT000005vqgaYAA")</f>
        <v>a0lVT000005vqgaYAA</v>
      </c>
      <c r="B74" s="12" t="str">
        <f>IFERROR(__xludf.DUMMYFUNCTION("""COMPUTED_VALUE"""),"a0rVT000012ESSbYAO")</f>
        <v>a0rVT000012ESSbYAO</v>
      </c>
      <c r="C74" s="12" t="str">
        <f>IFERROR(__xludf.DUMMYFUNCTION("""COMPUTED_VALUE"""),"0034X00003PAM0xQAH")</f>
        <v>0034X00003PAM0xQAH</v>
      </c>
      <c r="D74" s="12" t="str">
        <f>IFERROR(__xludf.DUMMYFUNCTION("""COMPUTED_VALUE"""),"Erin Sippola")</f>
        <v>Erin Sippola</v>
      </c>
      <c r="E74" s="12" t="str">
        <f>IFERROR(__xludf.DUMMYFUNCTION("""COMPUTED_VALUE"""),"erin.murphy@ally.com")</f>
        <v>erin.murphy@ally.com</v>
      </c>
      <c r="F74" s="12" t="str">
        <f>IFERROR(__xludf.DUMMYFUNCTION("""COMPUTED_VALUE"""),"Project Manager [Customer]")</f>
        <v>Project Manager [Customer]</v>
      </c>
    </row>
    <row r="75">
      <c r="A75" s="12" t="str">
        <f>IFERROR(__xludf.DUMMYFUNCTION("""COMPUTED_VALUE"""),"a0lVT000005lLsYYAU")</f>
        <v>a0lVT000005lLsYYAU</v>
      </c>
      <c r="B75" s="12" t="str">
        <f>IFERROR(__xludf.DUMMYFUNCTION("""COMPUTED_VALUE"""),"a0rVT000012ESSbYAO")</f>
        <v>a0rVT000012ESSbYAO</v>
      </c>
      <c r="C75" s="12" t="str">
        <f>IFERROR(__xludf.DUMMYFUNCTION("""COMPUTED_VALUE"""),"0034X00003T32EBQAZ")</f>
        <v>0034X00003T32EBQAZ</v>
      </c>
      <c r="D75" s="12" t="str">
        <f>IFERROR(__xludf.DUMMYFUNCTION("""COMPUTED_VALUE"""),"Sean Hohan")</f>
        <v>Sean Hohan</v>
      </c>
      <c r="E75" s="12" t="str">
        <f>IFERROR(__xludf.DUMMYFUNCTION("""COMPUTED_VALUE"""),"sean.hohan@workday.com")</f>
        <v>sean.hohan@workday.com</v>
      </c>
      <c r="F75" s="12" t="str">
        <f>IFERROR(__xludf.DUMMYFUNCTION("""COMPUTED_VALUE"""),"Engagement Manager [Primary]")</f>
        <v>Engagement Manager [Primary]</v>
      </c>
    </row>
    <row r="76">
      <c r="A76" s="12" t="str">
        <f>IFERROR(__xludf.DUMMYFUNCTION("""COMPUTED_VALUE"""),"a0lVT000005qWFRYA2")</f>
        <v>a0lVT000005qWFRYA2</v>
      </c>
      <c r="B76" s="12" t="str">
        <f>IFERROR(__xludf.DUMMYFUNCTION("""COMPUTED_VALUE"""),"a0rVT000012EmsjYAC")</f>
        <v>a0rVT000012EmsjYAC</v>
      </c>
      <c r="C76" s="12" t="str">
        <f>IFERROR(__xludf.DUMMYFUNCTION("""COMPUTED_VALUE"""),"0034X00003RCR3wQAH")</f>
        <v>0034X00003RCR3wQAH</v>
      </c>
      <c r="D76" s="12" t="str">
        <f>IFERROR(__xludf.DUMMYFUNCTION("""COMPUTED_VALUE"""),"Yuriy Yushchenko")</f>
        <v>Yuriy Yushchenko</v>
      </c>
      <c r="E76" s="12" t="str">
        <f>IFERROR(__xludf.DUMMYFUNCTION("""COMPUTED_VALUE"""),"yuriy.yushchenko@workday.com")</f>
        <v>yuriy.yushchenko@workday.com</v>
      </c>
      <c r="F76" s="12" t="str">
        <f>IFERROR(__xludf.DUMMYFUNCTION("""COMPUTED_VALUE"""),"Engagement Manager [Secondary]")</f>
        <v>Engagement Manager [Secondary]</v>
      </c>
    </row>
    <row r="77">
      <c r="A77" s="12" t="str">
        <f>IFERROR(__xludf.DUMMYFUNCTION("""COMPUTED_VALUE"""),"a0lVT000005wstBYAQ")</f>
        <v>a0lVT000005wstBYAQ</v>
      </c>
      <c r="B77" s="12" t="str">
        <f>IFERROR(__xludf.DUMMYFUNCTION("""COMPUTED_VALUE"""),"a0rVT000012EmsjYAC")</f>
        <v>a0rVT000012EmsjYAC</v>
      </c>
      <c r="C77" s="12" t="str">
        <f>IFERROR(__xludf.DUMMYFUNCTION("""COMPUTED_VALUE"""),"003VT00000RW7DMYA1")</f>
        <v>003VT00000RW7DMYA1</v>
      </c>
      <c r="D77" s="12" t="str">
        <f>IFERROR(__xludf.DUMMYFUNCTION("""COMPUTED_VALUE"""),"Carlos Chian")</f>
        <v>Carlos Chian</v>
      </c>
      <c r="E77" s="12" t="str">
        <f>IFERROR(__xludf.DUMMYFUNCTION("""COMPUTED_VALUE"""),"carlos.chian@workday.com")</f>
        <v>carlos.chian@workday.com</v>
      </c>
      <c r="F77" s="12" t="str">
        <f>IFERROR(__xludf.DUMMYFUNCTION("""COMPUTED_VALUE"""),"Deployment Sponsor")</f>
        <v>Deployment Sponsor</v>
      </c>
    </row>
    <row r="78">
      <c r="A78" s="12" t="str">
        <f>IFERROR(__xludf.DUMMYFUNCTION("""COMPUTED_VALUE"""),"a0lVT000005wsy1YAA")</f>
        <v>a0lVT000005wsy1YAA</v>
      </c>
      <c r="B78" s="12" t="str">
        <f>IFERROR(__xludf.DUMMYFUNCTION("""COMPUTED_VALUE"""),"a0rVT000012EmsjYAC")</f>
        <v>a0rVT000012EmsjYAC</v>
      </c>
      <c r="C78" s="12" t="str">
        <f>IFERROR(__xludf.DUMMYFUNCTION("""COMPUTED_VALUE"""),"0034X00003GOuXOQA1")</f>
        <v>0034X00003GOuXOQA1</v>
      </c>
      <c r="D78" s="12" t="str">
        <f>IFERROR(__xludf.DUMMYFUNCTION("""COMPUTED_VALUE"""),"Cecilia Vorobioff")</f>
        <v>Cecilia Vorobioff</v>
      </c>
      <c r="E78" s="12" t="str">
        <f>IFERROR(__xludf.DUMMYFUNCTION("""COMPUTED_VALUE"""),"cecilia.vorobioff@iff.com")</f>
        <v>cecilia.vorobioff@iff.com</v>
      </c>
      <c r="F78" s="12" t="str">
        <f>IFERROR(__xludf.DUMMYFUNCTION("""COMPUTED_VALUE"""),"Project Manager [Customer]")</f>
        <v>Project Manager [Customer]</v>
      </c>
    </row>
    <row r="79">
      <c r="A79" s="12" t="str">
        <f>IFERROR(__xludf.DUMMYFUNCTION("""COMPUTED_VALUE"""),"a0lVT000005wsy2YAA")</f>
        <v>a0lVT000005wsy2YAA</v>
      </c>
      <c r="B79" s="12" t="str">
        <f>IFERROR(__xludf.DUMMYFUNCTION("""COMPUTED_VALUE"""),"a0rVT000012EmsjYAC")</f>
        <v>a0rVT000012EmsjYAC</v>
      </c>
      <c r="C79" s="12" t="str">
        <f>IFERROR(__xludf.DUMMYFUNCTION("""COMPUTED_VALUE"""),"003VT00000JGXMrYAP")</f>
        <v>003VT00000JGXMrYAP</v>
      </c>
      <c r="D79" s="12" t="str">
        <f>IFERROR(__xludf.DUMMYFUNCTION("""COMPUTED_VALUE"""),"Matyas Varkonyi")</f>
        <v>Matyas Varkonyi</v>
      </c>
      <c r="E79" s="12" t="str">
        <f>IFERROR(__xludf.DUMMYFUNCTION("""COMPUTED_VALUE"""),"varkonyi.matyas@iff.com")</f>
        <v>varkonyi.matyas@iff.com</v>
      </c>
      <c r="F79" s="12" t="str">
        <f>IFERROR(__xludf.DUMMYFUNCTION("""COMPUTED_VALUE"""),"Executive Sponsor")</f>
        <v>Executive Sponsor</v>
      </c>
    </row>
    <row r="80">
      <c r="A80" s="12" t="str">
        <f>IFERROR(__xludf.DUMMYFUNCTION("""COMPUTED_VALUE"""),"a0lVT000005lSHJYA2")</f>
        <v>a0lVT000005lSHJYA2</v>
      </c>
      <c r="B80" s="12" t="str">
        <f>IFERROR(__xludf.DUMMYFUNCTION("""COMPUTED_VALUE"""),"a0rVT000012EmsjYAC")</f>
        <v>a0rVT000012EmsjYAC</v>
      </c>
      <c r="C80" s="12" t="str">
        <f>IFERROR(__xludf.DUMMYFUNCTION("""COMPUTED_VALUE"""),"0034X00003T2sCmQAJ")</f>
        <v>0034X00003T2sCmQAJ</v>
      </c>
      <c r="D80" s="12" t="str">
        <f>IFERROR(__xludf.DUMMYFUNCTION("""COMPUTED_VALUE"""),"Felix Cordero")</f>
        <v>Felix Cordero</v>
      </c>
      <c r="E80" s="12" t="str">
        <f>IFERROR(__xludf.DUMMYFUNCTION("""COMPUTED_VALUE"""),"felix.cordero@workday.com")</f>
        <v>felix.cordero@workday.com</v>
      </c>
      <c r="F80" s="12" t="str">
        <f>IFERROR(__xludf.DUMMYFUNCTION("""COMPUTED_VALUE"""),"Engagement Manager [Primary]")</f>
        <v>Engagement Manager [Primary]</v>
      </c>
    </row>
    <row r="81">
      <c r="A81" s="12" t="str">
        <f>IFERROR(__xludf.DUMMYFUNCTION("""COMPUTED_VALUE"""),"a0lVT000005luVJYAY")</f>
        <v>a0lVT000005luVJYAY</v>
      </c>
      <c r="B81" s="12" t="str">
        <f>IFERROR(__xludf.DUMMYFUNCTION("""COMPUTED_VALUE"""),"a0rVT000012MHq9YAG")</f>
        <v>a0rVT000012MHq9YAG</v>
      </c>
      <c r="C81" s="12" t="str">
        <f>IFERROR(__xludf.DUMMYFUNCTION("""COMPUTED_VALUE"""),"003VT00000XOr8DYAT")</f>
        <v>003VT00000XOr8DYAT</v>
      </c>
      <c r="D81" s="12" t="str">
        <f>IFERROR(__xludf.DUMMYFUNCTION("""COMPUTED_VALUE"""),"Manuel Vega")</f>
        <v>Manuel Vega</v>
      </c>
      <c r="E81" s="12" t="str">
        <f>IFERROR(__xludf.DUMMYFUNCTION("""COMPUTED_VALUE"""),"manuel.vega@workday.com")</f>
        <v>manuel.vega@workday.com</v>
      </c>
      <c r="F81" s="12" t="str">
        <f>IFERROR(__xludf.DUMMYFUNCTION("""COMPUTED_VALUE"""),"Engagement Manager [Primary]")</f>
        <v>Engagement Manager [Primary]</v>
      </c>
    </row>
    <row r="82">
      <c r="A82" s="12" t="str">
        <f>IFERROR(__xludf.DUMMYFUNCTION("""COMPUTED_VALUE"""),"a0lVT000005pGz7YAE")</f>
        <v>a0lVT000005pGz7YAE</v>
      </c>
      <c r="B82" s="12" t="str">
        <f>IFERROR(__xludf.DUMMYFUNCTION("""COMPUTED_VALUE"""),"a0rVT000012MXBlYAO")</f>
        <v>a0rVT000012MXBlYAO</v>
      </c>
      <c r="C82" s="12" t="str">
        <f>IFERROR(__xludf.DUMMYFUNCTION("""COMPUTED_VALUE"""),"0038000002Gjwz4AAB")</f>
        <v>0038000002Gjwz4AAB</v>
      </c>
      <c r="D82" s="12" t="str">
        <f>IFERROR(__xludf.DUMMYFUNCTION("""COMPUTED_VALUE"""),"Sadie Frame")</f>
        <v>Sadie Frame</v>
      </c>
      <c r="E82" s="12" t="str">
        <f>IFERROR(__xludf.DUMMYFUNCTION("""COMPUTED_VALUE"""),"sframe@columbia.com")</f>
        <v>sframe@columbia.com</v>
      </c>
      <c r="F82" s="12" t="str">
        <f>IFERROR(__xludf.DUMMYFUNCTION("""COMPUTED_VALUE"""),"Executive Sponsor")</f>
        <v>Executive Sponsor</v>
      </c>
    </row>
    <row r="83">
      <c r="A83" s="12" t="str">
        <f>IFERROR(__xludf.DUMMYFUNCTION("""COMPUTED_VALUE"""),"a0lVT000005lvftYAA")</f>
        <v>a0lVT000005lvftYAA</v>
      </c>
      <c r="B83" s="12" t="str">
        <f>IFERROR(__xludf.DUMMYFUNCTION("""COMPUTED_VALUE"""),"a0rVT000012MXBlYAO")</f>
        <v>a0rVT000012MXBlYAO</v>
      </c>
      <c r="C83" s="12" t="str">
        <f>IFERROR(__xludf.DUMMYFUNCTION("""COMPUTED_VALUE"""),"0031B00002mO8bwQAC")</f>
        <v>0031B00002mO8bwQAC</v>
      </c>
      <c r="D83" s="12" t="str">
        <f>IFERROR(__xludf.DUMMYFUNCTION("""COMPUTED_VALUE"""),"Samantha Kowalski")</f>
        <v>Samantha Kowalski</v>
      </c>
      <c r="E83" s="12" t="str">
        <f>IFERROR(__xludf.DUMMYFUNCTION("""COMPUTED_VALUE"""),"samantha.kowalski@workday.com")</f>
        <v>samantha.kowalski@workday.com</v>
      </c>
      <c r="F83" s="12" t="str">
        <f>IFERROR(__xludf.DUMMYFUNCTION("""COMPUTED_VALUE"""),"Engagement Manager [Primary]")</f>
        <v>Engagement Manager [Primary]</v>
      </c>
    </row>
    <row r="84">
      <c r="A84" s="12" t="str">
        <f>IFERROR(__xludf.DUMMYFUNCTION("""COMPUTED_VALUE"""),"a0lVT000005pGmDYAU")</f>
        <v>a0lVT000005pGmDYAU</v>
      </c>
      <c r="B84" s="12" t="str">
        <f>IFERROR(__xludf.DUMMYFUNCTION("""COMPUTED_VALUE"""),"a0rVT000012MXBlYAO")</f>
        <v>a0rVT000012MXBlYAO</v>
      </c>
      <c r="C84" s="12" t="str">
        <f>IFERROR(__xludf.DUMMYFUNCTION("""COMPUTED_VALUE"""),"00380000026qL1WAAU")</f>
        <v>00380000026qL1WAAU</v>
      </c>
      <c r="D84" s="12" t="str">
        <f>IFERROR(__xludf.DUMMYFUNCTION("""COMPUTED_VALUE"""),"Sumi Sankaran")</f>
        <v>Sumi Sankaran</v>
      </c>
      <c r="E84" s="12" t="str">
        <f>IFERROR(__xludf.DUMMYFUNCTION("""COMPUTED_VALUE"""),"sumi.sankaran@workday.com")</f>
        <v>sumi.sankaran@workday.com</v>
      </c>
      <c r="F84" s="12" t="str">
        <f>IFERROR(__xludf.DUMMYFUNCTION("""COMPUTED_VALUE"""),"Deployment Sponsor")</f>
        <v>Deployment Sponsor</v>
      </c>
    </row>
    <row r="85">
      <c r="A85" s="12" t="str">
        <f>IFERROR(__xludf.DUMMYFUNCTION("""COMPUTED_VALUE"""),"a0lVT000005pGuHYAU")</f>
        <v>a0lVT000005pGuHYAU</v>
      </c>
      <c r="B85" s="12" t="str">
        <f>IFERROR(__xludf.DUMMYFUNCTION("""COMPUTED_VALUE"""),"a0rVT000012MXBlYAO")</f>
        <v>a0rVT000012MXBlYAO</v>
      </c>
      <c r="C85" s="12" t="str">
        <f>IFERROR(__xludf.DUMMYFUNCTION("""COMPUTED_VALUE"""),"0034X00003Erbf8QAB")</f>
        <v>0034X00003Erbf8QAB</v>
      </c>
      <c r="D85" s="12" t="str">
        <f>IFERROR(__xludf.DUMMYFUNCTION("""COMPUTED_VALUE"""),"Jig Zhao")</f>
        <v>Jig Zhao</v>
      </c>
      <c r="E85" s="12" t="str">
        <f>IFERROR(__xludf.DUMMYFUNCTION("""COMPUTED_VALUE"""),"jzhao@columbia.com")</f>
        <v>jzhao@columbia.com</v>
      </c>
      <c r="F85" s="12" t="str">
        <f>IFERROR(__xludf.DUMMYFUNCTION("""COMPUTED_VALUE"""),"Project Manager [Customer]")</f>
        <v>Project Manager [Customer]</v>
      </c>
    </row>
    <row r="86">
      <c r="A86" s="12" t="str">
        <f>IFERROR(__xludf.DUMMYFUNCTION("""COMPUTED_VALUE"""),"a0lVT000005pGz8YAE")</f>
        <v>a0lVT000005pGz8YAE</v>
      </c>
      <c r="B86" s="12" t="str">
        <f>IFERROR(__xludf.DUMMYFUNCTION("""COMPUTED_VALUE"""),"a0rVT000012MXBlYAO")</f>
        <v>a0rVT000012MXBlYAO</v>
      </c>
      <c r="C86" s="12" t="str">
        <f>IFERROR(__xludf.DUMMYFUNCTION("""COMPUTED_VALUE"""),"0034X00003DgORuQAN")</f>
        <v>0034X00003DgORuQAN</v>
      </c>
      <c r="D86" s="12" t="str">
        <f>IFERROR(__xludf.DUMMYFUNCTION("""COMPUTED_VALUE"""),"Dominique Short")</f>
        <v>Dominique Short</v>
      </c>
      <c r="E86" s="12" t="str">
        <f>IFERROR(__xludf.DUMMYFUNCTION("""COMPUTED_VALUE"""),"dshort@columbia.com")</f>
        <v>dshort@columbia.com</v>
      </c>
      <c r="F86" s="12" t="str">
        <f>IFERROR(__xludf.DUMMYFUNCTION("""COMPUTED_VALUE"""),"Executive Sponsor")</f>
        <v>Executive Sponsor</v>
      </c>
    </row>
    <row r="87">
      <c r="A87" s="12" t="str">
        <f>IFERROR(__xludf.DUMMYFUNCTION("""COMPUTED_VALUE"""),"a0lVT000005mB37YAE")</f>
        <v>a0lVT000005mB37YAE</v>
      </c>
      <c r="B87" s="12" t="str">
        <f>IFERROR(__xludf.DUMMYFUNCTION("""COMPUTED_VALUE"""),"a0rVT000012PvRKYA0")</f>
        <v>a0rVT000012PvRKYA0</v>
      </c>
      <c r="C87" s="12" t="str">
        <f>IFERROR(__xludf.DUMMYFUNCTION("""COMPUTED_VALUE"""),"003VT00000YemLmYAJ")</f>
        <v>003VT00000YemLmYAJ</v>
      </c>
      <c r="D87" s="12" t="str">
        <f>IFERROR(__xludf.DUMMYFUNCTION("""COMPUTED_VALUE"""),"Uday Harshadrai Vora")</f>
        <v>Uday Harshadrai Vora</v>
      </c>
      <c r="E87" s="12" t="str">
        <f>IFERROR(__xludf.DUMMYFUNCTION("""COMPUTED_VALUE"""),"uday.vora@workday.com")</f>
        <v>uday.vora@workday.com</v>
      </c>
      <c r="F87" s="12" t="str">
        <f>IFERROR(__xludf.DUMMYFUNCTION("""COMPUTED_VALUE"""),"Engagement Manager [Primary]")</f>
        <v>Engagement Manager [Primary]</v>
      </c>
    </row>
    <row r="88">
      <c r="A88" s="12" t="str">
        <f>IFERROR(__xludf.DUMMYFUNCTION("""COMPUTED_VALUE"""),"a0lVT000005wRcrYAE")</f>
        <v>a0lVT000005wRcrYAE</v>
      </c>
      <c r="B88" s="12" t="str">
        <f>IFERROR(__xludf.DUMMYFUNCTION("""COMPUTED_VALUE"""),"a0rVT000012PvRKYA0")</f>
        <v>a0rVT000012PvRKYA0</v>
      </c>
      <c r="C88" s="12" t="str">
        <f>IFERROR(__xludf.DUMMYFUNCTION("""COMPUTED_VALUE"""),"003VT00000m35IsYAI")</f>
        <v>003VT00000m35IsYAI</v>
      </c>
      <c r="D88" s="12" t="str">
        <f>IFERROR(__xludf.DUMMYFUNCTION("""COMPUTED_VALUE"""),"Friedrich Woerlein")</f>
        <v>Friedrich Woerlein</v>
      </c>
      <c r="E88" s="12" t="str">
        <f>IFERROR(__xludf.DUMMYFUNCTION("""COMPUTED_VALUE"""),"friedrich.woerlein@anglicare.org.au")</f>
        <v>friedrich.woerlein@anglicare.org.au</v>
      </c>
      <c r="F88" s="12" t="str">
        <f>IFERROR(__xludf.DUMMYFUNCTION("""COMPUTED_VALUE"""),"Project Manager [Customer]")</f>
        <v>Project Manager [Customer]</v>
      </c>
    </row>
    <row r="89">
      <c r="A89" s="12" t="str">
        <f>IFERROR(__xludf.DUMMYFUNCTION("""COMPUTED_VALUE"""),"a0lVT000005mAobYAE")</f>
        <v>a0lVT000005mAobYAE</v>
      </c>
      <c r="B89" s="12" t="str">
        <f>IFERROR(__xludf.DUMMYFUNCTION("""COMPUTED_VALUE"""),"a0rVT000012QWk9YAG")</f>
        <v>a0rVT000012QWk9YAG</v>
      </c>
      <c r="C89" s="12" t="str">
        <f>IFERROR(__xludf.DUMMYFUNCTION("""COMPUTED_VALUE"""),"0038000002Dt2uuAAB")</f>
        <v>0038000002Dt2uuAAB</v>
      </c>
      <c r="D89" s="12" t="str">
        <f>IFERROR(__xludf.DUMMYFUNCTION("""COMPUTED_VALUE"""),"Pendra Benjafield")</f>
        <v>Pendra Benjafield</v>
      </c>
      <c r="E89" s="12" t="str">
        <f>IFERROR(__xludf.DUMMYFUNCTION("""COMPUTED_VALUE"""),"pendra.benjafield@workday.com")</f>
        <v>pendra.benjafield@workday.com</v>
      </c>
      <c r="F89" s="12" t="str">
        <f>IFERROR(__xludf.DUMMYFUNCTION("""COMPUTED_VALUE"""),"Engagement Manager [Primary]")</f>
        <v>Engagement Manager [Primary]</v>
      </c>
    </row>
    <row r="90">
      <c r="A90" s="12" t="str">
        <f>IFERROR(__xludf.DUMMYFUNCTION("""COMPUTED_VALUE"""),"a0lVT000005rfyFYAQ")</f>
        <v>a0lVT000005rfyFYAQ</v>
      </c>
      <c r="B90" s="12" t="str">
        <f>IFERROR(__xludf.DUMMYFUNCTION("""COMPUTED_VALUE"""),"a0rVT000012QWk9YAG")</f>
        <v>a0rVT000012QWk9YAG</v>
      </c>
      <c r="C90" s="12" t="str">
        <f>IFERROR(__xludf.DUMMYFUNCTION("""COMPUTED_VALUE"""),"0034X00003Bly2NQAR")</f>
        <v>0034X00003Bly2NQAR</v>
      </c>
      <c r="D90" s="12" t="str">
        <f>IFERROR(__xludf.DUMMYFUNCTION("""COMPUTED_VALUE"""),"Shilpika Basu")</f>
        <v>Shilpika Basu</v>
      </c>
      <c r="E90" s="12" t="str">
        <f>IFERROR(__xludf.DUMMYFUNCTION("""COMPUTED_VALUE"""),"shilpika.basu@booking.com")</f>
        <v>shilpika.basu@booking.com</v>
      </c>
      <c r="F90" s="12" t="str">
        <f>IFERROR(__xludf.DUMMYFUNCTION("""COMPUTED_VALUE"""),"Project Manager [Customer]")</f>
        <v>Project Manager [Customer]</v>
      </c>
    </row>
    <row r="91">
      <c r="A91" s="12" t="str">
        <f>IFERROR(__xludf.DUMMYFUNCTION("""COMPUTED_VALUE"""),"a0lVT000005rfyEYAQ")</f>
        <v>a0lVT000005rfyEYAQ</v>
      </c>
      <c r="B91" s="12" t="str">
        <f>IFERROR(__xludf.DUMMYFUNCTION("""COMPUTED_VALUE"""),"a0rVT000012QWk9YAG")</f>
        <v>a0rVT000012QWk9YAG</v>
      </c>
      <c r="C91" s="12" t="str">
        <f>IFERROR(__xludf.DUMMYFUNCTION("""COMPUTED_VALUE"""),"0034X00003J2daYQAR")</f>
        <v>0034X00003J2daYQAR</v>
      </c>
      <c r="D91" s="12" t="str">
        <f>IFERROR(__xludf.DUMMYFUNCTION("""COMPUTED_VALUE"""),"Adam Stoermer")</f>
        <v>Adam Stoermer</v>
      </c>
      <c r="E91" s="12" t="str">
        <f>IFERROR(__xludf.DUMMYFUNCTION("""COMPUTED_VALUE"""),"adam.stoermer@workday.com")</f>
        <v>adam.stoermer@workday.com</v>
      </c>
      <c r="F91" s="12" t="str">
        <f>IFERROR(__xludf.DUMMYFUNCTION("""COMPUTED_VALUE"""),"Deployment Sponsor")</f>
        <v>Deployment Sponsor</v>
      </c>
    </row>
    <row r="92">
      <c r="A92" s="12" t="str">
        <f>IFERROR(__xludf.DUMMYFUNCTION("""COMPUTED_VALUE"""),"a0lVT000005rfyDYAQ")</f>
        <v>a0lVT000005rfyDYAQ</v>
      </c>
      <c r="B92" s="12" t="str">
        <f>IFERROR(__xludf.DUMMYFUNCTION("""COMPUTED_VALUE"""),"a0rVT000012QWk9YAG")</f>
        <v>a0rVT000012QWk9YAG</v>
      </c>
      <c r="C92" s="12" t="str">
        <f>IFERROR(__xludf.DUMMYFUNCTION("""COMPUTED_VALUE"""),"0034X00003NxabEQAR")</f>
        <v>0034X00003NxabEQAR</v>
      </c>
      <c r="D92" s="12" t="str">
        <f>IFERROR(__xludf.DUMMYFUNCTION("""COMPUTED_VALUE"""),"Beatriz Jean Caparros")</f>
        <v>Beatriz Jean Caparros</v>
      </c>
      <c r="E92" s="12" t="str">
        <f>IFERROR(__xludf.DUMMYFUNCTION("""COMPUTED_VALUE"""),"beatriz.jaencaparros@booking.com")</f>
        <v>beatriz.jaencaparros@booking.com</v>
      </c>
      <c r="F92" s="12" t="str">
        <f>IFERROR(__xludf.DUMMYFUNCTION("""COMPUTED_VALUE"""),"Executive Sponsor")</f>
        <v>Executive Sponsor</v>
      </c>
    </row>
    <row r="93">
      <c r="A93" s="12" t="str">
        <f>IFERROR(__xludf.DUMMYFUNCTION("""COMPUTED_VALUE"""),"a0lVT0000060CP7YAM")</f>
        <v>a0lVT0000060CP7YAM</v>
      </c>
      <c r="B93" s="12" t="str">
        <f>IFERROR(__xludf.DUMMYFUNCTION("""COMPUTED_VALUE"""),"a0rVT000012RVEAYA4")</f>
        <v>a0rVT000012RVEAYA4</v>
      </c>
      <c r="C93" s="12" t="str">
        <f>IFERROR(__xludf.DUMMYFUNCTION("""COMPUTED_VALUE"""),"0031B00002rmM1qQAE")</f>
        <v>0031B00002rmM1qQAE</v>
      </c>
      <c r="D93" s="12" t="str">
        <f>IFERROR(__xludf.DUMMYFUNCTION("""COMPUTED_VALUE"""),"Jamie Wright")</f>
        <v>Jamie Wright</v>
      </c>
      <c r="E93" s="12" t="str">
        <f>IFERROR(__xludf.DUMMYFUNCTION("""COMPUTED_VALUE"""),"jamie.wright@ultra-gbs.com")</f>
        <v>jamie.wright@ultra-gbs.com</v>
      </c>
      <c r="F93" s="12" t="str">
        <f>IFERROR(__xludf.DUMMYFUNCTION("""COMPUTED_VALUE"""),"Project Manager [Customer]")</f>
        <v>Project Manager [Customer]</v>
      </c>
    </row>
    <row r="94">
      <c r="A94" s="12" t="str">
        <f>IFERROR(__xludf.DUMMYFUNCTION("""COMPUTED_VALUE"""),"a0lVT000005mEXFYA2")</f>
        <v>a0lVT000005mEXFYA2</v>
      </c>
      <c r="B94" s="12" t="str">
        <f>IFERROR(__xludf.DUMMYFUNCTION("""COMPUTED_VALUE"""),"a0rVT000012RVEAYA4")</f>
        <v>a0rVT000012RVEAYA4</v>
      </c>
      <c r="C94" s="12" t="str">
        <f>IFERROR(__xludf.DUMMYFUNCTION("""COMPUTED_VALUE"""),"0034X000032N0hhQAC")</f>
        <v>0034X000032N0hhQAC</v>
      </c>
      <c r="D94" s="12" t="str">
        <f>IFERROR(__xludf.DUMMYFUNCTION("""COMPUTED_VALUE"""),"JoJo Burstein")</f>
        <v>JoJo Burstein</v>
      </c>
      <c r="E94" s="12" t="str">
        <f>IFERROR(__xludf.DUMMYFUNCTION("""COMPUTED_VALUE"""),"jojo.burstein@workday.com")</f>
        <v>jojo.burstein@workday.com</v>
      </c>
      <c r="F94" s="12" t="str">
        <f>IFERROR(__xludf.DUMMYFUNCTION("""COMPUTED_VALUE"""),"Engagement Manager [Primary]")</f>
        <v>Engagement Manager [Primary]</v>
      </c>
    </row>
    <row r="95">
      <c r="A95" s="12" t="str">
        <f>IFERROR(__xludf.DUMMYFUNCTION("""COMPUTED_VALUE"""),"a0lVT0000065KsIYAU")</f>
        <v>a0lVT0000065KsIYAU</v>
      </c>
      <c r="B95" s="12" t="str">
        <f>IFERROR(__xludf.DUMMYFUNCTION("""COMPUTED_VALUE"""),"a0rVT000012RVEAYA4")</f>
        <v>a0rVT000012RVEAYA4</v>
      </c>
      <c r="C95" s="12" t="str">
        <f>IFERROR(__xludf.DUMMYFUNCTION("""COMPUTED_VALUE"""),"003VT00000H0DGRYA3")</f>
        <v>003VT00000H0DGRYA3</v>
      </c>
      <c r="D95" s="12" t="str">
        <f>IFERROR(__xludf.DUMMYFUNCTION("""COMPUTED_VALUE"""),"Brooke Knight")</f>
        <v>Brooke Knight</v>
      </c>
      <c r="E95" s="12" t="str">
        <f>IFERROR(__xludf.DUMMYFUNCTION("""COMPUTED_VALUE"""),"brooke.knight@workday.com")</f>
        <v>brooke.knight@workday.com</v>
      </c>
      <c r="F95" s="12" t="str">
        <f>IFERROR(__xludf.DUMMYFUNCTION("""COMPUTED_VALUE"""),"Engagement Manager [Primary]")</f>
        <v>Engagement Manager [Primary]</v>
      </c>
    </row>
    <row r="96">
      <c r="A96" s="12" t="str">
        <f>IFERROR(__xludf.DUMMYFUNCTION("""COMPUTED_VALUE"""),"a0lVT0000065KsHYAU")</f>
        <v>a0lVT0000065KsHYAU</v>
      </c>
      <c r="B96" s="12" t="str">
        <f>IFERROR(__xludf.DUMMYFUNCTION("""COMPUTED_VALUE"""),"a0rVT000012RVEAYA4")</f>
        <v>a0rVT000012RVEAYA4</v>
      </c>
      <c r="C96" s="12" t="str">
        <f>IFERROR(__xludf.DUMMYFUNCTION("""COMPUTED_VALUE"""),"0034X00003T1QBAQA3")</f>
        <v>0034X00003T1QBAQA3</v>
      </c>
      <c r="D96" s="12" t="str">
        <f>IFERROR(__xludf.DUMMYFUNCTION("""COMPUTED_VALUE"""),"Kerstin Purvis")</f>
        <v>Kerstin Purvis</v>
      </c>
      <c r="E96" s="12" t="str">
        <f>IFERROR(__xludf.DUMMYFUNCTION("""COMPUTED_VALUE"""),"kerstin.purvis@umaritime.com")</f>
        <v>kerstin.purvis@umaritime.com</v>
      </c>
      <c r="F96" s="12" t="str">
        <f>IFERROR(__xludf.DUMMYFUNCTION("""COMPUTED_VALUE"""),"Project Manager [Customer]")</f>
        <v>Project Manager [Customer]</v>
      </c>
    </row>
    <row r="97">
      <c r="A97" s="12" t="str">
        <f>IFERROR(__xludf.DUMMYFUNCTION("""COMPUTED_VALUE"""),"a0lVT0000061322YAA")</f>
        <v>a0lVT0000061322YAA</v>
      </c>
      <c r="B97" s="12" t="str">
        <f>IFERROR(__xludf.DUMMYFUNCTION("""COMPUTED_VALUE"""),"a0rVT000012RVEAYA4")</f>
        <v>a0rVT000012RVEAYA4</v>
      </c>
      <c r="C97" s="12" t="str">
        <f>IFERROR(__xludf.DUMMYFUNCTION("""COMPUTED_VALUE"""),"0038000001ocoNlAAI")</f>
        <v>0038000001ocoNlAAI</v>
      </c>
      <c r="D97" s="12" t="str">
        <f>IFERROR(__xludf.DUMMYFUNCTION("""COMPUTED_VALUE"""),"Jeffery Brown")</f>
        <v>Jeffery Brown</v>
      </c>
      <c r="E97" s="12" t="str">
        <f>IFERROR(__xludf.DUMMYFUNCTION("""COMPUTED_VALUE"""),"jeffery.brown@workday.com")</f>
        <v>jeffery.brown@workday.com</v>
      </c>
      <c r="F97" s="12" t="str">
        <f>IFERROR(__xludf.DUMMYFUNCTION("""COMPUTED_VALUE"""),"Engagement Manager [Secondary]")</f>
        <v>Engagement Manager [Secondary]</v>
      </c>
    </row>
    <row r="98">
      <c r="A98" s="12" t="str">
        <f>IFERROR(__xludf.DUMMYFUNCTION("""COMPUTED_VALUE"""),"a0lVT0000061321YAA")</f>
        <v>a0lVT0000061321YAA</v>
      </c>
      <c r="B98" s="12" t="str">
        <f>IFERROR(__xludf.DUMMYFUNCTION("""COMPUTED_VALUE"""),"a0rVT000012RVEAYA4")</f>
        <v>a0rVT000012RVEAYA4</v>
      </c>
      <c r="C98" s="12" t="str">
        <f>IFERROR(__xludf.DUMMYFUNCTION("""COMPUTED_VALUE"""),"0034X00003R3kfNQAR")</f>
        <v>0034X00003R3kfNQAR</v>
      </c>
      <c r="D98" s="12" t="str">
        <f>IFERROR(__xludf.DUMMYFUNCTION("""COMPUTED_VALUE"""),"David To")</f>
        <v>David To</v>
      </c>
      <c r="E98" s="12" t="str">
        <f>IFERROR(__xludf.DUMMYFUNCTION("""COMPUTED_VALUE"""),"david.to@workday.com")</f>
        <v>david.to@workday.com</v>
      </c>
      <c r="F98" s="12" t="str">
        <f>IFERROR(__xludf.DUMMYFUNCTION("""COMPUTED_VALUE"""),"Engagement Manager [Primary]")</f>
        <v>Engagement Manager [Primary]</v>
      </c>
    </row>
    <row r="99">
      <c r="A99" s="12" t="str">
        <f>IFERROR(__xludf.DUMMYFUNCTION("""COMPUTED_VALUE"""),"a0lVT0000060E17YAE")</f>
        <v>a0lVT0000060E17YAE</v>
      </c>
      <c r="B99" s="12" t="str">
        <f>IFERROR(__xludf.DUMMYFUNCTION("""COMPUTED_VALUE"""),"a0rVT000012RVEAYA4")</f>
        <v>a0rVT000012RVEAYA4</v>
      </c>
      <c r="C99" s="12" t="str">
        <f>IFERROR(__xludf.DUMMYFUNCTION("""COMPUTED_VALUE"""),"0038000001xowKtAAI")</f>
        <v>0038000001xowKtAAI</v>
      </c>
      <c r="D99" s="12" t="str">
        <f>IFERROR(__xludf.DUMMYFUNCTION("""COMPUTED_VALUE"""),"stayce thomas")</f>
        <v>stayce thomas</v>
      </c>
      <c r="E99" s="12" t="str">
        <f>IFERROR(__xludf.DUMMYFUNCTION("""COMPUTED_VALUE"""),"stayce.thomas@workday.com")</f>
        <v>stayce.thomas@workday.com</v>
      </c>
      <c r="F99" s="12" t="str">
        <f>IFERROR(__xludf.DUMMYFUNCTION("""COMPUTED_VALUE"""),"Deployment Sponsor")</f>
        <v>Deployment Sponsor</v>
      </c>
    </row>
    <row r="100">
      <c r="A100" s="12" t="str">
        <f>IFERROR(__xludf.DUMMYFUNCTION("""COMPUTED_VALUE"""),"a0lVT0000060CP8YAM")</f>
        <v>a0lVT0000060CP8YAM</v>
      </c>
      <c r="B100" s="12" t="str">
        <f>IFERROR(__xludf.DUMMYFUNCTION("""COMPUTED_VALUE"""),"a0rVT000012RVEAYA4")</f>
        <v>a0rVT000012RVEAYA4</v>
      </c>
      <c r="C100" s="12" t="str">
        <f>IFERROR(__xludf.DUMMYFUNCTION("""COMPUTED_VALUE"""),"0034X00003ErgPnQAJ")</f>
        <v>0034X00003ErgPnQAJ</v>
      </c>
      <c r="D100" s="12" t="str">
        <f>IFERROR(__xludf.DUMMYFUNCTION("""COMPUTED_VALUE"""),"Greg Kelble")</f>
        <v>Greg Kelble</v>
      </c>
      <c r="E100" s="12" t="str">
        <f>IFERROR(__xludf.DUMMYFUNCTION("""COMPUTED_VALUE"""),"greg.kelble@ultra-us-gbs.com")</f>
        <v>greg.kelble@ultra-us-gbs.com</v>
      </c>
      <c r="F100" s="12" t="str">
        <f>IFERROR(__xludf.DUMMYFUNCTION("""COMPUTED_VALUE"""),"Executive Sponsor")</f>
        <v>Executive Sponsor</v>
      </c>
    </row>
    <row r="101">
      <c r="A101" s="12" t="str">
        <f>IFERROR(__xludf.DUMMYFUNCTION("""COMPUTED_VALUE"""),"a0lVT000006GNZuYAO")</f>
        <v>a0lVT000006GNZuYAO</v>
      </c>
      <c r="B101" s="12" t="str">
        <f>IFERROR(__xludf.DUMMYFUNCTION("""COMPUTED_VALUE"""),"a0rVT000012SxczYAC")</f>
        <v>a0rVT000012SxczYAC</v>
      </c>
      <c r="C101" s="12" t="str">
        <f>IFERROR(__xludf.DUMMYFUNCTION("""COMPUTED_VALUE"""),"0034X000037BBvqQAG")</f>
        <v>0034X000037BBvqQAG</v>
      </c>
      <c r="D101" s="12" t="str">
        <f>IFERROR(__xludf.DUMMYFUNCTION("""COMPUTED_VALUE"""),"Agathe Laigneau")</f>
        <v>Agathe Laigneau</v>
      </c>
      <c r="E101" s="12" t="str">
        <f>IFERROR(__xludf.DUMMYFUNCTION("""COMPUTED_VALUE"""),"agathe.laigneau@havas.com")</f>
        <v>agathe.laigneau@havas.com</v>
      </c>
      <c r="F101" s="12" t="str">
        <f>IFERROR(__xludf.DUMMYFUNCTION("""COMPUTED_VALUE"""),"Project Manager [Customer]")</f>
        <v>Project Manager [Customer]</v>
      </c>
    </row>
    <row r="102">
      <c r="A102" s="12" t="str">
        <f>IFERROR(__xludf.DUMMYFUNCTION("""COMPUTED_VALUE"""),"a0lVT0000063YcnYAE")</f>
        <v>a0lVT0000063YcnYAE</v>
      </c>
      <c r="B102" s="12" t="str">
        <f>IFERROR(__xludf.DUMMYFUNCTION("""COMPUTED_VALUE"""),"a0rVT000012SxczYAC")</f>
        <v>a0rVT000012SxczYAC</v>
      </c>
      <c r="C102" s="12" t="str">
        <f>IFERROR(__xludf.DUMMYFUNCTION("""COMPUTED_VALUE"""),"0034X00003EtGr8QAF")</f>
        <v>0034X00003EtGr8QAF</v>
      </c>
      <c r="D102" s="12" t="str">
        <f>IFERROR(__xludf.DUMMYFUNCTION("""COMPUTED_VALUE"""),"Aaron Barnes")</f>
        <v>Aaron Barnes</v>
      </c>
      <c r="E102" s="12" t="str">
        <f>IFERROR(__xludf.DUMMYFUNCTION("""COMPUTED_VALUE"""),"aaron.barnes@workday.com")</f>
        <v>aaron.barnes@workday.com</v>
      </c>
      <c r="F102" s="12" t="str">
        <f>IFERROR(__xludf.DUMMYFUNCTION("""COMPUTED_VALUE"""),"Deployment Sponsor")</f>
        <v>Deployment Sponsor</v>
      </c>
    </row>
    <row r="103">
      <c r="A103" s="12" t="str">
        <f>IFERROR(__xludf.DUMMYFUNCTION("""COMPUTED_VALUE"""),"a0lVT000005y5Q9YAI")</f>
        <v>a0lVT000005y5Q9YAI</v>
      </c>
      <c r="B103" s="12" t="str">
        <f>IFERROR(__xludf.DUMMYFUNCTION("""COMPUTED_VALUE"""),"a0rVT000012SxczYAC")</f>
        <v>a0rVT000012SxczYAC</v>
      </c>
      <c r="C103" s="12" t="str">
        <f>IFERROR(__xludf.DUMMYFUNCTION("""COMPUTED_VALUE"""),"003VT00000kOt2UYAS")</f>
        <v>003VT00000kOt2UYAS</v>
      </c>
      <c r="D103" s="12" t="str">
        <f>IFERROR(__xludf.DUMMYFUNCTION("""COMPUTED_VALUE"""),"Tim Le Maire")</f>
        <v>Tim Le Maire</v>
      </c>
      <c r="E103" s="12" t="str">
        <f>IFERROR(__xludf.DUMMYFUNCTION("""COMPUTED_VALUE"""),"tim.lemaire@workday.com")</f>
        <v>tim.lemaire@workday.com</v>
      </c>
      <c r="F103" s="12" t="str">
        <f>IFERROR(__xludf.DUMMYFUNCTION("""COMPUTED_VALUE"""),"Engagement Manager [Primary]")</f>
        <v>Engagement Manager [Primary]</v>
      </c>
    </row>
    <row r="104">
      <c r="A104" s="12" t="str">
        <f>IFERROR(__xludf.DUMMYFUNCTION("""COMPUTED_VALUE"""),"a0lVT000006GNurYAG")</f>
        <v>a0lVT000006GNurYAG</v>
      </c>
      <c r="B104" s="12" t="str">
        <f>IFERROR(__xludf.DUMMYFUNCTION("""COMPUTED_VALUE"""),"a0rVT000012SxczYAC")</f>
        <v>a0rVT000012SxczYAC</v>
      </c>
      <c r="C104" s="12" t="str">
        <f>IFERROR(__xludf.DUMMYFUNCTION("""COMPUTED_VALUE"""),"0031B00002mNiDHQA0")</f>
        <v>0031B00002mNiDHQA0</v>
      </c>
      <c r="D104" s="12" t="str">
        <f>IFERROR(__xludf.DUMMYFUNCTION("""COMPUTED_VALUE"""),"Mohamed Salmi")</f>
        <v>Mohamed Salmi</v>
      </c>
      <c r="E104" s="12" t="str">
        <f>IFERROR(__xludf.DUMMYFUNCTION("""COMPUTED_VALUE"""),"mohamed.salmi@havas.com")</f>
        <v>mohamed.salmi@havas.com</v>
      </c>
      <c r="F104" s="12" t="str">
        <f>IFERROR(__xludf.DUMMYFUNCTION("""COMPUTED_VALUE"""),"Executive Sponsor")</f>
        <v>Executive Sponsor</v>
      </c>
    </row>
    <row r="105">
      <c r="A105" s="12" t="str">
        <f>IFERROR(__xludf.DUMMYFUNCTION("""COMPUTED_VALUE"""),"a0lVT000005mMmXYAU")</f>
        <v>a0lVT000005mMmXYAU</v>
      </c>
      <c r="B105" s="12" t="str">
        <f>IFERROR(__xludf.DUMMYFUNCTION("""COMPUTED_VALUE"""),"a0rVT000012T2MXYA0")</f>
        <v>a0rVT000012T2MXYA0</v>
      </c>
      <c r="C105" s="12" t="str">
        <f>IFERROR(__xludf.DUMMYFUNCTION("""COMPUTED_VALUE"""),"00380000024qaNvAAI")</f>
        <v>00380000024qaNvAAI</v>
      </c>
      <c r="D105" s="12" t="str">
        <f>IFERROR(__xludf.DUMMYFUNCTION("""COMPUTED_VALUE"""),"Doris Pulsifer")</f>
        <v>Doris Pulsifer</v>
      </c>
      <c r="E105" s="12" t="str">
        <f>IFERROR(__xludf.DUMMYFUNCTION("""COMPUTED_VALUE"""),"doris.pulsifer@workday.com")</f>
        <v>doris.pulsifer@workday.com</v>
      </c>
      <c r="F105" s="12" t="str">
        <f>IFERROR(__xludf.DUMMYFUNCTION("""COMPUTED_VALUE"""),"Engagement Manager [Primary]")</f>
        <v>Engagement Manager [Primary]</v>
      </c>
    </row>
    <row r="106">
      <c r="A106" s="12" t="str">
        <f>IFERROR(__xludf.DUMMYFUNCTION("""COMPUTED_VALUE"""),"a0lVT0000062SETYA2")</f>
        <v>a0lVT0000062SETYA2</v>
      </c>
      <c r="B106" s="12" t="str">
        <f>IFERROR(__xludf.DUMMYFUNCTION("""COMPUTED_VALUE"""),"a0rVT000012T6oLYAS")</f>
        <v>a0rVT000012T6oLYAS</v>
      </c>
      <c r="C106" s="12" t="str">
        <f>IFERROR(__xludf.DUMMYFUNCTION("""COMPUTED_VALUE"""),"003VT00000fcEf6YAE")</f>
        <v>003VT00000fcEf6YAE</v>
      </c>
      <c r="D106" s="12" t="str">
        <f>IFERROR(__xludf.DUMMYFUNCTION("""COMPUTED_VALUE"""),"Nichole Maher")</f>
        <v>Nichole Maher</v>
      </c>
      <c r="E106" s="12" t="str">
        <f>IFERROR(__xludf.DUMMYFUNCTION("""COMPUTED_VALUE"""),"nichole.maher@workday.com")</f>
        <v>nichole.maher@workday.com</v>
      </c>
      <c r="F106" s="12" t="str">
        <f>IFERROR(__xludf.DUMMYFUNCTION("""COMPUTED_VALUE"""),"Engagement Manager [Primary]")</f>
        <v>Engagement Manager [Primary]</v>
      </c>
    </row>
    <row r="107">
      <c r="A107" s="12" t="str">
        <f>IFERROR(__xludf.DUMMYFUNCTION("""COMPUTED_VALUE"""),"a0lVT000006E4czYAC")</f>
        <v>a0lVT000006E4czYAC</v>
      </c>
      <c r="B107" s="12" t="str">
        <f>IFERROR(__xludf.DUMMYFUNCTION("""COMPUTED_VALUE"""),"a0rVT000012TqxeYAC")</f>
        <v>a0rVT000012TqxeYAC</v>
      </c>
      <c r="C107" s="12" t="str">
        <f>IFERROR(__xludf.DUMMYFUNCTION("""COMPUTED_VALUE"""),"003VT00000eMCwMYAW")</f>
        <v>003VT00000eMCwMYAW</v>
      </c>
      <c r="D107" s="12" t="str">
        <f>IFERROR(__xludf.DUMMYFUNCTION("""COMPUTED_VALUE"""),"Abi Rose")</f>
        <v>Abi Rose</v>
      </c>
      <c r="E107" s="12" t="str">
        <f>IFERROR(__xludf.DUMMYFUNCTION("""COMPUTED_VALUE"""),"abi.rose@workday.com")</f>
        <v>abi.rose@workday.com</v>
      </c>
      <c r="F107" s="12" t="str">
        <f>IFERROR(__xludf.DUMMYFUNCTION("""COMPUTED_VALUE"""),"Engagement Manager [Primary]")</f>
        <v>Engagement Manager [Primary]</v>
      </c>
    </row>
    <row r="108">
      <c r="A108" s="12" t="str">
        <f>IFERROR(__xludf.DUMMYFUNCTION("""COMPUTED_VALUE"""),"a0lVT000005nmF7YAI")</f>
        <v>a0lVT000005nmF7YAI</v>
      </c>
      <c r="B108" s="12" t="str">
        <f>IFERROR(__xludf.DUMMYFUNCTION("""COMPUTED_VALUE"""),"a0rVT000012TqxeYAC")</f>
        <v>a0rVT000012TqxeYAC</v>
      </c>
      <c r="C108" s="12" t="str">
        <f>IFERROR(__xludf.DUMMYFUNCTION("""COMPUTED_VALUE"""),"0034X000037BufGQAS")</f>
        <v>0034X000037BufGQAS</v>
      </c>
      <c r="D108" s="12" t="str">
        <f>IFERROR(__xludf.DUMMYFUNCTION("""COMPUTED_VALUE"""),"Omar Gonzalez")</f>
        <v>Omar Gonzalez</v>
      </c>
      <c r="E108" s="12" t="str">
        <f>IFERROR(__xludf.DUMMYFUNCTION("""COMPUTED_VALUE"""),"omar.gonzalez@workday.com")</f>
        <v>omar.gonzalez@workday.com</v>
      </c>
      <c r="F108" s="12" t="str">
        <f>IFERROR(__xludf.DUMMYFUNCTION("""COMPUTED_VALUE"""),"Deployment Sponsor")</f>
        <v>Deployment Sponsor</v>
      </c>
    </row>
    <row r="109">
      <c r="A109" s="12" t="str">
        <f>IFERROR(__xludf.DUMMYFUNCTION("""COMPUTED_VALUE"""),"a0lVT000005mQYPYA2")</f>
        <v>a0lVT000005mQYPYA2</v>
      </c>
      <c r="B109" s="12" t="str">
        <f>IFERROR(__xludf.DUMMYFUNCTION("""COMPUTED_VALUE"""),"a0rVT000012TqxeYAC")</f>
        <v>a0rVT000012TqxeYAC</v>
      </c>
      <c r="C109" s="12" t="str">
        <f>IFERROR(__xludf.DUMMYFUNCTION("""COMPUTED_VALUE"""),"0034X00003Et6ABQAZ")</f>
        <v>0034X00003Et6ABQAZ</v>
      </c>
      <c r="D109" s="12" t="str">
        <f>IFERROR(__xludf.DUMMYFUNCTION("""COMPUTED_VALUE"""),"Salvador Ruiz")</f>
        <v>Salvador Ruiz</v>
      </c>
      <c r="E109" s="12" t="str">
        <f>IFERROR(__xludf.DUMMYFUNCTION("""COMPUTED_VALUE"""),"salvador.ruiz@workday.com")</f>
        <v>salvador.ruiz@workday.com</v>
      </c>
      <c r="F109" s="12" t="str">
        <f>IFERROR(__xludf.DUMMYFUNCTION("""COMPUTED_VALUE"""),"Engagement Manager [Primary]")</f>
        <v>Engagement Manager [Primary]</v>
      </c>
    </row>
    <row r="110">
      <c r="A110" s="12" t="str">
        <f>IFERROR(__xludf.DUMMYFUNCTION("""COMPUTED_VALUE"""),"a0lVT000005mQlJYAU")</f>
        <v>a0lVT000005mQlJYAU</v>
      </c>
      <c r="B110" s="12" t="str">
        <f>IFERROR(__xludf.DUMMYFUNCTION("""COMPUTED_VALUE"""),"a0rVT000012Tz1gYAC")</f>
        <v>a0rVT000012Tz1gYAC</v>
      </c>
      <c r="C110" s="12" t="str">
        <f>IFERROR(__xludf.DUMMYFUNCTION("""COMPUTED_VALUE"""),"00380000024qaNvAAI")</f>
        <v>00380000024qaNvAAI</v>
      </c>
      <c r="D110" s="12" t="str">
        <f>IFERROR(__xludf.DUMMYFUNCTION("""COMPUTED_VALUE"""),"Doris Pulsifer")</f>
        <v>Doris Pulsifer</v>
      </c>
      <c r="E110" s="12" t="str">
        <f>IFERROR(__xludf.DUMMYFUNCTION("""COMPUTED_VALUE"""),"doris.pulsifer@workday.com")</f>
        <v>doris.pulsifer@workday.com</v>
      </c>
      <c r="F110" s="12" t="str">
        <f>IFERROR(__xludf.DUMMYFUNCTION("""COMPUTED_VALUE"""),"Engagement Manager [Primary]")</f>
        <v>Engagement Manager [Primary]</v>
      </c>
    </row>
    <row r="111">
      <c r="A111" s="12" t="str">
        <f>IFERROR(__xludf.DUMMYFUNCTION("""COMPUTED_VALUE"""),"a0lVT000005mZevYAE")</f>
        <v>a0lVT000005mZevYAE</v>
      </c>
      <c r="B111" s="12" t="str">
        <f>IFERROR(__xludf.DUMMYFUNCTION("""COMPUTED_VALUE"""),"a0rVT000012Tzo2YAC")</f>
        <v>a0rVT000012Tzo2YAC</v>
      </c>
      <c r="C111" s="12" t="str">
        <f>IFERROR(__xludf.DUMMYFUNCTION("""COMPUTED_VALUE"""),"003VT00000fc4sfYAA")</f>
        <v>003VT00000fc4sfYAA</v>
      </c>
      <c r="D111" s="12" t="str">
        <f>IFERROR(__xludf.DUMMYFUNCTION("""COMPUTED_VALUE"""),"Katie Nehrenz")</f>
        <v>Katie Nehrenz</v>
      </c>
      <c r="E111" s="12" t="str">
        <f>IFERROR(__xludf.DUMMYFUNCTION("""COMPUTED_VALUE"""),"katie.nehrenz@workday.com")</f>
        <v>katie.nehrenz@workday.com</v>
      </c>
      <c r="F111" s="12" t="str">
        <f>IFERROR(__xludf.DUMMYFUNCTION("""COMPUTED_VALUE"""),"Engagement Manager [Secondary]")</f>
        <v>Engagement Manager [Secondary]</v>
      </c>
    </row>
    <row r="112">
      <c r="A112" s="12" t="str">
        <f>IFERROR(__xludf.DUMMYFUNCTION("""COMPUTED_VALUE"""),"a0lVT000006GIyPYAW")</f>
        <v>a0lVT000006GIyPYAW</v>
      </c>
      <c r="B112" s="12" t="str">
        <f>IFERROR(__xludf.DUMMYFUNCTION("""COMPUTED_VALUE"""),"a0rVT000012Tzo2YAC")</f>
        <v>a0rVT000012Tzo2YAC</v>
      </c>
      <c r="C112" s="12" t="str">
        <f>IFERROR(__xludf.DUMMYFUNCTION("""COMPUTED_VALUE"""),"0038000001i7N4rAAE")</f>
        <v>0038000001i7N4rAAE</v>
      </c>
      <c r="D112" s="12" t="str">
        <f>IFERROR(__xludf.DUMMYFUNCTION("""COMPUTED_VALUE"""),"Val Tsvetkov")</f>
        <v>Val Tsvetkov</v>
      </c>
      <c r="E112" s="12" t="str">
        <f>IFERROR(__xludf.DUMMYFUNCTION("""COMPUTED_VALUE"""),"val.tsvetkov@workday.com")</f>
        <v>val.tsvetkov@workday.com</v>
      </c>
      <c r="F112" s="12" t="str">
        <f>IFERROR(__xludf.DUMMYFUNCTION("""COMPUTED_VALUE"""),"Deployment Sponsor")</f>
        <v>Deployment Sponsor</v>
      </c>
    </row>
    <row r="113">
      <c r="A113" s="12" t="str">
        <f>IFERROR(__xludf.DUMMYFUNCTION("""COMPUTED_VALUE"""),"a0lVT000006GIwoYAG")</f>
        <v>a0lVT000006GIwoYAG</v>
      </c>
      <c r="B113" s="12" t="str">
        <f>IFERROR(__xludf.DUMMYFUNCTION("""COMPUTED_VALUE"""),"a0rVT000012Tzo2YAC")</f>
        <v>a0rVT000012Tzo2YAC</v>
      </c>
      <c r="C113" s="12" t="str">
        <f>IFERROR(__xludf.DUMMYFUNCTION("""COMPUTED_VALUE"""),"0031B00002sjbcwQAA")</f>
        <v>0031B00002sjbcwQAA</v>
      </c>
      <c r="D113" s="12" t="str">
        <f>IFERROR(__xludf.DUMMYFUNCTION("""COMPUTED_VALUE"""),"Jose Ruvalcaba")</f>
        <v>Jose Ruvalcaba</v>
      </c>
      <c r="E113" s="12" t="str">
        <f>IFERROR(__xludf.DUMMYFUNCTION("""COMPUTED_VALUE"""),"jruvalcaba@bfusa.com")</f>
        <v>jruvalcaba@bfusa.com</v>
      </c>
      <c r="F113" s="12" t="str">
        <f>IFERROR(__xludf.DUMMYFUNCTION("""COMPUTED_VALUE"""),"Executive Sponsor")</f>
        <v>Executive Sponsor</v>
      </c>
    </row>
    <row r="114">
      <c r="A114" s="12" t="str">
        <f>IFERROR(__xludf.DUMMYFUNCTION("""COMPUTED_VALUE"""),"a0lVT000006GIwnYAG")</f>
        <v>a0lVT000006GIwnYAG</v>
      </c>
      <c r="B114" s="12" t="str">
        <f>IFERROR(__xludf.DUMMYFUNCTION("""COMPUTED_VALUE"""),"a0rVT000012Tzo2YAC")</f>
        <v>a0rVT000012Tzo2YAC</v>
      </c>
      <c r="C114" s="12" t="str">
        <f>IFERROR(__xludf.DUMMYFUNCTION("""COMPUTED_VALUE"""),"0031B00002sjbcwQAA")</f>
        <v>0031B00002sjbcwQAA</v>
      </c>
      <c r="D114" s="12" t="str">
        <f>IFERROR(__xludf.DUMMYFUNCTION("""COMPUTED_VALUE"""),"Jose Ruvalcaba")</f>
        <v>Jose Ruvalcaba</v>
      </c>
      <c r="E114" s="12" t="str">
        <f>IFERROR(__xludf.DUMMYFUNCTION("""COMPUTED_VALUE"""),"jruvalcaba@bfusa.com")</f>
        <v>jruvalcaba@bfusa.com</v>
      </c>
      <c r="F114" s="12" t="str">
        <f>IFERROR(__xludf.DUMMYFUNCTION("""COMPUTED_VALUE"""),"Project Manager [Customer]")</f>
        <v>Project Manager [Customer]</v>
      </c>
    </row>
    <row r="115">
      <c r="A115" s="12" t="str">
        <f>IFERROR(__xludf.DUMMYFUNCTION("""COMPUTED_VALUE"""),"a0lVT000005wD6rYAE")</f>
        <v>a0lVT000005wD6rYAE</v>
      </c>
      <c r="B115" s="12" t="str">
        <f>IFERROR(__xludf.DUMMYFUNCTION("""COMPUTED_VALUE"""),"a0rVT000012Tzo2YAC")</f>
        <v>a0rVT000012Tzo2YAC</v>
      </c>
      <c r="C115" s="12" t="str">
        <f>IFERROR(__xludf.DUMMYFUNCTION("""COMPUTED_VALUE"""),"0034X00003T11MqQAJ")</f>
        <v>0034X00003T11MqQAJ</v>
      </c>
      <c r="D115" s="12" t="str">
        <f>IFERROR(__xludf.DUMMYFUNCTION("""COMPUTED_VALUE"""),"Andres Baudrit")</f>
        <v>Andres Baudrit</v>
      </c>
      <c r="E115" s="12" t="str">
        <f>IFERROR(__xludf.DUMMYFUNCTION("""COMPUTED_VALUE"""),"andres.baudrit@workday.com")</f>
        <v>andres.baudrit@workday.com</v>
      </c>
      <c r="F115" s="12" t="str">
        <f>IFERROR(__xludf.DUMMYFUNCTION("""COMPUTED_VALUE"""),"Engagement Manager [Primary]")</f>
        <v>Engagement Manager [Primary]</v>
      </c>
    </row>
    <row r="116">
      <c r="A116" s="12" t="str">
        <f>IFERROR(__xludf.DUMMYFUNCTION("""COMPUTED_VALUE"""),"a0lVT000005mRKnYAM")</f>
        <v>a0lVT000005mRKnYAM</v>
      </c>
      <c r="B116" s="12" t="str">
        <f>IFERROR(__xludf.DUMMYFUNCTION("""COMPUTED_VALUE"""),"a0rVT000012U1I0YAK")</f>
        <v>a0rVT000012U1I0YAK</v>
      </c>
      <c r="C116" s="12" t="str">
        <f>IFERROR(__xludf.DUMMYFUNCTION("""COMPUTED_VALUE"""),"00380000024qaNvAAI")</f>
        <v>00380000024qaNvAAI</v>
      </c>
      <c r="D116" s="12" t="str">
        <f>IFERROR(__xludf.DUMMYFUNCTION("""COMPUTED_VALUE"""),"Doris Pulsifer")</f>
        <v>Doris Pulsifer</v>
      </c>
      <c r="E116" s="12" t="str">
        <f>IFERROR(__xludf.DUMMYFUNCTION("""COMPUTED_VALUE"""),"doris.pulsifer@workday.com")</f>
        <v>doris.pulsifer@workday.com</v>
      </c>
      <c r="F116" s="12" t="str">
        <f>IFERROR(__xludf.DUMMYFUNCTION("""COMPUTED_VALUE"""),"Engagement Manager [Primary]")</f>
        <v>Engagement Manager [Primary]</v>
      </c>
    </row>
    <row r="117">
      <c r="A117" s="12" t="str">
        <f>IFERROR(__xludf.DUMMYFUNCTION("""COMPUTED_VALUE"""),"a0lVT000006DTvBYAW")</f>
        <v>a0lVT000006DTvBYAW</v>
      </c>
      <c r="B117" s="12" t="str">
        <f>IFERROR(__xludf.DUMMYFUNCTION("""COMPUTED_VALUE"""),"a0rVT000012U1I0YAK")</f>
        <v>a0rVT000012U1I0YAK</v>
      </c>
      <c r="C117" s="12" t="str">
        <f>IFERROR(__xludf.DUMMYFUNCTION("""COMPUTED_VALUE"""),"0031B00002qT43zQAC")</f>
        <v>0031B00002qT43zQAC</v>
      </c>
      <c r="D117" s="12" t="str">
        <f>IFERROR(__xludf.DUMMYFUNCTION("""COMPUTED_VALUE"""),"Justin Darrow")</f>
        <v>Justin Darrow</v>
      </c>
      <c r="E117" s="12" t="str">
        <f>IFERROR(__xludf.DUMMYFUNCTION("""COMPUTED_VALUE"""),"justin.darrow@workday.com")</f>
        <v>justin.darrow@workday.com</v>
      </c>
      <c r="F117" s="12" t="str">
        <f>IFERROR(__xludf.DUMMYFUNCTION("""COMPUTED_VALUE"""),"Engagement Manager [Primary]")</f>
        <v>Engagement Manager [Primary]</v>
      </c>
    </row>
    <row r="118">
      <c r="A118" s="12" t="str">
        <f>IFERROR(__xludf.DUMMYFUNCTION("""COMPUTED_VALUE"""),"a0lVT000006JBYzYAO")</f>
        <v>a0lVT000006JBYzYAO</v>
      </c>
      <c r="B118" s="12" t="str">
        <f>IFERROR(__xludf.DUMMYFUNCTION("""COMPUTED_VALUE"""),"a0rVT000012U1I0YAK")</f>
        <v>a0rVT000012U1I0YAK</v>
      </c>
      <c r="C118" s="12" t="str">
        <f>IFERROR(__xludf.DUMMYFUNCTION("""COMPUTED_VALUE"""),"0038000001jUWSoAAO")</f>
        <v>0038000001jUWSoAAO</v>
      </c>
      <c r="D118" s="12" t="str">
        <f>IFERROR(__xludf.DUMMYFUNCTION("""COMPUTED_VALUE"""),"Matt Lisle")</f>
        <v>Matt Lisle</v>
      </c>
      <c r="E118" s="12" t="str">
        <f>IFERROR(__xludf.DUMMYFUNCTION("""COMPUTED_VALUE"""),"matt.lisle@workday.com")</f>
        <v>matt.lisle@workday.com</v>
      </c>
      <c r="F118" s="12" t="str">
        <f>IFERROR(__xludf.DUMMYFUNCTION("""COMPUTED_VALUE"""),"Deployment Sponsor")</f>
        <v>Deployment Sponsor</v>
      </c>
    </row>
    <row r="119">
      <c r="A119" s="12" t="str">
        <f>IFERROR(__xludf.DUMMYFUNCTION("""COMPUTED_VALUE"""),"a0lVT000005mRcXYAU")</f>
        <v>a0lVT000005mRcXYAU</v>
      </c>
      <c r="B119" s="12" t="str">
        <f>IFERROR(__xludf.DUMMYFUNCTION("""COMPUTED_VALUE"""),"a0rVT000012U8Q2YAK")</f>
        <v>a0rVT000012U8Q2YAK</v>
      </c>
      <c r="C119" s="12" t="str">
        <f>IFERROR(__xludf.DUMMYFUNCTION("""COMPUTED_VALUE"""),"00380000024qaNvAAI")</f>
        <v>00380000024qaNvAAI</v>
      </c>
      <c r="D119" s="12" t="str">
        <f>IFERROR(__xludf.DUMMYFUNCTION("""COMPUTED_VALUE"""),"Doris Pulsifer")</f>
        <v>Doris Pulsifer</v>
      </c>
      <c r="E119" s="12" t="str">
        <f>IFERROR(__xludf.DUMMYFUNCTION("""COMPUTED_VALUE"""),"doris.pulsifer@workday.com")</f>
        <v>doris.pulsifer@workday.com</v>
      </c>
      <c r="F119" s="12" t="str">
        <f>IFERROR(__xludf.DUMMYFUNCTION("""COMPUTED_VALUE"""),"Engagement Manager [Primary]")</f>
        <v>Engagement Manager [Primary]</v>
      </c>
    </row>
    <row r="120">
      <c r="A120" s="12" t="str">
        <f>IFERROR(__xludf.DUMMYFUNCTION("""COMPUTED_VALUE"""),"a0lVT0000067BL3YAM")</f>
        <v>a0lVT0000067BL3YAM</v>
      </c>
      <c r="B120" s="12" t="str">
        <f>IFERROR(__xludf.DUMMYFUNCTION("""COMPUTED_VALUE"""),"a0rVT000012U8Q2YAK")</f>
        <v>a0rVT000012U8Q2YAK</v>
      </c>
      <c r="C120" s="12" t="str">
        <f>IFERROR(__xludf.DUMMYFUNCTION("""COMPUTED_VALUE"""),"0034X00003R3zcTQAR")</f>
        <v>0034X00003R3zcTQAR</v>
      </c>
      <c r="D120" s="12" t="str">
        <f>IFERROR(__xludf.DUMMYFUNCTION("""COMPUTED_VALUE"""),"Piotr Ksiadz")</f>
        <v>Piotr Ksiadz</v>
      </c>
      <c r="E120" s="12" t="str">
        <f>IFERROR(__xludf.DUMMYFUNCTION("""COMPUTED_VALUE"""),"piotr.ksiadz@workday.com")</f>
        <v>piotr.ksiadz@workday.com</v>
      </c>
      <c r="F120" s="12" t="str">
        <f>IFERROR(__xludf.DUMMYFUNCTION("""COMPUTED_VALUE"""),"Engagement Manager [Primary]")</f>
        <v>Engagement Manager [Primary]</v>
      </c>
    </row>
    <row r="121">
      <c r="A121" s="12" t="str">
        <f>IFERROR(__xludf.DUMMYFUNCTION("""COMPUTED_VALUE"""),"a0lVT000006IborYAC")</f>
        <v>a0lVT000006IborYAC</v>
      </c>
      <c r="B121" s="12" t="str">
        <f>IFERROR(__xludf.DUMMYFUNCTION("""COMPUTED_VALUE"""),"a0rVT000012U8Q2YAK")</f>
        <v>a0rVT000012U8Q2YAK</v>
      </c>
      <c r="C121" s="12" t="str">
        <f>IFERROR(__xludf.DUMMYFUNCTION("""COMPUTED_VALUE"""),"0034X00003PASTLQA5")</f>
        <v>0034X00003PASTLQA5</v>
      </c>
      <c r="D121" s="12" t="str">
        <f>IFERROR(__xludf.DUMMYFUNCTION("""COMPUTED_VALUE"""),"Matt Lewis")</f>
        <v>Matt Lewis</v>
      </c>
      <c r="E121" s="12" t="str">
        <f>IFERROR(__xludf.DUMMYFUNCTION("""COMPUTED_VALUE"""),"mlewis6@anglianwater.co.uk")</f>
        <v>mlewis6@anglianwater.co.uk</v>
      </c>
      <c r="F121" s="12" t="str">
        <f>IFERROR(__xludf.DUMMYFUNCTION("""COMPUTED_VALUE"""),"Executive Sponsor")</f>
        <v>Executive Sponsor</v>
      </c>
    </row>
    <row r="122">
      <c r="A122" s="12" t="str">
        <f>IFERROR(__xludf.DUMMYFUNCTION("""COMPUTED_VALUE"""),"a0lVT000006IbosYAC")</f>
        <v>a0lVT000006IbosYAC</v>
      </c>
      <c r="B122" s="12" t="str">
        <f>IFERROR(__xludf.DUMMYFUNCTION("""COMPUTED_VALUE"""),"a0rVT000012U8Q2YAK")</f>
        <v>a0rVT000012U8Q2YAK</v>
      </c>
      <c r="C122" s="12" t="str">
        <f>IFERROR(__xludf.DUMMYFUNCTION("""COMPUTED_VALUE"""),"0031B00002q2qM2QAI")</f>
        <v>0031B00002q2qM2QAI</v>
      </c>
      <c r="D122" s="12" t="str">
        <f>IFERROR(__xludf.DUMMYFUNCTION("""COMPUTED_VALUE"""),"Alison Bradley-Cooper")</f>
        <v>Alison Bradley-Cooper</v>
      </c>
      <c r="E122" s="12" t="str">
        <f>IFERROR(__xludf.DUMMYFUNCTION("""COMPUTED_VALUE"""),"abradleyco@anglianwater.co.uk")</f>
        <v>abradleyco@anglianwater.co.uk</v>
      </c>
      <c r="F122" s="12" t="str">
        <f>IFERROR(__xludf.DUMMYFUNCTION("""COMPUTED_VALUE"""),"Project Manager [Customer]")</f>
        <v>Project Manager [Customer]</v>
      </c>
    </row>
    <row r="123">
      <c r="A123" s="12" t="str">
        <f>IFERROR(__xludf.DUMMYFUNCTION("""COMPUTED_VALUE"""),"a0lVT000005mQyDYAU")</f>
        <v>a0lVT000005mQyDYAU</v>
      </c>
      <c r="B123" s="12" t="str">
        <f>IFERROR(__xludf.DUMMYFUNCTION("""COMPUTED_VALUE"""),"a0rVT000012U8o5YAC")</f>
        <v>a0rVT000012U8o5YAC</v>
      </c>
      <c r="C123" s="12" t="str">
        <f>IFERROR(__xludf.DUMMYFUNCTION("""COMPUTED_VALUE"""),"0034X00003T2sCmQAJ")</f>
        <v>0034X00003T2sCmQAJ</v>
      </c>
      <c r="D123" s="12" t="str">
        <f>IFERROR(__xludf.DUMMYFUNCTION("""COMPUTED_VALUE"""),"Felix Cordero")</f>
        <v>Felix Cordero</v>
      </c>
      <c r="E123" s="12" t="str">
        <f>IFERROR(__xludf.DUMMYFUNCTION("""COMPUTED_VALUE"""),"felix.cordero@workday.com")</f>
        <v>felix.cordero@workday.com</v>
      </c>
      <c r="F123" s="12" t="str">
        <f>IFERROR(__xludf.DUMMYFUNCTION("""COMPUTED_VALUE"""),"Engagement Manager [Primary]")</f>
        <v>Engagement Manager [Primary]</v>
      </c>
    </row>
    <row r="124">
      <c r="A124" s="12" t="str">
        <f>IFERROR(__xludf.DUMMYFUNCTION("""COMPUTED_VALUE"""),"a0lVT000005pGRFYA2")</f>
        <v>a0lVT000005pGRFYA2</v>
      </c>
      <c r="B124" s="12" t="str">
        <f>IFERROR(__xludf.DUMMYFUNCTION("""COMPUTED_VALUE"""),"a0rVT000012U8o5YAC")</f>
        <v>a0rVT000012U8o5YAC</v>
      </c>
      <c r="C124" s="12" t="str">
        <f>IFERROR(__xludf.DUMMYFUNCTION("""COMPUTED_VALUE"""),"0034X000038fn4vQAA")</f>
        <v>0034X000038fn4vQAA</v>
      </c>
      <c r="D124" s="12" t="str">
        <f>IFERROR(__xludf.DUMMYFUNCTION("""COMPUTED_VALUE"""),"Mireysa Gonzalez")</f>
        <v>Mireysa Gonzalez</v>
      </c>
      <c r="E124" s="12" t="str">
        <f>IFERROR(__xludf.DUMMYFUNCTION("""COMPUTED_VALUE"""),"mireysa.angelica@workday.com")</f>
        <v>mireysa.angelica@workday.com</v>
      </c>
      <c r="F124" s="12" t="str">
        <f>IFERROR(__xludf.DUMMYFUNCTION("""COMPUTED_VALUE"""),"Engagement Manager [Primary]")</f>
        <v>Engagement Manager [Primary]</v>
      </c>
    </row>
    <row r="125">
      <c r="A125" s="12" t="str">
        <f>IFERROR(__xludf.DUMMYFUNCTION("""COMPUTED_VALUE"""),"a0lVT000005mRnpYAE")</f>
        <v>a0lVT000005mRnpYAE</v>
      </c>
      <c r="B125" s="12" t="str">
        <f>IFERROR(__xludf.DUMMYFUNCTION("""COMPUTED_VALUE"""),"a0rVT000012UA0OYAW")</f>
        <v>a0rVT000012UA0OYAW</v>
      </c>
      <c r="C125" s="12" t="str">
        <f>IFERROR(__xludf.DUMMYFUNCTION("""COMPUTED_VALUE"""),"00380000024qaNvAAI")</f>
        <v>00380000024qaNvAAI</v>
      </c>
      <c r="D125" s="12" t="str">
        <f>IFERROR(__xludf.DUMMYFUNCTION("""COMPUTED_VALUE"""),"Doris Pulsifer")</f>
        <v>Doris Pulsifer</v>
      </c>
      <c r="E125" s="12" t="str">
        <f>IFERROR(__xludf.DUMMYFUNCTION("""COMPUTED_VALUE"""),"doris.pulsifer@workday.com")</f>
        <v>doris.pulsifer@workday.com</v>
      </c>
      <c r="F125" s="12" t="str">
        <f>IFERROR(__xludf.DUMMYFUNCTION("""COMPUTED_VALUE"""),"Engagement Manager [Primary]")</f>
        <v>Engagement Manager [Primary]</v>
      </c>
    </row>
    <row r="126">
      <c r="A126" s="12" t="str">
        <f>IFERROR(__xludf.DUMMYFUNCTION("""COMPUTED_VALUE"""),"a0lVT0000060M6jYAE")</f>
        <v>a0lVT0000060M6jYAE</v>
      </c>
      <c r="B126" s="12" t="str">
        <f>IFERROR(__xludf.DUMMYFUNCTION("""COMPUTED_VALUE"""),"a0rVT000012UCWjYAO")</f>
        <v>a0rVT000012UCWjYAO</v>
      </c>
      <c r="C126" s="12" t="str">
        <f>IFERROR(__xludf.DUMMYFUNCTION("""COMPUTED_VALUE"""),"003VT00000fc4sfYAA")</f>
        <v>003VT00000fc4sfYAA</v>
      </c>
      <c r="D126" s="12" t="str">
        <f>IFERROR(__xludf.DUMMYFUNCTION("""COMPUTED_VALUE"""),"Katie Nehrenz")</f>
        <v>Katie Nehrenz</v>
      </c>
      <c r="E126" s="12" t="str">
        <f>IFERROR(__xludf.DUMMYFUNCTION("""COMPUTED_VALUE"""),"katie.nehrenz@workday.com")</f>
        <v>katie.nehrenz@workday.com</v>
      </c>
      <c r="F126" s="12" t="str">
        <f>IFERROR(__xludf.DUMMYFUNCTION("""COMPUTED_VALUE"""),"Engagement Manager [Primary]")</f>
        <v>Engagement Manager [Primary]</v>
      </c>
    </row>
    <row r="127">
      <c r="A127" s="12" t="str">
        <f>IFERROR(__xludf.DUMMYFUNCTION("""COMPUTED_VALUE"""),"a0lVT000005mRxVYAU")</f>
        <v>a0lVT000005mRxVYAU</v>
      </c>
      <c r="B127" s="12" t="str">
        <f>IFERROR(__xludf.DUMMYFUNCTION("""COMPUTED_VALUE"""),"a0rVT000012UDZRYA4")</f>
        <v>a0rVT000012UDZRYA4</v>
      </c>
      <c r="C127" s="12" t="str">
        <f>IFERROR(__xludf.DUMMYFUNCTION("""COMPUTED_VALUE"""),"00380000024qaNvAAI")</f>
        <v>00380000024qaNvAAI</v>
      </c>
      <c r="D127" s="12" t="str">
        <f>IFERROR(__xludf.DUMMYFUNCTION("""COMPUTED_VALUE"""),"Doris Pulsifer")</f>
        <v>Doris Pulsifer</v>
      </c>
      <c r="E127" s="12" t="str">
        <f>IFERROR(__xludf.DUMMYFUNCTION("""COMPUTED_VALUE"""),"doris.pulsifer@workday.com")</f>
        <v>doris.pulsifer@workday.com</v>
      </c>
      <c r="F127" s="12" t="str">
        <f>IFERROR(__xludf.DUMMYFUNCTION("""COMPUTED_VALUE"""),"Engagement Manager [Primary]")</f>
        <v>Engagement Manager [Primary]</v>
      </c>
    </row>
    <row r="128">
      <c r="A128" s="12" t="str">
        <f>IFERROR(__xludf.DUMMYFUNCTION("""COMPUTED_VALUE"""),"a0lVT000005mRZJYA2")</f>
        <v>a0lVT000005mRZJYA2</v>
      </c>
      <c r="B128" s="12" t="str">
        <f>IFERROR(__xludf.DUMMYFUNCTION("""COMPUTED_VALUE"""),"a0rVT000012UFMXYA4")</f>
        <v>a0rVT000012UFMXYA4</v>
      </c>
      <c r="C128" s="12" t="str">
        <f>IFERROR(__xludf.DUMMYFUNCTION("""COMPUTED_VALUE"""),"00380000024qaNvAAI")</f>
        <v>00380000024qaNvAAI</v>
      </c>
      <c r="D128" s="12" t="str">
        <f>IFERROR(__xludf.DUMMYFUNCTION("""COMPUTED_VALUE"""),"Doris Pulsifer")</f>
        <v>Doris Pulsifer</v>
      </c>
      <c r="E128" s="12" t="str">
        <f>IFERROR(__xludf.DUMMYFUNCTION("""COMPUTED_VALUE"""),"doris.pulsifer@workday.com")</f>
        <v>doris.pulsifer@workday.com</v>
      </c>
      <c r="F128" s="12" t="str">
        <f>IFERROR(__xludf.DUMMYFUNCTION("""COMPUTED_VALUE"""),"Engagement Manager [Primary]")</f>
        <v>Engagement Manager [Primary]</v>
      </c>
    </row>
    <row r="129">
      <c r="A129" s="12" t="str">
        <f>IFERROR(__xludf.DUMMYFUNCTION("""COMPUTED_VALUE"""),"a0lVT000005maj3YAA")</f>
        <v>a0lVT000005maj3YAA</v>
      </c>
      <c r="B129" s="12" t="str">
        <f>IFERROR(__xludf.DUMMYFUNCTION("""COMPUTED_VALUE"""),"a0rVT000012UJ8PYAW")</f>
        <v>a0rVT000012UJ8PYAW</v>
      </c>
      <c r="C129" s="12" t="str">
        <f>IFERROR(__xludf.DUMMYFUNCTION("""COMPUTED_VALUE"""),"003VT00000YemLmYAJ")</f>
        <v>003VT00000YemLmYAJ</v>
      </c>
      <c r="D129" s="12" t="str">
        <f>IFERROR(__xludf.DUMMYFUNCTION("""COMPUTED_VALUE"""),"Uday Harshadrai Vora")</f>
        <v>Uday Harshadrai Vora</v>
      </c>
      <c r="E129" s="12" t="str">
        <f>IFERROR(__xludf.DUMMYFUNCTION("""COMPUTED_VALUE"""),"uday.vora@workday.com")</f>
        <v>uday.vora@workday.com</v>
      </c>
      <c r="F129" s="12" t="str">
        <f>IFERROR(__xludf.DUMMYFUNCTION("""COMPUTED_VALUE"""),"Engagement Manager [Primary]")</f>
        <v>Engagement Manager [Primary]</v>
      </c>
    </row>
    <row r="130">
      <c r="A130" s="12" t="str">
        <f>IFERROR(__xludf.DUMMYFUNCTION("""COMPUTED_VALUE"""),"a0lVT000005mRr3YAE")</f>
        <v>a0lVT000005mRr3YAE</v>
      </c>
      <c r="B130" s="12" t="str">
        <f>IFERROR(__xludf.DUMMYFUNCTION("""COMPUTED_VALUE"""),"a0rVT000012UK2rYAG")</f>
        <v>a0rVT000012UK2rYAG</v>
      </c>
      <c r="C130" s="12" t="str">
        <f>IFERROR(__xludf.DUMMYFUNCTION("""COMPUTED_VALUE"""),"00380000024qaNvAAI")</f>
        <v>00380000024qaNvAAI</v>
      </c>
      <c r="D130" s="12" t="str">
        <f>IFERROR(__xludf.DUMMYFUNCTION("""COMPUTED_VALUE"""),"Doris Pulsifer")</f>
        <v>Doris Pulsifer</v>
      </c>
      <c r="E130" s="12" t="str">
        <f>IFERROR(__xludf.DUMMYFUNCTION("""COMPUTED_VALUE"""),"doris.pulsifer@workday.com")</f>
        <v>doris.pulsifer@workday.com</v>
      </c>
      <c r="F130" s="12" t="str">
        <f>IFERROR(__xludf.DUMMYFUNCTION("""COMPUTED_VALUE"""),"Engagement Manager [Primary]")</f>
        <v>Engagement Manager [Primary]</v>
      </c>
    </row>
    <row r="131">
      <c r="A131" s="12" t="str">
        <f>IFERROR(__xludf.DUMMYFUNCTION("""COMPUTED_VALUE"""),"a0lVT000005ws6oYAA")</f>
        <v>a0lVT000005ws6oYAA</v>
      </c>
      <c r="B131" s="12" t="str">
        <f>IFERROR(__xludf.DUMMYFUNCTION("""COMPUTED_VALUE"""),"a0rVT000012UK2rYAG")</f>
        <v>a0rVT000012UK2rYAG</v>
      </c>
      <c r="C131" s="12" t="str">
        <f>IFERROR(__xludf.DUMMYFUNCTION("""COMPUTED_VALUE"""),"003VT00000H0DGRYA3")</f>
        <v>003VT00000H0DGRYA3</v>
      </c>
      <c r="D131" s="12" t="str">
        <f>IFERROR(__xludf.DUMMYFUNCTION("""COMPUTED_VALUE"""),"Brooke Knight")</f>
        <v>Brooke Knight</v>
      </c>
      <c r="E131" s="12" t="str">
        <f>IFERROR(__xludf.DUMMYFUNCTION("""COMPUTED_VALUE"""),"brooke.knight@workday.com")</f>
        <v>brooke.knight@workday.com</v>
      </c>
      <c r="F131" s="12" t="str">
        <f>IFERROR(__xludf.DUMMYFUNCTION("""COMPUTED_VALUE"""),"Engagement Manager [Primary]")</f>
        <v>Engagement Manager [Primary]</v>
      </c>
    </row>
    <row r="132">
      <c r="A132" s="12" t="str">
        <f>IFERROR(__xludf.DUMMYFUNCTION("""COMPUTED_VALUE"""),"a0lVT000005ws6qYAA")</f>
        <v>a0lVT000005ws6qYAA</v>
      </c>
      <c r="B132" s="12" t="str">
        <f>IFERROR(__xludf.DUMMYFUNCTION("""COMPUTED_VALUE"""),"a0rVT000012UK2rYAG")</f>
        <v>a0rVT000012UK2rYAG</v>
      </c>
      <c r="C132" s="12" t="str">
        <f>IFERROR(__xludf.DUMMYFUNCTION("""COMPUTED_VALUE"""),"0034X00003RCi5RQAT")</f>
        <v>0034X00003RCi5RQAT</v>
      </c>
      <c r="D132" s="12" t="str">
        <f>IFERROR(__xludf.DUMMYFUNCTION("""COMPUTED_VALUE"""),"Michelle Norman")</f>
        <v>Michelle Norman</v>
      </c>
      <c r="E132" s="12" t="str">
        <f>IFERROR(__xludf.DUMMYFUNCTION("""COMPUTED_VALUE"""),"michelle.norman@jsx.com")</f>
        <v>michelle.norman@jsx.com</v>
      </c>
      <c r="F132" s="12" t="str">
        <f>IFERROR(__xludf.DUMMYFUNCTION("""COMPUTED_VALUE"""),"Executive Sponsor")</f>
        <v>Executive Sponsor</v>
      </c>
    </row>
    <row r="133">
      <c r="A133" s="12" t="str">
        <f>IFERROR(__xludf.DUMMYFUNCTION("""COMPUTED_VALUE"""),"a0lVT000005wyk5YAA")</f>
        <v>a0lVT000005wyk5YAA</v>
      </c>
      <c r="B133" s="12" t="str">
        <f>IFERROR(__xludf.DUMMYFUNCTION("""COMPUTED_VALUE"""),"a0rVT000012UK2rYAG")</f>
        <v>a0rVT000012UK2rYAG</v>
      </c>
      <c r="C133" s="12" t="str">
        <f>IFERROR(__xludf.DUMMYFUNCTION("""COMPUTED_VALUE"""),"003VT00000fc4sfYAA")</f>
        <v>003VT00000fc4sfYAA</v>
      </c>
      <c r="D133" s="12" t="str">
        <f>IFERROR(__xludf.DUMMYFUNCTION("""COMPUTED_VALUE"""),"Katie Nehrenz")</f>
        <v>Katie Nehrenz</v>
      </c>
      <c r="E133" s="12" t="str">
        <f>IFERROR(__xludf.DUMMYFUNCTION("""COMPUTED_VALUE"""),"katie.nehrenz@workday.com")</f>
        <v>katie.nehrenz@workday.com</v>
      </c>
      <c r="F133" s="12" t="str">
        <f>IFERROR(__xludf.DUMMYFUNCTION("""COMPUTED_VALUE"""),"Engagement Manager [Primary]")</f>
        <v>Engagement Manager [Primary]</v>
      </c>
    </row>
    <row r="134">
      <c r="A134" s="12" t="str">
        <f>IFERROR(__xludf.DUMMYFUNCTION("""COMPUTED_VALUE"""),"a0lVT000006HyynYAC")</f>
        <v>a0lVT000006HyynYAC</v>
      </c>
      <c r="B134" s="12" t="str">
        <f>IFERROR(__xludf.DUMMYFUNCTION("""COMPUTED_VALUE"""),"a0rVT000012UK2rYAG")</f>
        <v>a0rVT000012UK2rYAG</v>
      </c>
      <c r="C134" s="12" t="str">
        <f>IFERROR(__xludf.DUMMYFUNCTION("""COMPUTED_VALUE"""),"003VT00000keelqYAA")</f>
        <v>003VT00000keelqYAA</v>
      </c>
      <c r="D134" s="12" t="str">
        <f>IFERROR(__xludf.DUMMYFUNCTION("""COMPUTED_VALUE"""),"James Welch")</f>
        <v>James Welch</v>
      </c>
      <c r="E134" s="12" t="str">
        <f>IFERROR(__xludf.DUMMYFUNCTION("""COMPUTED_VALUE"""),"james.welch@jsx.com")</f>
        <v>james.welch@jsx.com</v>
      </c>
      <c r="F134" s="12" t="str">
        <f>IFERROR(__xludf.DUMMYFUNCTION("""COMPUTED_VALUE"""),"Project Manager [Customer]")</f>
        <v>Project Manager [Customer]</v>
      </c>
    </row>
    <row r="135">
      <c r="A135" s="12" t="str">
        <f>IFERROR(__xludf.DUMMYFUNCTION("""COMPUTED_VALUE"""),"a0lVT000006MOzVYAW")</f>
        <v>a0lVT000006MOzVYAW</v>
      </c>
      <c r="B135" s="12" t="str">
        <f>IFERROR(__xludf.DUMMYFUNCTION("""COMPUTED_VALUE"""),"a0rVT000012UK2rYAG")</f>
        <v>a0rVT000012UK2rYAG</v>
      </c>
      <c r="C135" s="12" t="str">
        <f>IFERROR(__xludf.DUMMYFUNCTION("""COMPUTED_VALUE"""),"003VT00000fc4sfYAA")</f>
        <v>003VT00000fc4sfYAA</v>
      </c>
      <c r="D135" s="12" t="str">
        <f>IFERROR(__xludf.DUMMYFUNCTION("""COMPUTED_VALUE"""),"Katie Nehrenz")</f>
        <v>Katie Nehrenz</v>
      </c>
      <c r="E135" s="12" t="str">
        <f>IFERROR(__xludf.DUMMYFUNCTION("""COMPUTED_VALUE"""),"katie.nehrenz@workday.com")</f>
        <v>katie.nehrenz@workday.com</v>
      </c>
      <c r="F135" s="12" t="str">
        <f>IFERROR(__xludf.DUMMYFUNCTION("""COMPUTED_VALUE"""),"Deployment Sponsor")</f>
        <v>Deployment Sponsor</v>
      </c>
    </row>
    <row r="136">
      <c r="A136" s="12" t="str">
        <f>IFERROR(__xludf.DUMMYFUNCTION("""COMPUTED_VALUE"""),"a0lVT0000062S9dYAE")</f>
        <v>a0lVT0000062S9dYAE</v>
      </c>
      <c r="B136" s="12" t="str">
        <f>IFERROR(__xludf.DUMMYFUNCTION("""COMPUTED_VALUE"""),"a0rVT000012UP2XYAW")</f>
        <v>a0rVT000012UP2XYAW</v>
      </c>
      <c r="C136" s="12" t="str">
        <f>IFERROR(__xludf.DUMMYFUNCTION("""COMPUTED_VALUE"""),"003VT00000fcEf6YAE")</f>
        <v>003VT00000fcEf6YAE</v>
      </c>
      <c r="D136" s="12" t="str">
        <f>IFERROR(__xludf.DUMMYFUNCTION("""COMPUTED_VALUE"""),"Nichole Maher")</f>
        <v>Nichole Maher</v>
      </c>
      <c r="E136" s="12" t="str">
        <f>IFERROR(__xludf.DUMMYFUNCTION("""COMPUTED_VALUE"""),"nichole.maher@workday.com")</f>
        <v>nichole.maher@workday.com</v>
      </c>
      <c r="F136" s="12" t="str">
        <f>IFERROR(__xludf.DUMMYFUNCTION("""COMPUTED_VALUE"""),"Engagement Manager [Secondary]")</f>
        <v>Engagement Manager [Secondary]</v>
      </c>
    </row>
    <row r="137">
      <c r="A137" s="12" t="str">
        <f>IFERROR(__xludf.DUMMYFUNCTION("""COMPUTED_VALUE"""),"a0lVT000006NGQPYA4")</f>
        <v>a0lVT000006NGQPYA4</v>
      </c>
      <c r="B137" s="12" t="str">
        <f>IFERROR(__xludf.DUMMYFUNCTION("""COMPUTED_VALUE"""),"a0rVT000012UP2XYAW")</f>
        <v>a0rVT000012UP2XYAW</v>
      </c>
      <c r="C137" s="12" t="str">
        <f>IFERROR(__xludf.DUMMYFUNCTION("""COMPUTED_VALUE"""),"0034X00002t6lrrQAA")</f>
        <v>0034X00002t6lrrQAA</v>
      </c>
      <c r="D137" s="12" t="str">
        <f>IFERROR(__xludf.DUMMYFUNCTION("""COMPUTED_VALUE"""),"Tegan Gambuzza")</f>
        <v>Tegan Gambuzza</v>
      </c>
      <c r="E137" s="12" t="str">
        <f>IFERROR(__xludf.DUMMYFUNCTION("""COMPUTED_VALUE"""),"tegan.gambuzza@bega.com.au")</f>
        <v>tegan.gambuzza@bega.com.au</v>
      </c>
      <c r="F137" s="12" t="str">
        <f>IFERROR(__xludf.DUMMYFUNCTION("""COMPUTED_VALUE"""),"Executive Sponsor")</f>
        <v>Executive Sponsor</v>
      </c>
    </row>
    <row r="138">
      <c r="A138" s="12" t="str">
        <f>IFERROR(__xludf.DUMMYFUNCTION("""COMPUTED_VALUE"""),"a0lVT000006NGQQYA4")</f>
        <v>a0lVT000006NGQQYA4</v>
      </c>
      <c r="B138" s="12" t="str">
        <f>IFERROR(__xludf.DUMMYFUNCTION("""COMPUTED_VALUE"""),"a0rVT000012UP2XYAW")</f>
        <v>a0rVT000012UP2XYAW</v>
      </c>
      <c r="C138" s="12" t="str">
        <f>IFERROR(__xludf.DUMMYFUNCTION("""COMPUTED_VALUE"""),"0034X00002t6rn6QAA")</f>
        <v>0034X00002t6rn6QAA</v>
      </c>
      <c r="D138" s="12" t="str">
        <f>IFERROR(__xludf.DUMMYFUNCTION("""COMPUTED_VALUE"""),"Michael Lidiker")</f>
        <v>Michael Lidiker</v>
      </c>
      <c r="E138" s="12" t="str">
        <f>IFERROR(__xludf.DUMMYFUNCTION("""COMPUTED_VALUE"""),"michael.lidiker@bega.com.au")</f>
        <v>michael.lidiker@bega.com.au</v>
      </c>
      <c r="F138" s="12" t="str">
        <f>IFERROR(__xludf.DUMMYFUNCTION("""COMPUTED_VALUE"""),"Project Manager [Customer]")</f>
        <v>Project Manager [Customer]</v>
      </c>
    </row>
    <row r="139">
      <c r="A139" s="12" t="str">
        <f>IFERROR(__xludf.DUMMYFUNCTION("""COMPUTED_VALUE"""),"a0lVT000006NQXpYAO")</f>
        <v>a0lVT000006NQXpYAO</v>
      </c>
      <c r="B139" s="12" t="str">
        <f>IFERROR(__xludf.DUMMYFUNCTION("""COMPUTED_VALUE"""),"a0rVT000012UP2XYAW")</f>
        <v>a0rVT000012UP2XYAW</v>
      </c>
      <c r="C139" s="12" t="str">
        <f>IFERROR(__xludf.DUMMYFUNCTION("""COMPUTED_VALUE"""),"003VT00000fcEf6YAE")</f>
        <v>003VT00000fcEf6YAE</v>
      </c>
      <c r="D139" s="12" t="str">
        <f>IFERROR(__xludf.DUMMYFUNCTION("""COMPUTED_VALUE"""),"Nichole Maher")</f>
        <v>Nichole Maher</v>
      </c>
      <c r="E139" s="12" t="str">
        <f>IFERROR(__xludf.DUMMYFUNCTION("""COMPUTED_VALUE"""),"nichole.maher@workday.com")</f>
        <v>nichole.maher@workday.com</v>
      </c>
      <c r="F139" s="12" t="str">
        <f>IFERROR(__xludf.DUMMYFUNCTION("""COMPUTED_VALUE"""),"Deployment Sponsor")</f>
        <v>Deployment Sponsor</v>
      </c>
    </row>
    <row r="140">
      <c r="A140" s="12" t="str">
        <f>IFERROR(__xludf.DUMMYFUNCTION("""COMPUTED_VALUE"""),"a0lVT000006NQZRYA4")</f>
        <v>a0lVT000006NQZRYA4</v>
      </c>
      <c r="B140" s="12" t="str">
        <f>IFERROR(__xludf.DUMMYFUNCTION("""COMPUTED_VALUE"""),"a0rVT000012UP2XYAW")</f>
        <v>a0rVT000012UP2XYAW</v>
      </c>
      <c r="C140" s="12" t="str">
        <f>IFERROR(__xludf.DUMMYFUNCTION("""COMPUTED_VALUE"""),"003VT00000fcEf6YAE")</f>
        <v>003VT00000fcEf6YAE</v>
      </c>
      <c r="D140" s="12" t="str">
        <f>IFERROR(__xludf.DUMMYFUNCTION("""COMPUTED_VALUE"""),"Nichole Maher")</f>
        <v>Nichole Maher</v>
      </c>
      <c r="E140" s="12" t="str">
        <f>IFERROR(__xludf.DUMMYFUNCTION("""COMPUTED_VALUE"""),"nichole.maher@workday.com")</f>
        <v>nichole.maher@workday.com</v>
      </c>
      <c r="F140" s="12" t="str">
        <f>IFERROR(__xludf.DUMMYFUNCTION("""COMPUTED_VALUE"""),"Engagement Manager [Primary]")</f>
        <v>Engagement Manager [Primary]</v>
      </c>
    </row>
    <row r="141">
      <c r="A141" s="12" t="str">
        <f>IFERROR(__xludf.DUMMYFUNCTION("""COMPUTED_VALUE"""),"a0lVT000006PLqbYAG")</f>
        <v>a0lVT000006PLqbYAG</v>
      </c>
      <c r="B141" s="12" t="str">
        <f>IFERROR(__xludf.DUMMYFUNCTION("""COMPUTED_VALUE"""),"a0rVT000012USrdYAG")</f>
        <v>a0rVT000012USrdYAG</v>
      </c>
      <c r="C141" s="12" t="str">
        <f>IFERROR(__xludf.DUMMYFUNCTION("""COMPUTED_VALUE"""),"003VT00000fc4sgYAA")</f>
        <v>003VT00000fc4sgYAA</v>
      </c>
      <c r="D141" s="12" t="str">
        <f>IFERROR(__xludf.DUMMYFUNCTION("""COMPUTED_VALUE"""),"Kat Evans")</f>
        <v>Kat Evans</v>
      </c>
      <c r="E141" s="12" t="str">
        <f>IFERROR(__xludf.DUMMYFUNCTION("""COMPUTED_VALUE"""),"kat.matasova@workday.com")</f>
        <v>kat.matasova@workday.com</v>
      </c>
      <c r="F141" s="12" t="str">
        <f>IFERROR(__xludf.DUMMYFUNCTION("""COMPUTED_VALUE"""),"Engagement Manager [Secondary]")</f>
        <v>Engagement Manager [Secondary]</v>
      </c>
    </row>
    <row r="142">
      <c r="A142" s="12" t="str">
        <f>IFERROR(__xludf.DUMMYFUNCTION("""COMPUTED_VALUE"""),"a0lVT000006PM0HYAW")</f>
        <v>a0lVT000006PM0HYAW</v>
      </c>
      <c r="B142" s="12" t="str">
        <f>IFERROR(__xludf.DUMMYFUNCTION("""COMPUTED_VALUE"""),"a0rVT000012USrdYAG")</f>
        <v>a0rVT000012USrdYAG</v>
      </c>
      <c r="C142" s="12" t="str">
        <f>IFERROR(__xludf.DUMMYFUNCTION("""COMPUTED_VALUE"""),"0034X00003EtGr8QAF")</f>
        <v>0034X00003EtGr8QAF</v>
      </c>
      <c r="D142" s="12" t="str">
        <f>IFERROR(__xludf.DUMMYFUNCTION("""COMPUTED_VALUE"""),"Aaron Barnes")</f>
        <v>Aaron Barnes</v>
      </c>
      <c r="E142" s="12" t="str">
        <f>IFERROR(__xludf.DUMMYFUNCTION("""COMPUTED_VALUE"""),"aaron.barnes@workday.com")</f>
        <v>aaron.barnes@workday.com</v>
      </c>
      <c r="F142" s="12" t="str">
        <f>IFERROR(__xludf.DUMMYFUNCTION("""COMPUTED_VALUE"""),"Deployment Sponsor")</f>
        <v>Deployment Sponsor</v>
      </c>
    </row>
    <row r="143">
      <c r="A143" s="12" t="str">
        <f>IFERROR(__xludf.DUMMYFUNCTION("""COMPUTED_VALUE"""),"a0lVT000005snIbYAI")</f>
        <v>a0lVT000005snIbYAI</v>
      </c>
      <c r="B143" s="12" t="str">
        <f>IFERROR(__xludf.DUMMYFUNCTION("""COMPUTED_VALUE"""),"a0rVT000012UU8fYAG")</f>
        <v>a0rVT000012UU8fYAG</v>
      </c>
      <c r="C143" s="12" t="str">
        <f>IFERROR(__xludf.DUMMYFUNCTION("""COMPUTED_VALUE"""),"003VT00000kOt2UYAS")</f>
        <v>003VT00000kOt2UYAS</v>
      </c>
      <c r="D143" s="12" t="str">
        <f>IFERROR(__xludf.DUMMYFUNCTION("""COMPUTED_VALUE"""),"Tim Le Maire")</f>
        <v>Tim Le Maire</v>
      </c>
      <c r="E143" s="12" t="str">
        <f>IFERROR(__xludf.DUMMYFUNCTION("""COMPUTED_VALUE"""),"tim.lemaire@workday.com")</f>
        <v>tim.lemaire@workday.com</v>
      </c>
      <c r="F143" s="12" t="str">
        <f>IFERROR(__xludf.DUMMYFUNCTION("""COMPUTED_VALUE"""),"Engagement Manager [Primary]")</f>
        <v>Engagement Manager [Primary]</v>
      </c>
    </row>
    <row r="144">
      <c r="A144" s="12" t="str">
        <f>IFERROR(__xludf.DUMMYFUNCTION("""COMPUTED_VALUE"""),"a0lVT0000064lGrYAI")</f>
        <v>a0lVT0000064lGrYAI</v>
      </c>
      <c r="B144" s="12" t="str">
        <f>IFERROR(__xludf.DUMMYFUNCTION("""COMPUTED_VALUE"""),"a0rVT000012UU8fYAG")</f>
        <v>a0rVT000012UU8fYAG</v>
      </c>
      <c r="C144" s="12" t="str">
        <f>IFERROR(__xludf.DUMMYFUNCTION("""COMPUTED_VALUE"""),"0034X00003BmlnPQAR")</f>
        <v>0034X00003BmlnPQAR</v>
      </c>
      <c r="D144" s="12" t="str">
        <f>IFERROR(__xludf.DUMMYFUNCTION("""COMPUTED_VALUE"""),"Natalie Attoh")</f>
        <v>Natalie Attoh</v>
      </c>
      <c r="E144" s="12" t="str">
        <f>IFERROR(__xludf.DUMMYFUNCTION("""COMPUTED_VALUE"""),"natalie.attoh@chanel.com")</f>
        <v>natalie.attoh@chanel.com</v>
      </c>
      <c r="F144" s="12" t="str">
        <f>IFERROR(__xludf.DUMMYFUNCTION("""COMPUTED_VALUE"""),"Project Manager [Customer]")</f>
        <v>Project Manager [Customer]</v>
      </c>
    </row>
    <row r="145">
      <c r="A145" s="12" t="str">
        <f>IFERROR(__xludf.DUMMYFUNCTION("""COMPUTED_VALUE"""),"a0lVT0000064lw9YAA")</f>
        <v>a0lVT0000064lw9YAA</v>
      </c>
      <c r="B145" s="12" t="str">
        <f>IFERROR(__xludf.DUMMYFUNCTION("""COMPUTED_VALUE"""),"a0rVT000012UU8fYAG")</f>
        <v>a0rVT000012UU8fYAG</v>
      </c>
      <c r="C145" s="12" t="str">
        <f>IFERROR(__xludf.DUMMYFUNCTION("""COMPUTED_VALUE"""),"0034X00003BmlnPQAR")</f>
        <v>0034X00003BmlnPQAR</v>
      </c>
      <c r="D145" s="12" t="str">
        <f>IFERROR(__xludf.DUMMYFUNCTION("""COMPUTED_VALUE"""),"Natalie Attoh")</f>
        <v>Natalie Attoh</v>
      </c>
      <c r="E145" s="12" t="str">
        <f>IFERROR(__xludf.DUMMYFUNCTION("""COMPUTED_VALUE"""),"natalie.attoh@chanel.com")</f>
        <v>natalie.attoh@chanel.com</v>
      </c>
      <c r="F145" s="12" t="str">
        <f>IFERROR(__xludf.DUMMYFUNCTION("""COMPUTED_VALUE"""),"Executive Sponsor")</f>
        <v>Executive Sponsor</v>
      </c>
    </row>
    <row r="146">
      <c r="A146" s="12" t="str">
        <f>IFERROR(__xludf.DUMMYFUNCTION("""COMPUTED_VALUE"""),"a0lVT0000064vx7YAA")</f>
        <v>a0lVT0000064vx7YAA</v>
      </c>
      <c r="B146" s="12" t="str">
        <f>IFERROR(__xludf.DUMMYFUNCTION("""COMPUTED_VALUE"""),"a0rVT000012UU8fYAG")</f>
        <v>a0rVT000012UU8fYAG</v>
      </c>
      <c r="C146" s="12" t="str">
        <f>IFERROR(__xludf.DUMMYFUNCTION("""COMPUTED_VALUE"""),"0034X00003EtGr8QAF")</f>
        <v>0034X00003EtGr8QAF</v>
      </c>
      <c r="D146" s="12" t="str">
        <f>IFERROR(__xludf.DUMMYFUNCTION("""COMPUTED_VALUE"""),"Aaron Barnes")</f>
        <v>Aaron Barnes</v>
      </c>
      <c r="E146" s="12" t="str">
        <f>IFERROR(__xludf.DUMMYFUNCTION("""COMPUTED_VALUE"""),"aaron.barnes@workday.com")</f>
        <v>aaron.barnes@workday.com</v>
      </c>
      <c r="F146" s="12" t="str">
        <f>IFERROR(__xludf.DUMMYFUNCTION("""COMPUTED_VALUE"""),"Deployment Sponsor")</f>
        <v>Deployment Sponsor</v>
      </c>
    </row>
    <row r="147">
      <c r="A147" s="12" t="str">
        <f>IFERROR(__xludf.DUMMYFUNCTION("""COMPUTED_VALUE"""),"a0lVT000005mYAzYAM")</f>
        <v>a0lVT000005mYAzYAM</v>
      </c>
      <c r="B147" s="12" t="str">
        <f>IFERROR(__xludf.DUMMYFUNCTION("""COMPUTED_VALUE"""),"a0rVT000012UlmDYAS")</f>
        <v>a0rVT000012UlmDYAS</v>
      </c>
      <c r="C147" s="12" t="str">
        <f>IFERROR(__xludf.DUMMYFUNCTION("""COMPUTED_VALUE"""),"003VT00000fcE3zYAE")</f>
        <v>003VT00000fcE3zYAE</v>
      </c>
      <c r="D147" s="12" t="str">
        <f>IFERROR(__xludf.DUMMYFUNCTION("""COMPUTED_VALUE"""),"Taylor Mitchell")</f>
        <v>Taylor Mitchell</v>
      </c>
      <c r="E147" s="12" t="str">
        <f>IFERROR(__xludf.DUMMYFUNCTION("""COMPUTED_VALUE"""),"taylor.mitchell@workday.com")</f>
        <v>taylor.mitchell@workday.com</v>
      </c>
      <c r="F147" s="12" t="str">
        <f>IFERROR(__xludf.DUMMYFUNCTION("""COMPUTED_VALUE"""),"Engagement Manager [Primary]")</f>
        <v>Engagement Manager [Primary]</v>
      </c>
    </row>
    <row r="148">
      <c r="A148" s="12" t="str">
        <f>IFERROR(__xludf.DUMMYFUNCTION("""COMPUTED_VALUE"""),"a0lVT000005wswPYAQ")</f>
        <v>a0lVT000005wswPYAQ</v>
      </c>
      <c r="B148" s="12" t="str">
        <f>IFERROR(__xludf.DUMMYFUNCTION("""COMPUTED_VALUE"""),"a0rVT000012UlmDYAS")</f>
        <v>a0rVT000012UlmDYAS</v>
      </c>
      <c r="C148" s="12" t="str">
        <f>IFERROR(__xludf.DUMMYFUNCTION("""COMPUTED_VALUE"""),"0038000002K1a8QAAR")</f>
        <v>0038000002K1a8QAAR</v>
      </c>
      <c r="D148" s="12" t="str">
        <f>IFERROR(__xludf.DUMMYFUNCTION("""COMPUTED_VALUE"""),"George Mathew")</f>
        <v>George Mathew</v>
      </c>
      <c r="E148" s="12" t="str">
        <f>IFERROR(__xludf.DUMMYFUNCTION("""COMPUTED_VALUE"""),"gmathew@levi.com")</f>
        <v>gmathew@levi.com</v>
      </c>
      <c r="F148" s="12" t="str">
        <f>IFERROR(__xludf.DUMMYFUNCTION("""COMPUTED_VALUE"""),"Project Manager [Customer]")</f>
        <v>Project Manager [Customer]</v>
      </c>
    </row>
    <row r="149">
      <c r="A149" s="12" t="str">
        <f>IFERROR(__xludf.DUMMYFUNCTION("""COMPUTED_VALUE"""),"a0lVT000005wswQYAQ")</f>
        <v>a0lVT000005wswQYAQ</v>
      </c>
      <c r="B149" s="12" t="str">
        <f>IFERROR(__xludf.DUMMYFUNCTION("""COMPUTED_VALUE"""),"a0rVT000012UlmDYAS")</f>
        <v>a0rVT000012UlmDYAS</v>
      </c>
      <c r="C149" s="12" t="str">
        <f>IFERROR(__xludf.DUMMYFUNCTION("""COMPUTED_VALUE"""),"00380000024KOf8AAG")</f>
        <v>00380000024KOf8AAG</v>
      </c>
      <c r="D149" s="12" t="str">
        <f>IFERROR(__xludf.DUMMYFUNCTION("""COMPUTED_VALUE"""),"Scott White")</f>
        <v>Scott White</v>
      </c>
      <c r="E149" s="12" t="str">
        <f>IFERROR(__xludf.DUMMYFUNCTION("""COMPUTED_VALUE"""),"swhite@levi.com")</f>
        <v>swhite@levi.com</v>
      </c>
      <c r="F149" s="12" t="str">
        <f>IFERROR(__xludf.DUMMYFUNCTION("""COMPUTED_VALUE"""),"Executive Sponsor")</f>
        <v>Executive Sponsor</v>
      </c>
    </row>
    <row r="150">
      <c r="A150" s="12" t="str">
        <f>IFERROR(__xludf.DUMMYFUNCTION("""COMPUTED_VALUE"""),"a0lVT000005znH3YAI")</f>
        <v>a0lVT000005znH3YAI</v>
      </c>
      <c r="B150" s="12" t="str">
        <f>IFERROR(__xludf.DUMMYFUNCTION("""COMPUTED_VALUE"""),"a0rVT000012UlmDYAS")</f>
        <v>a0rVT000012UlmDYAS</v>
      </c>
      <c r="C150" s="12" t="str">
        <f>IFERROR(__xludf.DUMMYFUNCTION("""COMPUTED_VALUE"""),"0034X00003EtGr8QAF")</f>
        <v>0034X00003EtGr8QAF</v>
      </c>
      <c r="D150" s="12" t="str">
        <f>IFERROR(__xludf.DUMMYFUNCTION("""COMPUTED_VALUE"""),"Aaron Barnes")</f>
        <v>Aaron Barnes</v>
      </c>
      <c r="E150" s="12" t="str">
        <f>IFERROR(__xludf.DUMMYFUNCTION("""COMPUTED_VALUE"""),"aaron.barnes@workday.com")</f>
        <v>aaron.barnes@workday.com</v>
      </c>
      <c r="F150" s="12" t="str">
        <f>IFERROR(__xludf.DUMMYFUNCTION("""COMPUTED_VALUE"""),"Deployment Sponsor")</f>
        <v>Deployment Sponsor</v>
      </c>
    </row>
    <row r="151">
      <c r="A151" s="12" t="str">
        <f>IFERROR(__xludf.DUMMYFUNCTION("""COMPUTED_VALUE"""),"a0lVT000005o56TYAQ")</f>
        <v>a0lVT000005o56TYAQ</v>
      </c>
      <c r="B151" s="12" t="str">
        <f>IFERROR(__xludf.DUMMYFUNCTION("""COMPUTED_VALUE"""),"a0rVT000012UmbqYAC")</f>
        <v>a0rVT000012UmbqYAC</v>
      </c>
      <c r="C151" s="12" t="str">
        <f>IFERROR(__xludf.DUMMYFUNCTION("""COMPUTED_VALUE"""),"0038000001NX00ZAAT")</f>
        <v>0038000001NX00ZAAT</v>
      </c>
      <c r="D151" s="12" t="str">
        <f>IFERROR(__xludf.DUMMYFUNCTION("""COMPUTED_VALUE"""),"Wendi Gibbs")</f>
        <v>Wendi Gibbs</v>
      </c>
      <c r="E151" s="12" t="str">
        <f>IFERROR(__xludf.DUMMYFUNCTION("""COMPUTED_VALUE"""),"wendi.gibbs@workday.com")</f>
        <v>wendi.gibbs@workday.com</v>
      </c>
      <c r="F151" s="12" t="str">
        <f>IFERROR(__xludf.DUMMYFUNCTION("""COMPUTED_VALUE"""),"Engagement Manager [Primary]")</f>
        <v>Engagement Manager [Primary]</v>
      </c>
    </row>
    <row r="152">
      <c r="A152" s="12" t="str">
        <f>IFERROR(__xludf.DUMMYFUNCTION("""COMPUTED_VALUE"""),"a0lVT000005pB09YAE")</f>
        <v>a0lVT000005pB09YAE</v>
      </c>
      <c r="B152" s="12" t="str">
        <f>IFERROR(__xludf.DUMMYFUNCTION("""COMPUTED_VALUE"""),"a0rVT000012UmdXYAS")</f>
        <v>a0rVT000012UmdXYAS</v>
      </c>
      <c r="C152" s="12" t="str">
        <f>IFERROR(__xludf.DUMMYFUNCTION("""COMPUTED_VALUE"""),"0034X000030R9WaQAK")</f>
        <v>0034X000030R9WaQAK</v>
      </c>
      <c r="D152" s="12" t="str">
        <f>IFERROR(__xludf.DUMMYFUNCTION("""COMPUTED_VALUE"""),"Alexander Schell")</f>
        <v>Alexander Schell</v>
      </c>
      <c r="E152" s="12" t="str">
        <f>IFERROR(__xludf.DUMMYFUNCTION("""COMPUTED_VALUE"""),"alexander.schell@workday.com")</f>
        <v>alexander.schell@workday.com</v>
      </c>
      <c r="F152" s="12" t="str">
        <f>IFERROR(__xludf.DUMMYFUNCTION("""COMPUTED_VALUE"""),"Engagement Manager [Primary]")</f>
        <v>Engagement Manager [Primary]</v>
      </c>
    </row>
    <row r="153">
      <c r="A153" s="12" t="str">
        <f>IFERROR(__xludf.DUMMYFUNCTION("""COMPUTED_VALUE"""),"a0lVT000006JC6rYAG")</f>
        <v>a0lVT000006JC6rYAG</v>
      </c>
      <c r="B153" s="12" t="str">
        <f>IFERROR(__xludf.DUMMYFUNCTION("""COMPUTED_VALUE"""),"a0rVT000012UmdXYAS")</f>
        <v>a0rVT000012UmdXYAS</v>
      </c>
      <c r="C153" s="12" t="str">
        <f>IFERROR(__xludf.DUMMYFUNCTION("""COMPUTED_VALUE"""),"0038000001sCnOiAAK")</f>
        <v>0038000001sCnOiAAK</v>
      </c>
      <c r="D153" s="12" t="str">
        <f>IFERROR(__xludf.DUMMYFUNCTION("""COMPUTED_VALUE"""),"Nate Allen")</f>
        <v>Nate Allen</v>
      </c>
      <c r="E153" s="12" t="str">
        <f>IFERROR(__xludf.DUMMYFUNCTION("""COMPUTED_VALUE"""),"nate.allen2@workday.com")</f>
        <v>nate.allen2@workday.com</v>
      </c>
      <c r="F153" s="12" t="str">
        <f>IFERROR(__xludf.DUMMYFUNCTION("""COMPUTED_VALUE"""),"Deployment Sponsor")</f>
        <v>Deployment Sponsor</v>
      </c>
    </row>
    <row r="154">
      <c r="A154" s="12" t="str">
        <f>IFERROR(__xludf.DUMMYFUNCTION("""COMPUTED_VALUE"""),"a0lVT000006JC8TYAW")</f>
        <v>a0lVT000006JC8TYAW</v>
      </c>
      <c r="B154" s="12" t="str">
        <f>IFERROR(__xludf.DUMMYFUNCTION("""COMPUTED_VALUE"""),"a0rVT000012UmdXYAS")</f>
        <v>a0rVT000012UmdXYAS</v>
      </c>
      <c r="C154" s="12" t="str">
        <f>IFERROR(__xludf.DUMMYFUNCTION("""COMPUTED_VALUE"""),"003VT00000ZJozRYAT")</f>
        <v>003VT00000ZJozRYAT</v>
      </c>
      <c r="D154" s="12" t="str">
        <f>IFERROR(__xludf.DUMMYFUNCTION("""COMPUTED_VALUE"""),"Evan Romero")</f>
        <v>Evan Romero</v>
      </c>
      <c r="E154" s="12" t="str">
        <f>IFERROR(__xludf.DUMMYFUNCTION("""COMPUTED_VALUE"""),"evan_romero@rbwlogistics.com")</f>
        <v>evan_romero@rbwlogistics.com</v>
      </c>
      <c r="F154" s="12" t="str">
        <f>IFERROR(__xludf.DUMMYFUNCTION("""COMPUTED_VALUE"""),"Project Manager [Customer]")</f>
        <v>Project Manager [Customer]</v>
      </c>
    </row>
    <row r="155">
      <c r="A155" s="12" t="str">
        <f>IFERROR(__xludf.DUMMYFUNCTION("""COMPUTED_VALUE"""),"a0lVT000006JCMzYAO")</f>
        <v>a0lVT000006JCMzYAO</v>
      </c>
      <c r="B155" s="12" t="str">
        <f>IFERROR(__xludf.DUMMYFUNCTION("""COMPUTED_VALUE"""),"a0rVT000012UmdXYAS")</f>
        <v>a0rVT000012UmdXYAS</v>
      </c>
      <c r="C155" s="12" t="str">
        <f>IFERROR(__xludf.DUMMYFUNCTION("""COMPUTED_VALUE"""),"003VT00000qBoZpYAK")</f>
        <v>003VT00000qBoZpYAK</v>
      </c>
      <c r="D155" s="12" t="str">
        <f>IFERROR(__xludf.DUMMYFUNCTION("""COMPUTED_VALUE"""),"Evan Romero")</f>
        <v>Evan Romero</v>
      </c>
      <c r="E155" s="12" t="str">
        <f>IFERROR(__xludf.DUMMYFUNCTION("""COMPUTED_VALUE"""),"eromero@rbwlogistics.com")</f>
        <v>eromero@rbwlogistics.com</v>
      </c>
      <c r="F155" s="12" t="str">
        <f>IFERROR(__xludf.DUMMYFUNCTION("""COMPUTED_VALUE"""),"Executive Sponsor")</f>
        <v>Executive Sponsor</v>
      </c>
    </row>
    <row r="156">
      <c r="A156" s="12" t="str">
        <f>IFERROR(__xludf.DUMMYFUNCTION("""COMPUTED_VALUE"""),"a0lVT0000061igHYAQ")</f>
        <v>a0lVT0000061igHYAQ</v>
      </c>
      <c r="B156" s="12" t="str">
        <f>IFERROR(__xludf.DUMMYFUNCTION("""COMPUTED_VALUE"""),"a0rVT000012UqCUYA0")</f>
        <v>a0rVT000012UqCUYA0</v>
      </c>
      <c r="C156" s="12" t="str">
        <f>IFERROR(__xludf.DUMMYFUNCTION("""COMPUTED_VALUE"""),"0034X00003EtGr8QAF")</f>
        <v>0034X00003EtGr8QAF</v>
      </c>
      <c r="D156" s="12" t="str">
        <f>IFERROR(__xludf.DUMMYFUNCTION("""COMPUTED_VALUE"""),"Aaron Barnes")</f>
        <v>Aaron Barnes</v>
      </c>
      <c r="E156" s="12" t="str">
        <f>IFERROR(__xludf.DUMMYFUNCTION("""COMPUTED_VALUE"""),"aaron.barnes@workday.com")</f>
        <v>aaron.barnes@workday.com</v>
      </c>
      <c r="F156" s="12" t="str">
        <f>IFERROR(__xludf.DUMMYFUNCTION("""COMPUTED_VALUE"""),"Deployment Sponsor")</f>
        <v>Deployment Sponsor</v>
      </c>
    </row>
    <row r="157">
      <c r="A157" s="12" t="str">
        <f>IFERROR(__xludf.DUMMYFUNCTION("""COMPUTED_VALUE"""),"a0lVT0000061igIYAQ")</f>
        <v>a0lVT0000061igIYAQ</v>
      </c>
      <c r="B157" s="12" t="str">
        <f>IFERROR(__xludf.DUMMYFUNCTION("""COMPUTED_VALUE"""),"a0rVT000012UqCUYA0")</f>
        <v>a0rVT000012UqCUYA0</v>
      </c>
      <c r="C157" s="12" t="str">
        <f>IFERROR(__xludf.DUMMYFUNCTION("""COMPUTED_VALUE"""),"003VT00000fc4sfYAA")</f>
        <v>003VT00000fc4sfYAA</v>
      </c>
      <c r="D157" s="12" t="str">
        <f>IFERROR(__xludf.DUMMYFUNCTION("""COMPUTED_VALUE"""),"Katie Nehrenz")</f>
        <v>Katie Nehrenz</v>
      </c>
      <c r="E157" s="12" t="str">
        <f>IFERROR(__xludf.DUMMYFUNCTION("""COMPUTED_VALUE"""),"katie.nehrenz@workday.com")</f>
        <v>katie.nehrenz@workday.com</v>
      </c>
      <c r="F157" s="12" t="str">
        <f>IFERROR(__xludf.DUMMYFUNCTION("""COMPUTED_VALUE"""),"Engagement Manager [Primary]")</f>
        <v>Engagement Manager [Primary]</v>
      </c>
    </row>
    <row r="158">
      <c r="A158" s="12" t="str">
        <f>IFERROR(__xludf.DUMMYFUNCTION("""COMPUTED_VALUE"""),"a0lVT000006CftZYAS")</f>
        <v>a0lVT000006CftZYAS</v>
      </c>
      <c r="B158" s="12" t="str">
        <f>IFERROR(__xludf.DUMMYFUNCTION("""COMPUTED_VALUE"""),"a0rVT000012UqXUYA0")</f>
        <v>a0rVT000012UqXUYA0</v>
      </c>
      <c r="C158" s="12" t="str">
        <f>IFERROR(__xludf.DUMMYFUNCTION("""COMPUTED_VALUE"""),"003VT00000fc4sgYAA")</f>
        <v>003VT00000fc4sgYAA</v>
      </c>
      <c r="D158" s="12" t="str">
        <f>IFERROR(__xludf.DUMMYFUNCTION("""COMPUTED_VALUE"""),"Kat Evans")</f>
        <v>Kat Evans</v>
      </c>
      <c r="E158" s="12" t="str">
        <f>IFERROR(__xludf.DUMMYFUNCTION("""COMPUTED_VALUE"""),"kat.matasova@workday.com")</f>
        <v>kat.matasova@workday.com</v>
      </c>
      <c r="F158" s="12" t="str">
        <f>IFERROR(__xludf.DUMMYFUNCTION("""COMPUTED_VALUE"""),"Engagement Manager [Primary]")</f>
        <v>Engagement Manager [Primary]</v>
      </c>
    </row>
    <row r="159">
      <c r="A159" s="12" t="str">
        <f>IFERROR(__xludf.DUMMYFUNCTION("""COMPUTED_VALUE"""),"a0lVT000006J5q9YAC")</f>
        <v>a0lVT000006J5q9YAC</v>
      </c>
      <c r="B159" s="12" t="str">
        <f>IFERROR(__xludf.DUMMYFUNCTION("""COMPUTED_VALUE"""),"a0rVT000012UqXUYA0")</f>
        <v>a0rVT000012UqXUYA0</v>
      </c>
      <c r="C159" s="12" t="str">
        <f>IFERROR(__xludf.DUMMYFUNCTION("""COMPUTED_VALUE"""),"0034X000038g1KxQAI")</f>
        <v>0034X000038g1KxQAI</v>
      </c>
      <c r="D159" s="12" t="str">
        <f>IFERROR(__xludf.DUMMYFUNCTION("""COMPUTED_VALUE"""),"Nicole Baker")</f>
        <v>Nicole Baker</v>
      </c>
      <c r="E159" s="12" t="str">
        <f>IFERROR(__xludf.DUMMYFUNCTION("""COMPUTED_VALUE"""),"nbaker@diligent.com")</f>
        <v>nbaker@diligent.com</v>
      </c>
      <c r="F159" s="12" t="str">
        <f>IFERROR(__xludf.DUMMYFUNCTION("""COMPUTED_VALUE"""),"Executive Sponsor")</f>
        <v>Executive Sponsor</v>
      </c>
    </row>
    <row r="160">
      <c r="A160" s="12" t="str">
        <f>IFERROR(__xludf.DUMMYFUNCTION("""COMPUTED_VALUE"""),"a0lVT000006J5zpYAC")</f>
        <v>a0lVT000006J5zpYAC</v>
      </c>
      <c r="B160" s="12" t="str">
        <f>IFERROR(__xludf.DUMMYFUNCTION("""COMPUTED_VALUE"""),"a0rVT000012UqXUYA0")</f>
        <v>a0rVT000012UqXUYA0</v>
      </c>
      <c r="C160" s="12" t="str">
        <f>IFERROR(__xludf.DUMMYFUNCTION("""COMPUTED_VALUE"""),"0034X00003EtGr8QAF")</f>
        <v>0034X00003EtGr8QAF</v>
      </c>
      <c r="D160" s="12" t="str">
        <f>IFERROR(__xludf.DUMMYFUNCTION("""COMPUTED_VALUE"""),"Aaron Barnes")</f>
        <v>Aaron Barnes</v>
      </c>
      <c r="E160" s="12" t="str">
        <f>IFERROR(__xludf.DUMMYFUNCTION("""COMPUTED_VALUE"""),"aaron.barnes@workday.com")</f>
        <v>aaron.barnes@workday.com</v>
      </c>
      <c r="F160" s="12" t="str">
        <f>IFERROR(__xludf.DUMMYFUNCTION("""COMPUTED_VALUE"""),"Deployment Sponsor")</f>
        <v>Deployment Sponsor</v>
      </c>
    </row>
    <row r="161">
      <c r="A161" s="12" t="str">
        <f>IFERROR(__xludf.DUMMYFUNCTION("""COMPUTED_VALUE"""),"a0lVT000006OD77YAG")</f>
        <v>a0lVT000006OD77YAG</v>
      </c>
      <c r="B161" s="12" t="str">
        <f>IFERROR(__xludf.DUMMYFUNCTION("""COMPUTED_VALUE"""),"a0rVT000012UqXUYA0")</f>
        <v>a0rVT000012UqXUYA0</v>
      </c>
      <c r="C161" s="12" t="str">
        <f>IFERROR(__xludf.DUMMYFUNCTION("""COMPUTED_VALUE"""),"0034X000038g1KxQAI")</f>
        <v>0034X000038g1KxQAI</v>
      </c>
      <c r="D161" s="12" t="str">
        <f>IFERROR(__xludf.DUMMYFUNCTION("""COMPUTED_VALUE"""),"Nicole Baker")</f>
        <v>Nicole Baker</v>
      </c>
      <c r="E161" s="12" t="str">
        <f>IFERROR(__xludf.DUMMYFUNCTION("""COMPUTED_VALUE"""),"nbaker@diligent.com")</f>
        <v>nbaker@diligent.com</v>
      </c>
      <c r="F161" s="12" t="str">
        <f>IFERROR(__xludf.DUMMYFUNCTION("""COMPUTED_VALUE"""),"Project Manager [Customer]")</f>
        <v>Project Manager [Customer]</v>
      </c>
    </row>
    <row r="162">
      <c r="A162" s="12" t="str">
        <f>IFERROR(__xludf.DUMMYFUNCTION("""COMPUTED_VALUE"""),"a0lVT000005mVbJYAU")</f>
        <v>a0lVT000005mVbJYAU</v>
      </c>
      <c r="B162" s="12" t="str">
        <f>IFERROR(__xludf.DUMMYFUNCTION("""COMPUTED_VALUE"""),"a0rVT000012UrOiYAK")</f>
        <v>a0rVT000012UrOiYAK</v>
      </c>
      <c r="C162" s="12" t="str">
        <f>IFERROR(__xludf.DUMMYFUNCTION("""COMPUTED_VALUE"""),"00380000024qaNvAAI")</f>
        <v>00380000024qaNvAAI</v>
      </c>
      <c r="D162" s="12" t="str">
        <f>IFERROR(__xludf.DUMMYFUNCTION("""COMPUTED_VALUE"""),"Doris Pulsifer")</f>
        <v>Doris Pulsifer</v>
      </c>
      <c r="E162" s="12" t="str">
        <f>IFERROR(__xludf.DUMMYFUNCTION("""COMPUTED_VALUE"""),"doris.pulsifer@workday.com")</f>
        <v>doris.pulsifer@workday.com</v>
      </c>
      <c r="F162" s="12" t="str">
        <f>IFERROR(__xludf.DUMMYFUNCTION("""COMPUTED_VALUE"""),"Engagement Manager [Primary]")</f>
        <v>Engagement Manager [Primary]</v>
      </c>
    </row>
    <row r="163">
      <c r="A163" s="12" t="str">
        <f>IFERROR(__xludf.DUMMYFUNCTION("""COMPUTED_VALUE"""),"a0lVT000005mVeXYAU")</f>
        <v>a0lVT000005mVeXYAU</v>
      </c>
      <c r="B163" s="12" t="str">
        <f>IFERROR(__xludf.DUMMYFUNCTION("""COMPUTED_VALUE"""),"a0rVT000012UrOiYAK")</f>
        <v>a0rVT000012UrOiYAK</v>
      </c>
      <c r="C163" s="12" t="str">
        <f>IFERROR(__xludf.DUMMYFUNCTION("""COMPUTED_VALUE"""),"0031B00002gf42xQAA")</f>
        <v>0031B00002gf42xQAA</v>
      </c>
      <c r="D163" s="12" t="str">
        <f>IFERROR(__xludf.DUMMYFUNCTION("""COMPUTED_VALUE"""),"John Jaent")</f>
        <v>John Jaent</v>
      </c>
      <c r="E163" s="12" t="str">
        <f>IFERROR(__xludf.DUMMYFUNCTION("""COMPUTED_VALUE"""),"john.jaent@workday.com")</f>
        <v>john.jaent@workday.com</v>
      </c>
      <c r="F163" s="12" t="str">
        <f>IFERROR(__xludf.DUMMYFUNCTION("""COMPUTED_VALUE"""),"Engagement Manager [Primary]")</f>
        <v>Engagement Manager [Primary]</v>
      </c>
    </row>
    <row r="164">
      <c r="A164" s="12" t="str">
        <f>IFERROR(__xludf.DUMMYFUNCTION("""COMPUTED_VALUE"""),"a0lVT000005mVhlYAE")</f>
        <v>a0lVT000005mVhlYAE</v>
      </c>
      <c r="B164" s="12" t="str">
        <f>IFERROR(__xludf.DUMMYFUNCTION("""COMPUTED_VALUE"""),"a0rVT000012UrOiYAK")</f>
        <v>a0rVT000012UrOiYAK</v>
      </c>
      <c r="C164" s="12" t="str">
        <f>IFERROR(__xludf.DUMMYFUNCTION("""COMPUTED_VALUE"""),"0038000001k8tj4AAA")</f>
        <v>0038000001k8tj4AAA</v>
      </c>
      <c r="D164" s="12" t="str">
        <f>IFERROR(__xludf.DUMMYFUNCTION("""COMPUTED_VALUE"""),"Zohaib Sheikh")</f>
        <v>Zohaib Sheikh</v>
      </c>
      <c r="E164" s="12" t="str">
        <f>IFERROR(__xludf.DUMMYFUNCTION("""COMPUTED_VALUE"""),"zohaib.sheikh@workday.com")</f>
        <v>zohaib.sheikh@workday.com</v>
      </c>
      <c r="F164" s="12" t="str">
        <f>IFERROR(__xludf.DUMMYFUNCTION("""COMPUTED_VALUE"""),"Deployment Sponsor")</f>
        <v>Deployment Sponsor</v>
      </c>
    </row>
    <row r="165">
      <c r="A165" s="12" t="str">
        <f>IFERROR(__xludf.DUMMYFUNCTION("""COMPUTED_VALUE"""),"a0lVT000005mXy5YAE")</f>
        <v>a0lVT000005mXy5YAE</v>
      </c>
      <c r="B165" s="12" t="str">
        <f>IFERROR(__xludf.DUMMYFUNCTION("""COMPUTED_VALUE"""),"a0rVT000012UsNtYAK")</f>
        <v>a0rVT000012UsNtYAK</v>
      </c>
      <c r="C165" s="12" t="str">
        <f>IFERROR(__xludf.DUMMYFUNCTION("""COMPUTED_VALUE"""),"003VT00000VGvjdYAD")</f>
        <v>003VT00000VGvjdYAD</v>
      </c>
      <c r="D165" s="12" t="str">
        <f>IFERROR(__xludf.DUMMYFUNCTION("""COMPUTED_VALUE"""),"William Porras")</f>
        <v>William Porras</v>
      </c>
      <c r="E165" s="12" t="str">
        <f>IFERROR(__xludf.DUMMYFUNCTION("""COMPUTED_VALUE"""),"william.porras@workday.com")</f>
        <v>william.porras@workday.com</v>
      </c>
      <c r="F165" s="12" t="str">
        <f>IFERROR(__xludf.DUMMYFUNCTION("""COMPUTED_VALUE"""),"Engagement Manager [Primary]")</f>
        <v>Engagement Manager [Primary]</v>
      </c>
    </row>
    <row r="166">
      <c r="A166" s="12" t="str">
        <f>IFERROR(__xludf.DUMMYFUNCTION("""COMPUTED_VALUE"""),"a0lVT000006Oc8jYAC")</f>
        <v>a0lVT000006Oc8jYAC</v>
      </c>
      <c r="B166" s="12" t="str">
        <f>IFERROR(__xludf.DUMMYFUNCTION("""COMPUTED_VALUE"""),"a0rVT000012UsNtYAK")</f>
        <v>a0rVT000012UsNtYAK</v>
      </c>
      <c r="C166" s="12" t="str">
        <f>IFERROR(__xludf.DUMMYFUNCTION("""COMPUTED_VALUE"""),"0038000001i7N4rAAE")</f>
        <v>0038000001i7N4rAAE</v>
      </c>
      <c r="D166" s="12" t="str">
        <f>IFERROR(__xludf.DUMMYFUNCTION("""COMPUTED_VALUE"""),"Val Tsvetkov")</f>
        <v>Val Tsvetkov</v>
      </c>
      <c r="E166" s="12" t="str">
        <f>IFERROR(__xludf.DUMMYFUNCTION("""COMPUTED_VALUE"""),"val.tsvetkov@workday.com")</f>
        <v>val.tsvetkov@workday.com</v>
      </c>
      <c r="F166" s="12" t="str">
        <f>IFERROR(__xludf.DUMMYFUNCTION("""COMPUTED_VALUE"""),"Deployment Sponsor")</f>
        <v>Deployment Sponsor</v>
      </c>
    </row>
    <row r="167">
      <c r="A167" s="12" t="str">
        <f>IFERROR(__xludf.DUMMYFUNCTION("""COMPUTED_VALUE"""),"a0lVT000006Oc8kYAC")</f>
        <v>a0lVT000006Oc8kYAC</v>
      </c>
      <c r="B167" s="12" t="str">
        <f>IFERROR(__xludf.DUMMYFUNCTION("""COMPUTED_VALUE"""),"a0rVT000012UsNtYAK")</f>
        <v>a0rVT000012UsNtYAK</v>
      </c>
      <c r="C167" s="12" t="str">
        <f>IFERROR(__xludf.DUMMYFUNCTION("""COMPUTED_VALUE"""),"0034X00003S9aXGQAZ")</f>
        <v>0034X00003S9aXGQAZ</v>
      </c>
      <c r="D167" s="12" t="str">
        <f>IFERROR(__xludf.DUMMYFUNCTION("""COMPUTED_VALUE"""),"Melissa Castaneda")</f>
        <v>Melissa Castaneda</v>
      </c>
      <c r="E167" s="12" t="str">
        <f>IFERROR(__xludf.DUMMYFUNCTION("""COMPUTED_VALUE"""),"melissa.castaneda@patagonia.com")</f>
        <v>melissa.castaneda@patagonia.com</v>
      </c>
      <c r="F167" s="12" t="str">
        <f>IFERROR(__xludf.DUMMYFUNCTION("""COMPUTED_VALUE"""),"Project Manager [Customer]")</f>
        <v>Project Manager [Customer]</v>
      </c>
    </row>
    <row r="168">
      <c r="A168" s="12" t="str">
        <f>IFERROR(__xludf.DUMMYFUNCTION("""COMPUTED_VALUE"""),"a0lVT000006Oc8lYAC")</f>
        <v>a0lVT000006Oc8lYAC</v>
      </c>
      <c r="B168" s="12" t="str">
        <f>IFERROR(__xludf.DUMMYFUNCTION("""COMPUTED_VALUE"""),"a0rVT000012UsNtYAK")</f>
        <v>a0rVT000012UsNtYAK</v>
      </c>
      <c r="C168" s="12" t="str">
        <f>IFERROR(__xludf.DUMMYFUNCTION("""COMPUTED_VALUE"""),"003VT00000bFG5ZYAW")</f>
        <v>003VT00000bFG5ZYAW</v>
      </c>
      <c r="D168" s="12" t="str">
        <f>IFERROR(__xludf.DUMMYFUNCTION("""COMPUTED_VALUE"""),"Corrina Stasik")</f>
        <v>Corrina Stasik</v>
      </c>
      <c r="E168" s="12" t="str">
        <f>IFERROR(__xludf.DUMMYFUNCTION("""COMPUTED_VALUE"""),"corrina.stasik@patagonia.com")</f>
        <v>corrina.stasik@patagonia.com</v>
      </c>
      <c r="F168" s="12" t="str">
        <f>IFERROR(__xludf.DUMMYFUNCTION("""COMPUTED_VALUE"""),"Executive Sponsor")</f>
        <v>Executive Sponsor</v>
      </c>
    </row>
    <row r="169">
      <c r="A169" s="12" t="str">
        <f>IFERROR(__xludf.DUMMYFUNCTION("""COMPUTED_VALUE"""),"a0lVT000005mXtFYAU")</f>
        <v>a0lVT000005mXtFYAU</v>
      </c>
      <c r="B169" s="12" t="str">
        <f>IFERROR(__xludf.DUMMYFUNCTION("""COMPUTED_VALUE"""),"a0rVT000012Uu6LYAS")</f>
        <v>a0rVT000012Uu6LYAS</v>
      </c>
      <c r="C169" s="12" t="str">
        <f>IFERROR(__xludf.DUMMYFUNCTION("""COMPUTED_VALUE"""),"0038000002Bsyh3AAB")</f>
        <v>0038000002Bsyh3AAB</v>
      </c>
      <c r="D169" s="12" t="str">
        <f>IFERROR(__xludf.DUMMYFUNCTION("""COMPUTED_VALUE"""),"Carla Posey")</f>
        <v>Carla Posey</v>
      </c>
      <c r="E169" s="12" t="str">
        <f>IFERROR(__xludf.DUMMYFUNCTION("""COMPUTED_VALUE"""),"carla.posey@workday.com")</f>
        <v>carla.posey@workday.com</v>
      </c>
      <c r="F169" s="12" t="str">
        <f>IFERROR(__xludf.DUMMYFUNCTION("""COMPUTED_VALUE"""),"Engagement Manager [Primary]")</f>
        <v>Engagement Manager [Primary]</v>
      </c>
    </row>
    <row r="170">
      <c r="A170" s="12" t="str">
        <f>IFERROR(__xludf.DUMMYFUNCTION("""COMPUTED_VALUE"""),"a0lVT000005zEw4YAE")</f>
        <v>a0lVT000005zEw4YAE</v>
      </c>
      <c r="B170" s="12" t="str">
        <f>IFERROR(__xludf.DUMMYFUNCTION("""COMPUTED_VALUE"""),"a0rVT000012Uu6LYAS")</f>
        <v>a0rVT000012Uu6LYAS</v>
      </c>
      <c r="C170" s="12" t="str">
        <f>IFERROR(__xludf.DUMMYFUNCTION("""COMPUTED_VALUE"""),"0034X00003T0xxhQAB")</f>
        <v>0034X00003T0xxhQAB</v>
      </c>
      <c r="D170" s="12" t="str">
        <f>IFERROR(__xludf.DUMMYFUNCTION("""COMPUTED_VALUE"""),"William Headrick")</f>
        <v>William Headrick</v>
      </c>
      <c r="E170" s="12" t="str">
        <f>IFERROR(__xludf.DUMMYFUNCTION("""COMPUTED_VALUE"""),"william.headrick@clearesult.com")</f>
        <v>william.headrick@clearesult.com</v>
      </c>
      <c r="F170" s="12" t="str">
        <f>IFERROR(__xludf.DUMMYFUNCTION("""COMPUTED_VALUE"""),"Project Manager [Customer]")</f>
        <v>Project Manager [Customer]</v>
      </c>
    </row>
    <row r="171">
      <c r="A171" s="12" t="str">
        <f>IFERROR(__xludf.DUMMYFUNCTION("""COMPUTED_VALUE"""),"a0lVT0000065PjtYAE")</f>
        <v>a0lVT0000065PjtYAE</v>
      </c>
      <c r="B171" s="12" t="str">
        <f>IFERROR(__xludf.DUMMYFUNCTION("""COMPUTED_VALUE"""),"a0rVT000012Uu6LYAS")</f>
        <v>a0rVT000012Uu6LYAS</v>
      </c>
      <c r="C171" s="12" t="str">
        <f>IFERROR(__xludf.DUMMYFUNCTION("""COMPUTED_VALUE"""),"0031B00002iqMZ3QAM")</f>
        <v>0031B00002iqMZ3QAM</v>
      </c>
      <c r="D171" s="12" t="str">
        <f>IFERROR(__xludf.DUMMYFUNCTION("""COMPUTED_VALUE"""),"Erin Smith")</f>
        <v>Erin Smith</v>
      </c>
      <c r="E171" s="12" t="str">
        <f>IFERROR(__xludf.DUMMYFUNCTION("""COMPUTED_VALUE"""),"erin.smith@workday.com")</f>
        <v>erin.smith@workday.com</v>
      </c>
      <c r="F171" s="12" t="str">
        <f>IFERROR(__xludf.DUMMYFUNCTION("""COMPUTED_VALUE"""),"Deployment Sponsor")</f>
        <v>Deployment Sponsor</v>
      </c>
    </row>
    <row r="172">
      <c r="A172" s="12" t="str">
        <f>IFERROR(__xludf.DUMMYFUNCTION("""COMPUTED_VALUE"""),"a0lVT0000065PjuYAE")</f>
        <v>a0lVT0000065PjuYAE</v>
      </c>
      <c r="B172" s="12" t="str">
        <f>IFERROR(__xludf.DUMMYFUNCTION("""COMPUTED_VALUE"""),"a0rVT000012Uu6LYAS")</f>
        <v>a0rVT000012Uu6LYAS</v>
      </c>
      <c r="C172" s="12" t="str">
        <f>IFERROR(__xludf.DUMMYFUNCTION("""COMPUTED_VALUE"""),"0034X00003T0xxhQAB")</f>
        <v>0034X00003T0xxhQAB</v>
      </c>
      <c r="D172" s="12" t="str">
        <f>IFERROR(__xludf.DUMMYFUNCTION("""COMPUTED_VALUE"""),"William Headrick")</f>
        <v>William Headrick</v>
      </c>
      <c r="E172" s="12" t="str">
        <f>IFERROR(__xludf.DUMMYFUNCTION("""COMPUTED_VALUE"""),"william.headrick@clearesult.com")</f>
        <v>william.headrick@clearesult.com</v>
      </c>
      <c r="F172" s="12" t="str">
        <f>IFERROR(__xludf.DUMMYFUNCTION("""COMPUTED_VALUE"""),"Executive Sponsor")</f>
        <v>Executive Sponsor</v>
      </c>
    </row>
    <row r="173">
      <c r="A173" s="12" t="str">
        <f>IFERROR(__xludf.DUMMYFUNCTION("""COMPUTED_VALUE"""),"a0lVT000005mUFRYA2")</f>
        <v>a0lVT000005mUFRYA2</v>
      </c>
      <c r="B173" s="12" t="str">
        <f>IFERROR(__xludf.DUMMYFUNCTION("""COMPUTED_VALUE"""),"a0rVT000012Uuj8YAC")</f>
        <v>a0rVT000012Uuj8YAC</v>
      </c>
      <c r="C173" s="12" t="str">
        <f>IFERROR(__xludf.DUMMYFUNCTION("""COMPUTED_VALUE"""),"00380000024qaNvAAI")</f>
        <v>00380000024qaNvAAI</v>
      </c>
      <c r="D173" s="12" t="str">
        <f>IFERROR(__xludf.DUMMYFUNCTION("""COMPUTED_VALUE"""),"Doris Pulsifer")</f>
        <v>Doris Pulsifer</v>
      </c>
      <c r="E173" s="12" t="str">
        <f>IFERROR(__xludf.DUMMYFUNCTION("""COMPUTED_VALUE"""),"doris.pulsifer@workday.com")</f>
        <v>doris.pulsifer@workday.com</v>
      </c>
      <c r="F173" s="12" t="str">
        <f>IFERROR(__xludf.DUMMYFUNCTION("""COMPUTED_VALUE"""),"Engagement Manager [Primary]")</f>
        <v>Engagement Manager [Primary]</v>
      </c>
    </row>
    <row r="174">
      <c r="A174" s="12" t="str">
        <f>IFERROR(__xludf.DUMMYFUNCTION("""COMPUTED_VALUE"""),"a0lVT000006GEZrYAO")</f>
        <v>a0lVT000006GEZrYAO</v>
      </c>
      <c r="B174" s="12" t="str">
        <f>IFERROR(__xludf.DUMMYFUNCTION("""COMPUTED_VALUE"""),"a0rVT000012UupVYAS")</f>
        <v>a0rVT000012UupVYAS</v>
      </c>
      <c r="C174" s="12" t="str">
        <f>IFERROR(__xludf.DUMMYFUNCTION("""COMPUTED_VALUE"""),"003VT00000iCDL7YAO")</f>
        <v>003VT00000iCDL7YAO</v>
      </c>
      <c r="D174" s="12" t="str">
        <f>IFERROR(__xludf.DUMMYFUNCTION("""COMPUTED_VALUE"""),"Dawn Espinal")</f>
        <v>Dawn Espinal</v>
      </c>
      <c r="E174" s="12" t="str">
        <f>IFERROR(__xludf.DUMMYFUNCTION("""COMPUTED_VALUE"""),"d.espinal@workday.com")</f>
        <v>d.espinal@workday.com</v>
      </c>
      <c r="F174" s="12" t="str">
        <f>IFERROR(__xludf.DUMMYFUNCTION("""COMPUTED_VALUE"""),"Engagement Manager [Primary]")</f>
        <v>Engagement Manager [Primary]</v>
      </c>
    </row>
    <row r="175">
      <c r="A175" s="12" t="str">
        <f>IFERROR(__xludf.DUMMYFUNCTION("""COMPUTED_VALUE"""),"a0lVT000005qZV3YAM")</f>
        <v>a0lVT000005qZV3YAM</v>
      </c>
      <c r="B175" s="12" t="str">
        <f>IFERROR(__xludf.DUMMYFUNCTION("""COMPUTED_VALUE"""),"a0rVT000012UyI1YAK")</f>
        <v>a0rVT000012UyI1YAK</v>
      </c>
      <c r="C175" s="12" t="str">
        <f>IFERROR(__xludf.DUMMYFUNCTION("""COMPUTED_VALUE"""),"0038000001cCYY3AAO")</f>
        <v>0038000001cCYY3AAO</v>
      </c>
      <c r="D175" s="12" t="str">
        <f>IFERROR(__xludf.DUMMYFUNCTION("""COMPUTED_VALUE"""),"Josh Fairbanks")</f>
        <v>Josh Fairbanks</v>
      </c>
      <c r="E175" s="12" t="str">
        <f>IFERROR(__xludf.DUMMYFUNCTION("""COMPUTED_VALUE"""),"josh.fairbanks@workday.com")</f>
        <v>josh.fairbanks@workday.com</v>
      </c>
      <c r="F175" s="12" t="str">
        <f>IFERROR(__xludf.DUMMYFUNCTION("""COMPUTED_VALUE"""),"Engagement Manager [Primary]")</f>
        <v>Engagement Manager [Primary]</v>
      </c>
    </row>
    <row r="176">
      <c r="A176" s="12" t="str">
        <f>IFERROR(__xludf.DUMMYFUNCTION("""COMPUTED_VALUE"""),"a0lVT0000062SG5YAM")</f>
        <v>a0lVT0000062SG5YAM</v>
      </c>
      <c r="B176" s="12" t="str">
        <f>IFERROR(__xludf.DUMMYFUNCTION("""COMPUTED_VALUE"""),"a0rVT000012UzSbYAK")</f>
        <v>a0rVT000012UzSbYAK</v>
      </c>
      <c r="C176" s="12" t="str">
        <f>IFERROR(__xludf.DUMMYFUNCTION("""COMPUTED_VALUE"""),"003VT00000fcEf6YAE")</f>
        <v>003VT00000fcEf6YAE</v>
      </c>
      <c r="D176" s="12" t="str">
        <f>IFERROR(__xludf.DUMMYFUNCTION("""COMPUTED_VALUE"""),"Nichole Maher")</f>
        <v>Nichole Maher</v>
      </c>
      <c r="E176" s="12" t="str">
        <f>IFERROR(__xludf.DUMMYFUNCTION("""COMPUTED_VALUE"""),"nichole.maher@workday.com")</f>
        <v>nichole.maher@workday.com</v>
      </c>
      <c r="F176" s="12" t="str">
        <f>IFERROR(__xludf.DUMMYFUNCTION("""COMPUTED_VALUE"""),"Engagement Manager [Primary]")</f>
        <v>Engagement Manager [Primary]</v>
      </c>
    </row>
    <row r="177">
      <c r="A177" s="12" t="str">
        <f>IFERROR(__xludf.DUMMYFUNCTION("""COMPUTED_VALUE"""),"a0lVT000005mXBhYAM")</f>
        <v>a0lVT000005mXBhYAM</v>
      </c>
      <c r="B177" s="12" t="str">
        <f>IFERROR(__xludf.DUMMYFUNCTION("""COMPUTED_VALUE"""),"a0rVT000012V0dQYAS")</f>
        <v>a0rVT000012V0dQYAS</v>
      </c>
      <c r="C177" s="12" t="str">
        <f>IFERROR(__xludf.DUMMYFUNCTION("""COMPUTED_VALUE"""),"00380000024qaNvAAI")</f>
        <v>00380000024qaNvAAI</v>
      </c>
      <c r="D177" s="12" t="str">
        <f>IFERROR(__xludf.DUMMYFUNCTION("""COMPUTED_VALUE"""),"Doris Pulsifer")</f>
        <v>Doris Pulsifer</v>
      </c>
      <c r="E177" s="12" t="str">
        <f>IFERROR(__xludf.DUMMYFUNCTION("""COMPUTED_VALUE"""),"doris.pulsifer@workday.com")</f>
        <v>doris.pulsifer@workday.com</v>
      </c>
      <c r="F177" s="12" t="str">
        <f>IFERROR(__xludf.DUMMYFUNCTION("""COMPUTED_VALUE"""),"Engagement Manager [Primary]")</f>
        <v>Engagement Manager [Primary]</v>
      </c>
    </row>
    <row r="178">
      <c r="A178" s="12" t="str">
        <f>IFERROR(__xludf.DUMMYFUNCTION("""COMPUTED_VALUE"""),"a0lVT000006GBgnYAG")</f>
        <v>a0lVT000006GBgnYAG</v>
      </c>
      <c r="B178" s="12" t="str">
        <f>IFERROR(__xludf.DUMMYFUNCTION("""COMPUTED_VALUE"""),"a0rVT000012V0dQYAS")</f>
        <v>a0rVT000012V0dQYAS</v>
      </c>
      <c r="C178" s="12" t="str">
        <f>IFERROR(__xludf.DUMMYFUNCTION("""COMPUTED_VALUE"""),"003VT00000gbmNGYAY")</f>
        <v>003VT00000gbmNGYAY</v>
      </c>
      <c r="D178" s="12" t="str">
        <f>IFERROR(__xludf.DUMMYFUNCTION("""COMPUTED_VALUE"""),"Marcus Foden")</f>
        <v>Marcus Foden</v>
      </c>
      <c r="E178" s="12" t="str">
        <f>IFERROR(__xludf.DUMMYFUNCTION("""COMPUTED_VALUE"""),"marcus.foden@groundworks.com")</f>
        <v>marcus.foden@groundworks.com</v>
      </c>
      <c r="F178" s="12" t="str">
        <f>IFERROR(__xludf.DUMMYFUNCTION("""COMPUTED_VALUE"""),"Project Manager [Customer]")</f>
        <v>Project Manager [Customer]</v>
      </c>
    </row>
    <row r="179">
      <c r="A179" s="12" t="str">
        <f>IFERROR(__xludf.DUMMYFUNCTION("""COMPUTED_VALUE"""),"a0lVT000006GBgoYAG")</f>
        <v>a0lVT000006GBgoYAG</v>
      </c>
      <c r="B179" s="12" t="str">
        <f>IFERROR(__xludf.DUMMYFUNCTION("""COMPUTED_VALUE"""),"a0rVT000012V0dQYAS")</f>
        <v>a0rVT000012V0dQYAS</v>
      </c>
      <c r="C179" s="12" t="str">
        <f>IFERROR(__xludf.DUMMYFUNCTION("""COMPUTED_VALUE"""),"003VT00000gbmNGYAY")</f>
        <v>003VT00000gbmNGYAY</v>
      </c>
      <c r="D179" s="12" t="str">
        <f>IFERROR(__xludf.DUMMYFUNCTION("""COMPUTED_VALUE"""),"Marcus Foden")</f>
        <v>Marcus Foden</v>
      </c>
      <c r="E179" s="12" t="str">
        <f>IFERROR(__xludf.DUMMYFUNCTION("""COMPUTED_VALUE"""),"marcus.foden@groundworks.com")</f>
        <v>marcus.foden@groundworks.com</v>
      </c>
      <c r="F179" s="12" t="str">
        <f>IFERROR(__xludf.DUMMYFUNCTION("""COMPUTED_VALUE"""),"Executive Sponsor")</f>
        <v>Executive Sponsor</v>
      </c>
    </row>
    <row r="180">
      <c r="A180" s="12" t="str">
        <f>IFERROR(__xludf.DUMMYFUNCTION("""COMPUTED_VALUE"""),"a0lVT000005mVJZYA2")</f>
        <v>a0lVT000005mVJZYA2</v>
      </c>
      <c r="B180" s="12" t="str">
        <f>IFERROR(__xludf.DUMMYFUNCTION("""COMPUTED_VALUE"""),"a0rVT000012V1CkYAK")</f>
        <v>a0rVT000012V1CkYAK</v>
      </c>
      <c r="C180" s="12" t="str">
        <f>IFERROR(__xludf.DUMMYFUNCTION("""COMPUTED_VALUE"""),"00380000024qaNvAAI")</f>
        <v>00380000024qaNvAAI</v>
      </c>
      <c r="D180" s="12" t="str">
        <f>IFERROR(__xludf.DUMMYFUNCTION("""COMPUTED_VALUE"""),"Doris Pulsifer")</f>
        <v>Doris Pulsifer</v>
      </c>
      <c r="E180" s="12" t="str">
        <f>IFERROR(__xludf.DUMMYFUNCTION("""COMPUTED_VALUE"""),"doris.pulsifer@workday.com")</f>
        <v>doris.pulsifer@workday.com</v>
      </c>
      <c r="F180" s="12" t="str">
        <f>IFERROR(__xludf.DUMMYFUNCTION("""COMPUTED_VALUE"""),"Engagement Manager [Secondary]")</f>
        <v>Engagement Manager [Secondary]</v>
      </c>
    </row>
    <row r="181">
      <c r="A181" s="12" t="str">
        <f>IFERROR(__xludf.DUMMYFUNCTION("""COMPUTED_VALUE"""),"a0lVT000005uAJZYA2")</f>
        <v>a0lVT000005uAJZYA2</v>
      </c>
      <c r="B181" s="12" t="str">
        <f>IFERROR(__xludf.DUMMYFUNCTION("""COMPUTED_VALUE"""),"a0rVT000012V1CkYAK")</f>
        <v>a0rVT000012V1CkYAK</v>
      </c>
      <c r="C181" s="12" t="str">
        <f>IFERROR(__xludf.DUMMYFUNCTION("""COMPUTED_VALUE"""),"0034X00003T34n6QAB")</f>
        <v>0034X00003T34n6QAB</v>
      </c>
      <c r="D181" s="12" t="str">
        <f>IFERROR(__xludf.DUMMYFUNCTION("""COMPUTED_VALUE"""),"Weston Anderson")</f>
        <v>Weston Anderson</v>
      </c>
      <c r="E181" s="12" t="str">
        <f>IFERROR(__xludf.DUMMYFUNCTION("""COMPUTED_VALUE"""),"weston.anderson@workday.com")</f>
        <v>weston.anderson@workday.com</v>
      </c>
      <c r="F181" s="12" t="str">
        <f>IFERROR(__xludf.DUMMYFUNCTION("""COMPUTED_VALUE"""),"Engagement Manager [Primary]")</f>
        <v>Engagement Manager [Primary]</v>
      </c>
    </row>
    <row r="182">
      <c r="A182" s="12" t="str">
        <f>IFERROR(__xludf.DUMMYFUNCTION("""COMPUTED_VALUE"""),"a0lVT000005mUiTYAU")</f>
        <v>a0lVT000005mUiTYAU</v>
      </c>
      <c r="B182" s="12" t="str">
        <f>IFERROR(__xludf.DUMMYFUNCTION("""COMPUTED_VALUE"""),"a0rVT000012V1e5YAC")</f>
        <v>a0rVT000012V1e5YAC</v>
      </c>
      <c r="C182" s="12" t="str">
        <f>IFERROR(__xludf.DUMMYFUNCTION("""COMPUTED_VALUE"""),"00380000024qaNvAAI")</f>
        <v>00380000024qaNvAAI</v>
      </c>
      <c r="D182" s="12" t="str">
        <f>IFERROR(__xludf.DUMMYFUNCTION("""COMPUTED_VALUE"""),"Doris Pulsifer")</f>
        <v>Doris Pulsifer</v>
      </c>
      <c r="E182" s="12" t="str">
        <f>IFERROR(__xludf.DUMMYFUNCTION("""COMPUTED_VALUE"""),"doris.pulsifer@workday.com")</f>
        <v>doris.pulsifer@workday.com</v>
      </c>
      <c r="F182" s="12" t="str">
        <f>IFERROR(__xludf.DUMMYFUNCTION("""COMPUTED_VALUE"""),"Engagement Manager [Primary]")</f>
        <v>Engagement Manager [Primary]</v>
      </c>
    </row>
    <row r="183">
      <c r="A183" s="12" t="str">
        <f>IFERROR(__xludf.DUMMYFUNCTION("""COMPUTED_VALUE"""),"a0lVT000005trnBYAQ")</f>
        <v>a0lVT000005trnBYAQ</v>
      </c>
      <c r="B183" s="12" t="str">
        <f>IFERROR(__xludf.DUMMYFUNCTION("""COMPUTED_VALUE"""),"a0rVT000012V2K1YAK")</f>
        <v>a0rVT000012V2K1YAK</v>
      </c>
      <c r="C183" s="12" t="str">
        <f>IFERROR(__xludf.DUMMYFUNCTION("""COMPUTED_VALUE"""),"0031B00002oKPyoQAG")</f>
        <v>0031B00002oKPyoQAG</v>
      </c>
      <c r="D183" s="12" t="str">
        <f>IFERROR(__xludf.DUMMYFUNCTION("""COMPUTED_VALUE"""),"Clint Maddy")</f>
        <v>Clint Maddy</v>
      </c>
      <c r="E183" s="12" t="str">
        <f>IFERROR(__xludf.DUMMYFUNCTION("""COMPUTED_VALUE"""),"clint.maddy@workday.com")</f>
        <v>clint.maddy@workday.com</v>
      </c>
      <c r="F183" s="12" t="str">
        <f>IFERROR(__xludf.DUMMYFUNCTION("""COMPUTED_VALUE"""),"Engagement Manager [Primary]")</f>
        <v>Engagement Manager [Primary]</v>
      </c>
    </row>
    <row r="184">
      <c r="A184" s="12" t="str">
        <f>IFERROR(__xludf.DUMMYFUNCTION("""COMPUTED_VALUE"""),"a0lVT000006Mxu1YAC")</f>
        <v>a0lVT000006Mxu1YAC</v>
      </c>
      <c r="B184" s="12" t="str">
        <f>IFERROR(__xludf.DUMMYFUNCTION("""COMPUTED_VALUE"""),"a0rVT000012V3snYAC")</f>
        <v>a0rVT000012V3snYAC</v>
      </c>
      <c r="C184" s="12" t="str">
        <f>IFERROR(__xludf.DUMMYFUNCTION("""COMPUTED_VALUE"""),"00380000021wifiAAA")</f>
        <v>00380000021wifiAAA</v>
      </c>
      <c r="D184" s="12" t="str">
        <f>IFERROR(__xludf.DUMMYFUNCTION("""COMPUTED_VALUE"""),"Keith Lawless")</f>
        <v>Keith Lawless</v>
      </c>
      <c r="E184" s="12" t="str">
        <f>IFERROR(__xludf.DUMMYFUNCTION("""COMPUTED_VALUE"""),"keith.lawless@workday.com")</f>
        <v>keith.lawless@workday.com</v>
      </c>
      <c r="F184" s="12" t="str">
        <f>IFERROR(__xludf.DUMMYFUNCTION("""COMPUTED_VALUE"""),"Deployment Sponsor")</f>
        <v>Deployment Sponsor</v>
      </c>
    </row>
    <row r="185">
      <c r="A185" s="12" t="str">
        <f>IFERROR(__xludf.DUMMYFUNCTION("""COMPUTED_VALUE"""),"a0lVT000005mUvNYAU")</f>
        <v>a0lVT000005mUvNYAU</v>
      </c>
      <c r="B185" s="12" t="str">
        <f>IFERROR(__xludf.DUMMYFUNCTION("""COMPUTED_VALUE"""),"a0rVT000012V3snYAC")</f>
        <v>a0rVT000012V3snYAC</v>
      </c>
      <c r="C185" s="12" t="str">
        <f>IFERROR(__xludf.DUMMYFUNCTION("""COMPUTED_VALUE"""),"00380000024qaNvAAI")</f>
        <v>00380000024qaNvAAI</v>
      </c>
      <c r="D185" s="12" t="str">
        <f>IFERROR(__xludf.DUMMYFUNCTION("""COMPUTED_VALUE"""),"Doris Pulsifer")</f>
        <v>Doris Pulsifer</v>
      </c>
      <c r="E185" s="12" t="str">
        <f>IFERROR(__xludf.DUMMYFUNCTION("""COMPUTED_VALUE"""),"doris.pulsifer@workday.com")</f>
        <v>doris.pulsifer@workday.com</v>
      </c>
      <c r="F185" s="12" t="str">
        <f>IFERROR(__xludf.DUMMYFUNCTION("""COMPUTED_VALUE"""),"Engagement Manager [Primary]")</f>
        <v>Engagement Manager [Primary]</v>
      </c>
    </row>
    <row r="186">
      <c r="A186" s="12" t="str">
        <f>IFERROR(__xludf.DUMMYFUNCTION("""COMPUTED_VALUE"""),"a0lVT000006I405YAC")</f>
        <v>a0lVT000006I405YAC</v>
      </c>
      <c r="B186" s="12" t="str">
        <f>IFERROR(__xludf.DUMMYFUNCTION("""COMPUTED_VALUE"""),"a0rVT000012V3snYAC")</f>
        <v>a0rVT000012V3snYAC</v>
      </c>
      <c r="C186" s="12" t="str">
        <f>IFERROR(__xludf.DUMMYFUNCTION("""COMPUTED_VALUE"""),"0034X00003NxKzqQAF")</f>
        <v>0034X00003NxKzqQAF</v>
      </c>
      <c r="D186" s="12" t="str">
        <f>IFERROR(__xludf.DUMMYFUNCTION("""COMPUTED_VALUE"""),"Jadzia Walczyk")</f>
        <v>Jadzia Walczyk</v>
      </c>
      <c r="E186" s="12" t="str">
        <f>IFERROR(__xludf.DUMMYFUNCTION("""COMPUTED_VALUE"""),"jadwiga.walczyk@workday.com")</f>
        <v>jadwiga.walczyk@workday.com</v>
      </c>
      <c r="F186" s="12" t="str">
        <f>IFERROR(__xludf.DUMMYFUNCTION("""COMPUTED_VALUE"""),"Engagement Manager [Primary]")</f>
        <v>Engagement Manager [Primary]</v>
      </c>
    </row>
    <row r="187">
      <c r="A187" s="12" t="str">
        <f>IFERROR(__xludf.DUMMYFUNCTION("""COMPUTED_VALUE"""),"a0lVT000005xmovYAA")</f>
        <v>a0lVT000005xmovYAA</v>
      </c>
      <c r="B187" s="12" t="str">
        <f>IFERROR(__xludf.DUMMYFUNCTION("""COMPUTED_VALUE"""),"a0rVT000012V4iQYAS")</f>
        <v>a0rVT000012V4iQYAS</v>
      </c>
      <c r="C187" s="12" t="str">
        <f>IFERROR(__xludf.DUMMYFUNCTION("""COMPUTED_VALUE"""),"003VT00000kOt2UYAS")</f>
        <v>003VT00000kOt2UYAS</v>
      </c>
      <c r="D187" s="12" t="str">
        <f>IFERROR(__xludf.DUMMYFUNCTION("""COMPUTED_VALUE"""),"Tim Le Maire")</f>
        <v>Tim Le Maire</v>
      </c>
      <c r="E187" s="12" t="str">
        <f>IFERROR(__xludf.DUMMYFUNCTION("""COMPUTED_VALUE"""),"tim.lemaire@workday.com")</f>
        <v>tim.lemaire@workday.com</v>
      </c>
      <c r="F187" s="12" t="str">
        <f>IFERROR(__xludf.DUMMYFUNCTION("""COMPUTED_VALUE"""),"Engagement Manager [Secondary]")</f>
        <v>Engagement Manager [Secondary]</v>
      </c>
    </row>
    <row r="188">
      <c r="A188" s="12" t="str">
        <f>IFERROR(__xludf.DUMMYFUNCTION("""COMPUTED_VALUE"""),"a0lVT00000604hhYAA")</f>
        <v>a0lVT00000604hhYAA</v>
      </c>
      <c r="B188" s="12" t="str">
        <f>IFERROR(__xludf.DUMMYFUNCTION("""COMPUTED_VALUE"""),"a0rVT000012V4iQYAS")</f>
        <v>a0rVT000012V4iQYAS</v>
      </c>
      <c r="C188" s="12" t="str">
        <f>IFERROR(__xludf.DUMMYFUNCTION("""COMPUTED_VALUE"""),"0034X00003EtGr8QAF")</f>
        <v>0034X00003EtGr8QAF</v>
      </c>
      <c r="D188" s="12" t="str">
        <f>IFERROR(__xludf.DUMMYFUNCTION("""COMPUTED_VALUE"""),"Aaron Barnes")</f>
        <v>Aaron Barnes</v>
      </c>
      <c r="E188" s="12" t="str">
        <f>IFERROR(__xludf.DUMMYFUNCTION("""COMPUTED_VALUE"""),"aaron.barnes@workday.com")</f>
        <v>aaron.barnes@workday.com</v>
      </c>
      <c r="F188" s="12" t="str">
        <f>IFERROR(__xludf.DUMMYFUNCTION("""COMPUTED_VALUE"""),"Deployment Sponsor")</f>
        <v>Deployment Sponsor</v>
      </c>
    </row>
    <row r="189">
      <c r="A189" s="12" t="str">
        <f>IFERROR(__xludf.DUMMYFUNCTION("""COMPUTED_VALUE"""),"a0lVT00000638X3YAI")</f>
        <v>a0lVT00000638X3YAI</v>
      </c>
      <c r="B189" s="12" t="str">
        <f>IFERROR(__xludf.DUMMYFUNCTION("""COMPUTED_VALUE"""),"a0rVT000012V4iQYAS")</f>
        <v>a0rVT000012V4iQYAS</v>
      </c>
      <c r="C189" s="12" t="str">
        <f>IFERROR(__xludf.DUMMYFUNCTION("""COMPUTED_VALUE"""),"0034X00002vq8LQQAY")</f>
        <v>0034X00002vq8LQQAY</v>
      </c>
      <c r="D189" s="12" t="str">
        <f>IFERROR(__xludf.DUMMYFUNCTION("""COMPUTED_VALUE"""),"Fanny TROUDE")</f>
        <v>Fanny TROUDE</v>
      </c>
      <c r="E189" s="12" t="str">
        <f>IFERROR(__xludf.DUMMYFUNCTION("""COMPUTED_VALUE"""),"ftroude@deloitte.fr")</f>
        <v>ftroude@deloitte.fr</v>
      </c>
      <c r="F189" s="12" t="str">
        <f>IFERROR(__xludf.DUMMYFUNCTION("""COMPUTED_VALUE"""),"Project Manager [Customer]")</f>
        <v>Project Manager [Customer]</v>
      </c>
    </row>
    <row r="190">
      <c r="A190" s="12" t="str">
        <f>IFERROR(__xludf.DUMMYFUNCTION("""COMPUTED_VALUE"""),"a0lVT00000638YfYAI")</f>
        <v>a0lVT00000638YfYAI</v>
      </c>
      <c r="B190" s="12" t="str">
        <f>IFERROR(__xludf.DUMMYFUNCTION("""COMPUTED_VALUE"""),"a0rVT000012V4iQYAS")</f>
        <v>a0rVT000012V4iQYAS</v>
      </c>
      <c r="C190" s="12" t="str">
        <f>IFERROR(__xludf.DUMMYFUNCTION("""COMPUTED_VALUE"""),"0034X00003GO1FkQAL")</f>
        <v>0034X00003GO1FkQAL</v>
      </c>
      <c r="D190" s="12" t="str">
        <f>IFERROR(__xludf.DUMMYFUNCTION("""COMPUTED_VALUE"""),"Véronique Violin-Revenu")</f>
        <v>Véronique Violin-Revenu</v>
      </c>
      <c r="E190" s="12" t="str">
        <f>IFERROR(__xludf.DUMMYFUNCTION("""COMPUTED_VALUE"""),"v.violinrevenu@deloitte.fr")</f>
        <v>v.violinrevenu@deloitte.fr</v>
      </c>
      <c r="F190" s="12" t="str">
        <f>IFERROR(__xludf.DUMMYFUNCTION("""COMPUTED_VALUE"""),"Executive Sponsor")</f>
        <v>Executive Sponsor</v>
      </c>
    </row>
    <row r="191">
      <c r="A191" s="12" t="str">
        <f>IFERROR(__xludf.DUMMYFUNCTION("""COMPUTED_VALUE"""),"a0lVT000005xUlZYAU")</f>
        <v>a0lVT000005xUlZYAU</v>
      </c>
      <c r="B191" s="12" t="str">
        <f>IFERROR(__xludf.DUMMYFUNCTION("""COMPUTED_VALUE"""),"a0rVT000012V8EUYA0")</f>
        <v>a0rVT000012V8EUYA0</v>
      </c>
      <c r="C191" s="12" t="str">
        <f>IFERROR(__xludf.DUMMYFUNCTION("""COMPUTED_VALUE"""),"003VT00000JfnhlYAB")</f>
        <v>003VT00000JfnhlYAB</v>
      </c>
      <c r="D191" s="12" t="str">
        <f>IFERROR(__xludf.DUMMYFUNCTION("""COMPUTED_VALUE"""),"Ben Gledhill")</f>
        <v>Ben Gledhill</v>
      </c>
      <c r="E191" s="12" t="str">
        <f>IFERROR(__xludf.DUMMYFUNCTION("""COMPUTED_VALUE"""),"benjamin.gledhill@stagecoach.com")</f>
        <v>benjamin.gledhill@stagecoach.com</v>
      </c>
      <c r="F191" s="12" t="str">
        <f>IFERROR(__xludf.DUMMYFUNCTION("""COMPUTED_VALUE"""),"Project Manager [Customer]")</f>
        <v>Project Manager [Customer]</v>
      </c>
    </row>
    <row r="192">
      <c r="A192" s="12" t="str">
        <f>IFERROR(__xludf.DUMMYFUNCTION("""COMPUTED_VALUE"""),"a0lVT000005sn45YAA")</f>
        <v>a0lVT000005sn45YAA</v>
      </c>
      <c r="B192" s="12" t="str">
        <f>IFERROR(__xludf.DUMMYFUNCTION("""COMPUTED_VALUE"""),"a0rVT000012V8EUYA0")</f>
        <v>a0rVT000012V8EUYA0</v>
      </c>
      <c r="C192" s="12" t="str">
        <f>IFERROR(__xludf.DUMMYFUNCTION("""COMPUTED_VALUE"""),"003VT00000kOt2UYAS")</f>
        <v>003VT00000kOt2UYAS</v>
      </c>
      <c r="D192" s="12" t="str">
        <f>IFERROR(__xludf.DUMMYFUNCTION("""COMPUTED_VALUE"""),"Tim Le Maire")</f>
        <v>Tim Le Maire</v>
      </c>
      <c r="E192" s="12" t="str">
        <f>IFERROR(__xludf.DUMMYFUNCTION("""COMPUTED_VALUE"""),"tim.lemaire@workday.com")</f>
        <v>tim.lemaire@workday.com</v>
      </c>
      <c r="F192" s="12" t="str">
        <f>IFERROR(__xludf.DUMMYFUNCTION("""COMPUTED_VALUE"""),"Engagement Manager [Primary]")</f>
        <v>Engagement Manager [Primary]</v>
      </c>
    </row>
    <row r="193">
      <c r="A193" s="12" t="str">
        <f>IFERROR(__xludf.DUMMYFUNCTION("""COMPUTED_VALUE"""),"a0lVT000005xV6XYAU")</f>
        <v>a0lVT000005xV6XYAU</v>
      </c>
      <c r="B193" s="12" t="str">
        <f>IFERROR(__xludf.DUMMYFUNCTION("""COMPUTED_VALUE"""),"a0rVT000012V8EUYA0")</f>
        <v>a0rVT000012V8EUYA0</v>
      </c>
      <c r="C193" s="12" t="str">
        <f>IFERROR(__xludf.DUMMYFUNCTION("""COMPUTED_VALUE"""),"0034X00003EtGr8QAF")</f>
        <v>0034X00003EtGr8QAF</v>
      </c>
      <c r="D193" s="12" t="str">
        <f>IFERROR(__xludf.DUMMYFUNCTION("""COMPUTED_VALUE"""),"Aaron Barnes")</f>
        <v>Aaron Barnes</v>
      </c>
      <c r="E193" s="12" t="str">
        <f>IFERROR(__xludf.DUMMYFUNCTION("""COMPUTED_VALUE"""),"aaron.barnes@workday.com")</f>
        <v>aaron.barnes@workday.com</v>
      </c>
      <c r="F193" s="12" t="str">
        <f>IFERROR(__xludf.DUMMYFUNCTION("""COMPUTED_VALUE"""),"Deployment Sponsor")</f>
        <v>Deployment Sponsor</v>
      </c>
    </row>
    <row r="194">
      <c r="A194" s="12" t="str">
        <f>IFERROR(__xludf.DUMMYFUNCTION("""COMPUTED_VALUE"""),"a0lVT000005xUqPYAU")</f>
        <v>a0lVT000005xUqPYAU</v>
      </c>
      <c r="B194" s="12" t="str">
        <f>IFERROR(__xludf.DUMMYFUNCTION("""COMPUTED_VALUE"""),"a0rVT000012V8EUYA0")</f>
        <v>a0rVT000012V8EUYA0</v>
      </c>
      <c r="C194" s="12" t="str">
        <f>IFERROR(__xludf.DUMMYFUNCTION("""COMPUTED_VALUE"""),"003VT00000JfnhlYAB")</f>
        <v>003VT00000JfnhlYAB</v>
      </c>
      <c r="D194" s="12" t="str">
        <f>IFERROR(__xludf.DUMMYFUNCTION("""COMPUTED_VALUE"""),"Ben Gledhill")</f>
        <v>Ben Gledhill</v>
      </c>
      <c r="E194" s="12" t="str">
        <f>IFERROR(__xludf.DUMMYFUNCTION("""COMPUTED_VALUE"""),"benjamin.gledhill@stagecoach.com")</f>
        <v>benjamin.gledhill@stagecoach.com</v>
      </c>
      <c r="F194" s="12" t="str">
        <f>IFERROR(__xludf.DUMMYFUNCTION("""COMPUTED_VALUE"""),"Executive Sponsor")</f>
        <v>Executive Sponsor</v>
      </c>
    </row>
    <row r="195">
      <c r="A195" s="12" t="str">
        <f>IFERROR(__xludf.DUMMYFUNCTION("""COMPUTED_VALUE"""),"a0lVT000005mXWfYAM")</f>
        <v>a0lVT000005mXWfYAM</v>
      </c>
      <c r="B195" s="12" t="str">
        <f>IFERROR(__xludf.DUMMYFUNCTION("""COMPUTED_VALUE"""),"a0rVT000012V8EUYA0")</f>
        <v>a0rVT000012V8EUYA0</v>
      </c>
      <c r="C195" s="12" t="str">
        <f>IFERROR(__xludf.DUMMYFUNCTION("""COMPUTED_VALUE"""),"0034X00003EsqyPQAR")</f>
        <v>0034X00003EsqyPQAR</v>
      </c>
      <c r="D195" s="12" t="str">
        <f>IFERROR(__xludf.DUMMYFUNCTION("""COMPUTED_VALUE"""),"Oshima Bajaj")</f>
        <v>Oshima Bajaj</v>
      </c>
      <c r="E195" s="12" t="str">
        <f>IFERROR(__xludf.DUMMYFUNCTION("""COMPUTED_VALUE"""),"oshima.bajaj@workday.com")</f>
        <v>oshima.bajaj@workday.com</v>
      </c>
      <c r="F195" s="12" t="str">
        <f>IFERROR(__xludf.DUMMYFUNCTION("""COMPUTED_VALUE"""),"Engagement Manager [Secondary]")</f>
        <v>Engagement Manager [Secondary]</v>
      </c>
    </row>
    <row r="196">
      <c r="A196" s="12" t="str">
        <f>IFERROR(__xludf.DUMMYFUNCTION("""COMPUTED_VALUE"""),"a0lVT000006M2feYAC")</f>
        <v>a0lVT000006M2feYAC</v>
      </c>
      <c r="B196" s="12" t="str">
        <f>IFERROR(__xludf.DUMMYFUNCTION("""COMPUTED_VALUE"""),"a0rVT000012V90XYAS")</f>
        <v>a0rVT000012V90XYAS</v>
      </c>
      <c r="C196" s="12" t="str">
        <f>IFERROR(__xludf.DUMMYFUNCTION("""COMPUTED_VALUE"""),"0034X00003EtGr8QAF")</f>
        <v>0034X00003EtGr8QAF</v>
      </c>
      <c r="D196" s="12" t="str">
        <f>IFERROR(__xludf.DUMMYFUNCTION("""COMPUTED_VALUE"""),"Aaron Barnes")</f>
        <v>Aaron Barnes</v>
      </c>
      <c r="E196" s="12" t="str">
        <f>IFERROR(__xludf.DUMMYFUNCTION("""COMPUTED_VALUE"""),"aaron.barnes@workday.com")</f>
        <v>aaron.barnes@workday.com</v>
      </c>
      <c r="F196" s="12" t="str">
        <f>IFERROR(__xludf.DUMMYFUNCTION("""COMPUTED_VALUE"""),"Deployment Sponsor")</f>
        <v>Deployment Sponsor</v>
      </c>
    </row>
    <row r="197">
      <c r="A197" s="12" t="str">
        <f>IFERROR(__xludf.DUMMYFUNCTION("""COMPUTED_VALUE"""),"a0lVT000006OD0gYAG")</f>
        <v>a0lVT000006OD0gYAG</v>
      </c>
      <c r="B197" s="12" t="str">
        <f>IFERROR(__xludf.DUMMYFUNCTION("""COMPUTED_VALUE"""),"a0rVT000012V90XYAS")</f>
        <v>a0rVT000012V90XYAS</v>
      </c>
      <c r="C197" s="12" t="str">
        <f>IFERROR(__xludf.DUMMYFUNCTION("""COMPUTED_VALUE"""),"003VT00000fc0ukYAA")</f>
        <v>003VT00000fc0ukYAA</v>
      </c>
      <c r="D197" s="12" t="str">
        <f>IFERROR(__xludf.DUMMYFUNCTION("""COMPUTED_VALUE"""),"Sarah Schildts")</f>
        <v>Sarah Schildts</v>
      </c>
      <c r="E197" s="12" t="str">
        <f>IFERROR(__xludf.DUMMYFUNCTION("""COMPUTED_VALUE"""),"sarah.schildts@sfellc.org")</f>
        <v>sarah.schildts@sfellc.org</v>
      </c>
      <c r="F197" s="12" t="str">
        <f>IFERROR(__xludf.DUMMYFUNCTION("""COMPUTED_VALUE"""),"Project Manager [Customer]")</f>
        <v>Project Manager [Customer]</v>
      </c>
    </row>
    <row r="198">
      <c r="A198" s="12" t="str">
        <f>IFERROR(__xludf.DUMMYFUNCTION("""COMPUTED_VALUE"""),"a0lVT000006M2fdYAC")</f>
        <v>a0lVT000006M2fdYAC</v>
      </c>
      <c r="B198" s="12" t="str">
        <f>IFERROR(__xludf.DUMMYFUNCTION("""COMPUTED_VALUE"""),"a0rVT000012V90XYAS")</f>
        <v>a0rVT000012V90XYAS</v>
      </c>
      <c r="C198" s="12" t="str">
        <f>IFERROR(__xludf.DUMMYFUNCTION("""COMPUTED_VALUE"""),"003VT00000fc4sgYAA")</f>
        <v>003VT00000fc4sgYAA</v>
      </c>
      <c r="D198" s="12" t="str">
        <f>IFERROR(__xludf.DUMMYFUNCTION("""COMPUTED_VALUE"""),"Kat Evans")</f>
        <v>Kat Evans</v>
      </c>
      <c r="E198" s="12" t="str">
        <f>IFERROR(__xludf.DUMMYFUNCTION("""COMPUTED_VALUE"""),"kat.matasova@workday.com")</f>
        <v>kat.matasova@workday.com</v>
      </c>
      <c r="F198" s="12" t="str">
        <f>IFERROR(__xludf.DUMMYFUNCTION("""COMPUTED_VALUE"""),"Engagement Manager [Primary]")</f>
        <v>Engagement Manager [Primary]</v>
      </c>
    </row>
    <row r="199">
      <c r="A199" s="12" t="str">
        <f>IFERROR(__xludf.DUMMYFUNCTION("""COMPUTED_VALUE"""),"a0lVT000006OD0fYAG")</f>
        <v>a0lVT000006OD0fYAG</v>
      </c>
      <c r="B199" s="12" t="str">
        <f>IFERROR(__xludf.DUMMYFUNCTION("""COMPUTED_VALUE"""),"a0rVT000012V90XYAS")</f>
        <v>a0rVT000012V90XYAS</v>
      </c>
      <c r="C199" s="12" t="str">
        <f>IFERROR(__xludf.DUMMYFUNCTION("""COMPUTED_VALUE"""),"003VT00000oRzemYAC")</f>
        <v>003VT00000oRzemYAC</v>
      </c>
      <c r="D199" s="12" t="str">
        <f>IFERROR(__xludf.DUMMYFUNCTION("""COMPUTED_VALUE"""),"Jamie Hilt")</f>
        <v>Jamie Hilt</v>
      </c>
      <c r="E199" s="12" t="str">
        <f>IFERROR(__xludf.DUMMYFUNCTION("""COMPUTED_VALUE"""),"jamie.hilt@sfellc.org")</f>
        <v>jamie.hilt@sfellc.org</v>
      </c>
      <c r="F199" s="12" t="str">
        <f>IFERROR(__xludf.DUMMYFUNCTION("""COMPUTED_VALUE"""),"Executive Sponsor")</f>
        <v>Executive Sponsor</v>
      </c>
    </row>
    <row r="200">
      <c r="A200" s="12" t="str">
        <f>IFERROR(__xludf.DUMMYFUNCTION("""COMPUTED_VALUE"""),"a0lVT0000068dqLYAQ")</f>
        <v>a0lVT0000068dqLYAQ</v>
      </c>
      <c r="B200" s="12" t="str">
        <f>IFERROR(__xludf.DUMMYFUNCTION("""COMPUTED_VALUE"""),"a0rVT000012VA4gYAG")</f>
        <v>a0rVT000012VA4gYAG</v>
      </c>
      <c r="C200" s="12" t="str">
        <f>IFERROR(__xludf.DUMMYFUNCTION("""COMPUTED_VALUE"""),"00380000028DCCuAAO")</f>
        <v>00380000028DCCuAAO</v>
      </c>
      <c r="D200" s="12" t="str">
        <f>IFERROR(__xludf.DUMMYFUNCTION("""COMPUTED_VALUE"""),"Sarah Burghardt")</f>
        <v>Sarah Burghardt</v>
      </c>
      <c r="E200" s="12" t="str">
        <f>IFERROR(__xludf.DUMMYFUNCTION("""COMPUTED_VALUE"""),"sburghardt@fenwick.com")</f>
        <v>sburghardt@fenwick.com</v>
      </c>
      <c r="F200" s="12" t="str">
        <f>IFERROR(__xludf.DUMMYFUNCTION("""COMPUTED_VALUE"""),"Project Manager [Customer]")</f>
        <v>Project Manager [Customer]</v>
      </c>
    </row>
    <row r="201">
      <c r="A201" s="12" t="str">
        <f>IFERROR(__xludf.DUMMYFUNCTION("""COMPUTED_VALUE"""),"a0lVT0000068dvBYAQ")</f>
        <v>a0lVT0000068dvBYAQ</v>
      </c>
      <c r="B201" s="12" t="str">
        <f>IFERROR(__xludf.DUMMYFUNCTION("""COMPUTED_VALUE"""),"a0rVT000012VA4gYAG")</f>
        <v>a0rVT000012VA4gYAG</v>
      </c>
      <c r="C201" s="12" t="str">
        <f>IFERROR(__xludf.DUMMYFUNCTION("""COMPUTED_VALUE"""),"00380000028DCCuAAO")</f>
        <v>00380000028DCCuAAO</v>
      </c>
      <c r="D201" s="12" t="str">
        <f>IFERROR(__xludf.DUMMYFUNCTION("""COMPUTED_VALUE"""),"Sarah Burghardt")</f>
        <v>Sarah Burghardt</v>
      </c>
      <c r="E201" s="12" t="str">
        <f>IFERROR(__xludf.DUMMYFUNCTION("""COMPUTED_VALUE"""),"sburghardt@fenwick.com")</f>
        <v>sburghardt@fenwick.com</v>
      </c>
      <c r="F201" s="12" t="str">
        <f>IFERROR(__xludf.DUMMYFUNCTION("""COMPUTED_VALUE"""),"Executive Sponsor")</f>
        <v>Executive Sponsor</v>
      </c>
    </row>
    <row r="202">
      <c r="A202" s="12" t="str">
        <f>IFERROR(__xludf.DUMMYFUNCTION("""COMPUTED_VALUE"""),"a0lVT000005ywkbYAA")</f>
        <v>a0lVT000005ywkbYAA</v>
      </c>
      <c r="B202" s="12" t="str">
        <f>IFERROR(__xludf.DUMMYFUNCTION("""COMPUTED_VALUE"""),"a0rVT000012VA4gYAG")</f>
        <v>a0rVT000012VA4gYAG</v>
      </c>
      <c r="C202" s="12" t="str">
        <f>IFERROR(__xludf.DUMMYFUNCTION("""COMPUTED_VALUE"""),"003VT00000fc4sfYAA")</f>
        <v>003VT00000fc4sfYAA</v>
      </c>
      <c r="D202" s="12" t="str">
        <f>IFERROR(__xludf.DUMMYFUNCTION("""COMPUTED_VALUE"""),"Katie Nehrenz")</f>
        <v>Katie Nehrenz</v>
      </c>
      <c r="E202" s="12" t="str">
        <f>IFERROR(__xludf.DUMMYFUNCTION("""COMPUTED_VALUE"""),"katie.nehrenz@workday.com")</f>
        <v>katie.nehrenz@workday.com</v>
      </c>
      <c r="F202" s="12" t="str">
        <f>IFERROR(__xludf.DUMMYFUNCTION("""COMPUTED_VALUE"""),"Engagement Manager [Primary]")</f>
        <v>Engagement Manager [Primary]</v>
      </c>
    </row>
    <row r="203">
      <c r="A203" s="12" t="str">
        <f>IFERROR(__xludf.DUMMYFUNCTION("""COMPUTED_VALUE"""),"a0lVT0000068dojYAA")</f>
        <v>a0lVT0000068dojYAA</v>
      </c>
      <c r="B203" s="12" t="str">
        <f>IFERROR(__xludf.DUMMYFUNCTION("""COMPUTED_VALUE"""),"a0rVT000012VA4gYAG")</f>
        <v>a0rVT000012VA4gYAG</v>
      </c>
      <c r="C203" s="12" t="str">
        <f>IFERROR(__xludf.DUMMYFUNCTION("""COMPUTED_VALUE"""),"0034X00003EtGr8QAF")</f>
        <v>0034X00003EtGr8QAF</v>
      </c>
      <c r="D203" s="12" t="str">
        <f>IFERROR(__xludf.DUMMYFUNCTION("""COMPUTED_VALUE"""),"Aaron Barnes")</f>
        <v>Aaron Barnes</v>
      </c>
      <c r="E203" s="12" t="str">
        <f>IFERROR(__xludf.DUMMYFUNCTION("""COMPUTED_VALUE"""),"aaron.barnes@workday.com")</f>
        <v>aaron.barnes@workday.com</v>
      </c>
      <c r="F203" s="12" t="str">
        <f>IFERROR(__xludf.DUMMYFUNCTION("""COMPUTED_VALUE"""),"Deployment Sponsor")</f>
        <v>Deployment Sponsor</v>
      </c>
    </row>
    <row r="204">
      <c r="A204" s="12" t="str">
        <f>IFERROR(__xludf.DUMMYFUNCTION("""COMPUTED_VALUE"""),"a0lVT000005mVzVYAU")</f>
        <v>a0lVT000005mVzVYAU</v>
      </c>
      <c r="B204" s="12" t="str">
        <f>IFERROR(__xludf.DUMMYFUNCTION("""COMPUTED_VALUE"""),"a0rVT000012VDlhYAG")</f>
        <v>a0rVT000012VDlhYAG</v>
      </c>
      <c r="C204" s="12" t="str">
        <f>IFERROR(__xludf.DUMMYFUNCTION("""COMPUTED_VALUE"""),"003VT00000iCDL7YAO")</f>
        <v>003VT00000iCDL7YAO</v>
      </c>
      <c r="D204" s="12" t="str">
        <f>IFERROR(__xludf.DUMMYFUNCTION("""COMPUTED_VALUE"""),"Dawn Espinal")</f>
        <v>Dawn Espinal</v>
      </c>
      <c r="E204" s="12" t="str">
        <f>IFERROR(__xludf.DUMMYFUNCTION("""COMPUTED_VALUE"""),"d.espinal@workday.com")</f>
        <v>d.espinal@workday.com</v>
      </c>
      <c r="F204" s="12" t="str">
        <f>IFERROR(__xludf.DUMMYFUNCTION("""COMPUTED_VALUE"""),"Engagement Manager [Primary]")</f>
        <v>Engagement Manager [Primary]</v>
      </c>
    </row>
    <row r="205">
      <c r="A205" s="12" t="str">
        <f>IFERROR(__xludf.DUMMYFUNCTION("""COMPUTED_VALUE"""),"a0lVT000005mWQvYAM")</f>
        <v>a0lVT000005mWQvYAM</v>
      </c>
      <c r="B205" s="12" t="str">
        <f>IFERROR(__xludf.DUMMYFUNCTION("""COMPUTED_VALUE"""),"a0rVT000012VFUJYA4")</f>
        <v>a0rVT000012VFUJYA4</v>
      </c>
      <c r="C205" s="12" t="str">
        <f>IFERROR(__xludf.DUMMYFUNCTION("""COMPUTED_VALUE"""),"00380000024qaNvAAI")</f>
        <v>00380000024qaNvAAI</v>
      </c>
      <c r="D205" s="12" t="str">
        <f>IFERROR(__xludf.DUMMYFUNCTION("""COMPUTED_VALUE"""),"Doris Pulsifer")</f>
        <v>Doris Pulsifer</v>
      </c>
      <c r="E205" s="12" t="str">
        <f>IFERROR(__xludf.DUMMYFUNCTION("""COMPUTED_VALUE"""),"doris.pulsifer@workday.com")</f>
        <v>doris.pulsifer@workday.com</v>
      </c>
      <c r="F205" s="12" t="str">
        <f>IFERROR(__xludf.DUMMYFUNCTION("""COMPUTED_VALUE"""),"Engagement Manager [Primary]")</f>
        <v>Engagement Manager [Primary]</v>
      </c>
    </row>
    <row r="206">
      <c r="A206" s="12" t="str">
        <f>IFERROR(__xludf.DUMMYFUNCTION("""COMPUTED_VALUE"""),"a0lVT000006NSeVYAW")</f>
        <v>a0lVT000006NSeVYAW</v>
      </c>
      <c r="B206" s="12" t="str">
        <f>IFERROR(__xludf.DUMMYFUNCTION("""COMPUTED_VALUE"""),"a0rVT000012VFcDYAW")</f>
        <v>a0rVT000012VFcDYAW</v>
      </c>
      <c r="C206" s="12" t="str">
        <f>IFERROR(__xludf.DUMMYFUNCTION("""COMPUTED_VALUE"""),"0034X00003GMx9JQAT")</f>
        <v>0034X00003GMx9JQAT</v>
      </c>
      <c r="D206" s="12" t="str">
        <f>IFERROR(__xludf.DUMMYFUNCTION("""COMPUTED_VALUE"""),"Michael Drozdek")</f>
        <v>Michael Drozdek</v>
      </c>
      <c r="E206" s="12" t="str">
        <f>IFERROR(__xludf.DUMMYFUNCTION("""COMPUTED_VALUE"""),"michael.drozdek@symrise.com")</f>
        <v>michael.drozdek@symrise.com</v>
      </c>
      <c r="F206" s="12" t="str">
        <f>IFERROR(__xludf.DUMMYFUNCTION("""COMPUTED_VALUE"""),"Project Manager [Customer]")</f>
        <v>Project Manager [Customer]</v>
      </c>
    </row>
    <row r="207">
      <c r="A207" s="12" t="str">
        <f>IFERROR(__xludf.DUMMYFUNCTION("""COMPUTED_VALUE"""),"a0lVT000005mW9BYAU")</f>
        <v>a0lVT000005mW9BYAU</v>
      </c>
      <c r="B207" s="12" t="str">
        <f>IFERROR(__xludf.DUMMYFUNCTION("""COMPUTED_VALUE"""),"a0rVT000012VFcDYAW")</f>
        <v>a0rVT000012VFcDYAW</v>
      </c>
      <c r="C207" s="12" t="str">
        <f>IFERROR(__xludf.DUMMYFUNCTION("""COMPUTED_VALUE"""),"003VT00000i5jl9YAA")</f>
        <v>003VT00000i5jl9YAA</v>
      </c>
      <c r="D207" s="12" t="str">
        <f>IFERROR(__xludf.DUMMYFUNCTION("""COMPUTED_VALUE"""),"Helen Wright")</f>
        <v>Helen Wright</v>
      </c>
      <c r="E207" s="12" t="str">
        <f>IFERROR(__xludf.DUMMYFUNCTION("""COMPUTED_VALUE"""),"helen.wright@workday.com")</f>
        <v>helen.wright@workday.com</v>
      </c>
      <c r="F207" s="12" t="str">
        <f>IFERROR(__xludf.DUMMYFUNCTION("""COMPUTED_VALUE"""),"Engagement Manager [Primary]")</f>
        <v>Engagement Manager [Primary]</v>
      </c>
    </row>
    <row r="208">
      <c r="A208" s="12" t="str">
        <f>IFERROR(__xludf.DUMMYFUNCTION("""COMPUTED_VALUE"""),"a0lVT000006NSeUYAW")</f>
        <v>a0lVT000006NSeUYAW</v>
      </c>
      <c r="B208" s="12" t="str">
        <f>IFERROR(__xludf.DUMMYFUNCTION("""COMPUTED_VALUE"""),"a0rVT000012VFcDYAW")</f>
        <v>a0rVT000012VFcDYAW</v>
      </c>
      <c r="C208" s="12" t="str">
        <f>IFERROR(__xludf.DUMMYFUNCTION("""COMPUTED_VALUE"""),"0034X00003GMx9JQAT")</f>
        <v>0034X00003GMx9JQAT</v>
      </c>
      <c r="D208" s="12" t="str">
        <f>IFERROR(__xludf.DUMMYFUNCTION("""COMPUTED_VALUE"""),"Michael Drozdek")</f>
        <v>Michael Drozdek</v>
      </c>
      <c r="E208" s="12" t="str">
        <f>IFERROR(__xludf.DUMMYFUNCTION("""COMPUTED_VALUE"""),"michael.drozdek@symrise.com")</f>
        <v>michael.drozdek@symrise.com</v>
      </c>
      <c r="F208" s="12" t="str">
        <f>IFERROR(__xludf.DUMMYFUNCTION("""COMPUTED_VALUE"""),"Executive Sponsor")</f>
        <v>Executive Sponsor</v>
      </c>
    </row>
    <row r="209">
      <c r="A209" s="12" t="str">
        <f>IFERROR(__xludf.DUMMYFUNCTION("""COMPUTED_VALUE"""),"a0lVT000006QzFhYAK")</f>
        <v>a0lVT000006QzFhYAK</v>
      </c>
      <c r="B209" s="12" t="str">
        <f>IFERROR(__xludf.DUMMYFUNCTION("""COMPUTED_VALUE"""),"a0rVT000012VGZtYAO")</f>
        <v>a0rVT000012VGZtYAO</v>
      </c>
      <c r="C209" s="12" t="str">
        <f>IFERROR(__xludf.DUMMYFUNCTION("""COMPUTED_VALUE"""),"0038000000UvhUpAAJ")</f>
        <v>0038000000UvhUpAAJ</v>
      </c>
      <c r="D209" s="12" t="str">
        <f>IFERROR(__xludf.DUMMYFUNCTION("""COMPUTED_VALUE"""),"Joe Carpenter")</f>
        <v>Joe Carpenter</v>
      </c>
      <c r="E209" s="12" t="str">
        <f>IFERROR(__xludf.DUMMYFUNCTION("""COMPUTED_VALUE"""),"joe.carpenter@scripps.com")</f>
        <v>joe.carpenter@scripps.com</v>
      </c>
      <c r="F209" s="12" t="str">
        <f>IFERROR(__xludf.DUMMYFUNCTION("""COMPUTED_VALUE"""),"Executive Sponsor")</f>
        <v>Executive Sponsor</v>
      </c>
    </row>
    <row r="210">
      <c r="A210" s="12" t="str">
        <f>IFERROR(__xludf.DUMMYFUNCTION("""COMPUTED_VALUE"""),"a0lVT000006QzFiYAK")</f>
        <v>a0lVT000006QzFiYAK</v>
      </c>
      <c r="B210" s="12" t="str">
        <f>IFERROR(__xludf.DUMMYFUNCTION("""COMPUTED_VALUE"""),"a0rVT000012VGZtYAO")</f>
        <v>a0rVT000012VGZtYAO</v>
      </c>
      <c r="C210" s="12" t="str">
        <f>IFERROR(__xludf.DUMMYFUNCTION("""COMPUTED_VALUE"""),"0038000000UvhUpAAJ")</f>
        <v>0038000000UvhUpAAJ</v>
      </c>
      <c r="D210" s="12" t="str">
        <f>IFERROR(__xludf.DUMMYFUNCTION("""COMPUTED_VALUE"""),"Joe Carpenter")</f>
        <v>Joe Carpenter</v>
      </c>
      <c r="E210" s="12" t="str">
        <f>IFERROR(__xludf.DUMMYFUNCTION("""COMPUTED_VALUE"""),"joe.carpenter@scripps.com")</f>
        <v>joe.carpenter@scripps.com</v>
      </c>
      <c r="F210" s="12" t="str">
        <f>IFERROR(__xludf.DUMMYFUNCTION("""COMPUTED_VALUE"""),"Project Manager [Customer]")</f>
        <v>Project Manager [Customer]</v>
      </c>
    </row>
    <row r="211">
      <c r="A211" s="12" t="str">
        <f>IFERROR(__xludf.DUMMYFUNCTION("""COMPUTED_VALUE"""),"a0lVT000005qUn7YAE")</f>
        <v>a0lVT000005qUn7YAE</v>
      </c>
      <c r="B211" s="12" t="str">
        <f>IFERROR(__xludf.DUMMYFUNCTION("""COMPUTED_VALUE"""),"a0rVT000012VGZtYAO")</f>
        <v>a0rVT000012VGZtYAO</v>
      </c>
      <c r="C211" s="12" t="str">
        <f>IFERROR(__xludf.DUMMYFUNCTION("""COMPUTED_VALUE"""),"0034X000032MzsKQAS")</f>
        <v>0034X000032MzsKQAS</v>
      </c>
      <c r="D211" s="12" t="str">
        <f>IFERROR(__xludf.DUMMYFUNCTION("""COMPUTED_VALUE"""),"Cole Miltenberger")</f>
        <v>Cole Miltenberger</v>
      </c>
      <c r="E211" s="12" t="str">
        <f>IFERROR(__xludf.DUMMYFUNCTION("""COMPUTED_VALUE"""),"cole.miltenberger@workday.com")</f>
        <v>cole.miltenberger@workday.com</v>
      </c>
      <c r="F211" s="12" t="str">
        <f>IFERROR(__xludf.DUMMYFUNCTION("""COMPUTED_VALUE"""),"Engagement Manager [Primary]")</f>
        <v>Engagement Manager [Primary]</v>
      </c>
    </row>
    <row r="212">
      <c r="A212" s="12" t="str">
        <f>IFERROR(__xludf.DUMMYFUNCTION("""COMPUTED_VALUE"""),"a0lVT000006IqMTYA0")</f>
        <v>a0lVT000006IqMTYA0</v>
      </c>
      <c r="B212" s="12" t="str">
        <f>IFERROR(__xludf.DUMMYFUNCTION("""COMPUTED_VALUE"""),"a0rVT000012VGZtYAO")</f>
        <v>a0rVT000012VGZtYAO</v>
      </c>
      <c r="C212" s="12" t="str">
        <f>IFERROR(__xludf.DUMMYFUNCTION("""COMPUTED_VALUE"""),"0038000001sCnOiAAK")</f>
        <v>0038000001sCnOiAAK</v>
      </c>
      <c r="D212" s="12" t="str">
        <f>IFERROR(__xludf.DUMMYFUNCTION("""COMPUTED_VALUE"""),"Nate Allen")</f>
        <v>Nate Allen</v>
      </c>
      <c r="E212" s="12" t="str">
        <f>IFERROR(__xludf.DUMMYFUNCTION("""COMPUTED_VALUE"""),"nate.allen2@workday.com")</f>
        <v>nate.allen2@workday.com</v>
      </c>
      <c r="F212" s="12" t="str">
        <f>IFERROR(__xludf.DUMMYFUNCTION("""COMPUTED_VALUE"""),"Deployment Sponsor")</f>
        <v>Deployment Sponsor</v>
      </c>
    </row>
    <row r="213">
      <c r="A213" s="12" t="str">
        <f>IFERROR(__xludf.DUMMYFUNCTION("""COMPUTED_VALUE"""),"a0lVT000005mWqjYAE")</f>
        <v>a0lVT000005mWqjYAE</v>
      </c>
      <c r="B213" s="12" t="str">
        <f>IFERROR(__xludf.DUMMYFUNCTION("""COMPUTED_VALUE"""),"a0rVT000012VIYTYA4")</f>
        <v>a0rVT000012VIYTYA4</v>
      </c>
      <c r="C213" s="12" t="str">
        <f>IFERROR(__xludf.DUMMYFUNCTION("""COMPUTED_VALUE"""),"0031B00002nAbFvQAK")</f>
        <v>0031B00002nAbFvQAK</v>
      </c>
      <c r="D213" s="12" t="str">
        <f>IFERROR(__xludf.DUMMYFUNCTION("""COMPUTED_VALUE"""),"Al Menendez")</f>
        <v>Al Menendez</v>
      </c>
      <c r="E213" s="12" t="str">
        <f>IFERROR(__xludf.DUMMYFUNCTION("""COMPUTED_VALUE"""),"al.menendez@workday.com")</f>
        <v>al.menendez@workday.com</v>
      </c>
      <c r="F213" s="12" t="str">
        <f>IFERROR(__xludf.DUMMYFUNCTION("""COMPUTED_VALUE"""),"Engagement Manager [Primary]")</f>
        <v>Engagement Manager [Primary]</v>
      </c>
    </row>
    <row r="214">
      <c r="A214" s="12" t="str">
        <f>IFERROR(__xludf.DUMMYFUNCTION("""COMPUTED_VALUE"""),"a0lVT000005sYBVYA2")</f>
        <v>a0lVT000005sYBVYA2</v>
      </c>
      <c r="B214" s="12" t="str">
        <f>IFERROR(__xludf.DUMMYFUNCTION("""COMPUTED_VALUE"""),"a0rVT000012VIYTYA4")</f>
        <v>a0rVT000012VIYTYA4</v>
      </c>
      <c r="C214" s="12" t="str">
        <f>IFERROR(__xludf.DUMMYFUNCTION("""COMPUTED_VALUE"""),"0034X00003R3kfNQAR")</f>
        <v>0034X00003R3kfNQAR</v>
      </c>
      <c r="D214" s="12" t="str">
        <f>IFERROR(__xludf.DUMMYFUNCTION("""COMPUTED_VALUE"""),"David To")</f>
        <v>David To</v>
      </c>
      <c r="E214" s="12" t="str">
        <f>IFERROR(__xludf.DUMMYFUNCTION("""COMPUTED_VALUE"""),"david.to@workday.com")</f>
        <v>david.to@workday.com</v>
      </c>
      <c r="F214" s="12" t="str">
        <f>IFERROR(__xludf.DUMMYFUNCTION("""COMPUTED_VALUE"""),"Engagement Manager [Secondary]")</f>
        <v>Engagement Manager [Secondary]</v>
      </c>
    </row>
    <row r="215">
      <c r="A215" s="12" t="str">
        <f>IFERROR(__xludf.DUMMYFUNCTION("""COMPUTED_VALUE"""),"a0lVT000005mZlNYAU")</f>
        <v>a0lVT000005mZlNYAU</v>
      </c>
      <c r="B215" s="12" t="str">
        <f>IFERROR(__xludf.DUMMYFUNCTION("""COMPUTED_VALUE"""),"a0rVT000012VJ1WYAW")</f>
        <v>a0rVT000012VJ1WYAW</v>
      </c>
      <c r="C215" s="12" t="str">
        <f>IFERROR(__xludf.DUMMYFUNCTION("""COMPUTED_VALUE"""),"0034X00002yTi8uQAC")</f>
        <v>0034X00002yTi8uQAC</v>
      </c>
      <c r="D215" s="12" t="str">
        <f>IFERROR(__xludf.DUMMYFUNCTION("""COMPUTED_VALUE"""),"Arapey Olivera")</f>
        <v>Arapey Olivera</v>
      </c>
      <c r="E215" s="12" t="str">
        <f>IFERROR(__xludf.DUMMYFUNCTION("""COMPUTED_VALUE"""),"arapey.olivera@workday.com")</f>
        <v>arapey.olivera@workday.com</v>
      </c>
      <c r="F215" s="12" t="str">
        <f>IFERROR(__xludf.DUMMYFUNCTION("""COMPUTED_VALUE"""),"Engagement Manager [Primary]")</f>
        <v>Engagement Manager [Primary]</v>
      </c>
    </row>
    <row r="216">
      <c r="A216" s="12" t="str">
        <f>IFERROR(__xludf.DUMMYFUNCTION("""COMPUTED_VALUE"""),"a0lVT000006KaIPYA0")</f>
        <v>a0lVT000006KaIPYA0</v>
      </c>
      <c r="B216" s="12" t="str">
        <f>IFERROR(__xludf.DUMMYFUNCTION("""COMPUTED_VALUE"""),"a0rVT000012VKwrYAG")</f>
        <v>a0rVT000012VKwrYAG</v>
      </c>
      <c r="C216" s="12" t="str">
        <f>IFERROR(__xludf.DUMMYFUNCTION("""COMPUTED_VALUE"""),"0034X00003JsNpYQAV")</f>
        <v>0034X00003JsNpYQAV</v>
      </c>
      <c r="D216" s="12" t="str">
        <f>IFERROR(__xludf.DUMMYFUNCTION("""COMPUTED_VALUE"""),"Dhaval Rana")</f>
        <v>Dhaval Rana</v>
      </c>
      <c r="E216" s="12" t="str">
        <f>IFERROR(__xludf.DUMMYFUNCTION("""COMPUTED_VALUE"""),"dhaval.rana@workday.com")</f>
        <v>dhaval.rana@workday.com</v>
      </c>
      <c r="F216" s="12" t="str">
        <f>IFERROR(__xludf.DUMMYFUNCTION("""COMPUTED_VALUE"""),"Engagement Manager [Primary]")</f>
        <v>Engagement Manager [Primary]</v>
      </c>
    </row>
    <row r="217">
      <c r="A217" s="12" t="str">
        <f>IFERROR(__xludf.DUMMYFUNCTION("""COMPUTED_VALUE"""),"a0lVT000005mWkHYAU")</f>
        <v>a0lVT000005mWkHYAU</v>
      </c>
      <c r="B217" s="12" t="str">
        <f>IFERROR(__xludf.DUMMYFUNCTION("""COMPUTED_VALUE"""),"a0rVT000012VKwrYAG")</f>
        <v>a0rVT000012VKwrYAG</v>
      </c>
      <c r="C217" s="12" t="str">
        <f>IFERROR(__xludf.DUMMYFUNCTION("""COMPUTED_VALUE"""),"00380000024qaNvAAI")</f>
        <v>00380000024qaNvAAI</v>
      </c>
      <c r="D217" s="12" t="str">
        <f>IFERROR(__xludf.DUMMYFUNCTION("""COMPUTED_VALUE"""),"Doris Pulsifer")</f>
        <v>Doris Pulsifer</v>
      </c>
      <c r="E217" s="12" t="str">
        <f>IFERROR(__xludf.DUMMYFUNCTION("""COMPUTED_VALUE"""),"doris.pulsifer@workday.com")</f>
        <v>doris.pulsifer@workday.com</v>
      </c>
      <c r="F217" s="12" t="str">
        <f>IFERROR(__xludf.DUMMYFUNCTION("""COMPUTED_VALUE"""),"Engagement Manager [Primary]")</f>
        <v>Engagement Manager [Primary]</v>
      </c>
    </row>
    <row r="218">
      <c r="A218" s="12" t="str">
        <f>IFERROR(__xludf.DUMMYFUNCTION("""COMPUTED_VALUE"""),"a0lVT000005mZbhYAE")</f>
        <v>a0lVT000005mZbhYAE</v>
      </c>
      <c r="B218" s="12" t="str">
        <f>IFERROR(__xludf.DUMMYFUNCTION("""COMPUTED_VALUE"""),"a0rVT000012VX4UYAW")</f>
        <v>a0rVT000012VX4UYAW</v>
      </c>
      <c r="C218" s="12" t="str">
        <f>IFERROR(__xludf.DUMMYFUNCTION("""COMPUTED_VALUE"""),"00380000024qaNvAAI")</f>
        <v>00380000024qaNvAAI</v>
      </c>
      <c r="D218" s="12" t="str">
        <f>IFERROR(__xludf.DUMMYFUNCTION("""COMPUTED_VALUE"""),"Doris Pulsifer")</f>
        <v>Doris Pulsifer</v>
      </c>
      <c r="E218" s="12" t="str">
        <f>IFERROR(__xludf.DUMMYFUNCTION("""COMPUTED_VALUE"""),"doris.pulsifer@workday.com")</f>
        <v>doris.pulsifer@workday.com</v>
      </c>
      <c r="F218" s="12" t="str">
        <f>IFERROR(__xludf.DUMMYFUNCTION("""COMPUTED_VALUE"""),"Engagement Manager [Primary]")</f>
        <v>Engagement Manager [Primary]</v>
      </c>
    </row>
    <row r="219">
      <c r="A219" s="12" t="str">
        <f>IFERROR(__xludf.DUMMYFUNCTION("""COMPUTED_VALUE"""),"a0lVT000005mYR7YAM")</f>
        <v>a0lVT000005mYR7YAM</v>
      </c>
      <c r="B219" s="12" t="str">
        <f>IFERROR(__xludf.DUMMYFUNCTION("""COMPUTED_VALUE"""),"a0rVT000012VaQdYAK")</f>
        <v>a0rVT000012VaQdYAK</v>
      </c>
      <c r="C219" s="12" t="str">
        <f>IFERROR(__xludf.DUMMYFUNCTION("""COMPUTED_VALUE"""),"003VT00000iCDL7YAO")</f>
        <v>003VT00000iCDL7YAO</v>
      </c>
      <c r="D219" s="12" t="str">
        <f>IFERROR(__xludf.DUMMYFUNCTION("""COMPUTED_VALUE"""),"Dawn Espinal")</f>
        <v>Dawn Espinal</v>
      </c>
      <c r="E219" s="12" t="str">
        <f>IFERROR(__xludf.DUMMYFUNCTION("""COMPUTED_VALUE"""),"d.espinal@workday.com")</f>
        <v>d.espinal@workday.com</v>
      </c>
      <c r="F219" s="12" t="str">
        <f>IFERROR(__xludf.DUMMYFUNCTION("""COMPUTED_VALUE"""),"Engagement Manager [Primary]")</f>
        <v>Engagement Manager [Primary]</v>
      </c>
    </row>
    <row r="220">
      <c r="A220" s="12" t="str">
        <f>IFERROR(__xludf.DUMMYFUNCTION("""COMPUTED_VALUE"""),"a0lVT000005mZBtYAM")</f>
        <v>a0lVT000005mZBtYAM</v>
      </c>
      <c r="B220" s="12" t="str">
        <f>IFERROR(__xludf.DUMMYFUNCTION("""COMPUTED_VALUE"""),"a0rVT000012VbsuYAC")</f>
        <v>a0rVT000012VbsuYAC</v>
      </c>
      <c r="C220" s="12" t="str">
        <f>IFERROR(__xludf.DUMMYFUNCTION("""COMPUTED_VALUE"""),"003VT00000fc4siYAA")</f>
        <v>003VT00000fc4siYAA</v>
      </c>
      <c r="D220" s="12" t="str">
        <f>IFERROR(__xludf.DUMMYFUNCTION("""COMPUTED_VALUE"""),"Mer Watson")</f>
        <v>Mer Watson</v>
      </c>
      <c r="E220" s="12" t="str">
        <f>IFERROR(__xludf.DUMMYFUNCTION("""COMPUTED_VALUE"""),"meredith.lines@workday.com")</f>
        <v>meredith.lines@workday.com</v>
      </c>
      <c r="F220" s="12" t="str">
        <f>IFERROR(__xludf.DUMMYFUNCTION("""COMPUTED_VALUE"""),"Engagement Manager [Primary]")</f>
        <v>Engagement Manager [Primary]</v>
      </c>
    </row>
    <row r="221">
      <c r="A221" s="12" t="str">
        <f>IFERROR(__xludf.DUMMYFUNCTION("""COMPUTED_VALUE"""),"a0lVT000005pxUbYAI")</f>
        <v>a0lVT000005pxUbYAI</v>
      </c>
      <c r="B221" s="12" t="str">
        <f>IFERROR(__xludf.DUMMYFUNCTION("""COMPUTED_VALUE"""),"a0rVT000012VfjbYAC")</f>
        <v>a0rVT000012VfjbYAC</v>
      </c>
      <c r="C221" s="12" t="str">
        <f>IFERROR(__xludf.DUMMYFUNCTION("""COMPUTED_VALUE"""),"0034X00003JtpIUQAZ")</f>
        <v>0034X00003JtpIUQAZ</v>
      </c>
      <c r="D221" s="12" t="str">
        <f>IFERROR(__xludf.DUMMYFUNCTION("""COMPUTED_VALUE"""),"Iris Lam")</f>
        <v>Iris Lam</v>
      </c>
      <c r="E221" s="12" t="str">
        <f>IFERROR(__xludf.DUMMYFUNCTION("""COMPUTED_VALUE"""),"ilam@vha.ca")</f>
        <v>ilam@vha.ca</v>
      </c>
      <c r="F221" s="12" t="str">
        <f>IFERROR(__xludf.DUMMYFUNCTION("""COMPUTED_VALUE"""),"Project Manager [Customer]")</f>
        <v>Project Manager [Customer]</v>
      </c>
    </row>
    <row r="222">
      <c r="A222" s="12" t="str">
        <f>IFERROR(__xludf.DUMMYFUNCTION("""COMPUTED_VALUE"""),"a0lVT000005pxUdYAI")</f>
        <v>a0lVT000005pxUdYAI</v>
      </c>
      <c r="B222" s="12" t="str">
        <f>IFERROR(__xludf.DUMMYFUNCTION("""COMPUTED_VALUE"""),"a0rVT000012VfjbYAC")</f>
        <v>a0rVT000012VfjbYAC</v>
      </c>
      <c r="C222" s="12" t="str">
        <f>IFERROR(__xludf.DUMMYFUNCTION("""COMPUTED_VALUE"""),"0034X00003GO3DdQAL")</f>
        <v>0034X00003GO3DdQAL</v>
      </c>
      <c r="D222" s="12" t="str">
        <f>IFERROR(__xludf.DUMMYFUNCTION("""COMPUTED_VALUE"""),"Iris Lee")</f>
        <v>Iris Lee</v>
      </c>
      <c r="E222" s="12" t="str">
        <f>IFERROR(__xludf.DUMMYFUNCTION("""COMPUTED_VALUE"""),"ilee@vha.ca")</f>
        <v>ilee@vha.ca</v>
      </c>
      <c r="F222" s="12" t="str">
        <f>IFERROR(__xludf.DUMMYFUNCTION("""COMPUTED_VALUE"""),"Executive Sponsor")</f>
        <v>Executive Sponsor</v>
      </c>
    </row>
    <row r="223">
      <c r="A223" s="12" t="str">
        <f>IFERROR(__xludf.DUMMYFUNCTION("""COMPUTED_VALUE"""),"a0lVT000005pxUhYAI")</f>
        <v>a0lVT000005pxUhYAI</v>
      </c>
      <c r="B223" s="12" t="str">
        <f>IFERROR(__xludf.DUMMYFUNCTION("""COMPUTED_VALUE"""),"a0rVT000012VfjbYAC")</f>
        <v>a0rVT000012VfjbYAC</v>
      </c>
      <c r="C223" s="12" t="str">
        <f>IFERROR(__xludf.DUMMYFUNCTION("""COMPUTED_VALUE"""),"003VT00000RW7DMYA1")</f>
        <v>003VT00000RW7DMYA1</v>
      </c>
      <c r="D223" s="12" t="str">
        <f>IFERROR(__xludf.DUMMYFUNCTION("""COMPUTED_VALUE"""),"Carlos Chian")</f>
        <v>Carlos Chian</v>
      </c>
      <c r="E223" s="12" t="str">
        <f>IFERROR(__xludf.DUMMYFUNCTION("""COMPUTED_VALUE"""),"carlos.chian@workday.com")</f>
        <v>carlos.chian@workday.com</v>
      </c>
      <c r="F223" s="12" t="str">
        <f>IFERROR(__xludf.DUMMYFUNCTION("""COMPUTED_VALUE"""),"Deployment Sponsor")</f>
        <v>Deployment Sponsor</v>
      </c>
    </row>
    <row r="224">
      <c r="A224" s="12" t="str">
        <f>IFERROR(__xludf.DUMMYFUNCTION("""COMPUTED_VALUE"""),"a0lVT000005mWqkYAE")</f>
        <v>a0lVT000005mWqkYAE</v>
      </c>
      <c r="B224" s="12" t="str">
        <f>IFERROR(__xludf.DUMMYFUNCTION("""COMPUTED_VALUE"""),"a0rVT000012VfjbYAC")</f>
        <v>a0rVT000012VfjbYAC</v>
      </c>
      <c r="C224" s="12" t="str">
        <f>IFERROR(__xludf.DUMMYFUNCTION("""COMPUTED_VALUE"""),"003VT00000XYwEgYAL")</f>
        <v>003VT00000XYwEgYAL</v>
      </c>
      <c r="D224" s="12" t="str">
        <f>IFERROR(__xludf.DUMMYFUNCTION("""COMPUTED_VALUE"""),"Cristhofer Mena")</f>
        <v>Cristhofer Mena</v>
      </c>
      <c r="E224" s="12" t="str">
        <f>IFERROR(__xludf.DUMMYFUNCTION("""COMPUTED_VALUE"""),"cristhofer.mena@workday.com")</f>
        <v>cristhofer.mena@workday.com</v>
      </c>
      <c r="F224" s="12" t="str">
        <f>IFERROR(__xludf.DUMMYFUNCTION("""COMPUTED_VALUE"""),"Engagement Manager [Primary]")</f>
        <v>Engagement Manager [Primary]</v>
      </c>
    </row>
    <row r="225">
      <c r="A225" s="12" t="str">
        <f>IFERROR(__xludf.DUMMYFUNCTION("""COMPUTED_VALUE"""),"a0lVT0000064Im5YAE")</f>
        <v>a0lVT0000064Im5YAE</v>
      </c>
      <c r="B225" s="12" t="str">
        <f>IFERROR(__xludf.DUMMYFUNCTION("""COMPUTED_VALUE"""),"a0rVT000012ViUXYA0")</f>
        <v>a0rVT000012ViUXYA0</v>
      </c>
      <c r="C225" s="12" t="str">
        <f>IFERROR(__xludf.DUMMYFUNCTION("""COMPUTED_VALUE"""),"003VT00000RrAZZYA3")</f>
        <v>003VT00000RrAZZYA3</v>
      </c>
      <c r="D225" s="12" t="str">
        <f>IFERROR(__xludf.DUMMYFUNCTION("""COMPUTED_VALUE"""),"Christian Davies")</f>
        <v>Christian Davies</v>
      </c>
      <c r="E225" s="12" t="str">
        <f>IFERROR(__xludf.DUMMYFUNCTION("""COMPUTED_VALUE"""),"cdavies5@valleyhealthlink.com")</f>
        <v>cdavies5@valleyhealthlink.com</v>
      </c>
      <c r="F225" s="12" t="str">
        <f>IFERROR(__xludf.DUMMYFUNCTION("""COMPUTED_VALUE"""),"Project Manager [Customer]")</f>
        <v>Project Manager [Customer]</v>
      </c>
    </row>
    <row r="226">
      <c r="A226" s="12" t="str">
        <f>IFERROR(__xludf.DUMMYFUNCTION("""COMPUTED_VALUE"""),"a0lVT000006PQzxYAG")</f>
        <v>a0lVT000006PQzxYAG</v>
      </c>
      <c r="B226" s="12" t="str">
        <f>IFERROR(__xludf.DUMMYFUNCTION("""COMPUTED_VALUE"""),"a0rVT000012ViUXYA0")</f>
        <v>a0rVT000012ViUXYA0</v>
      </c>
      <c r="C226" s="12" t="str">
        <f>IFERROR(__xludf.DUMMYFUNCTION("""COMPUTED_VALUE"""),"0034X00003EtGr8QAF")</f>
        <v>0034X00003EtGr8QAF</v>
      </c>
      <c r="D226" s="12" t="str">
        <f>IFERROR(__xludf.DUMMYFUNCTION("""COMPUTED_VALUE"""),"Aaron Barnes")</f>
        <v>Aaron Barnes</v>
      </c>
      <c r="E226" s="12" t="str">
        <f>IFERROR(__xludf.DUMMYFUNCTION("""COMPUTED_VALUE"""),"aaron.barnes@workday.com")</f>
        <v>aaron.barnes@workday.com</v>
      </c>
      <c r="F226" s="12" t="str">
        <f>IFERROR(__xludf.DUMMYFUNCTION("""COMPUTED_VALUE"""),"Deployment Sponsor")</f>
        <v>Deployment Sponsor</v>
      </c>
    </row>
    <row r="227">
      <c r="A227" s="12" t="str">
        <f>IFERROR(__xludf.DUMMYFUNCTION("""COMPUTED_VALUE"""),"a0lVT0000064Im6YAE")</f>
        <v>a0lVT0000064Im6YAE</v>
      </c>
      <c r="B227" s="12" t="str">
        <f>IFERROR(__xludf.DUMMYFUNCTION("""COMPUTED_VALUE"""),"a0rVT000012ViUXYA0")</f>
        <v>a0rVT000012ViUXYA0</v>
      </c>
      <c r="C227" s="12" t="str">
        <f>IFERROR(__xludf.DUMMYFUNCTION("""COMPUTED_VALUE"""),"0034X00002yUcPQQA0")</f>
        <v>0034X00002yUcPQQA0</v>
      </c>
      <c r="D227" s="12" t="str">
        <f>IFERROR(__xludf.DUMMYFUNCTION("""COMPUTED_VALUE"""),"Edward Cleary")</f>
        <v>Edward Cleary</v>
      </c>
      <c r="E227" s="12" t="str">
        <f>IFERROR(__xludf.DUMMYFUNCTION("""COMPUTED_VALUE"""),"ecleary@valleyhealthlink.com")</f>
        <v>ecleary@valleyhealthlink.com</v>
      </c>
      <c r="F227" s="12" t="str">
        <f>IFERROR(__xludf.DUMMYFUNCTION("""COMPUTED_VALUE"""),"Executive Sponsor")</f>
        <v>Executive Sponsor</v>
      </c>
    </row>
    <row r="228">
      <c r="A228" s="12" t="str">
        <f>IFERROR(__xludf.DUMMYFUNCTION("""COMPUTED_VALUE"""),"a0lVT000005mYm5YAE")</f>
        <v>a0lVT000005mYm5YAE</v>
      </c>
      <c r="B228" s="12" t="str">
        <f>IFERROR(__xludf.DUMMYFUNCTION("""COMPUTED_VALUE"""),"a0rVT000012ViUXYA0")</f>
        <v>a0rVT000012ViUXYA0</v>
      </c>
      <c r="C228" s="12" t="str">
        <f>IFERROR(__xludf.DUMMYFUNCTION("""COMPUTED_VALUE"""),"003VT00000i7TjtYAE")</f>
        <v>003VT00000i7TjtYAE</v>
      </c>
      <c r="D228" s="12" t="str">
        <f>IFERROR(__xludf.DUMMYFUNCTION("""COMPUTED_VALUE"""),"Taylor Lindsey")</f>
        <v>Taylor Lindsey</v>
      </c>
      <c r="E228" s="12" t="str">
        <f>IFERROR(__xludf.DUMMYFUNCTION("""COMPUTED_VALUE"""),"taylor.lindsey@workday.com")</f>
        <v>taylor.lindsey@workday.com</v>
      </c>
      <c r="F228" s="12" t="str">
        <f>IFERROR(__xludf.DUMMYFUNCTION("""COMPUTED_VALUE"""),"Engagement Manager [Primary]")</f>
        <v>Engagement Manager [Primary]</v>
      </c>
    </row>
    <row r="229">
      <c r="A229" s="12" t="str">
        <f>IFERROR(__xludf.DUMMYFUNCTION("""COMPUTED_VALUE"""),"a0lVT000005mZILYA2")</f>
        <v>a0lVT000005mZILYA2</v>
      </c>
      <c r="B229" s="12" t="str">
        <f>IFERROR(__xludf.DUMMYFUNCTION("""COMPUTED_VALUE"""),"a0rVT000012Vm57YAC")</f>
        <v>a0rVT000012Vm57YAC</v>
      </c>
      <c r="C229" s="12" t="str">
        <f>IFERROR(__xludf.DUMMYFUNCTION("""COMPUTED_VALUE"""),"00380000024qaNvAAI")</f>
        <v>00380000024qaNvAAI</v>
      </c>
      <c r="D229" s="12" t="str">
        <f>IFERROR(__xludf.DUMMYFUNCTION("""COMPUTED_VALUE"""),"Doris Pulsifer")</f>
        <v>Doris Pulsifer</v>
      </c>
      <c r="E229" s="12" t="str">
        <f>IFERROR(__xludf.DUMMYFUNCTION("""COMPUTED_VALUE"""),"doris.pulsifer@workday.com")</f>
        <v>doris.pulsifer@workday.com</v>
      </c>
      <c r="F229" s="12" t="str">
        <f>IFERROR(__xludf.DUMMYFUNCTION("""COMPUTED_VALUE"""),"Engagement Manager [Primary]")</f>
        <v>Engagement Manager [Primary]</v>
      </c>
    </row>
    <row r="230">
      <c r="A230" s="12" t="str">
        <f>IFERROR(__xludf.DUMMYFUNCTION("""COMPUTED_VALUE"""),"a0lVT000006QqKTYA0")</f>
        <v>a0lVT000006QqKTYA0</v>
      </c>
      <c r="B230" s="12" t="str">
        <f>IFERROR(__xludf.DUMMYFUNCTION("""COMPUTED_VALUE"""),"a0rVT000012VpSnYAK")</f>
        <v>a0rVT000012VpSnYAK</v>
      </c>
      <c r="C230" s="12" t="str">
        <f>IFERROR(__xludf.DUMMYFUNCTION("""COMPUTED_VALUE"""),"003VT00000Isro9YAB")</f>
        <v>003VT00000Isro9YAB</v>
      </c>
      <c r="D230" s="12" t="str">
        <f>IFERROR(__xludf.DUMMYFUNCTION("""COMPUTED_VALUE"""),"Pia Hilfert")</f>
        <v>Pia Hilfert</v>
      </c>
      <c r="E230" s="12" t="str">
        <f>IFERROR(__xludf.DUMMYFUNCTION("""COMPUTED_VALUE"""),"pia.hilfert@workday.com")</f>
        <v>pia.hilfert@workday.com</v>
      </c>
      <c r="F230" s="12" t="str">
        <f>IFERROR(__xludf.DUMMYFUNCTION("""COMPUTED_VALUE"""),"Engagement Manager [Secondary]")</f>
        <v>Engagement Manager [Secondary]</v>
      </c>
    </row>
    <row r="231">
      <c r="A231" s="12" t="str">
        <f>IFERROR(__xludf.DUMMYFUNCTION("""COMPUTED_VALUE"""),"a0lVT000005mZVFYA2")</f>
        <v>a0lVT000005mZVFYA2</v>
      </c>
      <c r="B231" s="12" t="str">
        <f>IFERROR(__xludf.DUMMYFUNCTION("""COMPUTED_VALUE"""),"a0rVT000012VpSnYAK")</f>
        <v>a0rVT000012VpSnYAK</v>
      </c>
      <c r="C231" s="12" t="str">
        <f>IFERROR(__xludf.DUMMYFUNCTION("""COMPUTED_VALUE"""),"00380000024qaNvAAI")</f>
        <v>00380000024qaNvAAI</v>
      </c>
      <c r="D231" s="12" t="str">
        <f>IFERROR(__xludf.DUMMYFUNCTION("""COMPUTED_VALUE"""),"Doris Pulsifer")</f>
        <v>Doris Pulsifer</v>
      </c>
      <c r="E231" s="12" t="str">
        <f>IFERROR(__xludf.DUMMYFUNCTION("""COMPUTED_VALUE"""),"doris.pulsifer@workday.com")</f>
        <v>doris.pulsifer@workday.com</v>
      </c>
      <c r="F231" s="12" t="str">
        <f>IFERROR(__xludf.DUMMYFUNCTION("""COMPUTED_VALUE"""),"Engagement Manager [Primary]")</f>
        <v>Engagement Manager [Primary]</v>
      </c>
    </row>
    <row r="232">
      <c r="A232" s="12" t="str">
        <f>IFERROR(__xludf.DUMMYFUNCTION("""COMPUTED_VALUE"""),"a0lVT000005meY9YAI")</f>
        <v>a0lVT000005meY9YAI</v>
      </c>
      <c r="B232" s="12" t="str">
        <f>IFERROR(__xludf.DUMMYFUNCTION("""COMPUTED_VALUE"""),"a0rVT000012XA0XYAW")</f>
        <v>a0rVT000012XA0XYAW</v>
      </c>
      <c r="C232" s="12" t="str">
        <f>IFERROR(__xludf.DUMMYFUNCTION("""COMPUTED_VALUE"""),"0031B00002gf42xQAA")</f>
        <v>0031B00002gf42xQAA</v>
      </c>
      <c r="D232" s="12" t="str">
        <f>IFERROR(__xludf.DUMMYFUNCTION("""COMPUTED_VALUE"""),"John Jaent")</f>
        <v>John Jaent</v>
      </c>
      <c r="E232" s="12" t="str">
        <f>IFERROR(__xludf.DUMMYFUNCTION("""COMPUTED_VALUE"""),"john.jaent@workday.com")</f>
        <v>john.jaent@workday.com</v>
      </c>
      <c r="F232" s="12" t="str">
        <f>IFERROR(__xludf.DUMMYFUNCTION("""COMPUTED_VALUE"""),"Engagement Manager [Primary]")</f>
        <v>Engagement Manager [Primary]</v>
      </c>
    </row>
    <row r="233">
      <c r="A233" s="12" t="str">
        <f>IFERROR(__xludf.DUMMYFUNCTION("""COMPUTED_VALUE"""),"a0lVT000005xVEcYAM")</f>
        <v>a0lVT000005xVEcYAM</v>
      </c>
      <c r="B233" s="12" t="str">
        <f>IFERROR(__xludf.DUMMYFUNCTION("""COMPUTED_VALUE"""),"a0rVT000012llmdYAA")</f>
        <v>a0rVT000012llmdYAA</v>
      </c>
      <c r="C233" s="12" t="str">
        <f>IFERROR(__xludf.DUMMYFUNCTION("""COMPUTED_VALUE"""),"003VT00000LGKJdYAP")</f>
        <v>003VT00000LGKJdYAP</v>
      </c>
      <c r="D233" s="12" t="str">
        <f>IFERROR(__xludf.DUMMYFUNCTION("""COMPUTED_VALUE"""),"NURIA NAVARRO ATIENZA")</f>
        <v>NURIA NAVARRO ATIENZA</v>
      </c>
      <c r="E233" s="12" t="str">
        <f>IFERROR(__xludf.DUMMYFUNCTION("""COMPUTED_VALUE"""),"rebeca.navarroatienza@elcorteingles.es")</f>
        <v>rebeca.navarroatienza@elcorteingles.es</v>
      </c>
      <c r="F233" s="12" t="str">
        <f>IFERROR(__xludf.DUMMYFUNCTION("""COMPUTED_VALUE"""),"Executive Sponsor")</f>
        <v>Executive Sponsor</v>
      </c>
    </row>
    <row r="234">
      <c r="A234" s="12" t="str">
        <f>IFERROR(__xludf.DUMMYFUNCTION("""COMPUTED_VALUE"""),"a0lVT000005xVEbYAM")</f>
        <v>a0lVT000005xVEbYAM</v>
      </c>
      <c r="B234" s="12" t="str">
        <f>IFERROR(__xludf.DUMMYFUNCTION("""COMPUTED_VALUE"""),"a0rVT000012llmdYAA")</f>
        <v>a0rVT000012llmdYAA</v>
      </c>
      <c r="C234" s="12" t="str">
        <f>IFERROR(__xludf.DUMMYFUNCTION("""COMPUTED_VALUE"""),"0034X00003EtGr8QAF")</f>
        <v>0034X00003EtGr8QAF</v>
      </c>
      <c r="D234" s="12" t="str">
        <f>IFERROR(__xludf.DUMMYFUNCTION("""COMPUTED_VALUE"""),"Aaron Barnes")</f>
        <v>Aaron Barnes</v>
      </c>
      <c r="E234" s="12" t="str">
        <f>IFERROR(__xludf.DUMMYFUNCTION("""COMPUTED_VALUE"""),"aaron.barnes@workday.com")</f>
        <v>aaron.barnes@workday.com</v>
      </c>
      <c r="F234" s="12" t="str">
        <f>IFERROR(__xludf.DUMMYFUNCTION("""COMPUTED_VALUE"""),"Deployment Sponsor")</f>
        <v>Deployment Sponsor</v>
      </c>
    </row>
    <row r="235">
      <c r="A235" s="12" t="str">
        <f>IFERROR(__xludf.DUMMYFUNCTION("""COMPUTED_VALUE"""),"a0lVT000005neuHYAQ")</f>
        <v>a0lVT000005neuHYAQ</v>
      </c>
      <c r="B235" s="12" t="str">
        <f>IFERROR(__xludf.DUMMYFUNCTION("""COMPUTED_VALUE"""),"a0rVT000012llmdYAA")</f>
        <v>a0rVT000012llmdYAA</v>
      </c>
      <c r="C235" s="12" t="str">
        <f>IFERROR(__xludf.DUMMYFUNCTION("""COMPUTED_VALUE"""),"003VT00000fcE40YAE")</f>
        <v>003VT00000fcE40YAE</v>
      </c>
      <c r="D235" s="12" t="str">
        <f>IFERROR(__xludf.DUMMYFUNCTION("""COMPUTED_VALUE"""),"Sadia Hashi")</f>
        <v>Sadia Hashi</v>
      </c>
      <c r="E235" s="12" t="str">
        <f>IFERROR(__xludf.DUMMYFUNCTION("""COMPUTED_VALUE"""),"sadia.hashi@workday.com")</f>
        <v>sadia.hashi@workday.com</v>
      </c>
      <c r="F235" s="12" t="str">
        <f>IFERROR(__xludf.DUMMYFUNCTION("""COMPUTED_VALUE"""),"Engagement Manager [Primary]")</f>
        <v>Engagement Manager [Primary]</v>
      </c>
    </row>
    <row r="236">
      <c r="A236" s="12" t="str">
        <f>IFERROR(__xludf.DUMMYFUNCTION("""COMPUTED_VALUE"""),"a0lVT000005xVEdYAM")</f>
        <v>a0lVT000005xVEdYAM</v>
      </c>
      <c r="B236" s="12" t="str">
        <f>IFERROR(__xludf.DUMMYFUNCTION("""COMPUTED_VALUE"""),"a0rVT000012llmdYAA")</f>
        <v>a0rVT000012llmdYAA</v>
      </c>
      <c r="C236" s="12" t="str">
        <f>IFERROR(__xludf.DUMMYFUNCTION("""COMPUTED_VALUE"""),"003VT00000hJrcZYAS")</f>
        <v>003VT00000hJrcZYAS</v>
      </c>
      <c r="D236" s="12" t="str">
        <f>IFERROR(__xludf.DUMMYFUNCTION("""COMPUTED_VALUE"""),"Jose Luis Solans Adrada")</f>
        <v>Jose Luis Solans Adrada</v>
      </c>
      <c r="E236" s="12" t="str">
        <f>IFERROR(__xludf.DUMMYFUNCTION("""COMPUTED_VALUE"""),"joseluis.solansadrada@elcorteingles.es")</f>
        <v>joseluis.solansadrada@elcorteingles.es</v>
      </c>
      <c r="F236" s="12" t="str">
        <f>IFERROR(__xludf.DUMMYFUNCTION("""COMPUTED_VALUE"""),"Project Manager [Customer]")</f>
        <v>Project Manager [Customer]</v>
      </c>
    </row>
    <row r="237">
      <c r="A237" s="12" t="str">
        <f>IFERROR(__xludf.DUMMYFUNCTION("""COMPUTED_VALUE"""),"a0lVT0000062KwsYAE")</f>
        <v>a0lVT0000062KwsYAE</v>
      </c>
      <c r="B237" s="12" t="str">
        <f>IFERROR(__xludf.DUMMYFUNCTION("""COMPUTED_VALUE"""),"a0rVT000012slRjYAI")</f>
        <v>a0rVT000012slRjYAI</v>
      </c>
      <c r="C237" s="12" t="str">
        <f>IFERROR(__xludf.DUMMYFUNCTION("""COMPUTED_VALUE"""),"0034X000037BWLlQAO")</f>
        <v>0034X000037BWLlQAO</v>
      </c>
      <c r="D237" s="12" t="str">
        <f>IFERROR(__xludf.DUMMYFUNCTION("""COMPUTED_VALUE"""),"Harri Nevanlinna")</f>
        <v>Harri Nevanlinna</v>
      </c>
      <c r="E237" s="12" t="str">
        <f>IFERROR(__xludf.DUMMYFUNCTION("""COMPUTED_VALUE"""),"harri.nevanlinna@walwil.com")</f>
        <v>harri.nevanlinna@walwil.com</v>
      </c>
      <c r="F237" s="12" t="str">
        <f>IFERROR(__xludf.DUMMYFUNCTION("""COMPUTED_VALUE"""),"Executive Sponsor")</f>
        <v>Executive Sponsor</v>
      </c>
    </row>
    <row r="238">
      <c r="A238" s="12" t="str">
        <f>IFERROR(__xludf.DUMMYFUNCTION("""COMPUTED_VALUE"""),"a0lVT0000062KwrYAE")</f>
        <v>a0lVT0000062KwrYAE</v>
      </c>
      <c r="B238" s="12" t="str">
        <f>IFERROR(__xludf.DUMMYFUNCTION("""COMPUTED_VALUE"""),"a0rVT000012slRjYAI")</f>
        <v>a0rVT000012slRjYAI</v>
      </c>
      <c r="C238" s="12" t="str">
        <f>IFERROR(__xludf.DUMMYFUNCTION("""COMPUTED_VALUE"""),"003VT00000qOMW8YAO")</f>
        <v>003VT00000qOMW8YAO</v>
      </c>
      <c r="D238" s="12" t="str">
        <f>IFERROR(__xludf.DUMMYFUNCTION("""COMPUTED_VALUE"""),"Alisdair Beattie")</f>
        <v>Alisdair Beattie</v>
      </c>
      <c r="E238" s="12" t="str">
        <f>IFERROR(__xludf.DUMMYFUNCTION("""COMPUTED_VALUE"""),"alisdair.beattie@walwil.com")</f>
        <v>alisdair.beattie@walwil.com</v>
      </c>
      <c r="F238" s="12" t="str">
        <f>IFERROR(__xludf.DUMMYFUNCTION("""COMPUTED_VALUE"""),"Project Manager [Customer]")</f>
        <v>Project Manager [Customer]</v>
      </c>
    </row>
    <row r="239">
      <c r="A239" s="12" t="str">
        <f>IFERROR(__xludf.DUMMYFUNCTION("""COMPUTED_VALUE"""),"a0lVT000005pUfVYAU")</f>
        <v>a0lVT000005pUfVYAU</v>
      </c>
      <c r="B239" s="12" t="str">
        <f>IFERROR(__xludf.DUMMYFUNCTION("""COMPUTED_VALUE"""),"a0rVT000013D3fNYAS")</f>
        <v>a0rVT000013D3fNYAS</v>
      </c>
      <c r="C239" s="12" t="str">
        <f>IFERROR(__xludf.DUMMYFUNCTION("""COMPUTED_VALUE"""),"0031B00002mO8bwQAC")</f>
        <v>0031B00002mO8bwQAC</v>
      </c>
      <c r="D239" s="12" t="str">
        <f>IFERROR(__xludf.DUMMYFUNCTION("""COMPUTED_VALUE"""),"Samantha Kowalski")</f>
        <v>Samantha Kowalski</v>
      </c>
      <c r="E239" s="12" t="str">
        <f>IFERROR(__xludf.DUMMYFUNCTION("""COMPUTED_VALUE"""),"samantha.kowalski@workday.com")</f>
        <v>samantha.kowalski@workday.com</v>
      </c>
      <c r="F239" s="12" t="str">
        <f>IFERROR(__xludf.DUMMYFUNCTION("""COMPUTED_VALUE"""),"Engagement Manager [Primary]")</f>
        <v>Engagement Manager [Primary]</v>
      </c>
    </row>
    <row r="240">
      <c r="A240" s="12" t="str">
        <f>IFERROR(__xludf.DUMMYFUNCTION("""COMPUTED_VALUE"""),"a0lVT000005uDkTYAU")</f>
        <v>a0lVT000005uDkTYAU</v>
      </c>
      <c r="B240" s="12" t="str">
        <f>IFERROR(__xludf.DUMMYFUNCTION("""COMPUTED_VALUE"""),"a0rVT000013D3fNYAS")</f>
        <v>a0rVT000013D3fNYAS</v>
      </c>
      <c r="C240" s="12" t="str">
        <f>IFERROR(__xludf.DUMMYFUNCTION("""COMPUTED_VALUE"""),"0034X00003BjfQaQAJ")</f>
        <v>0034X00003BjfQaQAJ</v>
      </c>
      <c r="D240" s="12" t="str">
        <f>IFERROR(__xludf.DUMMYFUNCTION("""COMPUTED_VALUE"""),"Sara Teigen")</f>
        <v>Sara Teigen</v>
      </c>
      <c r="E240" s="12" t="str">
        <f>IFERROR(__xludf.DUMMYFUNCTION("""COMPUTED_VALUE"""),"sara.teigen@faithtechinc.com")</f>
        <v>sara.teigen@faithtechinc.com</v>
      </c>
      <c r="F240" s="12" t="str">
        <f>IFERROR(__xludf.DUMMYFUNCTION("""COMPUTED_VALUE"""),"Project Manager [Customer]")</f>
        <v>Project Manager [Customer]</v>
      </c>
    </row>
    <row r="241">
      <c r="A241" s="12" t="str">
        <f>IFERROR(__xludf.DUMMYFUNCTION("""COMPUTED_VALUE"""),"a0lVT000005uBE2YAM")</f>
        <v>a0lVT000005uBE2YAM</v>
      </c>
      <c r="B241" s="12" t="str">
        <f>IFERROR(__xludf.DUMMYFUNCTION("""COMPUTED_VALUE"""),"a0rVT000013D3fNYAS")</f>
        <v>a0rVT000013D3fNYAS</v>
      </c>
      <c r="C241" s="12" t="str">
        <f>IFERROR(__xludf.DUMMYFUNCTION("""COMPUTED_VALUE"""),"0031B00002pjtctQAA")</f>
        <v>0031B00002pjtctQAA</v>
      </c>
      <c r="D241" s="12" t="str">
        <f>IFERROR(__xludf.DUMMYFUNCTION("""COMPUTED_VALUE"""),"Chelsea Breitzman")</f>
        <v>Chelsea Breitzman</v>
      </c>
      <c r="E241" s="12" t="str">
        <f>IFERROR(__xludf.DUMMYFUNCTION("""COMPUTED_VALUE"""),"chelsea.breitzman@faithtechnologies.com")</f>
        <v>chelsea.breitzman@faithtechnologies.com</v>
      </c>
      <c r="F241" s="12" t="str">
        <f>IFERROR(__xludf.DUMMYFUNCTION("""COMPUTED_VALUE"""),"Executive Sponsor")</f>
        <v>Executive Sponsor</v>
      </c>
    </row>
    <row r="242">
      <c r="A242" s="12" t="str">
        <f>IFERROR(__xludf.DUMMYFUNCTION("""COMPUTED_VALUE"""),"a0lVT000005qTZJYA2")</f>
        <v>a0lVT000005qTZJYA2</v>
      </c>
      <c r="B242" s="12" t="str">
        <f>IFERROR(__xludf.DUMMYFUNCTION("""COMPUTED_VALUE"""),"a0rVT000013D3fNYAS")</f>
        <v>a0rVT000013D3fNYAS</v>
      </c>
      <c r="C242" s="12" t="str">
        <f>IFERROR(__xludf.DUMMYFUNCTION("""COMPUTED_VALUE"""),"00380000026qL1WAAU")</f>
        <v>00380000026qL1WAAU</v>
      </c>
      <c r="D242" s="12" t="str">
        <f>IFERROR(__xludf.DUMMYFUNCTION("""COMPUTED_VALUE"""),"Sumi Sankaran")</f>
        <v>Sumi Sankaran</v>
      </c>
      <c r="E242" s="12" t="str">
        <f>IFERROR(__xludf.DUMMYFUNCTION("""COMPUTED_VALUE"""),"sumi.sankaran@workday.com")</f>
        <v>sumi.sankaran@workday.com</v>
      </c>
      <c r="F242" s="12" t="str">
        <f>IFERROR(__xludf.DUMMYFUNCTION("""COMPUTED_VALUE"""),"Deployment Sponsor")</f>
        <v>Deployment Sponsor</v>
      </c>
    </row>
    <row r="243">
      <c r="A243" s="12" t="str">
        <f>IFERROR(__xludf.DUMMYFUNCTION("""COMPUTED_VALUE"""),"a0lVT000005w2plYAA")</f>
        <v>a0lVT000005w2plYAA</v>
      </c>
      <c r="B243" s="12" t="str">
        <f>IFERROR(__xludf.DUMMYFUNCTION("""COMPUTED_VALUE"""),"a0rVT000013WJTVYA4")</f>
        <v>a0rVT000013WJTVYA4</v>
      </c>
      <c r="C243" s="12" t="str">
        <f>IFERROR(__xludf.DUMMYFUNCTION("""COMPUTED_VALUE"""),"003VT00000TMFsqYAH")</f>
        <v>003VT00000TMFsqYAH</v>
      </c>
      <c r="D243" s="12" t="str">
        <f>IFERROR(__xludf.DUMMYFUNCTION("""COMPUTED_VALUE"""),"Dianna Sanchez")</f>
        <v>Dianna Sanchez</v>
      </c>
      <c r="E243" s="12" t="str">
        <f>IFERROR(__xludf.DUMMYFUNCTION("""COMPUTED_VALUE"""),"dianna_sanchez@homedepot.com")</f>
        <v>dianna_sanchez@homedepot.com</v>
      </c>
      <c r="F243" s="12" t="str">
        <f>IFERROR(__xludf.DUMMYFUNCTION("""COMPUTED_VALUE"""),"Project Manager [Customer]")</f>
        <v>Project Manager [Customer]</v>
      </c>
    </row>
    <row r="244">
      <c r="A244" s="12" t="str">
        <f>IFERROR(__xludf.DUMMYFUNCTION("""COMPUTED_VALUE"""),"a0lVT000005twN3YAI")</f>
        <v>a0lVT000005twN3YAI</v>
      </c>
      <c r="B244" s="12" t="str">
        <f>IFERROR(__xludf.DUMMYFUNCTION("""COMPUTED_VALUE"""),"a0rVT000013WJTVYA4")</f>
        <v>a0rVT000013WJTVYA4</v>
      </c>
      <c r="C244" s="12" t="str">
        <f>IFERROR(__xludf.DUMMYFUNCTION("""COMPUTED_VALUE"""),"0034X00002yXBHxQAO")</f>
        <v>0034X00002yXBHxQAO</v>
      </c>
      <c r="D244" s="12" t="str">
        <f>IFERROR(__xludf.DUMMYFUNCTION("""COMPUTED_VALUE"""),"Jennifer Mitchell")</f>
        <v>Jennifer Mitchell</v>
      </c>
      <c r="E244" s="12" t="str">
        <f>IFERROR(__xludf.DUMMYFUNCTION("""COMPUTED_VALUE"""),"jennifer.mitchell@workday.com")</f>
        <v>jennifer.mitchell@workday.com</v>
      </c>
      <c r="F244" s="12" t="str">
        <f>IFERROR(__xludf.DUMMYFUNCTION("""COMPUTED_VALUE"""),"Engagement Manager [Secondary]")</f>
        <v>Engagement Manager [Secondary]</v>
      </c>
    </row>
    <row r="245">
      <c r="A245" s="12" t="str">
        <f>IFERROR(__xludf.DUMMYFUNCTION("""COMPUTED_VALUE"""),"a0lVT000005qje5YAA")</f>
        <v>a0lVT000005qje5YAA</v>
      </c>
      <c r="B245" s="12" t="str">
        <f>IFERROR(__xludf.DUMMYFUNCTION("""COMPUTED_VALUE"""),"a0rVT000013WJTVYA4")</f>
        <v>a0rVT000013WJTVYA4</v>
      </c>
      <c r="C245" s="12" t="str">
        <f>IFERROR(__xludf.DUMMYFUNCTION("""COMPUTED_VALUE"""),"003VT00000c69PMYAY")</f>
        <v>003VT00000c69PMYAY</v>
      </c>
      <c r="D245" s="12" t="str">
        <f>IFERROR(__xludf.DUMMYFUNCTION("""COMPUTED_VALUE"""),"Brad Whitford")</f>
        <v>Brad Whitford</v>
      </c>
      <c r="E245" s="12" t="str">
        <f>IFERROR(__xludf.DUMMYFUNCTION("""COMPUTED_VALUE"""),"brad.whitford@workday.com")</f>
        <v>brad.whitford@workday.com</v>
      </c>
      <c r="F245" s="12" t="str">
        <f>IFERROR(__xludf.DUMMYFUNCTION("""COMPUTED_VALUE"""),"Engagement Manager [Primary]")</f>
        <v>Engagement Manager [Primary]</v>
      </c>
    </row>
    <row r="246">
      <c r="A246" s="12" t="str">
        <f>IFERROR(__xludf.DUMMYFUNCTION("""COMPUTED_VALUE"""),"a0lVT000005wXn7YAE")</f>
        <v>a0lVT000005wXn7YAE</v>
      </c>
      <c r="B246" s="12" t="str">
        <f>IFERROR(__xludf.DUMMYFUNCTION("""COMPUTED_VALUE"""),"a0rVT000013WJTVYA4")</f>
        <v>a0rVT000013WJTVYA4</v>
      </c>
      <c r="C246" s="12" t="str">
        <f>IFERROR(__xludf.DUMMYFUNCTION("""COMPUTED_VALUE"""),"0038000001HTmLFAA1")</f>
        <v>0038000001HTmLFAA1</v>
      </c>
      <c r="D246" s="12" t="str">
        <f>IFERROR(__xludf.DUMMYFUNCTION("""COMPUTED_VALUE"""),"Angela Chu-Matsuno")</f>
        <v>Angela Chu-Matsuno</v>
      </c>
      <c r="E246" s="12" t="str">
        <f>IFERROR(__xludf.DUMMYFUNCTION("""COMPUTED_VALUE"""),"angela.chu-matsuno@workday.com")</f>
        <v>angela.chu-matsuno@workday.com</v>
      </c>
      <c r="F246" s="12" t="str">
        <f>IFERROR(__xludf.DUMMYFUNCTION("""COMPUTED_VALUE"""),"Deployment Sponsor")</f>
        <v>Deployment Sponsor</v>
      </c>
    </row>
    <row r="247">
      <c r="A247" s="12" t="str">
        <f>IFERROR(__xludf.DUMMYFUNCTION("""COMPUTED_VALUE"""),"a0lVT000005w2poYAA")</f>
        <v>a0lVT000005w2poYAA</v>
      </c>
      <c r="B247" s="12" t="str">
        <f>IFERROR(__xludf.DUMMYFUNCTION("""COMPUTED_VALUE"""),"a0rVT000013WJTVYA4")</f>
        <v>a0rVT000013WJTVYA4</v>
      </c>
      <c r="C247" s="12" t="str">
        <f>IFERROR(__xludf.DUMMYFUNCTION("""COMPUTED_VALUE"""),"0031B00002gdaHFQAY")</f>
        <v>0031B00002gdaHFQAY</v>
      </c>
      <c r="D247" s="12" t="str">
        <f>IFERROR(__xludf.DUMMYFUNCTION("""COMPUTED_VALUE"""),"Lisa Gross")</f>
        <v>Lisa Gross</v>
      </c>
      <c r="E247" s="12" t="str">
        <f>IFERROR(__xludf.DUMMYFUNCTION("""COMPUTED_VALUE"""),"lisa.gross@skadden.com")</f>
        <v>lisa.gross@skadden.com</v>
      </c>
      <c r="F247" s="12" t="str">
        <f>IFERROR(__xludf.DUMMYFUNCTION("""COMPUTED_VALUE"""),"Executive Sponsor")</f>
        <v>Executive Sponsor</v>
      </c>
    </row>
    <row r="248">
      <c r="A248" s="12" t="str">
        <f>IFERROR(__xludf.DUMMYFUNCTION("""COMPUTED_VALUE"""),"a0lVT000005w2pnYAA")</f>
        <v>a0lVT000005w2pnYAA</v>
      </c>
      <c r="B248" s="12" t="str">
        <f>IFERROR(__xludf.DUMMYFUNCTION("""COMPUTED_VALUE"""),"a0rVT000013WJTVYA4")</f>
        <v>a0rVT000013WJTVYA4</v>
      </c>
      <c r="C248" s="12" t="str">
        <f>IFERROR(__xludf.DUMMYFUNCTION("""COMPUTED_VALUE"""),"0034X00003Jutc5QAB")</f>
        <v>0034X00003Jutc5QAB</v>
      </c>
      <c r="D248" s="12" t="str">
        <f>IFERROR(__xludf.DUMMYFUNCTION("""COMPUTED_VALUE"""),"Cox Val")</f>
        <v>Cox Val</v>
      </c>
      <c r="E248" s="12" t="str">
        <f>IFERROR(__xludf.DUMMYFUNCTION("""COMPUTED_VALUE"""),"val_cox@homedepot.com")</f>
        <v>val_cox@homedepot.com</v>
      </c>
      <c r="F248" s="12" t="str">
        <f>IFERROR(__xludf.DUMMYFUNCTION("""COMPUTED_VALUE"""),"Executive Sponsor")</f>
        <v>Executive Sponsor</v>
      </c>
    </row>
    <row r="249">
      <c r="A249" s="12" t="str">
        <f>IFERROR(__xludf.DUMMYFUNCTION("""COMPUTED_VALUE"""),"a0lVT000005w2pmYAA")</f>
        <v>a0lVT000005w2pmYAA</v>
      </c>
      <c r="B249" s="12" t="str">
        <f>IFERROR(__xludf.DUMMYFUNCTION("""COMPUTED_VALUE"""),"a0rVT000013WJTVYA4")</f>
        <v>a0rVT000013WJTVYA4</v>
      </c>
      <c r="C249" s="12" t="str">
        <f>IFERROR(__xludf.DUMMYFUNCTION("""COMPUTED_VALUE"""),"0034X00003GOHUHQA5")</f>
        <v>0034X00003GOHUHQA5</v>
      </c>
      <c r="D249" s="12" t="str">
        <f>IFERROR(__xludf.DUMMYFUNCTION("""COMPUTED_VALUE"""),"Timothy Lawlor")</f>
        <v>Timothy Lawlor</v>
      </c>
      <c r="E249" s="12" t="str">
        <f>IFERROR(__xludf.DUMMYFUNCTION("""COMPUTED_VALUE"""),"tim_lawlor@homedepot.com")</f>
        <v>tim_lawlor@homedepot.com</v>
      </c>
      <c r="F249" s="12" t="str">
        <f>IFERROR(__xludf.DUMMYFUNCTION("""COMPUTED_VALUE"""),"Project Manager [Customer]")</f>
        <v>Project Manager [Customer]</v>
      </c>
    </row>
    <row r="250">
      <c r="A250" s="12" t="str">
        <f>IFERROR(__xludf.DUMMYFUNCTION("""COMPUTED_VALUE"""),"a0lVT000006GqvFYAS")</f>
        <v>a0lVT000006GqvFYAS</v>
      </c>
      <c r="B250" s="12" t="str">
        <f>IFERROR(__xludf.DUMMYFUNCTION("""COMPUTED_VALUE"""),"a0rVT000013eXpRYAU")</f>
        <v>a0rVT000013eXpRYAU</v>
      </c>
      <c r="C250" s="12" t="str">
        <f>IFERROR(__xludf.DUMMYFUNCTION("""COMPUTED_VALUE"""),"0038000002KQ5fIAAT")</f>
        <v>0038000002KQ5fIAAT</v>
      </c>
      <c r="D250" s="12" t="str">
        <f>IFERROR(__xludf.DUMMYFUNCTION("""COMPUTED_VALUE"""),"Todd Fouts")</f>
        <v>Todd Fouts</v>
      </c>
      <c r="E250" s="12" t="str">
        <f>IFERROR(__xludf.DUMMYFUNCTION("""COMPUTED_VALUE"""),"todd.fouts@workday.com")</f>
        <v>todd.fouts@workday.com</v>
      </c>
      <c r="F250" s="12" t="str">
        <f>IFERROR(__xludf.DUMMYFUNCTION("""COMPUTED_VALUE"""),"Engagement Manager [Primary]")</f>
        <v>Engagement Manager [Primary]</v>
      </c>
    </row>
    <row r="251">
      <c r="A251" s="12" t="str">
        <f>IFERROR(__xludf.DUMMYFUNCTION("""COMPUTED_VALUE"""),"a0lVT000005rHpRYAU")</f>
        <v>a0lVT000005rHpRYAU</v>
      </c>
      <c r="B251" s="12" t="str">
        <f>IFERROR(__xludf.DUMMYFUNCTION("""COMPUTED_VALUE"""),"a0rVT000013eXpRYAU")</f>
        <v>a0rVT000013eXpRYAU</v>
      </c>
      <c r="C251" s="12" t="str">
        <f>IFERROR(__xludf.DUMMYFUNCTION("""COMPUTED_VALUE"""),"0038000002K1SXXAA3")</f>
        <v>0038000002K1SXXAA3</v>
      </c>
      <c r="D251" s="12" t="str">
        <f>IFERROR(__xludf.DUMMYFUNCTION("""COMPUTED_VALUE"""),"Eric Evans")</f>
        <v>Eric Evans</v>
      </c>
      <c r="E251" s="12" t="str">
        <f>IFERROR(__xludf.DUMMYFUNCTION("""COMPUTED_VALUE"""),"eric.j.evans@workday.com")</f>
        <v>eric.j.evans@workday.com</v>
      </c>
      <c r="F251" s="12" t="str">
        <f>IFERROR(__xludf.DUMMYFUNCTION("""COMPUTED_VALUE"""),"Engagement Manager [Primary]")</f>
        <v>Engagement Manager [Primary]</v>
      </c>
    </row>
    <row r="252">
      <c r="A252" s="12" t="str">
        <f>IFERROR(__xludf.DUMMYFUNCTION("""COMPUTED_VALUE"""),"a0lVT000006H68qYAC")</f>
        <v>a0lVT000006H68qYAC</v>
      </c>
      <c r="B252" s="12" t="str">
        <f>IFERROR(__xludf.DUMMYFUNCTION("""COMPUTED_VALUE"""),"a0rVT000013eXpRYAU")</f>
        <v>a0rVT000013eXpRYAU</v>
      </c>
      <c r="C252" s="12" t="str">
        <f>IFERROR(__xludf.DUMMYFUNCTION("""COMPUTED_VALUE"""),"0038000001i7N4rAAE")</f>
        <v>0038000001i7N4rAAE</v>
      </c>
      <c r="D252" s="12" t="str">
        <f>IFERROR(__xludf.DUMMYFUNCTION("""COMPUTED_VALUE"""),"Val Tsvetkov")</f>
        <v>Val Tsvetkov</v>
      </c>
      <c r="E252" s="12" t="str">
        <f>IFERROR(__xludf.DUMMYFUNCTION("""COMPUTED_VALUE"""),"val.tsvetkov@workday.com")</f>
        <v>val.tsvetkov@workday.com</v>
      </c>
      <c r="F252" s="12" t="str">
        <f>IFERROR(__xludf.DUMMYFUNCTION("""COMPUTED_VALUE"""),"Deployment Sponsor")</f>
        <v>Deployment Sponsor</v>
      </c>
    </row>
    <row r="253">
      <c r="A253" s="12" t="str">
        <f>IFERROR(__xludf.DUMMYFUNCTION("""COMPUTED_VALUE"""),"a0lVT000006H68pYAC")</f>
        <v>a0lVT000006H68pYAC</v>
      </c>
      <c r="B253" s="12" t="str">
        <f>IFERROR(__xludf.DUMMYFUNCTION("""COMPUTED_VALUE"""),"a0rVT000013eXpRYAU")</f>
        <v>a0rVT000013eXpRYAU</v>
      </c>
      <c r="C253" s="12" t="str">
        <f>IFERROR(__xludf.DUMMYFUNCTION("""COMPUTED_VALUE"""),"003VT00000Lml0aYAB")</f>
        <v>003VT00000Lml0aYAB</v>
      </c>
      <c r="D253" s="12" t="str">
        <f>IFERROR(__xludf.DUMMYFUNCTION("""COMPUTED_VALUE"""),"Robyn Greenlee")</f>
        <v>Robyn Greenlee</v>
      </c>
      <c r="E253" s="12" t="str">
        <f>IFERROR(__xludf.DUMMYFUNCTION("""COMPUTED_VALUE"""),"robyn.greenlee@motorolasolutions.com")</f>
        <v>robyn.greenlee@motorolasolutions.com</v>
      </c>
      <c r="F253" s="12" t="str">
        <f>IFERROR(__xludf.DUMMYFUNCTION("""COMPUTED_VALUE"""),"Project Manager [Customer]")</f>
        <v>Project Manager [Customer]</v>
      </c>
    </row>
    <row r="254">
      <c r="A254" s="12" t="str">
        <f>IFERROR(__xludf.DUMMYFUNCTION("""COMPUTED_VALUE"""),"a0lVT000006H68oYAC")</f>
        <v>a0lVT000006H68oYAC</v>
      </c>
      <c r="B254" s="12" t="str">
        <f>IFERROR(__xludf.DUMMYFUNCTION("""COMPUTED_VALUE"""),"a0rVT000013eXpRYAU")</f>
        <v>a0rVT000013eXpRYAU</v>
      </c>
      <c r="C254" s="12" t="str">
        <f>IFERROR(__xludf.DUMMYFUNCTION("""COMPUTED_VALUE"""),"0038000002Gj9tBAAR")</f>
        <v>0038000002Gj9tBAAR</v>
      </c>
      <c r="D254" s="12" t="str">
        <f>IFERROR(__xludf.DUMMYFUNCTION("""COMPUTED_VALUE"""),"Shea Lierman")</f>
        <v>Shea Lierman</v>
      </c>
      <c r="E254" s="12" t="str">
        <f>IFERROR(__xludf.DUMMYFUNCTION("""COMPUTED_VALUE"""),"shea.lierman@motorolasolutions.com")</f>
        <v>shea.lierman@motorolasolutions.com</v>
      </c>
      <c r="F254" s="12" t="str">
        <f>IFERROR(__xludf.DUMMYFUNCTION("""COMPUTED_VALUE"""),"Executive Sponsor")</f>
        <v>Executive Sponsor</v>
      </c>
    </row>
    <row r="255">
      <c r="A255" s="12" t="str">
        <f>IFERROR(__xludf.DUMMYFUNCTION("""COMPUTED_VALUE"""),"a0lVT000006OcDZYA0")</f>
        <v>a0lVT000006OcDZYA0</v>
      </c>
      <c r="B255" s="12" t="str">
        <f>IFERROR(__xludf.DUMMYFUNCTION("""COMPUTED_VALUE"""),"a0rVT000013mVldYAE")</f>
        <v>a0rVT000013mVldYAE</v>
      </c>
      <c r="C255" s="12" t="str">
        <f>IFERROR(__xludf.DUMMYFUNCTION("""COMPUTED_VALUE"""),"0034X00003T1DKVQA3")</f>
        <v>0034X00003T1DKVQA3</v>
      </c>
      <c r="D255" s="12" t="str">
        <f>IFERROR(__xludf.DUMMYFUNCTION("""COMPUTED_VALUE"""),"Kalin Watson")</f>
        <v>Kalin Watson</v>
      </c>
      <c r="E255" s="12" t="str">
        <f>IFERROR(__xludf.DUMMYFUNCTION("""COMPUTED_VALUE"""),"kalin.watson@wellsky.com")</f>
        <v>kalin.watson@wellsky.com</v>
      </c>
      <c r="F255" s="12" t="str">
        <f>IFERROR(__xludf.DUMMYFUNCTION("""COMPUTED_VALUE"""),"Project Manager [Customer]")</f>
        <v>Project Manager [Customer]</v>
      </c>
    </row>
    <row r="256">
      <c r="A256" s="12" t="str">
        <f>IFERROR(__xludf.DUMMYFUNCTION("""COMPUTED_VALUE"""),"a0lVT000006OcDaYAK")</f>
        <v>a0lVT000006OcDaYAK</v>
      </c>
      <c r="B256" s="12" t="str">
        <f>IFERROR(__xludf.DUMMYFUNCTION("""COMPUTED_VALUE"""),"a0rVT000013mVldYAE")</f>
        <v>a0rVT000013mVldYAE</v>
      </c>
      <c r="C256" s="12" t="str">
        <f>IFERROR(__xludf.DUMMYFUNCTION("""COMPUTED_VALUE"""),"0034X000039mXTUQA2")</f>
        <v>0034X000039mXTUQA2</v>
      </c>
      <c r="D256" s="12" t="str">
        <f>IFERROR(__xludf.DUMMYFUNCTION("""COMPUTED_VALUE"""),"Maria Gibbs")</f>
        <v>Maria Gibbs</v>
      </c>
      <c r="E256" s="12" t="str">
        <f>IFERROR(__xludf.DUMMYFUNCTION("""COMPUTED_VALUE"""),"maria.gibbs@wellsky.com")</f>
        <v>maria.gibbs@wellsky.com</v>
      </c>
      <c r="F256" s="12" t="str">
        <f>IFERROR(__xludf.DUMMYFUNCTION("""COMPUTED_VALUE"""),"Executive Sponsor")</f>
        <v>Executive Sponsor</v>
      </c>
    </row>
    <row r="257">
      <c r="A257" s="12" t="str">
        <f>IFERROR(__xludf.DUMMYFUNCTION("""COMPUTED_VALUE"""),"a0lVT000005reinYAA")</f>
        <v>a0lVT000005reinYAA</v>
      </c>
      <c r="B257" s="12" t="str">
        <f>IFERROR(__xludf.DUMMYFUNCTION("""COMPUTED_VALUE"""),"a0rVT000013mVldYAE")</f>
        <v>a0rVT000013mVldYAE</v>
      </c>
      <c r="C257" s="12" t="str">
        <f>IFERROR(__xludf.DUMMYFUNCTION("""COMPUTED_VALUE"""),"003VT00000VGvjdYAD")</f>
        <v>003VT00000VGvjdYAD</v>
      </c>
      <c r="D257" s="12" t="str">
        <f>IFERROR(__xludf.DUMMYFUNCTION("""COMPUTED_VALUE"""),"William Porras")</f>
        <v>William Porras</v>
      </c>
      <c r="E257" s="12" t="str">
        <f>IFERROR(__xludf.DUMMYFUNCTION("""COMPUTED_VALUE"""),"william.porras@workday.com")</f>
        <v>william.porras@workday.com</v>
      </c>
      <c r="F257" s="12" t="str">
        <f>IFERROR(__xludf.DUMMYFUNCTION("""COMPUTED_VALUE"""),"Engagement Manager [Primary]")</f>
        <v>Engagement Manager [Primary]</v>
      </c>
    </row>
    <row r="258">
      <c r="A258" s="12" t="str">
        <f>IFERROR(__xludf.DUMMYFUNCTION("""COMPUTED_VALUE"""),"a0lVT000006JAHxYAO")</f>
        <v>a0lVT000006JAHxYAO</v>
      </c>
      <c r="B258" s="12" t="str">
        <f>IFERROR(__xludf.DUMMYFUNCTION("""COMPUTED_VALUE"""),"a0rVT000013mVldYAE")</f>
        <v>a0rVT000013mVldYAE</v>
      </c>
      <c r="C258" s="12" t="str">
        <f>IFERROR(__xludf.DUMMYFUNCTION("""COMPUTED_VALUE"""),"0038000001i7N4rAAE")</f>
        <v>0038000001i7N4rAAE</v>
      </c>
      <c r="D258" s="12" t="str">
        <f>IFERROR(__xludf.DUMMYFUNCTION("""COMPUTED_VALUE"""),"Val Tsvetkov")</f>
        <v>Val Tsvetkov</v>
      </c>
      <c r="E258" s="12" t="str">
        <f>IFERROR(__xludf.DUMMYFUNCTION("""COMPUTED_VALUE"""),"val.tsvetkov@workday.com")</f>
        <v>val.tsvetkov@workday.com</v>
      </c>
      <c r="F258" s="12" t="str">
        <f>IFERROR(__xludf.DUMMYFUNCTION("""COMPUTED_VALUE"""),"Deployment Sponsor")</f>
        <v>Deployment Sponsor</v>
      </c>
    </row>
    <row r="259">
      <c r="A259" s="12" t="str">
        <f>IFERROR(__xludf.DUMMYFUNCTION("""COMPUTED_VALUE"""),"a0lVT000006KMs9YAG")</f>
        <v>a0lVT000006KMs9YAG</v>
      </c>
      <c r="B259" s="12" t="str">
        <f>IFERROR(__xludf.DUMMYFUNCTION("""COMPUTED_VALUE"""),"a0rVT000015YOJ3YAO")</f>
        <v>a0rVT000015YOJ3YAO</v>
      </c>
      <c r="C259" s="12" t="str">
        <f>IFERROR(__xludf.DUMMYFUNCTION("""COMPUTED_VALUE"""),"0034X00003BkV9IQAV")</f>
        <v>0034X00003BkV9IQAV</v>
      </c>
      <c r="D259" s="12" t="str">
        <f>IFERROR(__xludf.DUMMYFUNCTION("""COMPUTED_VALUE"""),"Demi Usamanont")</f>
        <v>Demi Usamanont</v>
      </c>
      <c r="E259" s="12" t="str">
        <f>IFERROR(__xludf.DUMMYFUNCTION("""COMPUTED_VALUE"""),"dusamanont@equinix.com")</f>
        <v>dusamanont@equinix.com</v>
      </c>
      <c r="F259" s="12" t="str">
        <f>IFERROR(__xludf.DUMMYFUNCTION("""COMPUTED_VALUE"""),"Project Manager [Customer]")</f>
        <v>Project Manager [Customer]</v>
      </c>
    </row>
    <row r="260">
      <c r="A260" s="12" t="str">
        <f>IFERROR(__xludf.DUMMYFUNCTION("""COMPUTED_VALUE"""),"a0lVT000006992DYAQ")</f>
        <v>a0lVT000006992DYAQ</v>
      </c>
      <c r="B260" s="12" t="str">
        <f>IFERROR(__xludf.DUMMYFUNCTION("""COMPUTED_VALUE"""),"a0rVT000015YOJ3YAO")</f>
        <v>a0rVT000015YOJ3YAO</v>
      </c>
      <c r="C260" s="12" t="str">
        <f>IFERROR(__xludf.DUMMYFUNCTION("""COMPUTED_VALUE"""),"0034X00003GMOLBQA5")</f>
        <v>0034X00003GMOLBQA5</v>
      </c>
      <c r="D260" s="12" t="str">
        <f>IFERROR(__xludf.DUMMYFUNCTION("""COMPUTED_VALUE"""),"Jamie Jackson")</f>
        <v>Jamie Jackson</v>
      </c>
      <c r="E260" s="12" t="str">
        <f>IFERROR(__xludf.DUMMYFUNCTION("""COMPUTED_VALUE"""),"jamie.jackson@workday.com")</f>
        <v>jamie.jackson@workday.com</v>
      </c>
      <c r="F260" s="12" t="str">
        <f>IFERROR(__xludf.DUMMYFUNCTION("""COMPUTED_VALUE"""),"Engagement Manager [Primary]")</f>
        <v>Engagement Manager [Primary]</v>
      </c>
    </row>
    <row r="261">
      <c r="A261" s="12" t="str">
        <f>IFERROR(__xludf.DUMMYFUNCTION("""COMPUTED_VALUE"""),"a0lVT000006KPrdYAG")</f>
        <v>a0lVT000006KPrdYAG</v>
      </c>
      <c r="B261" s="12" t="str">
        <f>IFERROR(__xludf.DUMMYFUNCTION("""COMPUTED_VALUE"""),"a0rVT000015YOJ3YAO")</f>
        <v>a0rVT000015YOJ3YAO</v>
      </c>
      <c r="C261" s="12" t="str">
        <f>IFERROR(__xludf.DUMMYFUNCTION("""COMPUTED_VALUE"""),"0034X00003EtGr8QAF")</f>
        <v>0034X00003EtGr8QAF</v>
      </c>
      <c r="D261" s="12" t="str">
        <f>IFERROR(__xludf.DUMMYFUNCTION("""COMPUTED_VALUE"""),"Aaron Barnes")</f>
        <v>Aaron Barnes</v>
      </c>
      <c r="E261" s="12" t="str">
        <f>IFERROR(__xludf.DUMMYFUNCTION("""COMPUTED_VALUE"""),"aaron.barnes@workday.com")</f>
        <v>aaron.barnes@workday.com</v>
      </c>
      <c r="F261" s="12" t="str">
        <f>IFERROR(__xludf.DUMMYFUNCTION("""COMPUTED_VALUE"""),"Deployment Sponsor")</f>
        <v>Deployment Sponsor</v>
      </c>
    </row>
    <row r="262">
      <c r="A262" s="12" t="str">
        <f>IFERROR(__xludf.DUMMYFUNCTION("""COMPUTED_VALUE"""),"a0lVT000006KMsAYAW")</f>
        <v>a0lVT000006KMsAYAW</v>
      </c>
      <c r="B262" s="12" t="str">
        <f>IFERROR(__xludf.DUMMYFUNCTION("""COMPUTED_VALUE"""),"a0rVT000015YOJ3YAO")</f>
        <v>a0rVT000015YOJ3YAO</v>
      </c>
      <c r="C262" s="12" t="str">
        <f>IFERROR(__xludf.DUMMYFUNCTION("""COMPUTED_VALUE"""),"003VT00000OUESmYAP")</f>
        <v>003VT00000OUESmYAP</v>
      </c>
      <c r="D262" s="12" t="str">
        <f>IFERROR(__xludf.DUMMYFUNCTION("""COMPUTED_VALUE"""),"Liz Mackay")</f>
        <v>Liz Mackay</v>
      </c>
      <c r="E262" s="12" t="str">
        <f>IFERROR(__xludf.DUMMYFUNCTION("""COMPUTED_VALUE"""),"lmackay@equinix.co")</f>
        <v>lmackay@equinix.co</v>
      </c>
      <c r="F262" s="12" t="str">
        <f>IFERROR(__xludf.DUMMYFUNCTION("""COMPUTED_VALUE"""),"Executive Sponsor")</f>
        <v>Executive Sponsor</v>
      </c>
    </row>
    <row r="263">
      <c r="A263" s="12" t="str">
        <f>IFERROR(__xludf.DUMMYFUNCTION("""COMPUTED_VALUE"""),"a0lVT000006GNtFYAW")</f>
        <v>a0lVT000006GNtFYAW</v>
      </c>
      <c r="B263" s="12" t="str">
        <f>IFERROR(__xludf.DUMMYFUNCTION("""COMPUTED_VALUE"""),"a0rVT000015bGOjYAM")</f>
        <v>a0rVT000015bGOjYAM</v>
      </c>
      <c r="C263" s="12" t="str">
        <f>IFERROR(__xludf.DUMMYFUNCTION("""COMPUTED_VALUE"""),"0038000001loJg6AAE")</f>
        <v>0038000001loJg6AAE</v>
      </c>
      <c r="D263" s="12" t="str">
        <f>IFERROR(__xludf.DUMMYFUNCTION("""COMPUTED_VALUE"""),"Lloyd Mayers")</f>
        <v>Lloyd Mayers</v>
      </c>
      <c r="E263" s="12" t="str">
        <f>IFERROR(__xludf.DUMMYFUNCTION("""COMPUTED_VALUE"""),"lloyd.mayers@db.com")</f>
        <v>lloyd.mayers@db.com</v>
      </c>
      <c r="F263" s="12" t="str">
        <f>IFERROR(__xludf.DUMMYFUNCTION("""COMPUTED_VALUE"""),"Executive Sponsor")</f>
        <v>Executive Sponsor</v>
      </c>
    </row>
    <row r="264">
      <c r="A264" s="12" t="str">
        <f>IFERROR(__xludf.DUMMYFUNCTION("""COMPUTED_VALUE"""),"a0lVT000005xRSjYAM")</f>
        <v>a0lVT000005xRSjYAM</v>
      </c>
      <c r="B264" s="12" t="str">
        <f>IFERROR(__xludf.DUMMYFUNCTION("""COMPUTED_VALUE"""),"a0rVT000015bGOjYAM")</f>
        <v>a0rVT000015bGOjYAM</v>
      </c>
      <c r="C264" s="12" t="str">
        <f>IFERROR(__xludf.DUMMYFUNCTION("""COMPUTED_VALUE"""),"0034X00003EtGr8QAF")</f>
        <v>0034X00003EtGr8QAF</v>
      </c>
      <c r="D264" s="12" t="str">
        <f>IFERROR(__xludf.DUMMYFUNCTION("""COMPUTED_VALUE"""),"Aaron Barnes")</f>
        <v>Aaron Barnes</v>
      </c>
      <c r="E264" s="12" t="str">
        <f>IFERROR(__xludf.DUMMYFUNCTION("""COMPUTED_VALUE"""),"aaron.barnes@workday.com")</f>
        <v>aaron.barnes@workday.com</v>
      </c>
      <c r="F264" s="12" t="str">
        <f>IFERROR(__xludf.DUMMYFUNCTION("""COMPUTED_VALUE"""),"Deployment Sponsor")</f>
        <v>Deployment Sponsor</v>
      </c>
    </row>
    <row r="265">
      <c r="A265" s="12" t="str">
        <f>IFERROR(__xludf.DUMMYFUNCTION("""COMPUTED_VALUE"""),"a0lVT000006GAkjYAG")</f>
        <v>a0lVT000006GAkjYAG</v>
      </c>
      <c r="B265" s="12" t="str">
        <f>IFERROR(__xludf.DUMMYFUNCTION("""COMPUTED_VALUE"""),"a0rVT000015bGOjYAM")</f>
        <v>a0rVT000015bGOjYAM</v>
      </c>
      <c r="C265" s="12" t="str">
        <f>IFERROR(__xludf.DUMMYFUNCTION("""COMPUTED_VALUE"""),"003VT00000kOt2UYAS")</f>
        <v>003VT00000kOt2UYAS</v>
      </c>
      <c r="D265" s="12" t="str">
        <f>IFERROR(__xludf.DUMMYFUNCTION("""COMPUTED_VALUE"""),"Tim Le Maire")</f>
        <v>Tim Le Maire</v>
      </c>
      <c r="E265" s="12" t="str">
        <f>IFERROR(__xludf.DUMMYFUNCTION("""COMPUTED_VALUE"""),"tim.lemaire@workday.com")</f>
        <v>tim.lemaire@workday.com</v>
      </c>
      <c r="F265" s="12" t="str">
        <f>IFERROR(__xludf.DUMMYFUNCTION("""COMPUTED_VALUE"""),"Engagement Manager [Primary]")</f>
        <v>Engagement Manager [Primary]</v>
      </c>
    </row>
    <row r="266">
      <c r="A266" s="12" t="str">
        <f>IFERROR(__xludf.DUMMYFUNCTION("""COMPUTED_VALUE"""),"a0lVT000006GNq1YAG")</f>
        <v>a0lVT000006GNq1YAG</v>
      </c>
      <c r="B266" s="12" t="str">
        <f>IFERROR(__xludf.DUMMYFUNCTION("""COMPUTED_VALUE"""),"a0rVT000015bGOjYAM")</f>
        <v>a0rVT000015bGOjYAM</v>
      </c>
      <c r="C266" s="12" t="str">
        <f>IFERROR(__xludf.DUMMYFUNCTION("""COMPUTED_VALUE"""),"0034X000030SP96QAG")</f>
        <v>0034X000030SP96QAG</v>
      </c>
      <c r="D266" s="12" t="str">
        <f>IFERROR(__xludf.DUMMYFUNCTION("""COMPUTED_VALUE"""),"Helen Jakob-Rees")</f>
        <v>Helen Jakob-Rees</v>
      </c>
      <c r="E266" s="12" t="str">
        <f>IFERROR(__xludf.DUMMYFUNCTION("""COMPUTED_VALUE"""),"dnu_helen.jakob-rees@db.com")</f>
        <v>dnu_helen.jakob-rees@db.com</v>
      </c>
      <c r="F266" s="12" t="str">
        <f>IFERROR(__xludf.DUMMYFUNCTION("""COMPUTED_VALUE"""),"Project Manager [Customer]")</f>
        <v>Project Manager [Customer]</v>
      </c>
    </row>
    <row r="267">
      <c r="A267" s="12" t="str">
        <f>IFERROR(__xludf.DUMMYFUNCTION("""COMPUTED_VALUE"""),"a0lVT000006GNrdYAG")</f>
        <v>a0lVT000006GNrdYAG</v>
      </c>
      <c r="B267" s="12" t="str">
        <f>IFERROR(__xludf.DUMMYFUNCTION("""COMPUTED_VALUE"""),"a0rVT000015bGOjYAM")</f>
        <v>a0rVT000015bGOjYAM</v>
      </c>
      <c r="C267" s="12" t="str">
        <f>IFERROR(__xludf.DUMMYFUNCTION("""COMPUTED_VALUE"""),"0038000001x0NzKAAU")</f>
        <v>0038000001x0NzKAAU</v>
      </c>
      <c r="D267" s="12" t="str">
        <f>IFERROR(__xludf.DUMMYFUNCTION("""COMPUTED_VALUE"""),"Helen Jakob-Rees")</f>
        <v>Helen Jakob-Rees</v>
      </c>
      <c r="E267" s="12" t="str">
        <f>IFERROR(__xludf.DUMMYFUNCTION("""COMPUTED_VALUE"""),"helen.jakob-rees@db.com")</f>
        <v>helen.jakob-rees@db.com</v>
      </c>
      <c r="F267" s="12" t="str">
        <f>IFERROR(__xludf.DUMMYFUNCTION("""COMPUTED_VALUE"""),"Project Manager [Customer]")</f>
        <v>Project Manager [Customer]</v>
      </c>
    </row>
    <row r="268">
      <c r="A268" s="12" t="str">
        <f>IFERROR(__xludf.DUMMYFUNCTION("""COMPUTED_VALUE"""),"a0lVT0000066ZHNYA2")</f>
        <v>a0lVT0000066ZHNYA2</v>
      </c>
      <c r="B268" s="12" t="str">
        <f>IFERROR(__xludf.DUMMYFUNCTION("""COMPUTED_VALUE"""),"a0rVT000015kpddYAA")</f>
        <v>a0rVT000015kpddYAA</v>
      </c>
      <c r="C268" s="12" t="str">
        <f>IFERROR(__xludf.DUMMYFUNCTION("""COMPUTED_VALUE"""),"0031B00002nAbmDQAS")</f>
        <v>0031B00002nAbmDQAS</v>
      </c>
      <c r="D268" s="12" t="str">
        <f>IFERROR(__xludf.DUMMYFUNCTION("""COMPUTED_VALUE"""),"Nick Saitta")</f>
        <v>Nick Saitta</v>
      </c>
      <c r="E268" s="12" t="str">
        <f>IFERROR(__xludf.DUMMYFUNCTION("""COMPUTED_VALUE"""),"nicholas.saitta@workday.com")</f>
        <v>nicholas.saitta@workday.com</v>
      </c>
      <c r="F268" s="12" t="str">
        <f>IFERROR(__xludf.DUMMYFUNCTION("""COMPUTED_VALUE"""),"Deployment Sponsor")</f>
        <v>Deployment Sponsor</v>
      </c>
    </row>
    <row r="269">
      <c r="A269" s="12" t="str">
        <f>IFERROR(__xludf.DUMMYFUNCTION("""COMPUTED_VALUE"""),"a0lVT000005xewDYAQ")</f>
        <v>a0lVT000005xewDYAQ</v>
      </c>
      <c r="B269" s="12" t="str">
        <f>IFERROR(__xludf.DUMMYFUNCTION("""COMPUTED_VALUE"""),"a0rVT000015kpddYAA")</f>
        <v>a0rVT000015kpddYAA</v>
      </c>
      <c r="C269" s="12" t="str">
        <f>IFERROR(__xludf.DUMMYFUNCTION("""COMPUTED_VALUE"""),"0034X000033tzyTQAQ")</f>
        <v>0034X000033tzyTQAQ</v>
      </c>
      <c r="D269" s="12" t="str">
        <f>IFERROR(__xludf.DUMMYFUNCTION("""COMPUTED_VALUE"""),"Raj Menon")</f>
        <v>Raj Menon</v>
      </c>
      <c r="E269" s="12" t="str">
        <f>IFERROR(__xludf.DUMMYFUNCTION("""COMPUTED_VALUE"""),"raj.menon@workday.com")</f>
        <v>raj.menon@workday.com</v>
      </c>
      <c r="F269" s="12" t="str">
        <f>IFERROR(__xludf.DUMMYFUNCTION("""COMPUTED_VALUE"""),"Engagement Manager [Primary]")</f>
        <v>Engagement Manager [Primary]</v>
      </c>
    </row>
    <row r="270">
      <c r="A270" s="12" t="str">
        <f>IFERROR(__xludf.DUMMYFUNCTION("""COMPUTED_VALUE"""),"a0lVT0000061tyHYAQ")</f>
        <v>a0lVT0000061tyHYAQ</v>
      </c>
      <c r="B270" s="12" t="str">
        <f>IFERROR(__xludf.DUMMYFUNCTION("""COMPUTED_VALUE"""),"a0rVT000015kpddYAA")</f>
        <v>a0rVT000015kpddYAA</v>
      </c>
      <c r="C270" s="12" t="str">
        <f>IFERROR(__xludf.DUMMYFUNCTION("""COMPUTED_VALUE"""),"0034X00003RDgBCQA1")</f>
        <v>0034X00003RDgBCQA1</v>
      </c>
      <c r="D270" s="12" t="str">
        <f>IFERROR(__xludf.DUMMYFUNCTION("""COMPUTED_VALUE"""),"Paul Rakes")</f>
        <v>Paul Rakes</v>
      </c>
      <c r="E270" s="12" t="str">
        <f>IFERROR(__xludf.DUMMYFUNCTION("""COMPUTED_VALUE"""),"paulrakes@geico.com")</f>
        <v>paulrakes@geico.com</v>
      </c>
      <c r="F270" s="12" t="str">
        <f>IFERROR(__xludf.DUMMYFUNCTION("""COMPUTED_VALUE"""),"Project Manager [Customer]")</f>
        <v>Project Manager [Customer]</v>
      </c>
    </row>
    <row r="271">
      <c r="A271" s="12" t="str">
        <f>IFERROR(__xludf.DUMMYFUNCTION("""COMPUTED_VALUE"""),"a0lVT0000061tyIYAQ")</f>
        <v>a0lVT0000061tyIYAQ</v>
      </c>
      <c r="B271" s="12" t="str">
        <f>IFERROR(__xludf.DUMMYFUNCTION("""COMPUTED_VALUE"""),"a0rVT000015kpddYAA")</f>
        <v>a0rVT000015kpddYAA</v>
      </c>
      <c r="C271" s="12" t="str">
        <f>IFERROR(__xludf.DUMMYFUNCTION("""COMPUTED_VALUE"""),"0034X00003S8pqyQAB")</f>
        <v>0034X00003S8pqyQAB</v>
      </c>
      <c r="D271" s="12" t="str">
        <f>IFERROR(__xludf.DUMMYFUNCTION("""COMPUTED_VALUE"""),"Dina Stewart")</f>
        <v>Dina Stewart</v>
      </c>
      <c r="E271" s="12" t="str">
        <f>IFERROR(__xludf.DUMMYFUNCTION("""COMPUTED_VALUE"""),"dinastewart@geico.com")</f>
        <v>dinastewart@geico.com</v>
      </c>
      <c r="F271" s="12" t="str">
        <f>IFERROR(__xludf.DUMMYFUNCTION("""COMPUTED_VALUE"""),"Executive Sponsor")</f>
        <v>Executive Sponsor</v>
      </c>
    </row>
    <row r="272">
      <c r="A272" s="12" t="str">
        <f>IFERROR(__xludf.DUMMYFUNCTION("""COMPUTED_VALUE"""),"a0lVT000005xizpYAA")</f>
        <v>a0lVT000005xizpYAA</v>
      </c>
      <c r="B272" s="12" t="str">
        <f>IFERROR(__xludf.DUMMYFUNCTION("""COMPUTED_VALUE"""),"a0rVT000015kvZlYAI")</f>
        <v>a0rVT000015kvZlYAI</v>
      </c>
      <c r="C272" s="12" t="str">
        <f>IFERROR(__xludf.DUMMYFUNCTION("""COMPUTED_VALUE"""),"0034X00003RCR3wQAH")</f>
        <v>0034X00003RCR3wQAH</v>
      </c>
      <c r="D272" s="12" t="str">
        <f>IFERROR(__xludf.DUMMYFUNCTION("""COMPUTED_VALUE"""),"Yuriy Yushchenko")</f>
        <v>Yuriy Yushchenko</v>
      </c>
      <c r="E272" s="12" t="str">
        <f>IFERROR(__xludf.DUMMYFUNCTION("""COMPUTED_VALUE"""),"yuriy.yushchenko@workday.com")</f>
        <v>yuriy.yushchenko@workday.com</v>
      </c>
      <c r="F272" s="12" t="str">
        <f>IFERROR(__xludf.DUMMYFUNCTION("""COMPUTED_VALUE"""),"Engagement Manager [Primary]")</f>
        <v>Engagement Manager [Primary]</v>
      </c>
    </row>
    <row r="273">
      <c r="A273" s="12" t="str">
        <f>IFERROR(__xludf.DUMMYFUNCTION("""COMPUTED_VALUE"""),"a0lVT000006BLs5YAG")</f>
        <v>a0lVT000006BLs5YAG</v>
      </c>
      <c r="B273" s="12" t="str">
        <f>IFERROR(__xludf.DUMMYFUNCTION("""COMPUTED_VALUE"""),"a0rVT000015kvZlYAI")</f>
        <v>a0rVT000015kvZlYAI</v>
      </c>
      <c r="C273" s="12" t="str">
        <f>IFERROR(__xludf.DUMMYFUNCTION("""COMPUTED_VALUE"""),"0034X00003Erf62QAB")</f>
        <v>0034X00003Erf62QAB</v>
      </c>
      <c r="D273" s="12" t="str">
        <f>IFERROR(__xludf.DUMMYFUNCTION("""COMPUTED_VALUE"""),"Robert Bridges")</f>
        <v>Robert Bridges</v>
      </c>
      <c r="E273" s="12" t="str">
        <f>IFERROR(__xludf.DUMMYFUNCTION("""COMPUTED_VALUE"""),"robert.bridges@flutter.com")</f>
        <v>robert.bridges@flutter.com</v>
      </c>
      <c r="F273" s="12" t="str">
        <f>IFERROR(__xludf.DUMMYFUNCTION("""COMPUTED_VALUE"""),"Executive Sponsor")</f>
        <v>Executive Sponsor</v>
      </c>
    </row>
    <row r="274">
      <c r="A274" s="12" t="str">
        <f>IFERROR(__xludf.DUMMYFUNCTION("""COMPUTED_VALUE"""),"a0lVT000006BPXVYA4")</f>
        <v>a0lVT000006BPXVYA4</v>
      </c>
      <c r="B274" s="12" t="str">
        <f>IFERROR(__xludf.DUMMYFUNCTION("""COMPUTED_VALUE"""),"a0rVT000015kvZlYAI")</f>
        <v>a0rVT000015kvZlYAI</v>
      </c>
      <c r="C274" s="12" t="str">
        <f>IFERROR(__xludf.DUMMYFUNCTION("""COMPUTED_VALUE"""),"003VT00000tLhWvYAK")</f>
        <v>003VT00000tLhWvYAK</v>
      </c>
      <c r="D274" s="12" t="str">
        <f>IFERROR(__xludf.DUMMYFUNCTION("""COMPUTED_VALUE"""),"Katy Carter")</f>
        <v>Katy Carter</v>
      </c>
      <c r="E274" s="12" t="str">
        <f>IFERROR(__xludf.DUMMYFUNCTION("""COMPUTED_VALUE"""),"katy.carter@flutter.com")</f>
        <v>katy.carter@flutter.com</v>
      </c>
      <c r="F274" s="12" t="str">
        <f>IFERROR(__xludf.DUMMYFUNCTION("""COMPUTED_VALUE"""),"Project Manager [Customer]")</f>
        <v>Project Manager [Customer]</v>
      </c>
    </row>
    <row r="275">
      <c r="A275" s="12" t="str">
        <f>IFERROR(__xludf.DUMMYFUNCTION("""COMPUTED_VALUE"""),"a0lVT000006C0DhYAK")</f>
        <v>a0lVT000006C0DhYAK</v>
      </c>
      <c r="B275" s="12" t="str">
        <f>IFERROR(__xludf.DUMMYFUNCTION("""COMPUTED_VALUE"""),"a0rVT000015kvZlYAI")</f>
        <v>a0rVT000015kvZlYAI</v>
      </c>
      <c r="C275" s="12" t="str">
        <f>IFERROR(__xludf.DUMMYFUNCTION("""COMPUTED_VALUE"""),"003VT00000ZTlr1YAD")</f>
        <v>003VT00000ZTlr1YAD</v>
      </c>
      <c r="D275" s="12" t="str">
        <f>IFERROR(__xludf.DUMMYFUNCTION("""COMPUTED_VALUE"""),"Kieran Holland")</f>
        <v>Kieran Holland</v>
      </c>
      <c r="E275" s="12" t="str">
        <f>IFERROR(__xludf.DUMMYFUNCTION("""COMPUTED_VALUE"""),"kieran.holland@flutter.com")</f>
        <v>kieran.holland@flutter.com</v>
      </c>
      <c r="F275" s="12" t="str">
        <f>IFERROR(__xludf.DUMMYFUNCTION("""COMPUTED_VALUE"""),"Project Manager [Customer]")</f>
        <v>Project Manager [Customer]</v>
      </c>
    </row>
    <row r="276">
      <c r="A276" s="12" t="str">
        <f>IFERROR(__xludf.DUMMYFUNCTION("""COMPUTED_VALUE"""),"a0lVT00000609XhYAI")</f>
        <v>a0lVT00000609XhYAI</v>
      </c>
      <c r="B276" s="12" t="str">
        <f>IFERROR(__xludf.DUMMYFUNCTION("""COMPUTED_VALUE"""),"a0rVT000015kvZlYAI")</f>
        <v>a0rVT000015kvZlYAI</v>
      </c>
      <c r="C276" s="12" t="str">
        <f>IFERROR(__xludf.DUMMYFUNCTION("""COMPUTED_VALUE"""),"00380000021wifiAAA")</f>
        <v>00380000021wifiAAA</v>
      </c>
      <c r="D276" s="12" t="str">
        <f>IFERROR(__xludf.DUMMYFUNCTION("""COMPUTED_VALUE"""),"Keith Lawless")</f>
        <v>Keith Lawless</v>
      </c>
      <c r="E276" s="12" t="str">
        <f>IFERROR(__xludf.DUMMYFUNCTION("""COMPUTED_VALUE"""),"keith.lawless@workday.com")</f>
        <v>keith.lawless@workday.com</v>
      </c>
      <c r="F276" s="12" t="str">
        <f>IFERROR(__xludf.DUMMYFUNCTION("""COMPUTED_VALUE"""),"Deployment Sponsor")</f>
        <v>Deployment Sponsor</v>
      </c>
    </row>
    <row r="277">
      <c r="A277" s="12" t="str">
        <f>IFERROR(__xludf.DUMMYFUNCTION("""COMPUTED_VALUE"""),"a0lVT000006Bx1KYAS")</f>
        <v>a0lVT000006Bx1KYAS</v>
      </c>
      <c r="B277" s="12" t="str">
        <f>IFERROR(__xludf.DUMMYFUNCTION("""COMPUTED_VALUE"""),"a0rVT00001639PNYAY")</f>
        <v>a0rVT00001639PNYAY</v>
      </c>
      <c r="C277" s="12" t="str">
        <f>IFERROR(__xludf.DUMMYFUNCTION("""COMPUTED_VALUE"""),"003VT00000ZQ1HFYA1")</f>
        <v>003VT00000ZQ1HFYA1</v>
      </c>
      <c r="D277" s="12" t="str">
        <f>IFERROR(__xludf.DUMMYFUNCTION("""COMPUTED_VALUE"""),"Christina Bibby")</f>
        <v>Christina Bibby</v>
      </c>
      <c r="E277" s="12" t="str">
        <f>IFERROR(__xludf.DUMMYFUNCTION("""COMPUTED_VALUE"""),"christina.bibbyweitzman@capgroup.com")</f>
        <v>christina.bibbyweitzman@capgroup.com</v>
      </c>
      <c r="F277" s="12" t="str">
        <f>IFERROR(__xludf.DUMMYFUNCTION("""COMPUTED_VALUE"""),"Executive Sponsor")</f>
        <v>Executive Sponsor</v>
      </c>
    </row>
    <row r="278">
      <c r="A278" s="12" t="str">
        <f>IFERROR(__xludf.DUMMYFUNCTION("""COMPUTED_VALUE"""),"a0lVT000005yXr3YAE")</f>
        <v>a0lVT000005yXr3YAE</v>
      </c>
      <c r="B278" s="12" t="str">
        <f>IFERROR(__xludf.DUMMYFUNCTION("""COMPUTED_VALUE"""),"a0rVT00001639PNYAY")</f>
        <v>a0rVT00001639PNYAY</v>
      </c>
      <c r="C278" s="12" t="str">
        <f>IFERROR(__xludf.DUMMYFUNCTION("""COMPUTED_VALUE"""),"0034X00003T2sCmQAJ")</f>
        <v>0034X00003T2sCmQAJ</v>
      </c>
      <c r="D278" s="12" t="str">
        <f>IFERROR(__xludf.DUMMYFUNCTION("""COMPUTED_VALUE"""),"Felix Cordero")</f>
        <v>Felix Cordero</v>
      </c>
      <c r="E278" s="12" t="str">
        <f>IFERROR(__xludf.DUMMYFUNCTION("""COMPUTED_VALUE"""),"felix.cordero@workday.com")</f>
        <v>felix.cordero@workday.com</v>
      </c>
      <c r="F278" s="12" t="str">
        <f>IFERROR(__xludf.DUMMYFUNCTION("""COMPUTED_VALUE"""),"Engagement Manager [Primary]")</f>
        <v>Engagement Manager [Primary]</v>
      </c>
    </row>
    <row r="279">
      <c r="A279" s="12" t="str">
        <f>IFERROR(__xludf.DUMMYFUNCTION("""COMPUTED_VALUE"""),"a0lVT000006Bx1JYAS")</f>
        <v>a0lVT000006Bx1JYAS</v>
      </c>
      <c r="B279" s="12" t="str">
        <f>IFERROR(__xludf.DUMMYFUNCTION("""COMPUTED_VALUE"""),"a0rVT00001639PNYAY")</f>
        <v>a0rVT00001639PNYAY</v>
      </c>
      <c r="C279" s="12" t="str">
        <f>IFERROR(__xludf.DUMMYFUNCTION("""COMPUTED_VALUE"""),"003VT00000fc0S1YAI")</f>
        <v>003VT00000fc0S1YAI</v>
      </c>
      <c r="D279" s="12" t="str">
        <f>IFERROR(__xludf.DUMMYFUNCTION("""COMPUTED_VALUE"""),"Wayne Pacholl")</f>
        <v>Wayne Pacholl</v>
      </c>
      <c r="E279" s="12" t="str">
        <f>IFERROR(__xludf.DUMMYFUNCTION("""COMPUTED_VALUE"""),"wayne.pacholl@capgroup.com")</f>
        <v>wayne.pacholl@capgroup.com</v>
      </c>
      <c r="F279" s="12" t="str">
        <f>IFERROR(__xludf.DUMMYFUNCTION("""COMPUTED_VALUE"""),"Project Manager [Customer]")</f>
        <v>Project Manager [Customer]</v>
      </c>
    </row>
    <row r="280">
      <c r="A280" s="12" t="str">
        <f>IFERROR(__xludf.DUMMYFUNCTION("""COMPUTED_VALUE"""),"a0lVT000006DS6HYAW")</f>
        <v>a0lVT000006DS6HYAW</v>
      </c>
      <c r="B280" s="12" t="str">
        <f>IFERROR(__xludf.DUMMYFUNCTION("""COMPUTED_VALUE"""),"a0rVT00001639PNYAY")</f>
        <v>a0rVT00001639PNYAY</v>
      </c>
      <c r="C280" s="12" t="str">
        <f>IFERROR(__xludf.DUMMYFUNCTION("""COMPUTED_VALUE"""),"0034X00003EtGr8QAF")</f>
        <v>0034X00003EtGr8QAF</v>
      </c>
      <c r="D280" s="12" t="str">
        <f>IFERROR(__xludf.DUMMYFUNCTION("""COMPUTED_VALUE"""),"Aaron Barnes")</f>
        <v>Aaron Barnes</v>
      </c>
      <c r="E280" s="12" t="str">
        <f>IFERROR(__xludf.DUMMYFUNCTION("""COMPUTED_VALUE"""),"aaron.barnes@workday.com")</f>
        <v>aaron.barnes@workday.com</v>
      </c>
      <c r="F280" s="12" t="str">
        <f>IFERROR(__xludf.DUMMYFUNCTION("""COMPUTED_VALUE"""),"Deployment Sponsor")</f>
        <v>Deployment Sponsor</v>
      </c>
    </row>
    <row r="281">
      <c r="A281" s="12" t="str">
        <f>IFERROR(__xludf.DUMMYFUNCTION("""COMPUTED_VALUE"""),"a0lVT0000066ja5YAA")</f>
        <v>a0lVT0000066ja5YAA</v>
      </c>
      <c r="B281" s="12" t="str">
        <f>IFERROR(__xludf.DUMMYFUNCTION("""COMPUTED_VALUE"""),"a0rVT0000169oJxYAI")</f>
        <v>a0rVT0000169oJxYAI</v>
      </c>
      <c r="C281" s="12" t="str">
        <f>IFERROR(__xludf.DUMMYFUNCTION("""COMPUTED_VALUE"""),"003VT00000s7JDLYA2")</f>
        <v>003VT00000s7JDLYA2</v>
      </c>
      <c r="D281" s="12" t="str">
        <f>IFERROR(__xludf.DUMMYFUNCTION("""COMPUTED_VALUE"""),"Jennifer Alfaro")</f>
        <v>Jennifer Alfaro</v>
      </c>
      <c r="E281" s="12" t="str">
        <f>IFERROR(__xludf.DUMMYFUNCTION("""COMPUTED_VALUE"""),"jennifer.alfaro@epikafleet.com")</f>
        <v>jennifer.alfaro@epikafleet.com</v>
      </c>
      <c r="F281" s="12" t="str">
        <f>IFERROR(__xludf.DUMMYFUNCTION("""COMPUTED_VALUE"""),"Executive Sponsor")</f>
        <v>Executive Sponsor</v>
      </c>
    </row>
    <row r="282">
      <c r="A282" s="12" t="str">
        <f>IFERROR(__xludf.DUMMYFUNCTION("""COMPUTED_VALUE"""),"a0lVT000005z06fYAA")</f>
        <v>a0lVT000005z06fYAA</v>
      </c>
      <c r="B282" s="12" t="str">
        <f>IFERROR(__xludf.DUMMYFUNCTION("""COMPUTED_VALUE"""),"a0rVT0000169oJxYAI")</f>
        <v>a0rVT0000169oJxYAI</v>
      </c>
      <c r="C282" s="12" t="str">
        <f>IFERROR(__xludf.DUMMYFUNCTION("""COMPUTED_VALUE"""),"0034X00002yTifpQAC")</f>
        <v>0034X00002yTifpQAC</v>
      </c>
      <c r="D282" s="12" t="str">
        <f>IFERROR(__xludf.DUMMYFUNCTION("""COMPUTED_VALUE"""),"Tyler Mandry")</f>
        <v>Tyler Mandry</v>
      </c>
      <c r="E282" s="12" t="str">
        <f>IFERROR(__xludf.DUMMYFUNCTION("""COMPUTED_VALUE"""),"tyler.mandry@workday.com")</f>
        <v>tyler.mandry@workday.com</v>
      </c>
      <c r="F282" s="12" t="str">
        <f>IFERROR(__xludf.DUMMYFUNCTION("""COMPUTED_VALUE"""),"Engagement Manager [Primary]")</f>
        <v>Engagement Manager [Primary]</v>
      </c>
    </row>
    <row r="283">
      <c r="A283" s="12" t="str">
        <f>IFERROR(__xludf.DUMMYFUNCTION("""COMPUTED_VALUE"""),"a0lVT0000066h8TYAQ")</f>
        <v>a0lVT0000066h8TYAQ</v>
      </c>
      <c r="B283" s="12" t="str">
        <f>IFERROR(__xludf.DUMMYFUNCTION("""COMPUTED_VALUE"""),"a0rVT0000169oJxYAI")</f>
        <v>a0rVT0000169oJxYAI</v>
      </c>
      <c r="C283" s="12" t="str">
        <f>IFERROR(__xludf.DUMMYFUNCTION("""COMPUTED_VALUE"""),"0038000002FRHEOAA5")</f>
        <v>0038000002FRHEOAA5</v>
      </c>
      <c r="D283" s="12" t="str">
        <f>IFERROR(__xludf.DUMMYFUNCTION("""COMPUTED_VALUE"""),"Subash Sitaraman")</f>
        <v>Subash Sitaraman</v>
      </c>
      <c r="E283" s="12" t="str">
        <f>IFERROR(__xludf.DUMMYFUNCTION("""COMPUTED_VALUE"""),"subash.sitaraman@workday.com")</f>
        <v>subash.sitaraman@workday.com</v>
      </c>
      <c r="F283" s="12" t="str">
        <f>IFERROR(__xludf.DUMMYFUNCTION("""COMPUTED_VALUE"""),"Deployment Sponsor")</f>
        <v>Deployment Sponsor</v>
      </c>
    </row>
    <row r="284">
      <c r="A284" s="12" t="str">
        <f>IFERROR(__xludf.DUMMYFUNCTION("""COMPUTED_VALUE"""),"a0lVT0000066h8UYAQ")</f>
        <v>a0lVT0000066h8UYAQ</v>
      </c>
      <c r="B284" s="12" t="str">
        <f>IFERROR(__xludf.DUMMYFUNCTION("""COMPUTED_VALUE"""),"a0rVT0000169oJxYAI")</f>
        <v>a0rVT0000169oJxYAI</v>
      </c>
      <c r="C284" s="12" t="str">
        <f>IFERROR(__xludf.DUMMYFUNCTION("""COMPUTED_VALUE"""),"003VT00000fbziIYAQ")</f>
        <v>003VT00000fbziIYAQ</v>
      </c>
      <c r="D284" s="12" t="str">
        <f>IFERROR(__xludf.DUMMYFUNCTION("""COMPUTED_VALUE"""),"Renee Doering")</f>
        <v>Renee Doering</v>
      </c>
      <c r="E284" s="12" t="str">
        <f>IFERROR(__xludf.DUMMYFUNCTION("""COMPUTED_VALUE"""),"renee.doering@epikafleet.com")</f>
        <v>renee.doering@epikafleet.com</v>
      </c>
      <c r="F284" s="12" t="str">
        <f>IFERROR(__xludf.DUMMYFUNCTION("""COMPUTED_VALUE"""),"Project Manager [Customer]")</f>
        <v>Project Manager [Customer]</v>
      </c>
    </row>
    <row r="285">
      <c r="A285" s="12" t="str">
        <f>IFERROR(__xludf.DUMMYFUNCTION("""COMPUTED_VALUE"""),"a0lVT0000066ja6YAA")</f>
        <v>a0lVT0000066ja6YAA</v>
      </c>
      <c r="B285" s="12" t="str">
        <f>IFERROR(__xludf.DUMMYFUNCTION("""COMPUTED_VALUE"""),"a0rVT0000169oJxYAI")</f>
        <v>a0rVT0000169oJxYAI</v>
      </c>
      <c r="C285" s="12" t="str">
        <f>IFERROR(__xludf.DUMMYFUNCTION("""COMPUTED_VALUE"""),"003VT00000s7JDLYA2")</f>
        <v>003VT00000s7JDLYA2</v>
      </c>
      <c r="D285" s="12" t="str">
        <f>IFERROR(__xludf.DUMMYFUNCTION("""COMPUTED_VALUE"""),"Jennifer Alfaro")</f>
        <v>Jennifer Alfaro</v>
      </c>
      <c r="E285" s="12" t="str">
        <f>IFERROR(__xludf.DUMMYFUNCTION("""COMPUTED_VALUE"""),"jennifer.alfaro@epikafleet.com")</f>
        <v>jennifer.alfaro@epikafleet.com</v>
      </c>
      <c r="F285" s="12" t="str">
        <f>IFERROR(__xludf.DUMMYFUNCTION("""COMPUTED_VALUE"""),"Project Manager [Customer]")</f>
        <v>Project Manager [Customer]</v>
      </c>
    </row>
    <row r="286">
      <c r="A286" s="12" t="str">
        <f>IFERROR(__xludf.DUMMYFUNCTION("""COMPUTED_VALUE"""),"a0lVT000005zVs1YAE")</f>
        <v>a0lVT000005zVs1YAE</v>
      </c>
      <c r="B286" s="12" t="str">
        <f>IFERROR(__xludf.DUMMYFUNCTION("""COMPUTED_VALUE"""),"a0rVT000016EHkzYAG")</f>
        <v>a0rVT000016EHkzYAG</v>
      </c>
      <c r="C286" s="12" t="str">
        <f>IFERROR(__xludf.DUMMYFUNCTION("""COMPUTED_VALUE"""),"0034X000032KSPgQAO")</f>
        <v>0034X000032KSPgQAO</v>
      </c>
      <c r="D286" s="12" t="str">
        <f>IFERROR(__xludf.DUMMYFUNCTION("""COMPUTED_VALUE"""),"Roshni V. Patel")</f>
        <v>Roshni V. Patel</v>
      </c>
      <c r="E286" s="12" t="str">
        <f>IFERROR(__xludf.DUMMYFUNCTION("""COMPUTED_VALUE"""),"rpatel@pmpediatrics.com")</f>
        <v>rpatel@pmpediatrics.com</v>
      </c>
      <c r="F286" s="12" t="str">
        <f>IFERROR(__xludf.DUMMYFUNCTION("""COMPUTED_VALUE"""),"Executive Sponsor")</f>
        <v>Executive Sponsor</v>
      </c>
    </row>
    <row r="287">
      <c r="A287" s="12" t="str">
        <f>IFERROR(__xludf.DUMMYFUNCTION("""COMPUTED_VALUE"""),"a0lVT000006CGf3YAG")</f>
        <v>a0lVT000006CGf3YAG</v>
      </c>
      <c r="B287" s="12" t="str">
        <f>IFERROR(__xludf.DUMMYFUNCTION("""COMPUTED_VALUE"""),"a0rVT000016EHkzYAG")</f>
        <v>a0rVT000016EHkzYAG</v>
      </c>
      <c r="C287" s="12" t="str">
        <f>IFERROR(__xludf.DUMMYFUNCTION("""COMPUTED_VALUE"""),"0038000002BsydtAAB")</f>
        <v>0038000002BsydtAAB</v>
      </c>
      <c r="D287" s="12" t="str">
        <f>IFERROR(__xludf.DUMMYFUNCTION("""COMPUTED_VALUE"""),"David Zucker")</f>
        <v>David Zucker</v>
      </c>
      <c r="E287" s="12" t="str">
        <f>IFERROR(__xludf.DUMMYFUNCTION("""COMPUTED_VALUE"""),"david.zucker@workday.com")</f>
        <v>david.zucker@workday.com</v>
      </c>
      <c r="F287" s="12" t="str">
        <f>IFERROR(__xludf.DUMMYFUNCTION("""COMPUTED_VALUE"""),"Engagement Manager [Primary]")</f>
        <v>Engagement Manager [Primary]</v>
      </c>
    </row>
    <row r="288">
      <c r="A288" s="12" t="str">
        <f>IFERROR(__xludf.DUMMYFUNCTION("""COMPUTED_VALUE"""),"a0lVT0000068R1CYAU")</f>
        <v>a0lVT0000068R1CYAU</v>
      </c>
      <c r="B288" s="12" t="str">
        <f>IFERROR(__xludf.DUMMYFUNCTION("""COMPUTED_VALUE"""),"a0rVT000016FUWUYA4")</f>
        <v>a0rVT000016FUWUYA4</v>
      </c>
      <c r="C288" s="12" t="str">
        <f>IFERROR(__xludf.DUMMYFUNCTION("""COMPUTED_VALUE"""),"003VT00000cEhdaYAC")</f>
        <v>003VT00000cEhdaYAC</v>
      </c>
      <c r="D288" s="12" t="str">
        <f>IFERROR(__xludf.DUMMYFUNCTION("""COMPUTED_VALUE"""),"Jennifer Ingram")</f>
        <v>Jennifer Ingram</v>
      </c>
      <c r="E288" s="12" t="str">
        <f>IFERROR(__xludf.DUMMYFUNCTION("""COMPUTED_VALUE"""),"jennifer.ingram@centene.com")</f>
        <v>jennifer.ingram@centene.com</v>
      </c>
      <c r="F288" s="12" t="str">
        <f>IFERROR(__xludf.DUMMYFUNCTION("""COMPUTED_VALUE"""),"Executive Sponsor")</f>
        <v>Executive Sponsor</v>
      </c>
    </row>
    <row r="289">
      <c r="A289" s="12" t="str">
        <f>IFERROR(__xludf.DUMMYFUNCTION("""COMPUTED_VALUE"""),"a0lVT000005zNHlYAM")</f>
        <v>a0lVT000005zNHlYAM</v>
      </c>
      <c r="B289" s="12" t="str">
        <f>IFERROR(__xludf.DUMMYFUNCTION("""COMPUTED_VALUE"""),"a0rVT000016FUWUYA4")</f>
        <v>a0rVT000016FUWUYA4</v>
      </c>
      <c r="C289" s="12" t="str">
        <f>IFERROR(__xludf.DUMMYFUNCTION("""COMPUTED_VALUE"""),"0031B00002iqvuWQAQ")</f>
        <v>0031B00002iqvuWQAQ</v>
      </c>
      <c r="D289" s="12" t="str">
        <f>IFERROR(__xludf.DUMMYFUNCTION("""COMPUTED_VALUE"""),"Angelique Moore")</f>
        <v>Angelique Moore</v>
      </c>
      <c r="E289" s="12" t="str">
        <f>IFERROR(__xludf.DUMMYFUNCTION("""COMPUTED_VALUE"""),"angelique.moore@workday.com")</f>
        <v>angelique.moore@workday.com</v>
      </c>
      <c r="F289" s="12" t="str">
        <f>IFERROR(__xludf.DUMMYFUNCTION("""COMPUTED_VALUE"""),"Engagement Manager [Primary]")</f>
        <v>Engagement Manager [Primary]</v>
      </c>
    </row>
    <row r="290">
      <c r="A290" s="12" t="str">
        <f>IFERROR(__xludf.DUMMYFUNCTION("""COMPUTED_VALUE"""),"a0lVT0000060BZVYA2")</f>
        <v>a0lVT0000060BZVYA2</v>
      </c>
      <c r="B290" s="12" t="str">
        <f>IFERROR(__xludf.DUMMYFUNCTION("""COMPUTED_VALUE"""),"a0rVT000016FUWUYA4")</f>
        <v>a0rVT000016FUWUYA4</v>
      </c>
      <c r="C290" s="12" t="str">
        <f>IFERROR(__xludf.DUMMYFUNCTION("""COMPUTED_VALUE"""),"003VT00000pj26lYAA")</f>
        <v>003VT00000pj26lYAA</v>
      </c>
      <c r="D290" s="12" t="str">
        <f>IFERROR(__xludf.DUMMYFUNCTION("""COMPUTED_VALUE"""),"Aimee Keser")</f>
        <v>Aimee Keser</v>
      </c>
      <c r="E290" s="12" t="str">
        <f>IFERROR(__xludf.DUMMYFUNCTION("""COMPUTED_VALUE"""),"aimee.keser@centene.com")</f>
        <v>aimee.keser@centene.com</v>
      </c>
      <c r="F290" s="12" t="str">
        <f>IFERROR(__xludf.DUMMYFUNCTION("""COMPUTED_VALUE"""),"Project Manager [Customer]")</f>
        <v>Project Manager [Customer]</v>
      </c>
    </row>
    <row r="291">
      <c r="A291" s="12" t="str">
        <f>IFERROR(__xludf.DUMMYFUNCTION("""COMPUTED_VALUE"""),"a0lVT0000060BZWYA2")</f>
        <v>a0lVT0000060BZWYA2</v>
      </c>
      <c r="B291" s="12" t="str">
        <f>IFERROR(__xludf.DUMMYFUNCTION("""COMPUTED_VALUE"""),"a0rVT000016FUWUYA4")</f>
        <v>a0rVT000016FUWUYA4</v>
      </c>
      <c r="C291" s="12" t="str">
        <f>IFERROR(__xludf.DUMMYFUNCTION("""COMPUTED_VALUE"""),"0034X00002yU9KIQA0")</f>
        <v>0034X00002yU9KIQA0</v>
      </c>
      <c r="D291" s="12" t="str">
        <f>IFERROR(__xludf.DUMMYFUNCTION("""COMPUTED_VALUE"""),"CARLY PORTELL")</f>
        <v>CARLY PORTELL</v>
      </c>
      <c r="E291" s="12" t="str">
        <f>IFERROR(__xludf.DUMMYFUNCTION("""COMPUTED_VALUE"""),"carly.portell@centene.com")</f>
        <v>carly.portell@centene.com</v>
      </c>
      <c r="F291" s="12" t="str">
        <f>IFERROR(__xludf.DUMMYFUNCTION("""COMPUTED_VALUE"""),"Project Manager [Customer]")</f>
        <v>Project Manager [Customer]</v>
      </c>
    </row>
    <row r="292">
      <c r="A292" s="12" t="str">
        <f>IFERROR(__xludf.DUMMYFUNCTION("""COMPUTED_VALUE"""),"a0lVT0000068R1BYAU")</f>
        <v>a0lVT0000068R1BYAU</v>
      </c>
      <c r="B292" s="12" t="str">
        <f>IFERROR(__xludf.DUMMYFUNCTION("""COMPUTED_VALUE"""),"a0rVT000016FUWUYA4")</f>
        <v>a0rVT000016FUWUYA4</v>
      </c>
      <c r="C292" s="12" t="str">
        <f>IFERROR(__xludf.DUMMYFUNCTION("""COMPUTED_VALUE"""),"0038000001fLiIPAA0")</f>
        <v>0038000001fLiIPAA0</v>
      </c>
      <c r="D292" s="12" t="str">
        <f>IFERROR(__xludf.DUMMYFUNCTION("""COMPUTED_VALUE"""),"Hannah Butler")</f>
        <v>Hannah Butler</v>
      </c>
      <c r="E292" s="12" t="str">
        <f>IFERROR(__xludf.DUMMYFUNCTION("""COMPUTED_VALUE"""),"hannah.johnston@workday.com")</f>
        <v>hannah.johnston@workday.com</v>
      </c>
      <c r="F292" s="12" t="str">
        <f>IFERROR(__xludf.DUMMYFUNCTION("""COMPUTED_VALUE"""),"Deployment Sponsor")</f>
        <v>Deployment Sponsor</v>
      </c>
    </row>
    <row r="293">
      <c r="A293" s="12" t="str">
        <f>IFERROR(__xludf.DUMMYFUNCTION("""COMPUTED_VALUE"""),"a0lVT0000062ncHYAQ")</f>
        <v>a0lVT0000062ncHYAQ</v>
      </c>
      <c r="B293" s="12" t="str">
        <f>IFERROR(__xludf.DUMMYFUNCTION("""COMPUTED_VALUE"""),"a0rVT000016dasTYAQ")</f>
        <v>a0rVT000016dasTYAQ</v>
      </c>
      <c r="C293" s="12" t="str">
        <f>IFERROR(__xludf.DUMMYFUNCTION("""COMPUTED_VALUE"""),"003VT00000kOt2UYAS")</f>
        <v>003VT00000kOt2UYAS</v>
      </c>
      <c r="D293" s="12" t="str">
        <f>IFERROR(__xludf.DUMMYFUNCTION("""COMPUTED_VALUE"""),"Tim Le Maire")</f>
        <v>Tim Le Maire</v>
      </c>
      <c r="E293" s="12" t="str">
        <f>IFERROR(__xludf.DUMMYFUNCTION("""COMPUTED_VALUE"""),"tim.lemaire@workday.com")</f>
        <v>tim.lemaire@workday.com</v>
      </c>
      <c r="F293" s="12" t="str">
        <f>IFERROR(__xludf.DUMMYFUNCTION("""COMPUTED_VALUE"""),"Engagement Manager [Primary]")</f>
        <v>Engagement Manager [Primary]</v>
      </c>
    </row>
    <row r="294">
      <c r="A294" s="12" t="str">
        <f>IFERROR(__xludf.DUMMYFUNCTION("""COMPUTED_VALUE"""),"a0lVT000006Ge1GYAS")</f>
        <v>a0lVT000006Ge1GYAS</v>
      </c>
      <c r="B294" s="12" t="str">
        <f>IFERROR(__xludf.DUMMYFUNCTION("""COMPUTED_VALUE"""),"a0rVT0000178HITYA2")</f>
        <v>a0rVT0000178HITYA2</v>
      </c>
      <c r="C294" s="12" t="str">
        <f>IFERROR(__xludf.DUMMYFUNCTION("""COMPUTED_VALUE"""),"003VT00000mwC6nYAE")</f>
        <v>003VT00000mwC6nYAE</v>
      </c>
      <c r="D294" s="12" t="str">
        <f>IFERROR(__xludf.DUMMYFUNCTION("""COMPUTED_VALUE"""),"Taylor Watkins")</f>
        <v>Taylor Watkins</v>
      </c>
      <c r="E294" s="12" t="str">
        <f>IFERROR(__xludf.DUMMYFUNCTION("""COMPUTED_VALUE"""),"taylorwatkins@greenixpc.com")</f>
        <v>taylorwatkins@greenixpc.com</v>
      </c>
      <c r="F294" s="12" t="str">
        <f>IFERROR(__xludf.DUMMYFUNCTION("""COMPUTED_VALUE"""),"Project Manager [Customer]")</f>
        <v>Project Manager [Customer]</v>
      </c>
    </row>
    <row r="295">
      <c r="A295" s="12" t="str">
        <f>IFERROR(__xludf.DUMMYFUNCTION("""COMPUTED_VALUE"""),"a0lVT000006Ge1FYAS")</f>
        <v>a0lVT000006Ge1FYAS</v>
      </c>
      <c r="B295" s="12" t="str">
        <f>IFERROR(__xludf.DUMMYFUNCTION("""COMPUTED_VALUE"""),"a0rVT0000178HITYA2")</f>
        <v>a0rVT0000178HITYA2</v>
      </c>
      <c r="C295" s="12" t="str">
        <f>IFERROR(__xludf.DUMMYFUNCTION("""COMPUTED_VALUE"""),"0034X00002yWof1QAC")</f>
        <v>0034X00002yWof1QAC</v>
      </c>
      <c r="D295" s="12" t="str">
        <f>IFERROR(__xludf.DUMMYFUNCTION("""COMPUTED_VALUE"""),"Aaron Ormsby")</f>
        <v>Aaron Ormsby</v>
      </c>
      <c r="E295" s="12" t="str">
        <f>IFERROR(__xludf.DUMMYFUNCTION("""COMPUTED_VALUE"""),"aormsby@greenixpc.com")</f>
        <v>aormsby@greenixpc.com</v>
      </c>
      <c r="F295" s="12" t="str">
        <f>IFERROR(__xludf.DUMMYFUNCTION("""COMPUTED_VALUE"""),"Executive Sponsor")</f>
        <v>Executive Sponsor</v>
      </c>
    </row>
    <row r="296">
      <c r="A296" s="12" t="str">
        <f>IFERROR(__xludf.DUMMYFUNCTION("""COMPUTED_VALUE"""),"a0lVT000006QD6EYAW")</f>
        <v>a0lVT000006QD6EYAW</v>
      </c>
      <c r="B296" s="12" t="str">
        <f>IFERROR(__xludf.DUMMYFUNCTION("""COMPUTED_VALUE"""),"a0rVT000017YW3BYAW")</f>
        <v>a0rVT000017YW3BYAW</v>
      </c>
      <c r="C296" s="12" t="str">
        <f>IFERROR(__xludf.DUMMYFUNCTION("""COMPUTED_VALUE"""),"00380000028CBSBAA4")</f>
        <v>00380000028CBSBAA4</v>
      </c>
      <c r="D296" s="12" t="str">
        <f>IFERROR(__xludf.DUMMYFUNCTION("""COMPUTED_VALUE"""),"Brittany Elliott")</f>
        <v>Brittany Elliott</v>
      </c>
      <c r="E296" s="12" t="str">
        <f>IFERROR(__xludf.DUMMYFUNCTION("""COMPUTED_VALUE"""),"bnolle@mtm-inc.net")</f>
        <v>bnolle@mtm-inc.net</v>
      </c>
      <c r="F296" s="12" t="str">
        <f>IFERROR(__xludf.DUMMYFUNCTION("""COMPUTED_VALUE"""),"Project Manager [Customer]")</f>
        <v>Project Manager [Customer]</v>
      </c>
    </row>
    <row r="297">
      <c r="A297" s="12" t="str">
        <f>IFERROR(__xludf.DUMMYFUNCTION("""COMPUTED_VALUE"""),"a0lVT000006QD6DYAW")</f>
        <v>a0lVT000006QD6DYAW</v>
      </c>
      <c r="B297" s="12" t="str">
        <f>IFERROR(__xludf.DUMMYFUNCTION("""COMPUTED_VALUE"""),"a0rVT000017YW3BYAW")</f>
        <v>a0rVT000017YW3BYAW</v>
      </c>
      <c r="C297" s="12" t="str">
        <f>IFERROR(__xludf.DUMMYFUNCTION("""COMPUTED_VALUE"""),"0031B00002kRL6VQAW")</f>
        <v>0031B00002kRL6VQAW</v>
      </c>
      <c r="D297" s="12" t="str">
        <f>IFERROR(__xludf.DUMMYFUNCTION("""COMPUTED_VALUE"""),"Lindsey Hoffman")</f>
        <v>Lindsey Hoffman</v>
      </c>
      <c r="E297" s="12" t="str">
        <f>IFERROR(__xludf.DUMMYFUNCTION("""COMPUTED_VALUE"""),"lhoffman@mtm-inc.net")</f>
        <v>lhoffman@mtm-inc.net</v>
      </c>
      <c r="F297" s="12" t="str">
        <f>IFERROR(__xludf.DUMMYFUNCTION("""COMPUTED_VALUE"""),"Executive Sponsor")</f>
        <v>Executive Sponsor</v>
      </c>
    </row>
    <row r="298">
      <c r="A298" s="12" t="str">
        <f>IFERROR(__xludf.DUMMYFUNCTION("""COMPUTED_VALUE"""),"a0lVT0000066arlYAA")</f>
        <v>a0lVT0000066arlYAA</v>
      </c>
      <c r="B298" s="12" t="str">
        <f>IFERROR(__xludf.DUMMYFUNCTION("""COMPUTED_VALUE"""),"a0rVT000017dRYTYA2")</f>
        <v>a0rVT000017dRYTYA2</v>
      </c>
      <c r="C298" s="12" t="str">
        <f>IFERROR(__xludf.DUMMYFUNCTION("""COMPUTED_VALUE"""),"0034X00003S8PHRQA3")</f>
        <v>0034X00003S8PHRQA3</v>
      </c>
      <c r="D298" s="12" t="str">
        <f>IFERROR(__xludf.DUMMYFUNCTION("""COMPUTED_VALUE"""),"Michelle Lee")</f>
        <v>Michelle Lee</v>
      </c>
      <c r="E298" s="12" t="str">
        <f>IFERROR(__xludf.DUMMYFUNCTION("""COMPUTED_VALUE"""),"mlee02@arcusbio.com")</f>
        <v>mlee02@arcusbio.com</v>
      </c>
      <c r="F298" s="12" t="str">
        <f>IFERROR(__xludf.DUMMYFUNCTION("""COMPUTED_VALUE"""),"Project Manager [Customer]")</f>
        <v>Project Manager [Customer]</v>
      </c>
    </row>
    <row r="299">
      <c r="A299" s="12" t="str">
        <f>IFERROR(__xludf.DUMMYFUNCTION("""COMPUTED_VALUE"""),"a0lVT0000066armYAA")</f>
        <v>a0lVT0000066armYAA</v>
      </c>
      <c r="B299" s="12" t="str">
        <f>IFERROR(__xludf.DUMMYFUNCTION("""COMPUTED_VALUE"""),"a0rVT000017dRYTYA2")</f>
        <v>a0rVT000017dRYTYA2</v>
      </c>
      <c r="C299" s="12" t="str">
        <f>IFERROR(__xludf.DUMMYFUNCTION("""COMPUTED_VALUE"""),"0034X00003EuS5QQAV")</f>
        <v>0034X00003EuS5QQAV</v>
      </c>
      <c r="D299" s="12" t="str">
        <f>IFERROR(__xludf.DUMMYFUNCTION("""COMPUTED_VALUE"""),"Leslie Mesones")</f>
        <v>Leslie Mesones</v>
      </c>
      <c r="E299" s="12" t="str">
        <f>IFERROR(__xludf.DUMMYFUNCTION("""COMPUTED_VALUE"""),"lmesones@arcusbio.com")</f>
        <v>lmesones@arcusbio.com</v>
      </c>
      <c r="F299" s="12" t="str">
        <f>IFERROR(__xludf.DUMMYFUNCTION("""COMPUTED_VALUE"""),"Executive Sponsor")</f>
        <v>Executive Sponsor</v>
      </c>
    </row>
    <row r="300">
      <c r="A300" s="12" t="str">
        <f>IFERROR(__xludf.DUMMYFUNCTION("""COMPUTED_VALUE"""),"a0lVT000006BVzWYAW")</f>
        <v>a0lVT000006BVzWYAW</v>
      </c>
      <c r="B300" s="12" t="str">
        <f>IFERROR(__xludf.DUMMYFUNCTION("""COMPUTED_VALUE"""),"a0rVT000017gi1iYAA")</f>
        <v>a0rVT000017gi1iYAA</v>
      </c>
      <c r="C300" s="12" t="str">
        <f>IFERROR(__xludf.DUMMYFUNCTION("""COMPUTED_VALUE"""),"0034X00002yU4WTQA0")</f>
        <v>0034X00002yU4WTQA0</v>
      </c>
      <c r="D300" s="12" t="str">
        <f>IFERROR(__xludf.DUMMYFUNCTION("""COMPUTED_VALUE"""),"Edi Fumero")</f>
        <v>Edi Fumero</v>
      </c>
      <c r="E300" s="12" t="str">
        <f>IFERROR(__xludf.DUMMYFUNCTION("""COMPUTED_VALUE"""),"edilberto.fumero@blackrock.com")</f>
        <v>edilberto.fumero@blackrock.com</v>
      </c>
      <c r="F300" s="12" t="str">
        <f>IFERROR(__xludf.DUMMYFUNCTION("""COMPUTED_VALUE"""),"Project Manager [Customer]")</f>
        <v>Project Manager [Customer]</v>
      </c>
    </row>
    <row r="301">
      <c r="A301" s="12" t="str">
        <f>IFERROR(__xludf.DUMMYFUNCTION("""COMPUTED_VALUE"""),"a0lVT000006BVzVYAW")</f>
        <v>a0lVT000006BVzVYAW</v>
      </c>
      <c r="B301" s="12" t="str">
        <f>IFERROR(__xludf.DUMMYFUNCTION("""COMPUTED_VALUE"""),"a0rVT000017gi1iYAA")</f>
        <v>a0rVT000017gi1iYAA</v>
      </c>
      <c r="C301" s="12" t="str">
        <f>IFERROR(__xludf.DUMMYFUNCTION("""COMPUTED_VALUE"""),"0034X00003BmhKeQAJ")</f>
        <v>0034X00003BmhKeQAJ</v>
      </c>
      <c r="D301" s="12" t="str">
        <f>IFERROR(__xludf.DUMMYFUNCTION("""COMPUTED_VALUE"""),"Manfred Ramirez")</f>
        <v>Manfred Ramirez</v>
      </c>
      <c r="E301" s="12" t="str">
        <f>IFERROR(__xludf.DUMMYFUNCTION("""COMPUTED_VALUE"""),"manfred.ramirez@blackrock.com")</f>
        <v>manfred.ramirez@blackrock.com</v>
      </c>
      <c r="F301" s="12" t="str">
        <f>IFERROR(__xludf.DUMMYFUNCTION("""COMPUTED_VALUE"""),"Executive Sponsor")</f>
        <v>Executive Sponsor</v>
      </c>
    </row>
    <row r="302">
      <c r="A302" s="12" t="str">
        <f>IFERROR(__xludf.DUMMYFUNCTION("""COMPUTED_VALUE"""),"a0lVT0000064M9lYAE")</f>
        <v>a0lVT0000064M9lYAE</v>
      </c>
      <c r="B302" s="12" t="str">
        <f>IFERROR(__xludf.DUMMYFUNCTION("""COMPUTED_VALUE"""),"a0rVT000017gi1iYAA")</f>
        <v>a0rVT000017gi1iYAA</v>
      </c>
      <c r="C302" s="12" t="str">
        <f>IFERROR(__xludf.DUMMYFUNCTION("""COMPUTED_VALUE"""),"003VT00000H0DGRYA3")</f>
        <v>003VT00000H0DGRYA3</v>
      </c>
      <c r="D302" s="12" t="str">
        <f>IFERROR(__xludf.DUMMYFUNCTION("""COMPUTED_VALUE"""),"Brooke Knight")</f>
        <v>Brooke Knight</v>
      </c>
      <c r="E302" s="12" t="str">
        <f>IFERROR(__xludf.DUMMYFUNCTION("""COMPUTED_VALUE"""),"brooke.knight@workday.com")</f>
        <v>brooke.knight@workday.com</v>
      </c>
      <c r="F302" s="12" t="str">
        <f>IFERROR(__xludf.DUMMYFUNCTION("""COMPUTED_VALUE"""),"Engagement Manager [Primary]")</f>
        <v>Engagement Manager [Primary]</v>
      </c>
    </row>
    <row r="303">
      <c r="A303" s="12" t="str">
        <f>IFERROR(__xludf.DUMMYFUNCTION("""COMPUTED_VALUE"""),"a0lVT000006J5IHYA0")</f>
        <v>a0lVT000006J5IHYA0</v>
      </c>
      <c r="B303" s="12" t="str">
        <f>IFERROR(__xludf.DUMMYFUNCTION("""COMPUTED_VALUE"""),"a0rVT000017gi1iYAA")</f>
        <v>a0rVT000017gi1iYAA</v>
      </c>
      <c r="C303" s="12" t="str">
        <f>IFERROR(__xludf.DUMMYFUNCTION("""COMPUTED_VALUE"""),"0038000001sCnOiAAK")</f>
        <v>0038000001sCnOiAAK</v>
      </c>
      <c r="D303" s="12" t="str">
        <f>IFERROR(__xludf.DUMMYFUNCTION("""COMPUTED_VALUE"""),"Nate Allen")</f>
        <v>Nate Allen</v>
      </c>
      <c r="E303" s="12" t="str">
        <f>IFERROR(__xludf.DUMMYFUNCTION("""COMPUTED_VALUE"""),"nate.allen2@workday.com")</f>
        <v>nate.allen2@workday.com</v>
      </c>
      <c r="F303" s="12" t="str">
        <f>IFERROR(__xludf.DUMMYFUNCTION("""COMPUTED_VALUE"""),"Deployment Sponsor")</f>
        <v>Deployment Sponsor</v>
      </c>
    </row>
    <row r="304">
      <c r="A304" s="12" t="str">
        <f>IFERROR(__xludf.DUMMYFUNCTION("""COMPUTED_VALUE"""),"a0lVT000006AgP9YAK")</f>
        <v>a0lVT000006AgP9YAK</v>
      </c>
      <c r="B304" s="12" t="str">
        <f>IFERROR(__xludf.DUMMYFUNCTION("""COMPUTED_VALUE"""),"a0rVT000019VosTYAS")</f>
        <v>a0rVT000019VosTYAS</v>
      </c>
      <c r="C304" s="12" t="str">
        <f>IFERROR(__xludf.DUMMYFUNCTION("""COMPUTED_VALUE"""),"0034X00003GMOLBQA5")</f>
        <v>0034X00003GMOLBQA5</v>
      </c>
      <c r="D304" s="12" t="str">
        <f>IFERROR(__xludf.DUMMYFUNCTION("""COMPUTED_VALUE"""),"Jamie Jackson")</f>
        <v>Jamie Jackson</v>
      </c>
      <c r="E304" s="12" t="str">
        <f>IFERROR(__xludf.DUMMYFUNCTION("""COMPUTED_VALUE"""),"jamie.jackson@workday.com")</f>
        <v>jamie.jackson@workday.com</v>
      </c>
      <c r="F304" s="12" t="str">
        <f>IFERROR(__xludf.DUMMYFUNCTION("""COMPUTED_VALUE"""),"Engagement Manager [Primary]")</f>
        <v>Engagement Manager [Primary]</v>
      </c>
    </row>
    <row r="305">
      <c r="A305" s="12" t="str">
        <f>IFERROR(__xludf.DUMMYFUNCTION("""COMPUTED_VALUE"""),"a0lVT000006ACcLYAW")</f>
        <v>a0lVT000006ACcLYAW</v>
      </c>
      <c r="B305" s="12" t="str">
        <f>IFERROR(__xludf.DUMMYFUNCTION("""COMPUTED_VALUE"""),"a0rVT000019aTQuYAM")</f>
        <v>a0rVT000019aTQuYAM</v>
      </c>
      <c r="C305" s="12" t="str">
        <f>IFERROR(__xludf.DUMMYFUNCTION("""COMPUTED_VALUE"""),"0031B00002oKPyoQAG")</f>
        <v>0031B00002oKPyoQAG</v>
      </c>
      <c r="D305" s="12" t="str">
        <f>IFERROR(__xludf.DUMMYFUNCTION("""COMPUTED_VALUE"""),"Clint Maddy")</f>
        <v>Clint Maddy</v>
      </c>
      <c r="E305" s="12" t="str">
        <f>IFERROR(__xludf.DUMMYFUNCTION("""COMPUTED_VALUE"""),"clint.maddy@workday.com")</f>
        <v>clint.maddy@workday.com</v>
      </c>
      <c r="F305" s="12" t="str">
        <f>IFERROR(__xludf.DUMMYFUNCTION("""COMPUTED_VALUE"""),"Engagement Manager [Primary]")</f>
        <v>Engagement Manager [Primary]</v>
      </c>
    </row>
    <row r="306">
      <c r="A306" s="12" t="str">
        <f>IFERROR(__xludf.DUMMYFUNCTION("""COMPUTED_VALUE"""),"a0lVT000006DoTOYA0")</f>
        <v>a0lVT000006DoTOYA0</v>
      </c>
      <c r="B306" s="12" t="str">
        <f>IFERROR(__xludf.DUMMYFUNCTION("""COMPUTED_VALUE"""),"a0rVT00001APYEjYAP")</f>
        <v>a0rVT00001APYEjYAP</v>
      </c>
      <c r="C306" s="12" t="str">
        <f>IFERROR(__xludf.DUMMYFUNCTION("""COMPUTED_VALUE"""),"0034X00003GO2uIQAT")</f>
        <v>0034X00003GO2uIQAT</v>
      </c>
      <c r="D306" s="12" t="str">
        <f>IFERROR(__xludf.DUMMYFUNCTION("""COMPUTED_VALUE"""),"Bizhan Said")</f>
        <v>Bizhan Said</v>
      </c>
      <c r="E306" s="12" t="str">
        <f>IFERROR(__xludf.DUMMYFUNCTION("""COMPUTED_VALUE"""),"bizhan.said@pilottravelcenters.com")</f>
        <v>bizhan.said@pilottravelcenters.com</v>
      </c>
      <c r="F306" s="12" t="str">
        <f>IFERROR(__xludf.DUMMYFUNCTION("""COMPUTED_VALUE"""),"Executive Sponsor")</f>
        <v>Executive Sponsor</v>
      </c>
    </row>
    <row r="307">
      <c r="A307" s="12" t="str">
        <f>IFERROR(__xludf.DUMMYFUNCTION("""COMPUTED_VALUE"""),"a0lVT000006CEBpYAO")</f>
        <v>a0lVT000006CEBpYAO</v>
      </c>
      <c r="B307" s="12" t="str">
        <f>IFERROR(__xludf.DUMMYFUNCTION("""COMPUTED_VALUE"""),"a0rVT00001APYEjYAP")</f>
        <v>a0rVT00001APYEjYAP</v>
      </c>
      <c r="C307" s="12" t="str">
        <f>IFERROR(__xludf.DUMMYFUNCTION("""COMPUTED_VALUE"""),"003VT00000fc4sfYAA")</f>
        <v>003VT00000fc4sfYAA</v>
      </c>
      <c r="D307" s="12" t="str">
        <f>IFERROR(__xludf.DUMMYFUNCTION("""COMPUTED_VALUE"""),"Katie Nehrenz")</f>
        <v>Katie Nehrenz</v>
      </c>
      <c r="E307" s="12" t="str">
        <f>IFERROR(__xludf.DUMMYFUNCTION("""COMPUTED_VALUE"""),"katie.nehrenz@workday.com")</f>
        <v>katie.nehrenz@workday.com</v>
      </c>
      <c r="F307" s="12" t="str">
        <f>IFERROR(__xludf.DUMMYFUNCTION("""COMPUTED_VALUE"""),"Engagement Manager [Primary]")</f>
        <v>Engagement Manager [Primary]</v>
      </c>
    </row>
    <row r="308">
      <c r="A308" s="12" t="str">
        <f>IFERROR(__xludf.DUMMYFUNCTION("""COMPUTED_VALUE"""),"a0lVT000006DoTNYA0")</f>
        <v>a0lVT000006DoTNYA0</v>
      </c>
      <c r="B308" s="12" t="str">
        <f>IFERROR(__xludf.DUMMYFUNCTION("""COMPUTED_VALUE"""),"a0rVT00001APYEjYAP")</f>
        <v>a0rVT00001APYEjYAP</v>
      </c>
      <c r="C308" s="12" t="str">
        <f>IFERROR(__xludf.DUMMYFUNCTION("""COMPUTED_VALUE"""),"003VT00000tyyw6YAA")</f>
        <v>003VT00000tyyw6YAA</v>
      </c>
      <c r="D308" s="12" t="str">
        <f>IFERROR(__xludf.DUMMYFUNCTION("""COMPUTED_VALUE"""),"Deidra Gay")</f>
        <v>Deidra Gay</v>
      </c>
      <c r="E308" s="12" t="str">
        <f>IFERROR(__xludf.DUMMYFUNCTION("""COMPUTED_VALUE"""),"deidra.gay@pilottravelcenters.com")</f>
        <v>deidra.gay@pilottravelcenters.com</v>
      </c>
      <c r="F308" s="12" t="str">
        <f>IFERROR(__xludf.DUMMYFUNCTION("""COMPUTED_VALUE"""),"Project Manager [Customer]")</f>
        <v>Project Manager [Customer]</v>
      </c>
    </row>
    <row r="309">
      <c r="A309" s="12" t="str">
        <f>IFERROR(__xludf.DUMMYFUNCTION("""COMPUTED_VALUE"""),"a0lVT000006IR37YAG")</f>
        <v>a0lVT000006IR37YAG</v>
      </c>
      <c r="B309" s="12" t="str">
        <f>IFERROR(__xludf.DUMMYFUNCTION("""COMPUTED_VALUE"""),"a0rVT00001APYEjYAP")</f>
        <v>a0rVT00001APYEjYAP</v>
      </c>
      <c r="C309" s="12" t="str">
        <f>IFERROR(__xludf.DUMMYFUNCTION("""COMPUTED_VALUE"""),"0034X00003EtGr8QAF")</f>
        <v>0034X00003EtGr8QAF</v>
      </c>
      <c r="D309" s="12" t="str">
        <f>IFERROR(__xludf.DUMMYFUNCTION("""COMPUTED_VALUE"""),"Aaron Barnes")</f>
        <v>Aaron Barnes</v>
      </c>
      <c r="E309" s="12" t="str">
        <f>IFERROR(__xludf.DUMMYFUNCTION("""COMPUTED_VALUE"""),"aaron.barnes@workday.com")</f>
        <v>aaron.barnes@workday.com</v>
      </c>
      <c r="F309" s="12" t="str">
        <f>IFERROR(__xludf.DUMMYFUNCTION("""COMPUTED_VALUE"""),"Deployment Sponsor")</f>
        <v>Deployment Sponsor</v>
      </c>
    </row>
    <row r="310">
      <c r="A310" s="12" t="str">
        <f>IFERROR(__xludf.DUMMYFUNCTION("""COMPUTED_VALUE"""),"a0lVT000006DrcXYAS")</f>
        <v>a0lVT000006DrcXYAS</v>
      </c>
      <c r="B310" s="12" t="str">
        <f>IFERROR(__xludf.DUMMYFUNCTION("""COMPUTED_VALUE"""),"a0rVT00001ASqThYAL")</f>
        <v>a0rVT00001ASqThYAL</v>
      </c>
      <c r="C310" s="12" t="str">
        <f>IFERROR(__xludf.DUMMYFUNCTION("""COMPUTED_VALUE"""),"003VT00000duomrYAA")</f>
        <v>003VT00000duomrYAA</v>
      </c>
      <c r="D310" s="12" t="str">
        <f>IFERROR(__xludf.DUMMYFUNCTION("""COMPUTED_VALUE"""),"Savannah Leavell")</f>
        <v>Savannah Leavell</v>
      </c>
      <c r="E310" s="12" t="str">
        <f>IFERROR(__xludf.DUMMYFUNCTION("""COMPUTED_VALUE"""),"sleavell@oaklawn.com")</f>
        <v>sleavell@oaklawn.com</v>
      </c>
      <c r="F310" s="12" t="str">
        <f>IFERROR(__xludf.DUMMYFUNCTION("""COMPUTED_VALUE"""),"Project Manager [Customer]")</f>
        <v>Project Manager [Customer]</v>
      </c>
    </row>
    <row r="311">
      <c r="A311" s="12" t="str">
        <f>IFERROR(__xludf.DUMMYFUNCTION("""COMPUTED_VALUE"""),"a0lVT000006OuFJYA0")</f>
        <v>a0lVT000006OuFJYA0</v>
      </c>
      <c r="B311" s="12" t="str">
        <f>IFERROR(__xludf.DUMMYFUNCTION("""COMPUTED_VALUE"""),"a0rVT00001ASqThYAL")</f>
        <v>a0rVT00001ASqThYAL</v>
      </c>
      <c r="C311" s="12" t="str">
        <f>IFERROR(__xludf.DUMMYFUNCTION("""COMPUTED_VALUE"""),"0038000001i7N4rAAE")</f>
        <v>0038000001i7N4rAAE</v>
      </c>
      <c r="D311" s="12" t="str">
        <f>IFERROR(__xludf.DUMMYFUNCTION("""COMPUTED_VALUE"""),"Val Tsvetkov")</f>
        <v>Val Tsvetkov</v>
      </c>
      <c r="E311" s="12" t="str">
        <f>IFERROR(__xludf.DUMMYFUNCTION("""COMPUTED_VALUE"""),"val.tsvetkov@workday.com")</f>
        <v>val.tsvetkov@workday.com</v>
      </c>
      <c r="F311" s="12" t="str">
        <f>IFERROR(__xludf.DUMMYFUNCTION("""COMPUTED_VALUE"""),"Deployment Sponsor")</f>
        <v>Deployment Sponsor</v>
      </c>
    </row>
    <row r="312">
      <c r="A312" s="12" t="str">
        <f>IFERROR(__xludf.DUMMYFUNCTION("""COMPUTED_VALUE"""),"a0lVT000006DrcYYAS")</f>
        <v>a0lVT000006DrcYYAS</v>
      </c>
      <c r="B312" s="12" t="str">
        <f>IFERROR(__xludf.DUMMYFUNCTION("""COMPUTED_VALUE"""),"a0rVT00001ASqThYAL")</f>
        <v>a0rVT00001ASqThYAL</v>
      </c>
      <c r="C312" s="12" t="str">
        <f>IFERROR(__xludf.DUMMYFUNCTION("""COMPUTED_VALUE"""),"0034X00003JswFkQAJ")</f>
        <v>0034X00003JswFkQAJ</v>
      </c>
      <c r="D312" s="12" t="str">
        <f>IFERROR(__xludf.DUMMYFUNCTION("""COMPUTED_VALUE"""),"Brad Hall")</f>
        <v>Brad Hall</v>
      </c>
      <c r="E312" s="12" t="str">
        <f>IFERROR(__xludf.DUMMYFUNCTION("""COMPUTED_VALUE"""),"bhall@oaklawn.com")</f>
        <v>bhall@oaklawn.com</v>
      </c>
      <c r="F312" s="12" t="str">
        <f>IFERROR(__xludf.DUMMYFUNCTION("""COMPUTED_VALUE"""),"Executive Sponsor")</f>
        <v>Executive Sponsor</v>
      </c>
    </row>
    <row r="313">
      <c r="A313" s="12" t="str">
        <f>IFERROR(__xludf.DUMMYFUNCTION("""COMPUTED_VALUE"""),"a0lVT000006CRfJYAW")</f>
        <v>a0lVT000006CRfJYAW</v>
      </c>
      <c r="B313" s="12" t="str">
        <f>IFERROR(__xludf.DUMMYFUNCTION("""COMPUTED_VALUE"""),"a0rVT00001ASqThYAL")</f>
        <v>a0rVT00001ASqThYAL</v>
      </c>
      <c r="C313" s="12" t="str">
        <f>IFERROR(__xludf.DUMMYFUNCTION("""COMPUTED_VALUE"""),"003VT00000WusXyYAJ")</f>
        <v>003VT00000WusXyYAJ</v>
      </c>
      <c r="D313" s="12" t="str">
        <f>IFERROR(__xludf.DUMMYFUNCTION("""COMPUTED_VALUE"""),"Monica Morandi")</f>
        <v>Monica Morandi</v>
      </c>
      <c r="E313" s="12" t="str">
        <f>IFERROR(__xludf.DUMMYFUNCTION("""COMPUTED_VALUE"""),"monica.morandi@workday.com")</f>
        <v>monica.morandi@workday.com</v>
      </c>
      <c r="F313" s="12" t="str">
        <f>IFERROR(__xludf.DUMMYFUNCTION("""COMPUTED_VALUE"""),"Engagement Manager [Primary]")</f>
        <v>Engagement Manager [Primary]</v>
      </c>
    </row>
    <row r="314">
      <c r="A314" s="12" t="str">
        <f>IFERROR(__xludf.DUMMYFUNCTION("""COMPUTED_VALUE"""),"a0lVT000006CRSPYA4")</f>
        <v>a0lVT000006CRSPYA4</v>
      </c>
      <c r="B314" s="12" t="str">
        <f>IFERROR(__xludf.DUMMYFUNCTION("""COMPUTED_VALUE"""),"a0rVT00001ATaJjYAL")</f>
        <v>a0rVT00001ATaJjYAL</v>
      </c>
      <c r="C314" s="12" t="str">
        <f>IFERROR(__xludf.DUMMYFUNCTION("""COMPUTED_VALUE"""),"003VT00000WusXyYAJ")</f>
        <v>003VT00000WusXyYAJ</v>
      </c>
      <c r="D314" s="12" t="str">
        <f>IFERROR(__xludf.DUMMYFUNCTION("""COMPUTED_VALUE"""),"Monica Morandi")</f>
        <v>Monica Morandi</v>
      </c>
      <c r="E314" s="12" t="str">
        <f>IFERROR(__xludf.DUMMYFUNCTION("""COMPUTED_VALUE"""),"monica.morandi@workday.com")</f>
        <v>monica.morandi@workday.com</v>
      </c>
      <c r="F314" s="12" t="str">
        <f>IFERROR(__xludf.DUMMYFUNCTION("""COMPUTED_VALUE"""),"Engagement Manager [Primary]")</f>
        <v>Engagement Manager [Primary]</v>
      </c>
    </row>
    <row r="315">
      <c r="A315" s="12" t="str">
        <f>IFERROR(__xludf.DUMMYFUNCTION("""COMPUTED_VALUE"""),"a0lVT000006DtXtYAK")</f>
        <v>a0lVT000006DtXtYAK</v>
      </c>
      <c r="B315" s="12" t="str">
        <f>IFERROR(__xludf.DUMMYFUNCTION("""COMPUTED_VALUE"""),"a0rVT00001ATaJjYAL")</f>
        <v>a0rVT00001ATaJjYAL</v>
      </c>
      <c r="C315" s="12" t="str">
        <f>IFERROR(__xludf.DUMMYFUNCTION("""COMPUTED_VALUE"""),"0031B00002kQl9HQAS")</f>
        <v>0031B00002kQl9HQAS</v>
      </c>
      <c r="D315" s="12" t="str">
        <f>IFERROR(__xludf.DUMMYFUNCTION("""COMPUTED_VALUE"""),"Lindsey Carlson")</f>
        <v>Lindsey Carlson</v>
      </c>
      <c r="E315" s="12" t="str">
        <f>IFERROR(__xludf.DUMMYFUNCTION("""COMPUTED_VALUE"""),"lindsey.carlson@sharecare.com")</f>
        <v>lindsey.carlson@sharecare.com</v>
      </c>
      <c r="F315" s="12" t="str">
        <f>IFERROR(__xludf.DUMMYFUNCTION("""COMPUTED_VALUE"""),"Executive Sponsor")</f>
        <v>Executive Sponsor</v>
      </c>
    </row>
    <row r="316">
      <c r="A316" s="12" t="str">
        <f>IFERROR(__xludf.DUMMYFUNCTION("""COMPUTED_VALUE"""),"a0lVT000006DtXuYAK")</f>
        <v>a0lVT000006DtXuYAK</v>
      </c>
      <c r="B316" s="12" t="str">
        <f>IFERROR(__xludf.DUMMYFUNCTION("""COMPUTED_VALUE"""),"a0rVT00001ATaJjYAL")</f>
        <v>a0rVT00001ATaJjYAL</v>
      </c>
      <c r="C316" s="12" t="str">
        <f>IFERROR(__xludf.DUMMYFUNCTION("""COMPUTED_VALUE"""),"003VT00000fBAUJYA4")</f>
        <v>003VT00000fBAUJYA4</v>
      </c>
      <c r="D316" s="12" t="str">
        <f>IFERROR(__xludf.DUMMYFUNCTION("""COMPUTED_VALUE"""),"Lindsey Carlson")</f>
        <v>Lindsey Carlson</v>
      </c>
      <c r="E316" s="12" t="str">
        <f>IFERROR(__xludf.DUMMYFUNCTION("""COMPUTED_VALUE"""),"lindsey.carlson@sharecare.com")</f>
        <v>lindsey.carlson@sharecare.com</v>
      </c>
      <c r="F316" s="12" t="str">
        <f>IFERROR(__xludf.DUMMYFUNCTION("""COMPUTED_VALUE"""),"Project Manager [Customer]")</f>
        <v>Project Manager [Customer]</v>
      </c>
    </row>
    <row r="317">
      <c r="A317" s="12" t="str">
        <f>IFERROR(__xludf.DUMMYFUNCTION("""COMPUTED_VALUE"""),"a0lVT000006K8ArYAK")</f>
        <v>a0lVT000006K8ArYAK</v>
      </c>
      <c r="B317" s="12" t="str">
        <f>IFERROR(__xludf.DUMMYFUNCTION("""COMPUTED_VALUE"""),"a0rVT00001ATaJjYAL")</f>
        <v>a0rVT00001ATaJjYAL</v>
      </c>
      <c r="C317" s="12" t="str">
        <f>IFERROR(__xludf.DUMMYFUNCTION("""COMPUTED_VALUE"""),"0038000001i7N4rAAE")</f>
        <v>0038000001i7N4rAAE</v>
      </c>
      <c r="D317" s="12" t="str">
        <f>IFERROR(__xludf.DUMMYFUNCTION("""COMPUTED_VALUE"""),"Val Tsvetkov")</f>
        <v>Val Tsvetkov</v>
      </c>
      <c r="E317" s="12" t="str">
        <f>IFERROR(__xludf.DUMMYFUNCTION("""COMPUTED_VALUE"""),"val.tsvetkov@workday.com")</f>
        <v>val.tsvetkov@workday.com</v>
      </c>
      <c r="F317" s="12" t="str">
        <f>IFERROR(__xludf.DUMMYFUNCTION("""COMPUTED_VALUE"""),"Deployment Sponsor")</f>
        <v>Deployment Sponsor</v>
      </c>
    </row>
    <row r="318">
      <c r="A318" s="12" t="str">
        <f>IFERROR(__xludf.DUMMYFUNCTION("""COMPUTED_VALUE"""),"a0lVT000006CRaTYAW")</f>
        <v>a0lVT000006CRaTYAW</v>
      </c>
      <c r="B318" s="12" t="str">
        <f>IFERROR(__xludf.DUMMYFUNCTION("""COMPUTED_VALUE"""),"a0rVT00001ATh9lYAD")</f>
        <v>a0rVT00001ATh9lYAD</v>
      </c>
      <c r="C318" s="12" t="str">
        <f>IFERROR(__xludf.DUMMYFUNCTION("""COMPUTED_VALUE"""),"003VT00000WusXyYAJ")</f>
        <v>003VT00000WusXyYAJ</v>
      </c>
      <c r="D318" s="12" t="str">
        <f>IFERROR(__xludf.DUMMYFUNCTION("""COMPUTED_VALUE"""),"Monica Morandi")</f>
        <v>Monica Morandi</v>
      </c>
      <c r="E318" s="12" t="str">
        <f>IFERROR(__xludf.DUMMYFUNCTION("""COMPUTED_VALUE"""),"monica.morandi@workday.com")</f>
        <v>monica.morandi@workday.com</v>
      </c>
      <c r="F318" s="12" t="str">
        <f>IFERROR(__xludf.DUMMYFUNCTION("""COMPUTED_VALUE"""),"Engagement Manager [Primary]")</f>
        <v>Engagement Manager [Primary]</v>
      </c>
    </row>
    <row r="319">
      <c r="A319" s="12" t="str">
        <f>IFERROR(__xludf.DUMMYFUNCTION("""COMPUTED_VALUE"""),"a0lVT000006QrlCYAS")</f>
        <v>a0lVT000006QrlCYAS</v>
      </c>
      <c r="B319" s="12" t="str">
        <f>IFERROR(__xludf.DUMMYFUNCTION("""COMPUTED_VALUE"""),"a0rVT00001AqcR7YAJ")</f>
        <v>a0rVT00001AqcR7YAJ</v>
      </c>
      <c r="C319" s="12" t="str">
        <f>IFERROR(__xludf.DUMMYFUNCTION("""COMPUTED_VALUE"""),"0034X00003Nwk7AQAR")</f>
        <v>0034X00003Nwk7AQAR</v>
      </c>
      <c r="D319" s="12" t="str">
        <f>IFERROR(__xludf.DUMMYFUNCTION("""COMPUTED_VALUE"""),"Ben McClellan")</f>
        <v>Ben McClellan</v>
      </c>
      <c r="E319" s="12" t="str">
        <f>IFERROR(__xludf.DUMMYFUNCTION("""COMPUTED_VALUE"""),"bmcclellan@honorhealth.com")</f>
        <v>bmcclellan@honorhealth.com</v>
      </c>
      <c r="F319" s="12" t="str">
        <f>IFERROR(__xludf.DUMMYFUNCTION("""COMPUTED_VALUE"""),"Project Manager [Customer]")</f>
        <v>Project Manager [Customer]</v>
      </c>
    </row>
    <row r="320">
      <c r="A320" s="12" t="str">
        <f>IFERROR(__xludf.DUMMYFUNCTION("""COMPUTED_VALUE"""),"a0lVT000006QrlBYAS")</f>
        <v>a0lVT000006QrlBYAS</v>
      </c>
      <c r="B320" s="12" t="str">
        <f>IFERROR(__xludf.DUMMYFUNCTION("""COMPUTED_VALUE"""),"a0rVT00001AqcR7YAJ")</f>
        <v>a0rVT00001AqcR7YAJ</v>
      </c>
      <c r="C320" s="12" t="str">
        <f>IFERROR(__xludf.DUMMYFUNCTION("""COMPUTED_VALUE"""),"0031B00002qTX0IQAW")</f>
        <v>0031B00002qTX0IQAW</v>
      </c>
      <c r="D320" s="12" t="str">
        <f>IFERROR(__xludf.DUMMYFUNCTION("""COMPUTED_VALUE"""),"Wayne Frangesch")</f>
        <v>Wayne Frangesch</v>
      </c>
      <c r="E320" s="12" t="str">
        <f>IFERROR(__xludf.DUMMYFUNCTION("""COMPUTED_VALUE"""),"wfrangesch@honorhealth.com")</f>
        <v>wfrangesch@honorhealth.com</v>
      </c>
      <c r="F320" s="12" t="str">
        <f>IFERROR(__xludf.DUMMYFUNCTION("""COMPUTED_VALUE"""),"Executive Sponsor")</f>
        <v>Executive Sponsor</v>
      </c>
    </row>
    <row r="321">
      <c r="A321" s="12" t="str">
        <f>IFERROR(__xludf.DUMMYFUNCTION("""COMPUTED_VALUE"""),"a0lVT000006E457YAC")</f>
        <v>a0lVT000006E457YAC</v>
      </c>
      <c r="B321" s="12" t="str">
        <f>IFERROR(__xludf.DUMMYFUNCTION("""COMPUTED_VALUE"""),"a0rVT00001BA26XYAT")</f>
        <v>a0rVT00001BA26XYAT</v>
      </c>
      <c r="C321" s="12" t="str">
        <f>IFERROR(__xludf.DUMMYFUNCTION("""COMPUTED_VALUE"""),"003VT00000nNiKHYA0")</f>
        <v>003VT00000nNiKHYA0</v>
      </c>
      <c r="D321" s="12" t="str">
        <f>IFERROR(__xludf.DUMMYFUNCTION("""COMPUTED_VALUE"""),"Manuel Roldan")</f>
        <v>Manuel Roldan</v>
      </c>
      <c r="E321" s="12" t="str">
        <f>IFERROR(__xludf.DUMMYFUNCTION("""COMPUTED_VALUE"""),"manuel.roldan@workday.com")</f>
        <v>manuel.roldan@workday.com</v>
      </c>
      <c r="F321" s="12" t="str">
        <f>IFERROR(__xludf.DUMMYFUNCTION("""COMPUTED_VALUE"""),"Engagement Manager [Primary]")</f>
        <v>Engagement Manager [Primary]</v>
      </c>
    </row>
    <row r="322">
      <c r="A322" s="12" t="str">
        <f>IFERROR(__xludf.DUMMYFUNCTION("""COMPUTED_VALUE"""),"a0lVT000006MEKDYA4")</f>
        <v>a0lVT000006MEKDYA4</v>
      </c>
      <c r="B322" s="12" t="str">
        <f>IFERROR(__xludf.DUMMYFUNCTION("""COMPUTED_VALUE"""),"a0rVT00001BHdnjYAD")</f>
        <v>a0rVT00001BHdnjYAD</v>
      </c>
      <c r="C322" s="12" t="str">
        <f>IFERROR(__xludf.DUMMYFUNCTION("""COMPUTED_VALUE"""),"0034X00003JsNpYQAV")</f>
        <v>0034X00003JsNpYQAV</v>
      </c>
      <c r="D322" s="12" t="str">
        <f>IFERROR(__xludf.DUMMYFUNCTION("""COMPUTED_VALUE"""),"Dhaval Rana")</f>
        <v>Dhaval Rana</v>
      </c>
      <c r="E322" s="12" t="str">
        <f>IFERROR(__xludf.DUMMYFUNCTION("""COMPUTED_VALUE"""),"dhaval.rana@workday.com")</f>
        <v>dhaval.rana@workday.com</v>
      </c>
      <c r="F322" s="12" t="str">
        <f>IFERROR(__xludf.DUMMYFUNCTION("""COMPUTED_VALUE"""),"Engagement Manager [Primary]")</f>
        <v>Engagement Manager [Primary]</v>
      </c>
    </row>
    <row r="323">
      <c r="A323" s="12" t="str">
        <f>IFERROR(__xludf.DUMMYFUNCTION("""COMPUTED_VALUE"""),"a0lVT000006HLNxYAO")</f>
        <v>a0lVT000006HLNxYAO</v>
      </c>
      <c r="B323" s="12" t="str">
        <f>IFERROR(__xludf.DUMMYFUNCTION("""COMPUTED_VALUE"""),"a0rVT00001BHkKZYA1")</f>
        <v>a0rVT00001BHkKZYA1</v>
      </c>
      <c r="C323" s="12" t="str">
        <f>IFERROR(__xludf.DUMMYFUNCTION("""COMPUTED_VALUE"""),"003VT00000YF2KVYA1")</f>
        <v>003VT00000YF2KVYA1</v>
      </c>
      <c r="D323" s="12" t="str">
        <f>IFERROR(__xludf.DUMMYFUNCTION("""COMPUTED_VALUE"""),"Karishma Prajapati")</f>
        <v>Karishma Prajapati</v>
      </c>
      <c r="E323" s="12" t="str">
        <f>IFERROR(__xludf.DUMMYFUNCTION("""COMPUTED_VALUE"""),"karishma.prajapati@workday.com")</f>
        <v>karishma.prajapati@workday.com</v>
      </c>
      <c r="F323" s="12" t="str">
        <f>IFERROR(__xludf.DUMMYFUNCTION("""COMPUTED_VALUE"""),"Engagement Manager [Primary]")</f>
        <v>Engagement Manager [Primary]</v>
      </c>
    </row>
    <row r="324">
      <c r="A324" s="12" t="str">
        <f>IFERROR(__xludf.DUMMYFUNCTION("""COMPUTED_VALUE"""),"a0lVT000006HLMLYA4")</f>
        <v>a0lVT000006HLMLYA4</v>
      </c>
      <c r="B324" s="12" t="str">
        <f>IFERROR(__xludf.DUMMYFUNCTION("""COMPUTED_VALUE"""),"a0rVT00001BHkKZYA1")</f>
        <v>a0rVT00001BHkKZYA1</v>
      </c>
      <c r="C324" s="12" t="str">
        <f>IFERROR(__xludf.DUMMYFUNCTION("""COMPUTED_VALUE"""),"003VT00000qJHYfYAO")</f>
        <v>003VT00000qJHYfYAO</v>
      </c>
      <c r="D324" s="12" t="str">
        <f>IFERROR(__xludf.DUMMYFUNCTION("""COMPUTED_VALUE"""),"Sharvari Naik")</f>
        <v>Sharvari Naik</v>
      </c>
      <c r="E324" s="12" t="str">
        <f>IFERROR(__xludf.DUMMYFUNCTION("""COMPUTED_VALUE"""),"sharvari.naik@workday.com")</f>
        <v>sharvari.naik@workday.com</v>
      </c>
      <c r="F324" s="12" t="str">
        <f>IFERROR(__xludf.DUMMYFUNCTION("""COMPUTED_VALUE"""),"Engagement Manager [Secondary]")</f>
        <v>Engagement Manager [Secondary]</v>
      </c>
    </row>
    <row r="325">
      <c r="A325" s="12" t="str">
        <f>IFERROR(__xludf.DUMMYFUNCTION("""COMPUTED_VALUE"""),"a0lVT000006ERjFYAW")</f>
        <v>a0lVT000006ERjFYAW</v>
      </c>
      <c r="B325" s="12" t="str">
        <f>IFERROR(__xludf.DUMMYFUNCTION("""COMPUTED_VALUE"""),"a0rVT00001BI7dhYAD")</f>
        <v>a0rVT00001BI7dhYAD</v>
      </c>
      <c r="C325" s="12" t="str">
        <f>IFERROR(__xludf.DUMMYFUNCTION("""COMPUTED_VALUE"""),"0038000001pAvOjAAK")</f>
        <v>0038000001pAvOjAAK</v>
      </c>
      <c r="D325" s="12" t="str">
        <f>IFERROR(__xludf.DUMMYFUNCTION("""COMPUTED_VALUE"""),"John Hawkins")</f>
        <v>John Hawkins</v>
      </c>
      <c r="E325" s="12" t="str">
        <f>IFERROR(__xludf.DUMMYFUNCTION("""COMPUTED_VALUE"""),"john.hawkins@workday.com")</f>
        <v>john.hawkins@workday.com</v>
      </c>
      <c r="F325" s="12" t="str">
        <f>IFERROR(__xludf.DUMMYFUNCTION("""COMPUTED_VALUE"""),"Engagement Manager [Primary]")</f>
        <v>Engagement Manager [Primary]</v>
      </c>
    </row>
    <row r="326">
      <c r="A326" s="12" t="str">
        <f>IFERROR(__xludf.DUMMYFUNCTION("""COMPUTED_VALUE"""),"a0lVT000006MEP3YAO")</f>
        <v>a0lVT000006MEP3YAO</v>
      </c>
      <c r="B326" s="12" t="str">
        <f>IFERROR(__xludf.DUMMYFUNCTION("""COMPUTED_VALUE"""),"a0rVT00001BaWYoYAN")</f>
        <v>a0rVT00001BaWYoYAN</v>
      </c>
      <c r="C326" s="12" t="str">
        <f>IFERROR(__xludf.DUMMYFUNCTION("""COMPUTED_VALUE"""),"0034X00003JsNpYQAV")</f>
        <v>0034X00003JsNpYQAV</v>
      </c>
      <c r="D326" s="12" t="str">
        <f>IFERROR(__xludf.DUMMYFUNCTION("""COMPUTED_VALUE"""),"Dhaval Rana")</f>
        <v>Dhaval Rana</v>
      </c>
      <c r="E326" s="12" t="str">
        <f>IFERROR(__xludf.DUMMYFUNCTION("""COMPUTED_VALUE"""),"dhaval.rana@workday.com")</f>
        <v>dhaval.rana@workday.com</v>
      </c>
      <c r="F326" s="12" t="str">
        <f>IFERROR(__xludf.DUMMYFUNCTION("""COMPUTED_VALUE"""),"Engagement Manager [Primary]")</f>
        <v>Engagement Manager [Primary]</v>
      </c>
    </row>
    <row r="327">
      <c r="A327" s="12" t="str">
        <f>IFERROR(__xludf.DUMMYFUNCTION("""COMPUTED_VALUE"""),"a0lVT000006KNY6YAO")</f>
        <v>a0lVT000006KNY6YAO</v>
      </c>
      <c r="B327" s="12" t="str">
        <f>IFERROR(__xludf.DUMMYFUNCTION("""COMPUTED_VALUE"""),"a0rVT00001BaWgrYAF")</f>
        <v>a0rVT00001BaWgrYAF</v>
      </c>
      <c r="C327" s="12" t="str">
        <f>IFERROR(__xludf.DUMMYFUNCTION("""COMPUTED_VALUE"""),"0031B00002r8QhhQAE")</f>
        <v>0031B00002r8QhhQAE</v>
      </c>
      <c r="D327" s="12" t="str">
        <f>IFERROR(__xludf.DUMMYFUNCTION("""COMPUTED_VALUE"""),"Curtis Carter")</f>
        <v>Curtis Carter</v>
      </c>
      <c r="E327" s="12" t="str">
        <f>IFERROR(__xludf.DUMMYFUNCTION("""COMPUTED_VALUE"""),"curtis.carter@workday.com")</f>
        <v>curtis.carter@workday.com</v>
      </c>
      <c r="F327" s="12" t="str">
        <f>IFERROR(__xludf.DUMMYFUNCTION("""COMPUTED_VALUE"""),"Engagement Manager [Secondary]")</f>
        <v>Engagement Manager [Secondary]</v>
      </c>
    </row>
    <row r="328">
      <c r="A328" s="12" t="str">
        <f>IFERROR(__xludf.DUMMYFUNCTION("""COMPUTED_VALUE"""),"a0lVT000006KNY5YAO")</f>
        <v>a0lVT000006KNY5YAO</v>
      </c>
      <c r="B328" s="12" t="str">
        <f>IFERROR(__xludf.DUMMYFUNCTION("""COMPUTED_VALUE"""),"a0rVT00001BaWgrYAF")</f>
        <v>a0rVT00001BaWgrYAF</v>
      </c>
      <c r="C328" s="12" t="str">
        <f>IFERROR(__xludf.DUMMYFUNCTION("""COMPUTED_VALUE"""),"003VT00000fc4shYAA")</f>
        <v>003VT00000fc4shYAA</v>
      </c>
      <c r="D328" s="12" t="str">
        <f>IFERROR(__xludf.DUMMYFUNCTION("""COMPUTED_VALUE"""),"Michelle Holland")</f>
        <v>Michelle Holland</v>
      </c>
      <c r="E328" s="12" t="str">
        <f>IFERROR(__xludf.DUMMYFUNCTION("""COMPUTED_VALUE"""),"michelle.holland@workday.com")</f>
        <v>michelle.holland@workday.com</v>
      </c>
      <c r="F328" s="12" t="str">
        <f>IFERROR(__xludf.DUMMYFUNCTION("""COMPUTED_VALUE"""),"Engagement Manager [Primary]")</f>
        <v>Engagement Manager [Primary]</v>
      </c>
    </row>
    <row r="329">
      <c r="A329" s="12" t="str">
        <f>IFERROR(__xludf.DUMMYFUNCTION("""COMPUTED_VALUE"""),"a0lVT000006HLFtYAO")</f>
        <v>a0lVT000006HLFtYAO</v>
      </c>
      <c r="B329" s="12" t="str">
        <f>IFERROR(__xludf.DUMMYFUNCTION("""COMPUTED_VALUE"""),"a0rVT00001BfQcPYAV")</f>
        <v>a0rVT00001BfQcPYAV</v>
      </c>
      <c r="C329" s="12" t="str">
        <f>IFERROR(__xludf.DUMMYFUNCTION("""COMPUTED_VALUE"""),"003VT00000qJHYfYAO")</f>
        <v>003VT00000qJHYfYAO</v>
      </c>
      <c r="D329" s="12" t="str">
        <f>IFERROR(__xludf.DUMMYFUNCTION("""COMPUTED_VALUE"""),"Sharvari Naik")</f>
        <v>Sharvari Naik</v>
      </c>
      <c r="E329" s="12" t="str">
        <f>IFERROR(__xludf.DUMMYFUNCTION("""COMPUTED_VALUE"""),"sharvari.naik@workday.com")</f>
        <v>sharvari.naik@workday.com</v>
      </c>
      <c r="F329" s="12" t="str">
        <f>IFERROR(__xludf.DUMMYFUNCTION("""COMPUTED_VALUE"""),"Engagement Manager [Secondary]")</f>
        <v>Engagement Manager [Secondary]</v>
      </c>
    </row>
    <row r="330">
      <c r="A330" s="12" t="str">
        <f>IFERROR(__xludf.DUMMYFUNCTION("""COMPUTED_VALUE"""),"a0lVT000006GuSbYAK")</f>
        <v>a0lVT000006GuSbYAK</v>
      </c>
      <c r="B330" s="12" t="str">
        <f>IFERROR(__xludf.DUMMYFUNCTION("""COMPUTED_VALUE"""),"a0rVT00001BfQcPYAV")</f>
        <v>a0rVT00001BfQcPYAV</v>
      </c>
      <c r="C330" s="12" t="str">
        <f>IFERROR(__xludf.DUMMYFUNCTION("""COMPUTED_VALUE"""),"003VT00000YF2KVYA1")</f>
        <v>003VT00000YF2KVYA1</v>
      </c>
      <c r="D330" s="12" t="str">
        <f>IFERROR(__xludf.DUMMYFUNCTION("""COMPUTED_VALUE"""),"Karishma Prajapati")</f>
        <v>Karishma Prajapati</v>
      </c>
      <c r="E330" s="12" t="str">
        <f>IFERROR(__xludf.DUMMYFUNCTION("""COMPUTED_VALUE"""),"karishma.prajapati@workday.com")</f>
        <v>karishma.prajapati@workday.com</v>
      </c>
      <c r="F330" s="12" t="str">
        <f>IFERROR(__xludf.DUMMYFUNCTION("""COMPUTED_VALUE"""),"Engagement Manager [Primary]")</f>
        <v>Engagement Manager [Primary]</v>
      </c>
    </row>
    <row r="331">
      <c r="A331" s="12" t="str">
        <f>IFERROR(__xludf.DUMMYFUNCTION("""COMPUTED_VALUE"""),"a0lVT000006GkTFYA0")</f>
        <v>a0lVT000006GkTFYA0</v>
      </c>
      <c r="B331" s="12" t="str">
        <f>IFERROR(__xludf.DUMMYFUNCTION("""COMPUTED_VALUE"""),"a0rVT00001BfVLyYAN")</f>
        <v>a0rVT00001BfVLyYAN</v>
      </c>
      <c r="C331" s="12" t="str">
        <f>IFERROR(__xludf.DUMMYFUNCTION("""COMPUTED_VALUE"""),"0034X000030Su6fQAC")</f>
        <v>0034X000030Su6fQAC</v>
      </c>
      <c r="D331" s="12" t="str">
        <f>IFERROR(__xludf.DUMMYFUNCTION("""COMPUTED_VALUE"""),"Mukul Chandra")</f>
        <v>Mukul Chandra</v>
      </c>
      <c r="E331" s="12" t="str">
        <f>IFERROR(__xludf.DUMMYFUNCTION("""COMPUTED_VALUE"""),"mukul.chandra@workday.com")</f>
        <v>mukul.chandra@workday.com</v>
      </c>
      <c r="F331" s="12" t="str">
        <f>IFERROR(__xludf.DUMMYFUNCTION("""COMPUTED_VALUE"""),"Engagement Manager [Primary]")</f>
        <v>Engagement Manager [Primary]</v>
      </c>
    </row>
    <row r="332">
      <c r="A332" s="12" t="str">
        <f>IFERROR(__xludf.DUMMYFUNCTION("""COMPUTED_VALUE"""),"a0lVT000006HL31YAG")</f>
        <v>a0lVT000006HL31YAG</v>
      </c>
      <c r="B332" s="12" t="str">
        <f>IFERROR(__xludf.DUMMYFUNCTION("""COMPUTED_VALUE"""),"a0rVT00001BfVLyYAN")</f>
        <v>a0rVT00001BfVLyYAN</v>
      </c>
      <c r="C332" s="12" t="str">
        <f>IFERROR(__xludf.DUMMYFUNCTION("""COMPUTED_VALUE"""),"0031B00002pjBbQQAU")</f>
        <v>0031B00002pjBbQQAU</v>
      </c>
      <c r="D332" s="12" t="str">
        <f>IFERROR(__xludf.DUMMYFUNCTION("""COMPUTED_VALUE"""),"Martin Alejandro")</f>
        <v>Martin Alejandro</v>
      </c>
      <c r="E332" s="12" t="str">
        <f>IFERROR(__xludf.DUMMYFUNCTION("""COMPUTED_VALUE"""),"martin.alejandro@keppel.com")</f>
        <v>martin.alejandro@keppel.com</v>
      </c>
      <c r="F332" s="12" t="str">
        <f>IFERROR(__xludf.DUMMYFUNCTION("""COMPUTED_VALUE"""),"Project Manager [Customer]")</f>
        <v>Project Manager [Customer]</v>
      </c>
    </row>
    <row r="333">
      <c r="A333" s="12" t="str">
        <f>IFERROR(__xludf.DUMMYFUNCTION("""COMPUTED_VALUE"""),"a0lVT000006HL32YAG")</f>
        <v>a0lVT000006HL32YAG</v>
      </c>
      <c r="B333" s="12" t="str">
        <f>IFERROR(__xludf.DUMMYFUNCTION("""COMPUTED_VALUE"""),"a0rVT00001BfVLyYAN")</f>
        <v>a0rVT00001BfVLyYAN</v>
      </c>
      <c r="C333" s="12" t="str">
        <f>IFERROR(__xludf.DUMMYFUNCTION("""COMPUTED_VALUE"""),"0034X00003BnZ19QAF")</f>
        <v>0034X00003BnZ19QAF</v>
      </c>
      <c r="D333" s="12" t="str">
        <f>IFERROR(__xludf.DUMMYFUNCTION("""COMPUTED_VALUE"""),"Irene Wee")</f>
        <v>Irene Wee</v>
      </c>
      <c r="E333" s="12" t="str">
        <f>IFERROR(__xludf.DUMMYFUNCTION("""COMPUTED_VALUE"""),"irene.wee@keppel.com")</f>
        <v>irene.wee@keppel.com</v>
      </c>
      <c r="F333" s="12" t="str">
        <f>IFERROR(__xludf.DUMMYFUNCTION("""COMPUTED_VALUE"""),"Executive Sponsor")</f>
        <v>Executive Sponsor</v>
      </c>
    </row>
    <row r="334">
      <c r="A334" s="12" t="str">
        <f>IFERROR(__xludf.DUMMYFUNCTION("""COMPUTED_VALUE"""),"a0lVT000006GDNdYAO")</f>
        <v>a0lVT000006GDNdYAO</v>
      </c>
      <c r="B334" s="12" t="str">
        <f>IFERROR(__xludf.DUMMYFUNCTION("""COMPUTED_VALUE"""),"a0rVT00001Blm2PYAR")</f>
        <v>a0rVT00001Blm2PYAR</v>
      </c>
      <c r="C334" s="12" t="str">
        <f>IFERROR(__xludf.DUMMYFUNCTION("""COMPUTED_VALUE"""),"003VT00000nNiKHYA0")</f>
        <v>003VT00000nNiKHYA0</v>
      </c>
      <c r="D334" s="12" t="str">
        <f>IFERROR(__xludf.DUMMYFUNCTION("""COMPUTED_VALUE"""),"Manuel Roldan")</f>
        <v>Manuel Roldan</v>
      </c>
      <c r="E334" s="12" t="str">
        <f>IFERROR(__xludf.DUMMYFUNCTION("""COMPUTED_VALUE"""),"manuel.roldan@workday.com")</f>
        <v>manuel.roldan@workday.com</v>
      </c>
      <c r="F334" s="12" t="str">
        <f>IFERROR(__xludf.DUMMYFUNCTION("""COMPUTED_VALUE"""),"Engagement Manager [Primary]")</f>
        <v>Engagement Manager [Primary]</v>
      </c>
    </row>
    <row r="335">
      <c r="A335" s="12" t="str">
        <f>IFERROR(__xludf.DUMMYFUNCTION("""COMPUTED_VALUE"""),"a0lVT000006MLtZYAW")</f>
        <v>a0lVT000006MLtZYAW</v>
      </c>
      <c r="B335" s="12" t="str">
        <f>IFERROR(__xludf.DUMMYFUNCTION("""COMPUTED_VALUE"""),"a0rVT00001Blm2PYAR")</f>
        <v>a0rVT00001Blm2PYAR</v>
      </c>
      <c r="C335" s="12" t="str">
        <f>IFERROR(__xludf.DUMMYFUNCTION("""COMPUTED_VALUE"""),"0034X00003EtGr8QAF")</f>
        <v>0034X00003EtGr8QAF</v>
      </c>
      <c r="D335" s="12" t="str">
        <f>IFERROR(__xludf.DUMMYFUNCTION("""COMPUTED_VALUE"""),"Aaron Barnes")</f>
        <v>Aaron Barnes</v>
      </c>
      <c r="E335" s="12" t="str">
        <f>IFERROR(__xludf.DUMMYFUNCTION("""COMPUTED_VALUE"""),"aaron.barnes@workday.com")</f>
        <v>aaron.barnes@workday.com</v>
      </c>
      <c r="F335" s="12" t="str">
        <f>IFERROR(__xludf.DUMMYFUNCTION("""COMPUTED_VALUE"""),"Deployment Sponsor")</f>
        <v>Deployment Sponsor</v>
      </c>
    </row>
    <row r="336">
      <c r="A336" s="12" t="str">
        <f>IFERROR(__xludf.DUMMYFUNCTION("""COMPUTED_VALUE"""),"a0lVT000006GtxxYAC")</f>
        <v>a0lVT000006GtxxYAC</v>
      </c>
      <c r="B336" s="12" t="str">
        <f>IFERROR(__xludf.DUMMYFUNCTION("""COMPUTED_VALUE"""),"a0rVT00001BxD46YAF")</f>
        <v>a0rVT00001BxD46YAF</v>
      </c>
      <c r="C336" s="12" t="str">
        <f>IFERROR(__xludf.DUMMYFUNCTION("""COMPUTED_VALUE"""),"003VT00000YF2KVYA1")</f>
        <v>003VT00000YF2KVYA1</v>
      </c>
      <c r="D336" s="12" t="str">
        <f>IFERROR(__xludf.DUMMYFUNCTION("""COMPUTED_VALUE"""),"Karishma Prajapati")</f>
        <v>Karishma Prajapati</v>
      </c>
      <c r="E336" s="12" t="str">
        <f>IFERROR(__xludf.DUMMYFUNCTION("""COMPUTED_VALUE"""),"karishma.prajapati@workday.com")</f>
        <v>karishma.prajapati@workday.com</v>
      </c>
      <c r="F336" s="12" t="str">
        <f>IFERROR(__xludf.DUMMYFUNCTION("""COMPUTED_VALUE"""),"Engagement Manager [Primary]")</f>
        <v>Engagement Manager [Primary]</v>
      </c>
    </row>
    <row r="337">
      <c r="A337" s="12" t="str">
        <f>IFERROR(__xludf.DUMMYFUNCTION("""COMPUTED_VALUE"""),"a0lVT000006HLKjYAO")</f>
        <v>a0lVT000006HLKjYAO</v>
      </c>
      <c r="B337" s="12" t="str">
        <f>IFERROR(__xludf.DUMMYFUNCTION("""COMPUTED_VALUE"""),"a0rVT00001BxD46YAF")</f>
        <v>a0rVT00001BxD46YAF</v>
      </c>
      <c r="C337" s="12" t="str">
        <f>IFERROR(__xludf.DUMMYFUNCTION("""COMPUTED_VALUE"""),"003VT00000qJHYfYAO")</f>
        <v>003VT00000qJHYfYAO</v>
      </c>
      <c r="D337" s="12" t="str">
        <f>IFERROR(__xludf.DUMMYFUNCTION("""COMPUTED_VALUE"""),"Sharvari Naik")</f>
        <v>Sharvari Naik</v>
      </c>
      <c r="E337" s="12" t="str">
        <f>IFERROR(__xludf.DUMMYFUNCTION("""COMPUTED_VALUE"""),"sharvari.naik@workday.com")</f>
        <v>sharvari.naik@workday.com</v>
      </c>
      <c r="F337" s="12" t="str">
        <f>IFERROR(__xludf.DUMMYFUNCTION("""COMPUTED_VALUE"""),"Engagement Manager [Secondary]")</f>
        <v>Engagement Manager [Secondary]</v>
      </c>
    </row>
    <row r="338">
      <c r="A338" s="12" t="str">
        <f>IFERROR(__xludf.DUMMYFUNCTION("""COMPUTED_VALUE"""),"a0lVT000006GtY9YAK")</f>
        <v>a0lVT000006GtY9YAK</v>
      </c>
      <c r="B338" s="12" t="str">
        <f>IFERROR(__xludf.DUMMYFUNCTION("""COMPUTED_VALUE"""),"a0rVT00001ByFGfYAN")</f>
        <v>a0rVT00001ByFGfYAN</v>
      </c>
      <c r="C338" s="12" t="str">
        <f>IFERROR(__xludf.DUMMYFUNCTION("""COMPUTED_VALUE"""),"003VT00000YF2KVYA1")</f>
        <v>003VT00000YF2KVYA1</v>
      </c>
      <c r="D338" s="12" t="str">
        <f>IFERROR(__xludf.DUMMYFUNCTION("""COMPUTED_VALUE"""),"Karishma Prajapati")</f>
        <v>Karishma Prajapati</v>
      </c>
      <c r="E338" s="12" t="str">
        <f>IFERROR(__xludf.DUMMYFUNCTION("""COMPUTED_VALUE"""),"karishma.prajapati@workday.com")</f>
        <v>karishma.prajapati@workday.com</v>
      </c>
      <c r="F338" s="12" t="str">
        <f>IFERROR(__xludf.DUMMYFUNCTION("""COMPUTED_VALUE"""),"Engagement Manager [Primary]")</f>
        <v>Engagement Manager [Primary]</v>
      </c>
    </row>
    <row r="339">
      <c r="A339" s="12" t="str">
        <f>IFERROR(__xludf.DUMMYFUNCTION("""COMPUTED_VALUE"""),"a0lVT000006HLHVYA4")</f>
        <v>a0lVT000006HLHVYA4</v>
      </c>
      <c r="B339" s="12" t="str">
        <f>IFERROR(__xludf.DUMMYFUNCTION("""COMPUTED_VALUE"""),"a0rVT00001ByFGfYAN")</f>
        <v>a0rVT00001ByFGfYAN</v>
      </c>
      <c r="C339" s="12" t="str">
        <f>IFERROR(__xludf.DUMMYFUNCTION("""COMPUTED_VALUE"""),"003VT00000qJHYfYAO")</f>
        <v>003VT00000qJHYfYAO</v>
      </c>
      <c r="D339" s="12" t="str">
        <f>IFERROR(__xludf.DUMMYFUNCTION("""COMPUTED_VALUE"""),"Sharvari Naik")</f>
        <v>Sharvari Naik</v>
      </c>
      <c r="E339" s="12" t="str">
        <f>IFERROR(__xludf.DUMMYFUNCTION("""COMPUTED_VALUE"""),"sharvari.naik@workday.com")</f>
        <v>sharvari.naik@workday.com</v>
      </c>
      <c r="F339" s="12" t="str">
        <f>IFERROR(__xludf.DUMMYFUNCTION("""COMPUTED_VALUE"""),"Engagement Manager [Secondary]")</f>
        <v>Engagement Manager [Secondary]</v>
      </c>
    </row>
    <row r="340">
      <c r="A340" s="12" t="str">
        <f>IFERROR(__xludf.DUMMYFUNCTION("""COMPUTED_VALUE"""),"a0lVT000006HLPZYA4")</f>
        <v>a0lVT000006HLPZYA4</v>
      </c>
      <c r="B340" s="12" t="str">
        <f>IFERROR(__xludf.DUMMYFUNCTION("""COMPUTED_VALUE"""),"a0rVT00001ByRCzYAN")</f>
        <v>a0rVT00001ByRCzYAN</v>
      </c>
      <c r="C340" s="12" t="str">
        <f>IFERROR(__xludf.DUMMYFUNCTION("""COMPUTED_VALUE"""),"003VT00000qJHYfYAO")</f>
        <v>003VT00000qJHYfYAO</v>
      </c>
      <c r="D340" s="12" t="str">
        <f>IFERROR(__xludf.DUMMYFUNCTION("""COMPUTED_VALUE"""),"Sharvari Naik")</f>
        <v>Sharvari Naik</v>
      </c>
      <c r="E340" s="12" t="str">
        <f>IFERROR(__xludf.DUMMYFUNCTION("""COMPUTED_VALUE"""),"sharvari.naik@workday.com")</f>
        <v>sharvari.naik@workday.com</v>
      </c>
      <c r="F340" s="12" t="str">
        <f>IFERROR(__xludf.DUMMYFUNCTION("""COMPUTED_VALUE"""),"Engagement Manager [Secondary]")</f>
        <v>Engagement Manager [Secondary]</v>
      </c>
    </row>
    <row r="341">
      <c r="A341" s="12" t="str">
        <f>IFERROR(__xludf.DUMMYFUNCTION("""COMPUTED_VALUE"""),"a0lVT000006GuHJYA0")</f>
        <v>a0lVT000006GuHJYA0</v>
      </c>
      <c r="B341" s="12" t="str">
        <f>IFERROR(__xludf.DUMMYFUNCTION("""COMPUTED_VALUE"""),"a0rVT00001ByRCzYAN")</f>
        <v>a0rVT00001ByRCzYAN</v>
      </c>
      <c r="C341" s="12" t="str">
        <f>IFERROR(__xludf.DUMMYFUNCTION("""COMPUTED_VALUE"""),"003VT00000YF2KVYA1")</f>
        <v>003VT00000YF2KVYA1</v>
      </c>
      <c r="D341" s="12" t="str">
        <f>IFERROR(__xludf.DUMMYFUNCTION("""COMPUTED_VALUE"""),"Karishma Prajapati")</f>
        <v>Karishma Prajapati</v>
      </c>
      <c r="E341" s="12" t="str">
        <f>IFERROR(__xludf.DUMMYFUNCTION("""COMPUTED_VALUE"""),"karishma.prajapati@workday.com")</f>
        <v>karishma.prajapati@workday.com</v>
      </c>
      <c r="F341" s="12" t="str">
        <f>IFERROR(__xludf.DUMMYFUNCTION("""COMPUTED_VALUE"""),"Engagement Manager [Primary]")</f>
        <v>Engagement Manager [Primary]</v>
      </c>
    </row>
    <row r="342">
      <c r="A342" s="12" t="str">
        <f>IFERROR(__xludf.DUMMYFUNCTION("""COMPUTED_VALUE"""),"a0lVT000006METtYAO")</f>
        <v>a0lVT000006METtYAO</v>
      </c>
      <c r="B342" s="12" t="str">
        <f>IFERROR(__xludf.DUMMYFUNCTION("""COMPUTED_VALUE"""),"a0rVT00001BzrlJYAR")</f>
        <v>a0rVT00001BzrlJYAR</v>
      </c>
      <c r="C342" s="12" t="str">
        <f>IFERROR(__xludf.DUMMYFUNCTION("""COMPUTED_VALUE"""),"0034X00003JsNpYQAV")</f>
        <v>0034X00003JsNpYQAV</v>
      </c>
      <c r="D342" s="12" t="str">
        <f>IFERROR(__xludf.DUMMYFUNCTION("""COMPUTED_VALUE"""),"Dhaval Rana")</f>
        <v>Dhaval Rana</v>
      </c>
      <c r="E342" s="12" t="str">
        <f>IFERROR(__xludf.DUMMYFUNCTION("""COMPUTED_VALUE"""),"dhaval.rana@workday.com")</f>
        <v>dhaval.rana@workday.com</v>
      </c>
      <c r="F342" s="12" t="str">
        <f>IFERROR(__xludf.DUMMYFUNCTION("""COMPUTED_VALUE"""),"Engagement Manager [Primary]")</f>
        <v>Engagement Manager [Primary]</v>
      </c>
    </row>
    <row r="343">
      <c r="A343" s="12" t="str">
        <f>IFERROR(__xludf.DUMMYFUNCTION("""COMPUTED_VALUE"""),"a0lVT000006InBhYAK")</f>
        <v>a0lVT000006InBhYAK</v>
      </c>
      <c r="B343" s="12" t="str">
        <f>IFERROR(__xludf.DUMMYFUNCTION("""COMPUTED_VALUE"""),"a0rVT00001CPx3zYAD")</f>
        <v>a0rVT00001CPx3zYAD</v>
      </c>
      <c r="C343" s="12" t="str">
        <f>IFERROR(__xludf.DUMMYFUNCTION("""COMPUTED_VALUE"""),"0031B00002r8QhhQAE")</f>
        <v>0031B00002r8QhhQAE</v>
      </c>
      <c r="D343" s="12" t="str">
        <f>IFERROR(__xludf.DUMMYFUNCTION("""COMPUTED_VALUE"""),"Curtis Carter")</f>
        <v>Curtis Carter</v>
      </c>
      <c r="E343" s="12" t="str">
        <f>IFERROR(__xludf.DUMMYFUNCTION("""COMPUTED_VALUE"""),"curtis.carter@workday.com")</f>
        <v>curtis.carter@workday.com</v>
      </c>
      <c r="F343" s="12" t="str">
        <f>IFERROR(__xludf.DUMMYFUNCTION("""COMPUTED_VALUE"""),"Engagement Manager [Primary]")</f>
        <v>Engagement Manager [Primary]</v>
      </c>
    </row>
    <row r="344">
      <c r="A344" s="12" t="str">
        <f>IFERROR(__xludf.DUMMYFUNCTION("""COMPUTED_VALUE"""),"a0lVT000006Nas9YAC")</f>
        <v>a0lVT000006Nas9YAC</v>
      </c>
      <c r="B344" s="12" t="str">
        <f>IFERROR(__xludf.DUMMYFUNCTION("""COMPUTED_VALUE"""),"a0rVT00001CkOfpYAF")</f>
        <v>a0rVT00001CkOfpYAF</v>
      </c>
      <c r="C344" s="12" t="str">
        <f>IFERROR(__xludf.DUMMYFUNCTION("""COMPUTED_VALUE"""),"0034X00003EtGr8QAF")</f>
        <v>0034X00003EtGr8QAF</v>
      </c>
      <c r="D344" s="12" t="str">
        <f>IFERROR(__xludf.DUMMYFUNCTION("""COMPUTED_VALUE"""),"Aaron Barnes")</f>
        <v>Aaron Barnes</v>
      </c>
      <c r="E344" s="12" t="str">
        <f>IFERROR(__xludf.DUMMYFUNCTION("""COMPUTED_VALUE"""),"aaron.barnes@workday.com")</f>
        <v>aaron.barnes@workday.com</v>
      </c>
      <c r="F344" s="12" t="str">
        <f>IFERROR(__xludf.DUMMYFUNCTION("""COMPUTED_VALUE"""),"Engagement Manager [Secondary]")</f>
        <v>Engagement Manager [Secondary]</v>
      </c>
    </row>
    <row r="345">
      <c r="A345" s="12" t="str">
        <f>IFERROR(__xludf.DUMMYFUNCTION("""COMPUTED_VALUE"""),"a0lVT000006K3pVYAS")</f>
        <v>a0lVT000006K3pVYAS</v>
      </c>
      <c r="B345" s="12" t="str">
        <f>IFERROR(__xludf.DUMMYFUNCTION("""COMPUTED_VALUE"""),"a0rVT00001CkOfpYAF")</f>
        <v>a0rVT00001CkOfpYAF</v>
      </c>
      <c r="C345" s="12" t="str">
        <f>IFERROR(__xludf.DUMMYFUNCTION("""COMPUTED_VALUE"""),"003VT00000fcE3zYAE")</f>
        <v>003VT00000fcE3zYAE</v>
      </c>
      <c r="D345" s="12" t="str">
        <f>IFERROR(__xludf.DUMMYFUNCTION("""COMPUTED_VALUE"""),"Taylor Mitchell")</f>
        <v>Taylor Mitchell</v>
      </c>
      <c r="E345" s="12" t="str">
        <f>IFERROR(__xludf.DUMMYFUNCTION("""COMPUTED_VALUE"""),"taylor.mitchell@workday.com")</f>
        <v>taylor.mitchell@workday.com</v>
      </c>
      <c r="F345" s="12" t="str">
        <f>IFERROR(__xludf.DUMMYFUNCTION("""COMPUTED_VALUE"""),"Engagement Manager [Primary]")</f>
        <v>Engagement Manager [Primary]</v>
      </c>
    </row>
    <row r="346">
      <c r="A346" s="12" t="str">
        <f>IFERROR(__xludf.DUMMYFUNCTION("""COMPUTED_VALUE"""),"a0lVT000006KEeTYAW")</f>
        <v>a0lVT000006KEeTYAW</v>
      </c>
      <c r="B346" s="12" t="str">
        <f>IFERROR(__xludf.DUMMYFUNCTION("""COMPUTED_VALUE"""),"a0rVT00001Co3CzYAJ")</f>
        <v>a0rVT00001Co3CzYAJ</v>
      </c>
      <c r="C346" s="12" t="str">
        <f>IFERROR(__xludf.DUMMYFUNCTION("""COMPUTED_VALUE"""),"0034X00003JsNpYQAV")</f>
        <v>0034X00003JsNpYQAV</v>
      </c>
      <c r="D346" s="12" t="str">
        <f>IFERROR(__xludf.DUMMYFUNCTION("""COMPUTED_VALUE"""),"Dhaval Rana")</f>
        <v>Dhaval Rana</v>
      </c>
      <c r="E346" s="12" t="str">
        <f>IFERROR(__xludf.DUMMYFUNCTION("""COMPUTED_VALUE"""),"dhaval.rana@workday.com")</f>
        <v>dhaval.rana@workday.com</v>
      </c>
      <c r="F346" s="12" t="str">
        <f>IFERROR(__xludf.DUMMYFUNCTION("""COMPUTED_VALUE"""),"Engagement Manager [Primary]")</f>
        <v>Engagement Manager [Primary]</v>
      </c>
    </row>
    <row r="347">
      <c r="A347" s="12" t="str">
        <f>IFERROR(__xludf.DUMMYFUNCTION("""COMPUTED_VALUE"""),"a0lVT000006KEkvYAG")</f>
        <v>a0lVT000006KEkvYAG</v>
      </c>
      <c r="B347" s="12" t="str">
        <f>IFERROR(__xludf.DUMMYFUNCTION("""COMPUTED_VALUE"""),"a0rVT00001Co5l3YAB")</f>
        <v>a0rVT00001Co5l3YAB</v>
      </c>
      <c r="C347" s="12" t="str">
        <f>IFERROR(__xludf.DUMMYFUNCTION("""COMPUTED_VALUE"""),"0034X00003JsNpYQAV")</f>
        <v>0034X00003JsNpYQAV</v>
      </c>
      <c r="D347" s="12" t="str">
        <f>IFERROR(__xludf.DUMMYFUNCTION("""COMPUTED_VALUE"""),"Dhaval Rana")</f>
        <v>Dhaval Rana</v>
      </c>
      <c r="E347" s="12" t="str">
        <f>IFERROR(__xludf.DUMMYFUNCTION("""COMPUTED_VALUE"""),"dhaval.rana@workday.com")</f>
        <v>dhaval.rana@workday.com</v>
      </c>
      <c r="F347" s="12" t="str">
        <f>IFERROR(__xludf.DUMMYFUNCTION("""COMPUTED_VALUE"""),"Engagement Manager [Primary]")</f>
        <v>Engagement Manager [Primary]</v>
      </c>
    </row>
    <row r="348">
      <c r="A348" s="12" t="str">
        <f>IFERROR(__xludf.DUMMYFUNCTION("""COMPUTED_VALUE"""),"a0lVT000006KFc9YAG")</f>
        <v>a0lVT000006KFc9YAG</v>
      </c>
      <c r="B348" s="12" t="str">
        <f>IFERROR(__xludf.DUMMYFUNCTION("""COMPUTED_VALUE"""),"a0rVT00001CoK2XYAV")</f>
        <v>a0rVT00001CoK2XYAV</v>
      </c>
      <c r="C348" s="12" t="str">
        <f>IFERROR(__xludf.DUMMYFUNCTION("""COMPUTED_VALUE"""),"0034X00003JsNpYQAV")</f>
        <v>0034X00003JsNpYQAV</v>
      </c>
      <c r="D348" s="12" t="str">
        <f>IFERROR(__xludf.DUMMYFUNCTION("""COMPUTED_VALUE"""),"Dhaval Rana")</f>
        <v>Dhaval Rana</v>
      </c>
      <c r="E348" s="12" t="str">
        <f>IFERROR(__xludf.DUMMYFUNCTION("""COMPUTED_VALUE"""),"dhaval.rana@workday.com")</f>
        <v>dhaval.rana@workday.com</v>
      </c>
      <c r="F348" s="12" t="str">
        <f>IFERROR(__xludf.DUMMYFUNCTION("""COMPUTED_VALUE"""),"Engagement Manager [Primary]")</f>
        <v>Engagement Manager [Primary]</v>
      </c>
    </row>
    <row r="349">
      <c r="A349" s="12" t="str">
        <f>IFERROR(__xludf.DUMMYFUNCTION("""COMPUTED_VALUE"""),"a0lVT000006KFkDYAW")</f>
        <v>a0lVT000006KFkDYAW</v>
      </c>
      <c r="B349" s="12" t="str">
        <f>IFERROR(__xludf.DUMMYFUNCTION("""COMPUTED_VALUE"""),"a0rVT00001CoMXNYA3")</f>
        <v>a0rVT00001CoMXNYA3</v>
      </c>
      <c r="C349" s="12" t="str">
        <f>IFERROR(__xludf.DUMMYFUNCTION("""COMPUTED_VALUE"""),"0034X00003JsNpYQAV")</f>
        <v>0034X00003JsNpYQAV</v>
      </c>
      <c r="D349" s="12" t="str">
        <f>IFERROR(__xludf.DUMMYFUNCTION("""COMPUTED_VALUE"""),"Dhaval Rana")</f>
        <v>Dhaval Rana</v>
      </c>
      <c r="E349" s="12" t="str">
        <f>IFERROR(__xludf.DUMMYFUNCTION("""COMPUTED_VALUE"""),"dhaval.rana@workday.com")</f>
        <v>dhaval.rana@workday.com</v>
      </c>
      <c r="F349" s="12" t="str">
        <f>IFERROR(__xludf.DUMMYFUNCTION("""COMPUTED_VALUE"""),"Engagement Manager [Primary]")</f>
        <v>Engagement Manager [Primary]</v>
      </c>
    </row>
    <row r="350">
      <c r="A350" s="12" t="str">
        <f>IFERROR(__xludf.DUMMYFUNCTION("""COMPUTED_VALUE"""),"a0lVT000006MvozYAC")</f>
        <v>a0lVT000006MvozYAC</v>
      </c>
      <c r="B350" s="12" t="str">
        <f>IFERROR(__xludf.DUMMYFUNCTION("""COMPUTED_VALUE"""),"a0rVT00001DIjoHYAT")</f>
        <v>a0rVT00001DIjoHYAT</v>
      </c>
      <c r="C350" s="12" t="str">
        <f>IFERROR(__xludf.DUMMYFUNCTION("""COMPUTED_VALUE"""),"0034X00003GLjtLQAT")</f>
        <v>0034X00003GLjtLQAT</v>
      </c>
      <c r="D350" s="12" t="str">
        <f>IFERROR(__xludf.DUMMYFUNCTION("""COMPUTED_VALUE"""),"Aleksandra Toulemonde")</f>
        <v>Aleksandra Toulemonde</v>
      </c>
      <c r="E350" s="12" t="str">
        <f>IFERROR(__xludf.DUMMYFUNCTION("""COMPUTED_VALUE"""),"aleksandra.toulemond@workday.com")</f>
        <v>aleksandra.toulemond@workday.com</v>
      </c>
      <c r="F350" s="12" t="str">
        <f>IFERROR(__xludf.DUMMYFUNCTION("""COMPUTED_VALUE"""),"Engagement Manager [Primary]")</f>
        <v>Engagement Manager [Primary]</v>
      </c>
    </row>
    <row r="351">
      <c r="A351" s="12" t="str">
        <f>IFERROR(__xludf.DUMMYFUNCTION("""COMPUTED_VALUE"""),"a0lVT000006MvtpYAC")</f>
        <v>a0lVT000006MvtpYAC</v>
      </c>
      <c r="B351" s="12" t="str">
        <f>IFERROR(__xludf.DUMMYFUNCTION("""COMPUTED_VALUE"""),"a0rVT00001DIjoHYAT")</f>
        <v>a0rVT00001DIjoHYAT</v>
      </c>
      <c r="C351" s="12" t="str">
        <f>IFERROR(__xludf.DUMMYFUNCTION("""COMPUTED_VALUE"""),"00380000021wifiAAA")</f>
        <v>00380000021wifiAAA</v>
      </c>
      <c r="D351" s="12" t="str">
        <f>IFERROR(__xludf.DUMMYFUNCTION("""COMPUTED_VALUE"""),"Keith Lawless")</f>
        <v>Keith Lawless</v>
      </c>
      <c r="E351" s="12" t="str">
        <f>IFERROR(__xludf.DUMMYFUNCTION("""COMPUTED_VALUE"""),"keith.lawless@workday.com")</f>
        <v>keith.lawless@workday.com</v>
      </c>
      <c r="F351" s="12" t="str">
        <f>IFERROR(__xludf.DUMMYFUNCTION("""COMPUTED_VALUE"""),"Deployment Sponsor")</f>
        <v>Deployment Sponsor</v>
      </c>
    </row>
    <row r="352">
      <c r="A352" s="12" t="str">
        <f>IFERROR(__xludf.DUMMYFUNCTION("""COMPUTED_VALUE"""),"a0lVT000006N9dRYAS")</f>
        <v>a0lVT000006N9dRYAS</v>
      </c>
      <c r="B352" s="12" t="str">
        <f>IFERROR(__xludf.DUMMYFUNCTION("""COMPUTED_VALUE"""),"a0rVT00001DMM6jYAH")</f>
        <v>a0rVT00001DMM6jYAH</v>
      </c>
      <c r="C352" s="12" t="str">
        <f>IFERROR(__xludf.DUMMYFUNCTION("""COMPUTED_VALUE"""),"003VT00000twDGXYA2")</f>
        <v>003VT00000twDGXYA2</v>
      </c>
      <c r="D352" s="12" t="str">
        <f>IFERROR(__xludf.DUMMYFUNCTION("""COMPUTED_VALUE"""),"Alexandra Reischl")</f>
        <v>Alexandra Reischl</v>
      </c>
      <c r="E352" s="12" t="str">
        <f>IFERROR(__xludf.DUMMYFUNCTION("""COMPUTED_VALUE"""),"alex.reischl@workday.com")</f>
        <v>alex.reischl@workday.com</v>
      </c>
      <c r="F352" s="12" t="str">
        <f>IFERROR(__xludf.DUMMYFUNCTION("""COMPUTED_VALUE"""),"Engagement Manager [Primary]")</f>
        <v>Engagement Manager [Primary]</v>
      </c>
    </row>
    <row r="353">
      <c r="A353" s="12" t="str">
        <f>IFERROR(__xludf.DUMMYFUNCTION("""COMPUTED_VALUE"""),"a0lVT000006NA86YAG")</f>
        <v>a0lVT000006NA86YAG</v>
      </c>
      <c r="B353" s="12" t="str">
        <f>IFERROR(__xludf.DUMMYFUNCTION("""COMPUTED_VALUE"""),"a0rVT00001DMSm1YAH")</f>
        <v>a0rVT00001DMSm1YAH</v>
      </c>
      <c r="C353" s="12" t="str">
        <f>IFERROR(__xludf.DUMMYFUNCTION("""COMPUTED_VALUE"""),"0034X00003T12iNQAR")</f>
        <v>0034X00003T12iNQAR</v>
      </c>
      <c r="D353" s="12" t="str">
        <f>IFERROR(__xludf.DUMMYFUNCTION("""COMPUTED_VALUE"""),"Niraj Pradhan")</f>
        <v>Niraj Pradhan</v>
      </c>
      <c r="E353" s="12" t="str">
        <f>IFERROR(__xludf.DUMMYFUNCTION("""COMPUTED_VALUE"""),"niraj.pradhan@workday.com")</f>
        <v>niraj.pradhan@workday.com</v>
      </c>
      <c r="F353" s="12" t="str">
        <f>IFERROR(__xludf.DUMMYFUNCTION("""COMPUTED_VALUE"""),"Engagement Manager [Secondary]")</f>
        <v>Engagement Manager [Secondary]</v>
      </c>
    </row>
    <row r="354">
      <c r="A354" s="12" t="str">
        <f>IFERROR(__xludf.DUMMYFUNCTION("""COMPUTED_VALUE"""),"a0lVT000006NAMbYAO")</f>
        <v>a0lVT000006NAMbYAO</v>
      </c>
      <c r="B354" s="12" t="str">
        <f>IFERROR(__xludf.DUMMYFUNCTION("""COMPUTED_VALUE"""),"a0rVT00001DMSm1YAH")</f>
        <v>a0rVT00001DMSm1YAH</v>
      </c>
      <c r="C354" s="12" t="str">
        <f>IFERROR(__xludf.DUMMYFUNCTION("""COMPUTED_VALUE"""),"0034X00003ErzzBQAR")</f>
        <v>0034X00003ErzzBQAR</v>
      </c>
      <c r="D354" s="12" t="str">
        <f>IFERROR(__xludf.DUMMYFUNCTION("""COMPUTED_VALUE"""),"Ashvini Khade")</f>
        <v>Ashvini Khade</v>
      </c>
      <c r="E354" s="12" t="str">
        <f>IFERROR(__xludf.DUMMYFUNCTION("""COMPUTED_VALUE"""),"ashvini.khade@workday.com")</f>
        <v>ashvini.khade@workday.com</v>
      </c>
      <c r="F354" s="12" t="str">
        <f>IFERROR(__xludf.DUMMYFUNCTION("""COMPUTED_VALUE"""),"Engagement Manager [Primary]")</f>
        <v>Engagement Manager [Primary]</v>
      </c>
    </row>
    <row r="355">
      <c r="A355" s="12" t="str">
        <f>IFERROR(__xludf.DUMMYFUNCTION("""COMPUTED_VALUE"""),"a0lVT000006PafxYAC")</f>
        <v>a0lVT000006PafxYAC</v>
      </c>
      <c r="B355" s="12" t="str">
        <f>IFERROR(__xludf.DUMMYFUNCTION("""COMPUTED_VALUE"""),"a0rVT00001DMU7VYAX")</f>
        <v>a0rVT00001DMU7VYAX</v>
      </c>
      <c r="C355" s="12" t="str">
        <f>IFERROR(__xludf.DUMMYFUNCTION("""COMPUTED_VALUE"""),"0031B00002gdtgOQAQ")</f>
        <v>0031B00002gdtgOQAQ</v>
      </c>
      <c r="D355" s="12" t="str">
        <f>IFERROR(__xludf.DUMMYFUNCTION("""COMPUTED_VALUE"""),"Aaron Stetts")</f>
        <v>Aaron Stetts</v>
      </c>
      <c r="E355" s="12" t="str">
        <f>IFERROR(__xludf.DUMMYFUNCTION("""COMPUTED_VALUE"""),"aaron.stetts@meijer.com")</f>
        <v>aaron.stetts@meijer.com</v>
      </c>
      <c r="F355" s="12" t="str">
        <f>IFERROR(__xludf.DUMMYFUNCTION("""COMPUTED_VALUE"""),"Project Manager [Customer]")</f>
        <v>Project Manager [Customer]</v>
      </c>
    </row>
    <row r="356">
      <c r="A356" s="12" t="str">
        <f>IFERROR(__xludf.DUMMYFUNCTION("""COMPUTED_VALUE"""),"a0lVT000006Pao1YAC")</f>
        <v>a0lVT000006Pao1YAC</v>
      </c>
      <c r="B356" s="12" t="str">
        <f>IFERROR(__xludf.DUMMYFUNCTION("""COMPUTED_VALUE"""),"a0rVT00001DMU7VYAX")</f>
        <v>a0rVT00001DMU7VYAX</v>
      </c>
      <c r="C356" s="12" t="str">
        <f>IFERROR(__xludf.DUMMYFUNCTION("""COMPUTED_VALUE"""),"0034X00003RELJeQAP")</f>
        <v>0034X00003RELJeQAP</v>
      </c>
      <c r="D356" s="12" t="str">
        <f>IFERROR(__xludf.DUMMYFUNCTION("""COMPUTED_VALUE"""),"John Schneider")</f>
        <v>John Schneider</v>
      </c>
      <c r="E356" s="12" t="str">
        <f>IFERROR(__xludf.DUMMYFUNCTION("""COMPUTED_VALUE"""),"john.schneider@meijer.com")</f>
        <v>john.schneider@meijer.com</v>
      </c>
      <c r="F356" s="12" t="str">
        <f>IFERROR(__xludf.DUMMYFUNCTION("""COMPUTED_VALUE"""),"Executive Sponsor")</f>
        <v>Executive Sponsor</v>
      </c>
    </row>
    <row r="357">
      <c r="A357" s="12" t="str">
        <f>IFERROR(__xludf.DUMMYFUNCTION("""COMPUTED_VALUE"""),"a0lVT000006NyxmYAC")</f>
        <v>a0lVT000006NyxmYAC</v>
      </c>
      <c r="B357" s="12" t="str">
        <f>IFERROR(__xludf.DUMMYFUNCTION("""COMPUTED_VALUE"""),"a0rVT00001DWjN0YAL")</f>
        <v>a0rVT00001DWjN0YAL</v>
      </c>
      <c r="C357" s="12" t="str">
        <f>IFERROR(__xludf.DUMMYFUNCTION("""COMPUTED_VALUE"""),"0034X00003EtGr8QAF")</f>
        <v>0034X00003EtGr8QAF</v>
      </c>
      <c r="D357" s="12" t="str">
        <f>IFERROR(__xludf.DUMMYFUNCTION("""COMPUTED_VALUE"""),"Aaron Barnes")</f>
        <v>Aaron Barnes</v>
      </c>
      <c r="E357" s="12" t="str">
        <f>IFERROR(__xludf.DUMMYFUNCTION("""COMPUTED_VALUE"""),"aaron.barnes@workday.com")</f>
        <v>aaron.barnes@workday.com</v>
      </c>
      <c r="F357" s="12" t="str">
        <f>IFERROR(__xludf.DUMMYFUNCTION("""COMPUTED_VALUE"""),"Engagement Manager [Primary]")</f>
        <v>Engagement Manager [Primary]</v>
      </c>
    </row>
    <row r="358">
      <c r="A358" s="12" t="str">
        <f>IFERROR(__xludf.DUMMYFUNCTION("""COMPUTED_VALUE"""),"a0lVT000006O3XaYAK")</f>
        <v>a0lVT000006O3XaYAK</v>
      </c>
      <c r="B358" s="12" t="str">
        <f>IFERROR(__xludf.DUMMYFUNCTION("""COMPUTED_VALUE"""),"a0rVT00001DWnJHYA1")</f>
        <v>a0rVT00001DWnJHYA1</v>
      </c>
      <c r="C358" s="12" t="str">
        <f>IFERROR(__xludf.DUMMYFUNCTION("""COMPUTED_VALUE"""),"0034X00003EtGr8QAF")</f>
        <v>0034X00003EtGr8QAF</v>
      </c>
      <c r="D358" s="12" t="str">
        <f>IFERROR(__xludf.DUMMYFUNCTION("""COMPUTED_VALUE"""),"Aaron Barnes")</f>
        <v>Aaron Barnes</v>
      </c>
      <c r="E358" s="12" t="str">
        <f>IFERROR(__xludf.DUMMYFUNCTION("""COMPUTED_VALUE"""),"aaron.barnes@workday.com")</f>
        <v>aaron.barnes@workday.com</v>
      </c>
      <c r="F358" s="12" t="str">
        <f>IFERROR(__xludf.DUMMYFUNCTION("""COMPUTED_VALUE"""),"Engagement Manager [Primary]")</f>
        <v>Engagement Manager [Primary]</v>
      </c>
    </row>
    <row r="359">
      <c r="A359" s="12" t="str">
        <f>IFERROR(__xludf.DUMMYFUNCTION("""COMPUTED_VALUE"""),"a0lVT000006O6TrYAK")</f>
        <v>a0lVT000006O6TrYAK</v>
      </c>
      <c r="B359" s="12" t="str">
        <f>IFERROR(__xludf.DUMMYFUNCTION("""COMPUTED_VALUE"""),"a0rVT00001DWrb7YAD")</f>
        <v>a0rVT00001DWrb7YAD</v>
      </c>
      <c r="C359" s="12" t="str">
        <f>IFERROR(__xludf.DUMMYFUNCTION("""COMPUTED_VALUE"""),"0034X00003EtGr8QAF")</f>
        <v>0034X00003EtGr8QAF</v>
      </c>
      <c r="D359" s="12" t="str">
        <f>IFERROR(__xludf.DUMMYFUNCTION("""COMPUTED_VALUE"""),"Aaron Barnes")</f>
        <v>Aaron Barnes</v>
      </c>
      <c r="E359" s="12" t="str">
        <f>IFERROR(__xludf.DUMMYFUNCTION("""COMPUTED_VALUE"""),"aaron.barnes@workday.com")</f>
        <v>aaron.barnes@workday.com</v>
      </c>
      <c r="F359" s="12" t="str">
        <f>IFERROR(__xludf.DUMMYFUNCTION("""COMPUTED_VALUE"""),"Engagement Manager [Primary]")</f>
        <v>Engagement Manager [Primary]</v>
      </c>
    </row>
    <row r="360">
      <c r="A360" s="12" t="str">
        <f>IFERROR(__xludf.DUMMYFUNCTION("""COMPUTED_VALUE"""),"a0lVT000006O5G2YAK")</f>
        <v>a0lVT000006O5G2YAK</v>
      </c>
      <c r="B360" s="12" t="str">
        <f>IFERROR(__xludf.DUMMYFUNCTION("""COMPUTED_VALUE"""),"a0rVT00001DWt2wYAD")</f>
        <v>a0rVT00001DWt2wYAD</v>
      </c>
      <c r="C360" s="12" t="str">
        <f>IFERROR(__xludf.DUMMYFUNCTION("""COMPUTED_VALUE"""),"0034X00003EtGr8QAF")</f>
        <v>0034X00003EtGr8QAF</v>
      </c>
      <c r="D360" s="12" t="str">
        <f>IFERROR(__xludf.DUMMYFUNCTION("""COMPUTED_VALUE"""),"Aaron Barnes")</f>
        <v>Aaron Barnes</v>
      </c>
      <c r="E360" s="12" t="str">
        <f>IFERROR(__xludf.DUMMYFUNCTION("""COMPUTED_VALUE"""),"aaron.barnes@workday.com")</f>
        <v>aaron.barnes@workday.com</v>
      </c>
      <c r="F360" s="12" t="str">
        <f>IFERROR(__xludf.DUMMYFUNCTION("""COMPUTED_VALUE"""),"Engagement Manager [Primary]")</f>
        <v>Engagement Manager [Primary]</v>
      </c>
    </row>
    <row r="361">
      <c r="A361" s="12" t="str">
        <f>IFERROR(__xludf.DUMMYFUNCTION("""COMPUTED_VALUE"""),"a0lVT000006O7xlYAC")</f>
        <v>a0lVT000006O7xlYAC</v>
      </c>
      <c r="B361" s="12" t="str">
        <f>IFERROR(__xludf.DUMMYFUNCTION("""COMPUTED_VALUE"""),"a0rVT00001DWu2KYAT")</f>
        <v>a0rVT00001DWu2KYAT</v>
      </c>
      <c r="C361" s="12" t="str">
        <f>IFERROR(__xludf.DUMMYFUNCTION("""COMPUTED_VALUE"""),"0034X00003EtGr8QAF")</f>
        <v>0034X00003EtGr8QAF</v>
      </c>
      <c r="D361" s="12" t="str">
        <f>IFERROR(__xludf.DUMMYFUNCTION("""COMPUTED_VALUE"""),"Aaron Barnes")</f>
        <v>Aaron Barnes</v>
      </c>
      <c r="E361" s="12" t="str">
        <f>IFERROR(__xludf.DUMMYFUNCTION("""COMPUTED_VALUE"""),"aaron.barnes@workday.com")</f>
        <v>aaron.barnes@workday.com</v>
      </c>
      <c r="F361" s="12" t="str">
        <f>IFERROR(__xludf.DUMMYFUNCTION("""COMPUTED_VALUE"""),"Engagement Manager [Primary]")</f>
        <v>Engagement Manager [Primary]</v>
      </c>
    </row>
    <row r="362">
      <c r="A362" s="12" t="str">
        <f>IFERROR(__xludf.DUMMYFUNCTION("""COMPUTED_VALUE"""),"a0lVT000006NvrtYAC")</f>
        <v>a0lVT000006NvrtYAC</v>
      </c>
      <c r="B362" s="12" t="str">
        <f>IFERROR(__xludf.DUMMYFUNCTION("""COMPUTED_VALUE"""),"a0rVT00001DWwqUYAT")</f>
        <v>a0rVT00001DWwqUYAT</v>
      </c>
      <c r="C362" s="12" t="str">
        <f>IFERROR(__xludf.DUMMYFUNCTION("""COMPUTED_VALUE"""),"0034X00003EtGr8QAF")</f>
        <v>0034X00003EtGr8QAF</v>
      </c>
      <c r="D362" s="12" t="str">
        <f>IFERROR(__xludf.DUMMYFUNCTION("""COMPUTED_VALUE"""),"Aaron Barnes")</f>
        <v>Aaron Barnes</v>
      </c>
      <c r="E362" s="12" t="str">
        <f>IFERROR(__xludf.DUMMYFUNCTION("""COMPUTED_VALUE"""),"aaron.barnes@workday.com")</f>
        <v>aaron.barnes@workday.com</v>
      </c>
      <c r="F362" s="12" t="str">
        <f>IFERROR(__xludf.DUMMYFUNCTION("""COMPUTED_VALUE"""),"Engagement Manager [Primary]")</f>
        <v>Engagement Manager [Primary]</v>
      </c>
    </row>
    <row r="363">
      <c r="A363" s="12" t="str">
        <f>IFERROR(__xludf.DUMMYFUNCTION("""COMPUTED_VALUE"""),"a0lVT000006O2LQYA0")</f>
        <v>a0lVT000006O2LQYA0</v>
      </c>
      <c r="B363" s="12" t="str">
        <f>IFERROR(__xludf.DUMMYFUNCTION("""COMPUTED_VALUE"""),"a0rVT00001DWwwwYAD")</f>
        <v>a0rVT00001DWwwwYAD</v>
      </c>
      <c r="C363" s="12" t="str">
        <f>IFERROR(__xludf.DUMMYFUNCTION("""COMPUTED_VALUE"""),"0034X00003EtGr8QAF")</f>
        <v>0034X00003EtGr8QAF</v>
      </c>
      <c r="D363" s="12" t="str">
        <f>IFERROR(__xludf.DUMMYFUNCTION("""COMPUTED_VALUE"""),"Aaron Barnes")</f>
        <v>Aaron Barnes</v>
      </c>
      <c r="E363" s="12" t="str">
        <f>IFERROR(__xludf.DUMMYFUNCTION("""COMPUTED_VALUE"""),"aaron.barnes@workday.com")</f>
        <v>aaron.barnes@workday.com</v>
      </c>
      <c r="F363" s="12" t="str">
        <f>IFERROR(__xludf.DUMMYFUNCTION("""COMPUTED_VALUE"""),"Engagement Manager [Primary]")</f>
        <v>Engagement Manager [Primary]</v>
      </c>
    </row>
    <row r="364">
      <c r="A364" s="12" t="str">
        <f>IFERROR(__xludf.DUMMYFUNCTION("""COMPUTED_VALUE"""),"a0lVT000006O8U1YAK")</f>
        <v>a0lVT000006O8U1YAK</v>
      </c>
      <c r="B364" s="12" t="str">
        <f>IFERROR(__xludf.DUMMYFUNCTION("""COMPUTED_VALUE"""),"a0rVT00001DWxeUYAT")</f>
        <v>a0rVT00001DWxeUYAT</v>
      </c>
      <c r="C364" s="12" t="str">
        <f>IFERROR(__xludf.DUMMYFUNCTION("""COMPUTED_VALUE"""),"0034X00003EtGr8QAF")</f>
        <v>0034X00003EtGr8QAF</v>
      </c>
      <c r="D364" s="12" t="str">
        <f>IFERROR(__xludf.DUMMYFUNCTION("""COMPUTED_VALUE"""),"Aaron Barnes")</f>
        <v>Aaron Barnes</v>
      </c>
      <c r="E364" s="12" t="str">
        <f>IFERROR(__xludf.DUMMYFUNCTION("""COMPUTED_VALUE"""),"aaron.barnes@workday.com")</f>
        <v>aaron.barnes@workday.com</v>
      </c>
      <c r="F364" s="12" t="str">
        <f>IFERROR(__xludf.DUMMYFUNCTION("""COMPUTED_VALUE"""),"Engagement Manager [Primary]")</f>
        <v>Engagement Manager [Primary]</v>
      </c>
    </row>
    <row r="365">
      <c r="A365" s="12" t="str">
        <f>IFERROR(__xludf.DUMMYFUNCTION("""COMPUTED_VALUE"""),"a0lVT000006NvOoYAK")</f>
        <v>a0lVT000006NvOoYAK</v>
      </c>
      <c r="B365" s="12" t="str">
        <f>IFERROR(__xludf.DUMMYFUNCTION("""COMPUTED_VALUE"""),"a0rVT00001DWxhkYAD")</f>
        <v>a0rVT00001DWxhkYAD</v>
      </c>
      <c r="C365" s="12" t="str">
        <f>IFERROR(__xludf.DUMMYFUNCTION("""COMPUTED_VALUE"""),"0034X00003EtGr8QAF")</f>
        <v>0034X00003EtGr8QAF</v>
      </c>
      <c r="D365" s="12" t="str">
        <f>IFERROR(__xludf.DUMMYFUNCTION("""COMPUTED_VALUE"""),"Aaron Barnes")</f>
        <v>Aaron Barnes</v>
      </c>
      <c r="E365" s="12" t="str">
        <f>IFERROR(__xludf.DUMMYFUNCTION("""COMPUTED_VALUE"""),"aaron.barnes@workday.com")</f>
        <v>aaron.barnes@workday.com</v>
      </c>
      <c r="F365" s="12" t="str">
        <f>IFERROR(__xludf.DUMMYFUNCTION("""COMPUTED_VALUE"""),"Engagement Manager [Primary]")</f>
        <v>Engagement Manager [Primary]</v>
      </c>
    </row>
    <row r="366">
      <c r="A366" s="12" t="str">
        <f>IFERROR(__xludf.DUMMYFUNCTION("""COMPUTED_VALUE"""),"a0lVT000006O1h8YAC")</f>
        <v>a0lVT000006O1h8YAC</v>
      </c>
      <c r="B366" s="12" t="str">
        <f>IFERROR(__xludf.DUMMYFUNCTION("""COMPUTED_VALUE"""),"a0rVT00001DWxt0YAD")</f>
        <v>a0rVT00001DWxt0YAD</v>
      </c>
      <c r="C366" s="12" t="str">
        <f>IFERROR(__xludf.DUMMYFUNCTION("""COMPUTED_VALUE"""),"0034X00003EtGr8QAF")</f>
        <v>0034X00003EtGr8QAF</v>
      </c>
      <c r="D366" s="12" t="str">
        <f>IFERROR(__xludf.DUMMYFUNCTION("""COMPUTED_VALUE"""),"Aaron Barnes")</f>
        <v>Aaron Barnes</v>
      </c>
      <c r="E366" s="12" t="str">
        <f>IFERROR(__xludf.DUMMYFUNCTION("""COMPUTED_VALUE"""),"aaron.barnes@workday.com")</f>
        <v>aaron.barnes@workday.com</v>
      </c>
      <c r="F366" s="12" t="str">
        <f>IFERROR(__xludf.DUMMYFUNCTION("""COMPUTED_VALUE"""),"Engagement Manager [Primary]")</f>
        <v>Engagement Manager [Primary]</v>
      </c>
    </row>
    <row r="367">
      <c r="A367" s="12" t="str">
        <f>IFERROR(__xludf.DUMMYFUNCTION("""COMPUTED_VALUE"""),"a0lVT000006NtJpYAK")</f>
        <v>a0lVT000006NtJpYAK</v>
      </c>
      <c r="B367" s="12" t="str">
        <f>IFERROR(__xludf.DUMMYFUNCTION("""COMPUTED_VALUE"""),"a0rVT00001DWyIkYAL")</f>
        <v>a0rVT00001DWyIkYAL</v>
      </c>
      <c r="C367" s="12" t="str">
        <f>IFERROR(__xludf.DUMMYFUNCTION("""COMPUTED_VALUE"""),"0034X00003EtGr8QAF")</f>
        <v>0034X00003EtGr8QAF</v>
      </c>
      <c r="D367" s="12" t="str">
        <f>IFERROR(__xludf.DUMMYFUNCTION("""COMPUTED_VALUE"""),"Aaron Barnes")</f>
        <v>Aaron Barnes</v>
      </c>
      <c r="E367" s="12" t="str">
        <f>IFERROR(__xludf.DUMMYFUNCTION("""COMPUTED_VALUE"""),"aaron.barnes@workday.com")</f>
        <v>aaron.barnes@workday.com</v>
      </c>
      <c r="F367" s="12" t="str">
        <f>IFERROR(__xludf.DUMMYFUNCTION("""COMPUTED_VALUE"""),"Engagement Manager [Primary]")</f>
        <v>Engagement Manager [Primary]</v>
      </c>
    </row>
    <row r="368">
      <c r="A368" s="12" t="str">
        <f>IFERROR(__xludf.DUMMYFUNCTION("""COMPUTED_VALUE"""),"a0lVT000006O1E5YAK")</f>
        <v>a0lVT000006O1E5YAK</v>
      </c>
      <c r="B368" s="12" t="str">
        <f>IFERROR(__xludf.DUMMYFUNCTION("""COMPUTED_VALUE"""),"a0rVT00001DWyfeYAD")</f>
        <v>a0rVT00001DWyfeYAD</v>
      </c>
      <c r="C368" s="12" t="str">
        <f>IFERROR(__xludf.DUMMYFUNCTION("""COMPUTED_VALUE"""),"0034X00003EtGr8QAF")</f>
        <v>0034X00003EtGr8QAF</v>
      </c>
      <c r="D368" s="12" t="str">
        <f>IFERROR(__xludf.DUMMYFUNCTION("""COMPUTED_VALUE"""),"Aaron Barnes")</f>
        <v>Aaron Barnes</v>
      </c>
      <c r="E368" s="12" t="str">
        <f>IFERROR(__xludf.DUMMYFUNCTION("""COMPUTED_VALUE"""),"aaron.barnes@workday.com")</f>
        <v>aaron.barnes@workday.com</v>
      </c>
      <c r="F368" s="12" t="str">
        <f>IFERROR(__xludf.DUMMYFUNCTION("""COMPUTED_VALUE"""),"Engagement Manager [Primary]")</f>
        <v>Engagement Manager [Primary]</v>
      </c>
    </row>
    <row r="369">
      <c r="A369" s="12" t="str">
        <f>IFERROR(__xludf.DUMMYFUNCTION("""COMPUTED_VALUE"""),"a0lVT000006O2wVYAS")</f>
        <v>a0lVT000006O2wVYAS</v>
      </c>
      <c r="B369" s="12" t="str">
        <f>IFERROR(__xludf.DUMMYFUNCTION("""COMPUTED_VALUE"""),"a0rVT00001DWz1zYAD")</f>
        <v>a0rVT00001DWz1zYAD</v>
      </c>
      <c r="C369" s="12" t="str">
        <f>IFERROR(__xludf.DUMMYFUNCTION("""COMPUTED_VALUE"""),"0034X00003EtGr8QAF")</f>
        <v>0034X00003EtGr8QAF</v>
      </c>
      <c r="D369" s="12" t="str">
        <f>IFERROR(__xludf.DUMMYFUNCTION("""COMPUTED_VALUE"""),"Aaron Barnes")</f>
        <v>Aaron Barnes</v>
      </c>
      <c r="E369" s="12" t="str">
        <f>IFERROR(__xludf.DUMMYFUNCTION("""COMPUTED_VALUE"""),"aaron.barnes@workday.com")</f>
        <v>aaron.barnes@workday.com</v>
      </c>
      <c r="F369" s="12" t="str">
        <f>IFERROR(__xludf.DUMMYFUNCTION("""COMPUTED_VALUE"""),"Engagement Manager [Primary]")</f>
        <v>Engagement Manager [Primary]</v>
      </c>
    </row>
    <row r="370">
      <c r="A370" s="12" t="str">
        <f>IFERROR(__xludf.DUMMYFUNCTION("""COMPUTED_VALUE"""),"a0lVT000006O5zDYAS")</f>
        <v>a0lVT000006O5zDYAS</v>
      </c>
      <c r="B370" s="12" t="str">
        <f>IFERROR(__xludf.DUMMYFUNCTION("""COMPUTED_VALUE"""),"a0rVT00001DWzEtYAL")</f>
        <v>a0rVT00001DWzEtYAL</v>
      </c>
      <c r="C370" s="12" t="str">
        <f>IFERROR(__xludf.DUMMYFUNCTION("""COMPUTED_VALUE"""),"0034X00003EtGr8QAF")</f>
        <v>0034X00003EtGr8QAF</v>
      </c>
      <c r="D370" s="12" t="str">
        <f>IFERROR(__xludf.DUMMYFUNCTION("""COMPUTED_VALUE"""),"Aaron Barnes")</f>
        <v>Aaron Barnes</v>
      </c>
      <c r="E370" s="12" t="str">
        <f>IFERROR(__xludf.DUMMYFUNCTION("""COMPUTED_VALUE"""),"aaron.barnes@workday.com")</f>
        <v>aaron.barnes@workday.com</v>
      </c>
      <c r="F370" s="12" t="str">
        <f>IFERROR(__xludf.DUMMYFUNCTION("""COMPUTED_VALUE"""),"Engagement Manager [Primary]")</f>
        <v>Engagement Manager [Primary]</v>
      </c>
    </row>
    <row r="371">
      <c r="A371" s="12" t="str">
        <f>IFERROR(__xludf.DUMMYFUNCTION("""COMPUTED_VALUE"""),"a0lVT000006O7w9YAC")</f>
        <v>a0lVT000006O7w9YAC</v>
      </c>
      <c r="B371" s="12" t="str">
        <f>IFERROR(__xludf.DUMMYFUNCTION("""COMPUTED_VALUE"""),"a0rVT00001DWzd4YAD")</f>
        <v>a0rVT00001DWzd4YAD</v>
      </c>
      <c r="C371" s="12" t="str">
        <f>IFERROR(__xludf.DUMMYFUNCTION("""COMPUTED_VALUE"""),"0034X00003EtGr8QAF")</f>
        <v>0034X00003EtGr8QAF</v>
      </c>
      <c r="D371" s="12" t="str">
        <f>IFERROR(__xludf.DUMMYFUNCTION("""COMPUTED_VALUE"""),"Aaron Barnes")</f>
        <v>Aaron Barnes</v>
      </c>
      <c r="E371" s="12" t="str">
        <f>IFERROR(__xludf.DUMMYFUNCTION("""COMPUTED_VALUE"""),"aaron.barnes@workday.com")</f>
        <v>aaron.barnes@workday.com</v>
      </c>
      <c r="F371" s="12" t="str">
        <f>IFERROR(__xludf.DUMMYFUNCTION("""COMPUTED_VALUE"""),"Engagement Manager [Primary]")</f>
        <v>Engagement Manager [Primary]</v>
      </c>
    </row>
    <row r="372">
      <c r="A372" s="12" t="str">
        <f>IFERROR(__xludf.DUMMYFUNCTION("""COMPUTED_VALUE"""),"a0lVT000006Nq49YAC")</f>
        <v>a0lVT000006Nq49YAC</v>
      </c>
      <c r="B372" s="12" t="str">
        <f>IFERROR(__xludf.DUMMYFUNCTION("""COMPUTED_VALUE"""),"a0rVT00001DWzhuYAD")</f>
        <v>a0rVT00001DWzhuYAD</v>
      </c>
      <c r="C372" s="12" t="str">
        <f>IFERROR(__xludf.DUMMYFUNCTION("""COMPUTED_VALUE"""),"0034X00003EtGr8QAF")</f>
        <v>0034X00003EtGr8QAF</v>
      </c>
      <c r="D372" s="12" t="str">
        <f>IFERROR(__xludf.DUMMYFUNCTION("""COMPUTED_VALUE"""),"Aaron Barnes")</f>
        <v>Aaron Barnes</v>
      </c>
      <c r="E372" s="12" t="str">
        <f>IFERROR(__xludf.DUMMYFUNCTION("""COMPUTED_VALUE"""),"aaron.barnes@workday.com")</f>
        <v>aaron.barnes@workday.com</v>
      </c>
      <c r="F372" s="12" t="str">
        <f>IFERROR(__xludf.DUMMYFUNCTION("""COMPUTED_VALUE"""),"Engagement Manager [Primary]")</f>
        <v>Engagement Manager [Primary]</v>
      </c>
    </row>
    <row r="373">
      <c r="A373" s="12" t="str">
        <f>IFERROR(__xludf.DUMMYFUNCTION("""COMPUTED_VALUE"""),"a0lVT000006NpjFYAS")</f>
        <v>a0lVT000006NpjFYAS</v>
      </c>
      <c r="B373" s="12" t="str">
        <f>IFERROR(__xludf.DUMMYFUNCTION("""COMPUTED_VALUE"""),"a0rVT00001DX0EAYA1")</f>
        <v>a0rVT00001DX0EAYA1</v>
      </c>
      <c r="C373" s="12" t="str">
        <f>IFERROR(__xludf.DUMMYFUNCTION("""COMPUTED_VALUE"""),"0034X00003EtGr8QAF")</f>
        <v>0034X00003EtGr8QAF</v>
      </c>
      <c r="D373" s="12" t="str">
        <f>IFERROR(__xludf.DUMMYFUNCTION("""COMPUTED_VALUE"""),"Aaron Barnes")</f>
        <v>Aaron Barnes</v>
      </c>
      <c r="E373" s="12" t="str">
        <f>IFERROR(__xludf.DUMMYFUNCTION("""COMPUTED_VALUE"""),"aaron.barnes@workday.com")</f>
        <v>aaron.barnes@workday.com</v>
      </c>
      <c r="F373" s="12" t="str">
        <f>IFERROR(__xludf.DUMMYFUNCTION("""COMPUTED_VALUE"""),"Engagement Manager [Primary]")</f>
        <v>Engagement Manager [Primary]</v>
      </c>
    </row>
    <row r="374">
      <c r="A374" s="12" t="str">
        <f>IFERROR(__xludf.DUMMYFUNCTION("""COMPUTED_VALUE"""),"a0lVT000006O2QDYA0")</f>
        <v>a0lVT000006O2QDYA0</v>
      </c>
      <c r="B374" s="12" t="str">
        <f>IFERROR(__xludf.DUMMYFUNCTION("""COMPUTED_VALUE"""),"a0rVT00001DX0qtYAD")</f>
        <v>a0rVT00001DX0qtYAD</v>
      </c>
      <c r="C374" s="12" t="str">
        <f>IFERROR(__xludf.DUMMYFUNCTION("""COMPUTED_VALUE"""),"0034X00003EtGr8QAF")</f>
        <v>0034X00003EtGr8QAF</v>
      </c>
      <c r="D374" s="12" t="str">
        <f>IFERROR(__xludf.DUMMYFUNCTION("""COMPUTED_VALUE"""),"Aaron Barnes")</f>
        <v>Aaron Barnes</v>
      </c>
      <c r="E374" s="12" t="str">
        <f>IFERROR(__xludf.DUMMYFUNCTION("""COMPUTED_VALUE"""),"aaron.barnes@workday.com")</f>
        <v>aaron.barnes@workday.com</v>
      </c>
      <c r="F374" s="12" t="str">
        <f>IFERROR(__xludf.DUMMYFUNCTION("""COMPUTED_VALUE"""),"Engagement Manager [Primary]")</f>
        <v>Engagement Manager [Primary]</v>
      </c>
    </row>
    <row r="375">
      <c r="A375" s="12" t="str">
        <f>IFERROR(__xludf.DUMMYFUNCTION("""COMPUTED_VALUE"""),"a0lVT000006NqP7YAK")</f>
        <v>a0lVT000006NqP7YAK</v>
      </c>
      <c r="B375" s="12" t="str">
        <f>IFERROR(__xludf.DUMMYFUNCTION("""COMPUTED_VALUE"""),"a0rVT00001DX0uPYAT")</f>
        <v>a0rVT00001DX0uPYAT</v>
      </c>
      <c r="C375" s="12" t="str">
        <f>IFERROR(__xludf.DUMMYFUNCTION("""COMPUTED_VALUE"""),"0034X00003EtGr8QAF")</f>
        <v>0034X00003EtGr8QAF</v>
      </c>
      <c r="D375" s="12" t="str">
        <f>IFERROR(__xludf.DUMMYFUNCTION("""COMPUTED_VALUE"""),"Aaron Barnes")</f>
        <v>Aaron Barnes</v>
      </c>
      <c r="E375" s="12" t="str">
        <f>IFERROR(__xludf.DUMMYFUNCTION("""COMPUTED_VALUE"""),"aaron.barnes@workday.com")</f>
        <v>aaron.barnes@workday.com</v>
      </c>
      <c r="F375" s="12" t="str">
        <f>IFERROR(__xludf.DUMMYFUNCTION("""COMPUTED_VALUE"""),"Engagement Manager [Primary]")</f>
        <v>Engagement Manager [Primary]</v>
      </c>
    </row>
    <row r="376">
      <c r="A376" s="12" t="str">
        <f>IFERROR(__xludf.DUMMYFUNCTION("""COMPUTED_VALUE"""),"a0lVT000006Ns17YAC")</f>
        <v>a0lVT000006Ns17YAC</v>
      </c>
      <c r="B376" s="12" t="str">
        <f>IFERROR(__xludf.DUMMYFUNCTION("""COMPUTED_VALUE"""),"a0rVT00001DX18cYAD")</f>
        <v>a0rVT00001DX18cYAD</v>
      </c>
      <c r="C376" s="12" t="str">
        <f>IFERROR(__xludf.DUMMYFUNCTION("""COMPUTED_VALUE"""),"0034X00003EtGr8QAF")</f>
        <v>0034X00003EtGr8QAF</v>
      </c>
      <c r="D376" s="12" t="str">
        <f>IFERROR(__xludf.DUMMYFUNCTION("""COMPUTED_VALUE"""),"Aaron Barnes")</f>
        <v>Aaron Barnes</v>
      </c>
      <c r="E376" s="12" t="str">
        <f>IFERROR(__xludf.DUMMYFUNCTION("""COMPUTED_VALUE"""),"aaron.barnes@workday.com")</f>
        <v>aaron.barnes@workday.com</v>
      </c>
      <c r="F376" s="12" t="str">
        <f>IFERROR(__xludf.DUMMYFUNCTION("""COMPUTED_VALUE"""),"Engagement Manager [Primary]")</f>
        <v>Engagement Manager [Primary]</v>
      </c>
    </row>
    <row r="377">
      <c r="A377" s="12" t="str">
        <f>IFERROR(__xludf.DUMMYFUNCTION("""COMPUTED_VALUE"""),"a0lVT000006O4lNYAS")</f>
        <v>a0lVT000006O4lNYAS</v>
      </c>
      <c r="B377" s="12" t="str">
        <f>IFERROR(__xludf.DUMMYFUNCTION("""COMPUTED_VALUE"""),"a0rVT00001DX1BuYAL")</f>
        <v>a0rVT00001DX1BuYAL</v>
      </c>
      <c r="C377" s="12" t="str">
        <f>IFERROR(__xludf.DUMMYFUNCTION("""COMPUTED_VALUE"""),"0034X00003EtGr8QAF")</f>
        <v>0034X00003EtGr8QAF</v>
      </c>
      <c r="D377" s="12" t="str">
        <f>IFERROR(__xludf.DUMMYFUNCTION("""COMPUTED_VALUE"""),"Aaron Barnes")</f>
        <v>Aaron Barnes</v>
      </c>
      <c r="E377" s="12" t="str">
        <f>IFERROR(__xludf.DUMMYFUNCTION("""COMPUTED_VALUE"""),"aaron.barnes@workday.com")</f>
        <v>aaron.barnes@workday.com</v>
      </c>
      <c r="F377" s="12" t="str">
        <f>IFERROR(__xludf.DUMMYFUNCTION("""COMPUTED_VALUE"""),"Engagement Manager [Primary]")</f>
        <v>Engagement Manager [Primary]</v>
      </c>
    </row>
    <row r="378">
      <c r="A378" s="12" t="str">
        <f>IFERROR(__xludf.DUMMYFUNCTION("""COMPUTED_VALUE"""),"a0lVT000006O6X3YAK")</f>
        <v>a0lVT000006O6X3YAK</v>
      </c>
      <c r="B378" s="12" t="str">
        <f>IFERROR(__xludf.DUMMYFUNCTION("""COMPUTED_VALUE"""),"a0rVT00001DX3C3YAL")</f>
        <v>a0rVT00001DX3C3YAL</v>
      </c>
      <c r="C378" s="12" t="str">
        <f>IFERROR(__xludf.DUMMYFUNCTION("""COMPUTED_VALUE"""),"0034X00003EtGr8QAF")</f>
        <v>0034X00003EtGr8QAF</v>
      </c>
      <c r="D378" s="12" t="str">
        <f>IFERROR(__xludf.DUMMYFUNCTION("""COMPUTED_VALUE"""),"Aaron Barnes")</f>
        <v>Aaron Barnes</v>
      </c>
      <c r="E378" s="12" t="str">
        <f>IFERROR(__xludf.DUMMYFUNCTION("""COMPUTED_VALUE"""),"aaron.barnes@workday.com")</f>
        <v>aaron.barnes@workday.com</v>
      </c>
      <c r="F378" s="12" t="str">
        <f>IFERROR(__xludf.DUMMYFUNCTION("""COMPUTED_VALUE"""),"Engagement Manager [Primary]")</f>
        <v>Engagement Manager [Primary]</v>
      </c>
    </row>
    <row r="379">
      <c r="A379" s="12" t="str">
        <f>IFERROR(__xludf.DUMMYFUNCTION("""COMPUTED_VALUE"""),"a0lVT000006QN8nYAG")</f>
        <v>a0lVT000006QN8nYAG</v>
      </c>
      <c r="B379" s="12" t="str">
        <f>IFERROR(__xludf.DUMMYFUNCTION("""COMPUTED_VALUE"""),"a0rVT00001DX3OxYAL")</f>
        <v>a0rVT00001DX3OxYAL</v>
      </c>
      <c r="C379" s="12" t="str">
        <f>IFERROR(__xludf.DUMMYFUNCTION("""COMPUTED_VALUE"""),"003VT00000fc4shYAA")</f>
        <v>003VT00000fc4shYAA</v>
      </c>
      <c r="D379" s="12" t="str">
        <f>IFERROR(__xludf.DUMMYFUNCTION("""COMPUTED_VALUE"""),"Michelle Holland")</f>
        <v>Michelle Holland</v>
      </c>
      <c r="E379" s="12" t="str">
        <f>IFERROR(__xludf.DUMMYFUNCTION("""COMPUTED_VALUE"""),"michelle.holland@workday.com")</f>
        <v>michelle.holland@workday.com</v>
      </c>
      <c r="F379" s="12" t="str">
        <f>IFERROR(__xludf.DUMMYFUNCTION("""COMPUTED_VALUE"""),"Engagement Manager [Primary]")</f>
        <v>Engagement Manager [Primary]</v>
      </c>
    </row>
    <row r="380">
      <c r="A380" s="12" t="str">
        <f>IFERROR(__xludf.DUMMYFUNCTION("""COMPUTED_VALUE"""),"a0lVT000006QNGrYAO")</f>
        <v>a0lVT000006QNGrYAO</v>
      </c>
      <c r="B380" s="12" t="str">
        <f>IFERROR(__xludf.DUMMYFUNCTION("""COMPUTED_VALUE"""),"a0rVT00001DX3OxYAL")</f>
        <v>a0rVT00001DX3OxYAL</v>
      </c>
      <c r="C380" s="12" t="str">
        <f>IFERROR(__xludf.DUMMYFUNCTION("""COMPUTED_VALUE"""),"0031B00002r8nYiQAI")</f>
        <v>0031B00002r8nYiQAI</v>
      </c>
      <c r="D380" s="12" t="str">
        <f>IFERROR(__xludf.DUMMYFUNCTION("""COMPUTED_VALUE"""),"Sharla Jones")</f>
        <v>Sharla Jones</v>
      </c>
      <c r="E380" s="12" t="str">
        <f>IFERROR(__xludf.DUMMYFUNCTION("""COMPUTED_VALUE"""),"sharlajones@cinemark.com")</f>
        <v>sharlajones@cinemark.com</v>
      </c>
      <c r="F380" s="12" t="str">
        <f>IFERROR(__xludf.DUMMYFUNCTION("""COMPUTED_VALUE"""),"Executive Sponsor")</f>
        <v>Executive Sponsor</v>
      </c>
    </row>
    <row r="381">
      <c r="A381" s="12" t="str">
        <f>IFERROR(__xludf.DUMMYFUNCTION("""COMPUTED_VALUE"""),"a0lVT000006QNGsYAO")</f>
        <v>a0lVT000006QNGsYAO</v>
      </c>
      <c r="B381" s="12" t="str">
        <f>IFERROR(__xludf.DUMMYFUNCTION("""COMPUTED_VALUE"""),"a0rVT00001DX3OxYAL")</f>
        <v>a0rVT00001DX3OxYAL</v>
      </c>
      <c r="C381" s="12" t="str">
        <f>IFERROR(__xludf.DUMMYFUNCTION("""COMPUTED_VALUE"""),"0034X00003S9a6xQAB")</f>
        <v>0034X00003S9a6xQAB</v>
      </c>
      <c r="D381" s="12" t="str">
        <f>IFERROR(__xludf.DUMMYFUNCTION("""COMPUTED_VALUE"""),"Laura Smith")</f>
        <v>Laura Smith</v>
      </c>
      <c r="E381" s="12" t="str">
        <f>IFERROR(__xludf.DUMMYFUNCTION("""COMPUTED_VALUE"""),"lsmith@cinemark.com")</f>
        <v>lsmith@cinemark.com</v>
      </c>
      <c r="F381" s="12" t="str">
        <f>IFERROR(__xludf.DUMMYFUNCTION("""COMPUTED_VALUE"""),"Project Manager [Customer]")</f>
        <v>Project Manager [Customer]</v>
      </c>
    </row>
    <row r="382">
      <c r="A382" s="12" t="str">
        <f>IFERROR(__xludf.DUMMYFUNCTION("""COMPUTED_VALUE"""),"a0lVT000006O03XYAS")</f>
        <v>a0lVT000006O03XYAS</v>
      </c>
      <c r="B382" s="12" t="str">
        <f>IFERROR(__xludf.DUMMYFUNCTION("""COMPUTED_VALUE"""),"a0rVT00001DX3OyYAL")</f>
        <v>a0rVT00001DX3OyYAL</v>
      </c>
      <c r="C382" s="12" t="str">
        <f>IFERROR(__xludf.DUMMYFUNCTION("""COMPUTED_VALUE"""),"0034X00003EtGr8QAF")</f>
        <v>0034X00003EtGr8QAF</v>
      </c>
      <c r="D382" s="12" t="str">
        <f>IFERROR(__xludf.DUMMYFUNCTION("""COMPUTED_VALUE"""),"Aaron Barnes")</f>
        <v>Aaron Barnes</v>
      </c>
      <c r="E382" s="12" t="str">
        <f>IFERROR(__xludf.DUMMYFUNCTION("""COMPUTED_VALUE"""),"aaron.barnes@workday.com")</f>
        <v>aaron.barnes@workday.com</v>
      </c>
      <c r="F382" s="12" t="str">
        <f>IFERROR(__xludf.DUMMYFUNCTION("""COMPUTED_VALUE"""),"Engagement Manager [Primary]")</f>
        <v>Engagement Manager [Primary]</v>
      </c>
    </row>
    <row r="383">
      <c r="A383" s="12" t="str">
        <f>IFERROR(__xludf.DUMMYFUNCTION("""COMPUTED_VALUE"""),"a0lVT000006NyzRYAS")</f>
        <v>a0lVT000006NyzRYAS</v>
      </c>
      <c r="B383" s="12" t="str">
        <f>IFERROR(__xludf.DUMMYFUNCTION("""COMPUTED_VALUE"""),"a0rVT00001DX3aFYAT")</f>
        <v>a0rVT00001DX3aFYAT</v>
      </c>
      <c r="C383" s="12" t="str">
        <f>IFERROR(__xludf.DUMMYFUNCTION("""COMPUTED_VALUE"""),"0034X00003EtGr8QAF")</f>
        <v>0034X00003EtGr8QAF</v>
      </c>
      <c r="D383" s="12" t="str">
        <f>IFERROR(__xludf.DUMMYFUNCTION("""COMPUTED_VALUE"""),"Aaron Barnes")</f>
        <v>Aaron Barnes</v>
      </c>
      <c r="E383" s="12" t="str">
        <f>IFERROR(__xludf.DUMMYFUNCTION("""COMPUTED_VALUE"""),"aaron.barnes@workday.com")</f>
        <v>aaron.barnes@workday.com</v>
      </c>
      <c r="F383" s="12" t="str">
        <f>IFERROR(__xludf.DUMMYFUNCTION("""COMPUTED_VALUE"""),"Engagement Manager [Primary]")</f>
        <v>Engagement Manager [Primary]</v>
      </c>
    </row>
    <row r="384">
      <c r="A384" s="12" t="str">
        <f>IFERROR(__xludf.DUMMYFUNCTION("""COMPUTED_VALUE"""),"a0lVT000006O5ntYAC")</f>
        <v>a0lVT000006O5ntYAC</v>
      </c>
      <c r="B384" s="12" t="str">
        <f>IFERROR(__xludf.DUMMYFUNCTION("""COMPUTED_VALUE"""),"a0rVT00001DX402YAD")</f>
        <v>a0rVT00001DX402YAD</v>
      </c>
      <c r="C384" s="12" t="str">
        <f>IFERROR(__xludf.DUMMYFUNCTION("""COMPUTED_VALUE"""),"0034X00003EtGr8QAF")</f>
        <v>0034X00003EtGr8QAF</v>
      </c>
      <c r="D384" s="12" t="str">
        <f>IFERROR(__xludf.DUMMYFUNCTION("""COMPUTED_VALUE"""),"Aaron Barnes")</f>
        <v>Aaron Barnes</v>
      </c>
      <c r="E384" s="12" t="str">
        <f>IFERROR(__xludf.DUMMYFUNCTION("""COMPUTED_VALUE"""),"aaron.barnes@workday.com")</f>
        <v>aaron.barnes@workday.com</v>
      </c>
      <c r="F384" s="12" t="str">
        <f>IFERROR(__xludf.DUMMYFUNCTION("""COMPUTED_VALUE"""),"Engagement Manager [Primary]")</f>
        <v>Engagement Manager [Primary]</v>
      </c>
    </row>
    <row r="385">
      <c r="A385" s="12" t="str">
        <f>IFERROR(__xludf.DUMMYFUNCTION("""COMPUTED_VALUE"""),"a0lVT000006O4wfYAC")</f>
        <v>a0lVT000006O4wfYAC</v>
      </c>
      <c r="B385" s="12" t="str">
        <f>IFERROR(__xludf.DUMMYFUNCTION("""COMPUTED_VALUE"""),"a0rVT00001DX4MhYAL")</f>
        <v>a0rVT00001DX4MhYAL</v>
      </c>
      <c r="C385" s="12" t="str">
        <f>IFERROR(__xludf.DUMMYFUNCTION("""COMPUTED_VALUE"""),"0034X00003EtGr8QAF")</f>
        <v>0034X00003EtGr8QAF</v>
      </c>
      <c r="D385" s="12" t="str">
        <f>IFERROR(__xludf.DUMMYFUNCTION("""COMPUTED_VALUE"""),"Aaron Barnes")</f>
        <v>Aaron Barnes</v>
      </c>
      <c r="E385" s="12" t="str">
        <f>IFERROR(__xludf.DUMMYFUNCTION("""COMPUTED_VALUE"""),"aaron.barnes@workday.com")</f>
        <v>aaron.barnes@workday.com</v>
      </c>
      <c r="F385" s="12" t="str">
        <f>IFERROR(__xludf.DUMMYFUNCTION("""COMPUTED_VALUE"""),"Engagement Manager [Primary]")</f>
        <v>Engagement Manager [Primary]</v>
      </c>
    </row>
    <row r="386">
      <c r="A386" s="12" t="str">
        <f>IFERROR(__xludf.DUMMYFUNCTION("""COMPUTED_VALUE"""),"a0lVT000006O5JFYA0")</f>
        <v>a0lVT000006O5JFYA0</v>
      </c>
      <c r="B386" s="12" t="str">
        <f>IFERROR(__xludf.DUMMYFUNCTION("""COMPUTED_VALUE"""),"a0rVT00001DX6DAYA1")</f>
        <v>a0rVT00001DX6DAYA1</v>
      </c>
      <c r="C386" s="12" t="str">
        <f>IFERROR(__xludf.DUMMYFUNCTION("""COMPUTED_VALUE"""),"0034X00003EtGr8QAF")</f>
        <v>0034X00003EtGr8QAF</v>
      </c>
      <c r="D386" s="12" t="str">
        <f>IFERROR(__xludf.DUMMYFUNCTION("""COMPUTED_VALUE"""),"Aaron Barnes")</f>
        <v>Aaron Barnes</v>
      </c>
      <c r="E386" s="12" t="str">
        <f>IFERROR(__xludf.DUMMYFUNCTION("""COMPUTED_VALUE"""),"aaron.barnes@workday.com")</f>
        <v>aaron.barnes@workday.com</v>
      </c>
      <c r="F386" s="12" t="str">
        <f>IFERROR(__xludf.DUMMYFUNCTION("""COMPUTED_VALUE"""),"Engagement Manager [Primary]")</f>
        <v>Engagement Manager [Primary]</v>
      </c>
    </row>
    <row r="387">
      <c r="A387" s="12" t="str">
        <f>IFERROR(__xludf.DUMMYFUNCTION("""COMPUTED_VALUE"""),"a0lVT000006Ns61YAC")</f>
        <v>a0lVT000006Ns61YAC</v>
      </c>
      <c r="B387" s="12" t="str">
        <f>IFERROR(__xludf.DUMMYFUNCTION("""COMPUTED_VALUE"""),"a0rVT00001DX6Y5YAL")</f>
        <v>a0rVT00001DX6Y5YAL</v>
      </c>
      <c r="C387" s="12" t="str">
        <f>IFERROR(__xludf.DUMMYFUNCTION("""COMPUTED_VALUE"""),"0034X00003EtGr8QAF")</f>
        <v>0034X00003EtGr8QAF</v>
      </c>
      <c r="D387" s="12" t="str">
        <f>IFERROR(__xludf.DUMMYFUNCTION("""COMPUTED_VALUE"""),"Aaron Barnes")</f>
        <v>Aaron Barnes</v>
      </c>
      <c r="E387" s="12" t="str">
        <f>IFERROR(__xludf.DUMMYFUNCTION("""COMPUTED_VALUE"""),"aaron.barnes@workday.com")</f>
        <v>aaron.barnes@workday.com</v>
      </c>
      <c r="F387" s="12" t="str">
        <f>IFERROR(__xludf.DUMMYFUNCTION("""COMPUTED_VALUE"""),"Engagement Manager [Primary]")</f>
        <v>Engagement Manager [Primary]</v>
      </c>
    </row>
    <row r="388">
      <c r="A388" s="12" t="str">
        <f>IFERROR(__xludf.DUMMYFUNCTION("""COMPUTED_VALUE"""),"a0lVT000006NoDhYAK")</f>
        <v>a0lVT000006NoDhYAK</v>
      </c>
      <c r="B388" s="12" t="str">
        <f>IFERROR(__xludf.DUMMYFUNCTION("""COMPUTED_VALUE"""),"a0rVT00001DX6kzYAD")</f>
        <v>a0rVT00001DX6kzYAD</v>
      </c>
      <c r="C388" s="12" t="str">
        <f>IFERROR(__xludf.DUMMYFUNCTION("""COMPUTED_VALUE"""),"0034X00003EtGr8QAF")</f>
        <v>0034X00003EtGr8QAF</v>
      </c>
      <c r="D388" s="12" t="str">
        <f>IFERROR(__xludf.DUMMYFUNCTION("""COMPUTED_VALUE"""),"Aaron Barnes")</f>
        <v>Aaron Barnes</v>
      </c>
      <c r="E388" s="12" t="str">
        <f>IFERROR(__xludf.DUMMYFUNCTION("""COMPUTED_VALUE"""),"aaron.barnes@workday.com")</f>
        <v>aaron.barnes@workday.com</v>
      </c>
      <c r="F388" s="12" t="str">
        <f>IFERROR(__xludf.DUMMYFUNCTION("""COMPUTED_VALUE"""),"Engagement Manager [Primary]")</f>
        <v>Engagement Manager [Primary]</v>
      </c>
    </row>
    <row r="389">
      <c r="A389" s="12" t="str">
        <f>IFERROR(__xludf.DUMMYFUNCTION("""COMPUTED_VALUE"""),"a0lVT000006O2MzYAK")</f>
        <v>a0lVT000006O2MzYAK</v>
      </c>
      <c r="B389" s="12" t="str">
        <f>IFERROR(__xludf.DUMMYFUNCTION("""COMPUTED_VALUE"""),"a0rVT00001DX79BYAT")</f>
        <v>a0rVT00001DX79BYAT</v>
      </c>
      <c r="C389" s="12" t="str">
        <f>IFERROR(__xludf.DUMMYFUNCTION("""COMPUTED_VALUE"""),"0034X00003EtGr8QAF")</f>
        <v>0034X00003EtGr8QAF</v>
      </c>
      <c r="D389" s="12" t="str">
        <f>IFERROR(__xludf.DUMMYFUNCTION("""COMPUTED_VALUE"""),"Aaron Barnes")</f>
        <v>Aaron Barnes</v>
      </c>
      <c r="E389" s="12" t="str">
        <f>IFERROR(__xludf.DUMMYFUNCTION("""COMPUTED_VALUE"""),"aaron.barnes@workday.com")</f>
        <v>aaron.barnes@workday.com</v>
      </c>
      <c r="F389" s="12" t="str">
        <f>IFERROR(__xludf.DUMMYFUNCTION("""COMPUTED_VALUE"""),"Engagement Manager [Primary]")</f>
        <v>Engagement Manager [Primary]</v>
      </c>
    </row>
    <row r="390">
      <c r="A390" s="12" t="str">
        <f>IFERROR(__xludf.DUMMYFUNCTION("""COMPUTED_VALUE"""),"a0lVT000006NzKLYA0")</f>
        <v>a0lVT000006NzKLYA0</v>
      </c>
      <c r="B390" s="12" t="str">
        <f>IFERROR(__xludf.DUMMYFUNCTION("""COMPUTED_VALUE"""),"a0rVT00001DX7kHYAT")</f>
        <v>a0rVT00001DX7kHYAT</v>
      </c>
      <c r="C390" s="12" t="str">
        <f>IFERROR(__xludf.DUMMYFUNCTION("""COMPUTED_VALUE"""),"0034X00003EtGr8QAF")</f>
        <v>0034X00003EtGr8QAF</v>
      </c>
      <c r="D390" s="12" t="str">
        <f>IFERROR(__xludf.DUMMYFUNCTION("""COMPUTED_VALUE"""),"Aaron Barnes")</f>
        <v>Aaron Barnes</v>
      </c>
      <c r="E390" s="12" t="str">
        <f>IFERROR(__xludf.DUMMYFUNCTION("""COMPUTED_VALUE"""),"aaron.barnes@workday.com")</f>
        <v>aaron.barnes@workday.com</v>
      </c>
      <c r="F390" s="12" t="str">
        <f>IFERROR(__xludf.DUMMYFUNCTION("""COMPUTED_VALUE"""),"Engagement Manager [Primary]")</f>
        <v>Engagement Manager [Primary]</v>
      </c>
    </row>
    <row r="391">
      <c r="A391" s="12" t="str">
        <f>IFERROR(__xludf.DUMMYFUNCTION("""COMPUTED_VALUE"""),"a0lVT000006Ns4QYAS")</f>
        <v>a0lVT000006Ns4QYAS</v>
      </c>
      <c r="B391" s="12" t="str">
        <f>IFERROR(__xludf.DUMMYFUNCTION("""COMPUTED_VALUE"""),"a0rVT00001DX7luYAD")</f>
        <v>a0rVT00001DX7luYAD</v>
      </c>
      <c r="C391" s="12" t="str">
        <f>IFERROR(__xludf.DUMMYFUNCTION("""COMPUTED_VALUE"""),"0034X00003EtGr8QAF")</f>
        <v>0034X00003EtGr8QAF</v>
      </c>
      <c r="D391" s="12" t="str">
        <f>IFERROR(__xludf.DUMMYFUNCTION("""COMPUTED_VALUE"""),"Aaron Barnes")</f>
        <v>Aaron Barnes</v>
      </c>
      <c r="E391" s="12" t="str">
        <f>IFERROR(__xludf.DUMMYFUNCTION("""COMPUTED_VALUE"""),"aaron.barnes@workday.com")</f>
        <v>aaron.barnes@workday.com</v>
      </c>
      <c r="F391" s="12" t="str">
        <f>IFERROR(__xludf.DUMMYFUNCTION("""COMPUTED_VALUE"""),"Engagement Manager [Primary]")</f>
        <v>Engagement Manager [Primary]</v>
      </c>
    </row>
    <row r="392">
      <c r="A392" s="12" t="str">
        <f>IFERROR(__xludf.DUMMYFUNCTION("""COMPUTED_VALUE"""),"a0lVT000006O2V4YAK")</f>
        <v>a0lVT000006O2V4YAK</v>
      </c>
      <c r="B392" s="12" t="str">
        <f>IFERROR(__xludf.DUMMYFUNCTION("""COMPUTED_VALUE"""),"a0rVT00001DX7nVYAT")</f>
        <v>a0rVT00001DX7nVYAT</v>
      </c>
      <c r="C392" s="12" t="str">
        <f>IFERROR(__xludf.DUMMYFUNCTION("""COMPUTED_VALUE"""),"0034X00003EtGr8QAF")</f>
        <v>0034X00003EtGr8QAF</v>
      </c>
      <c r="D392" s="12" t="str">
        <f>IFERROR(__xludf.DUMMYFUNCTION("""COMPUTED_VALUE"""),"Aaron Barnes")</f>
        <v>Aaron Barnes</v>
      </c>
      <c r="E392" s="12" t="str">
        <f>IFERROR(__xludf.DUMMYFUNCTION("""COMPUTED_VALUE"""),"aaron.barnes@workday.com")</f>
        <v>aaron.barnes@workday.com</v>
      </c>
      <c r="F392" s="12" t="str">
        <f>IFERROR(__xludf.DUMMYFUNCTION("""COMPUTED_VALUE"""),"Engagement Manager [Primary]")</f>
        <v>Engagement Manager [Primary]</v>
      </c>
    </row>
    <row r="393">
      <c r="A393" s="12" t="str">
        <f>IFERROR(__xludf.DUMMYFUNCTION("""COMPUTED_VALUE"""),"a0lVT000006O3kTYAS")</f>
        <v>a0lVT000006O3kTYAS</v>
      </c>
      <c r="B393" s="12" t="str">
        <f>IFERROR(__xludf.DUMMYFUNCTION("""COMPUTED_VALUE"""),"a0rVT00001DX7tyYAD")</f>
        <v>a0rVT00001DX7tyYAD</v>
      </c>
      <c r="C393" s="12" t="str">
        <f>IFERROR(__xludf.DUMMYFUNCTION("""COMPUTED_VALUE"""),"0034X00003EtGr8QAF")</f>
        <v>0034X00003EtGr8QAF</v>
      </c>
      <c r="D393" s="12" t="str">
        <f>IFERROR(__xludf.DUMMYFUNCTION("""COMPUTED_VALUE"""),"Aaron Barnes")</f>
        <v>Aaron Barnes</v>
      </c>
      <c r="E393" s="12" t="str">
        <f>IFERROR(__xludf.DUMMYFUNCTION("""COMPUTED_VALUE"""),"aaron.barnes@workday.com")</f>
        <v>aaron.barnes@workday.com</v>
      </c>
      <c r="F393" s="12" t="str">
        <f>IFERROR(__xludf.DUMMYFUNCTION("""COMPUTED_VALUE"""),"Engagement Manager [Primary]")</f>
        <v>Engagement Manager [Primary]</v>
      </c>
    </row>
    <row r="394">
      <c r="A394" s="12" t="str">
        <f>IFERROR(__xludf.DUMMYFUNCTION("""COMPUTED_VALUE"""),"a0lVT000006Num5YAC")</f>
        <v>a0lVT000006Num5YAC</v>
      </c>
      <c r="B394" s="12" t="str">
        <f>IFERROR(__xludf.DUMMYFUNCTION("""COMPUTED_VALUE"""),"a0rVT00001DX86sYAD")</f>
        <v>a0rVT00001DX86sYAD</v>
      </c>
      <c r="C394" s="12" t="str">
        <f>IFERROR(__xludf.DUMMYFUNCTION("""COMPUTED_VALUE"""),"0034X00003EtGr8QAF")</f>
        <v>0034X00003EtGr8QAF</v>
      </c>
      <c r="D394" s="12" t="str">
        <f>IFERROR(__xludf.DUMMYFUNCTION("""COMPUTED_VALUE"""),"Aaron Barnes")</f>
        <v>Aaron Barnes</v>
      </c>
      <c r="E394" s="12" t="str">
        <f>IFERROR(__xludf.DUMMYFUNCTION("""COMPUTED_VALUE"""),"aaron.barnes@workday.com")</f>
        <v>aaron.barnes@workday.com</v>
      </c>
      <c r="F394" s="12" t="str">
        <f>IFERROR(__xludf.DUMMYFUNCTION("""COMPUTED_VALUE"""),"Engagement Manager [Primary]")</f>
        <v>Engagement Manager [Primary]</v>
      </c>
    </row>
    <row r="395">
      <c r="A395" s="12" t="str">
        <f>IFERROR(__xludf.DUMMYFUNCTION("""COMPUTED_VALUE"""),"a0lVT000006O7ePYAS")</f>
        <v>a0lVT000006O7ePYAS</v>
      </c>
      <c r="B395" s="12" t="str">
        <f>IFERROR(__xludf.DUMMYFUNCTION("""COMPUTED_VALUE"""),"a0rVT00001DX8ZuYAL")</f>
        <v>a0rVT00001DX8ZuYAL</v>
      </c>
      <c r="C395" s="12" t="str">
        <f>IFERROR(__xludf.DUMMYFUNCTION("""COMPUTED_VALUE"""),"0034X00003EtGr8QAF")</f>
        <v>0034X00003EtGr8QAF</v>
      </c>
      <c r="D395" s="12" t="str">
        <f>IFERROR(__xludf.DUMMYFUNCTION("""COMPUTED_VALUE"""),"Aaron Barnes")</f>
        <v>Aaron Barnes</v>
      </c>
      <c r="E395" s="12" t="str">
        <f>IFERROR(__xludf.DUMMYFUNCTION("""COMPUTED_VALUE"""),"aaron.barnes@workday.com")</f>
        <v>aaron.barnes@workday.com</v>
      </c>
      <c r="F395" s="12" t="str">
        <f>IFERROR(__xludf.DUMMYFUNCTION("""COMPUTED_VALUE"""),"Engagement Manager [Primary]")</f>
        <v>Engagement Manager [Primary]</v>
      </c>
    </row>
    <row r="396">
      <c r="A396" s="12" t="str">
        <f>IFERROR(__xludf.DUMMYFUNCTION("""COMPUTED_VALUE"""),"a0lVT000006NvS2YAK")</f>
        <v>a0lVT000006NvS2YAK</v>
      </c>
      <c r="B396" s="12" t="str">
        <f>IFERROR(__xludf.DUMMYFUNCTION("""COMPUTED_VALUE"""),"a0rVT00001DX8ejYAD")</f>
        <v>a0rVT00001DX8ejYAD</v>
      </c>
      <c r="C396" s="12" t="str">
        <f>IFERROR(__xludf.DUMMYFUNCTION("""COMPUTED_VALUE"""),"0034X00003EtGr8QAF")</f>
        <v>0034X00003EtGr8QAF</v>
      </c>
      <c r="D396" s="12" t="str">
        <f>IFERROR(__xludf.DUMMYFUNCTION("""COMPUTED_VALUE"""),"Aaron Barnes")</f>
        <v>Aaron Barnes</v>
      </c>
      <c r="E396" s="12" t="str">
        <f>IFERROR(__xludf.DUMMYFUNCTION("""COMPUTED_VALUE"""),"aaron.barnes@workday.com")</f>
        <v>aaron.barnes@workday.com</v>
      </c>
      <c r="F396" s="12" t="str">
        <f>IFERROR(__xludf.DUMMYFUNCTION("""COMPUTED_VALUE"""),"Engagement Manager [Primary]")</f>
        <v>Engagement Manager [Primary]</v>
      </c>
    </row>
    <row r="397">
      <c r="A397" s="12" t="str">
        <f>IFERROR(__xludf.DUMMYFUNCTION("""COMPUTED_VALUE"""),"a0lVT000006QMJBYA4")</f>
        <v>a0lVT000006QMJBYA4</v>
      </c>
      <c r="B397" s="12" t="str">
        <f>IFERROR(__xludf.DUMMYFUNCTION("""COMPUTED_VALUE"""),"a0rVT00001DX8jZYAT")</f>
        <v>a0rVT00001DX8jZYAT</v>
      </c>
      <c r="C397" s="12" t="str">
        <f>IFERROR(__xludf.DUMMYFUNCTION("""COMPUTED_VALUE"""),"003VT00000fc4shYAA")</f>
        <v>003VT00000fc4shYAA</v>
      </c>
      <c r="D397" s="12" t="str">
        <f>IFERROR(__xludf.DUMMYFUNCTION("""COMPUTED_VALUE"""),"Michelle Holland")</f>
        <v>Michelle Holland</v>
      </c>
      <c r="E397" s="12" t="str">
        <f>IFERROR(__xludf.DUMMYFUNCTION("""COMPUTED_VALUE"""),"michelle.holland@workday.com")</f>
        <v>michelle.holland@workday.com</v>
      </c>
      <c r="F397" s="12" t="str">
        <f>IFERROR(__xludf.DUMMYFUNCTION("""COMPUTED_VALUE"""),"Engagement Manager [Primary]")</f>
        <v>Engagement Manager [Primary]</v>
      </c>
    </row>
    <row r="398">
      <c r="A398" s="12" t="str">
        <f>IFERROR(__xludf.DUMMYFUNCTION("""COMPUTED_VALUE"""),"a0lVT000006QQWTYA4")</f>
        <v>a0lVT000006QQWTYA4</v>
      </c>
      <c r="B398" s="12" t="str">
        <f>IFERROR(__xludf.DUMMYFUNCTION("""COMPUTED_VALUE"""),"a0rVT00001DX8jZYAT")</f>
        <v>a0rVT00001DX8jZYAT</v>
      </c>
      <c r="C398" s="12" t="str">
        <f>IFERROR(__xludf.DUMMYFUNCTION("""COMPUTED_VALUE"""),"003VT00000YfogTYAR")</f>
        <v>003VT00000YfogTYAR</v>
      </c>
      <c r="D398" s="12" t="str">
        <f>IFERROR(__xludf.DUMMYFUNCTION("""COMPUTED_VALUE"""),"Lindsay Cole")</f>
        <v>Lindsay Cole</v>
      </c>
      <c r="E398" s="12" t="str">
        <f>IFERROR(__xludf.DUMMYFUNCTION("""COMPUTED_VALUE"""),"lindsay.cole@newellco.com")</f>
        <v>lindsay.cole@newellco.com</v>
      </c>
      <c r="F398" s="12" t="str">
        <f>IFERROR(__xludf.DUMMYFUNCTION("""COMPUTED_VALUE"""),"Project Manager [Customer]")</f>
        <v>Project Manager [Customer]</v>
      </c>
    </row>
    <row r="399">
      <c r="A399" s="12" t="str">
        <f>IFERROR(__xludf.DUMMYFUNCTION("""COMPUTED_VALUE"""),"a0lVT000006QQRdYAO")</f>
        <v>a0lVT000006QQRdYAO</v>
      </c>
      <c r="B399" s="12" t="str">
        <f>IFERROR(__xludf.DUMMYFUNCTION("""COMPUTED_VALUE"""),"a0rVT00001DX8jZYAT")</f>
        <v>a0rVT00001DX8jZYAT</v>
      </c>
      <c r="C399" s="12" t="str">
        <f>IFERROR(__xludf.DUMMYFUNCTION("""COMPUTED_VALUE"""),"0034X00003S8u0BQAR")</f>
        <v>0034X00003S8u0BQAR</v>
      </c>
      <c r="D399" s="12" t="str">
        <f>IFERROR(__xludf.DUMMYFUNCTION("""COMPUTED_VALUE"""),"John E. Gotham")</f>
        <v>John E. Gotham</v>
      </c>
      <c r="E399" s="12" t="str">
        <f>IFERROR(__xludf.DUMMYFUNCTION("""COMPUTED_VALUE"""),"john.gotham@newellco.com")</f>
        <v>john.gotham@newellco.com</v>
      </c>
      <c r="F399" s="12" t="str">
        <f>IFERROR(__xludf.DUMMYFUNCTION("""COMPUTED_VALUE"""),"Executive Sponsor")</f>
        <v>Executive Sponsor</v>
      </c>
    </row>
    <row r="400">
      <c r="A400" s="12" t="str">
        <f>IFERROR(__xludf.DUMMYFUNCTION("""COMPUTED_VALUE"""),"a0lVT000006O3e1YAC")</f>
        <v>a0lVT000006O3e1YAC</v>
      </c>
      <c r="B400" s="12" t="str">
        <f>IFERROR(__xludf.DUMMYFUNCTION("""COMPUTED_VALUE"""),"a0rVT00001DX8q2YAD")</f>
        <v>a0rVT00001DX8q2YAD</v>
      </c>
      <c r="C400" s="12" t="str">
        <f>IFERROR(__xludf.DUMMYFUNCTION("""COMPUTED_VALUE"""),"0034X00003EtGr8QAF")</f>
        <v>0034X00003EtGr8QAF</v>
      </c>
      <c r="D400" s="12" t="str">
        <f>IFERROR(__xludf.DUMMYFUNCTION("""COMPUTED_VALUE"""),"Aaron Barnes")</f>
        <v>Aaron Barnes</v>
      </c>
      <c r="E400" s="12" t="str">
        <f>IFERROR(__xludf.DUMMYFUNCTION("""COMPUTED_VALUE"""),"aaron.barnes@workday.com")</f>
        <v>aaron.barnes@workday.com</v>
      </c>
      <c r="F400" s="12" t="str">
        <f>IFERROR(__xludf.DUMMYFUNCTION("""COMPUTED_VALUE"""),"Engagement Manager [Primary]")</f>
        <v>Engagement Manager [Primary]</v>
      </c>
    </row>
    <row r="401">
      <c r="A401" s="12" t="str">
        <f>IFERROR(__xludf.DUMMYFUNCTION("""COMPUTED_VALUE"""),"a0lVT000006O3MHYA0")</f>
        <v>a0lVT000006O3MHYA0</v>
      </c>
      <c r="B401" s="12" t="str">
        <f>IFERROR(__xludf.DUMMYFUNCTION("""COMPUTED_VALUE"""),"a0rVT00001DX8wTYAT")</f>
        <v>a0rVT00001DX8wTYAT</v>
      </c>
      <c r="C401" s="12" t="str">
        <f>IFERROR(__xludf.DUMMYFUNCTION("""COMPUTED_VALUE"""),"0034X00003EtGr8QAF")</f>
        <v>0034X00003EtGr8QAF</v>
      </c>
      <c r="D401" s="12" t="str">
        <f>IFERROR(__xludf.DUMMYFUNCTION("""COMPUTED_VALUE"""),"Aaron Barnes")</f>
        <v>Aaron Barnes</v>
      </c>
      <c r="E401" s="12" t="str">
        <f>IFERROR(__xludf.DUMMYFUNCTION("""COMPUTED_VALUE"""),"aaron.barnes@workday.com")</f>
        <v>aaron.barnes@workday.com</v>
      </c>
      <c r="F401" s="12" t="str">
        <f>IFERROR(__xludf.DUMMYFUNCTION("""COMPUTED_VALUE"""),"Engagement Manager [Primary]")</f>
        <v>Engagement Manager [Primary]</v>
      </c>
    </row>
    <row r="402">
      <c r="A402" s="12" t="str">
        <f>IFERROR(__xludf.DUMMYFUNCTION("""COMPUTED_VALUE"""),"a0lVT000006NymXYAS")</f>
        <v>a0lVT000006NymXYAS</v>
      </c>
      <c r="B402" s="12" t="str">
        <f>IFERROR(__xludf.DUMMYFUNCTION("""COMPUTED_VALUE"""),"a0rVT00001DX9KfYAL")</f>
        <v>a0rVT00001DX9KfYAL</v>
      </c>
      <c r="C402" s="12" t="str">
        <f>IFERROR(__xludf.DUMMYFUNCTION("""COMPUTED_VALUE"""),"0034X00003EtGr8QAF")</f>
        <v>0034X00003EtGr8QAF</v>
      </c>
      <c r="D402" s="12" t="str">
        <f>IFERROR(__xludf.DUMMYFUNCTION("""COMPUTED_VALUE"""),"Aaron Barnes")</f>
        <v>Aaron Barnes</v>
      </c>
      <c r="E402" s="12" t="str">
        <f>IFERROR(__xludf.DUMMYFUNCTION("""COMPUTED_VALUE"""),"aaron.barnes@workday.com")</f>
        <v>aaron.barnes@workday.com</v>
      </c>
      <c r="F402" s="12" t="str">
        <f>IFERROR(__xludf.DUMMYFUNCTION("""COMPUTED_VALUE"""),"Engagement Manager [Primary]")</f>
        <v>Engagement Manager [Primary]</v>
      </c>
    </row>
    <row r="403">
      <c r="A403" s="12" t="str">
        <f>IFERROR(__xludf.DUMMYFUNCTION("""COMPUTED_VALUE"""),"a0lVT000006O3sXYAS")</f>
        <v>a0lVT000006O3sXYAS</v>
      </c>
      <c r="B403" s="12" t="str">
        <f>IFERROR(__xludf.DUMMYFUNCTION("""COMPUTED_VALUE"""),"a0rVT00001DX9VxYAL")</f>
        <v>a0rVT00001DX9VxYAL</v>
      </c>
      <c r="C403" s="12" t="str">
        <f>IFERROR(__xludf.DUMMYFUNCTION("""COMPUTED_VALUE"""),"0034X00003EtGr8QAF")</f>
        <v>0034X00003EtGr8QAF</v>
      </c>
      <c r="D403" s="12" t="str">
        <f>IFERROR(__xludf.DUMMYFUNCTION("""COMPUTED_VALUE"""),"Aaron Barnes")</f>
        <v>Aaron Barnes</v>
      </c>
      <c r="E403" s="12" t="str">
        <f>IFERROR(__xludf.DUMMYFUNCTION("""COMPUTED_VALUE"""),"aaron.barnes@workday.com")</f>
        <v>aaron.barnes@workday.com</v>
      </c>
      <c r="F403" s="12" t="str">
        <f>IFERROR(__xludf.DUMMYFUNCTION("""COMPUTED_VALUE"""),"Engagement Manager [Primary]")</f>
        <v>Engagement Manager [Primary]</v>
      </c>
    </row>
    <row r="404">
      <c r="A404" s="12" t="str">
        <f>IFERROR(__xludf.DUMMYFUNCTION("""COMPUTED_VALUE"""),"a0lVT000006QlflYAC")</f>
        <v>a0lVT000006QlflYAC</v>
      </c>
      <c r="B404" s="12" t="str">
        <f>IFERROR(__xludf.DUMMYFUNCTION("""COMPUTED_VALUE"""),"a0rVT00001DX9irYAD")</f>
        <v>a0rVT00001DX9irYAD</v>
      </c>
      <c r="C404" s="12" t="str">
        <f>IFERROR(__xludf.DUMMYFUNCTION("""COMPUTED_VALUE"""),"003VT00000fcCgUYAU")</f>
        <v>003VT00000fcCgUYAU</v>
      </c>
      <c r="D404" s="12" t="str">
        <f>IFERROR(__xludf.DUMMYFUNCTION("""COMPUTED_VALUE"""),"Jordan DePaolis")</f>
        <v>Jordan DePaolis</v>
      </c>
      <c r="E404" s="12" t="str">
        <f>IFERROR(__xludf.DUMMYFUNCTION("""COMPUTED_VALUE"""),"jordan.depaolis@workday.com")</f>
        <v>jordan.depaolis@workday.com</v>
      </c>
      <c r="F404" s="12" t="str">
        <f>IFERROR(__xludf.DUMMYFUNCTION("""COMPUTED_VALUE"""),"Engagement Manager [Primary]")</f>
        <v>Engagement Manager [Primary]</v>
      </c>
    </row>
    <row r="405">
      <c r="A405" s="12" t="str">
        <f>IFERROR(__xludf.DUMMYFUNCTION("""COMPUTED_VALUE"""),"a0lVT000006Ns7dYAC")</f>
        <v>a0lVT000006Ns7dYAC</v>
      </c>
      <c r="B405" s="12" t="str">
        <f>IFERROR(__xludf.DUMMYFUNCTION("""COMPUTED_VALUE"""),"a0rVT00001DX9irYAD")</f>
        <v>a0rVT00001DX9irYAD</v>
      </c>
      <c r="C405" s="12" t="str">
        <f>IFERROR(__xludf.DUMMYFUNCTION("""COMPUTED_VALUE"""),"0034X00003EtGr8QAF")</f>
        <v>0034X00003EtGr8QAF</v>
      </c>
      <c r="D405" s="12" t="str">
        <f>IFERROR(__xludf.DUMMYFUNCTION("""COMPUTED_VALUE"""),"Aaron Barnes")</f>
        <v>Aaron Barnes</v>
      </c>
      <c r="E405" s="12" t="str">
        <f>IFERROR(__xludf.DUMMYFUNCTION("""COMPUTED_VALUE"""),"aaron.barnes@workday.com")</f>
        <v>aaron.barnes@workday.com</v>
      </c>
      <c r="F405" s="12" t="str">
        <f>IFERROR(__xludf.DUMMYFUNCTION("""COMPUTED_VALUE"""),"Engagement Manager [Primary]")</f>
        <v>Engagement Manager [Primary]</v>
      </c>
    </row>
    <row r="406">
      <c r="A406" s="12" t="str">
        <f>IFERROR(__xludf.DUMMYFUNCTION("""COMPUTED_VALUE"""),"a0lVT000006R0GbYAK")</f>
        <v>a0lVT000006R0GbYAK</v>
      </c>
      <c r="B406" s="12" t="str">
        <f>IFERROR(__xludf.DUMMYFUNCTION("""COMPUTED_VALUE"""),"a0rVT00001DXA2EYAX")</f>
        <v>a0rVT00001DXA2EYAX</v>
      </c>
      <c r="C406" s="12" t="str">
        <f>IFERROR(__xludf.DUMMYFUNCTION("""COMPUTED_VALUE"""),"0034X00003DfWWmQAN")</f>
        <v>0034X00003DfWWmQAN</v>
      </c>
      <c r="D406" s="12" t="str">
        <f>IFERROR(__xludf.DUMMYFUNCTION("""COMPUTED_VALUE"""),"Lili Shippe")</f>
        <v>Lili Shippe</v>
      </c>
      <c r="E406" s="12" t="str">
        <f>IFERROR(__xludf.DUMMYFUNCTION("""COMPUTED_VALUE"""),"lshippe@altamed.org")</f>
        <v>lshippe@altamed.org</v>
      </c>
      <c r="F406" s="12" t="str">
        <f>IFERROR(__xludf.DUMMYFUNCTION("""COMPUTED_VALUE"""),"Project Manager [Customer]")</f>
        <v>Project Manager [Customer]</v>
      </c>
    </row>
    <row r="407">
      <c r="A407" s="12" t="str">
        <f>IFERROR(__xludf.DUMMYFUNCTION("""COMPUTED_VALUE"""),"a0lVT000006R0BlYAK")</f>
        <v>a0lVT000006R0BlYAK</v>
      </c>
      <c r="B407" s="12" t="str">
        <f>IFERROR(__xludf.DUMMYFUNCTION("""COMPUTED_VALUE"""),"a0rVT00001DXA2EYAX")</f>
        <v>a0rVT00001DXA2EYAX</v>
      </c>
      <c r="C407" s="12" t="str">
        <f>IFERROR(__xludf.DUMMYFUNCTION("""COMPUTED_VALUE"""),"003VT00000i6ikzYAA")</f>
        <v>003VT00000i6ikzYAA</v>
      </c>
      <c r="D407" s="12" t="str">
        <f>IFERROR(__xludf.DUMMYFUNCTION("""COMPUTED_VALUE"""),"Mathangi Jambunathan")</f>
        <v>Mathangi Jambunathan</v>
      </c>
      <c r="E407" s="12" t="str">
        <f>IFERROR(__xludf.DUMMYFUNCTION("""COMPUTED_VALUE"""),"mathangi.jambunathan@workday.com")</f>
        <v>mathangi.jambunathan@workday.com</v>
      </c>
      <c r="F407" s="12" t="str">
        <f>IFERROR(__xludf.DUMMYFUNCTION("""COMPUTED_VALUE"""),"Engagement Manager [Primary]")</f>
        <v>Engagement Manager [Primary]</v>
      </c>
    </row>
    <row r="408">
      <c r="A408" s="12" t="str">
        <f>IFERROR(__xludf.DUMMYFUNCTION("""COMPUTED_VALUE"""),"a0lVT000006O1dvYAC")</f>
        <v>a0lVT000006O1dvYAC</v>
      </c>
      <c r="B408" s="12" t="str">
        <f>IFERROR(__xludf.DUMMYFUNCTION("""COMPUTED_VALUE"""),"a0rVT00001DXA2EYAX")</f>
        <v>a0rVT00001DXA2EYAX</v>
      </c>
      <c r="C408" s="12" t="str">
        <f>IFERROR(__xludf.DUMMYFUNCTION("""COMPUTED_VALUE"""),"0034X00003EtGr8QAF")</f>
        <v>0034X00003EtGr8QAF</v>
      </c>
      <c r="D408" s="12" t="str">
        <f>IFERROR(__xludf.DUMMYFUNCTION("""COMPUTED_VALUE"""),"Aaron Barnes")</f>
        <v>Aaron Barnes</v>
      </c>
      <c r="E408" s="12" t="str">
        <f>IFERROR(__xludf.DUMMYFUNCTION("""COMPUTED_VALUE"""),"aaron.barnes@workday.com")</f>
        <v>aaron.barnes@workday.com</v>
      </c>
      <c r="F408" s="12" t="str">
        <f>IFERROR(__xludf.DUMMYFUNCTION("""COMPUTED_VALUE"""),"Deployment Sponsor")</f>
        <v>Deployment Sponsor</v>
      </c>
    </row>
    <row r="409">
      <c r="A409" s="12" t="str">
        <f>IFERROR(__xludf.DUMMYFUNCTION("""COMPUTED_VALUE"""),"a0lVT000006R0GcYAK")</f>
        <v>a0lVT000006R0GcYAK</v>
      </c>
      <c r="B409" s="12" t="str">
        <f>IFERROR(__xludf.DUMMYFUNCTION("""COMPUTED_VALUE"""),"a0rVT00001DXA2EYAX")</f>
        <v>a0rVT00001DXA2EYAX</v>
      </c>
      <c r="C409" s="12" t="str">
        <f>IFERROR(__xludf.DUMMYFUNCTION("""COMPUTED_VALUE"""),"0034X000033wpBKQAY")</f>
        <v>0034X000033wpBKQAY</v>
      </c>
      <c r="D409" s="12" t="str">
        <f>IFERROR(__xludf.DUMMYFUNCTION("""COMPUTED_VALUE"""),"Debbie Oune")</f>
        <v>Debbie Oune</v>
      </c>
      <c r="E409" s="12" t="str">
        <f>IFERROR(__xludf.DUMMYFUNCTION("""COMPUTED_VALUE"""),"deoune@altamed.org")</f>
        <v>deoune@altamed.org</v>
      </c>
      <c r="F409" s="12" t="str">
        <f>IFERROR(__xludf.DUMMYFUNCTION("""COMPUTED_VALUE"""),"Executive Sponsor")</f>
        <v>Executive Sponsor</v>
      </c>
    </row>
    <row r="410">
      <c r="A410" s="12" t="str">
        <f>IFERROR(__xludf.DUMMYFUNCTION("""COMPUTED_VALUE"""),"a0lVT000006PJdWYAW")</f>
        <v>a0lVT000006PJdWYAW</v>
      </c>
      <c r="B410" s="12" t="str">
        <f>IFERROR(__xludf.DUMMYFUNCTION("""COMPUTED_VALUE"""),"a0rVT00001DXAOnYAP")</f>
        <v>a0rVT00001DXAOnYAP</v>
      </c>
      <c r="C410" s="12" t="str">
        <f>IFERROR(__xludf.DUMMYFUNCTION("""COMPUTED_VALUE"""),"0034X000032NB4WQAW")</f>
        <v>0034X000032NB4WQAW</v>
      </c>
      <c r="D410" s="12" t="str">
        <f>IFERROR(__xludf.DUMMYFUNCTION("""COMPUTED_VALUE"""),"Brian Gibbons")</f>
        <v>Brian Gibbons</v>
      </c>
      <c r="E410" s="12" t="str">
        <f>IFERROR(__xludf.DUMMYFUNCTION("""COMPUTED_VALUE"""),"brian.gibbons@verizon.com")</f>
        <v>brian.gibbons@verizon.com</v>
      </c>
      <c r="F410" s="12" t="str">
        <f>IFERROR(__xludf.DUMMYFUNCTION("""COMPUTED_VALUE"""),"Executive Sponsor")</f>
        <v>Executive Sponsor</v>
      </c>
    </row>
    <row r="411">
      <c r="A411" s="12" t="str">
        <f>IFERROR(__xludf.DUMMYFUNCTION("""COMPUTED_VALUE"""),"a0lVT000006PIEQYA4")</f>
        <v>a0lVT000006PIEQYA4</v>
      </c>
      <c r="B411" s="12" t="str">
        <f>IFERROR(__xludf.DUMMYFUNCTION("""COMPUTED_VALUE"""),"a0rVT00001DXAOnYAP")</f>
        <v>a0rVT00001DXAOnYAP</v>
      </c>
      <c r="C411" s="12" t="str">
        <f>IFERROR(__xludf.DUMMYFUNCTION("""COMPUTED_VALUE"""),"003VT00000fc4sgYAA")</f>
        <v>003VT00000fc4sgYAA</v>
      </c>
      <c r="D411" s="12" t="str">
        <f>IFERROR(__xludf.DUMMYFUNCTION("""COMPUTED_VALUE"""),"Kat Evans")</f>
        <v>Kat Evans</v>
      </c>
      <c r="E411" s="12" t="str">
        <f>IFERROR(__xludf.DUMMYFUNCTION("""COMPUTED_VALUE"""),"kat.matasova@workday.com")</f>
        <v>kat.matasova@workday.com</v>
      </c>
      <c r="F411" s="12" t="str">
        <f>IFERROR(__xludf.DUMMYFUNCTION("""COMPUTED_VALUE"""),"Engagement Manager [Primary]")</f>
        <v>Engagement Manager [Primary]</v>
      </c>
    </row>
    <row r="412">
      <c r="A412" s="12" t="str">
        <f>IFERROR(__xludf.DUMMYFUNCTION("""COMPUTED_VALUE"""),"a0lVT000006Nz10YAC")</f>
        <v>a0lVT000006Nz10YAC</v>
      </c>
      <c r="B412" s="12" t="str">
        <f>IFERROR(__xludf.DUMMYFUNCTION("""COMPUTED_VALUE"""),"a0rVT00001DXAOnYAP")</f>
        <v>a0rVT00001DXAOnYAP</v>
      </c>
      <c r="C412" s="12" t="str">
        <f>IFERROR(__xludf.DUMMYFUNCTION("""COMPUTED_VALUE"""),"0034X00003EtGr8QAF")</f>
        <v>0034X00003EtGr8QAF</v>
      </c>
      <c r="D412" s="12" t="str">
        <f>IFERROR(__xludf.DUMMYFUNCTION("""COMPUTED_VALUE"""),"Aaron Barnes")</f>
        <v>Aaron Barnes</v>
      </c>
      <c r="E412" s="12" t="str">
        <f>IFERROR(__xludf.DUMMYFUNCTION("""COMPUTED_VALUE"""),"aaron.barnes@workday.com")</f>
        <v>aaron.barnes@workday.com</v>
      </c>
      <c r="F412" s="12" t="str">
        <f>IFERROR(__xludf.DUMMYFUNCTION("""COMPUTED_VALUE"""),"Deployment Sponsor")</f>
        <v>Deployment Sponsor</v>
      </c>
    </row>
    <row r="413">
      <c r="A413" s="12" t="str">
        <f>IFERROR(__xludf.DUMMYFUNCTION("""COMPUTED_VALUE"""),"a0lVT000006PJdVYAW")</f>
        <v>a0lVT000006PJdVYAW</v>
      </c>
      <c r="B413" s="12" t="str">
        <f>IFERROR(__xludf.DUMMYFUNCTION("""COMPUTED_VALUE"""),"a0rVT00001DXAOnYAP")</f>
        <v>a0rVT00001DXAOnYAP</v>
      </c>
      <c r="C413" s="12" t="str">
        <f>IFERROR(__xludf.DUMMYFUNCTION("""COMPUTED_VALUE"""),"0034X00002xZ9kOQAS")</f>
        <v>0034X00002xZ9kOQAS</v>
      </c>
      <c r="D413" s="12" t="str">
        <f>IFERROR(__xludf.DUMMYFUNCTION("""COMPUTED_VALUE"""),"Vincent Abbruzzese")</f>
        <v>Vincent Abbruzzese</v>
      </c>
      <c r="E413" s="12" t="str">
        <f>IFERROR(__xludf.DUMMYFUNCTION("""COMPUTED_VALUE"""),"vincent.abbruzzese@verizon.com")</f>
        <v>vincent.abbruzzese@verizon.com</v>
      </c>
      <c r="F413" s="12" t="str">
        <f>IFERROR(__xludf.DUMMYFUNCTION("""COMPUTED_VALUE"""),"Project Manager [Customer]")</f>
        <v>Project Manager [Customer]</v>
      </c>
    </row>
    <row r="414">
      <c r="A414" s="12" t="str">
        <f>IFERROR(__xludf.DUMMYFUNCTION("""COMPUTED_VALUE"""),"a0lVT000006O56LYAS")</f>
        <v>a0lVT000006O56LYAS</v>
      </c>
      <c r="B414" s="12" t="str">
        <f>IFERROR(__xludf.DUMMYFUNCTION("""COMPUTED_VALUE"""),"a0rVT00001DXAVGYA5")</f>
        <v>a0rVT00001DXAVGYA5</v>
      </c>
      <c r="C414" s="12" t="str">
        <f>IFERROR(__xludf.DUMMYFUNCTION("""COMPUTED_VALUE"""),"0034X00003EtGr8QAF")</f>
        <v>0034X00003EtGr8QAF</v>
      </c>
      <c r="D414" s="12" t="str">
        <f>IFERROR(__xludf.DUMMYFUNCTION("""COMPUTED_VALUE"""),"Aaron Barnes")</f>
        <v>Aaron Barnes</v>
      </c>
      <c r="E414" s="12" t="str">
        <f>IFERROR(__xludf.DUMMYFUNCTION("""COMPUTED_VALUE"""),"aaron.barnes@workday.com")</f>
        <v>aaron.barnes@workday.com</v>
      </c>
      <c r="F414" s="12" t="str">
        <f>IFERROR(__xludf.DUMMYFUNCTION("""COMPUTED_VALUE"""),"Engagement Manager [Primary]")</f>
        <v>Engagement Manager [Primary]</v>
      </c>
    </row>
    <row r="415">
      <c r="A415" s="12" t="str">
        <f>IFERROR(__xludf.DUMMYFUNCTION("""COMPUTED_VALUE"""),"a0lVT000006NsUDYA0")</f>
        <v>a0lVT000006NsUDYA0</v>
      </c>
      <c r="B415" s="12" t="str">
        <f>IFERROR(__xludf.DUMMYFUNCTION("""COMPUTED_VALUE"""),"a0rVT00001DXBG1YAP")</f>
        <v>a0rVT00001DXBG1YAP</v>
      </c>
      <c r="C415" s="12" t="str">
        <f>IFERROR(__xludf.DUMMYFUNCTION("""COMPUTED_VALUE"""),"0034X00003EtGr8QAF")</f>
        <v>0034X00003EtGr8QAF</v>
      </c>
      <c r="D415" s="12" t="str">
        <f>IFERROR(__xludf.DUMMYFUNCTION("""COMPUTED_VALUE"""),"Aaron Barnes")</f>
        <v>Aaron Barnes</v>
      </c>
      <c r="E415" s="12" t="str">
        <f>IFERROR(__xludf.DUMMYFUNCTION("""COMPUTED_VALUE"""),"aaron.barnes@workday.com")</f>
        <v>aaron.barnes@workday.com</v>
      </c>
      <c r="F415" s="12" t="str">
        <f>IFERROR(__xludf.DUMMYFUNCTION("""COMPUTED_VALUE"""),"Engagement Manager [Primary]")</f>
        <v>Engagement Manager [Primary]</v>
      </c>
    </row>
    <row r="416">
      <c r="A416" s="12" t="str">
        <f>IFERROR(__xludf.DUMMYFUNCTION("""COMPUTED_VALUE"""),"a0lVT000006NzAjYAK")</f>
        <v>a0lVT000006NzAjYAK</v>
      </c>
      <c r="B416" s="12" t="str">
        <f>IFERROR(__xludf.DUMMYFUNCTION("""COMPUTED_VALUE"""),"a0rVT00001DXBHdYAP")</f>
        <v>a0rVT00001DXBHdYAP</v>
      </c>
      <c r="C416" s="12" t="str">
        <f>IFERROR(__xludf.DUMMYFUNCTION("""COMPUTED_VALUE"""),"0034X00003EtGr8QAF")</f>
        <v>0034X00003EtGr8QAF</v>
      </c>
      <c r="D416" s="12" t="str">
        <f>IFERROR(__xludf.DUMMYFUNCTION("""COMPUTED_VALUE"""),"Aaron Barnes")</f>
        <v>Aaron Barnes</v>
      </c>
      <c r="E416" s="12" t="str">
        <f>IFERROR(__xludf.DUMMYFUNCTION("""COMPUTED_VALUE"""),"aaron.barnes@workday.com")</f>
        <v>aaron.barnes@workday.com</v>
      </c>
      <c r="F416" s="12" t="str">
        <f>IFERROR(__xludf.DUMMYFUNCTION("""COMPUTED_VALUE"""),"Engagement Manager [Primary]")</f>
        <v>Engagement Manager [Primary]</v>
      </c>
    </row>
    <row r="417">
      <c r="A417" s="12" t="str">
        <f>IFERROR(__xludf.DUMMYFUNCTION("""COMPUTED_VALUE"""),"a0lVT000006O9UvYAK")</f>
        <v>a0lVT000006O9UvYAK</v>
      </c>
      <c r="B417" s="12" t="str">
        <f>IFERROR(__xludf.DUMMYFUNCTION("""COMPUTED_VALUE"""),"a0rVT00001DXBRLYA5")</f>
        <v>a0rVT00001DXBRLYA5</v>
      </c>
      <c r="C417" s="12" t="str">
        <f>IFERROR(__xludf.DUMMYFUNCTION("""COMPUTED_VALUE"""),"0034X00003EtGr8QAF")</f>
        <v>0034X00003EtGr8QAF</v>
      </c>
      <c r="D417" s="12" t="str">
        <f>IFERROR(__xludf.DUMMYFUNCTION("""COMPUTED_VALUE"""),"Aaron Barnes")</f>
        <v>Aaron Barnes</v>
      </c>
      <c r="E417" s="12" t="str">
        <f>IFERROR(__xludf.DUMMYFUNCTION("""COMPUTED_VALUE"""),"aaron.barnes@workday.com")</f>
        <v>aaron.barnes@workday.com</v>
      </c>
      <c r="F417" s="12" t="str">
        <f>IFERROR(__xludf.DUMMYFUNCTION("""COMPUTED_VALUE"""),"Engagement Manager [Primary]")</f>
        <v>Engagement Manager [Primary]</v>
      </c>
    </row>
    <row r="418">
      <c r="A418" s="12" t="str">
        <f>IFERROR(__xludf.DUMMYFUNCTION("""COMPUTED_VALUE"""),"a0lVT000006O6gjYAC")</f>
        <v>a0lVT000006O6gjYAC</v>
      </c>
      <c r="B418" s="12" t="str">
        <f>IFERROR(__xludf.DUMMYFUNCTION("""COMPUTED_VALUE"""),"a0rVT00001DXBzCYAX")</f>
        <v>a0rVT00001DXBzCYAX</v>
      </c>
      <c r="C418" s="12" t="str">
        <f>IFERROR(__xludf.DUMMYFUNCTION("""COMPUTED_VALUE"""),"0034X00003EtGr8QAF")</f>
        <v>0034X00003EtGr8QAF</v>
      </c>
      <c r="D418" s="12" t="str">
        <f>IFERROR(__xludf.DUMMYFUNCTION("""COMPUTED_VALUE"""),"Aaron Barnes")</f>
        <v>Aaron Barnes</v>
      </c>
      <c r="E418" s="12" t="str">
        <f>IFERROR(__xludf.DUMMYFUNCTION("""COMPUTED_VALUE"""),"aaron.barnes@workday.com")</f>
        <v>aaron.barnes@workday.com</v>
      </c>
      <c r="F418" s="12" t="str">
        <f>IFERROR(__xludf.DUMMYFUNCTION("""COMPUTED_VALUE"""),"Engagement Manager [Primary]")</f>
        <v>Engagement Manager [Primary]</v>
      </c>
    </row>
    <row r="419">
      <c r="A419" s="12" t="str">
        <f>IFERROR(__xludf.DUMMYFUNCTION("""COMPUTED_VALUE"""),"a0lVT000006O5mHYAS")</f>
        <v>a0lVT000006O5mHYAS</v>
      </c>
      <c r="B419" s="12" t="str">
        <f>IFERROR(__xludf.DUMMYFUNCTION("""COMPUTED_VALUE"""),"a0rVT00001DXC0nYAH")</f>
        <v>a0rVT00001DXC0nYAH</v>
      </c>
      <c r="C419" s="12" t="str">
        <f>IFERROR(__xludf.DUMMYFUNCTION("""COMPUTED_VALUE"""),"0034X00003EtGr8QAF")</f>
        <v>0034X00003EtGr8QAF</v>
      </c>
      <c r="D419" s="12" t="str">
        <f>IFERROR(__xludf.DUMMYFUNCTION("""COMPUTED_VALUE"""),"Aaron Barnes")</f>
        <v>Aaron Barnes</v>
      </c>
      <c r="E419" s="12" t="str">
        <f>IFERROR(__xludf.DUMMYFUNCTION("""COMPUTED_VALUE"""),"aaron.barnes@workday.com")</f>
        <v>aaron.barnes@workday.com</v>
      </c>
      <c r="F419" s="12" t="str">
        <f>IFERROR(__xludf.DUMMYFUNCTION("""COMPUTED_VALUE"""),"Engagement Manager [Primary]")</f>
        <v>Engagement Manager [Primary]</v>
      </c>
    </row>
    <row r="420">
      <c r="A420" s="12" t="str">
        <f>IFERROR(__xludf.DUMMYFUNCTION("""COMPUTED_VALUE"""),"a0lVT000006Nz93YAC")</f>
        <v>a0lVT000006Nz93YAC</v>
      </c>
      <c r="B420" s="12" t="str">
        <f>IFERROR(__xludf.DUMMYFUNCTION("""COMPUTED_VALUE"""),"a0rVT00001DXC2QYAX")</f>
        <v>a0rVT00001DXC2QYAX</v>
      </c>
      <c r="C420" s="12" t="str">
        <f>IFERROR(__xludf.DUMMYFUNCTION("""COMPUTED_VALUE"""),"0034X00003EtGr8QAF")</f>
        <v>0034X00003EtGr8QAF</v>
      </c>
      <c r="D420" s="12" t="str">
        <f>IFERROR(__xludf.DUMMYFUNCTION("""COMPUTED_VALUE"""),"Aaron Barnes")</f>
        <v>Aaron Barnes</v>
      </c>
      <c r="E420" s="12" t="str">
        <f>IFERROR(__xludf.DUMMYFUNCTION("""COMPUTED_VALUE"""),"aaron.barnes@workday.com")</f>
        <v>aaron.barnes@workday.com</v>
      </c>
      <c r="F420" s="12" t="str">
        <f>IFERROR(__xludf.DUMMYFUNCTION("""COMPUTED_VALUE"""),"Engagement Manager [Primary]")</f>
        <v>Engagement Manager [Primary]</v>
      </c>
    </row>
    <row r="421">
      <c r="A421" s="12" t="str">
        <f>IFERROR(__xludf.DUMMYFUNCTION("""COMPUTED_VALUE"""),"a0lVT000006NyEfYAK")</f>
        <v>a0lVT000006NyEfYAK</v>
      </c>
      <c r="B421" s="12" t="str">
        <f>IFERROR(__xludf.DUMMYFUNCTION("""COMPUTED_VALUE"""),"a0rVT00001DXC8rYAH")</f>
        <v>a0rVT00001DXC8rYAH</v>
      </c>
      <c r="C421" s="12" t="str">
        <f>IFERROR(__xludf.DUMMYFUNCTION("""COMPUTED_VALUE"""),"0034X00003EtGr8QAF")</f>
        <v>0034X00003EtGr8QAF</v>
      </c>
      <c r="D421" s="12" t="str">
        <f>IFERROR(__xludf.DUMMYFUNCTION("""COMPUTED_VALUE"""),"Aaron Barnes")</f>
        <v>Aaron Barnes</v>
      </c>
      <c r="E421" s="12" t="str">
        <f>IFERROR(__xludf.DUMMYFUNCTION("""COMPUTED_VALUE"""),"aaron.barnes@workday.com")</f>
        <v>aaron.barnes@workday.com</v>
      </c>
      <c r="F421" s="12" t="str">
        <f>IFERROR(__xludf.DUMMYFUNCTION("""COMPUTED_VALUE"""),"Engagement Manager [Primary]")</f>
        <v>Engagement Manager [Primary]</v>
      </c>
    </row>
    <row r="422">
      <c r="A422" s="12" t="str">
        <f>IFERROR(__xludf.DUMMYFUNCTION("""COMPUTED_VALUE"""),"a0lVT000006Nw6XYAS")</f>
        <v>a0lVT000006Nw6XYAS</v>
      </c>
      <c r="B422" s="12" t="str">
        <f>IFERROR(__xludf.DUMMYFUNCTION("""COMPUTED_VALUE"""),"a0rVT00001DXCGwYAP")</f>
        <v>a0rVT00001DXCGwYAP</v>
      </c>
      <c r="C422" s="12" t="str">
        <f>IFERROR(__xludf.DUMMYFUNCTION("""COMPUTED_VALUE"""),"0034X00003EtGr8QAF")</f>
        <v>0034X00003EtGr8QAF</v>
      </c>
      <c r="D422" s="12" t="str">
        <f>IFERROR(__xludf.DUMMYFUNCTION("""COMPUTED_VALUE"""),"Aaron Barnes")</f>
        <v>Aaron Barnes</v>
      </c>
      <c r="E422" s="12" t="str">
        <f>IFERROR(__xludf.DUMMYFUNCTION("""COMPUTED_VALUE"""),"aaron.barnes@workday.com")</f>
        <v>aaron.barnes@workday.com</v>
      </c>
      <c r="F422" s="12" t="str">
        <f>IFERROR(__xludf.DUMMYFUNCTION("""COMPUTED_VALUE"""),"Engagement Manager [Primary]")</f>
        <v>Engagement Manager [Primary]</v>
      </c>
    </row>
    <row r="423">
      <c r="A423" s="12" t="str">
        <f>IFERROR(__xludf.DUMMYFUNCTION("""COMPUTED_VALUE"""),"a0lVT000006PK05YAG")</f>
        <v>a0lVT000006PK05YAG</v>
      </c>
      <c r="B423" s="12" t="str">
        <f>IFERROR(__xludf.DUMMYFUNCTION("""COMPUTED_VALUE"""),"a0rVT00001DXCSDYA5")</f>
        <v>a0rVT00001DXCSDYA5</v>
      </c>
      <c r="C423" s="12" t="str">
        <f>IFERROR(__xludf.DUMMYFUNCTION("""COMPUTED_VALUE"""),"003VT00000fc4sgYAA")</f>
        <v>003VT00000fc4sgYAA</v>
      </c>
      <c r="D423" s="12" t="str">
        <f>IFERROR(__xludf.DUMMYFUNCTION("""COMPUTED_VALUE"""),"Kat Evans")</f>
        <v>Kat Evans</v>
      </c>
      <c r="E423" s="12" t="str">
        <f>IFERROR(__xludf.DUMMYFUNCTION("""COMPUTED_VALUE"""),"kat.matasova@workday.com")</f>
        <v>kat.matasova@workday.com</v>
      </c>
      <c r="F423" s="12" t="str">
        <f>IFERROR(__xludf.DUMMYFUNCTION("""COMPUTED_VALUE"""),"Engagement Manager [Primary]")</f>
        <v>Engagement Manager [Primary]</v>
      </c>
    </row>
    <row r="424">
      <c r="A424" s="12" t="str">
        <f>IFERROR(__xludf.DUMMYFUNCTION("""COMPUTED_VALUE"""),"a0lVT000006NxdVYAS")</f>
        <v>a0lVT000006NxdVYAS</v>
      </c>
      <c r="B424" s="12" t="str">
        <f>IFERROR(__xludf.DUMMYFUNCTION("""COMPUTED_VALUE"""),"a0rVT00001DXCSDYA5")</f>
        <v>a0rVT00001DXCSDYA5</v>
      </c>
      <c r="C424" s="12" t="str">
        <f>IFERROR(__xludf.DUMMYFUNCTION("""COMPUTED_VALUE"""),"0034X00003EtGr8QAF")</f>
        <v>0034X00003EtGr8QAF</v>
      </c>
      <c r="D424" s="12" t="str">
        <f>IFERROR(__xludf.DUMMYFUNCTION("""COMPUTED_VALUE"""),"Aaron Barnes")</f>
        <v>Aaron Barnes</v>
      </c>
      <c r="E424" s="12" t="str">
        <f>IFERROR(__xludf.DUMMYFUNCTION("""COMPUTED_VALUE"""),"aaron.barnes@workday.com")</f>
        <v>aaron.barnes@workday.com</v>
      </c>
      <c r="F424" s="12" t="str">
        <f>IFERROR(__xludf.DUMMYFUNCTION("""COMPUTED_VALUE"""),"Deployment Sponsor")</f>
        <v>Deployment Sponsor</v>
      </c>
    </row>
    <row r="425">
      <c r="A425" s="12" t="str">
        <f>IFERROR(__xludf.DUMMYFUNCTION("""COMPUTED_VALUE"""),"a0lVT000006PK1hYAG")</f>
        <v>a0lVT000006PK1hYAG</v>
      </c>
      <c r="B425" s="12" t="str">
        <f>IFERROR(__xludf.DUMMYFUNCTION("""COMPUTED_VALUE"""),"a0rVT00001DXCSDYA5")</f>
        <v>a0rVT00001DXCSDYA5</v>
      </c>
      <c r="C425" s="12" t="str">
        <f>IFERROR(__xludf.DUMMYFUNCTION("""COMPUTED_VALUE"""),"0034X00003RDauwQAD")</f>
        <v>0034X00003RDauwQAD</v>
      </c>
      <c r="D425" s="12" t="str">
        <f>IFERROR(__xludf.DUMMYFUNCTION("""COMPUTED_VALUE"""),"Michael Jones")</f>
        <v>Michael Jones</v>
      </c>
      <c r="E425" s="12" t="str">
        <f>IFERROR(__xludf.DUMMYFUNCTION("""COMPUTED_VALUE"""),"mwjones@cmh.edu")</f>
        <v>mwjones@cmh.edu</v>
      </c>
      <c r="F425" s="12" t="str">
        <f>IFERROR(__xludf.DUMMYFUNCTION("""COMPUTED_VALUE"""),"Project Manager [Customer]")</f>
        <v>Project Manager [Customer]</v>
      </c>
    </row>
    <row r="426">
      <c r="A426" s="12" t="str">
        <f>IFERROR(__xludf.DUMMYFUNCTION("""COMPUTED_VALUE"""),"a0lVT000006NpsrYAC")</f>
        <v>a0lVT000006NpsrYAC</v>
      </c>
      <c r="B426" s="12" t="str">
        <f>IFERROR(__xludf.DUMMYFUNCTION("""COMPUTED_VALUE"""),"a0rVT00001DXCVRYA5")</f>
        <v>a0rVT00001DXCVRYA5</v>
      </c>
      <c r="C426" s="12" t="str">
        <f>IFERROR(__xludf.DUMMYFUNCTION("""COMPUTED_VALUE"""),"0034X00003EtGr8QAF")</f>
        <v>0034X00003EtGr8QAF</v>
      </c>
      <c r="D426" s="12" t="str">
        <f>IFERROR(__xludf.DUMMYFUNCTION("""COMPUTED_VALUE"""),"Aaron Barnes")</f>
        <v>Aaron Barnes</v>
      </c>
      <c r="E426" s="12" t="str">
        <f>IFERROR(__xludf.DUMMYFUNCTION("""COMPUTED_VALUE"""),"aaron.barnes@workday.com")</f>
        <v>aaron.barnes@workday.com</v>
      </c>
      <c r="F426" s="12" t="str">
        <f>IFERROR(__xludf.DUMMYFUNCTION("""COMPUTED_VALUE"""),"Engagement Manager [Primary]")</f>
        <v>Engagement Manager [Primary]</v>
      </c>
    </row>
    <row r="427">
      <c r="A427" s="12" t="str">
        <f>IFERROR(__xludf.DUMMYFUNCTION("""COMPUTED_VALUE"""),"a0lVT000006NnxdYAC")</f>
        <v>a0lVT000006NnxdYAC</v>
      </c>
      <c r="B427" s="12" t="str">
        <f>IFERROR(__xludf.DUMMYFUNCTION("""COMPUTED_VALUE"""),"a0rVT00001DXCX4YAP")</f>
        <v>a0rVT00001DXCX4YAP</v>
      </c>
      <c r="C427" s="12" t="str">
        <f>IFERROR(__xludf.DUMMYFUNCTION("""COMPUTED_VALUE"""),"0034X00003EtGr8QAF")</f>
        <v>0034X00003EtGr8QAF</v>
      </c>
      <c r="D427" s="12" t="str">
        <f>IFERROR(__xludf.DUMMYFUNCTION("""COMPUTED_VALUE"""),"Aaron Barnes")</f>
        <v>Aaron Barnes</v>
      </c>
      <c r="E427" s="12" t="str">
        <f>IFERROR(__xludf.DUMMYFUNCTION("""COMPUTED_VALUE"""),"aaron.barnes@workday.com")</f>
        <v>aaron.barnes@workday.com</v>
      </c>
      <c r="F427" s="12" t="str">
        <f>IFERROR(__xludf.DUMMYFUNCTION("""COMPUTED_VALUE"""),"Engagement Manager [Primary]")</f>
        <v>Engagement Manager [Primary]</v>
      </c>
    </row>
    <row r="428">
      <c r="A428" s="12" t="str">
        <f>IFERROR(__xludf.DUMMYFUNCTION("""COMPUTED_VALUE"""),"a0lVT000006NsKbYAK")</f>
        <v>a0lVT000006NsKbYAK</v>
      </c>
      <c r="B428" s="12" t="str">
        <f>IFERROR(__xludf.DUMMYFUNCTION("""COMPUTED_VALUE"""),"a0rVT00001DXCYfYAP")</f>
        <v>a0rVT00001DXCYfYAP</v>
      </c>
      <c r="C428" s="12" t="str">
        <f>IFERROR(__xludf.DUMMYFUNCTION("""COMPUTED_VALUE"""),"0034X00003EtGr8QAF")</f>
        <v>0034X00003EtGr8QAF</v>
      </c>
      <c r="D428" s="12" t="str">
        <f>IFERROR(__xludf.DUMMYFUNCTION("""COMPUTED_VALUE"""),"Aaron Barnes")</f>
        <v>Aaron Barnes</v>
      </c>
      <c r="E428" s="12" t="str">
        <f>IFERROR(__xludf.DUMMYFUNCTION("""COMPUTED_VALUE"""),"aaron.barnes@workday.com")</f>
        <v>aaron.barnes@workday.com</v>
      </c>
      <c r="F428" s="12" t="str">
        <f>IFERROR(__xludf.DUMMYFUNCTION("""COMPUTED_VALUE"""),"Engagement Manager [Primary]")</f>
        <v>Engagement Manager [Primary]</v>
      </c>
    </row>
    <row r="429">
      <c r="A429" s="12" t="str">
        <f>IFERROR(__xludf.DUMMYFUNCTION("""COMPUTED_VALUE"""),"a0lVT000006O6GvYAK")</f>
        <v>a0lVT000006O6GvYAK</v>
      </c>
      <c r="B429" s="12" t="str">
        <f>IFERROR(__xludf.DUMMYFUNCTION("""COMPUTED_VALUE"""),"a0rVT00001DXCdVYAX")</f>
        <v>a0rVT00001DXCdVYAX</v>
      </c>
      <c r="C429" s="12" t="str">
        <f>IFERROR(__xludf.DUMMYFUNCTION("""COMPUTED_VALUE"""),"0034X00003EtGr8QAF")</f>
        <v>0034X00003EtGr8QAF</v>
      </c>
      <c r="D429" s="12" t="str">
        <f>IFERROR(__xludf.DUMMYFUNCTION("""COMPUTED_VALUE"""),"Aaron Barnes")</f>
        <v>Aaron Barnes</v>
      </c>
      <c r="E429" s="12" t="str">
        <f>IFERROR(__xludf.DUMMYFUNCTION("""COMPUTED_VALUE"""),"aaron.barnes@workday.com")</f>
        <v>aaron.barnes@workday.com</v>
      </c>
      <c r="F429" s="12" t="str">
        <f>IFERROR(__xludf.DUMMYFUNCTION("""COMPUTED_VALUE"""),"Engagement Manager [Primary]")</f>
        <v>Engagement Manager [Primary]</v>
      </c>
    </row>
    <row r="430">
      <c r="A430" s="12" t="str">
        <f>IFERROR(__xludf.DUMMYFUNCTION("""COMPUTED_VALUE"""),"a0lVT000006O6NNYA0")</f>
        <v>a0lVT000006O6NNYA0</v>
      </c>
      <c r="B430" s="12" t="str">
        <f>IFERROR(__xludf.DUMMYFUNCTION("""COMPUTED_VALUE"""),"a0rVT00001DXCqPYAX")</f>
        <v>a0rVT00001DXCqPYAX</v>
      </c>
      <c r="C430" s="12" t="str">
        <f>IFERROR(__xludf.DUMMYFUNCTION("""COMPUTED_VALUE"""),"0034X00003EtGr8QAF")</f>
        <v>0034X00003EtGr8QAF</v>
      </c>
      <c r="D430" s="12" t="str">
        <f>IFERROR(__xludf.DUMMYFUNCTION("""COMPUTED_VALUE"""),"Aaron Barnes")</f>
        <v>Aaron Barnes</v>
      </c>
      <c r="E430" s="12" t="str">
        <f>IFERROR(__xludf.DUMMYFUNCTION("""COMPUTED_VALUE"""),"aaron.barnes@workday.com")</f>
        <v>aaron.barnes@workday.com</v>
      </c>
      <c r="F430" s="12" t="str">
        <f>IFERROR(__xludf.DUMMYFUNCTION("""COMPUTED_VALUE"""),"Engagement Manager [Primary]")</f>
        <v>Engagement Manager [Primary]</v>
      </c>
    </row>
    <row r="431">
      <c r="A431" s="12" t="str">
        <f>IFERROR(__xludf.DUMMYFUNCTION("""COMPUTED_VALUE"""),"a0lVT000006O71hYAC")</f>
        <v>a0lVT000006O71hYAC</v>
      </c>
      <c r="B431" s="12" t="str">
        <f>IFERROR(__xludf.DUMMYFUNCTION("""COMPUTED_VALUE"""),"a0rVT00001DXCwsYAH")</f>
        <v>a0rVT00001DXCwsYAH</v>
      </c>
      <c r="C431" s="12" t="str">
        <f>IFERROR(__xludf.DUMMYFUNCTION("""COMPUTED_VALUE"""),"0034X00003EtGr8QAF")</f>
        <v>0034X00003EtGr8QAF</v>
      </c>
      <c r="D431" s="12" t="str">
        <f>IFERROR(__xludf.DUMMYFUNCTION("""COMPUTED_VALUE"""),"Aaron Barnes")</f>
        <v>Aaron Barnes</v>
      </c>
      <c r="E431" s="12" t="str">
        <f>IFERROR(__xludf.DUMMYFUNCTION("""COMPUTED_VALUE"""),"aaron.barnes@workday.com")</f>
        <v>aaron.barnes@workday.com</v>
      </c>
      <c r="F431" s="12" t="str">
        <f>IFERROR(__xludf.DUMMYFUNCTION("""COMPUTED_VALUE"""),"Engagement Manager [Primary]")</f>
        <v>Engagement Manager [Primary]</v>
      </c>
    </row>
    <row r="432">
      <c r="A432" s="12" t="str">
        <f>IFERROR(__xludf.DUMMYFUNCTION("""COMPUTED_VALUE"""),"a0lVT000006O6aHYAS")</f>
        <v>a0lVT000006O6aHYAS</v>
      </c>
      <c r="B432" s="12" t="str">
        <f>IFERROR(__xludf.DUMMYFUNCTION("""COMPUTED_VALUE"""),"a0rVT00001DXDBNYA5")</f>
        <v>a0rVT00001DXDBNYA5</v>
      </c>
      <c r="C432" s="12" t="str">
        <f>IFERROR(__xludf.DUMMYFUNCTION("""COMPUTED_VALUE"""),"0034X00003EtGr8QAF")</f>
        <v>0034X00003EtGr8QAF</v>
      </c>
      <c r="D432" s="12" t="str">
        <f>IFERROR(__xludf.DUMMYFUNCTION("""COMPUTED_VALUE"""),"Aaron Barnes")</f>
        <v>Aaron Barnes</v>
      </c>
      <c r="E432" s="12" t="str">
        <f>IFERROR(__xludf.DUMMYFUNCTION("""COMPUTED_VALUE"""),"aaron.barnes@workday.com")</f>
        <v>aaron.barnes@workday.com</v>
      </c>
      <c r="F432" s="12" t="str">
        <f>IFERROR(__xludf.DUMMYFUNCTION("""COMPUTED_VALUE"""),"Engagement Manager [Primary]")</f>
        <v>Engagement Manager [Primary]</v>
      </c>
    </row>
    <row r="433">
      <c r="A433" s="12" t="str">
        <f>IFERROR(__xludf.DUMMYFUNCTION("""COMPUTED_VALUE"""),"a0lVT000006O8VeYAK")</f>
        <v>a0lVT000006O8VeYAK</v>
      </c>
      <c r="B433" s="12" t="str">
        <f>IFERROR(__xludf.DUMMYFUNCTION("""COMPUTED_VALUE"""),"a0rVT00001DXDBPYA5")</f>
        <v>a0rVT00001DXDBPYA5</v>
      </c>
      <c r="C433" s="12" t="str">
        <f>IFERROR(__xludf.DUMMYFUNCTION("""COMPUTED_VALUE"""),"0034X00003EtGr8QAF")</f>
        <v>0034X00003EtGr8QAF</v>
      </c>
      <c r="D433" s="12" t="str">
        <f>IFERROR(__xludf.DUMMYFUNCTION("""COMPUTED_VALUE"""),"Aaron Barnes")</f>
        <v>Aaron Barnes</v>
      </c>
      <c r="E433" s="12" t="str">
        <f>IFERROR(__xludf.DUMMYFUNCTION("""COMPUTED_VALUE"""),"aaron.barnes@workday.com")</f>
        <v>aaron.barnes@workday.com</v>
      </c>
      <c r="F433" s="12" t="str">
        <f>IFERROR(__xludf.DUMMYFUNCTION("""COMPUTED_VALUE"""),"Engagement Manager [Primary]")</f>
        <v>Engagement Manager [Primary]</v>
      </c>
    </row>
    <row r="434">
      <c r="A434" s="12" t="str">
        <f>IFERROR(__xludf.DUMMYFUNCTION("""COMPUTED_VALUE"""),"a0lVT000006O6dVYAS")</f>
        <v>a0lVT000006O6dVYAS</v>
      </c>
      <c r="B434" s="12" t="str">
        <f>IFERROR(__xludf.DUMMYFUNCTION("""COMPUTED_VALUE"""),"a0rVT00001DXDGDYA5")</f>
        <v>a0rVT00001DXDGDYA5</v>
      </c>
      <c r="C434" s="12" t="str">
        <f>IFERROR(__xludf.DUMMYFUNCTION("""COMPUTED_VALUE"""),"0034X00003EtGr8QAF")</f>
        <v>0034X00003EtGr8QAF</v>
      </c>
      <c r="D434" s="12" t="str">
        <f>IFERROR(__xludf.DUMMYFUNCTION("""COMPUTED_VALUE"""),"Aaron Barnes")</f>
        <v>Aaron Barnes</v>
      </c>
      <c r="E434" s="12" t="str">
        <f>IFERROR(__xludf.DUMMYFUNCTION("""COMPUTED_VALUE"""),"aaron.barnes@workday.com")</f>
        <v>aaron.barnes@workday.com</v>
      </c>
      <c r="F434" s="12" t="str">
        <f>IFERROR(__xludf.DUMMYFUNCTION("""COMPUTED_VALUE"""),"Engagement Manager [Primary]")</f>
        <v>Engagement Manager [Primary]</v>
      </c>
    </row>
    <row r="435">
      <c r="A435" s="12" t="str">
        <f>IFERROR(__xludf.DUMMYFUNCTION("""COMPUTED_VALUE"""),"a0lVT000006O6f7YAC")</f>
        <v>a0lVT000006O6f7YAC</v>
      </c>
      <c r="B435" s="12" t="str">
        <f>IFERROR(__xludf.DUMMYFUNCTION("""COMPUTED_VALUE"""),"a0rVT00001DXDHpYAP")</f>
        <v>a0rVT00001DXDHpYAP</v>
      </c>
      <c r="C435" s="12" t="str">
        <f>IFERROR(__xludf.DUMMYFUNCTION("""COMPUTED_VALUE"""),"0034X00003EtGr8QAF")</f>
        <v>0034X00003EtGr8QAF</v>
      </c>
      <c r="D435" s="12" t="str">
        <f>IFERROR(__xludf.DUMMYFUNCTION("""COMPUTED_VALUE"""),"Aaron Barnes")</f>
        <v>Aaron Barnes</v>
      </c>
      <c r="E435" s="12" t="str">
        <f>IFERROR(__xludf.DUMMYFUNCTION("""COMPUTED_VALUE"""),"aaron.barnes@workday.com")</f>
        <v>aaron.barnes@workday.com</v>
      </c>
      <c r="F435" s="12" t="str">
        <f>IFERROR(__xludf.DUMMYFUNCTION("""COMPUTED_VALUE"""),"Engagement Manager [Primary]")</f>
        <v>Engagement Manager [Primary]</v>
      </c>
    </row>
    <row r="436">
      <c r="A436" s="12" t="str">
        <f>IFERROR(__xludf.DUMMYFUNCTION("""COMPUTED_VALUE"""),"a0lVT000006Nue5YAC")</f>
        <v>a0lVT000006Nue5YAC</v>
      </c>
      <c r="B436" s="12" t="str">
        <f>IFERROR(__xludf.DUMMYFUNCTION("""COMPUTED_VALUE"""),"a0rVT00001DXDphYAH")</f>
        <v>a0rVT00001DXDphYAH</v>
      </c>
      <c r="C436" s="12" t="str">
        <f>IFERROR(__xludf.DUMMYFUNCTION("""COMPUTED_VALUE"""),"0034X00003EtGr8QAF")</f>
        <v>0034X00003EtGr8QAF</v>
      </c>
      <c r="D436" s="12" t="str">
        <f>IFERROR(__xludf.DUMMYFUNCTION("""COMPUTED_VALUE"""),"Aaron Barnes")</f>
        <v>Aaron Barnes</v>
      </c>
      <c r="E436" s="12" t="str">
        <f>IFERROR(__xludf.DUMMYFUNCTION("""COMPUTED_VALUE"""),"aaron.barnes@workday.com")</f>
        <v>aaron.barnes@workday.com</v>
      </c>
      <c r="F436" s="12" t="str">
        <f>IFERROR(__xludf.DUMMYFUNCTION("""COMPUTED_VALUE"""),"Engagement Manager [Primary]")</f>
        <v>Engagement Manager [Primary]</v>
      </c>
    </row>
    <row r="437">
      <c r="A437" s="12" t="str">
        <f>IFERROR(__xludf.DUMMYFUNCTION("""COMPUTED_VALUE"""),"a0lVT000006O8iXYAS")</f>
        <v>a0lVT000006O8iXYAS</v>
      </c>
      <c r="B437" s="12" t="str">
        <f>IFERROR(__xludf.DUMMYFUNCTION("""COMPUTED_VALUE"""),"a0rVT00001DXDzOYAX")</f>
        <v>a0rVT00001DXDzOYAX</v>
      </c>
      <c r="C437" s="12" t="str">
        <f>IFERROR(__xludf.DUMMYFUNCTION("""COMPUTED_VALUE"""),"0034X00003EtGr8QAF")</f>
        <v>0034X00003EtGr8QAF</v>
      </c>
      <c r="D437" s="12" t="str">
        <f>IFERROR(__xludf.DUMMYFUNCTION("""COMPUTED_VALUE"""),"Aaron Barnes")</f>
        <v>Aaron Barnes</v>
      </c>
      <c r="E437" s="12" t="str">
        <f>IFERROR(__xludf.DUMMYFUNCTION("""COMPUTED_VALUE"""),"aaron.barnes@workday.com")</f>
        <v>aaron.barnes@workday.com</v>
      </c>
      <c r="F437" s="12" t="str">
        <f>IFERROR(__xludf.DUMMYFUNCTION("""COMPUTED_VALUE"""),"Engagement Manager [Primary]")</f>
        <v>Engagement Manager [Primary]</v>
      </c>
    </row>
    <row r="438">
      <c r="A438" s="12" t="str">
        <f>IFERROR(__xludf.DUMMYFUNCTION("""COMPUTED_VALUE"""),"a0lVT000006NuvtYAC")</f>
        <v>a0lVT000006NuvtYAC</v>
      </c>
      <c r="B438" s="12" t="str">
        <f>IFERROR(__xludf.DUMMYFUNCTION("""COMPUTED_VALUE"""),"a0rVT00001DXE4EYAX")</f>
        <v>a0rVT00001DXE4EYAX</v>
      </c>
      <c r="C438" s="12" t="str">
        <f>IFERROR(__xludf.DUMMYFUNCTION("""COMPUTED_VALUE"""),"0034X00003EtGr8QAF")</f>
        <v>0034X00003EtGr8QAF</v>
      </c>
      <c r="D438" s="12" t="str">
        <f>IFERROR(__xludf.DUMMYFUNCTION("""COMPUTED_VALUE"""),"Aaron Barnes")</f>
        <v>Aaron Barnes</v>
      </c>
      <c r="E438" s="12" t="str">
        <f>IFERROR(__xludf.DUMMYFUNCTION("""COMPUTED_VALUE"""),"aaron.barnes@workday.com")</f>
        <v>aaron.barnes@workday.com</v>
      </c>
      <c r="F438" s="12" t="str">
        <f>IFERROR(__xludf.DUMMYFUNCTION("""COMPUTED_VALUE"""),"Engagement Manager [Primary]")</f>
        <v>Engagement Manager [Primary]</v>
      </c>
    </row>
    <row r="439">
      <c r="A439" s="12" t="str">
        <f>IFERROR(__xludf.DUMMYFUNCTION("""COMPUTED_VALUE"""),"a0lVT000006O57zYAC")</f>
        <v>a0lVT000006O57zYAC</v>
      </c>
      <c r="B439" s="12" t="str">
        <f>IFERROR(__xludf.DUMMYFUNCTION("""COMPUTED_VALUE"""),"a0rVT00001DXEDtYAP")</f>
        <v>a0rVT00001DXEDtYAP</v>
      </c>
      <c r="C439" s="12" t="str">
        <f>IFERROR(__xludf.DUMMYFUNCTION("""COMPUTED_VALUE"""),"0034X00003EtGr8QAF")</f>
        <v>0034X00003EtGr8QAF</v>
      </c>
      <c r="D439" s="12" t="str">
        <f>IFERROR(__xludf.DUMMYFUNCTION("""COMPUTED_VALUE"""),"Aaron Barnes")</f>
        <v>Aaron Barnes</v>
      </c>
      <c r="E439" s="12" t="str">
        <f>IFERROR(__xludf.DUMMYFUNCTION("""COMPUTED_VALUE"""),"aaron.barnes@workday.com")</f>
        <v>aaron.barnes@workday.com</v>
      </c>
      <c r="F439" s="12" t="str">
        <f>IFERROR(__xludf.DUMMYFUNCTION("""COMPUTED_VALUE"""),"Engagement Manager [Primary]")</f>
        <v>Engagement Manager [Primary]</v>
      </c>
    </row>
    <row r="440">
      <c r="A440" s="12" t="str">
        <f>IFERROR(__xludf.DUMMYFUNCTION("""COMPUTED_VALUE"""),"a0lVT000006NoSDYA0")</f>
        <v>a0lVT000006NoSDYA0</v>
      </c>
      <c r="B440" s="12" t="str">
        <f>IFERROR(__xludf.DUMMYFUNCTION("""COMPUTED_VALUE"""),"a0rVT00001DXEFWYA5")</f>
        <v>a0rVT00001DXEFWYA5</v>
      </c>
      <c r="C440" s="12" t="str">
        <f>IFERROR(__xludf.DUMMYFUNCTION("""COMPUTED_VALUE"""),"0034X00003EtGr8QAF")</f>
        <v>0034X00003EtGr8QAF</v>
      </c>
      <c r="D440" s="12" t="str">
        <f>IFERROR(__xludf.DUMMYFUNCTION("""COMPUTED_VALUE"""),"Aaron Barnes")</f>
        <v>Aaron Barnes</v>
      </c>
      <c r="E440" s="12" t="str">
        <f>IFERROR(__xludf.DUMMYFUNCTION("""COMPUTED_VALUE"""),"aaron.barnes@workday.com")</f>
        <v>aaron.barnes@workday.com</v>
      </c>
      <c r="F440" s="12" t="str">
        <f>IFERROR(__xludf.DUMMYFUNCTION("""COMPUTED_VALUE"""),"Engagement Manager [Primary]")</f>
        <v>Engagement Manager [Primary]</v>
      </c>
    </row>
    <row r="441">
      <c r="A441" s="12" t="str">
        <f>IFERROR(__xludf.DUMMYFUNCTION("""COMPUTED_VALUE"""),"a0lVT000006O7JRYA0")</f>
        <v>a0lVT000006O7JRYA0</v>
      </c>
      <c r="B441" s="12" t="str">
        <f>IFERROR(__xludf.DUMMYFUNCTION("""COMPUTED_VALUE"""),"a0rVT00001DXEPBYA5")</f>
        <v>a0rVT00001DXEPBYA5</v>
      </c>
      <c r="C441" s="12" t="str">
        <f>IFERROR(__xludf.DUMMYFUNCTION("""COMPUTED_VALUE"""),"0034X00003EtGr8QAF")</f>
        <v>0034X00003EtGr8QAF</v>
      </c>
      <c r="D441" s="12" t="str">
        <f>IFERROR(__xludf.DUMMYFUNCTION("""COMPUTED_VALUE"""),"Aaron Barnes")</f>
        <v>Aaron Barnes</v>
      </c>
      <c r="E441" s="12" t="str">
        <f>IFERROR(__xludf.DUMMYFUNCTION("""COMPUTED_VALUE"""),"aaron.barnes@workday.com")</f>
        <v>aaron.barnes@workday.com</v>
      </c>
      <c r="F441" s="12" t="str">
        <f>IFERROR(__xludf.DUMMYFUNCTION("""COMPUTED_VALUE"""),"Engagement Manager [Primary]")</f>
        <v>Engagement Manager [Primary]</v>
      </c>
    </row>
    <row r="442">
      <c r="A442" s="12" t="str">
        <f>IFERROR(__xludf.DUMMYFUNCTION("""COMPUTED_VALUE"""),"a0lVT000006O4lOYAS")</f>
        <v>a0lVT000006O4lOYAS</v>
      </c>
      <c r="B442" s="12" t="str">
        <f>IFERROR(__xludf.DUMMYFUNCTION("""COMPUTED_VALUE"""),"a0rVT00001DXEQoYAP")</f>
        <v>a0rVT00001DXEQoYAP</v>
      </c>
      <c r="C442" s="12" t="str">
        <f>IFERROR(__xludf.DUMMYFUNCTION("""COMPUTED_VALUE"""),"0034X00003EtGr8QAF")</f>
        <v>0034X00003EtGr8QAF</v>
      </c>
      <c r="D442" s="12" t="str">
        <f>IFERROR(__xludf.DUMMYFUNCTION("""COMPUTED_VALUE"""),"Aaron Barnes")</f>
        <v>Aaron Barnes</v>
      </c>
      <c r="E442" s="12" t="str">
        <f>IFERROR(__xludf.DUMMYFUNCTION("""COMPUTED_VALUE"""),"aaron.barnes@workday.com")</f>
        <v>aaron.barnes@workday.com</v>
      </c>
      <c r="F442" s="12" t="str">
        <f>IFERROR(__xludf.DUMMYFUNCTION("""COMPUTED_VALUE"""),"Engagement Manager [Primary]")</f>
        <v>Engagement Manager [Primary]</v>
      </c>
    </row>
    <row r="443">
      <c r="A443" s="12" t="str">
        <f>IFERROR(__xludf.DUMMYFUNCTION("""COMPUTED_VALUE"""),"a0lVT000006O0ZmYAK")</f>
        <v>a0lVT000006O0ZmYAK</v>
      </c>
      <c r="B443" s="12" t="str">
        <f>IFERROR(__xludf.DUMMYFUNCTION("""COMPUTED_VALUE"""),"a0rVT00001DXEYrYAP")</f>
        <v>a0rVT00001DXEYrYAP</v>
      </c>
      <c r="C443" s="12" t="str">
        <f>IFERROR(__xludf.DUMMYFUNCTION("""COMPUTED_VALUE"""),"0034X00003EtGr8QAF")</f>
        <v>0034X00003EtGr8QAF</v>
      </c>
      <c r="D443" s="12" t="str">
        <f>IFERROR(__xludf.DUMMYFUNCTION("""COMPUTED_VALUE"""),"Aaron Barnes")</f>
        <v>Aaron Barnes</v>
      </c>
      <c r="E443" s="12" t="str">
        <f>IFERROR(__xludf.DUMMYFUNCTION("""COMPUTED_VALUE"""),"aaron.barnes@workday.com")</f>
        <v>aaron.barnes@workday.com</v>
      </c>
      <c r="F443" s="12" t="str">
        <f>IFERROR(__xludf.DUMMYFUNCTION("""COMPUTED_VALUE"""),"Engagement Manager [Primary]")</f>
        <v>Engagement Manager [Primary]</v>
      </c>
    </row>
    <row r="444">
      <c r="A444" s="12" t="str">
        <f>IFERROR(__xludf.DUMMYFUNCTION("""COMPUTED_VALUE"""),"a0lVT000006NqKIYA0")</f>
        <v>a0lVT000006NqKIYA0</v>
      </c>
      <c r="B444" s="12" t="str">
        <f>IFERROR(__xludf.DUMMYFUNCTION("""COMPUTED_VALUE"""),"a0rVT00001DXEaTYAX")</f>
        <v>a0rVT00001DXEaTYAX</v>
      </c>
      <c r="C444" s="12" t="str">
        <f>IFERROR(__xludf.DUMMYFUNCTION("""COMPUTED_VALUE"""),"0034X00003EtGr8QAF")</f>
        <v>0034X00003EtGr8QAF</v>
      </c>
      <c r="D444" s="12" t="str">
        <f>IFERROR(__xludf.DUMMYFUNCTION("""COMPUTED_VALUE"""),"Aaron Barnes")</f>
        <v>Aaron Barnes</v>
      </c>
      <c r="E444" s="12" t="str">
        <f>IFERROR(__xludf.DUMMYFUNCTION("""COMPUTED_VALUE"""),"aaron.barnes@workday.com")</f>
        <v>aaron.barnes@workday.com</v>
      </c>
      <c r="F444" s="12" t="str">
        <f>IFERROR(__xludf.DUMMYFUNCTION("""COMPUTED_VALUE"""),"Engagement Manager [Primary]")</f>
        <v>Engagement Manager [Primary]</v>
      </c>
    </row>
    <row r="445">
      <c r="A445" s="12" t="str">
        <f>IFERROR(__xludf.DUMMYFUNCTION("""COMPUTED_VALUE"""),"a0lVT000006NwnxYAC")</f>
        <v>a0lVT000006NwnxYAC</v>
      </c>
      <c r="B445" s="12" t="str">
        <f>IFERROR(__xludf.DUMMYFUNCTION("""COMPUTED_VALUE"""),"a0rVT00001DXEiXYAX")</f>
        <v>a0rVT00001DXEiXYAX</v>
      </c>
      <c r="C445" s="12" t="str">
        <f>IFERROR(__xludf.DUMMYFUNCTION("""COMPUTED_VALUE"""),"0034X00003EtGr8QAF")</f>
        <v>0034X00003EtGr8QAF</v>
      </c>
      <c r="D445" s="12" t="str">
        <f>IFERROR(__xludf.DUMMYFUNCTION("""COMPUTED_VALUE"""),"Aaron Barnes")</f>
        <v>Aaron Barnes</v>
      </c>
      <c r="E445" s="12" t="str">
        <f>IFERROR(__xludf.DUMMYFUNCTION("""COMPUTED_VALUE"""),"aaron.barnes@workday.com")</f>
        <v>aaron.barnes@workday.com</v>
      </c>
      <c r="F445" s="12" t="str">
        <f>IFERROR(__xludf.DUMMYFUNCTION("""COMPUTED_VALUE"""),"Engagement Manager [Primary]")</f>
        <v>Engagement Manager [Primary]</v>
      </c>
    </row>
    <row r="446">
      <c r="A446" s="12" t="str">
        <f>IFERROR(__xludf.DUMMYFUNCTION("""COMPUTED_VALUE"""),"a0lVT000006O7ZZYA0")</f>
        <v>a0lVT000006O7ZZYA0</v>
      </c>
      <c r="B446" s="12" t="str">
        <f>IFERROR(__xludf.DUMMYFUNCTION("""COMPUTED_VALUE"""),"a0rVT00001DXEtpYAH")</f>
        <v>a0rVT00001DXEtpYAH</v>
      </c>
      <c r="C446" s="12" t="str">
        <f>IFERROR(__xludf.DUMMYFUNCTION("""COMPUTED_VALUE"""),"0034X00003EtGr8QAF")</f>
        <v>0034X00003EtGr8QAF</v>
      </c>
      <c r="D446" s="12" t="str">
        <f>IFERROR(__xludf.DUMMYFUNCTION("""COMPUTED_VALUE"""),"Aaron Barnes")</f>
        <v>Aaron Barnes</v>
      </c>
      <c r="E446" s="12" t="str">
        <f>IFERROR(__xludf.DUMMYFUNCTION("""COMPUTED_VALUE"""),"aaron.barnes@workday.com")</f>
        <v>aaron.barnes@workday.com</v>
      </c>
      <c r="F446" s="12" t="str">
        <f>IFERROR(__xludf.DUMMYFUNCTION("""COMPUTED_VALUE"""),"Engagement Manager [Primary]")</f>
        <v>Engagement Manager [Primary]</v>
      </c>
    </row>
    <row r="447">
      <c r="A447" s="12" t="str">
        <f>IFERROR(__xludf.DUMMYFUNCTION("""COMPUTED_VALUE"""),"a0lVT000006NuxRYAS")</f>
        <v>a0lVT000006NuxRYAS</v>
      </c>
      <c r="B447" s="12" t="str">
        <f>IFERROR(__xludf.DUMMYFUNCTION("""COMPUTED_VALUE"""),"a0rVT00001DXF0HYAX")</f>
        <v>a0rVT00001DXF0HYAX</v>
      </c>
      <c r="C447" s="12" t="str">
        <f>IFERROR(__xludf.DUMMYFUNCTION("""COMPUTED_VALUE"""),"0034X00003EtGr8QAF")</f>
        <v>0034X00003EtGr8QAF</v>
      </c>
      <c r="D447" s="12" t="str">
        <f>IFERROR(__xludf.DUMMYFUNCTION("""COMPUTED_VALUE"""),"Aaron Barnes")</f>
        <v>Aaron Barnes</v>
      </c>
      <c r="E447" s="12" t="str">
        <f>IFERROR(__xludf.DUMMYFUNCTION("""COMPUTED_VALUE"""),"aaron.barnes@workday.com")</f>
        <v>aaron.barnes@workday.com</v>
      </c>
      <c r="F447" s="12" t="str">
        <f>IFERROR(__xludf.DUMMYFUNCTION("""COMPUTED_VALUE"""),"Engagement Manager [Primary]")</f>
        <v>Engagement Manager [Primary]</v>
      </c>
    </row>
    <row r="448">
      <c r="A448" s="12" t="str">
        <f>IFERROR(__xludf.DUMMYFUNCTION("""COMPUTED_VALUE"""),"a0lVT000006O7phYAC")</f>
        <v>a0lVT000006O7phYAC</v>
      </c>
      <c r="B448" s="12" t="str">
        <f>IFERROR(__xludf.DUMMYFUNCTION("""COMPUTED_VALUE"""),"a0rVT00001DXF6jYAH")</f>
        <v>a0rVT00001DXF6jYAH</v>
      </c>
      <c r="C448" s="12" t="str">
        <f>IFERROR(__xludf.DUMMYFUNCTION("""COMPUTED_VALUE"""),"0034X00003EtGr8QAF")</f>
        <v>0034X00003EtGr8QAF</v>
      </c>
      <c r="D448" s="12" t="str">
        <f>IFERROR(__xludf.DUMMYFUNCTION("""COMPUTED_VALUE"""),"Aaron Barnes")</f>
        <v>Aaron Barnes</v>
      </c>
      <c r="E448" s="12" t="str">
        <f>IFERROR(__xludf.DUMMYFUNCTION("""COMPUTED_VALUE"""),"aaron.barnes@workday.com")</f>
        <v>aaron.barnes@workday.com</v>
      </c>
      <c r="F448" s="12" t="str">
        <f>IFERROR(__xludf.DUMMYFUNCTION("""COMPUTED_VALUE"""),"Engagement Manager [Primary]")</f>
        <v>Engagement Manager [Primary]</v>
      </c>
    </row>
    <row r="449">
      <c r="A449" s="12" t="str">
        <f>IFERROR(__xludf.DUMMYFUNCTION("""COMPUTED_VALUE"""),"a0lVT000006O1dwYAC")</f>
        <v>a0lVT000006O1dwYAC</v>
      </c>
      <c r="B449" s="12" t="str">
        <f>IFERROR(__xludf.DUMMYFUNCTION("""COMPUTED_VALUE"""),"a0rVT00001DXFEpYAP")</f>
        <v>a0rVT00001DXFEpYAP</v>
      </c>
      <c r="C449" s="12" t="str">
        <f>IFERROR(__xludf.DUMMYFUNCTION("""COMPUTED_VALUE"""),"0034X00003EtGr8QAF")</f>
        <v>0034X00003EtGr8QAF</v>
      </c>
      <c r="D449" s="12" t="str">
        <f>IFERROR(__xludf.DUMMYFUNCTION("""COMPUTED_VALUE"""),"Aaron Barnes")</f>
        <v>Aaron Barnes</v>
      </c>
      <c r="E449" s="12" t="str">
        <f>IFERROR(__xludf.DUMMYFUNCTION("""COMPUTED_VALUE"""),"aaron.barnes@workday.com")</f>
        <v>aaron.barnes@workday.com</v>
      </c>
      <c r="F449" s="12" t="str">
        <f>IFERROR(__xludf.DUMMYFUNCTION("""COMPUTED_VALUE"""),"Engagement Manager [Primary]")</f>
        <v>Engagement Manager [Primary]</v>
      </c>
    </row>
    <row r="450">
      <c r="A450" s="12" t="str">
        <f>IFERROR(__xludf.DUMMYFUNCTION("""COMPUTED_VALUE"""),"a0lVT000006O6f9YAC")</f>
        <v>a0lVT000006O6f9YAC</v>
      </c>
      <c r="B450" s="12" t="str">
        <f>IFERROR(__xludf.DUMMYFUNCTION("""COMPUTED_VALUE"""),"a0rVT00001DXFJdYAP")</f>
        <v>a0rVT00001DXFJdYAP</v>
      </c>
      <c r="C450" s="12" t="str">
        <f>IFERROR(__xludf.DUMMYFUNCTION("""COMPUTED_VALUE"""),"0034X00003EtGr8QAF")</f>
        <v>0034X00003EtGr8QAF</v>
      </c>
      <c r="D450" s="12" t="str">
        <f>IFERROR(__xludf.DUMMYFUNCTION("""COMPUTED_VALUE"""),"Aaron Barnes")</f>
        <v>Aaron Barnes</v>
      </c>
      <c r="E450" s="12" t="str">
        <f>IFERROR(__xludf.DUMMYFUNCTION("""COMPUTED_VALUE"""),"aaron.barnes@workday.com")</f>
        <v>aaron.barnes@workday.com</v>
      </c>
      <c r="F450" s="12" t="str">
        <f>IFERROR(__xludf.DUMMYFUNCTION("""COMPUTED_VALUE"""),"Engagement Manager [Primary]")</f>
        <v>Engagement Manager [Primary]</v>
      </c>
    </row>
    <row r="451">
      <c r="A451" s="12" t="str">
        <f>IFERROR(__xludf.DUMMYFUNCTION("""COMPUTED_VALUE"""),"a0lVT000006NtTWYA0")</f>
        <v>a0lVT000006NtTWYA0</v>
      </c>
      <c r="B451" s="12" t="str">
        <f>IFERROR(__xludf.DUMMYFUNCTION("""COMPUTED_VALUE"""),"a0rVT00001DXFRhYAP")</f>
        <v>a0rVT00001DXFRhYAP</v>
      </c>
      <c r="C451" s="12" t="str">
        <f>IFERROR(__xludf.DUMMYFUNCTION("""COMPUTED_VALUE"""),"0034X00003EtGr8QAF")</f>
        <v>0034X00003EtGr8QAF</v>
      </c>
      <c r="D451" s="12" t="str">
        <f>IFERROR(__xludf.DUMMYFUNCTION("""COMPUTED_VALUE"""),"Aaron Barnes")</f>
        <v>Aaron Barnes</v>
      </c>
      <c r="E451" s="12" t="str">
        <f>IFERROR(__xludf.DUMMYFUNCTION("""COMPUTED_VALUE"""),"aaron.barnes@workday.com")</f>
        <v>aaron.barnes@workday.com</v>
      </c>
      <c r="F451" s="12" t="str">
        <f>IFERROR(__xludf.DUMMYFUNCTION("""COMPUTED_VALUE"""),"Engagement Manager [Primary]")</f>
        <v>Engagement Manager [Primary]</v>
      </c>
    </row>
    <row r="452">
      <c r="A452" s="12" t="str">
        <f>IFERROR(__xludf.DUMMYFUNCTION("""COMPUTED_VALUE"""),"a0lVT000006O1cLYAS")</f>
        <v>a0lVT000006O1cLYAS</v>
      </c>
      <c r="B452" s="12" t="str">
        <f>IFERROR(__xludf.DUMMYFUNCTION("""COMPUTED_VALUE"""),"a0rVT00001DXFUvYAP")</f>
        <v>a0rVT00001DXFUvYAP</v>
      </c>
      <c r="C452" s="12" t="str">
        <f>IFERROR(__xludf.DUMMYFUNCTION("""COMPUTED_VALUE"""),"0034X00003EtGr8QAF")</f>
        <v>0034X00003EtGr8QAF</v>
      </c>
      <c r="D452" s="12" t="str">
        <f>IFERROR(__xludf.DUMMYFUNCTION("""COMPUTED_VALUE"""),"Aaron Barnes")</f>
        <v>Aaron Barnes</v>
      </c>
      <c r="E452" s="12" t="str">
        <f>IFERROR(__xludf.DUMMYFUNCTION("""COMPUTED_VALUE"""),"aaron.barnes@workday.com")</f>
        <v>aaron.barnes@workday.com</v>
      </c>
      <c r="F452" s="12" t="str">
        <f>IFERROR(__xludf.DUMMYFUNCTION("""COMPUTED_VALUE"""),"Engagement Manager [Primary]")</f>
        <v>Engagement Manager [Primary]</v>
      </c>
    </row>
    <row r="453">
      <c r="A453" s="12" t="str">
        <f>IFERROR(__xludf.DUMMYFUNCTION("""COMPUTED_VALUE"""),"a0lVT000006O7g2YAC")</f>
        <v>a0lVT000006O7g2YAC</v>
      </c>
      <c r="B453" s="12" t="str">
        <f>IFERROR(__xludf.DUMMYFUNCTION("""COMPUTED_VALUE"""),"a0rVT00001DXFWXYA5")</f>
        <v>a0rVT00001DXFWXYA5</v>
      </c>
      <c r="C453" s="12" t="str">
        <f>IFERROR(__xludf.DUMMYFUNCTION("""COMPUTED_VALUE"""),"0034X00003EtGr8QAF")</f>
        <v>0034X00003EtGr8QAF</v>
      </c>
      <c r="D453" s="12" t="str">
        <f>IFERROR(__xludf.DUMMYFUNCTION("""COMPUTED_VALUE"""),"Aaron Barnes")</f>
        <v>Aaron Barnes</v>
      </c>
      <c r="E453" s="12" t="str">
        <f>IFERROR(__xludf.DUMMYFUNCTION("""COMPUTED_VALUE"""),"aaron.barnes@workday.com")</f>
        <v>aaron.barnes@workday.com</v>
      </c>
      <c r="F453" s="12" t="str">
        <f>IFERROR(__xludf.DUMMYFUNCTION("""COMPUTED_VALUE"""),"Deployment Sponsor")</f>
        <v>Deployment Sponsor</v>
      </c>
    </row>
    <row r="454">
      <c r="A454" s="12" t="str">
        <f>IFERROR(__xludf.DUMMYFUNCTION("""COMPUTED_VALUE"""),"a0lVT000006PKJRYA4")</f>
        <v>a0lVT000006PKJRYA4</v>
      </c>
      <c r="B454" s="12" t="str">
        <f>IFERROR(__xludf.DUMMYFUNCTION("""COMPUTED_VALUE"""),"a0rVT00001DXFWXYA5")</f>
        <v>a0rVT00001DXFWXYA5</v>
      </c>
      <c r="C454" s="12" t="str">
        <f>IFERROR(__xludf.DUMMYFUNCTION("""COMPUTED_VALUE"""),"003VT00000fc4sgYAA")</f>
        <v>003VT00000fc4sgYAA</v>
      </c>
      <c r="D454" s="12" t="str">
        <f>IFERROR(__xludf.DUMMYFUNCTION("""COMPUTED_VALUE"""),"Kat Evans")</f>
        <v>Kat Evans</v>
      </c>
      <c r="E454" s="12" t="str">
        <f>IFERROR(__xludf.DUMMYFUNCTION("""COMPUTED_VALUE"""),"kat.matasova@workday.com")</f>
        <v>kat.matasova@workday.com</v>
      </c>
      <c r="F454" s="12" t="str">
        <f>IFERROR(__xludf.DUMMYFUNCTION("""COMPUTED_VALUE"""),"Engagement Manager [Primary]")</f>
        <v>Engagement Manager [Primary]</v>
      </c>
    </row>
    <row r="455">
      <c r="A455" s="12" t="str">
        <f>IFERROR(__xludf.DUMMYFUNCTION("""COMPUTED_VALUE"""),"a0lVT000006PKOHYA4")</f>
        <v>a0lVT000006PKOHYA4</v>
      </c>
      <c r="B455" s="12" t="str">
        <f>IFERROR(__xludf.DUMMYFUNCTION("""COMPUTED_VALUE"""),"a0rVT00001DXFWXYA5")</f>
        <v>a0rVT00001DXFWXYA5</v>
      </c>
      <c r="C455" s="12" t="str">
        <f>IFERROR(__xludf.DUMMYFUNCTION("""COMPUTED_VALUE"""),"003VT00000dP8n7YAC")</f>
        <v>003VT00000dP8n7YAC</v>
      </c>
      <c r="D455" s="12" t="str">
        <f>IFERROR(__xludf.DUMMYFUNCTION("""COMPUTED_VALUE"""),"Cameron Pickett")</f>
        <v>Cameron Pickett</v>
      </c>
      <c r="E455" s="12" t="str">
        <f>IFERROR(__xludf.DUMMYFUNCTION("""COMPUTED_VALUE"""),"cameron.pickett@touchmark.com")</f>
        <v>cameron.pickett@touchmark.com</v>
      </c>
      <c r="F455" s="12" t="str">
        <f>IFERROR(__xludf.DUMMYFUNCTION("""COMPUTED_VALUE"""),"Project Manager [Customer]")</f>
        <v>Project Manager [Customer]</v>
      </c>
    </row>
    <row r="456">
      <c r="A456" s="12" t="str">
        <f>IFERROR(__xludf.DUMMYFUNCTION("""COMPUTED_VALUE"""),"a0lVT000006PKRVYA4")</f>
        <v>a0lVT000006PKRVYA4</v>
      </c>
      <c r="B456" s="12" t="str">
        <f>IFERROR(__xludf.DUMMYFUNCTION("""COMPUTED_VALUE"""),"a0rVT00001DXFWXYA5")</f>
        <v>a0rVT00001DXFWXYA5</v>
      </c>
      <c r="C456" s="12" t="str">
        <f>IFERROR(__xludf.DUMMYFUNCTION("""COMPUTED_VALUE"""),"0034X00003RCgtZQAT")</f>
        <v>0034X00003RCgtZQAT</v>
      </c>
      <c r="D456" s="12" t="str">
        <f>IFERROR(__xludf.DUMMYFUNCTION("""COMPUTED_VALUE"""),"Elaine Buchele")</f>
        <v>Elaine Buchele</v>
      </c>
      <c r="E456" s="12" t="str">
        <f>IFERROR(__xludf.DUMMYFUNCTION("""COMPUTED_VALUE"""),"elaine.buchele@touchmark.com")</f>
        <v>elaine.buchele@touchmark.com</v>
      </c>
      <c r="F456" s="12" t="str">
        <f>IFERROR(__xludf.DUMMYFUNCTION("""COMPUTED_VALUE"""),"Executive Sponsor")</f>
        <v>Executive Sponsor</v>
      </c>
    </row>
    <row r="457">
      <c r="A457" s="12" t="str">
        <f>IFERROR(__xludf.DUMMYFUNCTION("""COMPUTED_VALUE"""),"a0lVT000006NmXQYA0")</f>
        <v>a0lVT000006NmXQYA0</v>
      </c>
      <c r="B457" s="12" t="str">
        <f>IFERROR(__xludf.DUMMYFUNCTION("""COMPUTED_VALUE"""),"a0rVT00001DXFZlYAP")</f>
        <v>a0rVT00001DXFZlYAP</v>
      </c>
      <c r="C457" s="12" t="str">
        <f>IFERROR(__xludf.DUMMYFUNCTION("""COMPUTED_VALUE"""),"0034X00003EtGr8QAF")</f>
        <v>0034X00003EtGr8QAF</v>
      </c>
      <c r="D457" s="12" t="str">
        <f>IFERROR(__xludf.DUMMYFUNCTION("""COMPUTED_VALUE"""),"Aaron Barnes")</f>
        <v>Aaron Barnes</v>
      </c>
      <c r="E457" s="12" t="str">
        <f>IFERROR(__xludf.DUMMYFUNCTION("""COMPUTED_VALUE"""),"aaron.barnes@workday.com")</f>
        <v>aaron.barnes@workday.com</v>
      </c>
      <c r="F457" s="12" t="str">
        <f>IFERROR(__xludf.DUMMYFUNCTION("""COMPUTED_VALUE"""),"Engagement Manager [Primary]")</f>
        <v>Engagement Manager [Primary]</v>
      </c>
    </row>
    <row r="458">
      <c r="A458" s="12" t="str">
        <f>IFERROR(__xludf.DUMMYFUNCTION("""COMPUTED_VALUE"""),"a0lVT000006O56MYAS")</f>
        <v>a0lVT000006O56MYAS</v>
      </c>
      <c r="B458" s="12" t="str">
        <f>IFERROR(__xludf.DUMMYFUNCTION("""COMPUTED_VALUE"""),"a0rVT00001DXGvdYAH")</f>
        <v>a0rVT00001DXGvdYAH</v>
      </c>
      <c r="C458" s="12" t="str">
        <f>IFERROR(__xludf.DUMMYFUNCTION("""COMPUTED_VALUE"""),"0034X00003EtGr8QAF")</f>
        <v>0034X00003EtGr8QAF</v>
      </c>
      <c r="D458" s="12" t="str">
        <f>IFERROR(__xludf.DUMMYFUNCTION("""COMPUTED_VALUE"""),"Aaron Barnes")</f>
        <v>Aaron Barnes</v>
      </c>
      <c r="E458" s="12" t="str">
        <f>IFERROR(__xludf.DUMMYFUNCTION("""COMPUTED_VALUE"""),"aaron.barnes@workday.com")</f>
        <v>aaron.barnes@workday.com</v>
      </c>
      <c r="F458" s="12" t="str">
        <f>IFERROR(__xludf.DUMMYFUNCTION("""COMPUTED_VALUE"""),"Engagement Manager [Primary]")</f>
        <v>Engagement Manager [Primary]</v>
      </c>
    </row>
    <row r="459">
      <c r="A459" s="12" t="str">
        <f>IFERROR(__xludf.DUMMYFUNCTION("""COMPUTED_VALUE"""),"a0lVT000006NyjJYAS")</f>
        <v>a0lVT000006NyjJYAS</v>
      </c>
      <c r="B459" s="12" t="str">
        <f>IFERROR(__xludf.DUMMYFUNCTION("""COMPUTED_VALUE"""),"a0rVT00001DXH8XYAX")</f>
        <v>a0rVT00001DXH8XYAX</v>
      </c>
      <c r="C459" s="12" t="str">
        <f>IFERROR(__xludf.DUMMYFUNCTION("""COMPUTED_VALUE"""),"0034X00003EtGr8QAF")</f>
        <v>0034X00003EtGr8QAF</v>
      </c>
      <c r="D459" s="12" t="str">
        <f>IFERROR(__xludf.DUMMYFUNCTION("""COMPUTED_VALUE"""),"Aaron Barnes")</f>
        <v>Aaron Barnes</v>
      </c>
      <c r="E459" s="12" t="str">
        <f>IFERROR(__xludf.DUMMYFUNCTION("""COMPUTED_VALUE"""),"aaron.barnes@workday.com")</f>
        <v>aaron.barnes@workday.com</v>
      </c>
      <c r="F459" s="12" t="str">
        <f>IFERROR(__xludf.DUMMYFUNCTION("""COMPUTED_VALUE"""),"Engagement Manager [Primary]")</f>
        <v>Engagement Manager [Primary]</v>
      </c>
    </row>
    <row r="460">
      <c r="A460" s="12" t="str">
        <f>IFERROR(__xludf.DUMMYFUNCTION("""COMPUTED_VALUE"""),"a0lVT000006O9ZlYAK")</f>
        <v>a0lVT000006O9ZlYAK</v>
      </c>
      <c r="B460" s="12" t="str">
        <f>IFERROR(__xludf.DUMMYFUNCTION("""COMPUTED_VALUE"""),"a0rVT00001DXHBlYAP")</f>
        <v>a0rVT00001DXHBlYAP</v>
      </c>
      <c r="C460" s="12" t="str">
        <f>IFERROR(__xludf.DUMMYFUNCTION("""COMPUTED_VALUE"""),"0034X00003EtGr8QAF")</f>
        <v>0034X00003EtGr8QAF</v>
      </c>
      <c r="D460" s="12" t="str">
        <f>IFERROR(__xludf.DUMMYFUNCTION("""COMPUTED_VALUE"""),"Aaron Barnes")</f>
        <v>Aaron Barnes</v>
      </c>
      <c r="E460" s="12" t="str">
        <f>IFERROR(__xludf.DUMMYFUNCTION("""COMPUTED_VALUE"""),"aaron.barnes@workday.com")</f>
        <v>aaron.barnes@workday.com</v>
      </c>
      <c r="F460" s="12" t="str">
        <f>IFERROR(__xludf.DUMMYFUNCTION("""COMPUTED_VALUE"""),"Engagement Manager [Primary]")</f>
        <v>Engagement Manager [Primary]</v>
      </c>
    </row>
    <row r="461">
      <c r="A461" s="12" t="str">
        <f>IFERROR(__xludf.DUMMYFUNCTION("""COMPUTED_VALUE"""),"a0lVT000006QlO1YAK")</f>
        <v>a0lVT000006QlO1YAK</v>
      </c>
      <c r="B461" s="12" t="str">
        <f>IFERROR(__xludf.DUMMYFUNCTION("""COMPUTED_VALUE"""),"a0rVT00001DXHDNYA5")</f>
        <v>a0rVT00001DXHDNYA5</v>
      </c>
      <c r="C461" s="12" t="str">
        <f>IFERROR(__xludf.DUMMYFUNCTION("""COMPUTED_VALUE"""),"003VT00000wxA0QYAU")</f>
        <v>003VT00000wxA0QYAU</v>
      </c>
      <c r="D461" s="12" t="str">
        <f>IFERROR(__xludf.DUMMYFUNCTION("""COMPUTED_VALUE"""),"Emily Timm")</f>
        <v>Emily Timm</v>
      </c>
      <c r="E461" s="12" t="str">
        <f>IFERROR(__xludf.DUMMYFUNCTION("""COMPUTED_VALUE"""),"etimm@procarehr.com")</f>
        <v>etimm@procarehr.com</v>
      </c>
      <c r="F461" s="12" t="str">
        <f>IFERROR(__xludf.DUMMYFUNCTION("""COMPUTED_VALUE"""),"Executive Sponsor")</f>
        <v>Executive Sponsor</v>
      </c>
    </row>
    <row r="462">
      <c r="A462" s="12" t="str">
        <f>IFERROR(__xludf.DUMMYFUNCTION("""COMPUTED_VALUE"""),"a0lVT000006QlB7YAK")</f>
        <v>a0lVT000006QlB7YAK</v>
      </c>
      <c r="B462" s="12" t="str">
        <f>IFERROR(__xludf.DUMMYFUNCTION("""COMPUTED_VALUE"""),"a0rVT00001DXHDNYA5")</f>
        <v>a0rVT00001DXHDNYA5</v>
      </c>
      <c r="C462" s="12" t="str">
        <f>IFERROR(__xludf.DUMMYFUNCTION("""COMPUTED_VALUE"""),"003VT00000fcCgUYAU")</f>
        <v>003VT00000fcCgUYAU</v>
      </c>
      <c r="D462" s="12" t="str">
        <f>IFERROR(__xludf.DUMMYFUNCTION("""COMPUTED_VALUE"""),"Jordan DePaolis")</f>
        <v>Jordan DePaolis</v>
      </c>
      <c r="E462" s="12" t="str">
        <f>IFERROR(__xludf.DUMMYFUNCTION("""COMPUTED_VALUE"""),"jordan.depaolis@workday.com")</f>
        <v>jordan.depaolis@workday.com</v>
      </c>
      <c r="F462" s="12" t="str">
        <f>IFERROR(__xludf.DUMMYFUNCTION("""COMPUTED_VALUE"""),"Engagement Manager [Primary]")</f>
        <v>Engagement Manager [Primary]</v>
      </c>
    </row>
    <row r="463">
      <c r="A463" s="12" t="str">
        <f>IFERROR(__xludf.DUMMYFUNCTION("""COMPUTED_VALUE"""),"a0lVT000006QlO2YAK")</f>
        <v>a0lVT000006QlO2YAK</v>
      </c>
      <c r="B463" s="12" t="str">
        <f>IFERROR(__xludf.DUMMYFUNCTION("""COMPUTED_VALUE"""),"a0rVT00001DXHDNYA5")</f>
        <v>a0rVT00001DXHDNYA5</v>
      </c>
      <c r="C463" s="12" t="str">
        <f>IFERROR(__xludf.DUMMYFUNCTION("""COMPUTED_VALUE"""),"003VT00000wxA0QYAU")</f>
        <v>003VT00000wxA0QYAU</v>
      </c>
      <c r="D463" s="12" t="str">
        <f>IFERROR(__xludf.DUMMYFUNCTION("""COMPUTED_VALUE"""),"Emily Timm")</f>
        <v>Emily Timm</v>
      </c>
      <c r="E463" s="12" t="str">
        <f>IFERROR(__xludf.DUMMYFUNCTION("""COMPUTED_VALUE"""),"etimm@procarehr.com")</f>
        <v>etimm@procarehr.com</v>
      </c>
      <c r="F463" s="12" t="str">
        <f>IFERROR(__xludf.DUMMYFUNCTION("""COMPUTED_VALUE"""),"Project Manager [Customer]")</f>
        <v>Project Manager [Customer]</v>
      </c>
    </row>
    <row r="464">
      <c r="A464" s="12" t="str">
        <f>IFERROR(__xludf.DUMMYFUNCTION("""COMPUTED_VALUE"""),"a0lVT000006O78BYAS")</f>
        <v>a0lVT000006O78BYAS</v>
      </c>
      <c r="B464" s="12" t="str">
        <f>IFERROR(__xludf.DUMMYFUNCTION("""COMPUTED_VALUE"""),"a0rVT00001DXHDNYA5")</f>
        <v>a0rVT00001DXHDNYA5</v>
      </c>
      <c r="C464" s="12" t="str">
        <f>IFERROR(__xludf.DUMMYFUNCTION("""COMPUTED_VALUE"""),"0034X00003EtGr8QAF")</f>
        <v>0034X00003EtGr8QAF</v>
      </c>
      <c r="D464" s="12" t="str">
        <f>IFERROR(__xludf.DUMMYFUNCTION("""COMPUTED_VALUE"""),"Aaron Barnes")</f>
        <v>Aaron Barnes</v>
      </c>
      <c r="E464" s="12" t="str">
        <f>IFERROR(__xludf.DUMMYFUNCTION("""COMPUTED_VALUE"""),"aaron.barnes@workday.com")</f>
        <v>aaron.barnes@workday.com</v>
      </c>
      <c r="F464" s="12" t="str">
        <f>IFERROR(__xludf.DUMMYFUNCTION("""COMPUTED_VALUE"""),"Deployment Sponsor")</f>
        <v>Deployment Sponsor</v>
      </c>
    </row>
    <row r="465">
      <c r="A465" s="12" t="str">
        <f>IFERROR(__xludf.DUMMYFUNCTION("""COMPUTED_VALUE"""),"a0lVT000006QWdXYAW")</f>
        <v>a0lVT000006QWdXYAW</v>
      </c>
      <c r="B465" s="12" t="str">
        <f>IFERROR(__xludf.DUMMYFUNCTION("""COMPUTED_VALUE"""),"a0rVT00001DjGv4YAF")</f>
        <v>a0rVT00001DjGv4YAF</v>
      </c>
      <c r="C465" s="12" t="str">
        <f>IFERROR(__xludf.DUMMYFUNCTION("""COMPUTED_VALUE"""),"0038000001O7ofOAAR")</f>
        <v>0038000001O7ofOAAR</v>
      </c>
      <c r="D465" s="12" t="str">
        <f>IFERROR(__xludf.DUMMYFUNCTION("""COMPUTED_VALUE"""),"Lawrence Liang")</f>
        <v>Lawrence Liang</v>
      </c>
      <c r="E465" s="12" t="str">
        <f>IFERROR(__xludf.DUMMYFUNCTION("""COMPUTED_VALUE"""),"lawrence.liang@workday.com")</f>
        <v>lawrence.liang@workday.com</v>
      </c>
      <c r="F465" s="12" t="str">
        <f>IFERROR(__xludf.DUMMYFUNCTION("""COMPUTED_VALUE"""),"Deployment Sponsor")</f>
        <v>Deployment Sponsor</v>
      </c>
    </row>
    <row r="466">
      <c r="A466" s="12" t="str">
        <f>IFERROR(__xludf.DUMMYFUNCTION("""COMPUTED_VALUE"""),"a0lVT000006QWdWYAW")</f>
        <v>a0lVT000006QWdWYAW</v>
      </c>
      <c r="B466" s="12" t="str">
        <f>IFERROR(__xludf.DUMMYFUNCTION("""COMPUTED_VALUE"""),"a0rVT00001DjGv4YAF")</f>
        <v>a0rVT00001DjGv4YAF</v>
      </c>
      <c r="C466" s="12" t="str">
        <f>IFERROR(__xludf.DUMMYFUNCTION("""COMPUTED_VALUE"""),"0034X00003PBZRwQAP")</f>
        <v>0034X00003PBZRwQAP</v>
      </c>
      <c r="D466" s="12" t="str">
        <f>IFERROR(__xludf.DUMMYFUNCTION("""COMPUTED_VALUE"""),"Kunal Mulchandani")</f>
        <v>Kunal Mulchandani</v>
      </c>
      <c r="E466" s="12" t="str">
        <f>IFERROR(__xludf.DUMMYFUNCTION("""COMPUTED_VALUE"""),"kunal.mulchandani@esfcentre.edu.hk")</f>
        <v>kunal.mulchandani@esfcentre.edu.hk</v>
      </c>
      <c r="F466" s="12" t="str">
        <f>IFERROR(__xludf.DUMMYFUNCTION("""COMPUTED_VALUE"""),"Executive Sponsor")</f>
        <v>Executive Sponsor</v>
      </c>
    </row>
    <row r="467">
      <c r="A467" s="12" t="str">
        <f>IFERROR(__xludf.DUMMYFUNCTION("""COMPUTED_VALUE"""),"a0lVT000006QWdVYAW")</f>
        <v>a0lVT000006QWdVYAW</v>
      </c>
      <c r="B467" s="12" t="str">
        <f>IFERROR(__xludf.DUMMYFUNCTION("""COMPUTED_VALUE"""),"a0rVT00001DjGv4YAF")</f>
        <v>a0rVT00001DjGv4YAF</v>
      </c>
      <c r="C467" s="12" t="str">
        <f>IFERROR(__xludf.DUMMYFUNCTION("""COMPUTED_VALUE"""),"0038000002KQrrlAAD")</f>
        <v>0038000002KQrrlAAD</v>
      </c>
      <c r="D467" s="12" t="str">
        <f>IFERROR(__xludf.DUMMYFUNCTION("""COMPUTED_VALUE"""),"Anna Ho")</f>
        <v>Anna Ho</v>
      </c>
      <c r="E467" s="12" t="str">
        <f>IFERROR(__xludf.DUMMYFUNCTION("""COMPUTED_VALUE"""),"anna.ho@esfcentre.edu.hk")</f>
        <v>anna.ho@esfcentre.edu.hk</v>
      </c>
      <c r="F467" s="12" t="str">
        <f>IFERROR(__xludf.DUMMYFUNCTION("""COMPUTED_VALUE"""),"Project Manager [Customer]")</f>
        <v>Project Manager [Customer]</v>
      </c>
    </row>
    <row r="468">
      <c r="A468" s="12" t="str">
        <f>IFERROR(__xludf.DUMMYFUNCTION("""COMPUTED_VALUE"""),"a0lVT000006PWFlYAO")</f>
        <v>a0lVT000006PWFlYAO</v>
      </c>
      <c r="B468" s="12" t="str">
        <f>IFERROR(__xludf.DUMMYFUNCTION("""COMPUTED_VALUE"""),"a0rVT00001DjGv4YAF")</f>
        <v>a0rVT00001DjGv4YAF</v>
      </c>
      <c r="C468" s="12" t="str">
        <f>IFERROR(__xludf.DUMMYFUNCTION("""COMPUTED_VALUE"""),"0034X00003BlszbQAB")</f>
        <v>0034X00003BlszbQAB</v>
      </c>
      <c r="D468" s="12" t="str">
        <f>IFERROR(__xludf.DUMMYFUNCTION("""COMPUTED_VALUE"""),"Bobo Ching")</f>
        <v>Bobo Ching</v>
      </c>
      <c r="E468" s="12" t="str">
        <f>IFERROR(__xludf.DUMMYFUNCTION("""COMPUTED_VALUE"""),"bobo.ching@workday.com")</f>
        <v>bobo.ching@workday.com</v>
      </c>
      <c r="F468" s="12" t="str">
        <f>IFERROR(__xludf.DUMMYFUNCTION("""COMPUTED_VALUE"""),"Engagement Manager [Primary]")</f>
        <v>Engagement Manager [Primary]</v>
      </c>
    </row>
    <row r="469">
      <c r="A469" s="12" t="str">
        <f>IFERROR(__xludf.DUMMYFUNCTION("""COMPUTED_VALUE"""),"a0lVT000006OojNYAS")</f>
        <v>a0lVT000006OojNYAS</v>
      </c>
      <c r="B469" s="12" t="str">
        <f>IFERROR(__xludf.DUMMYFUNCTION("""COMPUTED_VALUE"""),"a0rVT00001DjGv4YAF")</f>
        <v>a0rVT00001DjGv4YAF</v>
      </c>
      <c r="C469" s="12" t="str">
        <f>IFERROR(__xludf.DUMMYFUNCTION("""COMPUTED_VALUE"""),"003VT00000NY7BXYA1")</f>
        <v>003VT00000NY7BXYA1</v>
      </c>
      <c r="D469" s="12" t="str">
        <f>IFERROR(__xludf.DUMMYFUNCTION("""COMPUTED_VALUE"""),"Geeta Kumari")</f>
        <v>Geeta Kumari</v>
      </c>
      <c r="E469" s="12" t="str">
        <f>IFERROR(__xludf.DUMMYFUNCTION("""COMPUTED_VALUE"""),"geeta.kumari@workday.com")</f>
        <v>geeta.kumari@workday.com</v>
      </c>
      <c r="F469" s="12" t="str">
        <f>IFERROR(__xludf.DUMMYFUNCTION("""COMPUTED_VALUE"""),"Engagement Manager [Primary]")</f>
        <v>Engagement Manager [Primary]</v>
      </c>
    </row>
    <row r="470">
      <c r="A470" s="12" t="str">
        <f>IFERROR(__xludf.DUMMYFUNCTION("""COMPUTED_VALUE"""),"a0lVT000006QrbVYAS")</f>
        <v>a0lVT000006QrbVYAS</v>
      </c>
      <c r="B470" s="12" t="str">
        <f>IFERROR(__xludf.DUMMYFUNCTION("""COMPUTED_VALUE"""),"a0rVT00001Dwdp4YAB")</f>
        <v>a0rVT00001Dwdp4YAB</v>
      </c>
      <c r="C470" s="12" t="str">
        <f>IFERROR(__xludf.DUMMYFUNCTION("""COMPUTED_VALUE"""),"003VT00000Zqqo7YAB")</f>
        <v>003VT00000Zqqo7YAB</v>
      </c>
      <c r="D470" s="12" t="str">
        <f>IFERROR(__xludf.DUMMYFUNCTION("""COMPUTED_VALUE"""),"Aleksandra Pacura")</f>
        <v>Aleksandra Pacura</v>
      </c>
      <c r="E470" s="12" t="str">
        <f>IFERROR(__xludf.DUMMYFUNCTION("""COMPUTED_VALUE"""),"aleksandra.pacura@electrolux.com")</f>
        <v>aleksandra.pacura@electrolux.com</v>
      </c>
      <c r="F470" s="12" t="str">
        <f>IFERROR(__xludf.DUMMYFUNCTION("""COMPUTED_VALUE"""),"Executive Sponsor")</f>
        <v>Executive Sponsor</v>
      </c>
    </row>
    <row r="471">
      <c r="A471" s="12" t="str">
        <f>IFERROR(__xludf.DUMMYFUNCTION("""COMPUTED_VALUE"""),"a0lVT000006PjJRYA0")</f>
        <v>a0lVT000006PjJRYA0</v>
      </c>
      <c r="B471" s="12" t="str">
        <f>IFERROR(__xludf.DUMMYFUNCTION("""COMPUTED_VALUE"""),"a0rVT00001Dwdp4YAB")</f>
        <v>a0rVT00001Dwdp4YAB</v>
      </c>
      <c r="C471" s="12" t="str">
        <f>IFERROR(__xludf.DUMMYFUNCTION("""COMPUTED_VALUE"""),"0038000002BsyXLAAZ")</f>
        <v>0038000002BsyXLAAZ</v>
      </c>
      <c r="D471" s="12" t="str">
        <f>IFERROR(__xludf.DUMMYFUNCTION("""COMPUTED_VALUE"""),"Ian Staal")</f>
        <v>Ian Staal</v>
      </c>
      <c r="E471" s="12" t="str">
        <f>IFERROR(__xludf.DUMMYFUNCTION("""COMPUTED_VALUE"""),"ian.staal@workday.com")</f>
        <v>ian.staal@workday.com</v>
      </c>
      <c r="F471" s="12" t="str">
        <f>IFERROR(__xludf.DUMMYFUNCTION("""COMPUTED_VALUE"""),"Engagement Manager [Primary]")</f>
        <v>Engagement Manager [Primary]</v>
      </c>
    </row>
    <row r="472">
      <c r="A472" s="12" t="str">
        <f>IFERROR(__xludf.DUMMYFUNCTION("""COMPUTED_VALUE"""),"a0lVT000006Pq1ZYAS")</f>
        <v>a0lVT000006Pq1ZYAS</v>
      </c>
      <c r="B472" s="12" t="str">
        <f>IFERROR(__xludf.DUMMYFUNCTION("""COMPUTED_VALUE"""),"a0rVT00001Dxnr8YAB")</f>
        <v>a0rVT00001Dxnr8YAB</v>
      </c>
      <c r="C472" s="12" t="str">
        <f>IFERROR(__xludf.DUMMYFUNCTION("""COMPUTED_VALUE"""),"0034X00003JsNpYQAV")</f>
        <v>0034X00003JsNpYQAV</v>
      </c>
      <c r="D472" s="12" t="str">
        <f>IFERROR(__xludf.DUMMYFUNCTION("""COMPUTED_VALUE"""),"Dhaval Rana")</f>
        <v>Dhaval Rana</v>
      </c>
      <c r="E472" s="12" t="str">
        <f>IFERROR(__xludf.DUMMYFUNCTION("""COMPUTED_VALUE"""),"dhaval.rana@workday.com")</f>
        <v>dhaval.rana@workday.com</v>
      </c>
      <c r="F472" s="12" t="str">
        <f>IFERROR(__xludf.DUMMYFUNCTION("""COMPUTED_VALUE"""),"Engagement Manager [Secondary]")</f>
        <v>Engagement Manager [Secondary]</v>
      </c>
    </row>
    <row r="473">
      <c r="A473" s="12" t="str">
        <f>IFERROR(__xludf.DUMMYFUNCTION("""COMPUTED_VALUE"""),"a0lVT000006Pq1aYAC")</f>
        <v>a0lVT000006Pq1aYAC</v>
      </c>
      <c r="B473" s="12" t="str">
        <f>IFERROR(__xludf.DUMMYFUNCTION("""COMPUTED_VALUE"""),"a0rVT00001Dxnr8YAB")</f>
        <v>a0rVT00001Dxnr8YAB</v>
      </c>
      <c r="C473" s="12" t="str">
        <f>IFERROR(__xludf.DUMMYFUNCTION("""COMPUTED_VALUE"""),"003VT00000VVgxEYAT")</f>
        <v>003VT00000VVgxEYAT</v>
      </c>
      <c r="D473" s="12" t="str">
        <f>IFERROR(__xludf.DUMMYFUNCTION("""COMPUTED_VALUE"""),"Bilal Surve")</f>
        <v>Bilal Surve</v>
      </c>
      <c r="E473" s="12" t="str">
        <f>IFERROR(__xludf.DUMMYFUNCTION("""COMPUTED_VALUE"""),"bilal.surve@workday.com")</f>
        <v>bilal.surve@workday.com</v>
      </c>
      <c r="F473" s="12" t="str">
        <f>IFERROR(__xludf.DUMMYFUNCTION("""COMPUTED_VALUE"""),"Engagement Manager [Primary]")</f>
        <v>Engagement Manager [Primary]</v>
      </c>
    </row>
    <row r="474">
      <c r="A474" s="12" t="str">
        <f>IFERROR(__xludf.DUMMYFUNCTION("""COMPUTED_VALUE"""),"a0lVT000006PqWDYA0")</f>
        <v>a0lVT000006PqWDYA0</v>
      </c>
      <c r="B474" s="12" t="str">
        <f>IFERROR(__xludf.DUMMYFUNCTION("""COMPUTED_VALUE"""),"a0rVT00001Dy3uKYAR")</f>
        <v>a0rVT00001Dy3uKYAR</v>
      </c>
      <c r="C474" s="12" t="str">
        <f>IFERROR(__xludf.DUMMYFUNCTION("""COMPUTED_VALUE"""),"003VT00000wPPHxYAO")</f>
        <v>003VT00000wPPHxYAO</v>
      </c>
      <c r="D474" s="12" t="str">
        <f>IFERROR(__xludf.DUMMYFUNCTION("""COMPUTED_VALUE"""),"Heather Aherne")</f>
        <v>Heather Aherne</v>
      </c>
      <c r="E474" s="12" t="str">
        <f>IFERROR(__xludf.DUMMYFUNCTION("""COMPUTED_VALUE"""),"heather.aherne@workday.com")</f>
        <v>heather.aherne@workday.com</v>
      </c>
      <c r="F474" s="12" t="str">
        <f>IFERROR(__xludf.DUMMYFUNCTION("""COMPUTED_VALUE"""),"Engagement Manager [Primary]")</f>
        <v>Engagement Manager [Primary]</v>
      </c>
    </row>
    <row r="475">
      <c r="A475" s="12" t="str">
        <f>IFERROR(__xludf.DUMMYFUNCTION("""COMPUTED_VALUE"""),"a0lVT000006PxB7YAK")</f>
        <v>a0lVT000006PxB7YAK</v>
      </c>
      <c r="B475" s="12" t="str">
        <f>IFERROR(__xludf.DUMMYFUNCTION("""COMPUTED_VALUE"""),"a0rVT00001DzeVBYAZ")</f>
        <v>a0rVT00001DzeVBYAZ</v>
      </c>
      <c r="C475" s="12" t="str">
        <f>IFERROR(__xludf.DUMMYFUNCTION("""COMPUTED_VALUE"""),"0034X00003EtGr8QAF")</f>
        <v>0034X00003EtGr8QAF</v>
      </c>
      <c r="D475" s="12" t="str">
        <f>IFERROR(__xludf.DUMMYFUNCTION("""COMPUTED_VALUE"""),"Aaron Barnes")</f>
        <v>Aaron Barnes</v>
      </c>
      <c r="E475" s="12" t="str">
        <f>IFERROR(__xludf.DUMMYFUNCTION("""COMPUTED_VALUE"""),"aaron.barnes@workday.com")</f>
        <v>aaron.barnes@workday.com</v>
      </c>
      <c r="F475" s="12" t="str">
        <f>IFERROR(__xludf.DUMMYFUNCTION("""COMPUTED_VALUE"""),"Engagement Manager [Secondary]")</f>
        <v>Engagement Manager [Secondary]</v>
      </c>
    </row>
    <row r="476">
      <c r="A476" s="12" t="str">
        <f>IFERROR(__xludf.DUMMYFUNCTION("""COMPUTED_VALUE"""),"a0lVT000006Qr21YAC")</f>
        <v>a0lVT000006Qr21YAC</v>
      </c>
      <c r="B476" s="12" t="str">
        <f>IFERROR(__xludf.DUMMYFUNCTION("""COMPUTED_VALUE"""),"a0rVT00001EGXlpYAH")</f>
        <v>a0rVT00001EGXlpYAH</v>
      </c>
      <c r="C476" s="12" t="str">
        <f>IFERROR(__xludf.DUMMYFUNCTION("""COMPUTED_VALUE"""),"00380000022ed4pAAA")</f>
        <v>00380000022ed4pAAA</v>
      </c>
      <c r="D476" s="12" t="str">
        <f>IFERROR(__xludf.DUMMYFUNCTION("""COMPUTED_VALUE"""),"Derek Jensen")</f>
        <v>Derek Jensen</v>
      </c>
      <c r="E476" s="12" t="str">
        <f>IFERROR(__xludf.DUMMYFUNCTION("""COMPUTED_VALUE"""),"derek.jensen@workday.com")</f>
        <v>derek.jensen@workday.com</v>
      </c>
      <c r="F476" s="12" t="str">
        <f>IFERROR(__xludf.DUMMYFUNCTION("""COMPUTED_VALUE"""),"Engagement Manager [Primary]")</f>
        <v>Engagement Manager [Primary]</v>
      </c>
    </row>
    <row r="477">
      <c r="A477" s="12" t="str">
        <f>IFERROR(__xludf.DUMMYFUNCTION("""COMPUTED_VALUE"""),"a0lVT000006QxH7YAK")</f>
        <v>a0lVT000006QxH7YAK</v>
      </c>
      <c r="B477" s="12" t="str">
        <f>IFERROR(__xludf.DUMMYFUNCTION("""COMPUTED_VALUE"""),"a0rVT00001EHtE6YAL")</f>
        <v>a0rVT00001EHtE6YAL</v>
      </c>
      <c r="C477" s="12" t="str">
        <f>IFERROR(__xludf.DUMMYFUNCTION("""COMPUTED_VALUE"""),"00380000027waauAAA")</f>
        <v>00380000027waauAAA</v>
      </c>
      <c r="D477" s="12" t="str">
        <f>IFERROR(__xludf.DUMMYFUNCTION("""COMPUTED_VALUE"""),"Sebastien Verstraet")</f>
        <v>Sebastien Verstraet</v>
      </c>
      <c r="E477" s="12" t="str">
        <f>IFERROR(__xludf.DUMMYFUNCTION("""COMPUTED_VALUE"""),"sebastien.verstraet@workday.com")</f>
        <v>sebastien.verstraet@workday.com</v>
      </c>
      <c r="F477" s="12" t="str">
        <f>IFERROR(__xludf.DUMMYFUNCTION("""COMPUTED_VALUE"""),"Engagement Manager [Primary]")</f>
        <v>Engagement Manager [Primary]</v>
      </c>
    </row>
    <row r="478">
      <c r="A478" s="12" t="str">
        <f>IFERROR(__xludf.DUMMYFUNCTION("""COMPUTED_VALUE"""),"Id")</f>
        <v>Id</v>
      </c>
      <c r="B478" s="12" t="str">
        <f>IFERROR(__xludf.DUMMYFUNCTION("""COMPUTED_VALUE"""),"Deployment__c")</f>
        <v>Deployment__c</v>
      </c>
      <c r="C478" s="12" t="str">
        <f>IFERROR(__xludf.DUMMYFUNCTION("""COMPUTED_VALUE"""),"Contact__c")</f>
        <v>Contact__c</v>
      </c>
      <c r="D478" s="23" t="str">
        <f>IFERROR(__xludf.DUMMYFUNCTION("""COMPUTED_VALUE"""),"Contact__r.Name")</f>
        <v>Contact__r.Name</v>
      </c>
      <c r="E478" s="12" t="str">
        <f>IFERROR(__xludf.DUMMYFUNCTION("""COMPUTED_VALUE"""),"Contact__r.Email")</f>
        <v>Contact__r.Email</v>
      </c>
      <c r="F478" s="12" t="str">
        <f>IFERROR(__xludf.DUMMYFUNCTION("""COMPUTED_VALUE"""),"Contact_Role__c")</f>
        <v>Contact_Role__c</v>
      </c>
    </row>
    <row r="479">
      <c r="A479" s="12" t="str">
        <f>IFERROR(__xludf.DUMMYFUNCTION("""COMPUTED_VALUE"""),"a0lVT000005JQn7YAG")</f>
        <v>a0lVT000005JQn7YAG</v>
      </c>
      <c r="B479" s="12" t="str">
        <f>IFERROR(__xludf.DUMMYFUNCTION("""COMPUTED_VALUE"""),"a0rVT00000uNzYnYAK")</f>
        <v>a0rVT00000uNzYnYAK</v>
      </c>
      <c r="C479" s="12" t="str">
        <f>IFERROR(__xludf.DUMMYFUNCTION("""COMPUTED_VALUE"""),"0038000001goW9YAAU")</f>
        <v>0038000001goW9YAAU</v>
      </c>
      <c r="D479" s="12" t="str">
        <f>IFERROR(__xludf.DUMMYFUNCTION("""COMPUTED_VALUE"""),"Shane Cline")</f>
        <v>Shane Cline</v>
      </c>
      <c r="E479" s="12" t="str">
        <f>IFERROR(__xludf.DUMMYFUNCTION("""COMPUTED_VALUE"""),"shane.cline@workday.com")</f>
        <v>shane.cline@workday.com</v>
      </c>
      <c r="F479" s="12" t="str">
        <f>IFERROR(__xludf.DUMMYFUNCTION("""COMPUTED_VALUE"""),"Engagement Manager [Primary]")</f>
        <v>Engagement Manager [Primary]</v>
      </c>
    </row>
    <row r="480">
      <c r="A480" s="12" t="str">
        <f>IFERROR(__xludf.DUMMYFUNCTION("""COMPUTED_VALUE"""),"a0lVT000005UQa5YAG")</f>
        <v>a0lVT000005UQa5YAG</v>
      </c>
      <c r="B480" s="12" t="str">
        <f>IFERROR(__xludf.DUMMYFUNCTION("""COMPUTED_VALUE"""),"a0rVT00000yx2UkYAI")</f>
        <v>a0rVT00000yx2UkYAI</v>
      </c>
      <c r="C480" s="12" t="str">
        <f>IFERROR(__xludf.DUMMYFUNCTION("""COMPUTED_VALUE"""),"0031B00002kQ3djQAC")</f>
        <v>0031B00002kQ3djQAC</v>
      </c>
      <c r="D480" s="12" t="str">
        <f>IFERROR(__xludf.DUMMYFUNCTION("""COMPUTED_VALUE"""),"Marlou Zeijdel")</f>
        <v>Marlou Zeijdel</v>
      </c>
      <c r="E480" s="12" t="str">
        <f>IFERROR(__xludf.DUMMYFUNCTION("""COMPUTED_VALUE"""),"marlou.n.zeijdel@workday.com")</f>
        <v>marlou.n.zeijdel@workday.com</v>
      </c>
      <c r="F480" s="12" t="str">
        <f>IFERROR(__xludf.DUMMYFUNCTION("""COMPUTED_VALUE"""),"Engagement Manager [Primary]")</f>
        <v>Engagement Manager [Primary]</v>
      </c>
    </row>
    <row r="481">
      <c r="A481" s="12" t="str">
        <f>IFERROR(__xludf.DUMMYFUNCTION("""COMPUTED_VALUE"""),"a0lVT0000060baRYAQ")</f>
        <v>a0lVT0000060baRYAQ</v>
      </c>
      <c r="B481" s="12" t="str">
        <f>IFERROR(__xludf.DUMMYFUNCTION("""COMPUTED_VALUE"""),"a0rVT00000yx2UkYAI")</f>
        <v>a0rVT00000yx2UkYAI</v>
      </c>
      <c r="C481" s="12" t="str">
        <f>IFERROR(__xludf.DUMMYFUNCTION("""COMPUTED_VALUE"""),"003VT00000f2gZqYAI")</f>
        <v>003VT00000f2gZqYAI</v>
      </c>
      <c r="D481" s="12" t="str">
        <f>IFERROR(__xludf.DUMMYFUNCTION("""COMPUTED_VALUE"""),"Adrian Pietrowski")</f>
        <v>Adrian Pietrowski</v>
      </c>
      <c r="E481" s="12" t="str">
        <f>IFERROR(__xludf.DUMMYFUNCTION("""COMPUTED_VALUE"""),"adrian.pietrowski@bayer.com")</f>
        <v>adrian.pietrowski@bayer.com</v>
      </c>
      <c r="F481" s="12" t="str">
        <f>IFERROR(__xludf.DUMMYFUNCTION("""COMPUTED_VALUE"""),"Executive Sponsor")</f>
        <v>Executive Sponsor</v>
      </c>
    </row>
    <row r="482">
      <c r="A482" s="12" t="str">
        <f>IFERROR(__xludf.DUMMYFUNCTION("""COMPUTED_VALUE"""),"a0lVT0000060baSYAQ")</f>
        <v>a0lVT0000060baSYAQ</v>
      </c>
      <c r="B482" s="12" t="str">
        <f>IFERROR(__xludf.DUMMYFUNCTION("""COMPUTED_VALUE"""),"a0rVT00000yx2UkYAI")</f>
        <v>a0rVT00000yx2UkYAI</v>
      </c>
      <c r="C482" s="12" t="str">
        <f>IFERROR(__xludf.DUMMYFUNCTION("""COMPUTED_VALUE"""),"003VT00000LPyOHYA1")</f>
        <v>003VT00000LPyOHYA1</v>
      </c>
      <c r="D482" s="12" t="str">
        <f>IFERROR(__xludf.DUMMYFUNCTION("""COMPUTED_VALUE"""),"Christine Woetzel")</f>
        <v>Christine Woetzel</v>
      </c>
      <c r="E482" s="12" t="str">
        <f>IFERROR(__xludf.DUMMYFUNCTION("""COMPUTED_VALUE"""),"christine.woetzel@bayer.com")</f>
        <v>christine.woetzel@bayer.com</v>
      </c>
      <c r="F482" s="12" t="str">
        <f>IFERROR(__xludf.DUMMYFUNCTION("""COMPUTED_VALUE"""),"Executive Sponsor")</f>
        <v>Executive Sponsor</v>
      </c>
    </row>
    <row r="483">
      <c r="A483" s="12" t="str">
        <f>IFERROR(__xludf.DUMMYFUNCTION("""COMPUTED_VALUE"""),"a0lVT0000060baQYAQ")</f>
        <v>a0lVT0000060baQYAQ</v>
      </c>
      <c r="B483" s="12" t="str">
        <f>IFERROR(__xludf.DUMMYFUNCTION("""COMPUTED_VALUE"""),"a0rVT00000yx2UkYAI")</f>
        <v>a0rVT00000yx2UkYAI</v>
      </c>
      <c r="C483" s="12" t="str">
        <f>IFERROR(__xludf.DUMMYFUNCTION("""COMPUTED_VALUE"""),"003VT00000Ftd1kYAB")</f>
        <v>003VT00000Ftd1kYAB</v>
      </c>
      <c r="D483" s="12" t="str">
        <f>IFERROR(__xludf.DUMMYFUNCTION("""COMPUTED_VALUE"""),"Alice Hauke")</f>
        <v>Alice Hauke</v>
      </c>
      <c r="E483" s="12" t="str">
        <f>IFERROR(__xludf.DUMMYFUNCTION("""COMPUTED_VALUE"""),"alice.hauke@bayer.com")</f>
        <v>alice.hauke@bayer.com</v>
      </c>
      <c r="F483" s="12" t="str">
        <f>IFERROR(__xludf.DUMMYFUNCTION("""COMPUTED_VALUE"""),"Executive Sponsor")</f>
        <v>Executive Sponsor</v>
      </c>
    </row>
    <row r="484">
      <c r="A484" s="12" t="str">
        <f>IFERROR(__xludf.DUMMYFUNCTION("""COMPUTED_VALUE"""),"a0lVT0000060baPYAQ")</f>
        <v>a0lVT0000060baPYAQ</v>
      </c>
      <c r="B484" s="12" t="str">
        <f>IFERROR(__xludf.DUMMYFUNCTION("""COMPUTED_VALUE"""),"a0rVT00000yx2UkYAI")</f>
        <v>a0rVT00000yx2UkYAI</v>
      </c>
      <c r="C484" s="12" t="str">
        <f>IFERROR(__xludf.DUMMYFUNCTION("""COMPUTED_VALUE"""),"0034X00003RDcUKQA1")</f>
        <v>0034X00003RDcUKQA1</v>
      </c>
      <c r="D484" s="12" t="str">
        <f>IFERROR(__xludf.DUMMYFUNCTION("""COMPUTED_VALUE"""),"Julia Lamb")</f>
        <v>Julia Lamb</v>
      </c>
      <c r="E484" s="12" t="str">
        <f>IFERROR(__xludf.DUMMYFUNCTION("""COMPUTED_VALUE"""),"julia.lamb@bayer.com")</f>
        <v>julia.lamb@bayer.com</v>
      </c>
      <c r="F484" s="12" t="str">
        <f>IFERROR(__xludf.DUMMYFUNCTION("""COMPUTED_VALUE"""),"Executive Sponsor")</f>
        <v>Executive Sponsor</v>
      </c>
    </row>
    <row r="485">
      <c r="A485" s="12" t="str">
        <f>IFERROR(__xludf.DUMMYFUNCTION("""COMPUTED_VALUE"""),"a0lVT000005m7vlYAA")</f>
        <v>a0lVT000005m7vlYAA</v>
      </c>
      <c r="B485" s="12" t="str">
        <f>IFERROR(__xludf.DUMMYFUNCTION("""COMPUTED_VALUE"""),"a0rVT00000yx2UkYAI")</f>
        <v>a0rVT00000yx2UkYAI</v>
      </c>
      <c r="C485" s="12" t="str">
        <f>IFERROR(__xludf.DUMMYFUNCTION("""COMPUTED_VALUE"""),"0031B00002q3LgIQAU")</f>
        <v>0031B00002q3LgIQAU</v>
      </c>
      <c r="D485" s="12" t="str">
        <f>IFERROR(__xludf.DUMMYFUNCTION("""COMPUTED_VALUE"""),"Cezary Dmowski")</f>
        <v>Cezary Dmowski</v>
      </c>
      <c r="E485" s="12" t="str">
        <f>IFERROR(__xludf.DUMMYFUNCTION("""COMPUTED_VALUE"""),"cezary.dmowski@workday.com")</f>
        <v>cezary.dmowski@workday.com</v>
      </c>
      <c r="F485" s="12" t="str">
        <f>IFERROR(__xludf.DUMMYFUNCTION("""COMPUTED_VALUE"""),"Engagement Manager [Secondary]")</f>
        <v>Engagement Manager [Secondary]</v>
      </c>
    </row>
    <row r="486">
      <c r="A486" s="12" t="str">
        <f>IFERROR(__xludf.DUMMYFUNCTION("""COMPUTED_VALUE"""),"a0lVT000005sSajYAE")</f>
        <v>a0lVT000005sSajYAE</v>
      </c>
      <c r="B486" s="12" t="str">
        <f>IFERROR(__xludf.DUMMYFUNCTION("""COMPUTED_VALUE"""),"a0rVT00000yx2UkYAI")</f>
        <v>a0rVT00000yx2UkYAI</v>
      </c>
      <c r="C486" s="12" t="str">
        <f>IFERROR(__xludf.DUMMYFUNCTION("""COMPUTED_VALUE"""),"0034X00002vpqX5QAI")</f>
        <v>0034X00002vpqX5QAI</v>
      </c>
      <c r="D486" s="12" t="str">
        <f>IFERROR(__xludf.DUMMYFUNCTION("""COMPUTED_VALUE"""),"William Warren")</f>
        <v>William Warren</v>
      </c>
      <c r="E486" s="12" t="str">
        <f>IFERROR(__xludf.DUMMYFUNCTION("""COMPUTED_VALUE"""),"william.warren@bayer.com")</f>
        <v>william.warren@bayer.com</v>
      </c>
      <c r="F486" s="12" t="str">
        <f>IFERROR(__xludf.DUMMYFUNCTION("""COMPUTED_VALUE"""),"Project Manager [Customer]")</f>
        <v>Project Manager [Customer]</v>
      </c>
    </row>
    <row r="487">
      <c r="A487" s="12" t="str">
        <f>IFERROR(__xludf.DUMMYFUNCTION("""COMPUTED_VALUE"""),"a0lVT000005tlxtYAA")</f>
        <v>a0lVT000005tlxtYAA</v>
      </c>
      <c r="B487" s="12" t="str">
        <f>IFERROR(__xludf.DUMMYFUNCTION("""COMPUTED_VALUE"""),"a0rVT00000yx2UkYAI")</f>
        <v>a0rVT00000yx2UkYAI</v>
      </c>
      <c r="C487" s="12" t="str">
        <f>IFERROR(__xludf.DUMMYFUNCTION("""COMPUTED_VALUE"""),"0038000002EwGWnAAN")</f>
        <v>0038000002EwGWnAAN</v>
      </c>
      <c r="D487" s="12" t="str">
        <f>IFERROR(__xludf.DUMMYFUNCTION("""COMPUTED_VALUE"""),"Stephen Birchmore")</f>
        <v>Stephen Birchmore</v>
      </c>
      <c r="E487" s="12" t="str">
        <f>IFERROR(__xludf.DUMMYFUNCTION("""COMPUTED_VALUE"""),"stephen.birchmore@workday.com")</f>
        <v>stephen.birchmore@workday.com</v>
      </c>
      <c r="F487" s="12" t="str">
        <f>IFERROR(__xludf.DUMMYFUNCTION("""COMPUTED_VALUE"""),"Deployment Sponsor")</f>
        <v>Deployment Sponsor</v>
      </c>
    </row>
    <row r="488">
      <c r="A488" s="12" t="str">
        <f>IFERROR(__xludf.DUMMYFUNCTION("""COMPUTED_VALUE"""),"a0lVT0000069g4bYAA")</f>
        <v>a0lVT0000069g4bYAA</v>
      </c>
      <c r="B488" s="12" t="str">
        <f>IFERROR(__xludf.DUMMYFUNCTION("""COMPUTED_VALUE"""),"a0rVT00000yx2UkYAI")</f>
        <v>a0rVT00000yx2UkYAI</v>
      </c>
      <c r="C488" s="12" t="str">
        <f>IFERROR(__xludf.DUMMYFUNCTION("""COMPUTED_VALUE"""),"003VT00000fV4MIYA0")</f>
        <v>003VT00000fV4MIYA0</v>
      </c>
      <c r="D488" s="12" t="str">
        <f>IFERROR(__xludf.DUMMYFUNCTION("""COMPUTED_VALUE"""),"William Morandière Bellino")</f>
        <v>William Morandière Bellino</v>
      </c>
      <c r="E488" s="12" t="str">
        <f>IFERROR(__xludf.DUMMYFUNCTION("""COMPUTED_VALUE"""),"william.morandiere@workday.com")</f>
        <v>william.morandiere@workday.com</v>
      </c>
      <c r="F488" s="12" t="str">
        <f>IFERROR(__xludf.DUMMYFUNCTION("""COMPUTED_VALUE"""),"Engagement Manager [Secondary]")</f>
        <v>Engagement Manager [Secondary]</v>
      </c>
    </row>
    <row r="489">
      <c r="A489" s="12" t="str">
        <f>IFERROR(__xludf.DUMMYFUNCTION("""COMPUTED_VALUE"""),"a0lVT000006Bc1iYAC")</f>
        <v>a0lVT000006Bc1iYAC</v>
      </c>
      <c r="B489" s="12" t="str">
        <f>IFERROR(__xludf.DUMMYFUNCTION("""COMPUTED_VALUE"""),"a0rVT00000z6QWHYA2")</f>
        <v>a0rVT00000z6QWHYA2</v>
      </c>
      <c r="C489" s="12" t="str">
        <f>IFERROR(__xludf.DUMMYFUNCTION("""COMPUTED_VALUE"""),"003VT00000IEyJjYAL")</f>
        <v>003VT00000IEyJjYAL</v>
      </c>
      <c r="D489" s="12" t="str">
        <f>IFERROR(__xludf.DUMMYFUNCTION("""COMPUTED_VALUE"""),"Sophie Bieber")</f>
        <v>Sophie Bieber</v>
      </c>
      <c r="E489" s="12" t="str">
        <f>IFERROR(__xludf.DUMMYFUNCTION("""COMPUTED_VALUE"""),"sophie.bieber@siemens.com")</f>
        <v>sophie.bieber@siemens.com</v>
      </c>
      <c r="F489" s="12" t="str">
        <f>IFERROR(__xludf.DUMMYFUNCTION("""COMPUTED_VALUE"""),"Project Manager [Customer]")</f>
        <v>Project Manager [Customer]</v>
      </c>
    </row>
    <row r="490">
      <c r="A490" s="12" t="str">
        <f>IFERROR(__xludf.DUMMYFUNCTION("""COMPUTED_VALUE"""),"a0lVT000006HwtlYAC")</f>
        <v>a0lVT000006HwtlYAC</v>
      </c>
      <c r="B490" s="12" t="str">
        <f>IFERROR(__xludf.DUMMYFUNCTION("""COMPUTED_VALUE"""),"a0rVT00000z6QWHYA2")</f>
        <v>a0rVT00000z6QWHYA2</v>
      </c>
      <c r="C490" s="12" t="str">
        <f>IFERROR(__xludf.DUMMYFUNCTION("""COMPUTED_VALUE"""),"003VT00000FsFXhYAN")</f>
        <v>003VT00000FsFXhYAN</v>
      </c>
      <c r="D490" s="12" t="str">
        <f>IFERROR(__xludf.DUMMYFUNCTION("""COMPUTED_VALUE"""),"Christian Wedel")</f>
        <v>Christian Wedel</v>
      </c>
      <c r="E490" s="12" t="str">
        <f>IFERROR(__xludf.DUMMYFUNCTION("""COMPUTED_VALUE"""),"christian.wedel@workday.com")</f>
        <v>christian.wedel@workday.com</v>
      </c>
      <c r="F490" s="12" t="str">
        <f>IFERROR(__xludf.DUMMYFUNCTION("""COMPUTED_VALUE"""),"Engagement Manager [Secondary]")</f>
        <v>Engagement Manager [Secondary]</v>
      </c>
    </row>
    <row r="491">
      <c r="A491" s="12" t="str">
        <f>IFERROR(__xludf.DUMMYFUNCTION("""COMPUTED_VALUE"""),"a0lVT0000061M6HYAU")</f>
        <v>a0lVT0000061M6HYAU</v>
      </c>
      <c r="B491" s="12" t="str">
        <f>IFERROR(__xludf.DUMMYFUNCTION("""COMPUTED_VALUE"""),"a0rVT00000z6QWHYA2")</f>
        <v>a0rVT00000z6QWHYA2</v>
      </c>
      <c r="C491" s="12" t="str">
        <f>IFERROR(__xludf.DUMMYFUNCTION("""COMPUTED_VALUE"""),"003VT00000i5jl9YAA")</f>
        <v>003VT00000i5jl9YAA</v>
      </c>
      <c r="D491" s="12" t="str">
        <f>IFERROR(__xludf.DUMMYFUNCTION("""COMPUTED_VALUE"""),"Helen Wright")</f>
        <v>Helen Wright</v>
      </c>
      <c r="E491" s="12" t="str">
        <f>IFERROR(__xludf.DUMMYFUNCTION("""COMPUTED_VALUE"""),"helen.wright@workday.com")</f>
        <v>helen.wright@workday.com</v>
      </c>
      <c r="F491" s="12" t="str">
        <f>IFERROR(__xludf.DUMMYFUNCTION("""COMPUTED_VALUE"""),"Engagement Manager [Primary]")</f>
        <v>Engagement Manager [Primary]</v>
      </c>
    </row>
    <row r="492">
      <c r="A492" s="12" t="str">
        <f>IFERROR(__xludf.DUMMYFUNCTION("""COMPUTED_VALUE"""),"a0lVT000006KQ2vYAG")</f>
        <v>a0lVT000006KQ2vYAG</v>
      </c>
      <c r="B492" s="12" t="str">
        <f>IFERROR(__xludf.DUMMYFUNCTION("""COMPUTED_VALUE"""),"a0rVT00000z6QWHYA2")</f>
        <v>a0rVT00000z6QWHYA2</v>
      </c>
      <c r="C492" s="12" t="str">
        <f>IFERROR(__xludf.DUMMYFUNCTION("""COMPUTED_VALUE"""),"0038000001i7N4rAAE")</f>
        <v>0038000001i7N4rAAE</v>
      </c>
      <c r="D492" s="12" t="str">
        <f>IFERROR(__xludf.DUMMYFUNCTION("""COMPUTED_VALUE"""),"Val Tsvetkov")</f>
        <v>Val Tsvetkov</v>
      </c>
      <c r="E492" s="12" t="str">
        <f>IFERROR(__xludf.DUMMYFUNCTION("""COMPUTED_VALUE"""),"val.tsvetkov@workday.com")</f>
        <v>val.tsvetkov@workday.com</v>
      </c>
      <c r="F492" s="12" t="str">
        <f>IFERROR(__xludf.DUMMYFUNCTION("""COMPUTED_VALUE"""),"Deployment Sponsor")</f>
        <v>Deployment Sponsor</v>
      </c>
    </row>
    <row r="493">
      <c r="A493" s="12" t="str">
        <f>IFERROR(__xludf.DUMMYFUNCTION("""COMPUTED_VALUE"""),"a0lVT000006Bc1hYAC")</f>
        <v>a0lVT000006Bc1hYAC</v>
      </c>
      <c r="B493" s="12" t="str">
        <f>IFERROR(__xludf.DUMMYFUNCTION("""COMPUTED_VALUE"""),"a0rVT00000z6QWHYA2")</f>
        <v>a0rVT00000z6QWHYA2</v>
      </c>
      <c r="C493" s="12" t="str">
        <f>IFERROR(__xludf.DUMMYFUNCTION("""COMPUTED_VALUE"""),"003VT00000fbuMWYAY")</f>
        <v>003VT00000fbuMWYAY</v>
      </c>
      <c r="D493" s="12" t="str">
        <f>IFERROR(__xludf.DUMMYFUNCTION("""COMPUTED_VALUE"""),"Erin Henning")</f>
        <v>Erin Henning</v>
      </c>
      <c r="E493" s="12" t="str">
        <f>IFERROR(__xludf.DUMMYFUNCTION("""COMPUTED_VALUE"""),"erin.henning@siemens.com")</f>
        <v>erin.henning@siemens.com</v>
      </c>
      <c r="F493" s="12" t="str">
        <f>IFERROR(__xludf.DUMMYFUNCTION("""COMPUTED_VALUE"""),"Executive Sponsor")</f>
        <v>Executive Sponsor</v>
      </c>
    </row>
    <row r="494">
      <c r="A494" s="12" t="str">
        <f>IFERROR(__xludf.DUMMYFUNCTION("""COMPUTED_VALUE"""),"a0lVT000005UokTYAS")</f>
        <v>a0lVT000005UokTYAS</v>
      </c>
      <c r="B494" s="12" t="str">
        <f>IFERROR(__xludf.DUMMYFUNCTION("""COMPUTED_VALUE"""),"a0rVT00000z6QWHYA2")</f>
        <v>a0rVT00000z6QWHYA2</v>
      </c>
      <c r="C494" s="12" t="str">
        <f>IFERROR(__xludf.DUMMYFUNCTION("""COMPUTED_VALUE"""),"0034X00003EtGr8QAF")</f>
        <v>0034X00003EtGr8QAF</v>
      </c>
      <c r="D494" s="12" t="str">
        <f>IFERROR(__xludf.DUMMYFUNCTION("""COMPUTED_VALUE"""),"Aaron Barnes")</f>
        <v>Aaron Barnes</v>
      </c>
      <c r="E494" s="12" t="str">
        <f>IFERROR(__xludf.DUMMYFUNCTION("""COMPUTED_VALUE"""),"aaron.barnes@workday.com")</f>
        <v>aaron.barnes@workday.com</v>
      </c>
      <c r="F494" s="12" t="str">
        <f>IFERROR(__xludf.DUMMYFUNCTION("""COMPUTED_VALUE"""),"Deployment Sponsor")</f>
        <v>Deployment Sponsor</v>
      </c>
    </row>
    <row r="495">
      <c r="A495" s="12" t="str">
        <f>IFERROR(__xludf.DUMMYFUNCTION("""COMPUTED_VALUE"""),"a0lVT000005YLQXYA4")</f>
        <v>a0lVT000005YLQXYA4</v>
      </c>
      <c r="B495" s="12" t="str">
        <f>IFERROR(__xludf.DUMMYFUNCTION("""COMPUTED_VALUE"""),"a0rVT00000zw8IIYAY")</f>
        <v>a0rVT00000zw8IIYAY</v>
      </c>
      <c r="C495" s="12" t="str">
        <f>IFERROR(__xludf.DUMMYFUNCTION("""COMPUTED_VALUE"""),"00380000024qaNvAAI")</f>
        <v>00380000024qaNvAAI</v>
      </c>
      <c r="D495" s="12" t="str">
        <f>IFERROR(__xludf.DUMMYFUNCTION("""COMPUTED_VALUE"""),"Doris Pulsifer")</f>
        <v>Doris Pulsifer</v>
      </c>
      <c r="E495" s="12" t="str">
        <f>IFERROR(__xludf.DUMMYFUNCTION("""COMPUTED_VALUE"""),"doris.pulsifer@workday.com")</f>
        <v>doris.pulsifer@workday.com</v>
      </c>
      <c r="F495" s="12" t="str">
        <f>IFERROR(__xludf.DUMMYFUNCTION("""COMPUTED_VALUE"""),"Engagement Manager [Primary]")</f>
        <v>Engagement Manager [Primary]</v>
      </c>
    </row>
    <row r="496">
      <c r="A496" s="12" t="str">
        <f>IFERROR(__xludf.DUMMYFUNCTION("""COMPUTED_VALUE"""),"a0lVT000005lqt7YAA")</f>
        <v>a0lVT000005lqt7YAA</v>
      </c>
      <c r="B496" s="12" t="str">
        <f>IFERROR(__xludf.DUMMYFUNCTION("""COMPUTED_VALUE"""),"a0rVT000010WmBHYA0")</f>
        <v>a0rVT000010WmBHYA0</v>
      </c>
      <c r="C496" s="12" t="str">
        <f>IFERROR(__xludf.DUMMYFUNCTION("""COMPUTED_VALUE"""),"003VT00000fbzhgYAA")</f>
        <v>003VT00000fbzhgYAA</v>
      </c>
      <c r="D496" s="12" t="str">
        <f>IFERROR(__xludf.DUMMYFUNCTION("""COMPUTED_VALUE"""),"Regina Thomas")</f>
        <v>Regina Thomas</v>
      </c>
      <c r="E496" s="12" t="str">
        <f>IFERROR(__xludf.DUMMYFUNCTION("""COMPUTED_VALUE"""),"regina.thomas@regeneron.com")</f>
        <v>regina.thomas@regeneron.com</v>
      </c>
      <c r="F496" s="12" t="str">
        <f>IFERROR(__xludf.DUMMYFUNCTION("""COMPUTED_VALUE"""),"Executive Sponsor")</f>
        <v>Executive Sponsor</v>
      </c>
    </row>
    <row r="497">
      <c r="A497" s="12" t="str">
        <f>IFERROR(__xludf.DUMMYFUNCTION("""COMPUTED_VALUE"""),"a0lVT000005lqt9YAA")</f>
        <v>a0lVT000005lqt9YAA</v>
      </c>
      <c r="B497" s="12" t="str">
        <f>IFERROR(__xludf.DUMMYFUNCTION("""COMPUTED_VALUE"""),"a0rVT000010WmBHYA0")</f>
        <v>a0rVT000010WmBHYA0</v>
      </c>
      <c r="C497" s="12" t="str">
        <f>IFERROR(__xludf.DUMMYFUNCTION("""COMPUTED_VALUE"""),"0034X00002vnvZDQAY")</f>
        <v>0034X00002vnvZDQAY</v>
      </c>
      <c r="D497" s="12" t="str">
        <f>IFERROR(__xludf.DUMMYFUNCTION("""COMPUTED_VALUE"""),"Jai Gulati")</f>
        <v>Jai Gulati</v>
      </c>
      <c r="E497" s="12" t="str">
        <f>IFERROR(__xludf.DUMMYFUNCTION("""COMPUTED_VALUE"""),"jai.gulati@regeneron.com")</f>
        <v>jai.gulati@regeneron.com</v>
      </c>
      <c r="F497" s="12" t="str">
        <f>IFERROR(__xludf.DUMMYFUNCTION("""COMPUTED_VALUE"""),"Executive Sponsor")</f>
        <v>Executive Sponsor</v>
      </c>
    </row>
    <row r="498">
      <c r="A498" s="12" t="str">
        <f>IFERROR(__xludf.DUMMYFUNCTION("""COMPUTED_VALUE"""),"a0lVT000005lqtAYAQ")</f>
        <v>a0lVT000005lqtAYAQ</v>
      </c>
      <c r="B498" s="12" t="str">
        <f>IFERROR(__xludf.DUMMYFUNCTION("""COMPUTED_VALUE"""),"a0rVT000010WmBHYA0")</f>
        <v>a0rVT000010WmBHYA0</v>
      </c>
      <c r="C498" s="12" t="str">
        <f>IFERROR(__xludf.DUMMYFUNCTION("""COMPUTED_VALUE"""),"0034X00002wQULtQAO")</f>
        <v>0034X00002wQULtQAO</v>
      </c>
      <c r="D498" s="12" t="str">
        <f>IFERROR(__xludf.DUMMYFUNCTION("""COMPUTED_VALUE"""),"Elisabeth Ramey")</f>
        <v>Elisabeth Ramey</v>
      </c>
      <c r="E498" s="12" t="str">
        <f>IFERROR(__xludf.DUMMYFUNCTION("""COMPUTED_VALUE"""),"elisabeth.ramey@regeneron.com")</f>
        <v>elisabeth.ramey@regeneron.com</v>
      </c>
      <c r="F498" s="12" t="str">
        <f>IFERROR(__xludf.DUMMYFUNCTION("""COMPUTED_VALUE"""),"Executive Sponsor")</f>
        <v>Executive Sponsor</v>
      </c>
    </row>
    <row r="499">
      <c r="A499" s="12" t="str">
        <f>IFERROR(__xludf.DUMMYFUNCTION("""COMPUTED_VALUE"""),"a0lVT000005YejJYAS")</f>
        <v>a0lVT000005YejJYAS</v>
      </c>
      <c r="B499" s="12" t="str">
        <f>IFERROR(__xludf.DUMMYFUNCTION("""COMPUTED_VALUE"""),"a0rVT000010WmBHYA0")</f>
        <v>a0rVT000010WmBHYA0</v>
      </c>
      <c r="C499" s="12" t="str">
        <f>IFERROR(__xludf.DUMMYFUNCTION("""COMPUTED_VALUE"""),"003VT00000c69PMYAY")</f>
        <v>003VT00000c69PMYAY</v>
      </c>
      <c r="D499" s="12" t="str">
        <f>IFERROR(__xludf.DUMMYFUNCTION("""COMPUTED_VALUE"""),"Brad Whitford")</f>
        <v>Brad Whitford</v>
      </c>
      <c r="E499" s="12" t="str">
        <f>IFERROR(__xludf.DUMMYFUNCTION("""COMPUTED_VALUE"""),"brad.whitford@workday.com")</f>
        <v>brad.whitford@workday.com</v>
      </c>
      <c r="F499" s="12" t="str">
        <f>IFERROR(__xludf.DUMMYFUNCTION("""COMPUTED_VALUE"""),"Engagement Manager [Primary]")</f>
        <v>Engagement Manager [Primary]</v>
      </c>
    </row>
    <row r="500">
      <c r="A500" s="12" t="str">
        <f>IFERROR(__xludf.DUMMYFUNCTION("""COMPUTED_VALUE"""),"a0lVT000005lqtFYAQ")</f>
        <v>a0lVT000005lqtFYAQ</v>
      </c>
      <c r="B500" s="12" t="str">
        <f>IFERROR(__xludf.DUMMYFUNCTION("""COMPUTED_VALUE"""),"a0rVT000010WmBHYA0")</f>
        <v>a0rVT000010WmBHYA0</v>
      </c>
      <c r="C500" s="12" t="str">
        <f>IFERROR(__xludf.DUMMYFUNCTION("""COMPUTED_VALUE"""),"0031B00002lMPUNQA4")</f>
        <v>0031B00002lMPUNQA4</v>
      </c>
      <c r="D500" s="12" t="str">
        <f>IFERROR(__xludf.DUMMYFUNCTION("""COMPUTED_VALUE"""),"Jhonelle Prince")</f>
        <v>Jhonelle Prince</v>
      </c>
      <c r="E500" s="12" t="str">
        <f>IFERROR(__xludf.DUMMYFUNCTION("""COMPUTED_VALUE"""),"jhonelle.prince@regeneron.com")</f>
        <v>jhonelle.prince@regeneron.com</v>
      </c>
      <c r="F500" s="12" t="str">
        <f>IFERROR(__xludf.DUMMYFUNCTION("""COMPUTED_VALUE"""),"Project Manager [Customer]")</f>
        <v>Project Manager [Customer]</v>
      </c>
    </row>
    <row r="501">
      <c r="A501" s="12" t="str">
        <f>IFERROR(__xludf.DUMMYFUNCTION("""COMPUTED_VALUE"""),"a0lVT000005wR4zYAE")</f>
        <v>a0lVT000005wR4zYAE</v>
      </c>
      <c r="B501" s="12" t="str">
        <f>IFERROR(__xludf.DUMMYFUNCTION("""COMPUTED_VALUE"""),"a0rVT000010WmBHYA0")</f>
        <v>a0rVT000010WmBHYA0</v>
      </c>
      <c r="C501" s="12" t="str">
        <f>IFERROR(__xludf.DUMMYFUNCTION("""COMPUTED_VALUE"""),"0038000001HTmLFAA1")</f>
        <v>0038000001HTmLFAA1</v>
      </c>
      <c r="D501" s="12" t="str">
        <f>IFERROR(__xludf.DUMMYFUNCTION("""COMPUTED_VALUE"""),"Angela Chu-Matsuno")</f>
        <v>Angela Chu-Matsuno</v>
      </c>
      <c r="E501" s="12" t="str">
        <f>IFERROR(__xludf.DUMMYFUNCTION("""COMPUTED_VALUE"""),"angela.chu-matsuno@workday.com")</f>
        <v>angela.chu-matsuno@workday.com</v>
      </c>
      <c r="F501" s="12" t="str">
        <f>IFERROR(__xludf.DUMMYFUNCTION("""COMPUTED_VALUE"""),"Deployment Sponsor")</f>
        <v>Deployment Sponsor</v>
      </c>
    </row>
    <row r="502">
      <c r="A502" s="12" t="str">
        <f>IFERROR(__xludf.DUMMYFUNCTION("""COMPUTED_VALUE"""),"a0lVT000005wXtZYAU")</f>
        <v>a0lVT000005wXtZYAU</v>
      </c>
      <c r="B502" s="12" t="str">
        <f>IFERROR(__xludf.DUMMYFUNCTION("""COMPUTED_VALUE"""),"a0rVT000010WmBHYA0")</f>
        <v>a0rVT000010WmBHYA0</v>
      </c>
      <c r="C502" s="12" t="str">
        <f>IFERROR(__xludf.DUMMYFUNCTION("""COMPUTED_VALUE"""),"0034X00002yXBHxQAO")</f>
        <v>0034X00002yXBHxQAO</v>
      </c>
      <c r="D502" s="12" t="str">
        <f>IFERROR(__xludf.DUMMYFUNCTION("""COMPUTED_VALUE"""),"Jennifer Mitchell")</f>
        <v>Jennifer Mitchell</v>
      </c>
      <c r="E502" s="12" t="str">
        <f>IFERROR(__xludf.DUMMYFUNCTION("""COMPUTED_VALUE"""),"jennifer.mitchell@workday.com")</f>
        <v>jennifer.mitchell@workday.com</v>
      </c>
      <c r="F502" s="12" t="str">
        <f>IFERROR(__xludf.DUMMYFUNCTION("""COMPUTED_VALUE"""),"Engagement Manager [Secondary]")</f>
        <v>Engagement Manager [Secondary]</v>
      </c>
    </row>
    <row r="503">
      <c r="A503" s="12" t="str">
        <f>IFERROR(__xludf.DUMMYFUNCTION("""COMPUTED_VALUE"""),"a0lVT000005Yv4EYAS")</f>
        <v>a0lVT000005Yv4EYAS</v>
      </c>
      <c r="B503" s="12" t="str">
        <f>IFERROR(__xludf.DUMMYFUNCTION("""COMPUTED_VALUE"""),"a0rVT000010WmBHYA0")</f>
        <v>a0rVT000010WmBHYA0</v>
      </c>
      <c r="C503" s="12" t="str">
        <f>IFERROR(__xludf.DUMMYFUNCTION("""COMPUTED_VALUE"""),"0038000001jImyNAAS")</f>
        <v>0038000001jImyNAAS</v>
      </c>
      <c r="D503" s="12" t="str">
        <f>IFERROR(__xludf.DUMMYFUNCTION("""COMPUTED_VALUE"""),"Patricia Lockett")</f>
        <v>Patricia Lockett</v>
      </c>
      <c r="E503" s="12" t="str">
        <f>IFERROR(__xludf.DUMMYFUNCTION("""COMPUTED_VALUE"""),"patricia.lockett@timeinc.com")</f>
        <v>patricia.lockett@timeinc.com</v>
      </c>
      <c r="F503" s="12" t="str">
        <f>IFERROR(__xludf.DUMMYFUNCTION("""COMPUTED_VALUE"""),"Executive Sponsor")</f>
        <v>Executive Sponsor</v>
      </c>
    </row>
    <row r="504">
      <c r="A504" s="12" t="str">
        <f>IFERROR(__xludf.DUMMYFUNCTION("""COMPUTED_VALUE"""),"a0lVT000005lqt8YAA")</f>
        <v>a0lVT000005lqt8YAA</v>
      </c>
      <c r="B504" s="12" t="str">
        <f>IFERROR(__xludf.DUMMYFUNCTION("""COMPUTED_VALUE"""),"a0rVT000010WmBHYA0")</f>
        <v>a0rVT000010WmBHYA0</v>
      </c>
      <c r="C504" s="12" t="str">
        <f>IFERROR(__xludf.DUMMYFUNCTION("""COMPUTED_VALUE"""),"0034X00002tsN2LQAU")</f>
        <v>0034X00002tsN2LQAU</v>
      </c>
      <c r="D504" s="12" t="str">
        <f>IFERROR(__xludf.DUMMYFUNCTION("""COMPUTED_VALUE"""),"Susan Kearney")</f>
        <v>Susan Kearney</v>
      </c>
      <c r="E504" s="12" t="str">
        <f>IFERROR(__xludf.DUMMYFUNCTION("""COMPUTED_VALUE"""),"susan.kearney@regeneron.com")</f>
        <v>susan.kearney@regeneron.com</v>
      </c>
      <c r="F504" s="12" t="str">
        <f>IFERROR(__xludf.DUMMYFUNCTION("""COMPUTED_VALUE"""),"Executive Sponsor")</f>
        <v>Executive Sponsor</v>
      </c>
    </row>
    <row r="505">
      <c r="A505" s="12" t="str">
        <f>IFERROR(__xludf.DUMMYFUNCTION("""COMPUTED_VALUE"""),"a0lVT000006NKaUYAW")</f>
        <v>a0lVT000006NKaUYAW</v>
      </c>
      <c r="B505" s="12" t="str">
        <f>IFERROR(__xludf.DUMMYFUNCTION("""COMPUTED_VALUE"""),"a0rVT000010Wpc7YAC")</f>
        <v>a0rVT000010Wpc7YAC</v>
      </c>
      <c r="C505" s="12" t="str">
        <f>IFERROR(__xludf.DUMMYFUNCTION("""COMPUTED_VALUE"""),"0034X00003GLFCrQAP")</f>
        <v>0034X00003GLFCrQAP</v>
      </c>
      <c r="D505" s="12" t="str">
        <f>IFERROR(__xludf.DUMMYFUNCTION("""COMPUTED_VALUE"""),"Mere Ramsey")</f>
        <v>Mere Ramsey</v>
      </c>
      <c r="E505" s="12" t="str">
        <f>IFERROR(__xludf.DUMMYFUNCTION("""COMPUTED_VALUE"""),"mere.ramsey@woodward.com")</f>
        <v>mere.ramsey@woodward.com</v>
      </c>
      <c r="F505" s="12" t="str">
        <f>IFERROR(__xludf.DUMMYFUNCTION("""COMPUTED_VALUE"""),"Executive Sponsor")</f>
        <v>Executive Sponsor</v>
      </c>
    </row>
    <row r="506">
      <c r="A506" s="12" t="str">
        <f>IFERROR(__xludf.DUMMYFUNCTION("""COMPUTED_VALUE"""),"a0lVT000005YeszYAC")</f>
        <v>a0lVT000005YeszYAC</v>
      </c>
      <c r="B506" s="12" t="str">
        <f>IFERROR(__xludf.DUMMYFUNCTION("""COMPUTED_VALUE"""),"a0rVT000010Wpc7YAC")</f>
        <v>a0rVT000010Wpc7YAC</v>
      </c>
      <c r="C506" s="12" t="str">
        <f>IFERROR(__xludf.DUMMYFUNCTION("""COMPUTED_VALUE"""),"0034X00003T11MqQAJ")</f>
        <v>0034X00003T11MqQAJ</v>
      </c>
      <c r="D506" s="12" t="str">
        <f>IFERROR(__xludf.DUMMYFUNCTION("""COMPUTED_VALUE"""),"Andres Baudrit")</f>
        <v>Andres Baudrit</v>
      </c>
      <c r="E506" s="12" t="str">
        <f>IFERROR(__xludf.DUMMYFUNCTION("""COMPUTED_VALUE"""),"andres.baudrit@workday.com")</f>
        <v>andres.baudrit@workday.com</v>
      </c>
      <c r="F506" s="12" t="str">
        <f>IFERROR(__xludf.DUMMYFUNCTION("""COMPUTED_VALUE"""),"Engagement Manager [Primary]")</f>
        <v>Engagement Manager [Primary]</v>
      </c>
    </row>
    <row r="507">
      <c r="A507" s="12" t="str">
        <f>IFERROR(__xludf.DUMMYFUNCTION("""COMPUTED_VALUE"""),"a0lVT000006NKaTYAW")</f>
        <v>a0lVT000006NKaTYAW</v>
      </c>
      <c r="B507" s="12" t="str">
        <f>IFERROR(__xludf.DUMMYFUNCTION("""COMPUTED_VALUE"""),"a0rVT000010Wpc7YAC")</f>
        <v>a0rVT000010Wpc7YAC</v>
      </c>
      <c r="C507" s="12" t="str">
        <f>IFERROR(__xludf.DUMMYFUNCTION("""COMPUTED_VALUE"""),"0034X00003GLFCrQAP")</f>
        <v>0034X00003GLFCrQAP</v>
      </c>
      <c r="D507" s="12" t="str">
        <f>IFERROR(__xludf.DUMMYFUNCTION("""COMPUTED_VALUE"""),"Mere Ramsey")</f>
        <v>Mere Ramsey</v>
      </c>
      <c r="E507" s="12" t="str">
        <f>IFERROR(__xludf.DUMMYFUNCTION("""COMPUTED_VALUE"""),"mere.ramsey@woodward.com")</f>
        <v>mere.ramsey@woodward.com</v>
      </c>
      <c r="F507" s="12" t="str">
        <f>IFERROR(__xludf.DUMMYFUNCTION("""COMPUTED_VALUE"""),"Project Manager [Customer]")</f>
        <v>Project Manager [Customer]</v>
      </c>
    </row>
    <row r="508">
      <c r="A508" s="12" t="str">
        <f>IFERROR(__xludf.DUMMYFUNCTION("""COMPUTED_VALUE"""),"a0lVT000006NKIjYAO")</f>
        <v>a0lVT000006NKIjYAO</v>
      </c>
      <c r="B508" s="12" t="str">
        <f>IFERROR(__xludf.DUMMYFUNCTION("""COMPUTED_VALUE"""),"a0rVT000010Wpc7YAC")</f>
        <v>a0rVT000010Wpc7YAC</v>
      </c>
      <c r="C508" s="12" t="str">
        <f>IFERROR(__xludf.DUMMYFUNCTION("""COMPUTED_VALUE"""),"0038000001i7N4rAAE")</f>
        <v>0038000001i7N4rAAE</v>
      </c>
      <c r="D508" s="12" t="str">
        <f>IFERROR(__xludf.DUMMYFUNCTION("""COMPUTED_VALUE"""),"Val Tsvetkov")</f>
        <v>Val Tsvetkov</v>
      </c>
      <c r="E508" s="12" t="str">
        <f>IFERROR(__xludf.DUMMYFUNCTION("""COMPUTED_VALUE"""),"val.tsvetkov@workday.com")</f>
        <v>val.tsvetkov@workday.com</v>
      </c>
      <c r="F508" s="12" t="str">
        <f>IFERROR(__xludf.DUMMYFUNCTION("""COMPUTED_VALUE"""),"Deployment Sponsor")</f>
        <v>Deployment Sponsor</v>
      </c>
    </row>
    <row r="509">
      <c r="A509" s="12" t="str">
        <f>IFERROR(__xludf.DUMMYFUNCTION("""COMPUTED_VALUE"""),"a0lVT000005qvnJYAQ")</f>
        <v>a0lVT000005qvnJYAQ</v>
      </c>
      <c r="B509" s="12" t="str">
        <f>IFERROR(__xludf.DUMMYFUNCTION("""COMPUTED_VALUE"""),"a0rVT0000110z45YAA")</f>
        <v>a0rVT0000110z45YAA</v>
      </c>
      <c r="C509" s="12" t="str">
        <f>IFERROR(__xludf.DUMMYFUNCTION("""COMPUTED_VALUE"""),"003VT00000Oo7msYAB")</f>
        <v>003VT00000Oo7msYAB</v>
      </c>
      <c r="D509" s="12" t="str">
        <f>IFERROR(__xludf.DUMMYFUNCTION("""COMPUTED_VALUE"""),"Diego Hernandez")</f>
        <v>Diego Hernandez</v>
      </c>
      <c r="E509" s="12" t="str">
        <f>IFERROR(__xludf.DUMMYFUNCTION("""COMPUTED_VALUE"""),"dhernandez1@csd.me")</f>
        <v>dhernandez1@csd.me</v>
      </c>
      <c r="F509" s="12" t="str">
        <f>IFERROR(__xludf.DUMMYFUNCTION("""COMPUTED_VALUE"""),"Project Manager [Customer]")</f>
        <v>Project Manager [Customer]</v>
      </c>
    </row>
    <row r="510">
      <c r="A510" s="12" t="str">
        <f>IFERROR(__xludf.DUMMYFUNCTION("""COMPUTED_VALUE"""),"a0lVT000005mUovYAE")</f>
        <v>a0lVT000005mUovYAE</v>
      </c>
      <c r="B510" s="12" t="str">
        <f>IFERROR(__xludf.DUMMYFUNCTION("""COMPUTED_VALUE"""),"a0rVT0000110z45YAA")</f>
        <v>a0rVT0000110z45YAA</v>
      </c>
      <c r="C510" s="12" t="str">
        <f>IFERROR(__xludf.DUMMYFUNCTION("""COMPUTED_VALUE"""),"0034X00003BnYOqQAN")</f>
        <v>0034X00003BnYOqQAN</v>
      </c>
      <c r="D510" s="12" t="str">
        <f>IFERROR(__xludf.DUMMYFUNCTION("""COMPUTED_VALUE"""),"Alfonso DelValle")</f>
        <v>Alfonso DelValle</v>
      </c>
      <c r="E510" s="12" t="str">
        <f>IFERROR(__xludf.DUMMYFUNCTION("""COMPUTED_VALUE"""),"alfonso.delvalle@workday.com")</f>
        <v>alfonso.delvalle@workday.com</v>
      </c>
      <c r="F510" s="12" t="str">
        <f>IFERROR(__xludf.DUMMYFUNCTION("""COMPUTED_VALUE"""),"Engagement Manager [Primary]")</f>
        <v>Engagement Manager [Primary]</v>
      </c>
    </row>
    <row r="511">
      <c r="A511" s="12" t="str">
        <f>IFERROR(__xludf.DUMMYFUNCTION("""COMPUTED_VALUE"""),"a0lVT000005qvSLYAY")</f>
        <v>a0lVT000005qvSLYAY</v>
      </c>
      <c r="B511" s="12" t="str">
        <f>IFERROR(__xludf.DUMMYFUNCTION("""COMPUTED_VALUE"""),"a0rVT0000110z45YAA")</f>
        <v>a0rVT0000110z45YAA</v>
      </c>
      <c r="C511" s="12" t="str">
        <f>IFERROR(__xludf.DUMMYFUNCTION("""COMPUTED_VALUE"""),"003VT00000KJEIHYA5")</f>
        <v>003VT00000KJEIHYA5</v>
      </c>
      <c r="D511" s="12" t="str">
        <f>IFERROR(__xludf.DUMMYFUNCTION("""COMPUTED_VALUE"""),"Cedar Francis-Scofield")</f>
        <v>Cedar Francis-Scofield</v>
      </c>
      <c r="E511" s="12" t="str">
        <f>IFERROR(__xludf.DUMMYFUNCTION("""COMPUTED_VALUE"""),"cfrancis-scofield@csd.me")</f>
        <v>cfrancis-scofield@csd.me</v>
      </c>
      <c r="F511" s="12" t="str">
        <f>IFERROR(__xludf.DUMMYFUNCTION("""COMPUTED_VALUE"""),"Executive Sponsor")</f>
        <v>Executive Sponsor</v>
      </c>
    </row>
    <row r="512">
      <c r="A512" s="12" t="str">
        <f>IFERROR(__xludf.DUMMYFUNCTION("""COMPUTED_VALUE"""),"a0lVT000005xqNtYAI")</f>
        <v>a0lVT000005xqNtYAI</v>
      </c>
      <c r="B512" s="12" t="str">
        <f>IFERROR(__xludf.DUMMYFUNCTION("""COMPUTED_VALUE"""),"a0rVT0000110z45YAA")</f>
        <v>a0rVT0000110z45YAA</v>
      </c>
      <c r="C512" s="12" t="str">
        <f>IFERROR(__xludf.DUMMYFUNCTION("""COMPUTED_VALUE"""),"0034X000037BufGQAS")</f>
        <v>0034X000037BufGQAS</v>
      </c>
      <c r="D512" s="12" t="str">
        <f>IFERROR(__xludf.DUMMYFUNCTION("""COMPUTED_VALUE"""),"Omar Gonzalez")</f>
        <v>Omar Gonzalez</v>
      </c>
      <c r="E512" s="12" t="str">
        <f>IFERROR(__xludf.DUMMYFUNCTION("""COMPUTED_VALUE"""),"omar.gonzalez@workday.com")</f>
        <v>omar.gonzalez@workday.com</v>
      </c>
      <c r="F512" s="12" t="str">
        <f>IFERROR(__xludf.DUMMYFUNCTION("""COMPUTED_VALUE"""),"Deployment Sponsor")</f>
        <v>Deployment Sponsor</v>
      </c>
    </row>
    <row r="513">
      <c r="A513" s="12" t="str">
        <f>IFERROR(__xludf.DUMMYFUNCTION("""COMPUTED_VALUE"""),"a0lVT000005s4a1YAA")</f>
        <v>a0lVT000005s4a1YAA</v>
      </c>
      <c r="B513" s="12" t="str">
        <f>IFERROR(__xludf.DUMMYFUNCTION("""COMPUTED_VALUE"""),"a0rVT000011EAPrYAO")</f>
        <v>a0rVT000011EAPrYAO</v>
      </c>
      <c r="C513" s="12" t="str">
        <f>IFERROR(__xludf.DUMMYFUNCTION("""COMPUTED_VALUE"""),"0038000001H72ioAAB")</f>
        <v>0038000001H72ioAAB</v>
      </c>
      <c r="D513" s="12" t="str">
        <f>IFERROR(__xludf.DUMMYFUNCTION("""COMPUTED_VALUE"""),"Alexandra Dolores")</f>
        <v>Alexandra Dolores</v>
      </c>
      <c r="E513" s="12" t="str">
        <f>IFERROR(__xludf.DUMMYFUNCTION("""COMPUTED_VALUE"""),"alexandra.dolores@workday.com")</f>
        <v>alexandra.dolores@workday.com</v>
      </c>
      <c r="F513" s="12" t="str">
        <f>IFERROR(__xludf.DUMMYFUNCTION("""COMPUTED_VALUE"""),"Engagement Manager [Secondary]")</f>
        <v>Engagement Manager [Secondary]</v>
      </c>
    </row>
    <row r="514">
      <c r="A514" s="12" t="str">
        <f>IFERROR(__xludf.DUMMYFUNCTION("""COMPUTED_VALUE"""),"a0lVT000005yGlNYAU")</f>
        <v>a0lVT000005yGlNYAU</v>
      </c>
      <c r="B514" s="12" t="str">
        <f>IFERROR(__xludf.DUMMYFUNCTION("""COMPUTED_VALUE"""),"a0rVT000011EAPrYAO")</f>
        <v>a0rVT000011EAPrYAO</v>
      </c>
      <c r="C514" s="12" t="str">
        <f>IFERROR(__xludf.DUMMYFUNCTION("""COMPUTED_VALUE"""),"003VT00000NOFs0YAH")</f>
        <v>003VT00000NOFs0YAH</v>
      </c>
      <c r="D514" s="12" t="str">
        <f>IFERROR(__xludf.DUMMYFUNCTION("""COMPUTED_VALUE"""),"Catherine Dietrich")</f>
        <v>Catherine Dietrich</v>
      </c>
      <c r="E514" s="12" t="str">
        <f>IFERROR(__xludf.DUMMYFUNCTION("""COMPUTED_VALUE"""),"catherine.dietrich@workday.com")</f>
        <v>catherine.dietrich@workday.com</v>
      </c>
      <c r="F514" s="12" t="str">
        <f>IFERROR(__xludf.DUMMYFUNCTION("""COMPUTED_VALUE"""),"Engagement Manager [Primary]")</f>
        <v>Engagement Manager [Primary]</v>
      </c>
    </row>
    <row r="515">
      <c r="A515" s="12" t="str">
        <f>IFERROR(__xludf.DUMMYFUNCTION("""COMPUTED_VALUE"""),"a0lVT000005aVwrYAE")</f>
        <v>a0lVT000005aVwrYAE</v>
      </c>
      <c r="B515" s="12" t="str">
        <f>IFERROR(__xludf.DUMMYFUNCTION("""COMPUTED_VALUE"""),"a0rVT000011EAPrYAO")</f>
        <v>a0rVT000011EAPrYAO</v>
      </c>
      <c r="C515" s="12" t="str">
        <f>IFERROR(__xludf.DUMMYFUNCTION("""COMPUTED_VALUE"""),"0034X00003EtGr8QAF")</f>
        <v>0034X00003EtGr8QAF</v>
      </c>
      <c r="D515" s="12" t="str">
        <f>IFERROR(__xludf.DUMMYFUNCTION("""COMPUTED_VALUE"""),"Aaron Barnes")</f>
        <v>Aaron Barnes</v>
      </c>
      <c r="E515" s="12" t="str">
        <f>IFERROR(__xludf.DUMMYFUNCTION("""COMPUTED_VALUE"""),"aaron.barnes@workday.com")</f>
        <v>aaron.barnes@workday.com</v>
      </c>
      <c r="F515" s="12" t="str">
        <f>IFERROR(__xludf.DUMMYFUNCTION("""COMPUTED_VALUE"""),"Engagement Manager [Secondary]")</f>
        <v>Engagement Manager [Secondary]</v>
      </c>
    </row>
    <row r="516">
      <c r="A516" s="12" t="str">
        <f>IFERROR(__xludf.DUMMYFUNCTION("""COMPUTED_VALUE"""),"a0lVT000005qS3mYAE")</f>
        <v>a0lVT000005qS3mYAE</v>
      </c>
      <c r="B516" s="12" t="str">
        <f>IFERROR(__xludf.DUMMYFUNCTION("""COMPUTED_VALUE"""),"a0rVT000011IIBxYAO")</f>
        <v>a0rVT000011IIBxYAO</v>
      </c>
      <c r="C516" s="12" t="str">
        <f>IFERROR(__xludf.DUMMYFUNCTION("""COMPUTED_VALUE"""),"0034X000037ASHkQAO")</f>
        <v>0034X000037ASHkQAO</v>
      </c>
      <c r="D516" s="12" t="str">
        <f>IFERROR(__xludf.DUMMYFUNCTION("""COMPUTED_VALUE"""),"Ryan Inder")</f>
        <v>Ryan Inder</v>
      </c>
      <c r="E516" s="12" t="str">
        <f>IFERROR(__xludf.DUMMYFUNCTION("""COMPUTED_VALUE"""),"rinder@lindt.com")</f>
        <v>rinder@lindt.com</v>
      </c>
      <c r="F516" s="12" t="str">
        <f>IFERROR(__xludf.DUMMYFUNCTION("""COMPUTED_VALUE"""),"Project Manager [Customer]")</f>
        <v>Project Manager [Customer]</v>
      </c>
    </row>
    <row r="517">
      <c r="A517" s="12" t="str">
        <f>IFERROR(__xludf.DUMMYFUNCTION("""COMPUTED_VALUE"""),"a0lVT000005qS3lYAE")</f>
        <v>a0lVT000005qS3lYAE</v>
      </c>
      <c r="B517" s="12" t="str">
        <f>IFERROR(__xludf.DUMMYFUNCTION("""COMPUTED_VALUE"""),"a0rVT000011IIBxYAO")</f>
        <v>a0rVT000011IIBxYAO</v>
      </c>
      <c r="C517" s="12" t="str">
        <f>IFERROR(__xludf.DUMMYFUNCTION("""COMPUTED_VALUE"""),"0034X00003NvOclQAF")</f>
        <v>0034X00003NvOclQAF</v>
      </c>
      <c r="D517" s="12" t="str">
        <f>IFERROR(__xludf.DUMMYFUNCTION("""COMPUTED_VALUE"""),"Nicole Uhrmeister")</f>
        <v>Nicole Uhrmeister</v>
      </c>
      <c r="E517" s="12" t="str">
        <f>IFERROR(__xludf.DUMMYFUNCTION("""COMPUTED_VALUE"""),"nuhrmeister@lindt.com")</f>
        <v>nuhrmeister@lindt.com</v>
      </c>
      <c r="F517" s="12" t="str">
        <f>IFERROR(__xludf.DUMMYFUNCTION("""COMPUTED_VALUE"""),"Executive Sponsor")</f>
        <v>Executive Sponsor</v>
      </c>
    </row>
    <row r="518">
      <c r="A518" s="12" t="str">
        <f>IFERROR(__xludf.DUMMYFUNCTION("""COMPUTED_VALUE"""),"a0lVT000005iDptYAE")</f>
        <v>a0lVT000005iDptYAE</v>
      </c>
      <c r="B518" s="12" t="str">
        <f>IFERROR(__xludf.DUMMYFUNCTION("""COMPUTED_VALUE"""),"a0rVT000011QoOHYA0")</f>
        <v>a0rVT000011QoOHYA0</v>
      </c>
      <c r="C518" s="12" t="str">
        <f>IFERROR(__xludf.DUMMYFUNCTION("""COMPUTED_VALUE"""),"0031B00002p1PsFQAU")</f>
        <v>0031B00002p1PsFQAU</v>
      </c>
      <c r="D518" s="12" t="str">
        <f>IFERROR(__xludf.DUMMYFUNCTION("""COMPUTED_VALUE"""),"Bhavika Patel")</f>
        <v>Bhavika Patel</v>
      </c>
      <c r="E518" s="12" t="str">
        <f>IFERROR(__xludf.DUMMYFUNCTION("""COMPUTED_VALUE"""),"bhavika.patel@workday.com")</f>
        <v>bhavika.patel@workday.com</v>
      </c>
      <c r="F518" s="12" t="str">
        <f>IFERROR(__xludf.DUMMYFUNCTION("""COMPUTED_VALUE"""),"Engagement Manager [Primary]")</f>
        <v>Engagement Manager [Primary]</v>
      </c>
    </row>
    <row r="519">
      <c r="A519" s="12" t="str">
        <f>IFERROR(__xludf.DUMMYFUNCTION("""COMPUTED_VALUE"""),"a0lVT0000066dT3YAI")</f>
        <v>a0lVT0000066dT3YAI</v>
      </c>
      <c r="B519" s="12" t="str">
        <f>IFERROR(__xludf.DUMMYFUNCTION("""COMPUTED_VALUE"""),"a0rVT000011QoOHYA0")</f>
        <v>a0rVT000011QoOHYA0</v>
      </c>
      <c r="C519" s="12" t="str">
        <f>IFERROR(__xludf.DUMMYFUNCTION("""COMPUTED_VALUE"""),"0034X000038dYiPQAU")</f>
        <v>0034X000038dYiPQAU</v>
      </c>
      <c r="D519" s="12" t="str">
        <f>IFERROR(__xludf.DUMMYFUNCTION("""COMPUTED_VALUE"""),"Mandy Moore")</f>
        <v>Mandy Moore</v>
      </c>
      <c r="E519" s="12" t="str">
        <f>IFERROR(__xludf.DUMMYFUNCTION("""COMPUTED_VALUE"""),"amanda.moore@rackspace.com")</f>
        <v>amanda.moore@rackspace.com</v>
      </c>
      <c r="F519" s="12" t="str">
        <f>IFERROR(__xludf.DUMMYFUNCTION("""COMPUTED_VALUE"""),"Executive Sponsor")</f>
        <v>Executive Sponsor</v>
      </c>
    </row>
    <row r="520">
      <c r="A520" s="12" t="str">
        <f>IFERROR(__xludf.DUMMYFUNCTION("""COMPUTED_VALUE"""),"a0lVT0000066dhZYAQ")</f>
        <v>a0lVT0000066dhZYAQ</v>
      </c>
      <c r="B520" s="12" t="str">
        <f>IFERROR(__xludf.DUMMYFUNCTION("""COMPUTED_VALUE"""),"a0rVT000011QoOHYA0")</f>
        <v>a0rVT000011QoOHYA0</v>
      </c>
      <c r="C520" s="12" t="str">
        <f>IFERROR(__xludf.DUMMYFUNCTION("""COMPUTED_VALUE"""),"0038000001sCnOiAAK")</f>
        <v>0038000001sCnOiAAK</v>
      </c>
      <c r="D520" s="12" t="str">
        <f>IFERROR(__xludf.DUMMYFUNCTION("""COMPUTED_VALUE"""),"Nate Allen")</f>
        <v>Nate Allen</v>
      </c>
      <c r="E520" s="12" t="str">
        <f>IFERROR(__xludf.DUMMYFUNCTION("""COMPUTED_VALUE"""),"nate.allen2@workday.com")</f>
        <v>nate.allen2@workday.com</v>
      </c>
      <c r="F520" s="12" t="str">
        <f>IFERROR(__xludf.DUMMYFUNCTION("""COMPUTED_VALUE"""),"Deployment Sponsor")</f>
        <v>Deployment Sponsor</v>
      </c>
    </row>
    <row r="521">
      <c r="A521" s="12" t="str">
        <f>IFERROR(__xludf.DUMMYFUNCTION("""COMPUTED_VALUE"""),"a0lVT0000066dcjYAA")</f>
        <v>a0lVT0000066dcjYAA</v>
      </c>
      <c r="B521" s="12" t="str">
        <f>IFERROR(__xludf.DUMMYFUNCTION("""COMPUTED_VALUE"""),"a0rVT000011QoOHYA0")</f>
        <v>a0rVT000011QoOHYA0</v>
      </c>
      <c r="C521" s="12" t="str">
        <f>IFERROR(__xludf.DUMMYFUNCTION("""COMPUTED_VALUE"""),"0034X000038dYiPQAU")</f>
        <v>0034X000038dYiPQAU</v>
      </c>
      <c r="D521" s="12" t="str">
        <f>IFERROR(__xludf.DUMMYFUNCTION("""COMPUTED_VALUE"""),"Mandy Moore")</f>
        <v>Mandy Moore</v>
      </c>
      <c r="E521" s="12" t="str">
        <f>IFERROR(__xludf.DUMMYFUNCTION("""COMPUTED_VALUE"""),"amanda.moore@rackspace.com")</f>
        <v>amanda.moore@rackspace.com</v>
      </c>
      <c r="F521" s="12" t="str">
        <f>IFERROR(__xludf.DUMMYFUNCTION("""COMPUTED_VALUE"""),"Project Manager [Customer]")</f>
        <v>Project Manager [Customer]</v>
      </c>
    </row>
    <row r="522">
      <c r="A522" s="12" t="str">
        <f>IFERROR(__xludf.DUMMYFUNCTION("""COMPUTED_VALUE"""),"a0lVT000006QPx0YAG")</f>
        <v>a0lVT000006QPx0YAG</v>
      </c>
      <c r="B522" s="12" t="str">
        <f>IFERROR(__xludf.DUMMYFUNCTION("""COMPUTED_VALUE"""),"a0rVT000011Z4E9YAK")</f>
        <v>a0rVT000011Z4E9YAK</v>
      </c>
      <c r="C522" s="12" t="str">
        <f>IFERROR(__xludf.DUMMYFUNCTION("""COMPUTED_VALUE"""),"0038000002DLGG8AAP")</f>
        <v>0038000002DLGG8AAP</v>
      </c>
      <c r="D522" s="12" t="str">
        <f>IFERROR(__xludf.DUMMYFUNCTION("""COMPUTED_VALUE"""),"Cecilia Chan")</f>
        <v>Cecilia Chan</v>
      </c>
      <c r="E522" s="12" t="str">
        <f>IFERROR(__xludf.DUMMYFUNCTION("""COMPUTED_VALUE"""),"cecilia.chan@brookfield.com")</f>
        <v>cecilia.chan@brookfield.com</v>
      </c>
      <c r="F522" s="12" t="str">
        <f>IFERROR(__xludf.DUMMYFUNCTION("""COMPUTED_VALUE"""),"Project Manager [Customer]")</f>
        <v>Project Manager [Customer]</v>
      </c>
    </row>
    <row r="523">
      <c r="A523" s="12" t="str">
        <f>IFERROR(__xludf.DUMMYFUNCTION("""COMPUTED_VALUE"""),"a0lVT000006QPwzYAG")</f>
        <v>a0lVT000006QPwzYAG</v>
      </c>
      <c r="B523" s="12" t="str">
        <f>IFERROR(__xludf.DUMMYFUNCTION("""COMPUTED_VALUE"""),"a0rVT000011Z4E9YAK")</f>
        <v>a0rVT000011Z4E9YAK</v>
      </c>
      <c r="C523" s="12" t="str">
        <f>IFERROR(__xludf.DUMMYFUNCTION("""COMPUTED_VALUE"""),"0031B00002rm6CCQAY")</f>
        <v>0031B00002rm6CCQAY</v>
      </c>
      <c r="D523" s="12" t="str">
        <f>IFERROR(__xludf.DUMMYFUNCTION("""COMPUTED_VALUE"""),"Lisa Lewis")</f>
        <v>Lisa Lewis</v>
      </c>
      <c r="E523" s="12" t="str">
        <f>IFERROR(__xludf.DUMMYFUNCTION("""COMPUTED_VALUE"""),"lisa.lewis@brookfield.com")</f>
        <v>lisa.lewis@brookfield.com</v>
      </c>
      <c r="F523" s="12" t="str">
        <f>IFERROR(__xludf.DUMMYFUNCTION("""COMPUTED_VALUE"""),"Executive Sponsor")</f>
        <v>Executive Sponsor</v>
      </c>
    </row>
    <row r="524">
      <c r="A524" s="12" t="str">
        <f>IFERROR(__xludf.DUMMYFUNCTION("""COMPUTED_VALUE"""),"a0lVT000006NZb9YAG")</f>
        <v>a0lVT000006NZb9YAG</v>
      </c>
      <c r="B524" s="12" t="str">
        <f>IFERROR(__xludf.DUMMYFUNCTION("""COMPUTED_VALUE"""),"a0rVT000011Z4E9YAK")</f>
        <v>a0rVT000011Z4E9YAK</v>
      </c>
      <c r="C524" s="12" t="str">
        <f>IFERROR(__xludf.DUMMYFUNCTION("""COMPUTED_VALUE"""),"003VT00000fc4shYAA")</f>
        <v>003VT00000fc4shYAA</v>
      </c>
      <c r="D524" s="12" t="str">
        <f>IFERROR(__xludf.DUMMYFUNCTION("""COMPUTED_VALUE"""),"Michelle Holland")</f>
        <v>Michelle Holland</v>
      </c>
      <c r="E524" s="12" t="str">
        <f>IFERROR(__xludf.DUMMYFUNCTION("""COMPUTED_VALUE"""),"michelle.holland@workday.com")</f>
        <v>michelle.holland@workday.com</v>
      </c>
      <c r="F524" s="12" t="str">
        <f>IFERROR(__xludf.DUMMYFUNCTION("""COMPUTED_VALUE"""),"Engagement Manager [Primary]")</f>
        <v>Engagement Manager [Primary]</v>
      </c>
    </row>
    <row r="525">
      <c r="A525" s="12" t="str">
        <f>IFERROR(__xludf.DUMMYFUNCTION("""COMPUTED_VALUE"""),"a0lVT000005wRpmYAE")</f>
        <v>a0lVT000005wRpmYAE</v>
      </c>
      <c r="B525" s="12" t="str">
        <f>IFERROR(__xludf.DUMMYFUNCTION("""COMPUTED_VALUE"""),"a0rVT000011dC1pYAE")</f>
        <v>a0rVT000011dC1pYAE</v>
      </c>
      <c r="C525" s="12" t="str">
        <f>IFERROR(__xludf.DUMMYFUNCTION("""COMPUTED_VALUE"""),"0034X00003IUcilQAD")</f>
        <v>0034X00003IUcilQAD</v>
      </c>
      <c r="D525" s="12" t="str">
        <f>IFERROR(__xludf.DUMMYFUNCTION("""COMPUTED_VALUE"""),"Mimi Chen")</f>
        <v>Mimi Chen</v>
      </c>
      <c r="E525" s="12" t="str">
        <f>IFERROR(__xludf.DUMMYFUNCTION("""COMPUTED_VALUE"""),"mimi.chen@us.sumitomo-pharma.com")</f>
        <v>mimi.chen@us.sumitomo-pharma.com</v>
      </c>
      <c r="F525" s="12" t="str">
        <f>IFERROR(__xludf.DUMMYFUNCTION("""COMPUTED_VALUE"""),"Executive Sponsor")</f>
        <v>Executive Sponsor</v>
      </c>
    </row>
    <row r="526">
      <c r="A526" s="12" t="str">
        <f>IFERROR(__xludf.DUMMYFUNCTION("""COMPUTED_VALUE"""),"a0lVT000005wRplYAE")</f>
        <v>a0lVT000005wRplYAE</v>
      </c>
      <c r="B526" s="12" t="str">
        <f>IFERROR(__xludf.DUMMYFUNCTION("""COMPUTED_VALUE"""),"a0rVT000011dC1pYAE")</f>
        <v>a0rVT000011dC1pYAE</v>
      </c>
      <c r="C526" s="12" t="str">
        <f>IFERROR(__xludf.DUMMYFUNCTION("""COMPUTED_VALUE"""),"0034X00003S9zNmQAJ")</f>
        <v>0034X00003S9zNmQAJ</v>
      </c>
      <c r="D526" s="12" t="str">
        <f>IFERROR(__xludf.DUMMYFUNCTION("""COMPUTED_VALUE"""),"Chakradhar Thopuri")</f>
        <v>Chakradhar Thopuri</v>
      </c>
      <c r="E526" s="12" t="str">
        <f>IFERROR(__xludf.DUMMYFUNCTION("""COMPUTED_VALUE"""),"chakradhar.thopuri@us.sumitomo-pharma.com")</f>
        <v>chakradhar.thopuri@us.sumitomo-pharma.com</v>
      </c>
      <c r="F526" s="12" t="str">
        <f>IFERROR(__xludf.DUMMYFUNCTION("""COMPUTED_VALUE"""),"Project Manager [Customer]")</f>
        <v>Project Manager [Customer]</v>
      </c>
    </row>
    <row r="527">
      <c r="A527" s="12" t="str">
        <f>IFERROR(__xludf.DUMMYFUNCTION("""COMPUTED_VALUE"""),"a0lVT000005k4wzYAA")</f>
        <v>a0lVT000005k4wzYAA</v>
      </c>
      <c r="B527" s="12" t="str">
        <f>IFERROR(__xludf.DUMMYFUNCTION("""COMPUTED_VALUE"""),"a0rVT000011qTCvYAM")</f>
        <v>a0rVT000011qTCvYAM</v>
      </c>
      <c r="C527" s="12" t="str">
        <f>IFERROR(__xludf.DUMMYFUNCTION("""COMPUTED_VALUE"""),"0038000002Bsyh3AAB")</f>
        <v>0038000002Bsyh3AAB</v>
      </c>
      <c r="D527" s="12" t="str">
        <f>IFERROR(__xludf.DUMMYFUNCTION("""COMPUTED_VALUE"""),"Carla Posey")</f>
        <v>Carla Posey</v>
      </c>
      <c r="E527" s="12" t="str">
        <f>IFERROR(__xludf.DUMMYFUNCTION("""COMPUTED_VALUE"""),"carla.posey@workday.com")</f>
        <v>carla.posey@workday.com</v>
      </c>
      <c r="F527" s="12" t="str">
        <f>IFERROR(__xludf.DUMMYFUNCTION("""COMPUTED_VALUE"""),"Engagement Manager [Primary]")</f>
        <v>Engagement Manager [Primary]</v>
      </c>
    </row>
    <row r="528">
      <c r="A528" s="12" t="str">
        <f>IFERROR(__xludf.DUMMYFUNCTION("""COMPUTED_VALUE"""),"a0lVT000006KLknYAG")</f>
        <v>a0lVT000006KLknYAG</v>
      </c>
      <c r="B528" s="12" t="str">
        <f>IFERROR(__xludf.DUMMYFUNCTION("""COMPUTED_VALUE"""),"a0rVT000011qTCvYAM")</f>
        <v>a0rVT000011qTCvYAM</v>
      </c>
      <c r="C528" s="12" t="str">
        <f>IFERROR(__xludf.DUMMYFUNCTION("""COMPUTED_VALUE"""),"0034X00003EtGr8QAF")</f>
        <v>0034X00003EtGr8QAF</v>
      </c>
      <c r="D528" s="12" t="str">
        <f>IFERROR(__xludf.DUMMYFUNCTION("""COMPUTED_VALUE"""),"Aaron Barnes")</f>
        <v>Aaron Barnes</v>
      </c>
      <c r="E528" s="12" t="str">
        <f>IFERROR(__xludf.DUMMYFUNCTION("""COMPUTED_VALUE"""),"aaron.barnes@workday.com")</f>
        <v>aaron.barnes@workday.com</v>
      </c>
      <c r="F528" s="12" t="str">
        <f>IFERROR(__xludf.DUMMYFUNCTION("""COMPUTED_VALUE"""),"Deployment Sponsor")</f>
        <v>Deployment Sponsor</v>
      </c>
    </row>
    <row r="529">
      <c r="A529" s="12" t="str">
        <f>IFERROR(__xludf.DUMMYFUNCTION("""COMPUTED_VALUE"""),"a0lVT000005zDYYYA2")</f>
        <v>a0lVT000005zDYYYA2</v>
      </c>
      <c r="B529" s="12" t="str">
        <f>IFERROR(__xludf.DUMMYFUNCTION("""COMPUTED_VALUE"""),"a0rVT000011qTCvYAM")</f>
        <v>a0rVT000011qTCvYAM</v>
      </c>
      <c r="C529" s="12" t="str">
        <f>IFERROR(__xludf.DUMMYFUNCTION("""COMPUTED_VALUE"""),"003VT00000py1YZYAY")</f>
        <v>003VT00000py1YZYAY</v>
      </c>
      <c r="D529" s="12" t="str">
        <f>IFERROR(__xludf.DUMMYFUNCTION("""COMPUTED_VALUE"""),"Leonar Bowen")</f>
        <v>Leonar Bowen</v>
      </c>
      <c r="E529" s="12" t="str">
        <f>IFERROR(__xludf.DUMMYFUNCTION("""COMPUTED_VALUE"""),"leonar.bowen@omc.com")</f>
        <v>leonar.bowen@omc.com</v>
      </c>
      <c r="F529" s="12" t="str">
        <f>IFERROR(__xludf.DUMMYFUNCTION("""COMPUTED_VALUE"""),"Project Manager [Customer]")</f>
        <v>Project Manager [Customer]</v>
      </c>
    </row>
    <row r="530">
      <c r="A530" s="12" t="str">
        <f>IFERROR(__xludf.DUMMYFUNCTION("""COMPUTED_VALUE"""),"a0lVT000006Fc6LYAS")</f>
        <v>a0lVT000006Fc6LYAS</v>
      </c>
      <c r="B530" s="12" t="str">
        <f>IFERROR(__xludf.DUMMYFUNCTION("""COMPUTED_VALUE"""),"a0rVT000011qTCvYAM")</f>
        <v>a0rVT000011qTCvYAM</v>
      </c>
      <c r="C530" s="12" t="str">
        <f>IFERROR(__xludf.DUMMYFUNCTION("""COMPUTED_VALUE"""),"0034X00002vn9k1QAA")</f>
        <v>0034X00002vn9k1QAA</v>
      </c>
      <c r="D530" s="12" t="str">
        <f>IFERROR(__xludf.DUMMYFUNCTION("""COMPUTED_VALUE"""),"Brianna Robak")</f>
        <v>Brianna Robak</v>
      </c>
      <c r="E530" s="12" t="str">
        <f>IFERROR(__xludf.DUMMYFUNCTION("""COMPUTED_VALUE"""),"brianna.robak@workday.com")</f>
        <v>brianna.robak@workday.com</v>
      </c>
      <c r="F530" s="12" t="str">
        <f>IFERROR(__xludf.DUMMYFUNCTION("""COMPUTED_VALUE"""),"Engagement Manager [Primary]")</f>
        <v>Engagement Manager [Primary]</v>
      </c>
    </row>
    <row r="531">
      <c r="A531" s="12" t="str">
        <f>IFERROR(__xludf.DUMMYFUNCTION("""COMPUTED_VALUE"""),"a0lVT0000065PTlYAM")</f>
        <v>a0lVT0000065PTlYAM</v>
      </c>
      <c r="B531" s="12" t="str">
        <f>IFERROR(__xludf.DUMMYFUNCTION("""COMPUTED_VALUE"""),"a0rVT000011qTCvYAM")</f>
        <v>a0rVT000011qTCvYAM</v>
      </c>
      <c r="C531" s="12" t="str">
        <f>IFERROR(__xludf.DUMMYFUNCTION("""COMPUTED_VALUE"""),"0031B00002iqMZ3QAM")</f>
        <v>0031B00002iqMZ3QAM</v>
      </c>
      <c r="D531" s="12" t="str">
        <f>IFERROR(__xludf.DUMMYFUNCTION("""COMPUTED_VALUE"""),"Erin Smith")</f>
        <v>Erin Smith</v>
      </c>
      <c r="E531" s="12" t="str">
        <f>IFERROR(__xludf.DUMMYFUNCTION("""COMPUTED_VALUE"""),"erin.smith@workday.com")</f>
        <v>erin.smith@workday.com</v>
      </c>
      <c r="F531" s="12" t="str">
        <f>IFERROR(__xludf.DUMMYFUNCTION("""COMPUTED_VALUE"""),"Deployment Sponsor")</f>
        <v>Deployment Sponsor</v>
      </c>
    </row>
    <row r="532">
      <c r="A532" s="12" t="str">
        <f>IFERROR(__xludf.DUMMYFUNCTION("""COMPUTED_VALUE"""),"a0lVT000005zDYXYA2")</f>
        <v>a0lVT000005zDYXYA2</v>
      </c>
      <c r="B532" s="12" t="str">
        <f>IFERROR(__xludf.DUMMYFUNCTION("""COMPUTED_VALUE"""),"a0rVT000011qTCvYAM")</f>
        <v>a0rVT000011qTCvYAM</v>
      </c>
      <c r="C532" s="12" t="str">
        <f>IFERROR(__xludf.DUMMYFUNCTION("""COMPUTED_VALUE"""),"003VT00000py1YZYAY")</f>
        <v>003VT00000py1YZYAY</v>
      </c>
      <c r="D532" s="12" t="str">
        <f>IFERROR(__xludf.DUMMYFUNCTION("""COMPUTED_VALUE"""),"Leonar Bowen")</f>
        <v>Leonar Bowen</v>
      </c>
      <c r="E532" s="12" t="str">
        <f>IFERROR(__xludf.DUMMYFUNCTION("""COMPUTED_VALUE"""),"leonar.bowen@omc.com")</f>
        <v>leonar.bowen@omc.com</v>
      </c>
      <c r="F532" s="12" t="str">
        <f>IFERROR(__xludf.DUMMYFUNCTION("""COMPUTED_VALUE"""),"Executive Sponsor")</f>
        <v>Executive Sponsor</v>
      </c>
    </row>
    <row r="533">
      <c r="A533" s="12" t="str">
        <f>IFERROR(__xludf.DUMMYFUNCTION("""COMPUTED_VALUE"""),"a0lVT000005w6q9YAA")</f>
        <v>a0lVT000005w6q9YAA</v>
      </c>
      <c r="B533" s="12" t="str">
        <f>IFERROR(__xludf.DUMMYFUNCTION("""COMPUTED_VALUE"""),"a0rVT000011yRM1YAM")</f>
        <v>a0rVT000011yRM1YAM</v>
      </c>
      <c r="C533" s="12" t="str">
        <f>IFERROR(__xludf.DUMMYFUNCTION("""COMPUTED_VALUE"""),"003VT00000fc4sfYAA")</f>
        <v>003VT00000fc4sfYAA</v>
      </c>
      <c r="D533" s="12" t="str">
        <f>IFERROR(__xludf.DUMMYFUNCTION("""COMPUTED_VALUE"""),"Katie Nehrenz")</f>
        <v>Katie Nehrenz</v>
      </c>
      <c r="E533" s="12" t="str">
        <f>IFERROR(__xludf.DUMMYFUNCTION("""COMPUTED_VALUE"""),"katie.nehrenz@workday.com")</f>
        <v>katie.nehrenz@workday.com</v>
      </c>
      <c r="F533" s="12" t="str">
        <f>IFERROR(__xludf.DUMMYFUNCTION("""COMPUTED_VALUE"""),"Engagement Manager [Primary]")</f>
        <v>Engagement Manager [Primary]</v>
      </c>
    </row>
    <row r="534">
      <c r="A534" s="12" t="str">
        <f>IFERROR(__xludf.DUMMYFUNCTION("""COMPUTED_VALUE"""),"a0lVT000006BhhJYAS")</f>
        <v>a0lVT000006BhhJYAS</v>
      </c>
      <c r="B534" s="12" t="str">
        <f>IFERROR(__xludf.DUMMYFUNCTION("""COMPUTED_VALUE"""),"a0rVT000011yRM1YAM")</f>
        <v>a0rVT000011yRM1YAM</v>
      </c>
      <c r="C534" s="12" t="str">
        <f>IFERROR(__xludf.DUMMYFUNCTION("""COMPUTED_VALUE"""),"0031B00002mOvxdQAC")</f>
        <v>0031B00002mOvxdQAC</v>
      </c>
      <c r="D534" s="12" t="str">
        <f>IFERROR(__xludf.DUMMYFUNCTION("""COMPUTED_VALUE"""),"Aaron Faris")</f>
        <v>Aaron Faris</v>
      </c>
      <c r="E534" s="12" t="str">
        <f>IFERROR(__xludf.DUMMYFUNCTION("""COMPUTED_VALUE"""),"aaron.faris@dinebrands.com")</f>
        <v>aaron.faris@dinebrands.com</v>
      </c>
      <c r="F534" s="12" t="str">
        <f>IFERROR(__xludf.DUMMYFUNCTION("""COMPUTED_VALUE"""),"Executive Sponsor")</f>
        <v>Executive Sponsor</v>
      </c>
    </row>
    <row r="535">
      <c r="A535" s="12" t="str">
        <f>IFERROR(__xludf.DUMMYFUNCTION("""COMPUTED_VALUE"""),"a0lVT000005w6qAYAQ")</f>
        <v>a0lVT000005w6qAYAQ</v>
      </c>
      <c r="B535" s="12" t="str">
        <f>IFERROR(__xludf.DUMMYFUNCTION("""COMPUTED_VALUE"""),"a0rVT000011yRM1YAM")</f>
        <v>a0rVT000011yRM1YAM</v>
      </c>
      <c r="C535" s="12" t="str">
        <f>IFERROR(__xludf.DUMMYFUNCTION("""COMPUTED_VALUE"""),"0031B00002mOvxdQAC")</f>
        <v>0031B00002mOvxdQAC</v>
      </c>
      <c r="D535" s="12" t="str">
        <f>IFERROR(__xludf.DUMMYFUNCTION("""COMPUTED_VALUE"""),"Aaron Faris")</f>
        <v>Aaron Faris</v>
      </c>
      <c r="E535" s="12" t="str">
        <f>IFERROR(__xludf.DUMMYFUNCTION("""COMPUTED_VALUE"""),"aaron.faris@dinebrands.com")</f>
        <v>aaron.faris@dinebrands.com</v>
      </c>
      <c r="F535" s="12" t="str">
        <f>IFERROR(__xludf.DUMMYFUNCTION("""COMPUTED_VALUE"""),"Project Manager [Customer]")</f>
        <v>Project Manager [Customer]</v>
      </c>
    </row>
    <row r="536">
      <c r="A536" s="12" t="str">
        <f>IFERROR(__xludf.DUMMYFUNCTION("""COMPUTED_VALUE"""),"a0lVT000006FKXdYAO")</f>
        <v>a0lVT000006FKXdYAO</v>
      </c>
      <c r="B536" s="12" t="str">
        <f>IFERROR(__xludf.DUMMYFUNCTION("""COMPUTED_VALUE"""),"a0rVT000011ySGTYA2")</f>
        <v>a0rVT000011ySGTYA2</v>
      </c>
      <c r="C536" s="12" t="str">
        <f>IFERROR(__xludf.DUMMYFUNCTION("""COMPUTED_VALUE"""),"0034X00003EtGr8QAF")</f>
        <v>0034X00003EtGr8QAF</v>
      </c>
      <c r="D536" s="12" t="str">
        <f>IFERROR(__xludf.DUMMYFUNCTION("""COMPUTED_VALUE"""),"Aaron Barnes")</f>
        <v>Aaron Barnes</v>
      </c>
      <c r="E536" s="12" t="str">
        <f>IFERROR(__xludf.DUMMYFUNCTION("""COMPUTED_VALUE"""),"aaron.barnes@workday.com")</f>
        <v>aaron.barnes@workday.com</v>
      </c>
      <c r="F536" s="12" t="str">
        <f>IFERROR(__xludf.DUMMYFUNCTION("""COMPUTED_VALUE"""),"Deployment Sponsor")</f>
        <v>Deployment Sponsor</v>
      </c>
    </row>
    <row r="537">
      <c r="A537" s="12" t="str">
        <f>IFERROR(__xludf.DUMMYFUNCTION("""COMPUTED_VALUE"""),"a0lVT000005ws5BYAQ")</f>
        <v>a0lVT000005ws5BYAQ</v>
      </c>
      <c r="B537" s="12" t="str">
        <f>IFERROR(__xludf.DUMMYFUNCTION("""COMPUTED_VALUE"""),"a0rVT000011ySGTYA2")</f>
        <v>a0rVT000011ySGTYA2</v>
      </c>
      <c r="C537" s="12" t="str">
        <f>IFERROR(__xludf.DUMMYFUNCTION("""COMPUTED_VALUE"""),"0034X00003T2sCmQAJ")</f>
        <v>0034X00003T2sCmQAJ</v>
      </c>
      <c r="D537" s="12" t="str">
        <f>IFERROR(__xludf.DUMMYFUNCTION("""COMPUTED_VALUE"""),"Felix Cordero")</f>
        <v>Felix Cordero</v>
      </c>
      <c r="E537" s="12" t="str">
        <f>IFERROR(__xludf.DUMMYFUNCTION("""COMPUTED_VALUE"""),"felix.cordero@workday.com")</f>
        <v>felix.cordero@workday.com</v>
      </c>
      <c r="F537" s="12" t="str">
        <f>IFERROR(__xludf.DUMMYFUNCTION("""COMPUTED_VALUE"""),"Engagement Manager [Primary]")</f>
        <v>Engagement Manager [Primary]</v>
      </c>
    </row>
    <row r="538">
      <c r="A538" s="12" t="str">
        <f>IFERROR(__xludf.DUMMYFUNCTION("""COMPUTED_VALUE"""),"a0lVT000005oJz3YAE")</f>
        <v>a0lVT000005oJz3YAE</v>
      </c>
      <c r="B538" s="12" t="str">
        <f>IFERROR(__xludf.DUMMYFUNCTION("""COMPUTED_VALUE"""),"a0rVT0000124F72YAE")</f>
        <v>a0rVT0000124F72YAE</v>
      </c>
      <c r="C538" s="12" t="str">
        <f>IFERROR(__xludf.DUMMYFUNCTION("""COMPUTED_VALUE"""),"0034X00003P97DpQAJ")</f>
        <v>0034X00003P97DpQAJ</v>
      </c>
      <c r="D538" s="12" t="str">
        <f>IFERROR(__xludf.DUMMYFUNCTION("""COMPUTED_VALUE"""),"Suman Bysani")</f>
        <v>Suman Bysani</v>
      </c>
      <c r="E538" s="12" t="str">
        <f>IFERROR(__xludf.DUMMYFUNCTION("""COMPUTED_VALUE"""),"suman.bysani@campingworld.com")</f>
        <v>suman.bysani@campingworld.com</v>
      </c>
      <c r="F538" s="12" t="str">
        <f>IFERROR(__xludf.DUMMYFUNCTION("""COMPUTED_VALUE"""),"Executive Sponsor")</f>
        <v>Executive Sponsor</v>
      </c>
    </row>
    <row r="539">
      <c r="A539" s="12" t="str">
        <f>IFERROR(__xludf.DUMMYFUNCTION("""COMPUTED_VALUE"""),"a0lVT0000065Aw9YAE")</f>
        <v>a0lVT0000065Aw9YAE</v>
      </c>
      <c r="B539" s="12" t="str">
        <f>IFERROR(__xludf.DUMMYFUNCTION("""COMPUTED_VALUE"""),"a0rVT0000124F72YAE")</f>
        <v>a0rVT0000124F72YAE</v>
      </c>
      <c r="C539" s="12" t="str">
        <f>IFERROR(__xludf.DUMMYFUNCTION("""COMPUTED_VALUE"""),"0031B00002mO8bwQAC")</f>
        <v>0031B00002mO8bwQAC</v>
      </c>
      <c r="D539" s="12" t="str">
        <f>IFERROR(__xludf.DUMMYFUNCTION("""COMPUTED_VALUE"""),"Samantha Kowalski")</f>
        <v>Samantha Kowalski</v>
      </c>
      <c r="E539" s="12" t="str">
        <f>IFERROR(__xludf.DUMMYFUNCTION("""COMPUTED_VALUE"""),"samantha.kowalski@workday.com")</f>
        <v>samantha.kowalski@workday.com</v>
      </c>
      <c r="F539" s="12" t="str">
        <f>IFERROR(__xludf.DUMMYFUNCTION("""COMPUTED_VALUE"""),"Engagement Manager [Primary]")</f>
        <v>Engagement Manager [Primary]</v>
      </c>
    </row>
    <row r="540">
      <c r="A540" s="12" t="str">
        <f>IFERROR(__xludf.DUMMYFUNCTION("""COMPUTED_VALUE"""),"a0lVT000005oJz4YAE")</f>
        <v>a0lVT000005oJz4YAE</v>
      </c>
      <c r="B540" s="12" t="str">
        <f>IFERROR(__xludf.DUMMYFUNCTION("""COMPUTED_VALUE"""),"a0rVT0000124F72YAE")</f>
        <v>a0rVT0000124F72YAE</v>
      </c>
      <c r="C540" s="12" t="str">
        <f>IFERROR(__xludf.DUMMYFUNCTION("""COMPUTED_VALUE"""),"003VT00000FEhXWYA1")</f>
        <v>003VT00000FEhXWYA1</v>
      </c>
      <c r="D540" s="12" t="str">
        <f>IFERROR(__xludf.DUMMYFUNCTION("""COMPUTED_VALUE"""),"Rob Yerushalmi")</f>
        <v>Rob Yerushalmi</v>
      </c>
      <c r="E540" s="12" t="str">
        <f>IFERROR(__xludf.DUMMYFUNCTION("""COMPUTED_VALUE"""),"ryerushalmi@campingworld.com")</f>
        <v>ryerushalmi@campingworld.com</v>
      </c>
      <c r="F540" s="12" t="str">
        <f>IFERROR(__xludf.DUMMYFUNCTION("""COMPUTED_VALUE"""),"Project Manager [Customer]")</f>
        <v>Project Manager [Customer]</v>
      </c>
    </row>
    <row r="541">
      <c r="A541" s="12" t="str">
        <f>IFERROR(__xludf.DUMMYFUNCTION("""COMPUTED_VALUE"""),"a0lVT000005mtYnYAI")</f>
        <v>a0lVT000005mtYnYAI</v>
      </c>
      <c r="B541" s="12" t="str">
        <f>IFERROR(__xludf.DUMMYFUNCTION("""COMPUTED_VALUE"""),"a0rVT0000124F72YAE")</f>
        <v>a0rVT0000124F72YAE</v>
      </c>
      <c r="C541" s="12" t="str">
        <f>IFERROR(__xludf.DUMMYFUNCTION("""COMPUTED_VALUE"""),"0038000001xowKtAAI")</f>
        <v>0038000001xowKtAAI</v>
      </c>
      <c r="D541" s="12" t="str">
        <f>IFERROR(__xludf.DUMMYFUNCTION("""COMPUTED_VALUE"""),"stayce thomas")</f>
        <v>stayce thomas</v>
      </c>
      <c r="E541" s="12" t="str">
        <f>IFERROR(__xludf.DUMMYFUNCTION("""COMPUTED_VALUE"""),"stayce.thomas@workday.com")</f>
        <v>stayce.thomas@workday.com</v>
      </c>
      <c r="F541" s="12" t="str">
        <f>IFERROR(__xludf.DUMMYFUNCTION("""COMPUTED_VALUE"""),"Deployment Sponsor")</f>
        <v>Deployment Sponsor</v>
      </c>
    </row>
    <row r="542">
      <c r="A542" s="12" t="str">
        <f>IFERROR(__xludf.DUMMYFUNCTION("""COMPUTED_VALUE"""),"a0lVT0000066dG9YAI")</f>
        <v>a0lVT0000066dG9YAI</v>
      </c>
      <c r="B542" s="12" t="str">
        <f>IFERROR(__xludf.DUMMYFUNCTION("""COMPUTED_VALUE"""),"a0rVT000012ENO5YAO")</f>
        <v>a0rVT000012ENO5YAO</v>
      </c>
      <c r="C542" s="12" t="str">
        <f>IFERROR(__xludf.DUMMYFUNCTION("""COMPUTED_VALUE"""),"0038000001W7wiIAAR")</f>
        <v>0038000001W7wiIAAR</v>
      </c>
      <c r="D542" s="12" t="str">
        <f>IFERROR(__xludf.DUMMYFUNCTION("""COMPUTED_VALUE"""),"William Kohnke")</f>
        <v>William Kohnke</v>
      </c>
      <c r="E542" s="12" t="str">
        <f>IFERROR(__xludf.DUMMYFUNCTION("""COMPUTED_VALUE"""),"william.kohnke@workday.com")</f>
        <v>william.kohnke@workday.com</v>
      </c>
      <c r="F542" s="12" t="str">
        <f>IFERROR(__xludf.DUMMYFUNCTION("""COMPUTED_VALUE"""),"Deployment Sponsor")</f>
        <v>Deployment Sponsor</v>
      </c>
    </row>
    <row r="543">
      <c r="A543" s="12" t="str">
        <f>IFERROR(__xludf.DUMMYFUNCTION("""COMPUTED_VALUE"""),"a0lVT000005mxPWYAY")</f>
        <v>a0lVT000005mxPWYAY</v>
      </c>
      <c r="B543" s="12" t="str">
        <f>IFERROR(__xludf.DUMMYFUNCTION("""COMPUTED_VALUE"""),"a0rVT000012ENO5YAO")</f>
        <v>a0rVT000012ENO5YAO</v>
      </c>
      <c r="C543" s="12" t="str">
        <f>IFERROR(__xludf.DUMMYFUNCTION("""COMPUTED_VALUE"""),"0031B00002q2xEOQAY")</f>
        <v>0031B00002q2xEOQAY</v>
      </c>
      <c r="D543" s="12" t="str">
        <f>IFERROR(__xludf.DUMMYFUNCTION("""COMPUTED_VALUE"""),"David Lee")</f>
        <v>David Lee</v>
      </c>
      <c r="E543" s="12" t="str">
        <f>IFERROR(__xludf.DUMMYFUNCTION("""COMPUTED_VALUE"""),"david.lee@mvtransit.com")</f>
        <v>david.lee@mvtransit.com</v>
      </c>
      <c r="F543" s="12" t="str">
        <f>IFERROR(__xludf.DUMMYFUNCTION("""COMPUTED_VALUE"""),"Executive Sponsor")</f>
        <v>Executive Sponsor</v>
      </c>
    </row>
    <row r="544">
      <c r="A544" s="12" t="str">
        <f>IFERROR(__xludf.DUMMYFUNCTION("""COMPUTED_VALUE"""),"a0lVT000005lQCHYA2")</f>
        <v>a0lVT000005lQCHYA2</v>
      </c>
      <c r="B544" s="12" t="str">
        <f>IFERROR(__xludf.DUMMYFUNCTION("""COMPUTED_VALUE"""),"a0rVT000012ENO5YAO")</f>
        <v>a0rVT000012ENO5YAO</v>
      </c>
      <c r="C544" s="12" t="str">
        <f>IFERROR(__xludf.DUMMYFUNCTION("""COMPUTED_VALUE"""),"0034X000039nd1IQAQ")</f>
        <v>0034X000039nd1IQAQ</v>
      </c>
      <c r="D544" s="12" t="str">
        <f>IFERROR(__xludf.DUMMYFUNCTION("""COMPUTED_VALUE"""),"Teresa Jenkins")</f>
        <v>Teresa Jenkins</v>
      </c>
      <c r="E544" s="12" t="str">
        <f>IFERROR(__xludf.DUMMYFUNCTION("""COMPUTED_VALUE"""),"teresa.jenkins@workday.com")</f>
        <v>teresa.jenkins@workday.com</v>
      </c>
      <c r="F544" s="12" t="str">
        <f>IFERROR(__xludf.DUMMYFUNCTION("""COMPUTED_VALUE"""),"Engagement Manager [Primary]")</f>
        <v>Engagement Manager [Primary]</v>
      </c>
    </row>
    <row r="545">
      <c r="A545" s="12" t="str">
        <f>IFERROR(__xludf.DUMMYFUNCTION("""COMPUTED_VALUE"""),"a0lVT000005mxPVYAY")</f>
        <v>a0lVT000005mxPVYAY</v>
      </c>
      <c r="B545" s="12" t="str">
        <f>IFERROR(__xludf.DUMMYFUNCTION("""COMPUTED_VALUE"""),"a0rVT000012ENO5YAO")</f>
        <v>a0rVT000012ENO5YAO</v>
      </c>
      <c r="C545" s="12" t="str">
        <f>IFERROR(__xludf.DUMMYFUNCTION("""COMPUTED_VALUE"""),"0034X00002tSDtJQAW")</f>
        <v>0034X00002tSDtJQAW</v>
      </c>
      <c r="D545" s="12" t="str">
        <f>IFERROR(__xludf.DUMMYFUNCTION("""COMPUTED_VALUE"""),"Susan Walker")</f>
        <v>Susan Walker</v>
      </c>
      <c r="E545" s="12" t="str">
        <f>IFERROR(__xludf.DUMMYFUNCTION("""COMPUTED_VALUE"""),"susan.walker@mvtransit.com")</f>
        <v>susan.walker@mvtransit.com</v>
      </c>
      <c r="F545" s="12" t="str">
        <f>IFERROR(__xludf.DUMMYFUNCTION("""COMPUTED_VALUE"""),"Project Manager [Customer]")</f>
        <v>Project Manager [Customer]</v>
      </c>
    </row>
    <row r="546">
      <c r="A546" s="12" t="str">
        <f>IFERROR(__xludf.DUMMYFUNCTION("""COMPUTED_VALUE"""),"a0lVT000005lLsYYAU")</f>
        <v>a0lVT000005lLsYYAU</v>
      </c>
      <c r="B546" s="12" t="str">
        <f>IFERROR(__xludf.DUMMYFUNCTION("""COMPUTED_VALUE"""),"a0rVT000012ESSbYAO")</f>
        <v>a0rVT000012ESSbYAO</v>
      </c>
      <c r="C546" s="12" t="str">
        <f>IFERROR(__xludf.DUMMYFUNCTION("""COMPUTED_VALUE"""),"0034X00003T32EBQAZ")</f>
        <v>0034X00003T32EBQAZ</v>
      </c>
      <c r="D546" s="12" t="str">
        <f>IFERROR(__xludf.DUMMYFUNCTION("""COMPUTED_VALUE"""),"Sean Hohan")</f>
        <v>Sean Hohan</v>
      </c>
      <c r="E546" s="12" t="str">
        <f>IFERROR(__xludf.DUMMYFUNCTION("""COMPUTED_VALUE"""),"sean.hohan@workday.com")</f>
        <v>sean.hohan@workday.com</v>
      </c>
      <c r="F546" s="12" t="str">
        <f>IFERROR(__xludf.DUMMYFUNCTION("""COMPUTED_VALUE"""),"Engagement Manager [Primary]")</f>
        <v>Engagement Manager [Primary]</v>
      </c>
    </row>
    <row r="547">
      <c r="A547" s="12" t="str">
        <f>IFERROR(__xludf.DUMMYFUNCTION("""COMPUTED_VALUE"""),"a0lVT000005vqgZYAQ")</f>
        <v>a0lVT000005vqgZYAQ</v>
      </c>
      <c r="B547" s="12" t="str">
        <f>IFERROR(__xludf.DUMMYFUNCTION("""COMPUTED_VALUE"""),"a0rVT000012ESSbYAO")</f>
        <v>a0rVT000012ESSbYAO</v>
      </c>
      <c r="C547" s="12" t="str">
        <f>IFERROR(__xludf.DUMMYFUNCTION("""COMPUTED_VALUE"""),"0034X000032M6WDQA0")</f>
        <v>0034X000032M6WDQA0</v>
      </c>
      <c r="D547" s="12" t="str">
        <f>IFERROR(__xludf.DUMMYFUNCTION("""COMPUTED_VALUE"""),"Laura Kromer")</f>
        <v>Laura Kromer</v>
      </c>
      <c r="E547" s="12" t="str">
        <f>IFERROR(__xludf.DUMMYFUNCTION("""COMPUTED_VALUE"""),"laura.kromer@ally.com")</f>
        <v>laura.kromer@ally.com</v>
      </c>
      <c r="F547" s="12" t="str">
        <f>IFERROR(__xludf.DUMMYFUNCTION("""COMPUTED_VALUE"""),"Executive Sponsor")</f>
        <v>Executive Sponsor</v>
      </c>
    </row>
    <row r="548">
      <c r="A548" s="12" t="str">
        <f>IFERROR(__xludf.DUMMYFUNCTION("""COMPUTED_VALUE"""),"a0lVT000005lR57YAE")</f>
        <v>a0lVT000005lR57YAE</v>
      </c>
      <c r="B548" s="12" t="str">
        <f>IFERROR(__xludf.DUMMYFUNCTION("""COMPUTED_VALUE"""),"a0rVT000012ESSbYAO")</f>
        <v>a0rVT000012ESSbYAO</v>
      </c>
      <c r="C548" s="12" t="str">
        <f>IFERROR(__xludf.DUMMYFUNCTION("""COMPUTED_VALUE"""),"0031B00002p1PsFQAU")</f>
        <v>0031B00002p1PsFQAU</v>
      </c>
      <c r="D548" s="12" t="str">
        <f>IFERROR(__xludf.DUMMYFUNCTION("""COMPUTED_VALUE"""),"Bhavika Patel")</f>
        <v>Bhavika Patel</v>
      </c>
      <c r="E548" s="12" t="str">
        <f>IFERROR(__xludf.DUMMYFUNCTION("""COMPUTED_VALUE"""),"bhavika.patel@workday.com")</f>
        <v>bhavika.patel@workday.com</v>
      </c>
      <c r="F548" s="12" t="str">
        <f>IFERROR(__xludf.DUMMYFUNCTION("""COMPUTED_VALUE"""),"Deployment Sponsor")</f>
        <v>Deployment Sponsor</v>
      </c>
    </row>
    <row r="549">
      <c r="A549" s="12" t="str">
        <f>IFERROR(__xludf.DUMMYFUNCTION("""COMPUTED_VALUE"""),"a0lVT000005vqgaYAA")</f>
        <v>a0lVT000005vqgaYAA</v>
      </c>
      <c r="B549" s="12" t="str">
        <f>IFERROR(__xludf.DUMMYFUNCTION("""COMPUTED_VALUE"""),"a0rVT000012ESSbYAO")</f>
        <v>a0rVT000012ESSbYAO</v>
      </c>
      <c r="C549" s="12" t="str">
        <f>IFERROR(__xludf.DUMMYFUNCTION("""COMPUTED_VALUE"""),"0034X00003PAM0xQAH")</f>
        <v>0034X00003PAM0xQAH</v>
      </c>
      <c r="D549" s="12" t="str">
        <f>IFERROR(__xludf.DUMMYFUNCTION("""COMPUTED_VALUE"""),"Erin Sippola")</f>
        <v>Erin Sippola</v>
      </c>
      <c r="E549" s="12" t="str">
        <f>IFERROR(__xludf.DUMMYFUNCTION("""COMPUTED_VALUE"""),"erin.murphy@ally.com")</f>
        <v>erin.murphy@ally.com</v>
      </c>
      <c r="F549" s="12" t="str">
        <f>IFERROR(__xludf.DUMMYFUNCTION("""COMPUTED_VALUE"""),"Project Manager [Customer]")</f>
        <v>Project Manager [Customer]</v>
      </c>
    </row>
    <row r="550">
      <c r="A550" s="12" t="str">
        <f>IFERROR(__xludf.DUMMYFUNCTION("""COMPUTED_VALUE"""),"a0lVT000005lSHJYA2")</f>
        <v>a0lVT000005lSHJYA2</v>
      </c>
      <c r="B550" s="12" t="str">
        <f>IFERROR(__xludf.DUMMYFUNCTION("""COMPUTED_VALUE"""),"a0rVT000012EmsjYAC")</f>
        <v>a0rVT000012EmsjYAC</v>
      </c>
      <c r="C550" s="12" t="str">
        <f>IFERROR(__xludf.DUMMYFUNCTION("""COMPUTED_VALUE"""),"0034X00003T2sCmQAJ")</f>
        <v>0034X00003T2sCmQAJ</v>
      </c>
      <c r="D550" s="12" t="str">
        <f>IFERROR(__xludf.DUMMYFUNCTION("""COMPUTED_VALUE"""),"Felix Cordero")</f>
        <v>Felix Cordero</v>
      </c>
      <c r="E550" s="12" t="str">
        <f>IFERROR(__xludf.DUMMYFUNCTION("""COMPUTED_VALUE"""),"felix.cordero@workday.com")</f>
        <v>felix.cordero@workday.com</v>
      </c>
      <c r="F550" s="12" t="str">
        <f>IFERROR(__xludf.DUMMYFUNCTION("""COMPUTED_VALUE"""),"Engagement Manager [Primary]")</f>
        <v>Engagement Manager [Primary]</v>
      </c>
    </row>
    <row r="551">
      <c r="A551" s="12" t="str">
        <f>IFERROR(__xludf.DUMMYFUNCTION("""COMPUTED_VALUE"""),"a0lVT000005wsy2YAA")</f>
        <v>a0lVT000005wsy2YAA</v>
      </c>
      <c r="B551" s="12" t="str">
        <f>IFERROR(__xludf.DUMMYFUNCTION("""COMPUTED_VALUE"""),"a0rVT000012EmsjYAC")</f>
        <v>a0rVT000012EmsjYAC</v>
      </c>
      <c r="C551" s="12" t="str">
        <f>IFERROR(__xludf.DUMMYFUNCTION("""COMPUTED_VALUE"""),"003VT00000JGXMrYAP")</f>
        <v>003VT00000JGXMrYAP</v>
      </c>
      <c r="D551" s="12" t="str">
        <f>IFERROR(__xludf.DUMMYFUNCTION("""COMPUTED_VALUE"""),"Matyas Varkonyi")</f>
        <v>Matyas Varkonyi</v>
      </c>
      <c r="E551" s="12" t="str">
        <f>IFERROR(__xludf.DUMMYFUNCTION("""COMPUTED_VALUE"""),"varkonyi.matyas@iff.com")</f>
        <v>varkonyi.matyas@iff.com</v>
      </c>
      <c r="F551" s="12" t="str">
        <f>IFERROR(__xludf.DUMMYFUNCTION("""COMPUTED_VALUE"""),"Executive Sponsor")</f>
        <v>Executive Sponsor</v>
      </c>
    </row>
    <row r="552">
      <c r="A552" s="12" t="str">
        <f>IFERROR(__xludf.DUMMYFUNCTION("""COMPUTED_VALUE"""),"a0lVT000005wsy1YAA")</f>
        <v>a0lVT000005wsy1YAA</v>
      </c>
      <c r="B552" s="12" t="str">
        <f>IFERROR(__xludf.DUMMYFUNCTION("""COMPUTED_VALUE"""),"a0rVT000012EmsjYAC")</f>
        <v>a0rVT000012EmsjYAC</v>
      </c>
      <c r="C552" s="12" t="str">
        <f>IFERROR(__xludf.DUMMYFUNCTION("""COMPUTED_VALUE"""),"0034X00003GOuXOQA1")</f>
        <v>0034X00003GOuXOQA1</v>
      </c>
      <c r="D552" s="12" t="str">
        <f>IFERROR(__xludf.DUMMYFUNCTION("""COMPUTED_VALUE"""),"Cecilia Vorobioff")</f>
        <v>Cecilia Vorobioff</v>
      </c>
      <c r="E552" s="12" t="str">
        <f>IFERROR(__xludf.DUMMYFUNCTION("""COMPUTED_VALUE"""),"cecilia.vorobioff@iff.com")</f>
        <v>cecilia.vorobioff@iff.com</v>
      </c>
      <c r="F552" s="12" t="str">
        <f>IFERROR(__xludf.DUMMYFUNCTION("""COMPUTED_VALUE"""),"Project Manager [Customer]")</f>
        <v>Project Manager [Customer]</v>
      </c>
    </row>
    <row r="553">
      <c r="A553" s="12" t="str">
        <f>IFERROR(__xludf.DUMMYFUNCTION("""COMPUTED_VALUE"""),"a0lVT000005qWFRYA2")</f>
        <v>a0lVT000005qWFRYA2</v>
      </c>
      <c r="B553" s="12" t="str">
        <f>IFERROR(__xludf.DUMMYFUNCTION("""COMPUTED_VALUE"""),"a0rVT000012EmsjYAC")</f>
        <v>a0rVT000012EmsjYAC</v>
      </c>
      <c r="C553" s="12" t="str">
        <f>IFERROR(__xludf.DUMMYFUNCTION("""COMPUTED_VALUE"""),"0034X00003RCR3wQAH")</f>
        <v>0034X00003RCR3wQAH</v>
      </c>
      <c r="D553" s="12" t="str">
        <f>IFERROR(__xludf.DUMMYFUNCTION("""COMPUTED_VALUE"""),"Yuriy Yushchenko")</f>
        <v>Yuriy Yushchenko</v>
      </c>
      <c r="E553" s="12" t="str">
        <f>IFERROR(__xludf.DUMMYFUNCTION("""COMPUTED_VALUE"""),"yuriy.yushchenko@workday.com")</f>
        <v>yuriy.yushchenko@workday.com</v>
      </c>
      <c r="F553" s="12" t="str">
        <f>IFERROR(__xludf.DUMMYFUNCTION("""COMPUTED_VALUE"""),"Engagement Manager [Secondary]")</f>
        <v>Engagement Manager [Secondary]</v>
      </c>
    </row>
    <row r="554">
      <c r="A554" s="12" t="str">
        <f>IFERROR(__xludf.DUMMYFUNCTION("""COMPUTED_VALUE"""),"a0lVT000005wstBYAQ")</f>
        <v>a0lVT000005wstBYAQ</v>
      </c>
      <c r="B554" s="12" t="str">
        <f>IFERROR(__xludf.DUMMYFUNCTION("""COMPUTED_VALUE"""),"a0rVT000012EmsjYAC")</f>
        <v>a0rVT000012EmsjYAC</v>
      </c>
      <c r="C554" s="12" t="str">
        <f>IFERROR(__xludf.DUMMYFUNCTION("""COMPUTED_VALUE"""),"003VT00000RW7DMYA1")</f>
        <v>003VT00000RW7DMYA1</v>
      </c>
      <c r="D554" s="12" t="str">
        <f>IFERROR(__xludf.DUMMYFUNCTION("""COMPUTED_VALUE"""),"Carlos Chian")</f>
        <v>Carlos Chian</v>
      </c>
      <c r="E554" s="12" t="str">
        <f>IFERROR(__xludf.DUMMYFUNCTION("""COMPUTED_VALUE"""),"carlos.chian@workday.com")</f>
        <v>carlos.chian@workday.com</v>
      </c>
      <c r="F554" s="12" t="str">
        <f>IFERROR(__xludf.DUMMYFUNCTION("""COMPUTED_VALUE"""),"Deployment Sponsor")</f>
        <v>Deployment Sponsor</v>
      </c>
    </row>
    <row r="555">
      <c r="A555" s="12" t="str">
        <f>IFERROR(__xludf.DUMMYFUNCTION("""COMPUTED_VALUE"""),"a0lVT000005luVJYAY")</f>
        <v>a0lVT000005luVJYAY</v>
      </c>
      <c r="B555" s="12" t="str">
        <f>IFERROR(__xludf.DUMMYFUNCTION("""COMPUTED_VALUE"""),"a0rVT000012MHq9YAG")</f>
        <v>a0rVT000012MHq9YAG</v>
      </c>
      <c r="C555" s="12" t="str">
        <f>IFERROR(__xludf.DUMMYFUNCTION("""COMPUTED_VALUE"""),"003VT00000XOr8DYAT")</f>
        <v>003VT00000XOr8DYAT</v>
      </c>
      <c r="D555" s="12" t="str">
        <f>IFERROR(__xludf.DUMMYFUNCTION("""COMPUTED_VALUE"""),"Manuel Vega")</f>
        <v>Manuel Vega</v>
      </c>
      <c r="E555" s="12" t="str">
        <f>IFERROR(__xludf.DUMMYFUNCTION("""COMPUTED_VALUE"""),"manuel.vega@workday.com")</f>
        <v>manuel.vega@workday.com</v>
      </c>
      <c r="F555" s="12" t="str">
        <f>IFERROR(__xludf.DUMMYFUNCTION("""COMPUTED_VALUE"""),"Engagement Manager [Primary]")</f>
        <v>Engagement Manager [Primary]</v>
      </c>
    </row>
    <row r="556">
      <c r="A556" s="12" t="str">
        <f>IFERROR(__xludf.DUMMYFUNCTION("""COMPUTED_VALUE"""),"a0lVT000005pGz8YAE")</f>
        <v>a0lVT000005pGz8YAE</v>
      </c>
      <c r="B556" s="12" t="str">
        <f>IFERROR(__xludf.DUMMYFUNCTION("""COMPUTED_VALUE"""),"a0rVT000012MXBlYAO")</f>
        <v>a0rVT000012MXBlYAO</v>
      </c>
      <c r="C556" s="12" t="str">
        <f>IFERROR(__xludf.DUMMYFUNCTION("""COMPUTED_VALUE"""),"0034X00003DgORuQAN")</f>
        <v>0034X00003DgORuQAN</v>
      </c>
      <c r="D556" s="12" t="str">
        <f>IFERROR(__xludf.DUMMYFUNCTION("""COMPUTED_VALUE"""),"Dominique Short")</f>
        <v>Dominique Short</v>
      </c>
      <c r="E556" s="12" t="str">
        <f>IFERROR(__xludf.DUMMYFUNCTION("""COMPUTED_VALUE"""),"dshort@columbia.com")</f>
        <v>dshort@columbia.com</v>
      </c>
      <c r="F556" s="12" t="str">
        <f>IFERROR(__xludf.DUMMYFUNCTION("""COMPUTED_VALUE"""),"Executive Sponsor")</f>
        <v>Executive Sponsor</v>
      </c>
    </row>
    <row r="557">
      <c r="A557" s="12" t="str">
        <f>IFERROR(__xludf.DUMMYFUNCTION("""COMPUTED_VALUE"""),"a0lVT000005pGz7YAE")</f>
        <v>a0lVT000005pGz7YAE</v>
      </c>
      <c r="B557" s="12" t="str">
        <f>IFERROR(__xludf.DUMMYFUNCTION("""COMPUTED_VALUE"""),"a0rVT000012MXBlYAO")</f>
        <v>a0rVT000012MXBlYAO</v>
      </c>
      <c r="C557" s="12" t="str">
        <f>IFERROR(__xludf.DUMMYFUNCTION("""COMPUTED_VALUE"""),"0038000002Gjwz4AAB")</f>
        <v>0038000002Gjwz4AAB</v>
      </c>
      <c r="D557" s="12" t="str">
        <f>IFERROR(__xludf.DUMMYFUNCTION("""COMPUTED_VALUE"""),"Sadie Frame")</f>
        <v>Sadie Frame</v>
      </c>
      <c r="E557" s="12" t="str">
        <f>IFERROR(__xludf.DUMMYFUNCTION("""COMPUTED_VALUE"""),"sframe@columbia.com")</f>
        <v>sframe@columbia.com</v>
      </c>
      <c r="F557" s="12" t="str">
        <f>IFERROR(__xludf.DUMMYFUNCTION("""COMPUTED_VALUE"""),"Executive Sponsor")</f>
        <v>Executive Sponsor</v>
      </c>
    </row>
    <row r="558">
      <c r="A558" s="12" t="str">
        <f>IFERROR(__xludf.DUMMYFUNCTION("""COMPUTED_VALUE"""),"a0lVT000005lvftYAA")</f>
        <v>a0lVT000005lvftYAA</v>
      </c>
      <c r="B558" s="12" t="str">
        <f>IFERROR(__xludf.DUMMYFUNCTION("""COMPUTED_VALUE"""),"a0rVT000012MXBlYAO")</f>
        <v>a0rVT000012MXBlYAO</v>
      </c>
      <c r="C558" s="12" t="str">
        <f>IFERROR(__xludf.DUMMYFUNCTION("""COMPUTED_VALUE"""),"0031B00002mO8bwQAC")</f>
        <v>0031B00002mO8bwQAC</v>
      </c>
      <c r="D558" s="12" t="str">
        <f>IFERROR(__xludf.DUMMYFUNCTION("""COMPUTED_VALUE"""),"Samantha Kowalski")</f>
        <v>Samantha Kowalski</v>
      </c>
      <c r="E558" s="12" t="str">
        <f>IFERROR(__xludf.DUMMYFUNCTION("""COMPUTED_VALUE"""),"samantha.kowalski@workday.com")</f>
        <v>samantha.kowalski@workday.com</v>
      </c>
      <c r="F558" s="12" t="str">
        <f>IFERROR(__xludf.DUMMYFUNCTION("""COMPUTED_VALUE"""),"Engagement Manager [Primary]")</f>
        <v>Engagement Manager [Primary]</v>
      </c>
    </row>
    <row r="559">
      <c r="A559" s="12" t="str">
        <f>IFERROR(__xludf.DUMMYFUNCTION("""COMPUTED_VALUE"""),"a0lVT000005pGmDYAU")</f>
        <v>a0lVT000005pGmDYAU</v>
      </c>
      <c r="B559" s="12" t="str">
        <f>IFERROR(__xludf.DUMMYFUNCTION("""COMPUTED_VALUE"""),"a0rVT000012MXBlYAO")</f>
        <v>a0rVT000012MXBlYAO</v>
      </c>
      <c r="C559" s="12" t="str">
        <f>IFERROR(__xludf.DUMMYFUNCTION("""COMPUTED_VALUE"""),"00380000026qL1WAAU")</f>
        <v>00380000026qL1WAAU</v>
      </c>
      <c r="D559" s="12" t="str">
        <f>IFERROR(__xludf.DUMMYFUNCTION("""COMPUTED_VALUE"""),"Sumi Sankaran")</f>
        <v>Sumi Sankaran</v>
      </c>
      <c r="E559" s="12" t="str">
        <f>IFERROR(__xludf.DUMMYFUNCTION("""COMPUTED_VALUE"""),"sumi.sankaran@workday.com")</f>
        <v>sumi.sankaran@workday.com</v>
      </c>
      <c r="F559" s="12" t="str">
        <f>IFERROR(__xludf.DUMMYFUNCTION("""COMPUTED_VALUE"""),"Deployment Sponsor")</f>
        <v>Deployment Sponsor</v>
      </c>
    </row>
    <row r="560">
      <c r="A560" s="12" t="str">
        <f>IFERROR(__xludf.DUMMYFUNCTION("""COMPUTED_VALUE"""),"a0lVT000005pGuHYAU")</f>
        <v>a0lVT000005pGuHYAU</v>
      </c>
      <c r="B560" s="12" t="str">
        <f>IFERROR(__xludf.DUMMYFUNCTION("""COMPUTED_VALUE"""),"a0rVT000012MXBlYAO")</f>
        <v>a0rVT000012MXBlYAO</v>
      </c>
      <c r="C560" s="12" t="str">
        <f>IFERROR(__xludf.DUMMYFUNCTION("""COMPUTED_VALUE"""),"0034X00003Erbf8QAB")</f>
        <v>0034X00003Erbf8QAB</v>
      </c>
      <c r="D560" s="12" t="str">
        <f>IFERROR(__xludf.DUMMYFUNCTION("""COMPUTED_VALUE"""),"Jig Zhao")</f>
        <v>Jig Zhao</v>
      </c>
      <c r="E560" s="12" t="str">
        <f>IFERROR(__xludf.DUMMYFUNCTION("""COMPUTED_VALUE"""),"jzhao@columbia.com")</f>
        <v>jzhao@columbia.com</v>
      </c>
      <c r="F560" s="12" t="str">
        <f>IFERROR(__xludf.DUMMYFUNCTION("""COMPUTED_VALUE"""),"Project Manager [Customer]")</f>
        <v>Project Manager [Customer]</v>
      </c>
    </row>
    <row r="561">
      <c r="A561" s="12" t="str">
        <f>IFERROR(__xludf.DUMMYFUNCTION("""COMPUTED_VALUE"""),"a0lVT000005wRcrYAE")</f>
        <v>a0lVT000005wRcrYAE</v>
      </c>
      <c r="B561" s="12" t="str">
        <f>IFERROR(__xludf.DUMMYFUNCTION("""COMPUTED_VALUE"""),"a0rVT000012PvRKYA0")</f>
        <v>a0rVT000012PvRKYA0</v>
      </c>
      <c r="C561" s="12" t="str">
        <f>IFERROR(__xludf.DUMMYFUNCTION("""COMPUTED_VALUE"""),"003VT00000m35IsYAI")</f>
        <v>003VT00000m35IsYAI</v>
      </c>
      <c r="D561" s="12" t="str">
        <f>IFERROR(__xludf.DUMMYFUNCTION("""COMPUTED_VALUE"""),"Friedrich Woerlein")</f>
        <v>Friedrich Woerlein</v>
      </c>
      <c r="E561" s="12" t="str">
        <f>IFERROR(__xludf.DUMMYFUNCTION("""COMPUTED_VALUE"""),"friedrich.woerlein@anglicare.org.au")</f>
        <v>friedrich.woerlein@anglicare.org.au</v>
      </c>
      <c r="F561" s="12" t="str">
        <f>IFERROR(__xludf.DUMMYFUNCTION("""COMPUTED_VALUE"""),"Project Manager [Customer]")</f>
        <v>Project Manager [Customer]</v>
      </c>
    </row>
    <row r="562">
      <c r="A562" s="12" t="str">
        <f>IFERROR(__xludf.DUMMYFUNCTION("""COMPUTED_VALUE"""),"a0lVT000005mB37YAE")</f>
        <v>a0lVT000005mB37YAE</v>
      </c>
      <c r="B562" s="12" t="str">
        <f>IFERROR(__xludf.DUMMYFUNCTION("""COMPUTED_VALUE"""),"a0rVT000012PvRKYA0")</f>
        <v>a0rVT000012PvRKYA0</v>
      </c>
      <c r="C562" s="12" t="str">
        <f>IFERROR(__xludf.DUMMYFUNCTION("""COMPUTED_VALUE"""),"003VT00000YemLmYAJ")</f>
        <v>003VT00000YemLmYAJ</v>
      </c>
      <c r="D562" s="12" t="str">
        <f>IFERROR(__xludf.DUMMYFUNCTION("""COMPUTED_VALUE"""),"Uday Harshadrai Vora")</f>
        <v>Uday Harshadrai Vora</v>
      </c>
      <c r="E562" s="12" t="str">
        <f>IFERROR(__xludf.DUMMYFUNCTION("""COMPUTED_VALUE"""),"uday.vora@workday.com")</f>
        <v>uday.vora@workday.com</v>
      </c>
      <c r="F562" s="12" t="str">
        <f>IFERROR(__xludf.DUMMYFUNCTION("""COMPUTED_VALUE"""),"Engagement Manager [Primary]")</f>
        <v>Engagement Manager [Primary]</v>
      </c>
    </row>
    <row r="563">
      <c r="A563" s="12" t="str">
        <f>IFERROR(__xludf.DUMMYFUNCTION("""COMPUTED_VALUE"""),"a0lVT000005rfyDYAQ")</f>
        <v>a0lVT000005rfyDYAQ</v>
      </c>
      <c r="B563" s="12" t="str">
        <f>IFERROR(__xludf.DUMMYFUNCTION("""COMPUTED_VALUE"""),"a0rVT000012QWk9YAG")</f>
        <v>a0rVT000012QWk9YAG</v>
      </c>
      <c r="C563" s="12" t="str">
        <f>IFERROR(__xludf.DUMMYFUNCTION("""COMPUTED_VALUE"""),"0034X00003NxabEQAR")</f>
        <v>0034X00003NxabEQAR</v>
      </c>
      <c r="D563" s="12" t="str">
        <f>IFERROR(__xludf.DUMMYFUNCTION("""COMPUTED_VALUE"""),"Beatriz Jean Caparros")</f>
        <v>Beatriz Jean Caparros</v>
      </c>
      <c r="E563" s="12" t="str">
        <f>IFERROR(__xludf.DUMMYFUNCTION("""COMPUTED_VALUE"""),"beatriz.jaencaparros@booking.com")</f>
        <v>beatriz.jaencaparros@booking.com</v>
      </c>
      <c r="F563" s="12" t="str">
        <f>IFERROR(__xludf.DUMMYFUNCTION("""COMPUTED_VALUE"""),"Executive Sponsor")</f>
        <v>Executive Sponsor</v>
      </c>
    </row>
    <row r="564">
      <c r="A564" s="12" t="str">
        <f>IFERROR(__xludf.DUMMYFUNCTION("""COMPUTED_VALUE"""),"a0lVT000005mAobYAE")</f>
        <v>a0lVT000005mAobYAE</v>
      </c>
      <c r="B564" s="12" t="str">
        <f>IFERROR(__xludf.DUMMYFUNCTION("""COMPUTED_VALUE"""),"a0rVT000012QWk9YAG")</f>
        <v>a0rVT000012QWk9YAG</v>
      </c>
      <c r="C564" s="12" t="str">
        <f>IFERROR(__xludf.DUMMYFUNCTION("""COMPUTED_VALUE"""),"0038000002Dt2uuAAB")</f>
        <v>0038000002Dt2uuAAB</v>
      </c>
      <c r="D564" s="12" t="str">
        <f>IFERROR(__xludf.DUMMYFUNCTION("""COMPUTED_VALUE"""),"Pendra Benjafield")</f>
        <v>Pendra Benjafield</v>
      </c>
      <c r="E564" s="12" t="str">
        <f>IFERROR(__xludf.DUMMYFUNCTION("""COMPUTED_VALUE"""),"pendra.benjafield@workday.com")</f>
        <v>pendra.benjafield@workday.com</v>
      </c>
      <c r="F564" s="12" t="str">
        <f>IFERROR(__xludf.DUMMYFUNCTION("""COMPUTED_VALUE"""),"Engagement Manager [Primary]")</f>
        <v>Engagement Manager [Primary]</v>
      </c>
    </row>
    <row r="565">
      <c r="A565" s="12" t="str">
        <f>IFERROR(__xludf.DUMMYFUNCTION("""COMPUTED_VALUE"""),"a0lVT000005rfyFYAQ")</f>
        <v>a0lVT000005rfyFYAQ</v>
      </c>
      <c r="B565" s="12" t="str">
        <f>IFERROR(__xludf.DUMMYFUNCTION("""COMPUTED_VALUE"""),"a0rVT000012QWk9YAG")</f>
        <v>a0rVT000012QWk9YAG</v>
      </c>
      <c r="C565" s="12" t="str">
        <f>IFERROR(__xludf.DUMMYFUNCTION("""COMPUTED_VALUE"""),"0034X00003Bly2NQAR")</f>
        <v>0034X00003Bly2NQAR</v>
      </c>
      <c r="D565" s="12" t="str">
        <f>IFERROR(__xludf.DUMMYFUNCTION("""COMPUTED_VALUE"""),"Shilpika Basu")</f>
        <v>Shilpika Basu</v>
      </c>
      <c r="E565" s="12" t="str">
        <f>IFERROR(__xludf.DUMMYFUNCTION("""COMPUTED_VALUE"""),"shilpika.basu@booking.com")</f>
        <v>shilpika.basu@booking.com</v>
      </c>
      <c r="F565" s="12" t="str">
        <f>IFERROR(__xludf.DUMMYFUNCTION("""COMPUTED_VALUE"""),"Project Manager [Customer]")</f>
        <v>Project Manager [Customer]</v>
      </c>
    </row>
    <row r="566">
      <c r="A566" s="12" t="str">
        <f>IFERROR(__xludf.DUMMYFUNCTION("""COMPUTED_VALUE"""),"a0lVT000005rfyEYAQ")</f>
        <v>a0lVT000005rfyEYAQ</v>
      </c>
      <c r="B566" s="12" t="str">
        <f>IFERROR(__xludf.DUMMYFUNCTION("""COMPUTED_VALUE"""),"a0rVT000012QWk9YAG")</f>
        <v>a0rVT000012QWk9YAG</v>
      </c>
      <c r="C566" s="12" t="str">
        <f>IFERROR(__xludf.DUMMYFUNCTION("""COMPUTED_VALUE"""),"0034X00003J2daYQAR")</f>
        <v>0034X00003J2daYQAR</v>
      </c>
      <c r="D566" s="12" t="str">
        <f>IFERROR(__xludf.DUMMYFUNCTION("""COMPUTED_VALUE"""),"Adam Stoermer")</f>
        <v>Adam Stoermer</v>
      </c>
      <c r="E566" s="12" t="str">
        <f>IFERROR(__xludf.DUMMYFUNCTION("""COMPUTED_VALUE"""),"adam.stoermer@workday.com")</f>
        <v>adam.stoermer@workday.com</v>
      </c>
      <c r="F566" s="12" t="str">
        <f>IFERROR(__xludf.DUMMYFUNCTION("""COMPUTED_VALUE"""),"Deployment Sponsor")</f>
        <v>Deployment Sponsor</v>
      </c>
    </row>
    <row r="567">
      <c r="A567" s="12" t="str">
        <f>IFERROR(__xludf.DUMMYFUNCTION("""COMPUTED_VALUE"""),"a0lVT0000065KsIYAU")</f>
        <v>a0lVT0000065KsIYAU</v>
      </c>
      <c r="B567" s="12" t="str">
        <f>IFERROR(__xludf.DUMMYFUNCTION("""COMPUTED_VALUE"""),"a0rVT000012RVEAYA4")</f>
        <v>a0rVT000012RVEAYA4</v>
      </c>
      <c r="C567" s="12" t="str">
        <f>IFERROR(__xludf.DUMMYFUNCTION("""COMPUTED_VALUE"""),"003VT00000H0DGRYA3")</f>
        <v>003VT00000H0DGRYA3</v>
      </c>
      <c r="D567" s="12" t="str">
        <f>IFERROR(__xludf.DUMMYFUNCTION("""COMPUTED_VALUE"""),"Brooke Knight")</f>
        <v>Brooke Knight</v>
      </c>
      <c r="E567" s="12" t="str">
        <f>IFERROR(__xludf.DUMMYFUNCTION("""COMPUTED_VALUE"""),"brooke.knight@workday.com")</f>
        <v>brooke.knight@workday.com</v>
      </c>
      <c r="F567" s="12" t="str">
        <f>IFERROR(__xludf.DUMMYFUNCTION("""COMPUTED_VALUE"""),"Engagement Manager [Primary]")</f>
        <v>Engagement Manager [Primary]</v>
      </c>
    </row>
    <row r="568">
      <c r="A568" s="12" t="str">
        <f>IFERROR(__xludf.DUMMYFUNCTION("""COMPUTED_VALUE"""),"a0lVT000005mEXFYA2")</f>
        <v>a0lVT000005mEXFYA2</v>
      </c>
      <c r="B568" s="12" t="str">
        <f>IFERROR(__xludf.DUMMYFUNCTION("""COMPUTED_VALUE"""),"a0rVT000012RVEAYA4")</f>
        <v>a0rVT000012RVEAYA4</v>
      </c>
      <c r="C568" s="12" t="str">
        <f>IFERROR(__xludf.DUMMYFUNCTION("""COMPUTED_VALUE"""),"0034X000032N0hhQAC")</f>
        <v>0034X000032N0hhQAC</v>
      </c>
      <c r="D568" s="12" t="str">
        <f>IFERROR(__xludf.DUMMYFUNCTION("""COMPUTED_VALUE"""),"JoJo Burstein")</f>
        <v>JoJo Burstein</v>
      </c>
      <c r="E568" s="12" t="str">
        <f>IFERROR(__xludf.DUMMYFUNCTION("""COMPUTED_VALUE"""),"jojo.burstein@workday.com")</f>
        <v>jojo.burstein@workday.com</v>
      </c>
      <c r="F568" s="12" t="str">
        <f>IFERROR(__xludf.DUMMYFUNCTION("""COMPUTED_VALUE"""),"Engagement Manager [Primary]")</f>
        <v>Engagement Manager [Primary]</v>
      </c>
    </row>
    <row r="569">
      <c r="A569" s="12" t="str">
        <f>IFERROR(__xludf.DUMMYFUNCTION("""COMPUTED_VALUE"""),"a0lVT0000061321YAA")</f>
        <v>a0lVT0000061321YAA</v>
      </c>
      <c r="B569" s="12" t="str">
        <f>IFERROR(__xludf.DUMMYFUNCTION("""COMPUTED_VALUE"""),"a0rVT000012RVEAYA4")</f>
        <v>a0rVT000012RVEAYA4</v>
      </c>
      <c r="C569" s="12" t="str">
        <f>IFERROR(__xludf.DUMMYFUNCTION("""COMPUTED_VALUE"""),"0034X00003R3kfNQAR")</f>
        <v>0034X00003R3kfNQAR</v>
      </c>
      <c r="D569" s="12" t="str">
        <f>IFERROR(__xludf.DUMMYFUNCTION("""COMPUTED_VALUE"""),"David To")</f>
        <v>David To</v>
      </c>
      <c r="E569" s="12" t="str">
        <f>IFERROR(__xludf.DUMMYFUNCTION("""COMPUTED_VALUE"""),"david.to@workday.com")</f>
        <v>david.to@workday.com</v>
      </c>
      <c r="F569" s="12" t="str">
        <f>IFERROR(__xludf.DUMMYFUNCTION("""COMPUTED_VALUE"""),"Engagement Manager [Primary]")</f>
        <v>Engagement Manager [Primary]</v>
      </c>
    </row>
    <row r="570">
      <c r="A570" s="12" t="str">
        <f>IFERROR(__xludf.DUMMYFUNCTION("""COMPUTED_VALUE"""),"a0lVT0000061322YAA")</f>
        <v>a0lVT0000061322YAA</v>
      </c>
      <c r="B570" s="12" t="str">
        <f>IFERROR(__xludf.DUMMYFUNCTION("""COMPUTED_VALUE"""),"a0rVT000012RVEAYA4")</f>
        <v>a0rVT000012RVEAYA4</v>
      </c>
      <c r="C570" s="12" t="str">
        <f>IFERROR(__xludf.DUMMYFUNCTION("""COMPUTED_VALUE"""),"0038000001ocoNlAAI")</f>
        <v>0038000001ocoNlAAI</v>
      </c>
      <c r="D570" s="12" t="str">
        <f>IFERROR(__xludf.DUMMYFUNCTION("""COMPUTED_VALUE"""),"Jeffery Brown")</f>
        <v>Jeffery Brown</v>
      </c>
      <c r="E570" s="12" t="str">
        <f>IFERROR(__xludf.DUMMYFUNCTION("""COMPUTED_VALUE"""),"jeffery.brown@workday.com")</f>
        <v>jeffery.brown@workday.com</v>
      </c>
      <c r="F570" s="12" t="str">
        <f>IFERROR(__xludf.DUMMYFUNCTION("""COMPUTED_VALUE"""),"Engagement Manager [Secondary]")</f>
        <v>Engagement Manager [Secondary]</v>
      </c>
    </row>
    <row r="571">
      <c r="A571" s="12" t="str">
        <f>IFERROR(__xludf.DUMMYFUNCTION("""COMPUTED_VALUE"""),"a0lVT0000065KsHYAU")</f>
        <v>a0lVT0000065KsHYAU</v>
      </c>
      <c r="B571" s="12" t="str">
        <f>IFERROR(__xludf.DUMMYFUNCTION("""COMPUTED_VALUE"""),"a0rVT000012RVEAYA4")</f>
        <v>a0rVT000012RVEAYA4</v>
      </c>
      <c r="C571" s="12" t="str">
        <f>IFERROR(__xludf.DUMMYFUNCTION("""COMPUTED_VALUE"""),"0034X00003T1QBAQA3")</f>
        <v>0034X00003T1QBAQA3</v>
      </c>
      <c r="D571" s="12" t="str">
        <f>IFERROR(__xludf.DUMMYFUNCTION("""COMPUTED_VALUE"""),"Kerstin Purvis")</f>
        <v>Kerstin Purvis</v>
      </c>
      <c r="E571" s="12" t="str">
        <f>IFERROR(__xludf.DUMMYFUNCTION("""COMPUTED_VALUE"""),"kerstin.purvis@umaritime.com")</f>
        <v>kerstin.purvis@umaritime.com</v>
      </c>
      <c r="F571" s="12" t="str">
        <f>IFERROR(__xludf.DUMMYFUNCTION("""COMPUTED_VALUE"""),"Project Manager [Customer]")</f>
        <v>Project Manager [Customer]</v>
      </c>
    </row>
    <row r="572">
      <c r="A572" s="12" t="str">
        <f>IFERROR(__xludf.DUMMYFUNCTION("""COMPUTED_VALUE"""),"a0lVT0000060E17YAE")</f>
        <v>a0lVT0000060E17YAE</v>
      </c>
      <c r="B572" s="12" t="str">
        <f>IFERROR(__xludf.DUMMYFUNCTION("""COMPUTED_VALUE"""),"a0rVT000012RVEAYA4")</f>
        <v>a0rVT000012RVEAYA4</v>
      </c>
      <c r="C572" s="12" t="str">
        <f>IFERROR(__xludf.DUMMYFUNCTION("""COMPUTED_VALUE"""),"0038000001xowKtAAI")</f>
        <v>0038000001xowKtAAI</v>
      </c>
      <c r="D572" s="12" t="str">
        <f>IFERROR(__xludf.DUMMYFUNCTION("""COMPUTED_VALUE"""),"stayce thomas")</f>
        <v>stayce thomas</v>
      </c>
      <c r="E572" s="12" t="str">
        <f>IFERROR(__xludf.DUMMYFUNCTION("""COMPUTED_VALUE"""),"stayce.thomas@workday.com")</f>
        <v>stayce.thomas@workday.com</v>
      </c>
      <c r="F572" s="12" t="str">
        <f>IFERROR(__xludf.DUMMYFUNCTION("""COMPUTED_VALUE"""),"Deployment Sponsor")</f>
        <v>Deployment Sponsor</v>
      </c>
    </row>
    <row r="573">
      <c r="A573" s="12" t="str">
        <f>IFERROR(__xludf.DUMMYFUNCTION("""COMPUTED_VALUE"""),"a0lVT0000060CP7YAM")</f>
        <v>a0lVT0000060CP7YAM</v>
      </c>
      <c r="B573" s="12" t="str">
        <f>IFERROR(__xludf.DUMMYFUNCTION("""COMPUTED_VALUE"""),"a0rVT000012RVEAYA4")</f>
        <v>a0rVT000012RVEAYA4</v>
      </c>
      <c r="C573" s="12" t="str">
        <f>IFERROR(__xludf.DUMMYFUNCTION("""COMPUTED_VALUE"""),"0031B00002rmM1qQAE")</f>
        <v>0031B00002rmM1qQAE</v>
      </c>
      <c r="D573" s="12" t="str">
        <f>IFERROR(__xludf.DUMMYFUNCTION("""COMPUTED_VALUE"""),"Jamie Wright")</f>
        <v>Jamie Wright</v>
      </c>
      <c r="E573" s="12" t="str">
        <f>IFERROR(__xludf.DUMMYFUNCTION("""COMPUTED_VALUE"""),"jamie.wright@ultra-gbs.com")</f>
        <v>jamie.wright@ultra-gbs.com</v>
      </c>
      <c r="F573" s="12" t="str">
        <f>IFERROR(__xludf.DUMMYFUNCTION("""COMPUTED_VALUE"""),"Project Manager [Customer]")</f>
        <v>Project Manager [Customer]</v>
      </c>
    </row>
    <row r="574">
      <c r="A574" s="12" t="str">
        <f>IFERROR(__xludf.DUMMYFUNCTION("""COMPUTED_VALUE"""),"a0lVT0000060CP8YAM")</f>
        <v>a0lVT0000060CP8YAM</v>
      </c>
      <c r="B574" s="12" t="str">
        <f>IFERROR(__xludf.DUMMYFUNCTION("""COMPUTED_VALUE"""),"a0rVT000012RVEAYA4")</f>
        <v>a0rVT000012RVEAYA4</v>
      </c>
      <c r="C574" s="12" t="str">
        <f>IFERROR(__xludf.DUMMYFUNCTION("""COMPUTED_VALUE"""),"0034X00003ErgPnQAJ")</f>
        <v>0034X00003ErgPnQAJ</v>
      </c>
      <c r="D574" s="12" t="str">
        <f>IFERROR(__xludf.DUMMYFUNCTION("""COMPUTED_VALUE"""),"Greg Kelble")</f>
        <v>Greg Kelble</v>
      </c>
      <c r="E574" s="12" t="str">
        <f>IFERROR(__xludf.DUMMYFUNCTION("""COMPUTED_VALUE"""),"greg.kelble@ultra-us-gbs.com")</f>
        <v>greg.kelble@ultra-us-gbs.com</v>
      </c>
      <c r="F574" s="12" t="str">
        <f>IFERROR(__xludf.DUMMYFUNCTION("""COMPUTED_VALUE"""),"Executive Sponsor")</f>
        <v>Executive Sponsor</v>
      </c>
    </row>
    <row r="575">
      <c r="A575" s="12" t="str">
        <f>IFERROR(__xludf.DUMMYFUNCTION("""COMPUTED_VALUE"""),"a0lVT0000063YcnYAE")</f>
        <v>a0lVT0000063YcnYAE</v>
      </c>
      <c r="B575" s="12" t="str">
        <f>IFERROR(__xludf.DUMMYFUNCTION("""COMPUTED_VALUE"""),"a0rVT000012SxczYAC")</f>
        <v>a0rVT000012SxczYAC</v>
      </c>
      <c r="C575" s="12" t="str">
        <f>IFERROR(__xludf.DUMMYFUNCTION("""COMPUTED_VALUE"""),"0034X00003EtGr8QAF")</f>
        <v>0034X00003EtGr8QAF</v>
      </c>
      <c r="D575" s="12" t="str">
        <f>IFERROR(__xludf.DUMMYFUNCTION("""COMPUTED_VALUE"""),"Aaron Barnes")</f>
        <v>Aaron Barnes</v>
      </c>
      <c r="E575" s="12" t="str">
        <f>IFERROR(__xludf.DUMMYFUNCTION("""COMPUTED_VALUE"""),"aaron.barnes@workday.com")</f>
        <v>aaron.barnes@workday.com</v>
      </c>
      <c r="F575" s="12" t="str">
        <f>IFERROR(__xludf.DUMMYFUNCTION("""COMPUTED_VALUE"""),"Deployment Sponsor")</f>
        <v>Deployment Sponsor</v>
      </c>
    </row>
    <row r="576">
      <c r="A576" s="12" t="str">
        <f>IFERROR(__xludf.DUMMYFUNCTION("""COMPUTED_VALUE"""),"a0lVT000005y5Q9YAI")</f>
        <v>a0lVT000005y5Q9YAI</v>
      </c>
      <c r="B576" s="12" t="str">
        <f>IFERROR(__xludf.DUMMYFUNCTION("""COMPUTED_VALUE"""),"a0rVT000012SxczYAC")</f>
        <v>a0rVT000012SxczYAC</v>
      </c>
      <c r="C576" s="12" t="str">
        <f>IFERROR(__xludf.DUMMYFUNCTION("""COMPUTED_VALUE"""),"003VT00000kOt2UYAS")</f>
        <v>003VT00000kOt2UYAS</v>
      </c>
      <c r="D576" s="12" t="str">
        <f>IFERROR(__xludf.DUMMYFUNCTION("""COMPUTED_VALUE"""),"Tim Le Maire")</f>
        <v>Tim Le Maire</v>
      </c>
      <c r="E576" s="12" t="str">
        <f>IFERROR(__xludf.DUMMYFUNCTION("""COMPUTED_VALUE"""),"tim.lemaire@workday.com")</f>
        <v>tim.lemaire@workday.com</v>
      </c>
      <c r="F576" s="12" t="str">
        <f>IFERROR(__xludf.DUMMYFUNCTION("""COMPUTED_VALUE"""),"Engagement Manager [Primary]")</f>
        <v>Engagement Manager [Primary]</v>
      </c>
    </row>
    <row r="577">
      <c r="A577" s="12" t="str">
        <f>IFERROR(__xludf.DUMMYFUNCTION("""COMPUTED_VALUE"""),"a0lVT000006GNurYAG")</f>
        <v>a0lVT000006GNurYAG</v>
      </c>
      <c r="B577" s="12" t="str">
        <f>IFERROR(__xludf.DUMMYFUNCTION("""COMPUTED_VALUE"""),"a0rVT000012SxczYAC")</f>
        <v>a0rVT000012SxczYAC</v>
      </c>
      <c r="C577" s="12" t="str">
        <f>IFERROR(__xludf.DUMMYFUNCTION("""COMPUTED_VALUE"""),"0031B00002mNiDHQA0")</f>
        <v>0031B00002mNiDHQA0</v>
      </c>
      <c r="D577" s="12" t="str">
        <f>IFERROR(__xludf.DUMMYFUNCTION("""COMPUTED_VALUE"""),"Mohamed Salmi")</f>
        <v>Mohamed Salmi</v>
      </c>
      <c r="E577" s="12" t="str">
        <f>IFERROR(__xludf.DUMMYFUNCTION("""COMPUTED_VALUE"""),"mohamed.salmi@havas.com")</f>
        <v>mohamed.salmi@havas.com</v>
      </c>
      <c r="F577" s="12" t="str">
        <f>IFERROR(__xludf.DUMMYFUNCTION("""COMPUTED_VALUE"""),"Executive Sponsor")</f>
        <v>Executive Sponsor</v>
      </c>
    </row>
    <row r="578">
      <c r="A578" s="12" t="str">
        <f>IFERROR(__xludf.DUMMYFUNCTION("""COMPUTED_VALUE"""),"a0lVT000006GNZuYAO")</f>
        <v>a0lVT000006GNZuYAO</v>
      </c>
      <c r="B578" s="12" t="str">
        <f>IFERROR(__xludf.DUMMYFUNCTION("""COMPUTED_VALUE"""),"a0rVT000012SxczYAC")</f>
        <v>a0rVT000012SxczYAC</v>
      </c>
      <c r="C578" s="12" t="str">
        <f>IFERROR(__xludf.DUMMYFUNCTION("""COMPUTED_VALUE"""),"0034X000037BBvqQAG")</f>
        <v>0034X000037BBvqQAG</v>
      </c>
      <c r="D578" s="12" t="str">
        <f>IFERROR(__xludf.DUMMYFUNCTION("""COMPUTED_VALUE"""),"Agathe Laigneau")</f>
        <v>Agathe Laigneau</v>
      </c>
      <c r="E578" s="12" t="str">
        <f>IFERROR(__xludf.DUMMYFUNCTION("""COMPUTED_VALUE"""),"agathe.laigneau@havas.com")</f>
        <v>agathe.laigneau@havas.com</v>
      </c>
      <c r="F578" s="12" t="str">
        <f>IFERROR(__xludf.DUMMYFUNCTION("""COMPUTED_VALUE"""),"Project Manager [Customer]")</f>
        <v>Project Manager [Customer]</v>
      </c>
    </row>
    <row r="579">
      <c r="A579" s="12" t="str">
        <f>IFERROR(__xludf.DUMMYFUNCTION("""COMPUTED_VALUE"""),"a0lVT000005nmF7YAI")</f>
        <v>a0lVT000005nmF7YAI</v>
      </c>
      <c r="B579" s="12" t="str">
        <f>IFERROR(__xludf.DUMMYFUNCTION("""COMPUTED_VALUE"""),"a0rVT000012TqxeYAC")</f>
        <v>a0rVT000012TqxeYAC</v>
      </c>
      <c r="C579" s="12" t="str">
        <f>IFERROR(__xludf.DUMMYFUNCTION("""COMPUTED_VALUE"""),"0034X000037BufGQAS")</f>
        <v>0034X000037BufGQAS</v>
      </c>
      <c r="D579" s="12" t="str">
        <f>IFERROR(__xludf.DUMMYFUNCTION("""COMPUTED_VALUE"""),"Omar Gonzalez")</f>
        <v>Omar Gonzalez</v>
      </c>
      <c r="E579" s="12" t="str">
        <f>IFERROR(__xludf.DUMMYFUNCTION("""COMPUTED_VALUE"""),"omar.gonzalez@workday.com")</f>
        <v>omar.gonzalez@workday.com</v>
      </c>
      <c r="F579" s="12" t="str">
        <f>IFERROR(__xludf.DUMMYFUNCTION("""COMPUTED_VALUE"""),"Deployment Sponsor")</f>
        <v>Deployment Sponsor</v>
      </c>
    </row>
    <row r="580">
      <c r="A580" s="12" t="str">
        <f>IFERROR(__xludf.DUMMYFUNCTION("""COMPUTED_VALUE"""),"a0lVT000005mQYPYA2")</f>
        <v>a0lVT000005mQYPYA2</v>
      </c>
      <c r="B580" s="12" t="str">
        <f>IFERROR(__xludf.DUMMYFUNCTION("""COMPUTED_VALUE"""),"a0rVT000012TqxeYAC")</f>
        <v>a0rVT000012TqxeYAC</v>
      </c>
      <c r="C580" s="12" t="str">
        <f>IFERROR(__xludf.DUMMYFUNCTION("""COMPUTED_VALUE"""),"0034X00003Et6ABQAZ")</f>
        <v>0034X00003Et6ABQAZ</v>
      </c>
      <c r="D580" s="12" t="str">
        <f>IFERROR(__xludf.DUMMYFUNCTION("""COMPUTED_VALUE"""),"Salvador Ruiz")</f>
        <v>Salvador Ruiz</v>
      </c>
      <c r="E580" s="12" t="str">
        <f>IFERROR(__xludf.DUMMYFUNCTION("""COMPUTED_VALUE"""),"salvador.ruiz@workday.com")</f>
        <v>salvador.ruiz@workday.com</v>
      </c>
      <c r="F580" s="12" t="str">
        <f>IFERROR(__xludf.DUMMYFUNCTION("""COMPUTED_VALUE"""),"Engagement Manager [Primary]")</f>
        <v>Engagement Manager [Primary]</v>
      </c>
    </row>
    <row r="581">
      <c r="A581" s="12" t="str">
        <f>IFERROR(__xludf.DUMMYFUNCTION("""COMPUTED_VALUE"""),"a0lVT000006E4czYAC")</f>
        <v>a0lVT000006E4czYAC</v>
      </c>
      <c r="B581" s="12" t="str">
        <f>IFERROR(__xludf.DUMMYFUNCTION("""COMPUTED_VALUE"""),"a0rVT000012TqxeYAC")</f>
        <v>a0rVT000012TqxeYAC</v>
      </c>
      <c r="C581" s="12" t="str">
        <f>IFERROR(__xludf.DUMMYFUNCTION("""COMPUTED_VALUE"""),"003VT00000eMCwMYAW")</f>
        <v>003VT00000eMCwMYAW</v>
      </c>
      <c r="D581" s="12" t="str">
        <f>IFERROR(__xludf.DUMMYFUNCTION("""COMPUTED_VALUE"""),"Abi Rose")</f>
        <v>Abi Rose</v>
      </c>
      <c r="E581" s="12" t="str">
        <f>IFERROR(__xludf.DUMMYFUNCTION("""COMPUTED_VALUE"""),"abi.rose@workday.com")</f>
        <v>abi.rose@workday.com</v>
      </c>
      <c r="F581" s="12" t="str">
        <f>IFERROR(__xludf.DUMMYFUNCTION("""COMPUTED_VALUE"""),"Engagement Manager [Primary]")</f>
        <v>Engagement Manager [Primary]</v>
      </c>
    </row>
    <row r="582">
      <c r="A582" s="12" t="str">
        <f>IFERROR(__xludf.DUMMYFUNCTION("""COMPUTED_VALUE"""),"a0lVT000005mQlJYAU")</f>
        <v>a0lVT000005mQlJYAU</v>
      </c>
      <c r="B582" s="12" t="str">
        <f>IFERROR(__xludf.DUMMYFUNCTION("""COMPUTED_VALUE"""),"a0rVT000012Tz1gYAC")</f>
        <v>a0rVT000012Tz1gYAC</v>
      </c>
      <c r="C582" s="12" t="str">
        <f>IFERROR(__xludf.DUMMYFUNCTION("""COMPUTED_VALUE"""),"00380000024qaNvAAI")</f>
        <v>00380000024qaNvAAI</v>
      </c>
      <c r="D582" s="12" t="str">
        <f>IFERROR(__xludf.DUMMYFUNCTION("""COMPUTED_VALUE"""),"Doris Pulsifer")</f>
        <v>Doris Pulsifer</v>
      </c>
      <c r="E582" s="12" t="str">
        <f>IFERROR(__xludf.DUMMYFUNCTION("""COMPUTED_VALUE"""),"doris.pulsifer@workday.com")</f>
        <v>doris.pulsifer@workday.com</v>
      </c>
      <c r="F582" s="12" t="str">
        <f>IFERROR(__xludf.DUMMYFUNCTION("""COMPUTED_VALUE"""),"Engagement Manager [Primary]")</f>
        <v>Engagement Manager [Primary]</v>
      </c>
    </row>
    <row r="583">
      <c r="A583" s="12" t="str">
        <f>IFERROR(__xludf.DUMMYFUNCTION("""COMPUTED_VALUE"""),"a0lVT000005mZevYAE")</f>
        <v>a0lVT000005mZevYAE</v>
      </c>
      <c r="B583" s="12" t="str">
        <f>IFERROR(__xludf.DUMMYFUNCTION("""COMPUTED_VALUE"""),"a0rVT000012Tzo2YAC")</f>
        <v>a0rVT000012Tzo2YAC</v>
      </c>
      <c r="C583" s="12" t="str">
        <f>IFERROR(__xludf.DUMMYFUNCTION("""COMPUTED_VALUE"""),"003VT00000fc4sfYAA")</f>
        <v>003VT00000fc4sfYAA</v>
      </c>
      <c r="D583" s="12" t="str">
        <f>IFERROR(__xludf.DUMMYFUNCTION("""COMPUTED_VALUE"""),"Katie Nehrenz")</f>
        <v>Katie Nehrenz</v>
      </c>
      <c r="E583" s="12" t="str">
        <f>IFERROR(__xludf.DUMMYFUNCTION("""COMPUTED_VALUE"""),"katie.nehrenz@workday.com")</f>
        <v>katie.nehrenz@workday.com</v>
      </c>
      <c r="F583" s="12" t="str">
        <f>IFERROR(__xludf.DUMMYFUNCTION("""COMPUTED_VALUE"""),"Engagement Manager [Secondary]")</f>
        <v>Engagement Manager [Secondary]</v>
      </c>
    </row>
    <row r="584">
      <c r="A584" s="12" t="str">
        <f>IFERROR(__xludf.DUMMYFUNCTION("""COMPUTED_VALUE"""),"a0lVT000006GIyPYAW")</f>
        <v>a0lVT000006GIyPYAW</v>
      </c>
      <c r="B584" s="12" t="str">
        <f>IFERROR(__xludf.DUMMYFUNCTION("""COMPUTED_VALUE"""),"a0rVT000012Tzo2YAC")</f>
        <v>a0rVT000012Tzo2YAC</v>
      </c>
      <c r="C584" s="12" t="str">
        <f>IFERROR(__xludf.DUMMYFUNCTION("""COMPUTED_VALUE"""),"0038000001i7N4rAAE")</f>
        <v>0038000001i7N4rAAE</v>
      </c>
      <c r="D584" s="12" t="str">
        <f>IFERROR(__xludf.DUMMYFUNCTION("""COMPUTED_VALUE"""),"Val Tsvetkov")</f>
        <v>Val Tsvetkov</v>
      </c>
      <c r="E584" s="12" t="str">
        <f>IFERROR(__xludf.DUMMYFUNCTION("""COMPUTED_VALUE"""),"val.tsvetkov@workday.com")</f>
        <v>val.tsvetkov@workday.com</v>
      </c>
      <c r="F584" s="12" t="str">
        <f>IFERROR(__xludf.DUMMYFUNCTION("""COMPUTED_VALUE"""),"Deployment Sponsor")</f>
        <v>Deployment Sponsor</v>
      </c>
    </row>
    <row r="585">
      <c r="A585" s="12" t="str">
        <f>IFERROR(__xludf.DUMMYFUNCTION("""COMPUTED_VALUE"""),"a0lVT000005wD6rYAE")</f>
        <v>a0lVT000005wD6rYAE</v>
      </c>
      <c r="B585" s="12" t="str">
        <f>IFERROR(__xludf.DUMMYFUNCTION("""COMPUTED_VALUE"""),"a0rVT000012Tzo2YAC")</f>
        <v>a0rVT000012Tzo2YAC</v>
      </c>
      <c r="C585" s="12" t="str">
        <f>IFERROR(__xludf.DUMMYFUNCTION("""COMPUTED_VALUE"""),"0034X00003T11MqQAJ")</f>
        <v>0034X00003T11MqQAJ</v>
      </c>
      <c r="D585" s="12" t="str">
        <f>IFERROR(__xludf.DUMMYFUNCTION("""COMPUTED_VALUE"""),"Andres Baudrit")</f>
        <v>Andres Baudrit</v>
      </c>
      <c r="E585" s="12" t="str">
        <f>IFERROR(__xludf.DUMMYFUNCTION("""COMPUTED_VALUE"""),"andres.baudrit@workday.com")</f>
        <v>andres.baudrit@workday.com</v>
      </c>
      <c r="F585" s="12" t="str">
        <f>IFERROR(__xludf.DUMMYFUNCTION("""COMPUTED_VALUE"""),"Engagement Manager [Primary]")</f>
        <v>Engagement Manager [Primary]</v>
      </c>
    </row>
    <row r="586">
      <c r="A586" s="12" t="str">
        <f>IFERROR(__xludf.DUMMYFUNCTION("""COMPUTED_VALUE"""),"a0lVT000006GIwoYAG")</f>
        <v>a0lVT000006GIwoYAG</v>
      </c>
      <c r="B586" s="12" t="str">
        <f>IFERROR(__xludf.DUMMYFUNCTION("""COMPUTED_VALUE"""),"a0rVT000012Tzo2YAC")</f>
        <v>a0rVT000012Tzo2YAC</v>
      </c>
      <c r="C586" s="12" t="str">
        <f>IFERROR(__xludf.DUMMYFUNCTION("""COMPUTED_VALUE"""),"0031B00002sjbcwQAA")</f>
        <v>0031B00002sjbcwQAA</v>
      </c>
      <c r="D586" s="12" t="str">
        <f>IFERROR(__xludf.DUMMYFUNCTION("""COMPUTED_VALUE"""),"Jose Ruvalcaba")</f>
        <v>Jose Ruvalcaba</v>
      </c>
      <c r="E586" s="12" t="str">
        <f>IFERROR(__xludf.DUMMYFUNCTION("""COMPUTED_VALUE"""),"jruvalcaba@bfusa.com")</f>
        <v>jruvalcaba@bfusa.com</v>
      </c>
      <c r="F586" s="12" t="str">
        <f>IFERROR(__xludf.DUMMYFUNCTION("""COMPUTED_VALUE"""),"Executive Sponsor")</f>
        <v>Executive Sponsor</v>
      </c>
    </row>
    <row r="587">
      <c r="A587" s="12" t="str">
        <f>IFERROR(__xludf.DUMMYFUNCTION("""COMPUTED_VALUE"""),"a0lVT000006GIwnYAG")</f>
        <v>a0lVT000006GIwnYAG</v>
      </c>
      <c r="B587" s="12" t="str">
        <f>IFERROR(__xludf.DUMMYFUNCTION("""COMPUTED_VALUE"""),"a0rVT000012Tzo2YAC")</f>
        <v>a0rVT000012Tzo2YAC</v>
      </c>
      <c r="C587" s="12" t="str">
        <f>IFERROR(__xludf.DUMMYFUNCTION("""COMPUTED_VALUE"""),"0031B00002sjbcwQAA")</f>
        <v>0031B00002sjbcwQAA</v>
      </c>
      <c r="D587" s="12" t="str">
        <f>IFERROR(__xludf.DUMMYFUNCTION("""COMPUTED_VALUE"""),"Jose Ruvalcaba")</f>
        <v>Jose Ruvalcaba</v>
      </c>
      <c r="E587" s="12" t="str">
        <f>IFERROR(__xludf.DUMMYFUNCTION("""COMPUTED_VALUE"""),"jruvalcaba@bfusa.com")</f>
        <v>jruvalcaba@bfusa.com</v>
      </c>
      <c r="F587" s="12" t="str">
        <f>IFERROR(__xludf.DUMMYFUNCTION("""COMPUTED_VALUE"""),"Project Manager [Customer]")</f>
        <v>Project Manager [Customer]</v>
      </c>
    </row>
    <row r="588">
      <c r="A588" s="12" t="str">
        <f>IFERROR(__xludf.DUMMYFUNCTION("""COMPUTED_VALUE"""),"a0lVT000005pGRFYA2")</f>
        <v>a0lVT000005pGRFYA2</v>
      </c>
      <c r="B588" s="12" t="str">
        <f>IFERROR(__xludf.DUMMYFUNCTION("""COMPUTED_VALUE"""),"a0rVT000012U8o5YAC")</f>
        <v>a0rVT000012U8o5YAC</v>
      </c>
      <c r="C588" s="12" t="str">
        <f>IFERROR(__xludf.DUMMYFUNCTION("""COMPUTED_VALUE"""),"0034X000038fn4vQAA")</f>
        <v>0034X000038fn4vQAA</v>
      </c>
      <c r="D588" s="12" t="str">
        <f>IFERROR(__xludf.DUMMYFUNCTION("""COMPUTED_VALUE"""),"Mireysa Gonzalez")</f>
        <v>Mireysa Gonzalez</v>
      </c>
      <c r="E588" s="12" t="str">
        <f>IFERROR(__xludf.DUMMYFUNCTION("""COMPUTED_VALUE"""),"mireysa.angelica@workday.com")</f>
        <v>mireysa.angelica@workday.com</v>
      </c>
      <c r="F588" s="12" t="str">
        <f>IFERROR(__xludf.DUMMYFUNCTION("""COMPUTED_VALUE"""),"Engagement Manager [Primary]")</f>
        <v>Engagement Manager [Primary]</v>
      </c>
    </row>
    <row r="589">
      <c r="A589" s="12" t="str">
        <f>IFERROR(__xludf.DUMMYFUNCTION("""COMPUTED_VALUE"""),"a0lVT000005mQyDYAU")</f>
        <v>a0lVT000005mQyDYAU</v>
      </c>
      <c r="B589" s="12" t="str">
        <f>IFERROR(__xludf.DUMMYFUNCTION("""COMPUTED_VALUE"""),"a0rVT000012U8o5YAC")</f>
        <v>a0rVT000012U8o5YAC</v>
      </c>
      <c r="C589" s="12" t="str">
        <f>IFERROR(__xludf.DUMMYFUNCTION("""COMPUTED_VALUE"""),"0034X00003T2sCmQAJ")</f>
        <v>0034X00003T2sCmQAJ</v>
      </c>
      <c r="D589" s="12" t="str">
        <f>IFERROR(__xludf.DUMMYFUNCTION("""COMPUTED_VALUE"""),"Felix Cordero")</f>
        <v>Felix Cordero</v>
      </c>
      <c r="E589" s="12" t="str">
        <f>IFERROR(__xludf.DUMMYFUNCTION("""COMPUTED_VALUE"""),"felix.cordero@workday.com")</f>
        <v>felix.cordero@workday.com</v>
      </c>
      <c r="F589" s="12" t="str">
        <f>IFERROR(__xludf.DUMMYFUNCTION("""COMPUTED_VALUE"""),"Engagement Manager [Primary]")</f>
        <v>Engagement Manager [Primary]</v>
      </c>
    </row>
    <row r="590">
      <c r="A590" s="12" t="str">
        <f>IFERROR(__xludf.DUMMYFUNCTION("""COMPUTED_VALUE"""),"a0lVT0000060M6jYAE")</f>
        <v>a0lVT0000060M6jYAE</v>
      </c>
      <c r="B590" s="12" t="str">
        <f>IFERROR(__xludf.DUMMYFUNCTION("""COMPUTED_VALUE"""),"a0rVT000012UCWjYAO")</f>
        <v>a0rVT000012UCWjYAO</v>
      </c>
      <c r="C590" s="12" t="str">
        <f>IFERROR(__xludf.DUMMYFUNCTION("""COMPUTED_VALUE"""),"003VT00000fc4sfYAA")</f>
        <v>003VT00000fc4sfYAA</v>
      </c>
      <c r="D590" s="12" t="str">
        <f>IFERROR(__xludf.DUMMYFUNCTION("""COMPUTED_VALUE"""),"Katie Nehrenz")</f>
        <v>Katie Nehrenz</v>
      </c>
      <c r="E590" s="12" t="str">
        <f>IFERROR(__xludf.DUMMYFUNCTION("""COMPUTED_VALUE"""),"katie.nehrenz@workday.com")</f>
        <v>katie.nehrenz@workday.com</v>
      </c>
      <c r="F590" s="12" t="str">
        <f>IFERROR(__xludf.DUMMYFUNCTION("""COMPUTED_VALUE"""),"Engagement Manager [Primary]")</f>
        <v>Engagement Manager [Primary]</v>
      </c>
    </row>
    <row r="591">
      <c r="A591" s="12" t="str">
        <f>IFERROR(__xludf.DUMMYFUNCTION("""COMPUTED_VALUE"""),"a0lVT000005mRZJYA2")</f>
        <v>a0lVT000005mRZJYA2</v>
      </c>
      <c r="B591" s="12" t="str">
        <f>IFERROR(__xludf.DUMMYFUNCTION("""COMPUTED_VALUE"""),"a0rVT000012UFMXYA4")</f>
        <v>a0rVT000012UFMXYA4</v>
      </c>
      <c r="C591" s="12" t="str">
        <f>IFERROR(__xludf.DUMMYFUNCTION("""COMPUTED_VALUE"""),"00380000024qaNvAAI")</f>
        <v>00380000024qaNvAAI</v>
      </c>
      <c r="D591" s="12" t="str">
        <f>IFERROR(__xludf.DUMMYFUNCTION("""COMPUTED_VALUE"""),"Doris Pulsifer")</f>
        <v>Doris Pulsifer</v>
      </c>
      <c r="E591" s="12" t="str">
        <f>IFERROR(__xludf.DUMMYFUNCTION("""COMPUTED_VALUE"""),"doris.pulsifer@workday.com")</f>
        <v>doris.pulsifer@workday.com</v>
      </c>
      <c r="F591" s="12" t="str">
        <f>IFERROR(__xludf.DUMMYFUNCTION("""COMPUTED_VALUE"""),"Engagement Manager [Primary]")</f>
        <v>Engagement Manager [Primary]</v>
      </c>
    </row>
    <row r="592">
      <c r="A592" s="12" t="str">
        <f>IFERROR(__xludf.DUMMYFUNCTION("""COMPUTED_VALUE"""),"a0lVT000005maj3YAA")</f>
        <v>a0lVT000005maj3YAA</v>
      </c>
      <c r="B592" s="12" t="str">
        <f>IFERROR(__xludf.DUMMYFUNCTION("""COMPUTED_VALUE"""),"a0rVT000012UJ8PYAW")</f>
        <v>a0rVT000012UJ8PYAW</v>
      </c>
      <c r="C592" s="12" t="str">
        <f>IFERROR(__xludf.DUMMYFUNCTION("""COMPUTED_VALUE"""),"003VT00000YemLmYAJ")</f>
        <v>003VT00000YemLmYAJ</v>
      </c>
      <c r="D592" s="12" t="str">
        <f>IFERROR(__xludf.DUMMYFUNCTION("""COMPUTED_VALUE"""),"Uday Harshadrai Vora")</f>
        <v>Uday Harshadrai Vora</v>
      </c>
      <c r="E592" s="12" t="str">
        <f>IFERROR(__xludf.DUMMYFUNCTION("""COMPUTED_VALUE"""),"uday.vora@workday.com")</f>
        <v>uday.vora@workday.com</v>
      </c>
      <c r="F592" s="12" t="str">
        <f>IFERROR(__xludf.DUMMYFUNCTION("""COMPUTED_VALUE"""),"Engagement Manager [Primary]")</f>
        <v>Engagement Manager [Primary]</v>
      </c>
    </row>
    <row r="593">
      <c r="A593" s="12" t="str">
        <f>IFERROR(__xludf.DUMMYFUNCTION("""COMPUTED_VALUE"""),"a0lVT000006HyynYAC")</f>
        <v>a0lVT000006HyynYAC</v>
      </c>
      <c r="B593" s="12" t="str">
        <f>IFERROR(__xludf.DUMMYFUNCTION("""COMPUTED_VALUE"""),"a0rVT000012UK2rYAG")</f>
        <v>a0rVT000012UK2rYAG</v>
      </c>
      <c r="C593" s="12" t="str">
        <f>IFERROR(__xludf.DUMMYFUNCTION("""COMPUTED_VALUE"""),"003VT00000keelqYAA")</f>
        <v>003VT00000keelqYAA</v>
      </c>
      <c r="D593" s="12" t="str">
        <f>IFERROR(__xludf.DUMMYFUNCTION("""COMPUTED_VALUE"""),"James Welch")</f>
        <v>James Welch</v>
      </c>
      <c r="E593" s="12" t="str">
        <f>IFERROR(__xludf.DUMMYFUNCTION("""COMPUTED_VALUE"""),"james.welch@jsx.com")</f>
        <v>james.welch@jsx.com</v>
      </c>
      <c r="F593" s="12" t="str">
        <f>IFERROR(__xludf.DUMMYFUNCTION("""COMPUTED_VALUE"""),"Project Manager [Customer]")</f>
        <v>Project Manager [Customer]</v>
      </c>
    </row>
    <row r="594">
      <c r="A594" s="12" t="str">
        <f>IFERROR(__xludf.DUMMYFUNCTION("""COMPUTED_VALUE"""),"a0lVT000006MOzVYAW")</f>
        <v>a0lVT000006MOzVYAW</v>
      </c>
      <c r="B594" s="12" t="str">
        <f>IFERROR(__xludf.DUMMYFUNCTION("""COMPUTED_VALUE"""),"a0rVT000012UK2rYAG")</f>
        <v>a0rVT000012UK2rYAG</v>
      </c>
      <c r="C594" s="12" t="str">
        <f>IFERROR(__xludf.DUMMYFUNCTION("""COMPUTED_VALUE"""),"003VT00000fc4sfYAA")</f>
        <v>003VT00000fc4sfYAA</v>
      </c>
      <c r="D594" s="12" t="str">
        <f>IFERROR(__xludf.DUMMYFUNCTION("""COMPUTED_VALUE"""),"Katie Nehrenz")</f>
        <v>Katie Nehrenz</v>
      </c>
      <c r="E594" s="12" t="str">
        <f>IFERROR(__xludf.DUMMYFUNCTION("""COMPUTED_VALUE"""),"katie.nehrenz@workday.com")</f>
        <v>katie.nehrenz@workday.com</v>
      </c>
      <c r="F594" s="12" t="str">
        <f>IFERROR(__xludf.DUMMYFUNCTION("""COMPUTED_VALUE"""),"Deployment Sponsor")</f>
        <v>Deployment Sponsor</v>
      </c>
    </row>
    <row r="595">
      <c r="A595" s="12" t="str">
        <f>IFERROR(__xludf.DUMMYFUNCTION("""COMPUTED_VALUE"""),"a0lVT000005wyk5YAA")</f>
        <v>a0lVT000005wyk5YAA</v>
      </c>
      <c r="B595" s="12" t="str">
        <f>IFERROR(__xludf.DUMMYFUNCTION("""COMPUTED_VALUE"""),"a0rVT000012UK2rYAG")</f>
        <v>a0rVT000012UK2rYAG</v>
      </c>
      <c r="C595" s="12" t="str">
        <f>IFERROR(__xludf.DUMMYFUNCTION("""COMPUTED_VALUE"""),"003VT00000fc4sfYAA")</f>
        <v>003VT00000fc4sfYAA</v>
      </c>
      <c r="D595" s="12" t="str">
        <f>IFERROR(__xludf.DUMMYFUNCTION("""COMPUTED_VALUE"""),"Katie Nehrenz")</f>
        <v>Katie Nehrenz</v>
      </c>
      <c r="E595" s="12" t="str">
        <f>IFERROR(__xludf.DUMMYFUNCTION("""COMPUTED_VALUE"""),"katie.nehrenz@workday.com")</f>
        <v>katie.nehrenz@workday.com</v>
      </c>
      <c r="F595" s="12" t="str">
        <f>IFERROR(__xludf.DUMMYFUNCTION("""COMPUTED_VALUE"""),"Engagement Manager [Primary]")</f>
        <v>Engagement Manager [Primary]</v>
      </c>
    </row>
    <row r="596">
      <c r="A596" s="12" t="str">
        <f>IFERROR(__xludf.DUMMYFUNCTION("""COMPUTED_VALUE"""),"a0lVT000005ws6oYAA")</f>
        <v>a0lVT000005ws6oYAA</v>
      </c>
      <c r="B596" s="12" t="str">
        <f>IFERROR(__xludf.DUMMYFUNCTION("""COMPUTED_VALUE"""),"a0rVT000012UK2rYAG")</f>
        <v>a0rVT000012UK2rYAG</v>
      </c>
      <c r="C596" s="12" t="str">
        <f>IFERROR(__xludf.DUMMYFUNCTION("""COMPUTED_VALUE"""),"003VT00000H0DGRYA3")</f>
        <v>003VT00000H0DGRYA3</v>
      </c>
      <c r="D596" s="12" t="str">
        <f>IFERROR(__xludf.DUMMYFUNCTION("""COMPUTED_VALUE"""),"Brooke Knight")</f>
        <v>Brooke Knight</v>
      </c>
      <c r="E596" s="12" t="str">
        <f>IFERROR(__xludf.DUMMYFUNCTION("""COMPUTED_VALUE"""),"brooke.knight@workday.com")</f>
        <v>brooke.knight@workday.com</v>
      </c>
      <c r="F596" s="12" t="str">
        <f>IFERROR(__xludf.DUMMYFUNCTION("""COMPUTED_VALUE"""),"Engagement Manager [Primary]")</f>
        <v>Engagement Manager [Primary]</v>
      </c>
    </row>
    <row r="597">
      <c r="A597" s="12" t="str">
        <f>IFERROR(__xludf.DUMMYFUNCTION("""COMPUTED_VALUE"""),"a0lVT000005ws6qYAA")</f>
        <v>a0lVT000005ws6qYAA</v>
      </c>
      <c r="B597" s="12" t="str">
        <f>IFERROR(__xludf.DUMMYFUNCTION("""COMPUTED_VALUE"""),"a0rVT000012UK2rYAG")</f>
        <v>a0rVT000012UK2rYAG</v>
      </c>
      <c r="C597" s="12" t="str">
        <f>IFERROR(__xludf.DUMMYFUNCTION("""COMPUTED_VALUE"""),"0034X00003RCi5RQAT")</f>
        <v>0034X00003RCi5RQAT</v>
      </c>
      <c r="D597" s="12" t="str">
        <f>IFERROR(__xludf.DUMMYFUNCTION("""COMPUTED_VALUE"""),"Michelle Norman")</f>
        <v>Michelle Norman</v>
      </c>
      <c r="E597" s="12" t="str">
        <f>IFERROR(__xludf.DUMMYFUNCTION("""COMPUTED_VALUE"""),"michelle.norman@jsx.com")</f>
        <v>michelle.norman@jsx.com</v>
      </c>
      <c r="F597" s="12" t="str">
        <f>IFERROR(__xludf.DUMMYFUNCTION("""COMPUTED_VALUE"""),"Executive Sponsor")</f>
        <v>Executive Sponsor</v>
      </c>
    </row>
    <row r="598">
      <c r="A598" s="12" t="str">
        <f>IFERROR(__xludf.DUMMYFUNCTION("""COMPUTED_VALUE"""),"a0lVT000005mRr3YAE")</f>
        <v>a0lVT000005mRr3YAE</v>
      </c>
      <c r="B598" s="12" t="str">
        <f>IFERROR(__xludf.DUMMYFUNCTION("""COMPUTED_VALUE"""),"a0rVT000012UK2rYAG")</f>
        <v>a0rVT000012UK2rYAG</v>
      </c>
      <c r="C598" s="12" t="str">
        <f>IFERROR(__xludf.DUMMYFUNCTION("""COMPUTED_VALUE"""),"00380000024qaNvAAI")</f>
        <v>00380000024qaNvAAI</v>
      </c>
      <c r="D598" s="12" t="str">
        <f>IFERROR(__xludf.DUMMYFUNCTION("""COMPUTED_VALUE"""),"Doris Pulsifer")</f>
        <v>Doris Pulsifer</v>
      </c>
      <c r="E598" s="12" t="str">
        <f>IFERROR(__xludf.DUMMYFUNCTION("""COMPUTED_VALUE"""),"doris.pulsifer@workday.com")</f>
        <v>doris.pulsifer@workday.com</v>
      </c>
      <c r="F598" s="12" t="str">
        <f>IFERROR(__xludf.DUMMYFUNCTION("""COMPUTED_VALUE"""),"Engagement Manager [Primary]")</f>
        <v>Engagement Manager [Primary]</v>
      </c>
    </row>
    <row r="599">
      <c r="A599" s="12" t="str">
        <f>IFERROR(__xludf.DUMMYFUNCTION("""COMPUTED_VALUE"""),"a0lVT000006NQZRYA4")</f>
        <v>a0lVT000006NQZRYA4</v>
      </c>
      <c r="B599" s="12" t="str">
        <f>IFERROR(__xludf.DUMMYFUNCTION("""COMPUTED_VALUE"""),"a0rVT000012UP2XYAW")</f>
        <v>a0rVT000012UP2XYAW</v>
      </c>
      <c r="C599" s="12" t="str">
        <f>IFERROR(__xludf.DUMMYFUNCTION("""COMPUTED_VALUE"""),"003VT00000fcEf6YAE")</f>
        <v>003VT00000fcEf6YAE</v>
      </c>
      <c r="D599" s="12" t="str">
        <f>IFERROR(__xludf.DUMMYFUNCTION("""COMPUTED_VALUE"""),"Nichole Maher")</f>
        <v>Nichole Maher</v>
      </c>
      <c r="E599" s="12" t="str">
        <f>IFERROR(__xludf.DUMMYFUNCTION("""COMPUTED_VALUE"""),"nichole.maher@workday.com")</f>
        <v>nichole.maher@workday.com</v>
      </c>
      <c r="F599" s="12" t="str">
        <f>IFERROR(__xludf.DUMMYFUNCTION("""COMPUTED_VALUE"""),"Engagement Manager [Primary]")</f>
        <v>Engagement Manager [Primary]</v>
      </c>
    </row>
    <row r="600">
      <c r="A600" s="12" t="str">
        <f>IFERROR(__xludf.DUMMYFUNCTION("""COMPUTED_VALUE"""),"a0lVT000006NGQQYA4")</f>
        <v>a0lVT000006NGQQYA4</v>
      </c>
      <c r="B600" s="12" t="str">
        <f>IFERROR(__xludf.DUMMYFUNCTION("""COMPUTED_VALUE"""),"a0rVT000012UP2XYAW")</f>
        <v>a0rVT000012UP2XYAW</v>
      </c>
      <c r="C600" s="12" t="str">
        <f>IFERROR(__xludf.DUMMYFUNCTION("""COMPUTED_VALUE"""),"0034X00002t6rn6QAA")</f>
        <v>0034X00002t6rn6QAA</v>
      </c>
      <c r="D600" s="12" t="str">
        <f>IFERROR(__xludf.DUMMYFUNCTION("""COMPUTED_VALUE"""),"Michael Lidiker")</f>
        <v>Michael Lidiker</v>
      </c>
      <c r="E600" s="12" t="str">
        <f>IFERROR(__xludf.DUMMYFUNCTION("""COMPUTED_VALUE"""),"michael.lidiker@bega.com.au")</f>
        <v>michael.lidiker@bega.com.au</v>
      </c>
      <c r="F600" s="12" t="str">
        <f>IFERROR(__xludf.DUMMYFUNCTION("""COMPUTED_VALUE"""),"Project Manager [Customer]")</f>
        <v>Project Manager [Customer]</v>
      </c>
    </row>
    <row r="601">
      <c r="A601" s="12" t="str">
        <f>IFERROR(__xludf.DUMMYFUNCTION("""COMPUTED_VALUE"""),"a0lVT000006NQXpYAO")</f>
        <v>a0lVT000006NQXpYAO</v>
      </c>
      <c r="B601" s="12" t="str">
        <f>IFERROR(__xludf.DUMMYFUNCTION("""COMPUTED_VALUE"""),"a0rVT000012UP2XYAW")</f>
        <v>a0rVT000012UP2XYAW</v>
      </c>
      <c r="C601" s="12" t="str">
        <f>IFERROR(__xludf.DUMMYFUNCTION("""COMPUTED_VALUE"""),"003VT00000fcEf6YAE")</f>
        <v>003VT00000fcEf6YAE</v>
      </c>
      <c r="D601" s="12" t="str">
        <f>IFERROR(__xludf.DUMMYFUNCTION("""COMPUTED_VALUE"""),"Nichole Maher")</f>
        <v>Nichole Maher</v>
      </c>
      <c r="E601" s="12" t="str">
        <f>IFERROR(__xludf.DUMMYFUNCTION("""COMPUTED_VALUE"""),"nichole.maher@workday.com")</f>
        <v>nichole.maher@workday.com</v>
      </c>
      <c r="F601" s="12" t="str">
        <f>IFERROR(__xludf.DUMMYFUNCTION("""COMPUTED_VALUE"""),"Deployment Sponsor")</f>
        <v>Deployment Sponsor</v>
      </c>
    </row>
    <row r="602">
      <c r="A602" s="12" t="str">
        <f>IFERROR(__xludf.DUMMYFUNCTION("""COMPUTED_VALUE"""),"a0lVT0000062S9dYAE")</f>
        <v>a0lVT0000062S9dYAE</v>
      </c>
      <c r="B602" s="12" t="str">
        <f>IFERROR(__xludf.DUMMYFUNCTION("""COMPUTED_VALUE"""),"a0rVT000012UP2XYAW")</f>
        <v>a0rVT000012UP2XYAW</v>
      </c>
      <c r="C602" s="12" t="str">
        <f>IFERROR(__xludf.DUMMYFUNCTION("""COMPUTED_VALUE"""),"003VT00000fcEf6YAE")</f>
        <v>003VT00000fcEf6YAE</v>
      </c>
      <c r="D602" s="12" t="str">
        <f>IFERROR(__xludf.DUMMYFUNCTION("""COMPUTED_VALUE"""),"Nichole Maher")</f>
        <v>Nichole Maher</v>
      </c>
      <c r="E602" s="12" t="str">
        <f>IFERROR(__xludf.DUMMYFUNCTION("""COMPUTED_VALUE"""),"nichole.maher@workday.com")</f>
        <v>nichole.maher@workday.com</v>
      </c>
      <c r="F602" s="12" t="str">
        <f>IFERROR(__xludf.DUMMYFUNCTION("""COMPUTED_VALUE"""),"Engagement Manager [Secondary]")</f>
        <v>Engagement Manager [Secondary]</v>
      </c>
    </row>
    <row r="603">
      <c r="A603" s="12" t="str">
        <f>IFERROR(__xludf.DUMMYFUNCTION("""COMPUTED_VALUE"""),"a0lVT000006NGQPYA4")</f>
        <v>a0lVT000006NGQPYA4</v>
      </c>
      <c r="B603" s="12" t="str">
        <f>IFERROR(__xludf.DUMMYFUNCTION("""COMPUTED_VALUE"""),"a0rVT000012UP2XYAW")</f>
        <v>a0rVT000012UP2XYAW</v>
      </c>
      <c r="C603" s="12" t="str">
        <f>IFERROR(__xludf.DUMMYFUNCTION("""COMPUTED_VALUE"""),"0034X00002t6lrrQAA")</f>
        <v>0034X00002t6lrrQAA</v>
      </c>
      <c r="D603" s="12" t="str">
        <f>IFERROR(__xludf.DUMMYFUNCTION("""COMPUTED_VALUE"""),"Tegan Gambuzza")</f>
        <v>Tegan Gambuzza</v>
      </c>
      <c r="E603" s="12" t="str">
        <f>IFERROR(__xludf.DUMMYFUNCTION("""COMPUTED_VALUE"""),"tegan.gambuzza@bega.com.au")</f>
        <v>tegan.gambuzza@bega.com.au</v>
      </c>
      <c r="F603" s="12" t="str">
        <f>IFERROR(__xludf.DUMMYFUNCTION("""COMPUTED_VALUE"""),"Executive Sponsor")</f>
        <v>Executive Sponsor</v>
      </c>
    </row>
    <row r="604">
      <c r="A604" s="12" t="str">
        <f>IFERROR(__xludf.DUMMYFUNCTION("""COMPUTED_VALUE"""),"a0lVT000006PLqbYAG")</f>
        <v>a0lVT000006PLqbYAG</v>
      </c>
      <c r="B604" s="12" t="str">
        <f>IFERROR(__xludf.DUMMYFUNCTION("""COMPUTED_VALUE"""),"a0rVT000012USrdYAG")</f>
        <v>a0rVT000012USrdYAG</v>
      </c>
      <c r="C604" s="12" t="str">
        <f>IFERROR(__xludf.DUMMYFUNCTION("""COMPUTED_VALUE"""),"003VT00000fc4sgYAA")</f>
        <v>003VT00000fc4sgYAA</v>
      </c>
      <c r="D604" s="12" t="str">
        <f>IFERROR(__xludf.DUMMYFUNCTION("""COMPUTED_VALUE"""),"Kat Evans")</f>
        <v>Kat Evans</v>
      </c>
      <c r="E604" s="12" t="str">
        <f>IFERROR(__xludf.DUMMYFUNCTION("""COMPUTED_VALUE"""),"kat.matasova@workday.com")</f>
        <v>kat.matasova@workday.com</v>
      </c>
      <c r="F604" s="12" t="str">
        <f>IFERROR(__xludf.DUMMYFUNCTION("""COMPUTED_VALUE"""),"Engagement Manager [Secondary]")</f>
        <v>Engagement Manager [Secondary]</v>
      </c>
    </row>
    <row r="605">
      <c r="A605" s="12" t="str">
        <f>IFERROR(__xludf.DUMMYFUNCTION("""COMPUTED_VALUE"""),"a0lVT000006PM0HYAW")</f>
        <v>a0lVT000006PM0HYAW</v>
      </c>
      <c r="B605" s="12" t="str">
        <f>IFERROR(__xludf.DUMMYFUNCTION("""COMPUTED_VALUE"""),"a0rVT000012USrdYAG")</f>
        <v>a0rVT000012USrdYAG</v>
      </c>
      <c r="C605" s="12" t="str">
        <f>IFERROR(__xludf.DUMMYFUNCTION("""COMPUTED_VALUE"""),"0034X00003EtGr8QAF")</f>
        <v>0034X00003EtGr8QAF</v>
      </c>
      <c r="D605" s="12" t="str">
        <f>IFERROR(__xludf.DUMMYFUNCTION("""COMPUTED_VALUE"""),"Aaron Barnes")</f>
        <v>Aaron Barnes</v>
      </c>
      <c r="E605" s="12" t="str">
        <f>IFERROR(__xludf.DUMMYFUNCTION("""COMPUTED_VALUE"""),"aaron.barnes@workday.com")</f>
        <v>aaron.barnes@workday.com</v>
      </c>
      <c r="F605" s="12" t="str">
        <f>IFERROR(__xludf.DUMMYFUNCTION("""COMPUTED_VALUE"""),"Deployment Sponsor")</f>
        <v>Deployment Sponsor</v>
      </c>
    </row>
    <row r="606">
      <c r="A606" s="12" t="str">
        <f>IFERROR(__xludf.DUMMYFUNCTION("""COMPUTED_VALUE"""),"a0lVT0000064lw9YAA")</f>
        <v>a0lVT0000064lw9YAA</v>
      </c>
      <c r="B606" s="12" t="str">
        <f>IFERROR(__xludf.DUMMYFUNCTION("""COMPUTED_VALUE"""),"a0rVT000012UU8fYAG")</f>
        <v>a0rVT000012UU8fYAG</v>
      </c>
      <c r="C606" s="12" t="str">
        <f>IFERROR(__xludf.DUMMYFUNCTION("""COMPUTED_VALUE"""),"0034X00003BmlnPQAR")</f>
        <v>0034X00003BmlnPQAR</v>
      </c>
      <c r="D606" s="12" t="str">
        <f>IFERROR(__xludf.DUMMYFUNCTION("""COMPUTED_VALUE"""),"Natalie Attoh")</f>
        <v>Natalie Attoh</v>
      </c>
      <c r="E606" s="12" t="str">
        <f>IFERROR(__xludf.DUMMYFUNCTION("""COMPUTED_VALUE"""),"natalie.attoh@chanel.com")</f>
        <v>natalie.attoh@chanel.com</v>
      </c>
      <c r="F606" s="12" t="str">
        <f>IFERROR(__xludf.DUMMYFUNCTION("""COMPUTED_VALUE"""),"Executive Sponsor")</f>
        <v>Executive Sponsor</v>
      </c>
    </row>
    <row r="607">
      <c r="A607" s="12" t="str">
        <f>IFERROR(__xludf.DUMMYFUNCTION("""COMPUTED_VALUE"""),"a0lVT0000064lGrYAI")</f>
        <v>a0lVT0000064lGrYAI</v>
      </c>
      <c r="B607" s="12" t="str">
        <f>IFERROR(__xludf.DUMMYFUNCTION("""COMPUTED_VALUE"""),"a0rVT000012UU8fYAG")</f>
        <v>a0rVT000012UU8fYAG</v>
      </c>
      <c r="C607" s="12" t="str">
        <f>IFERROR(__xludf.DUMMYFUNCTION("""COMPUTED_VALUE"""),"0034X00003BmlnPQAR")</f>
        <v>0034X00003BmlnPQAR</v>
      </c>
      <c r="D607" s="12" t="str">
        <f>IFERROR(__xludf.DUMMYFUNCTION("""COMPUTED_VALUE"""),"Natalie Attoh")</f>
        <v>Natalie Attoh</v>
      </c>
      <c r="E607" s="12" t="str">
        <f>IFERROR(__xludf.DUMMYFUNCTION("""COMPUTED_VALUE"""),"natalie.attoh@chanel.com")</f>
        <v>natalie.attoh@chanel.com</v>
      </c>
      <c r="F607" s="12" t="str">
        <f>IFERROR(__xludf.DUMMYFUNCTION("""COMPUTED_VALUE"""),"Project Manager [Customer]")</f>
        <v>Project Manager [Customer]</v>
      </c>
    </row>
    <row r="608">
      <c r="A608" s="12" t="str">
        <f>IFERROR(__xludf.DUMMYFUNCTION("""COMPUTED_VALUE"""),"a0lVT0000064vx7YAA")</f>
        <v>a0lVT0000064vx7YAA</v>
      </c>
      <c r="B608" s="12" t="str">
        <f>IFERROR(__xludf.DUMMYFUNCTION("""COMPUTED_VALUE"""),"a0rVT000012UU8fYAG")</f>
        <v>a0rVT000012UU8fYAG</v>
      </c>
      <c r="C608" s="12" t="str">
        <f>IFERROR(__xludf.DUMMYFUNCTION("""COMPUTED_VALUE"""),"0034X00003EtGr8QAF")</f>
        <v>0034X00003EtGr8QAF</v>
      </c>
      <c r="D608" s="12" t="str">
        <f>IFERROR(__xludf.DUMMYFUNCTION("""COMPUTED_VALUE"""),"Aaron Barnes")</f>
        <v>Aaron Barnes</v>
      </c>
      <c r="E608" s="12" t="str">
        <f>IFERROR(__xludf.DUMMYFUNCTION("""COMPUTED_VALUE"""),"aaron.barnes@workday.com")</f>
        <v>aaron.barnes@workday.com</v>
      </c>
      <c r="F608" s="12" t="str">
        <f>IFERROR(__xludf.DUMMYFUNCTION("""COMPUTED_VALUE"""),"Deployment Sponsor")</f>
        <v>Deployment Sponsor</v>
      </c>
    </row>
    <row r="609">
      <c r="A609" s="12" t="str">
        <f>IFERROR(__xludf.DUMMYFUNCTION("""COMPUTED_VALUE"""),"a0lVT000005snIbYAI")</f>
        <v>a0lVT000005snIbYAI</v>
      </c>
      <c r="B609" s="12" t="str">
        <f>IFERROR(__xludf.DUMMYFUNCTION("""COMPUTED_VALUE"""),"a0rVT000012UU8fYAG")</f>
        <v>a0rVT000012UU8fYAG</v>
      </c>
      <c r="C609" s="12" t="str">
        <f>IFERROR(__xludf.DUMMYFUNCTION("""COMPUTED_VALUE"""),"003VT00000kOt2UYAS")</f>
        <v>003VT00000kOt2UYAS</v>
      </c>
      <c r="D609" s="12" t="str">
        <f>IFERROR(__xludf.DUMMYFUNCTION("""COMPUTED_VALUE"""),"Tim Le Maire")</f>
        <v>Tim Le Maire</v>
      </c>
      <c r="E609" s="12" t="str">
        <f>IFERROR(__xludf.DUMMYFUNCTION("""COMPUTED_VALUE"""),"tim.lemaire@workday.com")</f>
        <v>tim.lemaire@workday.com</v>
      </c>
      <c r="F609" s="12" t="str">
        <f>IFERROR(__xludf.DUMMYFUNCTION("""COMPUTED_VALUE"""),"Engagement Manager [Primary]")</f>
        <v>Engagement Manager [Primary]</v>
      </c>
    </row>
    <row r="610">
      <c r="A610" s="12" t="str">
        <f>IFERROR(__xludf.DUMMYFUNCTION("""COMPUTED_VALUE"""),"a0lVT000005mYAzYAM")</f>
        <v>a0lVT000005mYAzYAM</v>
      </c>
      <c r="B610" s="12" t="str">
        <f>IFERROR(__xludf.DUMMYFUNCTION("""COMPUTED_VALUE"""),"a0rVT000012UlmDYAS")</f>
        <v>a0rVT000012UlmDYAS</v>
      </c>
      <c r="C610" s="12" t="str">
        <f>IFERROR(__xludf.DUMMYFUNCTION("""COMPUTED_VALUE"""),"003VT00000fcE3zYAE")</f>
        <v>003VT00000fcE3zYAE</v>
      </c>
      <c r="D610" s="12" t="str">
        <f>IFERROR(__xludf.DUMMYFUNCTION("""COMPUTED_VALUE"""),"Taylor Mitchell")</f>
        <v>Taylor Mitchell</v>
      </c>
      <c r="E610" s="12" t="str">
        <f>IFERROR(__xludf.DUMMYFUNCTION("""COMPUTED_VALUE"""),"taylor.mitchell@workday.com")</f>
        <v>taylor.mitchell@workday.com</v>
      </c>
      <c r="F610" s="12" t="str">
        <f>IFERROR(__xludf.DUMMYFUNCTION("""COMPUTED_VALUE"""),"Engagement Manager [Primary]")</f>
        <v>Engagement Manager [Primary]</v>
      </c>
    </row>
    <row r="611">
      <c r="A611" s="12" t="str">
        <f>IFERROR(__xludf.DUMMYFUNCTION("""COMPUTED_VALUE"""),"a0lVT000005znH3YAI")</f>
        <v>a0lVT000005znH3YAI</v>
      </c>
      <c r="B611" s="12" t="str">
        <f>IFERROR(__xludf.DUMMYFUNCTION("""COMPUTED_VALUE"""),"a0rVT000012UlmDYAS")</f>
        <v>a0rVT000012UlmDYAS</v>
      </c>
      <c r="C611" s="12" t="str">
        <f>IFERROR(__xludf.DUMMYFUNCTION("""COMPUTED_VALUE"""),"0034X00003EtGr8QAF")</f>
        <v>0034X00003EtGr8QAF</v>
      </c>
      <c r="D611" s="12" t="str">
        <f>IFERROR(__xludf.DUMMYFUNCTION("""COMPUTED_VALUE"""),"Aaron Barnes")</f>
        <v>Aaron Barnes</v>
      </c>
      <c r="E611" s="12" t="str">
        <f>IFERROR(__xludf.DUMMYFUNCTION("""COMPUTED_VALUE"""),"aaron.barnes@workday.com")</f>
        <v>aaron.barnes@workday.com</v>
      </c>
      <c r="F611" s="12" t="str">
        <f>IFERROR(__xludf.DUMMYFUNCTION("""COMPUTED_VALUE"""),"Deployment Sponsor")</f>
        <v>Deployment Sponsor</v>
      </c>
    </row>
    <row r="612">
      <c r="A612" s="12" t="str">
        <f>IFERROR(__xludf.DUMMYFUNCTION("""COMPUTED_VALUE"""),"a0lVT000005wswPYAQ")</f>
        <v>a0lVT000005wswPYAQ</v>
      </c>
      <c r="B612" s="12" t="str">
        <f>IFERROR(__xludf.DUMMYFUNCTION("""COMPUTED_VALUE"""),"a0rVT000012UlmDYAS")</f>
        <v>a0rVT000012UlmDYAS</v>
      </c>
      <c r="C612" s="12" t="str">
        <f>IFERROR(__xludf.DUMMYFUNCTION("""COMPUTED_VALUE"""),"0038000002K1a8QAAR")</f>
        <v>0038000002K1a8QAAR</v>
      </c>
      <c r="D612" s="12" t="str">
        <f>IFERROR(__xludf.DUMMYFUNCTION("""COMPUTED_VALUE"""),"George Mathew")</f>
        <v>George Mathew</v>
      </c>
      <c r="E612" s="12" t="str">
        <f>IFERROR(__xludf.DUMMYFUNCTION("""COMPUTED_VALUE"""),"gmathew@levi.com")</f>
        <v>gmathew@levi.com</v>
      </c>
      <c r="F612" s="12" t="str">
        <f>IFERROR(__xludf.DUMMYFUNCTION("""COMPUTED_VALUE"""),"Project Manager [Customer]")</f>
        <v>Project Manager [Customer]</v>
      </c>
    </row>
    <row r="613">
      <c r="A613" s="12" t="str">
        <f>IFERROR(__xludf.DUMMYFUNCTION("""COMPUTED_VALUE"""),"a0lVT000005wswQYAQ")</f>
        <v>a0lVT000005wswQYAQ</v>
      </c>
      <c r="B613" s="12" t="str">
        <f>IFERROR(__xludf.DUMMYFUNCTION("""COMPUTED_VALUE"""),"a0rVT000012UlmDYAS")</f>
        <v>a0rVT000012UlmDYAS</v>
      </c>
      <c r="C613" s="12" t="str">
        <f>IFERROR(__xludf.DUMMYFUNCTION("""COMPUTED_VALUE"""),"00380000024KOf8AAG")</f>
        <v>00380000024KOf8AAG</v>
      </c>
      <c r="D613" s="12" t="str">
        <f>IFERROR(__xludf.DUMMYFUNCTION("""COMPUTED_VALUE"""),"Scott White")</f>
        <v>Scott White</v>
      </c>
      <c r="E613" s="12" t="str">
        <f>IFERROR(__xludf.DUMMYFUNCTION("""COMPUTED_VALUE"""),"swhite@levi.com")</f>
        <v>swhite@levi.com</v>
      </c>
      <c r="F613" s="12" t="str">
        <f>IFERROR(__xludf.DUMMYFUNCTION("""COMPUTED_VALUE"""),"Executive Sponsor")</f>
        <v>Executive Sponsor</v>
      </c>
    </row>
    <row r="614">
      <c r="A614" s="12" t="str">
        <f>IFERROR(__xludf.DUMMYFUNCTION("""COMPUTED_VALUE"""),"a0lVT000005o56TYAQ")</f>
        <v>a0lVT000005o56TYAQ</v>
      </c>
      <c r="B614" s="12" t="str">
        <f>IFERROR(__xludf.DUMMYFUNCTION("""COMPUTED_VALUE"""),"a0rVT000012UmbqYAC")</f>
        <v>a0rVT000012UmbqYAC</v>
      </c>
      <c r="C614" s="12" t="str">
        <f>IFERROR(__xludf.DUMMYFUNCTION("""COMPUTED_VALUE"""),"0038000001NX00ZAAT")</f>
        <v>0038000001NX00ZAAT</v>
      </c>
      <c r="D614" s="12" t="str">
        <f>IFERROR(__xludf.DUMMYFUNCTION("""COMPUTED_VALUE"""),"Wendi Gibbs")</f>
        <v>Wendi Gibbs</v>
      </c>
      <c r="E614" s="12" t="str">
        <f>IFERROR(__xludf.DUMMYFUNCTION("""COMPUTED_VALUE"""),"wendi.gibbs@workday.com")</f>
        <v>wendi.gibbs@workday.com</v>
      </c>
      <c r="F614" s="12" t="str">
        <f>IFERROR(__xludf.DUMMYFUNCTION("""COMPUTED_VALUE"""),"Engagement Manager [Primary]")</f>
        <v>Engagement Manager [Primary]</v>
      </c>
    </row>
    <row r="615">
      <c r="A615" s="12" t="str">
        <f>IFERROR(__xludf.DUMMYFUNCTION("""COMPUTED_VALUE"""),"a0lVT000006JC6rYAG")</f>
        <v>a0lVT000006JC6rYAG</v>
      </c>
      <c r="B615" s="12" t="str">
        <f>IFERROR(__xludf.DUMMYFUNCTION("""COMPUTED_VALUE"""),"a0rVT000012UmdXYAS")</f>
        <v>a0rVT000012UmdXYAS</v>
      </c>
      <c r="C615" s="12" t="str">
        <f>IFERROR(__xludf.DUMMYFUNCTION("""COMPUTED_VALUE"""),"0038000001sCnOiAAK")</f>
        <v>0038000001sCnOiAAK</v>
      </c>
      <c r="D615" s="12" t="str">
        <f>IFERROR(__xludf.DUMMYFUNCTION("""COMPUTED_VALUE"""),"Nate Allen")</f>
        <v>Nate Allen</v>
      </c>
      <c r="E615" s="12" t="str">
        <f>IFERROR(__xludf.DUMMYFUNCTION("""COMPUTED_VALUE"""),"nate.allen2@workday.com")</f>
        <v>nate.allen2@workday.com</v>
      </c>
      <c r="F615" s="12" t="str">
        <f>IFERROR(__xludf.DUMMYFUNCTION("""COMPUTED_VALUE"""),"Deployment Sponsor")</f>
        <v>Deployment Sponsor</v>
      </c>
    </row>
    <row r="616">
      <c r="A616" s="12" t="str">
        <f>IFERROR(__xludf.DUMMYFUNCTION("""COMPUTED_VALUE"""),"a0lVT000006JC8TYAW")</f>
        <v>a0lVT000006JC8TYAW</v>
      </c>
      <c r="B616" s="12" t="str">
        <f>IFERROR(__xludf.DUMMYFUNCTION("""COMPUTED_VALUE"""),"a0rVT000012UmdXYAS")</f>
        <v>a0rVT000012UmdXYAS</v>
      </c>
      <c r="C616" s="12" t="str">
        <f>IFERROR(__xludf.DUMMYFUNCTION("""COMPUTED_VALUE"""),"003VT00000ZJozRYAT")</f>
        <v>003VT00000ZJozRYAT</v>
      </c>
      <c r="D616" s="12" t="str">
        <f>IFERROR(__xludf.DUMMYFUNCTION("""COMPUTED_VALUE"""),"Evan Romero")</f>
        <v>Evan Romero</v>
      </c>
      <c r="E616" s="12" t="str">
        <f>IFERROR(__xludf.DUMMYFUNCTION("""COMPUTED_VALUE"""),"evan_romero@rbwlogistics.com")</f>
        <v>evan_romero@rbwlogistics.com</v>
      </c>
      <c r="F616" s="12" t="str">
        <f>IFERROR(__xludf.DUMMYFUNCTION("""COMPUTED_VALUE"""),"Project Manager [Customer]")</f>
        <v>Project Manager [Customer]</v>
      </c>
    </row>
    <row r="617">
      <c r="A617" s="12" t="str">
        <f>IFERROR(__xludf.DUMMYFUNCTION("""COMPUTED_VALUE"""),"a0lVT000006JCMzYAO")</f>
        <v>a0lVT000006JCMzYAO</v>
      </c>
      <c r="B617" s="12" t="str">
        <f>IFERROR(__xludf.DUMMYFUNCTION("""COMPUTED_VALUE"""),"a0rVT000012UmdXYAS")</f>
        <v>a0rVT000012UmdXYAS</v>
      </c>
      <c r="C617" s="12" t="str">
        <f>IFERROR(__xludf.DUMMYFUNCTION("""COMPUTED_VALUE"""),"003VT00000qBoZpYAK")</f>
        <v>003VT00000qBoZpYAK</v>
      </c>
      <c r="D617" s="12" t="str">
        <f>IFERROR(__xludf.DUMMYFUNCTION("""COMPUTED_VALUE"""),"Evan Romero")</f>
        <v>Evan Romero</v>
      </c>
      <c r="E617" s="12" t="str">
        <f>IFERROR(__xludf.DUMMYFUNCTION("""COMPUTED_VALUE"""),"eromero@rbwlogistics.com")</f>
        <v>eromero@rbwlogistics.com</v>
      </c>
      <c r="F617" s="12" t="str">
        <f>IFERROR(__xludf.DUMMYFUNCTION("""COMPUTED_VALUE"""),"Executive Sponsor")</f>
        <v>Executive Sponsor</v>
      </c>
    </row>
    <row r="618">
      <c r="A618" s="12" t="str">
        <f>IFERROR(__xludf.DUMMYFUNCTION("""COMPUTED_VALUE"""),"a0lVT000005pB09YAE")</f>
        <v>a0lVT000005pB09YAE</v>
      </c>
      <c r="B618" s="12" t="str">
        <f>IFERROR(__xludf.DUMMYFUNCTION("""COMPUTED_VALUE"""),"a0rVT000012UmdXYAS")</f>
        <v>a0rVT000012UmdXYAS</v>
      </c>
      <c r="C618" s="12" t="str">
        <f>IFERROR(__xludf.DUMMYFUNCTION("""COMPUTED_VALUE"""),"0034X000030R9WaQAK")</f>
        <v>0034X000030R9WaQAK</v>
      </c>
      <c r="D618" s="12" t="str">
        <f>IFERROR(__xludf.DUMMYFUNCTION("""COMPUTED_VALUE"""),"Alexander Schell")</f>
        <v>Alexander Schell</v>
      </c>
      <c r="E618" s="12" t="str">
        <f>IFERROR(__xludf.DUMMYFUNCTION("""COMPUTED_VALUE"""),"alexander.schell@workday.com")</f>
        <v>alexander.schell@workday.com</v>
      </c>
      <c r="F618" s="12" t="str">
        <f>IFERROR(__xludf.DUMMYFUNCTION("""COMPUTED_VALUE"""),"Engagement Manager [Primary]")</f>
        <v>Engagement Manager [Primary]</v>
      </c>
    </row>
    <row r="619">
      <c r="A619" s="12" t="str">
        <f>IFERROR(__xludf.DUMMYFUNCTION("""COMPUTED_VALUE"""),"a0lVT0000061igIYAQ")</f>
        <v>a0lVT0000061igIYAQ</v>
      </c>
      <c r="B619" s="12" t="str">
        <f>IFERROR(__xludf.DUMMYFUNCTION("""COMPUTED_VALUE"""),"a0rVT000012UqCUYA0")</f>
        <v>a0rVT000012UqCUYA0</v>
      </c>
      <c r="C619" s="12" t="str">
        <f>IFERROR(__xludf.DUMMYFUNCTION("""COMPUTED_VALUE"""),"003VT00000fc4sfYAA")</f>
        <v>003VT00000fc4sfYAA</v>
      </c>
      <c r="D619" s="12" t="str">
        <f>IFERROR(__xludf.DUMMYFUNCTION("""COMPUTED_VALUE"""),"Katie Nehrenz")</f>
        <v>Katie Nehrenz</v>
      </c>
      <c r="E619" s="12" t="str">
        <f>IFERROR(__xludf.DUMMYFUNCTION("""COMPUTED_VALUE"""),"katie.nehrenz@workday.com")</f>
        <v>katie.nehrenz@workday.com</v>
      </c>
      <c r="F619" s="12" t="str">
        <f>IFERROR(__xludf.DUMMYFUNCTION("""COMPUTED_VALUE"""),"Engagement Manager [Primary]")</f>
        <v>Engagement Manager [Primary]</v>
      </c>
    </row>
    <row r="620">
      <c r="A620" s="12" t="str">
        <f>IFERROR(__xludf.DUMMYFUNCTION("""COMPUTED_VALUE"""),"a0lVT0000061igHYAQ")</f>
        <v>a0lVT0000061igHYAQ</v>
      </c>
      <c r="B620" s="12" t="str">
        <f>IFERROR(__xludf.DUMMYFUNCTION("""COMPUTED_VALUE"""),"a0rVT000012UqCUYA0")</f>
        <v>a0rVT000012UqCUYA0</v>
      </c>
      <c r="C620" s="12" t="str">
        <f>IFERROR(__xludf.DUMMYFUNCTION("""COMPUTED_VALUE"""),"0034X00003EtGr8QAF")</f>
        <v>0034X00003EtGr8QAF</v>
      </c>
      <c r="D620" s="12" t="str">
        <f>IFERROR(__xludf.DUMMYFUNCTION("""COMPUTED_VALUE"""),"Aaron Barnes")</f>
        <v>Aaron Barnes</v>
      </c>
      <c r="E620" s="12" t="str">
        <f>IFERROR(__xludf.DUMMYFUNCTION("""COMPUTED_VALUE"""),"aaron.barnes@workday.com")</f>
        <v>aaron.barnes@workday.com</v>
      </c>
      <c r="F620" s="12" t="str">
        <f>IFERROR(__xludf.DUMMYFUNCTION("""COMPUTED_VALUE"""),"Deployment Sponsor")</f>
        <v>Deployment Sponsor</v>
      </c>
    </row>
    <row r="621">
      <c r="A621" s="12" t="str">
        <f>IFERROR(__xludf.DUMMYFUNCTION("""COMPUTED_VALUE"""),"a0lVT000006CftZYAS")</f>
        <v>a0lVT000006CftZYAS</v>
      </c>
      <c r="B621" s="12" t="str">
        <f>IFERROR(__xludf.DUMMYFUNCTION("""COMPUTED_VALUE"""),"a0rVT000012UqXUYA0")</f>
        <v>a0rVT000012UqXUYA0</v>
      </c>
      <c r="C621" s="12" t="str">
        <f>IFERROR(__xludf.DUMMYFUNCTION("""COMPUTED_VALUE"""),"003VT00000fc4sgYAA")</f>
        <v>003VT00000fc4sgYAA</v>
      </c>
      <c r="D621" s="12" t="str">
        <f>IFERROR(__xludf.DUMMYFUNCTION("""COMPUTED_VALUE"""),"Kat Evans")</f>
        <v>Kat Evans</v>
      </c>
      <c r="E621" s="12" t="str">
        <f>IFERROR(__xludf.DUMMYFUNCTION("""COMPUTED_VALUE"""),"kat.matasova@workday.com")</f>
        <v>kat.matasova@workday.com</v>
      </c>
      <c r="F621" s="12" t="str">
        <f>IFERROR(__xludf.DUMMYFUNCTION("""COMPUTED_VALUE"""),"Engagement Manager [Primary]")</f>
        <v>Engagement Manager [Primary]</v>
      </c>
    </row>
    <row r="622">
      <c r="A622" s="12" t="str">
        <f>IFERROR(__xludf.DUMMYFUNCTION("""COMPUTED_VALUE"""),"a0lVT000006J5zpYAC")</f>
        <v>a0lVT000006J5zpYAC</v>
      </c>
      <c r="B622" s="12" t="str">
        <f>IFERROR(__xludf.DUMMYFUNCTION("""COMPUTED_VALUE"""),"a0rVT000012UqXUYA0")</f>
        <v>a0rVT000012UqXUYA0</v>
      </c>
      <c r="C622" s="12" t="str">
        <f>IFERROR(__xludf.DUMMYFUNCTION("""COMPUTED_VALUE"""),"0034X00003EtGr8QAF")</f>
        <v>0034X00003EtGr8QAF</v>
      </c>
      <c r="D622" s="12" t="str">
        <f>IFERROR(__xludf.DUMMYFUNCTION("""COMPUTED_VALUE"""),"Aaron Barnes")</f>
        <v>Aaron Barnes</v>
      </c>
      <c r="E622" s="12" t="str">
        <f>IFERROR(__xludf.DUMMYFUNCTION("""COMPUTED_VALUE"""),"aaron.barnes@workday.com")</f>
        <v>aaron.barnes@workday.com</v>
      </c>
      <c r="F622" s="12" t="str">
        <f>IFERROR(__xludf.DUMMYFUNCTION("""COMPUTED_VALUE"""),"Deployment Sponsor")</f>
        <v>Deployment Sponsor</v>
      </c>
    </row>
    <row r="623">
      <c r="A623" s="12" t="str">
        <f>IFERROR(__xludf.DUMMYFUNCTION("""COMPUTED_VALUE"""),"a0lVT000006OD77YAG")</f>
        <v>a0lVT000006OD77YAG</v>
      </c>
      <c r="B623" s="12" t="str">
        <f>IFERROR(__xludf.DUMMYFUNCTION("""COMPUTED_VALUE"""),"a0rVT000012UqXUYA0")</f>
        <v>a0rVT000012UqXUYA0</v>
      </c>
      <c r="C623" s="12" t="str">
        <f>IFERROR(__xludf.DUMMYFUNCTION("""COMPUTED_VALUE"""),"0034X000038g1KxQAI")</f>
        <v>0034X000038g1KxQAI</v>
      </c>
      <c r="D623" s="12" t="str">
        <f>IFERROR(__xludf.DUMMYFUNCTION("""COMPUTED_VALUE"""),"Nicole Baker")</f>
        <v>Nicole Baker</v>
      </c>
      <c r="E623" s="12" t="str">
        <f>IFERROR(__xludf.DUMMYFUNCTION("""COMPUTED_VALUE"""),"nbaker@diligent.com")</f>
        <v>nbaker@diligent.com</v>
      </c>
      <c r="F623" s="12" t="str">
        <f>IFERROR(__xludf.DUMMYFUNCTION("""COMPUTED_VALUE"""),"Project Manager [Customer]")</f>
        <v>Project Manager [Customer]</v>
      </c>
    </row>
    <row r="624">
      <c r="A624" s="12" t="str">
        <f>IFERROR(__xludf.DUMMYFUNCTION("""COMPUTED_VALUE"""),"a0lVT000006J5q9YAC")</f>
        <v>a0lVT000006J5q9YAC</v>
      </c>
      <c r="B624" s="12" t="str">
        <f>IFERROR(__xludf.DUMMYFUNCTION("""COMPUTED_VALUE"""),"a0rVT000012UqXUYA0")</f>
        <v>a0rVT000012UqXUYA0</v>
      </c>
      <c r="C624" s="12" t="str">
        <f>IFERROR(__xludf.DUMMYFUNCTION("""COMPUTED_VALUE"""),"0034X000038g1KxQAI")</f>
        <v>0034X000038g1KxQAI</v>
      </c>
      <c r="D624" s="12" t="str">
        <f>IFERROR(__xludf.DUMMYFUNCTION("""COMPUTED_VALUE"""),"Nicole Baker")</f>
        <v>Nicole Baker</v>
      </c>
      <c r="E624" s="12" t="str">
        <f>IFERROR(__xludf.DUMMYFUNCTION("""COMPUTED_VALUE"""),"nbaker@diligent.com")</f>
        <v>nbaker@diligent.com</v>
      </c>
      <c r="F624" s="12" t="str">
        <f>IFERROR(__xludf.DUMMYFUNCTION("""COMPUTED_VALUE"""),"Executive Sponsor")</f>
        <v>Executive Sponsor</v>
      </c>
    </row>
    <row r="625">
      <c r="A625" s="12" t="str">
        <f>IFERROR(__xludf.DUMMYFUNCTION("""COMPUTED_VALUE"""),"a0lVT000005mVbJYAU")</f>
        <v>a0lVT000005mVbJYAU</v>
      </c>
      <c r="B625" s="12" t="str">
        <f>IFERROR(__xludf.DUMMYFUNCTION("""COMPUTED_VALUE"""),"a0rVT000012UrOiYAK")</f>
        <v>a0rVT000012UrOiYAK</v>
      </c>
      <c r="C625" s="12" t="str">
        <f>IFERROR(__xludf.DUMMYFUNCTION("""COMPUTED_VALUE"""),"00380000024qaNvAAI")</f>
        <v>00380000024qaNvAAI</v>
      </c>
      <c r="D625" s="12" t="str">
        <f>IFERROR(__xludf.DUMMYFUNCTION("""COMPUTED_VALUE"""),"Doris Pulsifer")</f>
        <v>Doris Pulsifer</v>
      </c>
      <c r="E625" s="12" t="str">
        <f>IFERROR(__xludf.DUMMYFUNCTION("""COMPUTED_VALUE"""),"doris.pulsifer@workday.com")</f>
        <v>doris.pulsifer@workday.com</v>
      </c>
      <c r="F625" s="12" t="str">
        <f>IFERROR(__xludf.DUMMYFUNCTION("""COMPUTED_VALUE"""),"Engagement Manager [Primary]")</f>
        <v>Engagement Manager [Primary]</v>
      </c>
    </row>
    <row r="626">
      <c r="A626" s="12" t="str">
        <f>IFERROR(__xludf.DUMMYFUNCTION("""COMPUTED_VALUE"""),"a0lVT000005mVeXYAU")</f>
        <v>a0lVT000005mVeXYAU</v>
      </c>
      <c r="B626" s="12" t="str">
        <f>IFERROR(__xludf.DUMMYFUNCTION("""COMPUTED_VALUE"""),"a0rVT000012UrOiYAK")</f>
        <v>a0rVT000012UrOiYAK</v>
      </c>
      <c r="C626" s="12" t="str">
        <f>IFERROR(__xludf.DUMMYFUNCTION("""COMPUTED_VALUE"""),"0031B00002gf42xQAA")</f>
        <v>0031B00002gf42xQAA</v>
      </c>
      <c r="D626" s="12" t="str">
        <f>IFERROR(__xludf.DUMMYFUNCTION("""COMPUTED_VALUE"""),"John Jaent")</f>
        <v>John Jaent</v>
      </c>
      <c r="E626" s="12" t="str">
        <f>IFERROR(__xludf.DUMMYFUNCTION("""COMPUTED_VALUE"""),"john.jaent@workday.com")</f>
        <v>john.jaent@workday.com</v>
      </c>
      <c r="F626" s="12" t="str">
        <f>IFERROR(__xludf.DUMMYFUNCTION("""COMPUTED_VALUE"""),"Engagement Manager [Primary]")</f>
        <v>Engagement Manager [Primary]</v>
      </c>
    </row>
    <row r="627">
      <c r="A627" s="12" t="str">
        <f>IFERROR(__xludf.DUMMYFUNCTION("""COMPUTED_VALUE"""),"a0lVT000005mVhlYAE")</f>
        <v>a0lVT000005mVhlYAE</v>
      </c>
      <c r="B627" s="12" t="str">
        <f>IFERROR(__xludf.DUMMYFUNCTION("""COMPUTED_VALUE"""),"a0rVT000012UrOiYAK")</f>
        <v>a0rVT000012UrOiYAK</v>
      </c>
      <c r="C627" s="12" t="str">
        <f>IFERROR(__xludf.DUMMYFUNCTION("""COMPUTED_VALUE"""),"0038000001k8tj4AAA")</f>
        <v>0038000001k8tj4AAA</v>
      </c>
      <c r="D627" s="12" t="str">
        <f>IFERROR(__xludf.DUMMYFUNCTION("""COMPUTED_VALUE"""),"Zohaib Sheikh")</f>
        <v>Zohaib Sheikh</v>
      </c>
      <c r="E627" s="12" t="str">
        <f>IFERROR(__xludf.DUMMYFUNCTION("""COMPUTED_VALUE"""),"zohaib.sheikh@workday.com")</f>
        <v>zohaib.sheikh@workday.com</v>
      </c>
      <c r="F627" s="12" t="str">
        <f>IFERROR(__xludf.DUMMYFUNCTION("""COMPUTED_VALUE"""),"Deployment Sponsor")</f>
        <v>Deployment Sponsor</v>
      </c>
    </row>
    <row r="628">
      <c r="A628" s="12" t="str">
        <f>IFERROR(__xludf.DUMMYFUNCTION("""COMPUTED_VALUE"""),"a0lVT000006Oc8kYAC")</f>
        <v>a0lVT000006Oc8kYAC</v>
      </c>
      <c r="B628" s="12" t="str">
        <f>IFERROR(__xludf.DUMMYFUNCTION("""COMPUTED_VALUE"""),"a0rVT000012UsNtYAK")</f>
        <v>a0rVT000012UsNtYAK</v>
      </c>
      <c r="C628" s="12" t="str">
        <f>IFERROR(__xludf.DUMMYFUNCTION("""COMPUTED_VALUE"""),"0034X00003S9aXGQAZ")</f>
        <v>0034X00003S9aXGQAZ</v>
      </c>
      <c r="D628" s="12" t="str">
        <f>IFERROR(__xludf.DUMMYFUNCTION("""COMPUTED_VALUE"""),"Melissa Castaneda")</f>
        <v>Melissa Castaneda</v>
      </c>
      <c r="E628" s="12" t="str">
        <f>IFERROR(__xludf.DUMMYFUNCTION("""COMPUTED_VALUE"""),"melissa.castaneda@patagonia.com")</f>
        <v>melissa.castaneda@patagonia.com</v>
      </c>
      <c r="F628" s="12" t="str">
        <f>IFERROR(__xludf.DUMMYFUNCTION("""COMPUTED_VALUE"""),"Project Manager [Customer]")</f>
        <v>Project Manager [Customer]</v>
      </c>
    </row>
    <row r="629">
      <c r="A629" s="12" t="str">
        <f>IFERROR(__xludf.DUMMYFUNCTION("""COMPUTED_VALUE"""),"a0lVT000005mXy5YAE")</f>
        <v>a0lVT000005mXy5YAE</v>
      </c>
      <c r="B629" s="12" t="str">
        <f>IFERROR(__xludf.DUMMYFUNCTION("""COMPUTED_VALUE"""),"a0rVT000012UsNtYAK")</f>
        <v>a0rVT000012UsNtYAK</v>
      </c>
      <c r="C629" s="12" t="str">
        <f>IFERROR(__xludf.DUMMYFUNCTION("""COMPUTED_VALUE"""),"003VT00000VGvjdYAD")</f>
        <v>003VT00000VGvjdYAD</v>
      </c>
      <c r="D629" s="12" t="str">
        <f>IFERROR(__xludf.DUMMYFUNCTION("""COMPUTED_VALUE"""),"William Porras")</f>
        <v>William Porras</v>
      </c>
      <c r="E629" s="12" t="str">
        <f>IFERROR(__xludf.DUMMYFUNCTION("""COMPUTED_VALUE"""),"william.porras@workday.com")</f>
        <v>william.porras@workday.com</v>
      </c>
      <c r="F629" s="12" t="str">
        <f>IFERROR(__xludf.DUMMYFUNCTION("""COMPUTED_VALUE"""),"Engagement Manager [Primary]")</f>
        <v>Engagement Manager [Primary]</v>
      </c>
    </row>
    <row r="630">
      <c r="A630" s="12" t="str">
        <f>IFERROR(__xludf.DUMMYFUNCTION("""COMPUTED_VALUE"""),"a0lVT000006Oc8lYAC")</f>
        <v>a0lVT000006Oc8lYAC</v>
      </c>
      <c r="B630" s="12" t="str">
        <f>IFERROR(__xludf.DUMMYFUNCTION("""COMPUTED_VALUE"""),"a0rVT000012UsNtYAK")</f>
        <v>a0rVT000012UsNtYAK</v>
      </c>
      <c r="C630" s="12" t="str">
        <f>IFERROR(__xludf.DUMMYFUNCTION("""COMPUTED_VALUE"""),"003VT00000bFG5ZYAW")</f>
        <v>003VT00000bFG5ZYAW</v>
      </c>
      <c r="D630" s="12" t="str">
        <f>IFERROR(__xludf.DUMMYFUNCTION("""COMPUTED_VALUE"""),"Corrina Stasik")</f>
        <v>Corrina Stasik</v>
      </c>
      <c r="E630" s="12" t="str">
        <f>IFERROR(__xludf.DUMMYFUNCTION("""COMPUTED_VALUE"""),"corrina.stasik@patagonia.com")</f>
        <v>corrina.stasik@patagonia.com</v>
      </c>
      <c r="F630" s="12" t="str">
        <f>IFERROR(__xludf.DUMMYFUNCTION("""COMPUTED_VALUE"""),"Executive Sponsor")</f>
        <v>Executive Sponsor</v>
      </c>
    </row>
    <row r="631">
      <c r="A631" s="12" t="str">
        <f>IFERROR(__xludf.DUMMYFUNCTION("""COMPUTED_VALUE"""),"a0lVT000006Oc8jYAC")</f>
        <v>a0lVT000006Oc8jYAC</v>
      </c>
      <c r="B631" s="12" t="str">
        <f>IFERROR(__xludf.DUMMYFUNCTION("""COMPUTED_VALUE"""),"a0rVT000012UsNtYAK")</f>
        <v>a0rVT000012UsNtYAK</v>
      </c>
      <c r="C631" s="12" t="str">
        <f>IFERROR(__xludf.DUMMYFUNCTION("""COMPUTED_VALUE"""),"0038000001i7N4rAAE")</f>
        <v>0038000001i7N4rAAE</v>
      </c>
      <c r="D631" s="12" t="str">
        <f>IFERROR(__xludf.DUMMYFUNCTION("""COMPUTED_VALUE"""),"Val Tsvetkov")</f>
        <v>Val Tsvetkov</v>
      </c>
      <c r="E631" s="12" t="str">
        <f>IFERROR(__xludf.DUMMYFUNCTION("""COMPUTED_VALUE"""),"val.tsvetkov@workday.com")</f>
        <v>val.tsvetkov@workday.com</v>
      </c>
      <c r="F631" s="12" t="str">
        <f>IFERROR(__xludf.DUMMYFUNCTION("""COMPUTED_VALUE"""),"Deployment Sponsor")</f>
        <v>Deployment Sponsor</v>
      </c>
    </row>
    <row r="632">
      <c r="A632" s="12" t="str">
        <f>IFERROR(__xludf.DUMMYFUNCTION("""COMPUTED_VALUE"""),"a0lVT000005mXtFYAU")</f>
        <v>a0lVT000005mXtFYAU</v>
      </c>
      <c r="B632" s="12" t="str">
        <f>IFERROR(__xludf.DUMMYFUNCTION("""COMPUTED_VALUE"""),"a0rVT000012Uu6LYAS")</f>
        <v>a0rVT000012Uu6LYAS</v>
      </c>
      <c r="C632" s="12" t="str">
        <f>IFERROR(__xludf.DUMMYFUNCTION("""COMPUTED_VALUE"""),"0038000002Bsyh3AAB")</f>
        <v>0038000002Bsyh3AAB</v>
      </c>
      <c r="D632" s="12" t="str">
        <f>IFERROR(__xludf.DUMMYFUNCTION("""COMPUTED_VALUE"""),"Carla Posey")</f>
        <v>Carla Posey</v>
      </c>
      <c r="E632" s="12" t="str">
        <f>IFERROR(__xludf.DUMMYFUNCTION("""COMPUTED_VALUE"""),"carla.posey@workday.com")</f>
        <v>carla.posey@workday.com</v>
      </c>
      <c r="F632" s="12" t="str">
        <f>IFERROR(__xludf.DUMMYFUNCTION("""COMPUTED_VALUE"""),"Engagement Manager [Primary]")</f>
        <v>Engagement Manager [Primary]</v>
      </c>
    </row>
    <row r="633">
      <c r="A633" s="12" t="str">
        <f>IFERROR(__xludf.DUMMYFUNCTION("""COMPUTED_VALUE"""),"a0lVT000005zEw4YAE")</f>
        <v>a0lVT000005zEw4YAE</v>
      </c>
      <c r="B633" s="12" t="str">
        <f>IFERROR(__xludf.DUMMYFUNCTION("""COMPUTED_VALUE"""),"a0rVT000012Uu6LYAS")</f>
        <v>a0rVT000012Uu6LYAS</v>
      </c>
      <c r="C633" s="12" t="str">
        <f>IFERROR(__xludf.DUMMYFUNCTION("""COMPUTED_VALUE"""),"0034X00003T0xxhQAB")</f>
        <v>0034X00003T0xxhQAB</v>
      </c>
      <c r="D633" s="12" t="str">
        <f>IFERROR(__xludf.DUMMYFUNCTION("""COMPUTED_VALUE"""),"William Headrick")</f>
        <v>William Headrick</v>
      </c>
      <c r="E633" s="12" t="str">
        <f>IFERROR(__xludf.DUMMYFUNCTION("""COMPUTED_VALUE"""),"william.headrick@clearesult.com")</f>
        <v>william.headrick@clearesult.com</v>
      </c>
      <c r="F633" s="12" t="str">
        <f>IFERROR(__xludf.DUMMYFUNCTION("""COMPUTED_VALUE"""),"Project Manager [Customer]")</f>
        <v>Project Manager [Customer]</v>
      </c>
    </row>
    <row r="634">
      <c r="A634" s="12" t="str">
        <f>IFERROR(__xludf.DUMMYFUNCTION("""COMPUTED_VALUE"""),"a0lVT0000065PjtYAE")</f>
        <v>a0lVT0000065PjtYAE</v>
      </c>
      <c r="B634" s="12" t="str">
        <f>IFERROR(__xludf.DUMMYFUNCTION("""COMPUTED_VALUE"""),"a0rVT000012Uu6LYAS")</f>
        <v>a0rVT000012Uu6LYAS</v>
      </c>
      <c r="C634" s="12" t="str">
        <f>IFERROR(__xludf.DUMMYFUNCTION("""COMPUTED_VALUE"""),"0031B00002iqMZ3QAM")</f>
        <v>0031B00002iqMZ3QAM</v>
      </c>
      <c r="D634" s="12" t="str">
        <f>IFERROR(__xludf.DUMMYFUNCTION("""COMPUTED_VALUE"""),"Erin Smith")</f>
        <v>Erin Smith</v>
      </c>
      <c r="E634" s="12" t="str">
        <f>IFERROR(__xludf.DUMMYFUNCTION("""COMPUTED_VALUE"""),"erin.smith@workday.com")</f>
        <v>erin.smith@workday.com</v>
      </c>
      <c r="F634" s="12" t="str">
        <f>IFERROR(__xludf.DUMMYFUNCTION("""COMPUTED_VALUE"""),"Deployment Sponsor")</f>
        <v>Deployment Sponsor</v>
      </c>
    </row>
    <row r="635">
      <c r="A635" s="12" t="str">
        <f>IFERROR(__xludf.DUMMYFUNCTION("""COMPUTED_VALUE"""),"a0lVT0000065PjuYAE")</f>
        <v>a0lVT0000065PjuYAE</v>
      </c>
      <c r="B635" s="12" t="str">
        <f>IFERROR(__xludf.DUMMYFUNCTION("""COMPUTED_VALUE"""),"a0rVT000012Uu6LYAS")</f>
        <v>a0rVT000012Uu6LYAS</v>
      </c>
      <c r="C635" s="12" t="str">
        <f>IFERROR(__xludf.DUMMYFUNCTION("""COMPUTED_VALUE"""),"0034X00003T0xxhQAB")</f>
        <v>0034X00003T0xxhQAB</v>
      </c>
      <c r="D635" s="12" t="str">
        <f>IFERROR(__xludf.DUMMYFUNCTION("""COMPUTED_VALUE"""),"William Headrick")</f>
        <v>William Headrick</v>
      </c>
      <c r="E635" s="12" t="str">
        <f>IFERROR(__xludf.DUMMYFUNCTION("""COMPUTED_VALUE"""),"william.headrick@clearesult.com")</f>
        <v>william.headrick@clearesult.com</v>
      </c>
      <c r="F635" s="12" t="str">
        <f>IFERROR(__xludf.DUMMYFUNCTION("""COMPUTED_VALUE"""),"Executive Sponsor")</f>
        <v>Executive Sponsor</v>
      </c>
    </row>
    <row r="636">
      <c r="A636" s="12" t="str">
        <f>IFERROR(__xludf.DUMMYFUNCTION("""COMPUTED_VALUE"""),"a0lVT000005qZV3YAM")</f>
        <v>a0lVT000005qZV3YAM</v>
      </c>
      <c r="B636" s="12" t="str">
        <f>IFERROR(__xludf.DUMMYFUNCTION("""COMPUTED_VALUE"""),"a0rVT000012UyI1YAK")</f>
        <v>a0rVT000012UyI1YAK</v>
      </c>
      <c r="C636" s="12" t="str">
        <f>IFERROR(__xludf.DUMMYFUNCTION("""COMPUTED_VALUE"""),"0038000001cCYY3AAO")</f>
        <v>0038000001cCYY3AAO</v>
      </c>
      <c r="D636" s="12" t="str">
        <f>IFERROR(__xludf.DUMMYFUNCTION("""COMPUTED_VALUE"""),"Josh Fairbanks")</f>
        <v>Josh Fairbanks</v>
      </c>
      <c r="E636" s="12" t="str">
        <f>IFERROR(__xludf.DUMMYFUNCTION("""COMPUTED_VALUE"""),"josh.fairbanks@workday.com")</f>
        <v>josh.fairbanks@workday.com</v>
      </c>
      <c r="F636" s="12" t="str">
        <f>IFERROR(__xludf.DUMMYFUNCTION("""COMPUTED_VALUE"""),"Engagement Manager [Primary]")</f>
        <v>Engagement Manager [Primary]</v>
      </c>
    </row>
    <row r="637">
      <c r="A637" s="12" t="str">
        <f>IFERROR(__xludf.DUMMYFUNCTION("""COMPUTED_VALUE"""),"a0lVT000005trnBYAQ")</f>
        <v>a0lVT000005trnBYAQ</v>
      </c>
      <c r="B637" s="12" t="str">
        <f>IFERROR(__xludf.DUMMYFUNCTION("""COMPUTED_VALUE"""),"a0rVT000012V2K1YAK")</f>
        <v>a0rVT000012V2K1YAK</v>
      </c>
      <c r="C637" s="12" t="str">
        <f>IFERROR(__xludf.DUMMYFUNCTION("""COMPUTED_VALUE"""),"0031B00002oKPyoQAG")</f>
        <v>0031B00002oKPyoQAG</v>
      </c>
      <c r="D637" s="12" t="str">
        <f>IFERROR(__xludf.DUMMYFUNCTION("""COMPUTED_VALUE"""),"Clint Maddy")</f>
        <v>Clint Maddy</v>
      </c>
      <c r="E637" s="12" t="str">
        <f>IFERROR(__xludf.DUMMYFUNCTION("""COMPUTED_VALUE"""),"clint.maddy@workday.com")</f>
        <v>clint.maddy@workday.com</v>
      </c>
      <c r="F637" s="12" t="str">
        <f>IFERROR(__xludf.DUMMYFUNCTION("""COMPUTED_VALUE"""),"Engagement Manager [Primary]")</f>
        <v>Engagement Manager [Primary]</v>
      </c>
    </row>
    <row r="638">
      <c r="A638" s="12" t="str">
        <f>IFERROR(__xludf.DUMMYFUNCTION("""COMPUTED_VALUE"""),"a0lVT000006Mxu1YAC")</f>
        <v>a0lVT000006Mxu1YAC</v>
      </c>
      <c r="B638" s="12" t="str">
        <f>IFERROR(__xludf.DUMMYFUNCTION("""COMPUTED_VALUE"""),"a0rVT000012V3snYAC")</f>
        <v>a0rVT000012V3snYAC</v>
      </c>
      <c r="C638" s="12" t="str">
        <f>IFERROR(__xludf.DUMMYFUNCTION("""COMPUTED_VALUE"""),"00380000021wifiAAA")</f>
        <v>00380000021wifiAAA</v>
      </c>
      <c r="D638" s="12" t="str">
        <f>IFERROR(__xludf.DUMMYFUNCTION("""COMPUTED_VALUE"""),"Keith Lawless")</f>
        <v>Keith Lawless</v>
      </c>
      <c r="E638" s="12" t="str">
        <f>IFERROR(__xludf.DUMMYFUNCTION("""COMPUTED_VALUE"""),"keith.lawless@workday.com")</f>
        <v>keith.lawless@workday.com</v>
      </c>
      <c r="F638" s="12" t="str">
        <f>IFERROR(__xludf.DUMMYFUNCTION("""COMPUTED_VALUE"""),"Deployment Sponsor")</f>
        <v>Deployment Sponsor</v>
      </c>
    </row>
    <row r="639">
      <c r="A639" s="12" t="str">
        <f>IFERROR(__xludf.DUMMYFUNCTION("""COMPUTED_VALUE"""),"a0lVT000005mUvNYAU")</f>
        <v>a0lVT000005mUvNYAU</v>
      </c>
      <c r="B639" s="12" t="str">
        <f>IFERROR(__xludf.DUMMYFUNCTION("""COMPUTED_VALUE"""),"a0rVT000012V3snYAC")</f>
        <v>a0rVT000012V3snYAC</v>
      </c>
      <c r="C639" s="12" t="str">
        <f>IFERROR(__xludf.DUMMYFUNCTION("""COMPUTED_VALUE"""),"00380000024qaNvAAI")</f>
        <v>00380000024qaNvAAI</v>
      </c>
      <c r="D639" s="12" t="str">
        <f>IFERROR(__xludf.DUMMYFUNCTION("""COMPUTED_VALUE"""),"Doris Pulsifer")</f>
        <v>Doris Pulsifer</v>
      </c>
      <c r="E639" s="12" t="str">
        <f>IFERROR(__xludf.DUMMYFUNCTION("""COMPUTED_VALUE"""),"doris.pulsifer@workday.com")</f>
        <v>doris.pulsifer@workday.com</v>
      </c>
      <c r="F639" s="12" t="str">
        <f>IFERROR(__xludf.DUMMYFUNCTION("""COMPUTED_VALUE"""),"Engagement Manager [Primary]")</f>
        <v>Engagement Manager [Primary]</v>
      </c>
    </row>
    <row r="640">
      <c r="A640" s="12" t="str">
        <f>IFERROR(__xludf.DUMMYFUNCTION("""COMPUTED_VALUE"""),"a0lVT000006I405YAC")</f>
        <v>a0lVT000006I405YAC</v>
      </c>
      <c r="B640" s="12" t="str">
        <f>IFERROR(__xludf.DUMMYFUNCTION("""COMPUTED_VALUE"""),"a0rVT000012V3snYAC")</f>
        <v>a0rVT000012V3snYAC</v>
      </c>
      <c r="C640" s="12" t="str">
        <f>IFERROR(__xludf.DUMMYFUNCTION("""COMPUTED_VALUE"""),"0034X00003NxKzqQAF")</f>
        <v>0034X00003NxKzqQAF</v>
      </c>
      <c r="D640" s="12" t="str">
        <f>IFERROR(__xludf.DUMMYFUNCTION("""COMPUTED_VALUE"""),"Jadzia Walczyk")</f>
        <v>Jadzia Walczyk</v>
      </c>
      <c r="E640" s="12" t="str">
        <f>IFERROR(__xludf.DUMMYFUNCTION("""COMPUTED_VALUE"""),"jadwiga.walczyk@workday.com")</f>
        <v>jadwiga.walczyk@workday.com</v>
      </c>
      <c r="F640" s="12" t="str">
        <f>IFERROR(__xludf.DUMMYFUNCTION("""COMPUTED_VALUE"""),"Engagement Manager [Primary]")</f>
        <v>Engagement Manager [Primary]</v>
      </c>
    </row>
    <row r="641">
      <c r="A641" s="12" t="str">
        <f>IFERROR(__xludf.DUMMYFUNCTION("""COMPUTED_VALUE"""),"a0lVT00000638YfYAI")</f>
        <v>a0lVT00000638YfYAI</v>
      </c>
      <c r="B641" s="12" t="str">
        <f>IFERROR(__xludf.DUMMYFUNCTION("""COMPUTED_VALUE"""),"a0rVT000012V4iQYAS")</f>
        <v>a0rVT000012V4iQYAS</v>
      </c>
      <c r="C641" s="12" t="str">
        <f>IFERROR(__xludf.DUMMYFUNCTION("""COMPUTED_VALUE"""),"0034X00003GO1FkQAL")</f>
        <v>0034X00003GO1FkQAL</v>
      </c>
      <c r="D641" s="12" t="str">
        <f>IFERROR(__xludf.DUMMYFUNCTION("""COMPUTED_VALUE"""),"Véronique Violin-Revenu")</f>
        <v>Véronique Violin-Revenu</v>
      </c>
      <c r="E641" s="12" t="str">
        <f>IFERROR(__xludf.DUMMYFUNCTION("""COMPUTED_VALUE"""),"v.violinrevenu@deloitte.fr")</f>
        <v>v.violinrevenu@deloitte.fr</v>
      </c>
      <c r="F641" s="12" t="str">
        <f>IFERROR(__xludf.DUMMYFUNCTION("""COMPUTED_VALUE"""),"Executive Sponsor")</f>
        <v>Executive Sponsor</v>
      </c>
    </row>
    <row r="642">
      <c r="A642" s="12" t="str">
        <f>IFERROR(__xludf.DUMMYFUNCTION("""COMPUTED_VALUE"""),"a0lVT00000638X3YAI")</f>
        <v>a0lVT00000638X3YAI</v>
      </c>
      <c r="B642" s="12" t="str">
        <f>IFERROR(__xludf.DUMMYFUNCTION("""COMPUTED_VALUE"""),"a0rVT000012V4iQYAS")</f>
        <v>a0rVT000012V4iQYAS</v>
      </c>
      <c r="C642" s="12" t="str">
        <f>IFERROR(__xludf.DUMMYFUNCTION("""COMPUTED_VALUE"""),"0034X00002vq8LQQAY")</f>
        <v>0034X00002vq8LQQAY</v>
      </c>
      <c r="D642" s="12" t="str">
        <f>IFERROR(__xludf.DUMMYFUNCTION("""COMPUTED_VALUE"""),"Fanny TROUDE")</f>
        <v>Fanny TROUDE</v>
      </c>
      <c r="E642" s="12" t="str">
        <f>IFERROR(__xludf.DUMMYFUNCTION("""COMPUTED_VALUE"""),"ftroude@deloitte.fr")</f>
        <v>ftroude@deloitte.fr</v>
      </c>
      <c r="F642" s="12" t="str">
        <f>IFERROR(__xludf.DUMMYFUNCTION("""COMPUTED_VALUE"""),"Project Manager [Customer]")</f>
        <v>Project Manager [Customer]</v>
      </c>
    </row>
    <row r="643">
      <c r="A643" s="12" t="str">
        <f>IFERROR(__xludf.DUMMYFUNCTION("""COMPUTED_VALUE"""),"a0lVT00000604hhYAA")</f>
        <v>a0lVT00000604hhYAA</v>
      </c>
      <c r="B643" s="12" t="str">
        <f>IFERROR(__xludf.DUMMYFUNCTION("""COMPUTED_VALUE"""),"a0rVT000012V4iQYAS")</f>
        <v>a0rVT000012V4iQYAS</v>
      </c>
      <c r="C643" s="12" t="str">
        <f>IFERROR(__xludf.DUMMYFUNCTION("""COMPUTED_VALUE"""),"0034X00003EtGr8QAF")</f>
        <v>0034X00003EtGr8QAF</v>
      </c>
      <c r="D643" s="12" t="str">
        <f>IFERROR(__xludf.DUMMYFUNCTION("""COMPUTED_VALUE"""),"Aaron Barnes")</f>
        <v>Aaron Barnes</v>
      </c>
      <c r="E643" s="12" t="str">
        <f>IFERROR(__xludf.DUMMYFUNCTION("""COMPUTED_VALUE"""),"aaron.barnes@workday.com")</f>
        <v>aaron.barnes@workday.com</v>
      </c>
      <c r="F643" s="12" t="str">
        <f>IFERROR(__xludf.DUMMYFUNCTION("""COMPUTED_VALUE"""),"Deployment Sponsor")</f>
        <v>Deployment Sponsor</v>
      </c>
    </row>
    <row r="644">
      <c r="A644" s="12" t="str">
        <f>IFERROR(__xludf.DUMMYFUNCTION("""COMPUTED_VALUE"""),"a0lVT000005xmovYAA")</f>
        <v>a0lVT000005xmovYAA</v>
      </c>
      <c r="B644" s="12" t="str">
        <f>IFERROR(__xludf.DUMMYFUNCTION("""COMPUTED_VALUE"""),"a0rVT000012V4iQYAS")</f>
        <v>a0rVT000012V4iQYAS</v>
      </c>
      <c r="C644" s="12" t="str">
        <f>IFERROR(__xludf.DUMMYFUNCTION("""COMPUTED_VALUE"""),"003VT00000kOt2UYAS")</f>
        <v>003VT00000kOt2UYAS</v>
      </c>
      <c r="D644" s="12" t="str">
        <f>IFERROR(__xludf.DUMMYFUNCTION("""COMPUTED_VALUE"""),"Tim Le Maire")</f>
        <v>Tim Le Maire</v>
      </c>
      <c r="E644" s="12" t="str">
        <f>IFERROR(__xludf.DUMMYFUNCTION("""COMPUTED_VALUE"""),"tim.lemaire@workday.com")</f>
        <v>tim.lemaire@workday.com</v>
      </c>
      <c r="F644" s="12" t="str">
        <f>IFERROR(__xludf.DUMMYFUNCTION("""COMPUTED_VALUE"""),"Engagement Manager [Secondary]")</f>
        <v>Engagement Manager [Secondary]</v>
      </c>
    </row>
    <row r="645">
      <c r="A645" s="12" t="str">
        <f>IFERROR(__xludf.DUMMYFUNCTION("""COMPUTED_VALUE"""),"a0lVT000005xV6XYAU")</f>
        <v>a0lVT000005xV6XYAU</v>
      </c>
      <c r="B645" s="12" t="str">
        <f>IFERROR(__xludf.DUMMYFUNCTION("""COMPUTED_VALUE"""),"a0rVT000012V8EUYA0")</f>
        <v>a0rVT000012V8EUYA0</v>
      </c>
      <c r="C645" s="12" t="str">
        <f>IFERROR(__xludf.DUMMYFUNCTION("""COMPUTED_VALUE"""),"0034X00003EtGr8QAF")</f>
        <v>0034X00003EtGr8QAF</v>
      </c>
      <c r="D645" s="12" t="str">
        <f>IFERROR(__xludf.DUMMYFUNCTION("""COMPUTED_VALUE"""),"Aaron Barnes")</f>
        <v>Aaron Barnes</v>
      </c>
      <c r="E645" s="12" t="str">
        <f>IFERROR(__xludf.DUMMYFUNCTION("""COMPUTED_VALUE"""),"aaron.barnes@workday.com")</f>
        <v>aaron.barnes@workday.com</v>
      </c>
      <c r="F645" s="12" t="str">
        <f>IFERROR(__xludf.DUMMYFUNCTION("""COMPUTED_VALUE"""),"Deployment Sponsor")</f>
        <v>Deployment Sponsor</v>
      </c>
    </row>
    <row r="646">
      <c r="A646" s="12" t="str">
        <f>IFERROR(__xludf.DUMMYFUNCTION("""COMPUTED_VALUE"""),"a0lVT000005xUlZYAU")</f>
        <v>a0lVT000005xUlZYAU</v>
      </c>
      <c r="B646" s="12" t="str">
        <f>IFERROR(__xludf.DUMMYFUNCTION("""COMPUTED_VALUE"""),"a0rVT000012V8EUYA0")</f>
        <v>a0rVT000012V8EUYA0</v>
      </c>
      <c r="C646" s="12" t="str">
        <f>IFERROR(__xludf.DUMMYFUNCTION("""COMPUTED_VALUE"""),"003VT00000JfnhlYAB")</f>
        <v>003VT00000JfnhlYAB</v>
      </c>
      <c r="D646" s="12" t="str">
        <f>IFERROR(__xludf.DUMMYFUNCTION("""COMPUTED_VALUE"""),"Ben Gledhill")</f>
        <v>Ben Gledhill</v>
      </c>
      <c r="E646" s="12" t="str">
        <f>IFERROR(__xludf.DUMMYFUNCTION("""COMPUTED_VALUE"""),"benjamin.gledhill@stagecoach.com")</f>
        <v>benjamin.gledhill@stagecoach.com</v>
      </c>
      <c r="F646" s="12" t="str">
        <f>IFERROR(__xludf.DUMMYFUNCTION("""COMPUTED_VALUE"""),"Project Manager [Customer]")</f>
        <v>Project Manager [Customer]</v>
      </c>
    </row>
    <row r="647">
      <c r="A647" s="12" t="str">
        <f>IFERROR(__xludf.DUMMYFUNCTION("""COMPUTED_VALUE"""),"a0lVT000005xUqPYAU")</f>
        <v>a0lVT000005xUqPYAU</v>
      </c>
      <c r="B647" s="12" t="str">
        <f>IFERROR(__xludf.DUMMYFUNCTION("""COMPUTED_VALUE"""),"a0rVT000012V8EUYA0")</f>
        <v>a0rVT000012V8EUYA0</v>
      </c>
      <c r="C647" s="12" t="str">
        <f>IFERROR(__xludf.DUMMYFUNCTION("""COMPUTED_VALUE"""),"003VT00000JfnhlYAB")</f>
        <v>003VT00000JfnhlYAB</v>
      </c>
      <c r="D647" s="12" t="str">
        <f>IFERROR(__xludf.DUMMYFUNCTION("""COMPUTED_VALUE"""),"Ben Gledhill")</f>
        <v>Ben Gledhill</v>
      </c>
      <c r="E647" s="12" t="str">
        <f>IFERROR(__xludf.DUMMYFUNCTION("""COMPUTED_VALUE"""),"benjamin.gledhill@stagecoach.com")</f>
        <v>benjamin.gledhill@stagecoach.com</v>
      </c>
      <c r="F647" s="12" t="str">
        <f>IFERROR(__xludf.DUMMYFUNCTION("""COMPUTED_VALUE"""),"Executive Sponsor")</f>
        <v>Executive Sponsor</v>
      </c>
    </row>
    <row r="648">
      <c r="A648" s="12" t="str">
        <f>IFERROR(__xludf.DUMMYFUNCTION("""COMPUTED_VALUE"""),"a0lVT000005mXWfYAM")</f>
        <v>a0lVT000005mXWfYAM</v>
      </c>
      <c r="B648" s="12" t="str">
        <f>IFERROR(__xludf.DUMMYFUNCTION("""COMPUTED_VALUE"""),"a0rVT000012V8EUYA0")</f>
        <v>a0rVT000012V8EUYA0</v>
      </c>
      <c r="C648" s="12" t="str">
        <f>IFERROR(__xludf.DUMMYFUNCTION("""COMPUTED_VALUE"""),"0034X00003EsqyPQAR")</f>
        <v>0034X00003EsqyPQAR</v>
      </c>
      <c r="D648" s="12" t="str">
        <f>IFERROR(__xludf.DUMMYFUNCTION("""COMPUTED_VALUE"""),"Oshima Bajaj")</f>
        <v>Oshima Bajaj</v>
      </c>
      <c r="E648" s="12" t="str">
        <f>IFERROR(__xludf.DUMMYFUNCTION("""COMPUTED_VALUE"""),"oshima.bajaj@workday.com")</f>
        <v>oshima.bajaj@workday.com</v>
      </c>
      <c r="F648" s="12" t="str">
        <f>IFERROR(__xludf.DUMMYFUNCTION("""COMPUTED_VALUE"""),"Engagement Manager [Secondary]")</f>
        <v>Engagement Manager [Secondary]</v>
      </c>
    </row>
    <row r="649">
      <c r="A649" s="12" t="str">
        <f>IFERROR(__xludf.DUMMYFUNCTION("""COMPUTED_VALUE"""),"a0lVT000005sn45YAA")</f>
        <v>a0lVT000005sn45YAA</v>
      </c>
      <c r="B649" s="12" t="str">
        <f>IFERROR(__xludf.DUMMYFUNCTION("""COMPUTED_VALUE"""),"a0rVT000012V8EUYA0")</f>
        <v>a0rVT000012V8EUYA0</v>
      </c>
      <c r="C649" s="12" t="str">
        <f>IFERROR(__xludf.DUMMYFUNCTION("""COMPUTED_VALUE"""),"003VT00000kOt2UYAS")</f>
        <v>003VT00000kOt2UYAS</v>
      </c>
      <c r="D649" s="12" t="str">
        <f>IFERROR(__xludf.DUMMYFUNCTION("""COMPUTED_VALUE"""),"Tim Le Maire")</f>
        <v>Tim Le Maire</v>
      </c>
      <c r="E649" s="12" t="str">
        <f>IFERROR(__xludf.DUMMYFUNCTION("""COMPUTED_VALUE"""),"tim.lemaire@workday.com")</f>
        <v>tim.lemaire@workday.com</v>
      </c>
      <c r="F649" s="12" t="str">
        <f>IFERROR(__xludf.DUMMYFUNCTION("""COMPUTED_VALUE"""),"Engagement Manager [Primary]")</f>
        <v>Engagement Manager [Primary]</v>
      </c>
    </row>
    <row r="650">
      <c r="A650" s="12" t="str">
        <f>IFERROR(__xludf.DUMMYFUNCTION("""COMPUTED_VALUE"""),"a0lVT000006M2fdYAC")</f>
        <v>a0lVT000006M2fdYAC</v>
      </c>
      <c r="B650" s="12" t="str">
        <f>IFERROR(__xludf.DUMMYFUNCTION("""COMPUTED_VALUE"""),"a0rVT000012V90XYAS")</f>
        <v>a0rVT000012V90XYAS</v>
      </c>
      <c r="C650" s="12" t="str">
        <f>IFERROR(__xludf.DUMMYFUNCTION("""COMPUTED_VALUE"""),"003VT00000fc4sgYAA")</f>
        <v>003VT00000fc4sgYAA</v>
      </c>
      <c r="D650" s="12" t="str">
        <f>IFERROR(__xludf.DUMMYFUNCTION("""COMPUTED_VALUE"""),"Kat Evans")</f>
        <v>Kat Evans</v>
      </c>
      <c r="E650" s="12" t="str">
        <f>IFERROR(__xludf.DUMMYFUNCTION("""COMPUTED_VALUE"""),"kat.matasova@workday.com")</f>
        <v>kat.matasova@workday.com</v>
      </c>
      <c r="F650" s="12" t="str">
        <f>IFERROR(__xludf.DUMMYFUNCTION("""COMPUTED_VALUE"""),"Engagement Manager [Primary]")</f>
        <v>Engagement Manager [Primary]</v>
      </c>
    </row>
    <row r="651">
      <c r="A651" s="12" t="str">
        <f>IFERROR(__xludf.DUMMYFUNCTION("""COMPUTED_VALUE"""),"a0lVT000006M2feYAC")</f>
        <v>a0lVT000006M2feYAC</v>
      </c>
      <c r="B651" s="12" t="str">
        <f>IFERROR(__xludf.DUMMYFUNCTION("""COMPUTED_VALUE"""),"a0rVT000012V90XYAS")</f>
        <v>a0rVT000012V90XYAS</v>
      </c>
      <c r="C651" s="12" t="str">
        <f>IFERROR(__xludf.DUMMYFUNCTION("""COMPUTED_VALUE"""),"0034X00003EtGr8QAF")</f>
        <v>0034X00003EtGr8QAF</v>
      </c>
      <c r="D651" s="12" t="str">
        <f>IFERROR(__xludf.DUMMYFUNCTION("""COMPUTED_VALUE"""),"Aaron Barnes")</f>
        <v>Aaron Barnes</v>
      </c>
      <c r="E651" s="12" t="str">
        <f>IFERROR(__xludf.DUMMYFUNCTION("""COMPUTED_VALUE"""),"aaron.barnes@workday.com")</f>
        <v>aaron.barnes@workday.com</v>
      </c>
      <c r="F651" s="12" t="str">
        <f>IFERROR(__xludf.DUMMYFUNCTION("""COMPUTED_VALUE"""),"Deployment Sponsor")</f>
        <v>Deployment Sponsor</v>
      </c>
    </row>
    <row r="652">
      <c r="A652" s="12" t="str">
        <f>IFERROR(__xludf.DUMMYFUNCTION("""COMPUTED_VALUE"""),"a0lVT000006OD0fYAG")</f>
        <v>a0lVT000006OD0fYAG</v>
      </c>
      <c r="B652" s="12" t="str">
        <f>IFERROR(__xludf.DUMMYFUNCTION("""COMPUTED_VALUE"""),"a0rVT000012V90XYAS")</f>
        <v>a0rVT000012V90XYAS</v>
      </c>
      <c r="C652" s="12" t="str">
        <f>IFERROR(__xludf.DUMMYFUNCTION("""COMPUTED_VALUE"""),"003VT00000oRzemYAC")</f>
        <v>003VT00000oRzemYAC</v>
      </c>
      <c r="D652" s="12" t="str">
        <f>IFERROR(__xludf.DUMMYFUNCTION("""COMPUTED_VALUE"""),"Jamie Hilt")</f>
        <v>Jamie Hilt</v>
      </c>
      <c r="E652" s="12" t="str">
        <f>IFERROR(__xludf.DUMMYFUNCTION("""COMPUTED_VALUE"""),"jamie.hilt@sfellc.org")</f>
        <v>jamie.hilt@sfellc.org</v>
      </c>
      <c r="F652" s="12" t="str">
        <f>IFERROR(__xludf.DUMMYFUNCTION("""COMPUTED_VALUE"""),"Executive Sponsor")</f>
        <v>Executive Sponsor</v>
      </c>
    </row>
    <row r="653">
      <c r="A653" s="12" t="str">
        <f>IFERROR(__xludf.DUMMYFUNCTION("""COMPUTED_VALUE"""),"a0lVT000006OD0gYAG")</f>
        <v>a0lVT000006OD0gYAG</v>
      </c>
      <c r="B653" s="12" t="str">
        <f>IFERROR(__xludf.DUMMYFUNCTION("""COMPUTED_VALUE"""),"a0rVT000012V90XYAS")</f>
        <v>a0rVT000012V90XYAS</v>
      </c>
      <c r="C653" s="12" t="str">
        <f>IFERROR(__xludf.DUMMYFUNCTION("""COMPUTED_VALUE"""),"003VT00000fc0ukYAA")</f>
        <v>003VT00000fc0ukYAA</v>
      </c>
      <c r="D653" s="12" t="str">
        <f>IFERROR(__xludf.DUMMYFUNCTION("""COMPUTED_VALUE"""),"Sarah Schildts")</f>
        <v>Sarah Schildts</v>
      </c>
      <c r="E653" s="12" t="str">
        <f>IFERROR(__xludf.DUMMYFUNCTION("""COMPUTED_VALUE"""),"sarah.schildts@sfellc.org")</f>
        <v>sarah.schildts@sfellc.org</v>
      </c>
      <c r="F653" s="12" t="str">
        <f>IFERROR(__xludf.DUMMYFUNCTION("""COMPUTED_VALUE"""),"Project Manager [Customer]")</f>
        <v>Project Manager [Customer]</v>
      </c>
    </row>
    <row r="654">
      <c r="A654" s="12" t="str">
        <f>IFERROR(__xludf.DUMMYFUNCTION("""COMPUTED_VALUE"""),"a0lVT0000068dojYAA")</f>
        <v>a0lVT0000068dojYAA</v>
      </c>
      <c r="B654" s="12" t="str">
        <f>IFERROR(__xludf.DUMMYFUNCTION("""COMPUTED_VALUE"""),"a0rVT000012VA4gYAG")</f>
        <v>a0rVT000012VA4gYAG</v>
      </c>
      <c r="C654" s="12" t="str">
        <f>IFERROR(__xludf.DUMMYFUNCTION("""COMPUTED_VALUE"""),"0034X00003EtGr8QAF")</f>
        <v>0034X00003EtGr8QAF</v>
      </c>
      <c r="D654" s="12" t="str">
        <f>IFERROR(__xludf.DUMMYFUNCTION("""COMPUTED_VALUE"""),"Aaron Barnes")</f>
        <v>Aaron Barnes</v>
      </c>
      <c r="E654" s="12" t="str">
        <f>IFERROR(__xludf.DUMMYFUNCTION("""COMPUTED_VALUE"""),"aaron.barnes@workday.com")</f>
        <v>aaron.barnes@workday.com</v>
      </c>
      <c r="F654" s="12" t="str">
        <f>IFERROR(__xludf.DUMMYFUNCTION("""COMPUTED_VALUE"""),"Deployment Sponsor")</f>
        <v>Deployment Sponsor</v>
      </c>
    </row>
    <row r="655">
      <c r="A655" s="12" t="str">
        <f>IFERROR(__xludf.DUMMYFUNCTION("""COMPUTED_VALUE"""),"a0lVT0000068dqLYAQ")</f>
        <v>a0lVT0000068dqLYAQ</v>
      </c>
      <c r="B655" s="12" t="str">
        <f>IFERROR(__xludf.DUMMYFUNCTION("""COMPUTED_VALUE"""),"a0rVT000012VA4gYAG")</f>
        <v>a0rVT000012VA4gYAG</v>
      </c>
      <c r="C655" s="12" t="str">
        <f>IFERROR(__xludf.DUMMYFUNCTION("""COMPUTED_VALUE"""),"00380000028DCCuAAO")</f>
        <v>00380000028DCCuAAO</v>
      </c>
      <c r="D655" s="12" t="str">
        <f>IFERROR(__xludf.DUMMYFUNCTION("""COMPUTED_VALUE"""),"Sarah Burghardt")</f>
        <v>Sarah Burghardt</v>
      </c>
      <c r="E655" s="12" t="str">
        <f>IFERROR(__xludf.DUMMYFUNCTION("""COMPUTED_VALUE"""),"sburghardt@fenwick.com")</f>
        <v>sburghardt@fenwick.com</v>
      </c>
      <c r="F655" s="12" t="str">
        <f>IFERROR(__xludf.DUMMYFUNCTION("""COMPUTED_VALUE"""),"Project Manager [Customer]")</f>
        <v>Project Manager [Customer]</v>
      </c>
    </row>
    <row r="656">
      <c r="A656" s="12" t="str">
        <f>IFERROR(__xludf.DUMMYFUNCTION("""COMPUTED_VALUE"""),"a0lVT0000068dvBYAQ")</f>
        <v>a0lVT0000068dvBYAQ</v>
      </c>
      <c r="B656" s="12" t="str">
        <f>IFERROR(__xludf.DUMMYFUNCTION("""COMPUTED_VALUE"""),"a0rVT000012VA4gYAG")</f>
        <v>a0rVT000012VA4gYAG</v>
      </c>
      <c r="C656" s="12" t="str">
        <f>IFERROR(__xludf.DUMMYFUNCTION("""COMPUTED_VALUE"""),"00380000028DCCuAAO")</f>
        <v>00380000028DCCuAAO</v>
      </c>
      <c r="D656" s="12" t="str">
        <f>IFERROR(__xludf.DUMMYFUNCTION("""COMPUTED_VALUE"""),"Sarah Burghardt")</f>
        <v>Sarah Burghardt</v>
      </c>
      <c r="E656" s="12" t="str">
        <f>IFERROR(__xludf.DUMMYFUNCTION("""COMPUTED_VALUE"""),"sburghardt@fenwick.com")</f>
        <v>sburghardt@fenwick.com</v>
      </c>
      <c r="F656" s="12" t="str">
        <f>IFERROR(__xludf.DUMMYFUNCTION("""COMPUTED_VALUE"""),"Executive Sponsor")</f>
        <v>Executive Sponsor</v>
      </c>
    </row>
    <row r="657">
      <c r="A657" s="12" t="str">
        <f>IFERROR(__xludf.DUMMYFUNCTION("""COMPUTED_VALUE"""),"a0lVT000005ywkbYAA")</f>
        <v>a0lVT000005ywkbYAA</v>
      </c>
      <c r="B657" s="12" t="str">
        <f>IFERROR(__xludf.DUMMYFUNCTION("""COMPUTED_VALUE"""),"a0rVT000012VA4gYAG")</f>
        <v>a0rVT000012VA4gYAG</v>
      </c>
      <c r="C657" s="12" t="str">
        <f>IFERROR(__xludf.DUMMYFUNCTION("""COMPUTED_VALUE"""),"003VT00000fc4sfYAA")</f>
        <v>003VT00000fc4sfYAA</v>
      </c>
      <c r="D657" s="12" t="str">
        <f>IFERROR(__xludf.DUMMYFUNCTION("""COMPUTED_VALUE"""),"Katie Nehrenz")</f>
        <v>Katie Nehrenz</v>
      </c>
      <c r="E657" s="12" t="str">
        <f>IFERROR(__xludf.DUMMYFUNCTION("""COMPUTED_VALUE"""),"katie.nehrenz@workday.com")</f>
        <v>katie.nehrenz@workday.com</v>
      </c>
      <c r="F657" s="12" t="str">
        <f>IFERROR(__xludf.DUMMYFUNCTION("""COMPUTED_VALUE"""),"Engagement Manager [Primary]")</f>
        <v>Engagement Manager [Primary]</v>
      </c>
    </row>
    <row r="658">
      <c r="A658" s="12" t="str">
        <f>IFERROR(__xludf.DUMMYFUNCTION("""COMPUTED_VALUE"""),"a0lVT000005mW9BYAU")</f>
        <v>a0lVT000005mW9BYAU</v>
      </c>
      <c r="B658" s="12" t="str">
        <f>IFERROR(__xludf.DUMMYFUNCTION("""COMPUTED_VALUE"""),"a0rVT000012VFcDYAW")</f>
        <v>a0rVT000012VFcDYAW</v>
      </c>
      <c r="C658" s="12" t="str">
        <f>IFERROR(__xludf.DUMMYFUNCTION("""COMPUTED_VALUE"""),"003VT00000i5jl9YAA")</f>
        <v>003VT00000i5jl9YAA</v>
      </c>
      <c r="D658" s="12" t="str">
        <f>IFERROR(__xludf.DUMMYFUNCTION("""COMPUTED_VALUE"""),"Helen Wright")</f>
        <v>Helen Wright</v>
      </c>
      <c r="E658" s="12" t="str">
        <f>IFERROR(__xludf.DUMMYFUNCTION("""COMPUTED_VALUE"""),"helen.wright@workday.com")</f>
        <v>helen.wright@workday.com</v>
      </c>
      <c r="F658" s="12" t="str">
        <f>IFERROR(__xludf.DUMMYFUNCTION("""COMPUTED_VALUE"""),"Engagement Manager [Primary]")</f>
        <v>Engagement Manager [Primary]</v>
      </c>
    </row>
    <row r="659">
      <c r="A659" s="12" t="str">
        <f>IFERROR(__xludf.DUMMYFUNCTION("""COMPUTED_VALUE"""),"a0lVT000006NSeVYAW")</f>
        <v>a0lVT000006NSeVYAW</v>
      </c>
      <c r="B659" s="12" t="str">
        <f>IFERROR(__xludf.DUMMYFUNCTION("""COMPUTED_VALUE"""),"a0rVT000012VFcDYAW")</f>
        <v>a0rVT000012VFcDYAW</v>
      </c>
      <c r="C659" s="12" t="str">
        <f>IFERROR(__xludf.DUMMYFUNCTION("""COMPUTED_VALUE"""),"0034X00003GMx9JQAT")</f>
        <v>0034X00003GMx9JQAT</v>
      </c>
      <c r="D659" s="12" t="str">
        <f>IFERROR(__xludf.DUMMYFUNCTION("""COMPUTED_VALUE"""),"Michael Drozdek")</f>
        <v>Michael Drozdek</v>
      </c>
      <c r="E659" s="12" t="str">
        <f>IFERROR(__xludf.DUMMYFUNCTION("""COMPUTED_VALUE"""),"michael.drozdek@symrise.com")</f>
        <v>michael.drozdek@symrise.com</v>
      </c>
      <c r="F659" s="12" t="str">
        <f>IFERROR(__xludf.DUMMYFUNCTION("""COMPUTED_VALUE"""),"Project Manager [Customer]")</f>
        <v>Project Manager [Customer]</v>
      </c>
    </row>
    <row r="660">
      <c r="A660" s="12" t="str">
        <f>IFERROR(__xludf.DUMMYFUNCTION("""COMPUTED_VALUE"""),"a0lVT000006NSeUYAW")</f>
        <v>a0lVT000006NSeUYAW</v>
      </c>
      <c r="B660" s="12" t="str">
        <f>IFERROR(__xludf.DUMMYFUNCTION("""COMPUTED_VALUE"""),"a0rVT000012VFcDYAW")</f>
        <v>a0rVT000012VFcDYAW</v>
      </c>
      <c r="C660" s="12" t="str">
        <f>IFERROR(__xludf.DUMMYFUNCTION("""COMPUTED_VALUE"""),"0034X00003GMx9JQAT")</f>
        <v>0034X00003GMx9JQAT</v>
      </c>
      <c r="D660" s="12" t="str">
        <f>IFERROR(__xludf.DUMMYFUNCTION("""COMPUTED_VALUE"""),"Michael Drozdek")</f>
        <v>Michael Drozdek</v>
      </c>
      <c r="E660" s="12" t="str">
        <f>IFERROR(__xludf.DUMMYFUNCTION("""COMPUTED_VALUE"""),"michael.drozdek@symrise.com")</f>
        <v>michael.drozdek@symrise.com</v>
      </c>
      <c r="F660" s="12" t="str">
        <f>IFERROR(__xludf.DUMMYFUNCTION("""COMPUTED_VALUE"""),"Executive Sponsor")</f>
        <v>Executive Sponsor</v>
      </c>
    </row>
    <row r="661">
      <c r="A661" s="12" t="str">
        <f>IFERROR(__xludf.DUMMYFUNCTION("""COMPUTED_VALUE"""),"a0lVT000006QzFhYAK")</f>
        <v>a0lVT000006QzFhYAK</v>
      </c>
      <c r="B661" s="12" t="str">
        <f>IFERROR(__xludf.DUMMYFUNCTION("""COMPUTED_VALUE"""),"a0rVT000012VGZtYAO")</f>
        <v>a0rVT000012VGZtYAO</v>
      </c>
      <c r="C661" s="12" t="str">
        <f>IFERROR(__xludf.DUMMYFUNCTION("""COMPUTED_VALUE"""),"0038000000UvhUpAAJ")</f>
        <v>0038000000UvhUpAAJ</v>
      </c>
      <c r="D661" s="12" t="str">
        <f>IFERROR(__xludf.DUMMYFUNCTION("""COMPUTED_VALUE"""),"Joe Carpenter")</f>
        <v>Joe Carpenter</v>
      </c>
      <c r="E661" s="12" t="str">
        <f>IFERROR(__xludf.DUMMYFUNCTION("""COMPUTED_VALUE"""),"joe.carpenter@scripps.com")</f>
        <v>joe.carpenter@scripps.com</v>
      </c>
      <c r="F661" s="12" t="str">
        <f>IFERROR(__xludf.DUMMYFUNCTION("""COMPUTED_VALUE"""),"Executive Sponsor")</f>
        <v>Executive Sponsor</v>
      </c>
    </row>
    <row r="662">
      <c r="A662" s="12" t="str">
        <f>IFERROR(__xludf.DUMMYFUNCTION("""COMPUTED_VALUE"""),"a0lVT000005qUn7YAE")</f>
        <v>a0lVT000005qUn7YAE</v>
      </c>
      <c r="B662" s="12" t="str">
        <f>IFERROR(__xludf.DUMMYFUNCTION("""COMPUTED_VALUE"""),"a0rVT000012VGZtYAO")</f>
        <v>a0rVT000012VGZtYAO</v>
      </c>
      <c r="C662" s="12" t="str">
        <f>IFERROR(__xludf.DUMMYFUNCTION("""COMPUTED_VALUE"""),"0034X000032MzsKQAS")</f>
        <v>0034X000032MzsKQAS</v>
      </c>
      <c r="D662" s="12" t="str">
        <f>IFERROR(__xludf.DUMMYFUNCTION("""COMPUTED_VALUE"""),"Cole Miltenberger")</f>
        <v>Cole Miltenberger</v>
      </c>
      <c r="E662" s="12" t="str">
        <f>IFERROR(__xludf.DUMMYFUNCTION("""COMPUTED_VALUE"""),"cole.miltenberger@workday.com")</f>
        <v>cole.miltenberger@workday.com</v>
      </c>
      <c r="F662" s="12" t="str">
        <f>IFERROR(__xludf.DUMMYFUNCTION("""COMPUTED_VALUE"""),"Engagement Manager [Primary]")</f>
        <v>Engagement Manager [Primary]</v>
      </c>
    </row>
    <row r="663">
      <c r="A663" s="12" t="str">
        <f>IFERROR(__xludf.DUMMYFUNCTION("""COMPUTED_VALUE"""),"a0lVT000006IqMTYA0")</f>
        <v>a0lVT000006IqMTYA0</v>
      </c>
      <c r="B663" s="12" t="str">
        <f>IFERROR(__xludf.DUMMYFUNCTION("""COMPUTED_VALUE"""),"a0rVT000012VGZtYAO")</f>
        <v>a0rVT000012VGZtYAO</v>
      </c>
      <c r="C663" s="12" t="str">
        <f>IFERROR(__xludf.DUMMYFUNCTION("""COMPUTED_VALUE"""),"0038000001sCnOiAAK")</f>
        <v>0038000001sCnOiAAK</v>
      </c>
      <c r="D663" s="12" t="str">
        <f>IFERROR(__xludf.DUMMYFUNCTION("""COMPUTED_VALUE"""),"Nate Allen")</f>
        <v>Nate Allen</v>
      </c>
      <c r="E663" s="12" t="str">
        <f>IFERROR(__xludf.DUMMYFUNCTION("""COMPUTED_VALUE"""),"nate.allen2@workday.com")</f>
        <v>nate.allen2@workday.com</v>
      </c>
      <c r="F663" s="12" t="str">
        <f>IFERROR(__xludf.DUMMYFUNCTION("""COMPUTED_VALUE"""),"Deployment Sponsor")</f>
        <v>Deployment Sponsor</v>
      </c>
    </row>
    <row r="664">
      <c r="A664" s="12" t="str">
        <f>IFERROR(__xludf.DUMMYFUNCTION("""COMPUTED_VALUE"""),"a0lVT000006QzFiYAK")</f>
        <v>a0lVT000006QzFiYAK</v>
      </c>
      <c r="B664" s="12" t="str">
        <f>IFERROR(__xludf.DUMMYFUNCTION("""COMPUTED_VALUE"""),"a0rVT000012VGZtYAO")</f>
        <v>a0rVT000012VGZtYAO</v>
      </c>
      <c r="C664" s="12" t="str">
        <f>IFERROR(__xludf.DUMMYFUNCTION("""COMPUTED_VALUE"""),"0038000000UvhUpAAJ")</f>
        <v>0038000000UvhUpAAJ</v>
      </c>
      <c r="D664" s="12" t="str">
        <f>IFERROR(__xludf.DUMMYFUNCTION("""COMPUTED_VALUE"""),"Joe Carpenter")</f>
        <v>Joe Carpenter</v>
      </c>
      <c r="E664" s="12" t="str">
        <f>IFERROR(__xludf.DUMMYFUNCTION("""COMPUTED_VALUE"""),"joe.carpenter@scripps.com")</f>
        <v>joe.carpenter@scripps.com</v>
      </c>
      <c r="F664" s="12" t="str">
        <f>IFERROR(__xludf.DUMMYFUNCTION("""COMPUTED_VALUE"""),"Project Manager [Customer]")</f>
        <v>Project Manager [Customer]</v>
      </c>
    </row>
    <row r="665">
      <c r="A665" s="12" t="str">
        <f>IFERROR(__xludf.DUMMYFUNCTION("""COMPUTED_VALUE"""),"a0lVT000005sYBVYA2")</f>
        <v>a0lVT000005sYBVYA2</v>
      </c>
      <c r="B665" s="12" t="str">
        <f>IFERROR(__xludf.DUMMYFUNCTION("""COMPUTED_VALUE"""),"a0rVT000012VIYTYA4")</f>
        <v>a0rVT000012VIYTYA4</v>
      </c>
      <c r="C665" s="12" t="str">
        <f>IFERROR(__xludf.DUMMYFUNCTION("""COMPUTED_VALUE"""),"0034X00003R3kfNQAR")</f>
        <v>0034X00003R3kfNQAR</v>
      </c>
      <c r="D665" s="12" t="str">
        <f>IFERROR(__xludf.DUMMYFUNCTION("""COMPUTED_VALUE"""),"David To")</f>
        <v>David To</v>
      </c>
      <c r="E665" s="12" t="str">
        <f>IFERROR(__xludf.DUMMYFUNCTION("""COMPUTED_VALUE"""),"david.to@workday.com")</f>
        <v>david.to@workday.com</v>
      </c>
      <c r="F665" s="12" t="str">
        <f>IFERROR(__xludf.DUMMYFUNCTION("""COMPUTED_VALUE"""),"Engagement Manager [Secondary]")</f>
        <v>Engagement Manager [Secondary]</v>
      </c>
    </row>
    <row r="666">
      <c r="A666" s="12" t="str">
        <f>IFERROR(__xludf.DUMMYFUNCTION("""COMPUTED_VALUE"""),"a0lVT000005mWqjYAE")</f>
        <v>a0lVT000005mWqjYAE</v>
      </c>
      <c r="B666" s="12" t="str">
        <f>IFERROR(__xludf.DUMMYFUNCTION("""COMPUTED_VALUE"""),"a0rVT000012VIYTYA4")</f>
        <v>a0rVT000012VIYTYA4</v>
      </c>
      <c r="C666" s="12" t="str">
        <f>IFERROR(__xludf.DUMMYFUNCTION("""COMPUTED_VALUE"""),"0031B00002nAbFvQAK")</f>
        <v>0031B00002nAbFvQAK</v>
      </c>
      <c r="D666" s="12" t="str">
        <f>IFERROR(__xludf.DUMMYFUNCTION("""COMPUTED_VALUE"""),"Al Menendez")</f>
        <v>Al Menendez</v>
      </c>
      <c r="E666" s="12" t="str">
        <f>IFERROR(__xludf.DUMMYFUNCTION("""COMPUTED_VALUE"""),"al.menendez@workday.com")</f>
        <v>al.menendez@workday.com</v>
      </c>
      <c r="F666" s="12" t="str">
        <f>IFERROR(__xludf.DUMMYFUNCTION("""COMPUTED_VALUE"""),"Engagement Manager [Primary]")</f>
        <v>Engagement Manager [Primary]</v>
      </c>
    </row>
    <row r="667">
      <c r="A667" s="12" t="str">
        <f>IFERROR(__xludf.DUMMYFUNCTION("""COMPUTED_VALUE"""),"a0lVT000006KaIPYA0")</f>
        <v>a0lVT000006KaIPYA0</v>
      </c>
      <c r="B667" s="12" t="str">
        <f>IFERROR(__xludf.DUMMYFUNCTION("""COMPUTED_VALUE"""),"a0rVT000012VKwrYAG")</f>
        <v>a0rVT000012VKwrYAG</v>
      </c>
      <c r="C667" s="12" t="str">
        <f>IFERROR(__xludf.DUMMYFUNCTION("""COMPUTED_VALUE"""),"0034X00003JsNpYQAV")</f>
        <v>0034X00003JsNpYQAV</v>
      </c>
      <c r="D667" s="12" t="str">
        <f>IFERROR(__xludf.DUMMYFUNCTION("""COMPUTED_VALUE"""),"Dhaval Rana")</f>
        <v>Dhaval Rana</v>
      </c>
      <c r="E667" s="12" t="str">
        <f>IFERROR(__xludf.DUMMYFUNCTION("""COMPUTED_VALUE"""),"dhaval.rana@workday.com")</f>
        <v>dhaval.rana@workday.com</v>
      </c>
      <c r="F667" s="12" t="str">
        <f>IFERROR(__xludf.DUMMYFUNCTION("""COMPUTED_VALUE"""),"Engagement Manager [Primary]")</f>
        <v>Engagement Manager [Primary]</v>
      </c>
    </row>
    <row r="668">
      <c r="A668" s="12" t="str">
        <f>IFERROR(__xludf.DUMMYFUNCTION("""COMPUTED_VALUE"""),"a0lVT000005mWkHYAU")</f>
        <v>a0lVT000005mWkHYAU</v>
      </c>
      <c r="B668" s="12" t="str">
        <f>IFERROR(__xludf.DUMMYFUNCTION("""COMPUTED_VALUE"""),"a0rVT000012VKwrYAG")</f>
        <v>a0rVT000012VKwrYAG</v>
      </c>
      <c r="C668" s="12" t="str">
        <f>IFERROR(__xludf.DUMMYFUNCTION("""COMPUTED_VALUE"""),"00380000024qaNvAAI")</f>
        <v>00380000024qaNvAAI</v>
      </c>
      <c r="D668" s="12" t="str">
        <f>IFERROR(__xludf.DUMMYFUNCTION("""COMPUTED_VALUE"""),"Doris Pulsifer")</f>
        <v>Doris Pulsifer</v>
      </c>
      <c r="E668" s="12" t="str">
        <f>IFERROR(__xludf.DUMMYFUNCTION("""COMPUTED_VALUE"""),"doris.pulsifer@workday.com")</f>
        <v>doris.pulsifer@workday.com</v>
      </c>
      <c r="F668" s="12" t="str">
        <f>IFERROR(__xludf.DUMMYFUNCTION("""COMPUTED_VALUE"""),"Engagement Manager [Primary]")</f>
        <v>Engagement Manager [Primary]</v>
      </c>
    </row>
    <row r="669">
      <c r="A669" s="12" t="str">
        <f>IFERROR(__xludf.DUMMYFUNCTION("""COMPUTED_VALUE"""),"a0lVT0000064Im6YAE")</f>
        <v>a0lVT0000064Im6YAE</v>
      </c>
      <c r="B669" s="12" t="str">
        <f>IFERROR(__xludf.DUMMYFUNCTION("""COMPUTED_VALUE"""),"a0rVT000012ViUXYA0")</f>
        <v>a0rVT000012ViUXYA0</v>
      </c>
      <c r="C669" s="12" t="str">
        <f>IFERROR(__xludf.DUMMYFUNCTION("""COMPUTED_VALUE"""),"0034X00002yUcPQQA0")</f>
        <v>0034X00002yUcPQQA0</v>
      </c>
      <c r="D669" s="12" t="str">
        <f>IFERROR(__xludf.DUMMYFUNCTION("""COMPUTED_VALUE"""),"Edward Cleary")</f>
        <v>Edward Cleary</v>
      </c>
      <c r="E669" s="12" t="str">
        <f>IFERROR(__xludf.DUMMYFUNCTION("""COMPUTED_VALUE"""),"ecleary@valleyhealthlink.com")</f>
        <v>ecleary@valleyhealthlink.com</v>
      </c>
      <c r="F669" s="12" t="str">
        <f>IFERROR(__xludf.DUMMYFUNCTION("""COMPUTED_VALUE"""),"Executive Sponsor")</f>
        <v>Executive Sponsor</v>
      </c>
    </row>
    <row r="670">
      <c r="A670" s="12" t="str">
        <f>IFERROR(__xludf.DUMMYFUNCTION("""COMPUTED_VALUE"""),"a0lVT000005mYm5YAE")</f>
        <v>a0lVT000005mYm5YAE</v>
      </c>
      <c r="B670" s="12" t="str">
        <f>IFERROR(__xludf.DUMMYFUNCTION("""COMPUTED_VALUE"""),"a0rVT000012ViUXYA0")</f>
        <v>a0rVT000012ViUXYA0</v>
      </c>
      <c r="C670" s="12" t="str">
        <f>IFERROR(__xludf.DUMMYFUNCTION("""COMPUTED_VALUE"""),"003VT00000i7TjtYAE")</f>
        <v>003VT00000i7TjtYAE</v>
      </c>
      <c r="D670" s="12" t="str">
        <f>IFERROR(__xludf.DUMMYFUNCTION("""COMPUTED_VALUE"""),"Taylor Lindsey")</f>
        <v>Taylor Lindsey</v>
      </c>
      <c r="E670" s="12" t="str">
        <f>IFERROR(__xludf.DUMMYFUNCTION("""COMPUTED_VALUE"""),"taylor.lindsey@workday.com")</f>
        <v>taylor.lindsey@workday.com</v>
      </c>
      <c r="F670" s="12" t="str">
        <f>IFERROR(__xludf.DUMMYFUNCTION("""COMPUTED_VALUE"""),"Engagement Manager [Primary]")</f>
        <v>Engagement Manager [Primary]</v>
      </c>
    </row>
    <row r="671">
      <c r="A671" s="12" t="str">
        <f>IFERROR(__xludf.DUMMYFUNCTION("""COMPUTED_VALUE"""),"a0lVT0000064Im5YAE")</f>
        <v>a0lVT0000064Im5YAE</v>
      </c>
      <c r="B671" s="12" t="str">
        <f>IFERROR(__xludf.DUMMYFUNCTION("""COMPUTED_VALUE"""),"a0rVT000012ViUXYA0")</f>
        <v>a0rVT000012ViUXYA0</v>
      </c>
      <c r="C671" s="12" t="str">
        <f>IFERROR(__xludf.DUMMYFUNCTION("""COMPUTED_VALUE"""),"003VT00000RrAZZYA3")</f>
        <v>003VT00000RrAZZYA3</v>
      </c>
      <c r="D671" s="12" t="str">
        <f>IFERROR(__xludf.DUMMYFUNCTION("""COMPUTED_VALUE"""),"Christian Davies")</f>
        <v>Christian Davies</v>
      </c>
      <c r="E671" s="12" t="str">
        <f>IFERROR(__xludf.DUMMYFUNCTION("""COMPUTED_VALUE"""),"cdavies5@valleyhealthlink.com")</f>
        <v>cdavies5@valleyhealthlink.com</v>
      </c>
      <c r="F671" s="12" t="str">
        <f>IFERROR(__xludf.DUMMYFUNCTION("""COMPUTED_VALUE"""),"Project Manager [Customer]")</f>
        <v>Project Manager [Customer]</v>
      </c>
    </row>
    <row r="672">
      <c r="A672" s="12" t="str">
        <f>IFERROR(__xludf.DUMMYFUNCTION("""COMPUTED_VALUE"""),"a0lVT000006PQzxYAG")</f>
        <v>a0lVT000006PQzxYAG</v>
      </c>
      <c r="B672" s="12" t="str">
        <f>IFERROR(__xludf.DUMMYFUNCTION("""COMPUTED_VALUE"""),"a0rVT000012ViUXYA0")</f>
        <v>a0rVT000012ViUXYA0</v>
      </c>
      <c r="C672" s="12" t="str">
        <f>IFERROR(__xludf.DUMMYFUNCTION("""COMPUTED_VALUE"""),"0034X00003EtGr8QAF")</f>
        <v>0034X00003EtGr8QAF</v>
      </c>
      <c r="D672" s="12" t="str">
        <f>IFERROR(__xludf.DUMMYFUNCTION("""COMPUTED_VALUE"""),"Aaron Barnes")</f>
        <v>Aaron Barnes</v>
      </c>
      <c r="E672" s="12" t="str">
        <f>IFERROR(__xludf.DUMMYFUNCTION("""COMPUTED_VALUE"""),"aaron.barnes@workday.com")</f>
        <v>aaron.barnes@workday.com</v>
      </c>
      <c r="F672" s="12" t="str">
        <f>IFERROR(__xludf.DUMMYFUNCTION("""COMPUTED_VALUE"""),"Deployment Sponsor")</f>
        <v>Deployment Sponsor</v>
      </c>
    </row>
    <row r="673">
      <c r="A673" s="12" t="str">
        <f>IFERROR(__xludf.DUMMYFUNCTION("""COMPUTED_VALUE"""),"a0lVT000005mZILYA2")</f>
        <v>a0lVT000005mZILYA2</v>
      </c>
      <c r="B673" s="12" t="str">
        <f>IFERROR(__xludf.DUMMYFUNCTION("""COMPUTED_VALUE"""),"a0rVT000012Vm57YAC")</f>
        <v>a0rVT000012Vm57YAC</v>
      </c>
      <c r="C673" s="12" t="str">
        <f>IFERROR(__xludf.DUMMYFUNCTION("""COMPUTED_VALUE"""),"00380000024qaNvAAI")</f>
        <v>00380000024qaNvAAI</v>
      </c>
      <c r="D673" s="12" t="str">
        <f>IFERROR(__xludf.DUMMYFUNCTION("""COMPUTED_VALUE"""),"Doris Pulsifer")</f>
        <v>Doris Pulsifer</v>
      </c>
      <c r="E673" s="12" t="str">
        <f>IFERROR(__xludf.DUMMYFUNCTION("""COMPUTED_VALUE"""),"doris.pulsifer@workday.com")</f>
        <v>doris.pulsifer@workday.com</v>
      </c>
      <c r="F673" s="12" t="str">
        <f>IFERROR(__xludf.DUMMYFUNCTION("""COMPUTED_VALUE"""),"Engagement Manager [Primary]")</f>
        <v>Engagement Manager [Primary]</v>
      </c>
    </row>
    <row r="674">
      <c r="A674" s="12" t="str">
        <f>IFERROR(__xludf.DUMMYFUNCTION("""COMPUTED_VALUE"""),"a0lVT000005xVEdYAM")</f>
        <v>a0lVT000005xVEdYAM</v>
      </c>
      <c r="B674" s="12" t="str">
        <f>IFERROR(__xludf.DUMMYFUNCTION("""COMPUTED_VALUE"""),"a0rVT000012llmdYAA")</f>
        <v>a0rVT000012llmdYAA</v>
      </c>
      <c r="C674" s="12" t="str">
        <f>IFERROR(__xludf.DUMMYFUNCTION("""COMPUTED_VALUE"""),"003VT00000hJrcZYAS")</f>
        <v>003VT00000hJrcZYAS</v>
      </c>
      <c r="D674" s="12" t="str">
        <f>IFERROR(__xludf.DUMMYFUNCTION("""COMPUTED_VALUE"""),"Jose Luis Solans Adrada")</f>
        <v>Jose Luis Solans Adrada</v>
      </c>
      <c r="E674" s="12" t="str">
        <f>IFERROR(__xludf.DUMMYFUNCTION("""COMPUTED_VALUE"""),"joseluis.solansadrada@elcorteingles.es")</f>
        <v>joseluis.solansadrada@elcorteingles.es</v>
      </c>
      <c r="F674" s="12" t="str">
        <f>IFERROR(__xludf.DUMMYFUNCTION("""COMPUTED_VALUE"""),"Project Manager [Customer]")</f>
        <v>Project Manager [Customer]</v>
      </c>
    </row>
    <row r="675">
      <c r="A675" s="12" t="str">
        <f>IFERROR(__xludf.DUMMYFUNCTION("""COMPUTED_VALUE"""),"a0lVT000005xVEbYAM")</f>
        <v>a0lVT000005xVEbYAM</v>
      </c>
      <c r="B675" s="12" t="str">
        <f>IFERROR(__xludf.DUMMYFUNCTION("""COMPUTED_VALUE"""),"a0rVT000012llmdYAA")</f>
        <v>a0rVT000012llmdYAA</v>
      </c>
      <c r="C675" s="12" t="str">
        <f>IFERROR(__xludf.DUMMYFUNCTION("""COMPUTED_VALUE"""),"0034X00003EtGr8QAF")</f>
        <v>0034X00003EtGr8QAF</v>
      </c>
      <c r="D675" s="12" t="str">
        <f>IFERROR(__xludf.DUMMYFUNCTION("""COMPUTED_VALUE"""),"Aaron Barnes")</f>
        <v>Aaron Barnes</v>
      </c>
      <c r="E675" s="12" t="str">
        <f>IFERROR(__xludf.DUMMYFUNCTION("""COMPUTED_VALUE"""),"aaron.barnes@workday.com")</f>
        <v>aaron.barnes@workday.com</v>
      </c>
      <c r="F675" s="12" t="str">
        <f>IFERROR(__xludf.DUMMYFUNCTION("""COMPUTED_VALUE"""),"Deployment Sponsor")</f>
        <v>Deployment Sponsor</v>
      </c>
    </row>
    <row r="676">
      <c r="A676" s="12" t="str">
        <f>IFERROR(__xludf.DUMMYFUNCTION("""COMPUTED_VALUE"""),"a0lVT000005neuHYAQ")</f>
        <v>a0lVT000005neuHYAQ</v>
      </c>
      <c r="B676" s="12" t="str">
        <f>IFERROR(__xludf.DUMMYFUNCTION("""COMPUTED_VALUE"""),"a0rVT000012llmdYAA")</f>
        <v>a0rVT000012llmdYAA</v>
      </c>
      <c r="C676" s="12" t="str">
        <f>IFERROR(__xludf.DUMMYFUNCTION("""COMPUTED_VALUE"""),"003VT00000fcE40YAE")</f>
        <v>003VT00000fcE40YAE</v>
      </c>
      <c r="D676" s="12" t="str">
        <f>IFERROR(__xludf.DUMMYFUNCTION("""COMPUTED_VALUE"""),"Sadia Hashi")</f>
        <v>Sadia Hashi</v>
      </c>
      <c r="E676" s="12" t="str">
        <f>IFERROR(__xludf.DUMMYFUNCTION("""COMPUTED_VALUE"""),"sadia.hashi@workday.com")</f>
        <v>sadia.hashi@workday.com</v>
      </c>
      <c r="F676" s="12" t="str">
        <f>IFERROR(__xludf.DUMMYFUNCTION("""COMPUTED_VALUE"""),"Engagement Manager [Primary]")</f>
        <v>Engagement Manager [Primary]</v>
      </c>
    </row>
    <row r="677">
      <c r="A677" s="12" t="str">
        <f>IFERROR(__xludf.DUMMYFUNCTION("""COMPUTED_VALUE"""),"a0lVT000005xVEcYAM")</f>
        <v>a0lVT000005xVEcYAM</v>
      </c>
      <c r="B677" s="12" t="str">
        <f>IFERROR(__xludf.DUMMYFUNCTION("""COMPUTED_VALUE"""),"a0rVT000012llmdYAA")</f>
        <v>a0rVT000012llmdYAA</v>
      </c>
      <c r="C677" s="12" t="str">
        <f>IFERROR(__xludf.DUMMYFUNCTION("""COMPUTED_VALUE"""),"003VT00000LGKJdYAP")</f>
        <v>003VT00000LGKJdYAP</v>
      </c>
      <c r="D677" s="12" t="str">
        <f>IFERROR(__xludf.DUMMYFUNCTION("""COMPUTED_VALUE"""),"NURIA NAVARRO ATIENZA")</f>
        <v>NURIA NAVARRO ATIENZA</v>
      </c>
      <c r="E677" s="12" t="str">
        <f>IFERROR(__xludf.DUMMYFUNCTION("""COMPUTED_VALUE"""),"rebeca.navarroatienza@elcorteingles.es")</f>
        <v>rebeca.navarroatienza@elcorteingles.es</v>
      </c>
      <c r="F677" s="12" t="str">
        <f>IFERROR(__xludf.DUMMYFUNCTION("""COMPUTED_VALUE"""),"Executive Sponsor")</f>
        <v>Executive Sponsor</v>
      </c>
    </row>
    <row r="678">
      <c r="A678" s="12" t="str">
        <f>IFERROR(__xludf.DUMMYFUNCTION("""COMPUTED_VALUE"""),"a0lVT000005uBE2YAM")</f>
        <v>a0lVT000005uBE2YAM</v>
      </c>
      <c r="B678" s="12" t="str">
        <f>IFERROR(__xludf.DUMMYFUNCTION("""COMPUTED_VALUE"""),"a0rVT000013D3fNYAS")</f>
        <v>a0rVT000013D3fNYAS</v>
      </c>
      <c r="C678" s="12" t="str">
        <f>IFERROR(__xludf.DUMMYFUNCTION("""COMPUTED_VALUE"""),"0031B00002pjtctQAA")</f>
        <v>0031B00002pjtctQAA</v>
      </c>
      <c r="D678" s="12" t="str">
        <f>IFERROR(__xludf.DUMMYFUNCTION("""COMPUTED_VALUE"""),"Chelsea Breitzman")</f>
        <v>Chelsea Breitzman</v>
      </c>
      <c r="E678" s="12" t="str">
        <f>IFERROR(__xludf.DUMMYFUNCTION("""COMPUTED_VALUE"""),"chelsea.breitzman@faithtechnologies.com")</f>
        <v>chelsea.breitzman@faithtechnologies.com</v>
      </c>
      <c r="F678" s="12" t="str">
        <f>IFERROR(__xludf.DUMMYFUNCTION("""COMPUTED_VALUE"""),"Executive Sponsor")</f>
        <v>Executive Sponsor</v>
      </c>
    </row>
    <row r="679">
      <c r="A679" s="12" t="str">
        <f>IFERROR(__xludf.DUMMYFUNCTION("""COMPUTED_VALUE"""),"a0lVT000005uDkTYAU")</f>
        <v>a0lVT000005uDkTYAU</v>
      </c>
      <c r="B679" s="12" t="str">
        <f>IFERROR(__xludf.DUMMYFUNCTION("""COMPUTED_VALUE"""),"a0rVT000013D3fNYAS")</f>
        <v>a0rVT000013D3fNYAS</v>
      </c>
      <c r="C679" s="12" t="str">
        <f>IFERROR(__xludf.DUMMYFUNCTION("""COMPUTED_VALUE"""),"0034X00003BjfQaQAJ")</f>
        <v>0034X00003BjfQaQAJ</v>
      </c>
      <c r="D679" s="12" t="str">
        <f>IFERROR(__xludf.DUMMYFUNCTION("""COMPUTED_VALUE"""),"Sara Teigen")</f>
        <v>Sara Teigen</v>
      </c>
      <c r="E679" s="12" t="str">
        <f>IFERROR(__xludf.DUMMYFUNCTION("""COMPUTED_VALUE"""),"sara.teigen@faithtechinc.com")</f>
        <v>sara.teigen@faithtechinc.com</v>
      </c>
      <c r="F679" s="12" t="str">
        <f>IFERROR(__xludf.DUMMYFUNCTION("""COMPUTED_VALUE"""),"Project Manager [Customer]")</f>
        <v>Project Manager [Customer]</v>
      </c>
    </row>
    <row r="680">
      <c r="A680" s="12" t="str">
        <f>IFERROR(__xludf.DUMMYFUNCTION("""COMPUTED_VALUE"""),"a0lVT000005qTZJYA2")</f>
        <v>a0lVT000005qTZJYA2</v>
      </c>
      <c r="B680" s="12" t="str">
        <f>IFERROR(__xludf.DUMMYFUNCTION("""COMPUTED_VALUE"""),"a0rVT000013D3fNYAS")</f>
        <v>a0rVT000013D3fNYAS</v>
      </c>
      <c r="C680" s="12" t="str">
        <f>IFERROR(__xludf.DUMMYFUNCTION("""COMPUTED_VALUE"""),"00380000026qL1WAAU")</f>
        <v>00380000026qL1WAAU</v>
      </c>
      <c r="D680" s="12" t="str">
        <f>IFERROR(__xludf.DUMMYFUNCTION("""COMPUTED_VALUE"""),"Sumi Sankaran")</f>
        <v>Sumi Sankaran</v>
      </c>
      <c r="E680" s="12" t="str">
        <f>IFERROR(__xludf.DUMMYFUNCTION("""COMPUTED_VALUE"""),"sumi.sankaran@workday.com")</f>
        <v>sumi.sankaran@workday.com</v>
      </c>
      <c r="F680" s="12" t="str">
        <f>IFERROR(__xludf.DUMMYFUNCTION("""COMPUTED_VALUE"""),"Deployment Sponsor")</f>
        <v>Deployment Sponsor</v>
      </c>
    </row>
    <row r="681">
      <c r="A681" s="12" t="str">
        <f>IFERROR(__xludf.DUMMYFUNCTION("""COMPUTED_VALUE"""),"a0lVT000005pUfVYAU")</f>
        <v>a0lVT000005pUfVYAU</v>
      </c>
      <c r="B681" s="12" t="str">
        <f>IFERROR(__xludf.DUMMYFUNCTION("""COMPUTED_VALUE"""),"a0rVT000013D3fNYAS")</f>
        <v>a0rVT000013D3fNYAS</v>
      </c>
      <c r="C681" s="12" t="str">
        <f>IFERROR(__xludf.DUMMYFUNCTION("""COMPUTED_VALUE"""),"0031B00002mO8bwQAC")</f>
        <v>0031B00002mO8bwQAC</v>
      </c>
      <c r="D681" s="12" t="str">
        <f>IFERROR(__xludf.DUMMYFUNCTION("""COMPUTED_VALUE"""),"Samantha Kowalski")</f>
        <v>Samantha Kowalski</v>
      </c>
      <c r="E681" s="12" t="str">
        <f>IFERROR(__xludf.DUMMYFUNCTION("""COMPUTED_VALUE"""),"samantha.kowalski@workday.com")</f>
        <v>samantha.kowalski@workday.com</v>
      </c>
      <c r="F681" s="12" t="str">
        <f>IFERROR(__xludf.DUMMYFUNCTION("""COMPUTED_VALUE"""),"Engagement Manager [Primary]")</f>
        <v>Engagement Manager [Primary]</v>
      </c>
    </row>
    <row r="682">
      <c r="A682" s="12" t="str">
        <f>IFERROR(__xludf.DUMMYFUNCTION("""COMPUTED_VALUE"""),"a0lVT000005wXn7YAE")</f>
        <v>a0lVT000005wXn7YAE</v>
      </c>
      <c r="B682" s="12" t="str">
        <f>IFERROR(__xludf.DUMMYFUNCTION("""COMPUTED_VALUE"""),"a0rVT000013WJTVYA4")</f>
        <v>a0rVT000013WJTVYA4</v>
      </c>
      <c r="C682" s="12" t="str">
        <f>IFERROR(__xludf.DUMMYFUNCTION("""COMPUTED_VALUE"""),"0038000001HTmLFAA1")</f>
        <v>0038000001HTmLFAA1</v>
      </c>
      <c r="D682" s="12" t="str">
        <f>IFERROR(__xludf.DUMMYFUNCTION("""COMPUTED_VALUE"""),"Angela Chu-Matsuno")</f>
        <v>Angela Chu-Matsuno</v>
      </c>
      <c r="E682" s="12" t="str">
        <f>IFERROR(__xludf.DUMMYFUNCTION("""COMPUTED_VALUE"""),"angela.chu-matsuno@workday.com")</f>
        <v>angela.chu-matsuno@workday.com</v>
      </c>
      <c r="F682" s="12" t="str">
        <f>IFERROR(__xludf.DUMMYFUNCTION("""COMPUTED_VALUE"""),"Deployment Sponsor")</f>
        <v>Deployment Sponsor</v>
      </c>
    </row>
    <row r="683">
      <c r="A683" s="12" t="str">
        <f>IFERROR(__xludf.DUMMYFUNCTION("""COMPUTED_VALUE"""),"a0lVT000005w2pmYAA")</f>
        <v>a0lVT000005w2pmYAA</v>
      </c>
      <c r="B683" s="12" t="str">
        <f>IFERROR(__xludf.DUMMYFUNCTION("""COMPUTED_VALUE"""),"a0rVT000013WJTVYA4")</f>
        <v>a0rVT000013WJTVYA4</v>
      </c>
      <c r="C683" s="12" t="str">
        <f>IFERROR(__xludf.DUMMYFUNCTION("""COMPUTED_VALUE"""),"0034X00003GOHUHQA5")</f>
        <v>0034X00003GOHUHQA5</v>
      </c>
      <c r="D683" s="12" t="str">
        <f>IFERROR(__xludf.DUMMYFUNCTION("""COMPUTED_VALUE"""),"Timothy Lawlor")</f>
        <v>Timothy Lawlor</v>
      </c>
      <c r="E683" s="12" t="str">
        <f>IFERROR(__xludf.DUMMYFUNCTION("""COMPUTED_VALUE"""),"tim_lawlor@homedepot.com")</f>
        <v>tim_lawlor@homedepot.com</v>
      </c>
      <c r="F683" s="12" t="str">
        <f>IFERROR(__xludf.DUMMYFUNCTION("""COMPUTED_VALUE"""),"Project Manager [Customer]")</f>
        <v>Project Manager [Customer]</v>
      </c>
    </row>
    <row r="684">
      <c r="A684" s="12" t="str">
        <f>IFERROR(__xludf.DUMMYFUNCTION("""COMPUTED_VALUE"""),"a0lVT000005w2poYAA")</f>
        <v>a0lVT000005w2poYAA</v>
      </c>
      <c r="B684" s="12" t="str">
        <f>IFERROR(__xludf.DUMMYFUNCTION("""COMPUTED_VALUE"""),"a0rVT000013WJTVYA4")</f>
        <v>a0rVT000013WJTVYA4</v>
      </c>
      <c r="C684" s="12" t="str">
        <f>IFERROR(__xludf.DUMMYFUNCTION("""COMPUTED_VALUE"""),"0031B00002gdaHFQAY")</f>
        <v>0031B00002gdaHFQAY</v>
      </c>
      <c r="D684" s="12" t="str">
        <f>IFERROR(__xludf.DUMMYFUNCTION("""COMPUTED_VALUE"""),"Lisa Gross")</f>
        <v>Lisa Gross</v>
      </c>
      <c r="E684" s="12" t="str">
        <f>IFERROR(__xludf.DUMMYFUNCTION("""COMPUTED_VALUE"""),"lisa.gross@skadden.com")</f>
        <v>lisa.gross@skadden.com</v>
      </c>
      <c r="F684" s="12" t="str">
        <f>IFERROR(__xludf.DUMMYFUNCTION("""COMPUTED_VALUE"""),"Executive Sponsor")</f>
        <v>Executive Sponsor</v>
      </c>
    </row>
    <row r="685">
      <c r="A685" s="12" t="str">
        <f>IFERROR(__xludf.DUMMYFUNCTION("""COMPUTED_VALUE"""),"a0lVT000005w2pnYAA")</f>
        <v>a0lVT000005w2pnYAA</v>
      </c>
      <c r="B685" s="12" t="str">
        <f>IFERROR(__xludf.DUMMYFUNCTION("""COMPUTED_VALUE"""),"a0rVT000013WJTVYA4")</f>
        <v>a0rVT000013WJTVYA4</v>
      </c>
      <c r="C685" s="12" t="str">
        <f>IFERROR(__xludf.DUMMYFUNCTION("""COMPUTED_VALUE"""),"0034X00003Jutc5QAB")</f>
        <v>0034X00003Jutc5QAB</v>
      </c>
      <c r="D685" s="12" t="str">
        <f>IFERROR(__xludf.DUMMYFUNCTION("""COMPUTED_VALUE"""),"Cox Val")</f>
        <v>Cox Val</v>
      </c>
      <c r="E685" s="12" t="str">
        <f>IFERROR(__xludf.DUMMYFUNCTION("""COMPUTED_VALUE"""),"val_cox@homedepot.com")</f>
        <v>val_cox@homedepot.com</v>
      </c>
      <c r="F685" s="12" t="str">
        <f>IFERROR(__xludf.DUMMYFUNCTION("""COMPUTED_VALUE"""),"Executive Sponsor")</f>
        <v>Executive Sponsor</v>
      </c>
    </row>
    <row r="686">
      <c r="A686" s="12" t="str">
        <f>IFERROR(__xludf.DUMMYFUNCTION("""COMPUTED_VALUE"""),"a0lVT000005qje5YAA")</f>
        <v>a0lVT000005qje5YAA</v>
      </c>
      <c r="B686" s="12" t="str">
        <f>IFERROR(__xludf.DUMMYFUNCTION("""COMPUTED_VALUE"""),"a0rVT000013WJTVYA4")</f>
        <v>a0rVT000013WJTVYA4</v>
      </c>
      <c r="C686" s="12" t="str">
        <f>IFERROR(__xludf.DUMMYFUNCTION("""COMPUTED_VALUE"""),"003VT00000c69PMYAY")</f>
        <v>003VT00000c69PMYAY</v>
      </c>
      <c r="D686" s="12" t="str">
        <f>IFERROR(__xludf.DUMMYFUNCTION("""COMPUTED_VALUE"""),"Brad Whitford")</f>
        <v>Brad Whitford</v>
      </c>
      <c r="E686" s="12" t="str">
        <f>IFERROR(__xludf.DUMMYFUNCTION("""COMPUTED_VALUE"""),"brad.whitford@workday.com")</f>
        <v>brad.whitford@workday.com</v>
      </c>
      <c r="F686" s="12" t="str">
        <f>IFERROR(__xludf.DUMMYFUNCTION("""COMPUTED_VALUE"""),"Engagement Manager [Primary]")</f>
        <v>Engagement Manager [Primary]</v>
      </c>
    </row>
    <row r="687">
      <c r="A687" s="12" t="str">
        <f>IFERROR(__xludf.DUMMYFUNCTION("""COMPUTED_VALUE"""),"a0lVT000005twN3YAI")</f>
        <v>a0lVT000005twN3YAI</v>
      </c>
      <c r="B687" s="12" t="str">
        <f>IFERROR(__xludf.DUMMYFUNCTION("""COMPUTED_VALUE"""),"a0rVT000013WJTVYA4")</f>
        <v>a0rVT000013WJTVYA4</v>
      </c>
      <c r="C687" s="12" t="str">
        <f>IFERROR(__xludf.DUMMYFUNCTION("""COMPUTED_VALUE"""),"0034X00002yXBHxQAO")</f>
        <v>0034X00002yXBHxQAO</v>
      </c>
      <c r="D687" s="12" t="str">
        <f>IFERROR(__xludf.DUMMYFUNCTION("""COMPUTED_VALUE"""),"Jennifer Mitchell")</f>
        <v>Jennifer Mitchell</v>
      </c>
      <c r="E687" s="12" t="str">
        <f>IFERROR(__xludf.DUMMYFUNCTION("""COMPUTED_VALUE"""),"jennifer.mitchell@workday.com")</f>
        <v>jennifer.mitchell@workday.com</v>
      </c>
      <c r="F687" s="12" t="str">
        <f>IFERROR(__xludf.DUMMYFUNCTION("""COMPUTED_VALUE"""),"Engagement Manager [Secondary]")</f>
        <v>Engagement Manager [Secondary]</v>
      </c>
    </row>
    <row r="688">
      <c r="A688" s="12" t="str">
        <f>IFERROR(__xludf.DUMMYFUNCTION("""COMPUTED_VALUE"""),"a0lVT000005w2plYAA")</f>
        <v>a0lVT000005w2plYAA</v>
      </c>
      <c r="B688" s="12" t="str">
        <f>IFERROR(__xludf.DUMMYFUNCTION("""COMPUTED_VALUE"""),"a0rVT000013WJTVYA4")</f>
        <v>a0rVT000013WJTVYA4</v>
      </c>
      <c r="C688" s="12" t="str">
        <f>IFERROR(__xludf.DUMMYFUNCTION("""COMPUTED_VALUE"""),"003VT00000TMFsqYAH")</f>
        <v>003VT00000TMFsqYAH</v>
      </c>
      <c r="D688" s="12" t="str">
        <f>IFERROR(__xludf.DUMMYFUNCTION("""COMPUTED_VALUE"""),"Dianna Sanchez")</f>
        <v>Dianna Sanchez</v>
      </c>
      <c r="E688" s="12" t="str">
        <f>IFERROR(__xludf.DUMMYFUNCTION("""COMPUTED_VALUE"""),"dianna_sanchez@homedepot.com")</f>
        <v>dianna_sanchez@homedepot.com</v>
      </c>
      <c r="F688" s="12" t="str">
        <f>IFERROR(__xludf.DUMMYFUNCTION("""COMPUTED_VALUE"""),"Project Manager [Customer]")</f>
        <v>Project Manager [Customer]</v>
      </c>
    </row>
    <row r="689">
      <c r="A689" s="12" t="str">
        <f>IFERROR(__xludf.DUMMYFUNCTION("""COMPUTED_VALUE"""),"a0lVT000006GqvFYAS")</f>
        <v>a0lVT000006GqvFYAS</v>
      </c>
      <c r="B689" s="12" t="str">
        <f>IFERROR(__xludf.DUMMYFUNCTION("""COMPUTED_VALUE"""),"a0rVT000013eXpRYAU")</f>
        <v>a0rVT000013eXpRYAU</v>
      </c>
      <c r="C689" s="12" t="str">
        <f>IFERROR(__xludf.DUMMYFUNCTION("""COMPUTED_VALUE"""),"0038000002KQ5fIAAT")</f>
        <v>0038000002KQ5fIAAT</v>
      </c>
      <c r="D689" s="12" t="str">
        <f>IFERROR(__xludf.DUMMYFUNCTION("""COMPUTED_VALUE"""),"Todd Fouts")</f>
        <v>Todd Fouts</v>
      </c>
      <c r="E689" s="12" t="str">
        <f>IFERROR(__xludf.DUMMYFUNCTION("""COMPUTED_VALUE"""),"todd.fouts@workday.com")</f>
        <v>todd.fouts@workday.com</v>
      </c>
      <c r="F689" s="12" t="str">
        <f>IFERROR(__xludf.DUMMYFUNCTION("""COMPUTED_VALUE"""),"Engagement Manager [Primary]")</f>
        <v>Engagement Manager [Primary]</v>
      </c>
    </row>
    <row r="690">
      <c r="A690" s="12" t="str">
        <f>IFERROR(__xludf.DUMMYFUNCTION("""COMPUTED_VALUE"""),"a0lVT000006H68qYAC")</f>
        <v>a0lVT000006H68qYAC</v>
      </c>
      <c r="B690" s="12" t="str">
        <f>IFERROR(__xludf.DUMMYFUNCTION("""COMPUTED_VALUE"""),"a0rVT000013eXpRYAU")</f>
        <v>a0rVT000013eXpRYAU</v>
      </c>
      <c r="C690" s="12" t="str">
        <f>IFERROR(__xludf.DUMMYFUNCTION("""COMPUTED_VALUE"""),"0038000001i7N4rAAE")</f>
        <v>0038000001i7N4rAAE</v>
      </c>
      <c r="D690" s="12" t="str">
        <f>IFERROR(__xludf.DUMMYFUNCTION("""COMPUTED_VALUE"""),"Val Tsvetkov")</f>
        <v>Val Tsvetkov</v>
      </c>
      <c r="E690" s="12" t="str">
        <f>IFERROR(__xludf.DUMMYFUNCTION("""COMPUTED_VALUE"""),"val.tsvetkov@workday.com")</f>
        <v>val.tsvetkov@workday.com</v>
      </c>
      <c r="F690" s="12" t="str">
        <f>IFERROR(__xludf.DUMMYFUNCTION("""COMPUTED_VALUE"""),"Deployment Sponsor")</f>
        <v>Deployment Sponsor</v>
      </c>
    </row>
    <row r="691">
      <c r="A691" s="12" t="str">
        <f>IFERROR(__xludf.DUMMYFUNCTION("""COMPUTED_VALUE"""),"a0lVT000005rHpRYAU")</f>
        <v>a0lVT000005rHpRYAU</v>
      </c>
      <c r="B691" s="12" t="str">
        <f>IFERROR(__xludf.DUMMYFUNCTION("""COMPUTED_VALUE"""),"a0rVT000013eXpRYAU")</f>
        <v>a0rVT000013eXpRYAU</v>
      </c>
      <c r="C691" s="12" t="str">
        <f>IFERROR(__xludf.DUMMYFUNCTION("""COMPUTED_VALUE"""),"0038000002K1SXXAA3")</f>
        <v>0038000002K1SXXAA3</v>
      </c>
      <c r="D691" s="12" t="str">
        <f>IFERROR(__xludf.DUMMYFUNCTION("""COMPUTED_VALUE"""),"Eric Evans")</f>
        <v>Eric Evans</v>
      </c>
      <c r="E691" s="12" t="str">
        <f>IFERROR(__xludf.DUMMYFUNCTION("""COMPUTED_VALUE"""),"eric.j.evans@workday.com")</f>
        <v>eric.j.evans@workday.com</v>
      </c>
      <c r="F691" s="12" t="str">
        <f>IFERROR(__xludf.DUMMYFUNCTION("""COMPUTED_VALUE"""),"Engagement Manager [Primary]")</f>
        <v>Engagement Manager [Primary]</v>
      </c>
    </row>
    <row r="692">
      <c r="A692" s="12" t="str">
        <f>IFERROR(__xludf.DUMMYFUNCTION("""COMPUTED_VALUE"""),"a0lVT000006H68pYAC")</f>
        <v>a0lVT000006H68pYAC</v>
      </c>
      <c r="B692" s="12" t="str">
        <f>IFERROR(__xludf.DUMMYFUNCTION("""COMPUTED_VALUE"""),"a0rVT000013eXpRYAU")</f>
        <v>a0rVT000013eXpRYAU</v>
      </c>
      <c r="C692" s="12" t="str">
        <f>IFERROR(__xludf.DUMMYFUNCTION("""COMPUTED_VALUE"""),"003VT00000Lml0aYAB")</f>
        <v>003VT00000Lml0aYAB</v>
      </c>
      <c r="D692" s="12" t="str">
        <f>IFERROR(__xludf.DUMMYFUNCTION("""COMPUTED_VALUE"""),"Robyn Greenlee")</f>
        <v>Robyn Greenlee</v>
      </c>
      <c r="E692" s="12" t="str">
        <f>IFERROR(__xludf.DUMMYFUNCTION("""COMPUTED_VALUE"""),"robyn.greenlee@motorolasolutions.com")</f>
        <v>robyn.greenlee@motorolasolutions.com</v>
      </c>
      <c r="F692" s="12" t="str">
        <f>IFERROR(__xludf.DUMMYFUNCTION("""COMPUTED_VALUE"""),"Project Manager [Customer]")</f>
        <v>Project Manager [Customer]</v>
      </c>
    </row>
    <row r="693">
      <c r="A693" s="12" t="str">
        <f>IFERROR(__xludf.DUMMYFUNCTION("""COMPUTED_VALUE"""),"a0lVT000006H68oYAC")</f>
        <v>a0lVT000006H68oYAC</v>
      </c>
      <c r="B693" s="12" t="str">
        <f>IFERROR(__xludf.DUMMYFUNCTION("""COMPUTED_VALUE"""),"a0rVT000013eXpRYAU")</f>
        <v>a0rVT000013eXpRYAU</v>
      </c>
      <c r="C693" s="12" t="str">
        <f>IFERROR(__xludf.DUMMYFUNCTION("""COMPUTED_VALUE"""),"0038000002Gj9tBAAR")</f>
        <v>0038000002Gj9tBAAR</v>
      </c>
      <c r="D693" s="12" t="str">
        <f>IFERROR(__xludf.DUMMYFUNCTION("""COMPUTED_VALUE"""),"Shea Lierman")</f>
        <v>Shea Lierman</v>
      </c>
      <c r="E693" s="12" t="str">
        <f>IFERROR(__xludf.DUMMYFUNCTION("""COMPUTED_VALUE"""),"shea.lierman@motorolasolutions.com")</f>
        <v>shea.lierman@motorolasolutions.com</v>
      </c>
      <c r="F693" s="12" t="str">
        <f>IFERROR(__xludf.DUMMYFUNCTION("""COMPUTED_VALUE"""),"Executive Sponsor")</f>
        <v>Executive Sponsor</v>
      </c>
    </row>
    <row r="694">
      <c r="A694" s="12" t="str">
        <f>IFERROR(__xludf.DUMMYFUNCTION("""COMPUTED_VALUE"""),"a0lVT000006JAHxYAO")</f>
        <v>a0lVT000006JAHxYAO</v>
      </c>
      <c r="B694" s="12" t="str">
        <f>IFERROR(__xludf.DUMMYFUNCTION("""COMPUTED_VALUE"""),"a0rVT000013mVldYAE")</f>
        <v>a0rVT000013mVldYAE</v>
      </c>
      <c r="C694" s="12" t="str">
        <f>IFERROR(__xludf.DUMMYFUNCTION("""COMPUTED_VALUE"""),"0038000001i7N4rAAE")</f>
        <v>0038000001i7N4rAAE</v>
      </c>
      <c r="D694" s="12" t="str">
        <f>IFERROR(__xludf.DUMMYFUNCTION("""COMPUTED_VALUE"""),"Val Tsvetkov")</f>
        <v>Val Tsvetkov</v>
      </c>
      <c r="E694" s="12" t="str">
        <f>IFERROR(__xludf.DUMMYFUNCTION("""COMPUTED_VALUE"""),"val.tsvetkov@workday.com")</f>
        <v>val.tsvetkov@workday.com</v>
      </c>
      <c r="F694" s="12" t="str">
        <f>IFERROR(__xludf.DUMMYFUNCTION("""COMPUTED_VALUE"""),"Deployment Sponsor")</f>
        <v>Deployment Sponsor</v>
      </c>
    </row>
    <row r="695">
      <c r="A695" s="12" t="str">
        <f>IFERROR(__xludf.DUMMYFUNCTION("""COMPUTED_VALUE"""),"a0lVT000006OcDaYAK")</f>
        <v>a0lVT000006OcDaYAK</v>
      </c>
      <c r="B695" s="12" t="str">
        <f>IFERROR(__xludf.DUMMYFUNCTION("""COMPUTED_VALUE"""),"a0rVT000013mVldYAE")</f>
        <v>a0rVT000013mVldYAE</v>
      </c>
      <c r="C695" s="12" t="str">
        <f>IFERROR(__xludf.DUMMYFUNCTION("""COMPUTED_VALUE"""),"0034X000039mXTUQA2")</f>
        <v>0034X000039mXTUQA2</v>
      </c>
      <c r="D695" s="12" t="str">
        <f>IFERROR(__xludf.DUMMYFUNCTION("""COMPUTED_VALUE"""),"Maria Gibbs")</f>
        <v>Maria Gibbs</v>
      </c>
      <c r="E695" s="12" t="str">
        <f>IFERROR(__xludf.DUMMYFUNCTION("""COMPUTED_VALUE"""),"maria.gibbs@wellsky.com")</f>
        <v>maria.gibbs@wellsky.com</v>
      </c>
      <c r="F695" s="12" t="str">
        <f>IFERROR(__xludf.DUMMYFUNCTION("""COMPUTED_VALUE"""),"Executive Sponsor")</f>
        <v>Executive Sponsor</v>
      </c>
    </row>
    <row r="696">
      <c r="A696" s="12" t="str">
        <f>IFERROR(__xludf.DUMMYFUNCTION("""COMPUTED_VALUE"""),"a0lVT000006OcDZYA0")</f>
        <v>a0lVT000006OcDZYA0</v>
      </c>
      <c r="B696" s="12" t="str">
        <f>IFERROR(__xludf.DUMMYFUNCTION("""COMPUTED_VALUE"""),"a0rVT000013mVldYAE")</f>
        <v>a0rVT000013mVldYAE</v>
      </c>
      <c r="C696" s="12" t="str">
        <f>IFERROR(__xludf.DUMMYFUNCTION("""COMPUTED_VALUE"""),"0034X00003T1DKVQA3")</f>
        <v>0034X00003T1DKVQA3</v>
      </c>
      <c r="D696" s="12" t="str">
        <f>IFERROR(__xludf.DUMMYFUNCTION("""COMPUTED_VALUE"""),"Kalin Watson")</f>
        <v>Kalin Watson</v>
      </c>
      <c r="E696" s="12" t="str">
        <f>IFERROR(__xludf.DUMMYFUNCTION("""COMPUTED_VALUE"""),"kalin.watson@wellsky.com")</f>
        <v>kalin.watson@wellsky.com</v>
      </c>
      <c r="F696" s="12" t="str">
        <f>IFERROR(__xludf.DUMMYFUNCTION("""COMPUTED_VALUE"""),"Project Manager [Customer]")</f>
        <v>Project Manager [Customer]</v>
      </c>
    </row>
    <row r="697">
      <c r="A697" s="12" t="str">
        <f>IFERROR(__xludf.DUMMYFUNCTION("""COMPUTED_VALUE"""),"a0lVT000005reinYAA")</f>
        <v>a0lVT000005reinYAA</v>
      </c>
      <c r="B697" s="12" t="str">
        <f>IFERROR(__xludf.DUMMYFUNCTION("""COMPUTED_VALUE"""),"a0rVT000013mVldYAE")</f>
        <v>a0rVT000013mVldYAE</v>
      </c>
      <c r="C697" s="12" t="str">
        <f>IFERROR(__xludf.DUMMYFUNCTION("""COMPUTED_VALUE"""),"003VT00000VGvjdYAD")</f>
        <v>003VT00000VGvjdYAD</v>
      </c>
      <c r="D697" s="12" t="str">
        <f>IFERROR(__xludf.DUMMYFUNCTION("""COMPUTED_VALUE"""),"William Porras")</f>
        <v>William Porras</v>
      </c>
      <c r="E697" s="12" t="str">
        <f>IFERROR(__xludf.DUMMYFUNCTION("""COMPUTED_VALUE"""),"william.porras@workday.com")</f>
        <v>william.porras@workday.com</v>
      </c>
      <c r="F697" s="12" t="str">
        <f>IFERROR(__xludf.DUMMYFUNCTION("""COMPUTED_VALUE"""),"Engagement Manager [Primary]")</f>
        <v>Engagement Manager [Primary]</v>
      </c>
    </row>
    <row r="698">
      <c r="A698" s="12" t="str">
        <f>IFERROR(__xludf.DUMMYFUNCTION("""COMPUTED_VALUE"""),"a0lVT000006KPrdYAG")</f>
        <v>a0lVT000006KPrdYAG</v>
      </c>
      <c r="B698" s="12" t="str">
        <f>IFERROR(__xludf.DUMMYFUNCTION("""COMPUTED_VALUE"""),"a0rVT000015YOJ3YAO")</f>
        <v>a0rVT000015YOJ3YAO</v>
      </c>
      <c r="C698" s="12" t="str">
        <f>IFERROR(__xludf.DUMMYFUNCTION("""COMPUTED_VALUE"""),"0034X00003EtGr8QAF")</f>
        <v>0034X00003EtGr8QAF</v>
      </c>
      <c r="D698" s="12" t="str">
        <f>IFERROR(__xludf.DUMMYFUNCTION("""COMPUTED_VALUE"""),"Aaron Barnes")</f>
        <v>Aaron Barnes</v>
      </c>
      <c r="E698" s="12" t="str">
        <f>IFERROR(__xludf.DUMMYFUNCTION("""COMPUTED_VALUE"""),"aaron.barnes@workday.com")</f>
        <v>aaron.barnes@workday.com</v>
      </c>
      <c r="F698" s="12" t="str">
        <f>IFERROR(__xludf.DUMMYFUNCTION("""COMPUTED_VALUE"""),"Deployment Sponsor")</f>
        <v>Deployment Sponsor</v>
      </c>
    </row>
    <row r="699">
      <c r="A699" s="12" t="str">
        <f>IFERROR(__xludf.DUMMYFUNCTION("""COMPUTED_VALUE"""),"a0lVT000006KMsAYAW")</f>
        <v>a0lVT000006KMsAYAW</v>
      </c>
      <c r="B699" s="12" t="str">
        <f>IFERROR(__xludf.DUMMYFUNCTION("""COMPUTED_VALUE"""),"a0rVT000015YOJ3YAO")</f>
        <v>a0rVT000015YOJ3YAO</v>
      </c>
      <c r="C699" s="12" t="str">
        <f>IFERROR(__xludf.DUMMYFUNCTION("""COMPUTED_VALUE"""),"003VT00000OUESmYAP")</f>
        <v>003VT00000OUESmYAP</v>
      </c>
      <c r="D699" s="12" t="str">
        <f>IFERROR(__xludf.DUMMYFUNCTION("""COMPUTED_VALUE"""),"Liz Mackay")</f>
        <v>Liz Mackay</v>
      </c>
      <c r="E699" s="12" t="str">
        <f>IFERROR(__xludf.DUMMYFUNCTION("""COMPUTED_VALUE"""),"lmackay@equinix.co")</f>
        <v>lmackay@equinix.co</v>
      </c>
      <c r="F699" s="12" t="str">
        <f>IFERROR(__xludf.DUMMYFUNCTION("""COMPUTED_VALUE"""),"Executive Sponsor")</f>
        <v>Executive Sponsor</v>
      </c>
    </row>
    <row r="700">
      <c r="A700" s="12" t="str">
        <f>IFERROR(__xludf.DUMMYFUNCTION("""COMPUTED_VALUE"""),"a0lVT000006KMs9YAG")</f>
        <v>a0lVT000006KMs9YAG</v>
      </c>
      <c r="B700" s="12" t="str">
        <f>IFERROR(__xludf.DUMMYFUNCTION("""COMPUTED_VALUE"""),"a0rVT000015YOJ3YAO")</f>
        <v>a0rVT000015YOJ3YAO</v>
      </c>
      <c r="C700" s="12" t="str">
        <f>IFERROR(__xludf.DUMMYFUNCTION("""COMPUTED_VALUE"""),"0034X00003BkV9IQAV")</f>
        <v>0034X00003BkV9IQAV</v>
      </c>
      <c r="D700" s="12" t="str">
        <f>IFERROR(__xludf.DUMMYFUNCTION("""COMPUTED_VALUE"""),"Demi Usamanont")</f>
        <v>Demi Usamanont</v>
      </c>
      <c r="E700" s="12" t="str">
        <f>IFERROR(__xludf.DUMMYFUNCTION("""COMPUTED_VALUE"""),"dusamanont@equinix.com")</f>
        <v>dusamanont@equinix.com</v>
      </c>
      <c r="F700" s="12" t="str">
        <f>IFERROR(__xludf.DUMMYFUNCTION("""COMPUTED_VALUE"""),"Project Manager [Customer]")</f>
        <v>Project Manager [Customer]</v>
      </c>
    </row>
    <row r="701">
      <c r="A701" s="12" t="str">
        <f>IFERROR(__xludf.DUMMYFUNCTION("""COMPUTED_VALUE"""),"a0lVT000006992DYAQ")</f>
        <v>a0lVT000006992DYAQ</v>
      </c>
      <c r="B701" s="12" t="str">
        <f>IFERROR(__xludf.DUMMYFUNCTION("""COMPUTED_VALUE"""),"a0rVT000015YOJ3YAO")</f>
        <v>a0rVT000015YOJ3YAO</v>
      </c>
      <c r="C701" s="12" t="str">
        <f>IFERROR(__xludf.DUMMYFUNCTION("""COMPUTED_VALUE"""),"0034X00003GMOLBQA5")</f>
        <v>0034X00003GMOLBQA5</v>
      </c>
      <c r="D701" s="12" t="str">
        <f>IFERROR(__xludf.DUMMYFUNCTION("""COMPUTED_VALUE"""),"Jamie Jackson")</f>
        <v>Jamie Jackson</v>
      </c>
      <c r="E701" s="12" t="str">
        <f>IFERROR(__xludf.DUMMYFUNCTION("""COMPUTED_VALUE"""),"jamie.jackson@workday.com")</f>
        <v>jamie.jackson@workday.com</v>
      </c>
      <c r="F701" s="12" t="str">
        <f>IFERROR(__xludf.DUMMYFUNCTION("""COMPUTED_VALUE"""),"Engagement Manager [Primary]")</f>
        <v>Engagement Manager [Primary]</v>
      </c>
    </row>
    <row r="702">
      <c r="A702" s="12" t="str">
        <f>IFERROR(__xludf.DUMMYFUNCTION("""COMPUTED_VALUE"""),"a0lVT000006GNrdYAG")</f>
        <v>a0lVT000006GNrdYAG</v>
      </c>
      <c r="B702" s="12" t="str">
        <f>IFERROR(__xludf.DUMMYFUNCTION("""COMPUTED_VALUE"""),"a0rVT000015bGOjYAM")</f>
        <v>a0rVT000015bGOjYAM</v>
      </c>
      <c r="C702" s="12" t="str">
        <f>IFERROR(__xludf.DUMMYFUNCTION("""COMPUTED_VALUE"""),"0038000001x0NzKAAU")</f>
        <v>0038000001x0NzKAAU</v>
      </c>
      <c r="D702" s="12" t="str">
        <f>IFERROR(__xludf.DUMMYFUNCTION("""COMPUTED_VALUE"""),"Helen Jakob-Rees")</f>
        <v>Helen Jakob-Rees</v>
      </c>
      <c r="E702" s="12" t="str">
        <f>IFERROR(__xludf.DUMMYFUNCTION("""COMPUTED_VALUE"""),"helen.jakob-rees@db.com")</f>
        <v>helen.jakob-rees@db.com</v>
      </c>
      <c r="F702" s="12" t="str">
        <f>IFERROR(__xludf.DUMMYFUNCTION("""COMPUTED_VALUE"""),"Project Manager [Customer]")</f>
        <v>Project Manager [Customer]</v>
      </c>
    </row>
    <row r="703">
      <c r="A703" s="12" t="str">
        <f>IFERROR(__xludf.DUMMYFUNCTION("""COMPUTED_VALUE"""),"a0lVT000006GAkjYAG")</f>
        <v>a0lVT000006GAkjYAG</v>
      </c>
      <c r="B703" s="12" t="str">
        <f>IFERROR(__xludf.DUMMYFUNCTION("""COMPUTED_VALUE"""),"a0rVT000015bGOjYAM")</f>
        <v>a0rVT000015bGOjYAM</v>
      </c>
      <c r="C703" s="12" t="str">
        <f>IFERROR(__xludf.DUMMYFUNCTION("""COMPUTED_VALUE"""),"003VT00000kOt2UYAS")</f>
        <v>003VT00000kOt2UYAS</v>
      </c>
      <c r="D703" s="12" t="str">
        <f>IFERROR(__xludf.DUMMYFUNCTION("""COMPUTED_VALUE"""),"Tim Le Maire")</f>
        <v>Tim Le Maire</v>
      </c>
      <c r="E703" s="12" t="str">
        <f>IFERROR(__xludf.DUMMYFUNCTION("""COMPUTED_VALUE"""),"tim.lemaire@workday.com")</f>
        <v>tim.lemaire@workday.com</v>
      </c>
      <c r="F703" s="12" t="str">
        <f>IFERROR(__xludf.DUMMYFUNCTION("""COMPUTED_VALUE"""),"Engagement Manager [Primary]")</f>
        <v>Engagement Manager [Primary]</v>
      </c>
    </row>
    <row r="704">
      <c r="A704" s="12" t="str">
        <f>IFERROR(__xludf.DUMMYFUNCTION("""COMPUTED_VALUE"""),"a0lVT000005xRSjYAM")</f>
        <v>a0lVT000005xRSjYAM</v>
      </c>
      <c r="B704" s="12" t="str">
        <f>IFERROR(__xludf.DUMMYFUNCTION("""COMPUTED_VALUE"""),"a0rVT000015bGOjYAM")</f>
        <v>a0rVT000015bGOjYAM</v>
      </c>
      <c r="C704" s="12" t="str">
        <f>IFERROR(__xludf.DUMMYFUNCTION("""COMPUTED_VALUE"""),"0034X00003EtGr8QAF")</f>
        <v>0034X00003EtGr8QAF</v>
      </c>
      <c r="D704" s="12" t="str">
        <f>IFERROR(__xludf.DUMMYFUNCTION("""COMPUTED_VALUE"""),"Aaron Barnes")</f>
        <v>Aaron Barnes</v>
      </c>
      <c r="E704" s="12" t="str">
        <f>IFERROR(__xludf.DUMMYFUNCTION("""COMPUTED_VALUE"""),"aaron.barnes@workday.com")</f>
        <v>aaron.barnes@workday.com</v>
      </c>
      <c r="F704" s="12" t="str">
        <f>IFERROR(__xludf.DUMMYFUNCTION("""COMPUTED_VALUE"""),"Deployment Sponsor")</f>
        <v>Deployment Sponsor</v>
      </c>
    </row>
    <row r="705">
      <c r="A705" s="12" t="str">
        <f>IFERROR(__xludf.DUMMYFUNCTION("""COMPUTED_VALUE"""),"a0lVT000006GNq1YAG")</f>
        <v>a0lVT000006GNq1YAG</v>
      </c>
      <c r="B705" s="12" t="str">
        <f>IFERROR(__xludf.DUMMYFUNCTION("""COMPUTED_VALUE"""),"a0rVT000015bGOjYAM")</f>
        <v>a0rVT000015bGOjYAM</v>
      </c>
      <c r="C705" s="12" t="str">
        <f>IFERROR(__xludf.DUMMYFUNCTION("""COMPUTED_VALUE"""),"0034X000030SP96QAG")</f>
        <v>0034X000030SP96QAG</v>
      </c>
      <c r="D705" s="12" t="str">
        <f>IFERROR(__xludf.DUMMYFUNCTION("""COMPUTED_VALUE"""),"Helen Jakob-Rees")</f>
        <v>Helen Jakob-Rees</v>
      </c>
      <c r="E705" s="12" t="str">
        <f>IFERROR(__xludf.DUMMYFUNCTION("""COMPUTED_VALUE"""),"dnu_helen.jakob-rees@db.com")</f>
        <v>dnu_helen.jakob-rees@db.com</v>
      </c>
      <c r="F705" s="12" t="str">
        <f>IFERROR(__xludf.DUMMYFUNCTION("""COMPUTED_VALUE"""),"Project Manager [Customer]")</f>
        <v>Project Manager [Customer]</v>
      </c>
    </row>
    <row r="706">
      <c r="A706" s="12" t="str">
        <f>IFERROR(__xludf.DUMMYFUNCTION("""COMPUTED_VALUE"""),"a0lVT000006GNtFYAW")</f>
        <v>a0lVT000006GNtFYAW</v>
      </c>
      <c r="B706" s="12" t="str">
        <f>IFERROR(__xludf.DUMMYFUNCTION("""COMPUTED_VALUE"""),"a0rVT000015bGOjYAM")</f>
        <v>a0rVT000015bGOjYAM</v>
      </c>
      <c r="C706" s="12" t="str">
        <f>IFERROR(__xludf.DUMMYFUNCTION("""COMPUTED_VALUE"""),"0038000001loJg6AAE")</f>
        <v>0038000001loJg6AAE</v>
      </c>
      <c r="D706" s="12" t="str">
        <f>IFERROR(__xludf.DUMMYFUNCTION("""COMPUTED_VALUE"""),"Lloyd Mayers")</f>
        <v>Lloyd Mayers</v>
      </c>
      <c r="E706" s="12" t="str">
        <f>IFERROR(__xludf.DUMMYFUNCTION("""COMPUTED_VALUE"""),"lloyd.mayers@db.com")</f>
        <v>lloyd.mayers@db.com</v>
      </c>
      <c r="F706" s="12" t="str">
        <f>IFERROR(__xludf.DUMMYFUNCTION("""COMPUTED_VALUE"""),"Executive Sponsor")</f>
        <v>Executive Sponsor</v>
      </c>
    </row>
    <row r="707">
      <c r="A707" s="12" t="str">
        <f>IFERROR(__xludf.DUMMYFUNCTION("""COMPUTED_VALUE"""),"a0lVT0000061tyHYAQ")</f>
        <v>a0lVT0000061tyHYAQ</v>
      </c>
      <c r="B707" s="12" t="str">
        <f>IFERROR(__xludf.DUMMYFUNCTION("""COMPUTED_VALUE"""),"a0rVT000015kpddYAA")</f>
        <v>a0rVT000015kpddYAA</v>
      </c>
      <c r="C707" s="12" t="str">
        <f>IFERROR(__xludf.DUMMYFUNCTION("""COMPUTED_VALUE"""),"0034X00003RDgBCQA1")</f>
        <v>0034X00003RDgBCQA1</v>
      </c>
      <c r="D707" s="12" t="str">
        <f>IFERROR(__xludf.DUMMYFUNCTION("""COMPUTED_VALUE"""),"Paul Rakes")</f>
        <v>Paul Rakes</v>
      </c>
      <c r="E707" s="12" t="str">
        <f>IFERROR(__xludf.DUMMYFUNCTION("""COMPUTED_VALUE"""),"paulrakes@geico.com")</f>
        <v>paulrakes@geico.com</v>
      </c>
      <c r="F707" s="12" t="str">
        <f>IFERROR(__xludf.DUMMYFUNCTION("""COMPUTED_VALUE"""),"Project Manager [Customer]")</f>
        <v>Project Manager [Customer]</v>
      </c>
    </row>
    <row r="708">
      <c r="A708" s="12" t="str">
        <f>IFERROR(__xludf.DUMMYFUNCTION("""COMPUTED_VALUE"""),"a0lVT000005xewDYAQ")</f>
        <v>a0lVT000005xewDYAQ</v>
      </c>
      <c r="B708" s="12" t="str">
        <f>IFERROR(__xludf.DUMMYFUNCTION("""COMPUTED_VALUE"""),"a0rVT000015kpddYAA")</f>
        <v>a0rVT000015kpddYAA</v>
      </c>
      <c r="C708" s="12" t="str">
        <f>IFERROR(__xludf.DUMMYFUNCTION("""COMPUTED_VALUE"""),"0034X000033tzyTQAQ")</f>
        <v>0034X000033tzyTQAQ</v>
      </c>
      <c r="D708" s="12" t="str">
        <f>IFERROR(__xludf.DUMMYFUNCTION("""COMPUTED_VALUE"""),"Raj Menon")</f>
        <v>Raj Menon</v>
      </c>
      <c r="E708" s="12" t="str">
        <f>IFERROR(__xludf.DUMMYFUNCTION("""COMPUTED_VALUE"""),"raj.menon@workday.com")</f>
        <v>raj.menon@workday.com</v>
      </c>
      <c r="F708" s="12" t="str">
        <f>IFERROR(__xludf.DUMMYFUNCTION("""COMPUTED_VALUE"""),"Engagement Manager [Primary]")</f>
        <v>Engagement Manager [Primary]</v>
      </c>
    </row>
    <row r="709">
      <c r="A709" s="12" t="str">
        <f>IFERROR(__xludf.DUMMYFUNCTION("""COMPUTED_VALUE"""),"a0lVT0000066ZHNYA2")</f>
        <v>a0lVT0000066ZHNYA2</v>
      </c>
      <c r="B709" s="12" t="str">
        <f>IFERROR(__xludf.DUMMYFUNCTION("""COMPUTED_VALUE"""),"a0rVT000015kpddYAA")</f>
        <v>a0rVT000015kpddYAA</v>
      </c>
      <c r="C709" s="12" t="str">
        <f>IFERROR(__xludf.DUMMYFUNCTION("""COMPUTED_VALUE"""),"0031B00002nAbmDQAS")</f>
        <v>0031B00002nAbmDQAS</v>
      </c>
      <c r="D709" s="12" t="str">
        <f>IFERROR(__xludf.DUMMYFUNCTION("""COMPUTED_VALUE"""),"Nick Saitta")</f>
        <v>Nick Saitta</v>
      </c>
      <c r="E709" s="12" t="str">
        <f>IFERROR(__xludf.DUMMYFUNCTION("""COMPUTED_VALUE"""),"nicholas.saitta@workday.com")</f>
        <v>nicholas.saitta@workday.com</v>
      </c>
      <c r="F709" s="12" t="str">
        <f>IFERROR(__xludf.DUMMYFUNCTION("""COMPUTED_VALUE"""),"Deployment Sponsor")</f>
        <v>Deployment Sponsor</v>
      </c>
    </row>
    <row r="710">
      <c r="A710" s="12" t="str">
        <f>IFERROR(__xludf.DUMMYFUNCTION("""COMPUTED_VALUE"""),"a0lVT0000061tyIYAQ")</f>
        <v>a0lVT0000061tyIYAQ</v>
      </c>
      <c r="B710" s="12" t="str">
        <f>IFERROR(__xludf.DUMMYFUNCTION("""COMPUTED_VALUE"""),"a0rVT000015kpddYAA")</f>
        <v>a0rVT000015kpddYAA</v>
      </c>
      <c r="C710" s="12" t="str">
        <f>IFERROR(__xludf.DUMMYFUNCTION("""COMPUTED_VALUE"""),"0034X00003S8pqyQAB")</f>
        <v>0034X00003S8pqyQAB</v>
      </c>
      <c r="D710" s="12" t="str">
        <f>IFERROR(__xludf.DUMMYFUNCTION("""COMPUTED_VALUE"""),"Dina Stewart")</f>
        <v>Dina Stewart</v>
      </c>
      <c r="E710" s="12" t="str">
        <f>IFERROR(__xludf.DUMMYFUNCTION("""COMPUTED_VALUE"""),"dinastewart@geico.com")</f>
        <v>dinastewart@geico.com</v>
      </c>
      <c r="F710" s="12" t="str">
        <f>IFERROR(__xludf.DUMMYFUNCTION("""COMPUTED_VALUE"""),"Executive Sponsor")</f>
        <v>Executive Sponsor</v>
      </c>
    </row>
    <row r="711">
      <c r="A711" s="12" t="str">
        <f>IFERROR(__xludf.DUMMYFUNCTION("""COMPUTED_VALUE"""),"a0lVT000005xizpYAA")</f>
        <v>a0lVT000005xizpYAA</v>
      </c>
      <c r="B711" s="12" t="str">
        <f>IFERROR(__xludf.DUMMYFUNCTION("""COMPUTED_VALUE"""),"a0rVT000015kvZlYAI")</f>
        <v>a0rVT000015kvZlYAI</v>
      </c>
      <c r="C711" s="12" t="str">
        <f>IFERROR(__xludf.DUMMYFUNCTION("""COMPUTED_VALUE"""),"0034X00003RCR3wQAH")</f>
        <v>0034X00003RCR3wQAH</v>
      </c>
      <c r="D711" s="12" t="str">
        <f>IFERROR(__xludf.DUMMYFUNCTION("""COMPUTED_VALUE"""),"Yuriy Yushchenko")</f>
        <v>Yuriy Yushchenko</v>
      </c>
      <c r="E711" s="12" t="str">
        <f>IFERROR(__xludf.DUMMYFUNCTION("""COMPUTED_VALUE"""),"yuriy.yushchenko@workday.com")</f>
        <v>yuriy.yushchenko@workday.com</v>
      </c>
      <c r="F711" s="12" t="str">
        <f>IFERROR(__xludf.DUMMYFUNCTION("""COMPUTED_VALUE"""),"Engagement Manager [Primary]")</f>
        <v>Engagement Manager [Primary]</v>
      </c>
    </row>
    <row r="712">
      <c r="A712" s="12" t="str">
        <f>IFERROR(__xludf.DUMMYFUNCTION("""COMPUTED_VALUE"""),"a0lVT000006BLs5YAG")</f>
        <v>a0lVT000006BLs5YAG</v>
      </c>
      <c r="B712" s="12" t="str">
        <f>IFERROR(__xludf.DUMMYFUNCTION("""COMPUTED_VALUE"""),"a0rVT000015kvZlYAI")</f>
        <v>a0rVT000015kvZlYAI</v>
      </c>
      <c r="C712" s="12" t="str">
        <f>IFERROR(__xludf.DUMMYFUNCTION("""COMPUTED_VALUE"""),"0034X00003Erf62QAB")</f>
        <v>0034X00003Erf62QAB</v>
      </c>
      <c r="D712" s="12" t="str">
        <f>IFERROR(__xludf.DUMMYFUNCTION("""COMPUTED_VALUE"""),"Robert Bridges")</f>
        <v>Robert Bridges</v>
      </c>
      <c r="E712" s="12" t="str">
        <f>IFERROR(__xludf.DUMMYFUNCTION("""COMPUTED_VALUE"""),"robert.bridges@flutter.com")</f>
        <v>robert.bridges@flutter.com</v>
      </c>
      <c r="F712" s="12" t="str">
        <f>IFERROR(__xludf.DUMMYFUNCTION("""COMPUTED_VALUE"""),"Executive Sponsor")</f>
        <v>Executive Sponsor</v>
      </c>
    </row>
    <row r="713">
      <c r="A713" s="12" t="str">
        <f>IFERROR(__xludf.DUMMYFUNCTION("""COMPUTED_VALUE"""),"a0lVT000006BPXVYA4")</f>
        <v>a0lVT000006BPXVYA4</v>
      </c>
      <c r="B713" s="12" t="str">
        <f>IFERROR(__xludf.DUMMYFUNCTION("""COMPUTED_VALUE"""),"a0rVT000015kvZlYAI")</f>
        <v>a0rVT000015kvZlYAI</v>
      </c>
      <c r="C713" s="12" t="str">
        <f>IFERROR(__xludf.DUMMYFUNCTION("""COMPUTED_VALUE"""),"003VT00000tLhWvYAK")</f>
        <v>003VT00000tLhWvYAK</v>
      </c>
      <c r="D713" s="12" t="str">
        <f>IFERROR(__xludf.DUMMYFUNCTION("""COMPUTED_VALUE"""),"Katy Carter")</f>
        <v>Katy Carter</v>
      </c>
      <c r="E713" s="12" t="str">
        <f>IFERROR(__xludf.DUMMYFUNCTION("""COMPUTED_VALUE"""),"katy.carter@flutter.com")</f>
        <v>katy.carter@flutter.com</v>
      </c>
      <c r="F713" s="12" t="str">
        <f>IFERROR(__xludf.DUMMYFUNCTION("""COMPUTED_VALUE"""),"Project Manager [Customer]")</f>
        <v>Project Manager [Customer]</v>
      </c>
    </row>
    <row r="714">
      <c r="A714" s="12" t="str">
        <f>IFERROR(__xludf.DUMMYFUNCTION("""COMPUTED_VALUE"""),"a0lVT000006C0DhYAK")</f>
        <v>a0lVT000006C0DhYAK</v>
      </c>
      <c r="B714" s="12" t="str">
        <f>IFERROR(__xludf.DUMMYFUNCTION("""COMPUTED_VALUE"""),"a0rVT000015kvZlYAI")</f>
        <v>a0rVT000015kvZlYAI</v>
      </c>
      <c r="C714" s="12" t="str">
        <f>IFERROR(__xludf.DUMMYFUNCTION("""COMPUTED_VALUE"""),"003VT00000ZTlr1YAD")</f>
        <v>003VT00000ZTlr1YAD</v>
      </c>
      <c r="D714" s="12" t="str">
        <f>IFERROR(__xludf.DUMMYFUNCTION("""COMPUTED_VALUE"""),"Kieran Holland")</f>
        <v>Kieran Holland</v>
      </c>
      <c r="E714" s="12" t="str">
        <f>IFERROR(__xludf.DUMMYFUNCTION("""COMPUTED_VALUE"""),"kieran.holland@flutter.com")</f>
        <v>kieran.holland@flutter.com</v>
      </c>
      <c r="F714" s="12" t="str">
        <f>IFERROR(__xludf.DUMMYFUNCTION("""COMPUTED_VALUE"""),"Project Manager [Customer]")</f>
        <v>Project Manager [Customer]</v>
      </c>
    </row>
    <row r="715">
      <c r="A715" s="12" t="str">
        <f>IFERROR(__xludf.DUMMYFUNCTION("""COMPUTED_VALUE"""),"a0lVT00000609XhYAI")</f>
        <v>a0lVT00000609XhYAI</v>
      </c>
      <c r="B715" s="12" t="str">
        <f>IFERROR(__xludf.DUMMYFUNCTION("""COMPUTED_VALUE"""),"a0rVT000015kvZlYAI")</f>
        <v>a0rVT000015kvZlYAI</v>
      </c>
      <c r="C715" s="12" t="str">
        <f>IFERROR(__xludf.DUMMYFUNCTION("""COMPUTED_VALUE"""),"00380000021wifiAAA")</f>
        <v>00380000021wifiAAA</v>
      </c>
      <c r="D715" s="12" t="str">
        <f>IFERROR(__xludf.DUMMYFUNCTION("""COMPUTED_VALUE"""),"Keith Lawless")</f>
        <v>Keith Lawless</v>
      </c>
      <c r="E715" s="12" t="str">
        <f>IFERROR(__xludf.DUMMYFUNCTION("""COMPUTED_VALUE"""),"keith.lawless@workday.com")</f>
        <v>keith.lawless@workday.com</v>
      </c>
      <c r="F715" s="12" t="str">
        <f>IFERROR(__xludf.DUMMYFUNCTION("""COMPUTED_VALUE"""),"Deployment Sponsor")</f>
        <v>Deployment Sponsor</v>
      </c>
    </row>
    <row r="716">
      <c r="A716" s="12" t="str">
        <f>IFERROR(__xludf.DUMMYFUNCTION("""COMPUTED_VALUE"""),"a0lVT000006Bx1JYAS")</f>
        <v>a0lVT000006Bx1JYAS</v>
      </c>
      <c r="B716" s="12" t="str">
        <f>IFERROR(__xludf.DUMMYFUNCTION("""COMPUTED_VALUE"""),"a0rVT00001639PNYAY")</f>
        <v>a0rVT00001639PNYAY</v>
      </c>
      <c r="C716" s="12" t="str">
        <f>IFERROR(__xludf.DUMMYFUNCTION("""COMPUTED_VALUE"""),"003VT00000fc0S1YAI")</f>
        <v>003VT00000fc0S1YAI</v>
      </c>
      <c r="D716" s="12" t="str">
        <f>IFERROR(__xludf.DUMMYFUNCTION("""COMPUTED_VALUE"""),"Wayne Pacholl")</f>
        <v>Wayne Pacholl</v>
      </c>
      <c r="E716" s="12" t="str">
        <f>IFERROR(__xludf.DUMMYFUNCTION("""COMPUTED_VALUE"""),"wayne.pacholl@capgroup.com")</f>
        <v>wayne.pacholl@capgroup.com</v>
      </c>
      <c r="F716" s="12" t="str">
        <f>IFERROR(__xludf.DUMMYFUNCTION("""COMPUTED_VALUE"""),"Project Manager [Customer]")</f>
        <v>Project Manager [Customer]</v>
      </c>
    </row>
    <row r="717">
      <c r="A717" s="12" t="str">
        <f>IFERROR(__xludf.DUMMYFUNCTION("""COMPUTED_VALUE"""),"a0lVT000006DS6HYAW")</f>
        <v>a0lVT000006DS6HYAW</v>
      </c>
      <c r="B717" s="12" t="str">
        <f>IFERROR(__xludf.DUMMYFUNCTION("""COMPUTED_VALUE"""),"a0rVT00001639PNYAY")</f>
        <v>a0rVT00001639PNYAY</v>
      </c>
      <c r="C717" s="12" t="str">
        <f>IFERROR(__xludf.DUMMYFUNCTION("""COMPUTED_VALUE"""),"0034X00003EtGr8QAF")</f>
        <v>0034X00003EtGr8QAF</v>
      </c>
      <c r="D717" s="12" t="str">
        <f>IFERROR(__xludf.DUMMYFUNCTION("""COMPUTED_VALUE"""),"Aaron Barnes")</f>
        <v>Aaron Barnes</v>
      </c>
      <c r="E717" s="12" t="str">
        <f>IFERROR(__xludf.DUMMYFUNCTION("""COMPUTED_VALUE"""),"aaron.barnes@workday.com")</f>
        <v>aaron.barnes@workday.com</v>
      </c>
      <c r="F717" s="12" t="str">
        <f>IFERROR(__xludf.DUMMYFUNCTION("""COMPUTED_VALUE"""),"Deployment Sponsor")</f>
        <v>Deployment Sponsor</v>
      </c>
    </row>
    <row r="718">
      <c r="A718" s="12" t="str">
        <f>IFERROR(__xludf.DUMMYFUNCTION("""COMPUTED_VALUE"""),"a0lVT000006Bx1KYAS")</f>
        <v>a0lVT000006Bx1KYAS</v>
      </c>
      <c r="B718" s="12" t="str">
        <f>IFERROR(__xludf.DUMMYFUNCTION("""COMPUTED_VALUE"""),"a0rVT00001639PNYAY")</f>
        <v>a0rVT00001639PNYAY</v>
      </c>
      <c r="C718" s="12" t="str">
        <f>IFERROR(__xludf.DUMMYFUNCTION("""COMPUTED_VALUE"""),"003VT00000ZQ1HFYA1")</f>
        <v>003VT00000ZQ1HFYA1</v>
      </c>
      <c r="D718" s="12" t="str">
        <f>IFERROR(__xludf.DUMMYFUNCTION("""COMPUTED_VALUE"""),"Christina Bibby")</f>
        <v>Christina Bibby</v>
      </c>
      <c r="E718" s="12" t="str">
        <f>IFERROR(__xludf.DUMMYFUNCTION("""COMPUTED_VALUE"""),"christina.bibbyweitzman@capgroup.com")</f>
        <v>christina.bibbyweitzman@capgroup.com</v>
      </c>
      <c r="F718" s="12" t="str">
        <f>IFERROR(__xludf.DUMMYFUNCTION("""COMPUTED_VALUE"""),"Executive Sponsor")</f>
        <v>Executive Sponsor</v>
      </c>
    </row>
    <row r="719">
      <c r="A719" s="12" t="str">
        <f>IFERROR(__xludf.DUMMYFUNCTION("""COMPUTED_VALUE"""),"a0lVT000005yXr3YAE")</f>
        <v>a0lVT000005yXr3YAE</v>
      </c>
      <c r="B719" s="12" t="str">
        <f>IFERROR(__xludf.DUMMYFUNCTION("""COMPUTED_VALUE"""),"a0rVT00001639PNYAY")</f>
        <v>a0rVT00001639PNYAY</v>
      </c>
      <c r="C719" s="12" t="str">
        <f>IFERROR(__xludf.DUMMYFUNCTION("""COMPUTED_VALUE"""),"0034X00003T2sCmQAJ")</f>
        <v>0034X00003T2sCmQAJ</v>
      </c>
      <c r="D719" s="12" t="str">
        <f>IFERROR(__xludf.DUMMYFUNCTION("""COMPUTED_VALUE"""),"Felix Cordero")</f>
        <v>Felix Cordero</v>
      </c>
      <c r="E719" s="12" t="str">
        <f>IFERROR(__xludf.DUMMYFUNCTION("""COMPUTED_VALUE"""),"felix.cordero@workday.com")</f>
        <v>felix.cordero@workday.com</v>
      </c>
      <c r="F719" s="12" t="str">
        <f>IFERROR(__xludf.DUMMYFUNCTION("""COMPUTED_VALUE"""),"Engagement Manager [Primary]")</f>
        <v>Engagement Manager [Primary]</v>
      </c>
    </row>
    <row r="720">
      <c r="A720" s="12" t="str">
        <f>IFERROR(__xludf.DUMMYFUNCTION("""COMPUTED_VALUE"""),"a0lVT000005z06fYAA")</f>
        <v>a0lVT000005z06fYAA</v>
      </c>
      <c r="B720" s="12" t="str">
        <f>IFERROR(__xludf.DUMMYFUNCTION("""COMPUTED_VALUE"""),"a0rVT0000169oJxYAI")</f>
        <v>a0rVT0000169oJxYAI</v>
      </c>
      <c r="C720" s="12" t="str">
        <f>IFERROR(__xludf.DUMMYFUNCTION("""COMPUTED_VALUE"""),"0034X00002yTifpQAC")</f>
        <v>0034X00002yTifpQAC</v>
      </c>
      <c r="D720" s="12" t="str">
        <f>IFERROR(__xludf.DUMMYFUNCTION("""COMPUTED_VALUE"""),"Tyler Mandry")</f>
        <v>Tyler Mandry</v>
      </c>
      <c r="E720" s="12" t="str">
        <f>IFERROR(__xludf.DUMMYFUNCTION("""COMPUTED_VALUE"""),"tyler.mandry@workday.com")</f>
        <v>tyler.mandry@workday.com</v>
      </c>
      <c r="F720" s="12" t="str">
        <f>IFERROR(__xludf.DUMMYFUNCTION("""COMPUTED_VALUE"""),"Engagement Manager [Primary]")</f>
        <v>Engagement Manager [Primary]</v>
      </c>
    </row>
    <row r="721">
      <c r="A721" s="12" t="str">
        <f>IFERROR(__xludf.DUMMYFUNCTION("""COMPUTED_VALUE"""),"a0lVT0000066h8UYAQ")</f>
        <v>a0lVT0000066h8UYAQ</v>
      </c>
      <c r="B721" s="12" t="str">
        <f>IFERROR(__xludf.DUMMYFUNCTION("""COMPUTED_VALUE"""),"a0rVT0000169oJxYAI")</f>
        <v>a0rVT0000169oJxYAI</v>
      </c>
      <c r="C721" s="12" t="str">
        <f>IFERROR(__xludf.DUMMYFUNCTION("""COMPUTED_VALUE"""),"003VT00000fbziIYAQ")</f>
        <v>003VT00000fbziIYAQ</v>
      </c>
      <c r="D721" s="12" t="str">
        <f>IFERROR(__xludf.DUMMYFUNCTION("""COMPUTED_VALUE"""),"Renee Doering")</f>
        <v>Renee Doering</v>
      </c>
      <c r="E721" s="12" t="str">
        <f>IFERROR(__xludf.DUMMYFUNCTION("""COMPUTED_VALUE"""),"renee.doering@epikafleet.com")</f>
        <v>renee.doering@epikafleet.com</v>
      </c>
      <c r="F721" s="12" t="str">
        <f>IFERROR(__xludf.DUMMYFUNCTION("""COMPUTED_VALUE"""),"Project Manager [Customer]")</f>
        <v>Project Manager [Customer]</v>
      </c>
    </row>
    <row r="722">
      <c r="A722" s="12" t="str">
        <f>IFERROR(__xludf.DUMMYFUNCTION("""COMPUTED_VALUE"""),"a0lVT0000066ja6YAA")</f>
        <v>a0lVT0000066ja6YAA</v>
      </c>
      <c r="B722" s="12" t="str">
        <f>IFERROR(__xludf.DUMMYFUNCTION("""COMPUTED_VALUE"""),"a0rVT0000169oJxYAI")</f>
        <v>a0rVT0000169oJxYAI</v>
      </c>
      <c r="C722" s="12" t="str">
        <f>IFERROR(__xludf.DUMMYFUNCTION("""COMPUTED_VALUE"""),"003VT00000s7JDLYA2")</f>
        <v>003VT00000s7JDLYA2</v>
      </c>
      <c r="D722" s="12" t="str">
        <f>IFERROR(__xludf.DUMMYFUNCTION("""COMPUTED_VALUE"""),"Jennifer Alfaro")</f>
        <v>Jennifer Alfaro</v>
      </c>
      <c r="E722" s="12" t="str">
        <f>IFERROR(__xludf.DUMMYFUNCTION("""COMPUTED_VALUE"""),"jennifer.alfaro@epikafleet.com")</f>
        <v>jennifer.alfaro@epikafleet.com</v>
      </c>
      <c r="F722" s="12" t="str">
        <f>IFERROR(__xludf.DUMMYFUNCTION("""COMPUTED_VALUE"""),"Project Manager [Customer]")</f>
        <v>Project Manager [Customer]</v>
      </c>
    </row>
    <row r="723">
      <c r="A723" s="12" t="str">
        <f>IFERROR(__xludf.DUMMYFUNCTION("""COMPUTED_VALUE"""),"a0lVT0000066ja5YAA")</f>
        <v>a0lVT0000066ja5YAA</v>
      </c>
      <c r="B723" s="12" t="str">
        <f>IFERROR(__xludf.DUMMYFUNCTION("""COMPUTED_VALUE"""),"a0rVT0000169oJxYAI")</f>
        <v>a0rVT0000169oJxYAI</v>
      </c>
      <c r="C723" s="12" t="str">
        <f>IFERROR(__xludf.DUMMYFUNCTION("""COMPUTED_VALUE"""),"003VT00000s7JDLYA2")</f>
        <v>003VT00000s7JDLYA2</v>
      </c>
      <c r="D723" s="12" t="str">
        <f>IFERROR(__xludf.DUMMYFUNCTION("""COMPUTED_VALUE"""),"Jennifer Alfaro")</f>
        <v>Jennifer Alfaro</v>
      </c>
      <c r="E723" s="12" t="str">
        <f>IFERROR(__xludf.DUMMYFUNCTION("""COMPUTED_VALUE"""),"jennifer.alfaro@epikafleet.com")</f>
        <v>jennifer.alfaro@epikafleet.com</v>
      </c>
      <c r="F723" s="12" t="str">
        <f>IFERROR(__xludf.DUMMYFUNCTION("""COMPUTED_VALUE"""),"Executive Sponsor")</f>
        <v>Executive Sponsor</v>
      </c>
    </row>
    <row r="724">
      <c r="A724" s="12" t="str">
        <f>IFERROR(__xludf.DUMMYFUNCTION("""COMPUTED_VALUE"""),"a0lVT0000066h8TYAQ")</f>
        <v>a0lVT0000066h8TYAQ</v>
      </c>
      <c r="B724" s="12" t="str">
        <f>IFERROR(__xludf.DUMMYFUNCTION("""COMPUTED_VALUE"""),"a0rVT0000169oJxYAI")</f>
        <v>a0rVT0000169oJxYAI</v>
      </c>
      <c r="C724" s="12" t="str">
        <f>IFERROR(__xludf.DUMMYFUNCTION("""COMPUTED_VALUE"""),"0038000002FRHEOAA5")</f>
        <v>0038000002FRHEOAA5</v>
      </c>
      <c r="D724" s="12" t="str">
        <f>IFERROR(__xludf.DUMMYFUNCTION("""COMPUTED_VALUE"""),"Subash Sitaraman")</f>
        <v>Subash Sitaraman</v>
      </c>
      <c r="E724" s="12" t="str">
        <f>IFERROR(__xludf.DUMMYFUNCTION("""COMPUTED_VALUE"""),"subash.sitaraman@workday.com")</f>
        <v>subash.sitaraman@workday.com</v>
      </c>
      <c r="F724" s="12" t="str">
        <f>IFERROR(__xludf.DUMMYFUNCTION("""COMPUTED_VALUE"""),"Deployment Sponsor")</f>
        <v>Deployment Sponsor</v>
      </c>
    </row>
    <row r="725">
      <c r="A725" s="12" t="str">
        <f>IFERROR(__xludf.DUMMYFUNCTION("""COMPUTED_VALUE"""),"a0lVT000005zVs1YAE")</f>
        <v>a0lVT000005zVs1YAE</v>
      </c>
      <c r="B725" s="12" t="str">
        <f>IFERROR(__xludf.DUMMYFUNCTION("""COMPUTED_VALUE"""),"a0rVT000016EHkzYAG")</f>
        <v>a0rVT000016EHkzYAG</v>
      </c>
      <c r="C725" s="12" t="str">
        <f>IFERROR(__xludf.DUMMYFUNCTION("""COMPUTED_VALUE"""),"0034X000032KSPgQAO")</f>
        <v>0034X000032KSPgQAO</v>
      </c>
      <c r="D725" s="12" t="str">
        <f>IFERROR(__xludf.DUMMYFUNCTION("""COMPUTED_VALUE"""),"Roshni V. Patel")</f>
        <v>Roshni V. Patel</v>
      </c>
      <c r="E725" s="12" t="str">
        <f>IFERROR(__xludf.DUMMYFUNCTION("""COMPUTED_VALUE"""),"rpatel@pmpediatrics.com")</f>
        <v>rpatel@pmpediatrics.com</v>
      </c>
      <c r="F725" s="12" t="str">
        <f>IFERROR(__xludf.DUMMYFUNCTION("""COMPUTED_VALUE"""),"Executive Sponsor")</f>
        <v>Executive Sponsor</v>
      </c>
    </row>
    <row r="726">
      <c r="A726" s="12" t="str">
        <f>IFERROR(__xludf.DUMMYFUNCTION("""COMPUTED_VALUE"""),"a0lVT000006CGf3YAG")</f>
        <v>a0lVT000006CGf3YAG</v>
      </c>
      <c r="B726" s="12" t="str">
        <f>IFERROR(__xludf.DUMMYFUNCTION("""COMPUTED_VALUE"""),"a0rVT000016EHkzYAG")</f>
        <v>a0rVT000016EHkzYAG</v>
      </c>
      <c r="C726" s="12" t="str">
        <f>IFERROR(__xludf.DUMMYFUNCTION("""COMPUTED_VALUE"""),"0038000002BsydtAAB")</f>
        <v>0038000002BsydtAAB</v>
      </c>
      <c r="D726" s="12" t="str">
        <f>IFERROR(__xludf.DUMMYFUNCTION("""COMPUTED_VALUE"""),"David Zucker")</f>
        <v>David Zucker</v>
      </c>
      <c r="E726" s="12" t="str">
        <f>IFERROR(__xludf.DUMMYFUNCTION("""COMPUTED_VALUE"""),"david.zucker@workday.com")</f>
        <v>david.zucker@workday.com</v>
      </c>
      <c r="F726" s="12" t="str">
        <f>IFERROR(__xludf.DUMMYFUNCTION("""COMPUTED_VALUE"""),"Engagement Manager [Primary]")</f>
        <v>Engagement Manager [Primary]</v>
      </c>
    </row>
    <row r="727">
      <c r="A727" s="12" t="str">
        <f>IFERROR(__xludf.DUMMYFUNCTION("""COMPUTED_VALUE"""),"a0lVT0000068R1BYAU")</f>
        <v>a0lVT0000068R1BYAU</v>
      </c>
      <c r="B727" s="12" t="str">
        <f>IFERROR(__xludf.DUMMYFUNCTION("""COMPUTED_VALUE"""),"a0rVT000016FUWUYA4")</f>
        <v>a0rVT000016FUWUYA4</v>
      </c>
      <c r="C727" s="12" t="str">
        <f>IFERROR(__xludf.DUMMYFUNCTION("""COMPUTED_VALUE"""),"0038000001fLiIPAA0")</f>
        <v>0038000001fLiIPAA0</v>
      </c>
      <c r="D727" s="12" t="str">
        <f>IFERROR(__xludf.DUMMYFUNCTION("""COMPUTED_VALUE"""),"Hannah Butler")</f>
        <v>Hannah Butler</v>
      </c>
      <c r="E727" s="12" t="str">
        <f>IFERROR(__xludf.DUMMYFUNCTION("""COMPUTED_VALUE"""),"hannah.johnston@workday.com")</f>
        <v>hannah.johnston@workday.com</v>
      </c>
      <c r="F727" s="12" t="str">
        <f>IFERROR(__xludf.DUMMYFUNCTION("""COMPUTED_VALUE"""),"Deployment Sponsor")</f>
        <v>Deployment Sponsor</v>
      </c>
    </row>
    <row r="728">
      <c r="A728" s="12" t="str">
        <f>IFERROR(__xludf.DUMMYFUNCTION("""COMPUTED_VALUE"""),"a0lVT0000068R1CYAU")</f>
        <v>a0lVT0000068R1CYAU</v>
      </c>
      <c r="B728" s="12" t="str">
        <f>IFERROR(__xludf.DUMMYFUNCTION("""COMPUTED_VALUE"""),"a0rVT000016FUWUYA4")</f>
        <v>a0rVT000016FUWUYA4</v>
      </c>
      <c r="C728" s="12" t="str">
        <f>IFERROR(__xludf.DUMMYFUNCTION("""COMPUTED_VALUE"""),"003VT00000cEhdaYAC")</f>
        <v>003VT00000cEhdaYAC</v>
      </c>
      <c r="D728" s="12" t="str">
        <f>IFERROR(__xludf.DUMMYFUNCTION("""COMPUTED_VALUE"""),"Jennifer Ingram")</f>
        <v>Jennifer Ingram</v>
      </c>
      <c r="E728" s="12" t="str">
        <f>IFERROR(__xludf.DUMMYFUNCTION("""COMPUTED_VALUE"""),"jennifer.ingram@centene.com")</f>
        <v>jennifer.ingram@centene.com</v>
      </c>
      <c r="F728" s="12" t="str">
        <f>IFERROR(__xludf.DUMMYFUNCTION("""COMPUTED_VALUE"""),"Executive Sponsor")</f>
        <v>Executive Sponsor</v>
      </c>
    </row>
    <row r="729">
      <c r="A729" s="12" t="str">
        <f>IFERROR(__xludf.DUMMYFUNCTION("""COMPUTED_VALUE"""),"a0lVT000005zNHlYAM")</f>
        <v>a0lVT000005zNHlYAM</v>
      </c>
      <c r="B729" s="12" t="str">
        <f>IFERROR(__xludf.DUMMYFUNCTION("""COMPUTED_VALUE"""),"a0rVT000016FUWUYA4")</f>
        <v>a0rVT000016FUWUYA4</v>
      </c>
      <c r="C729" s="12" t="str">
        <f>IFERROR(__xludf.DUMMYFUNCTION("""COMPUTED_VALUE"""),"0031B00002iqvuWQAQ")</f>
        <v>0031B00002iqvuWQAQ</v>
      </c>
      <c r="D729" s="12" t="str">
        <f>IFERROR(__xludf.DUMMYFUNCTION("""COMPUTED_VALUE"""),"Angelique Moore")</f>
        <v>Angelique Moore</v>
      </c>
      <c r="E729" s="12" t="str">
        <f>IFERROR(__xludf.DUMMYFUNCTION("""COMPUTED_VALUE"""),"angelique.moore@workday.com")</f>
        <v>angelique.moore@workday.com</v>
      </c>
      <c r="F729" s="12" t="str">
        <f>IFERROR(__xludf.DUMMYFUNCTION("""COMPUTED_VALUE"""),"Engagement Manager [Primary]")</f>
        <v>Engagement Manager [Primary]</v>
      </c>
    </row>
    <row r="730">
      <c r="A730" s="12" t="str">
        <f>IFERROR(__xludf.DUMMYFUNCTION("""COMPUTED_VALUE"""),"a0lVT0000060BZVYA2")</f>
        <v>a0lVT0000060BZVYA2</v>
      </c>
      <c r="B730" s="12" t="str">
        <f>IFERROR(__xludf.DUMMYFUNCTION("""COMPUTED_VALUE"""),"a0rVT000016FUWUYA4")</f>
        <v>a0rVT000016FUWUYA4</v>
      </c>
      <c r="C730" s="12" t="str">
        <f>IFERROR(__xludf.DUMMYFUNCTION("""COMPUTED_VALUE"""),"003VT00000pj26lYAA")</f>
        <v>003VT00000pj26lYAA</v>
      </c>
      <c r="D730" s="12" t="str">
        <f>IFERROR(__xludf.DUMMYFUNCTION("""COMPUTED_VALUE"""),"Aimee Keser")</f>
        <v>Aimee Keser</v>
      </c>
      <c r="E730" s="12" t="str">
        <f>IFERROR(__xludf.DUMMYFUNCTION("""COMPUTED_VALUE"""),"aimee.keser@centene.com")</f>
        <v>aimee.keser@centene.com</v>
      </c>
      <c r="F730" s="12" t="str">
        <f>IFERROR(__xludf.DUMMYFUNCTION("""COMPUTED_VALUE"""),"Project Manager [Customer]")</f>
        <v>Project Manager [Customer]</v>
      </c>
    </row>
    <row r="731">
      <c r="A731" s="12" t="str">
        <f>IFERROR(__xludf.DUMMYFUNCTION("""COMPUTED_VALUE"""),"a0lVT0000060BZWYA2")</f>
        <v>a0lVT0000060BZWYA2</v>
      </c>
      <c r="B731" s="12" t="str">
        <f>IFERROR(__xludf.DUMMYFUNCTION("""COMPUTED_VALUE"""),"a0rVT000016FUWUYA4")</f>
        <v>a0rVT000016FUWUYA4</v>
      </c>
      <c r="C731" s="12" t="str">
        <f>IFERROR(__xludf.DUMMYFUNCTION("""COMPUTED_VALUE"""),"0034X00002yU9KIQA0")</f>
        <v>0034X00002yU9KIQA0</v>
      </c>
      <c r="D731" s="12" t="str">
        <f>IFERROR(__xludf.DUMMYFUNCTION("""COMPUTED_VALUE"""),"CARLY PORTELL")</f>
        <v>CARLY PORTELL</v>
      </c>
      <c r="E731" s="12" t="str">
        <f>IFERROR(__xludf.DUMMYFUNCTION("""COMPUTED_VALUE"""),"carly.portell@centene.com")</f>
        <v>carly.portell@centene.com</v>
      </c>
      <c r="F731" s="12" t="str">
        <f>IFERROR(__xludf.DUMMYFUNCTION("""COMPUTED_VALUE"""),"Project Manager [Customer]")</f>
        <v>Project Manager [Customer]</v>
      </c>
    </row>
    <row r="732">
      <c r="A732" s="12" t="str">
        <f>IFERROR(__xludf.DUMMYFUNCTION("""COMPUTED_VALUE"""),"a0lVT0000062ncHYAQ")</f>
        <v>a0lVT0000062ncHYAQ</v>
      </c>
      <c r="B732" s="12" t="str">
        <f>IFERROR(__xludf.DUMMYFUNCTION("""COMPUTED_VALUE"""),"a0rVT000016dasTYAQ")</f>
        <v>a0rVT000016dasTYAQ</v>
      </c>
      <c r="C732" s="12" t="str">
        <f>IFERROR(__xludf.DUMMYFUNCTION("""COMPUTED_VALUE"""),"003VT00000kOt2UYAS")</f>
        <v>003VT00000kOt2UYAS</v>
      </c>
      <c r="D732" s="12" t="str">
        <f>IFERROR(__xludf.DUMMYFUNCTION("""COMPUTED_VALUE"""),"Tim Le Maire")</f>
        <v>Tim Le Maire</v>
      </c>
      <c r="E732" s="12" t="str">
        <f>IFERROR(__xludf.DUMMYFUNCTION("""COMPUTED_VALUE"""),"tim.lemaire@workday.com")</f>
        <v>tim.lemaire@workday.com</v>
      </c>
      <c r="F732" s="12" t="str">
        <f>IFERROR(__xludf.DUMMYFUNCTION("""COMPUTED_VALUE"""),"Engagement Manager [Primary]")</f>
        <v>Engagement Manager [Primary]</v>
      </c>
    </row>
    <row r="733">
      <c r="A733" s="12" t="str">
        <f>IFERROR(__xludf.DUMMYFUNCTION("""COMPUTED_VALUE"""),"a0lVT0000068eJNYAY")</f>
        <v>a0lVT0000068eJNYAY</v>
      </c>
      <c r="B733" s="12" t="str">
        <f>IFERROR(__xludf.DUMMYFUNCTION("""COMPUTED_VALUE"""),"a0rVT0000177jBxYAI")</f>
        <v>a0rVT0000177jBxYAI</v>
      </c>
      <c r="C733" s="12" t="str">
        <f>IFERROR(__xludf.DUMMYFUNCTION("""COMPUTED_VALUE"""),"003VT00000fbbH0YAI")</f>
        <v>003VT00000fbbH0YAI</v>
      </c>
      <c r="D733" s="12" t="str">
        <f>IFERROR(__xludf.DUMMYFUNCTION("""COMPUTED_VALUE"""),"Stephanie Wolfe")</f>
        <v>Stephanie Wolfe</v>
      </c>
      <c r="E733" s="12" t="str">
        <f>IFERROR(__xludf.DUMMYFUNCTION("""COMPUTED_VALUE"""),"swolfe@argenx.com")</f>
        <v>swolfe@argenx.com</v>
      </c>
      <c r="F733" s="12" t="str">
        <f>IFERROR(__xludf.DUMMYFUNCTION("""COMPUTED_VALUE"""),"Executive Sponsor")</f>
        <v>Executive Sponsor</v>
      </c>
    </row>
    <row r="734">
      <c r="A734" s="12" t="str">
        <f>IFERROR(__xludf.DUMMYFUNCTION("""COMPUTED_VALUE"""),"a0lVT0000062LswYAE")</f>
        <v>a0lVT0000062LswYAE</v>
      </c>
      <c r="B734" s="12" t="str">
        <f>IFERROR(__xludf.DUMMYFUNCTION("""COMPUTED_VALUE"""),"a0rVT0000177jBxYAI")</f>
        <v>a0rVT0000177jBxYAI</v>
      </c>
      <c r="C734" s="12" t="str">
        <f>IFERROR(__xludf.DUMMYFUNCTION("""COMPUTED_VALUE"""),"003VT00000fc4sfYAA")</f>
        <v>003VT00000fc4sfYAA</v>
      </c>
      <c r="D734" s="12" t="str">
        <f>IFERROR(__xludf.DUMMYFUNCTION("""COMPUTED_VALUE"""),"Katie Nehrenz")</f>
        <v>Katie Nehrenz</v>
      </c>
      <c r="E734" s="12" t="str">
        <f>IFERROR(__xludf.DUMMYFUNCTION("""COMPUTED_VALUE"""),"katie.nehrenz@workday.com")</f>
        <v>katie.nehrenz@workday.com</v>
      </c>
      <c r="F734" s="12" t="str">
        <f>IFERROR(__xludf.DUMMYFUNCTION("""COMPUTED_VALUE"""),"Engagement Manager [Primary]")</f>
        <v>Engagement Manager [Primary]</v>
      </c>
    </row>
    <row r="735">
      <c r="A735" s="12" t="str">
        <f>IFERROR(__xludf.DUMMYFUNCTION("""COMPUTED_VALUE"""),"a0lVT0000062O4PYAU")</f>
        <v>a0lVT0000062O4PYAU</v>
      </c>
      <c r="B735" s="12" t="str">
        <f>IFERROR(__xludf.DUMMYFUNCTION("""COMPUTED_VALUE"""),"a0rVT0000177jBxYAI")</f>
        <v>a0rVT0000177jBxYAI</v>
      </c>
      <c r="C735" s="12" t="str">
        <f>IFERROR(__xludf.DUMMYFUNCTION("""COMPUTED_VALUE"""),"0034X00003EtGr8QAF")</f>
        <v>0034X00003EtGr8QAF</v>
      </c>
      <c r="D735" s="12" t="str">
        <f>IFERROR(__xludf.DUMMYFUNCTION("""COMPUTED_VALUE"""),"Aaron Barnes")</f>
        <v>Aaron Barnes</v>
      </c>
      <c r="E735" s="12" t="str">
        <f>IFERROR(__xludf.DUMMYFUNCTION("""COMPUTED_VALUE"""),"aaron.barnes@workday.com")</f>
        <v>aaron.barnes@workday.com</v>
      </c>
      <c r="F735" s="12" t="str">
        <f>IFERROR(__xludf.DUMMYFUNCTION("""COMPUTED_VALUE"""),"Deployment Sponsor")</f>
        <v>Deployment Sponsor</v>
      </c>
    </row>
    <row r="736">
      <c r="A736" s="12" t="str">
        <f>IFERROR(__xludf.DUMMYFUNCTION("""COMPUTED_VALUE"""),"a0lVT0000068eKzYAI")</f>
        <v>a0lVT0000068eKzYAI</v>
      </c>
      <c r="B736" s="12" t="str">
        <f>IFERROR(__xludf.DUMMYFUNCTION("""COMPUTED_VALUE"""),"a0rVT0000177jBxYAI")</f>
        <v>a0rVT0000177jBxYAI</v>
      </c>
      <c r="C736" s="12" t="str">
        <f>IFERROR(__xludf.DUMMYFUNCTION("""COMPUTED_VALUE"""),"003VT00000rhtvZYAQ")</f>
        <v>003VT00000rhtvZYAQ</v>
      </c>
      <c r="D736" s="12" t="str">
        <f>IFERROR(__xludf.DUMMYFUNCTION("""COMPUTED_VALUE"""),"Paula Rogers")</f>
        <v>Paula Rogers</v>
      </c>
      <c r="E736" s="12" t="str">
        <f>IFERROR(__xludf.DUMMYFUNCTION("""COMPUTED_VALUE"""),"progers@argenx.com")</f>
        <v>progers@argenx.com</v>
      </c>
      <c r="F736" s="12" t="str">
        <f>IFERROR(__xludf.DUMMYFUNCTION("""COMPUTED_VALUE"""),"Project Manager [Customer]")</f>
        <v>Project Manager [Customer]</v>
      </c>
    </row>
    <row r="737">
      <c r="A737" s="12" t="str">
        <f>IFERROR(__xludf.DUMMYFUNCTION("""COMPUTED_VALUE"""),"a0lVT000006Ge1FYAS")</f>
        <v>a0lVT000006Ge1FYAS</v>
      </c>
      <c r="B737" s="12" t="str">
        <f>IFERROR(__xludf.DUMMYFUNCTION("""COMPUTED_VALUE"""),"a0rVT0000178HITYA2")</f>
        <v>a0rVT0000178HITYA2</v>
      </c>
      <c r="C737" s="12" t="str">
        <f>IFERROR(__xludf.DUMMYFUNCTION("""COMPUTED_VALUE"""),"0034X00002yWof1QAC")</f>
        <v>0034X00002yWof1QAC</v>
      </c>
      <c r="D737" s="12" t="str">
        <f>IFERROR(__xludf.DUMMYFUNCTION("""COMPUTED_VALUE"""),"Aaron Ormsby")</f>
        <v>Aaron Ormsby</v>
      </c>
      <c r="E737" s="12" t="str">
        <f>IFERROR(__xludf.DUMMYFUNCTION("""COMPUTED_VALUE"""),"aormsby@greenixpc.com")</f>
        <v>aormsby@greenixpc.com</v>
      </c>
      <c r="F737" s="12" t="str">
        <f>IFERROR(__xludf.DUMMYFUNCTION("""COMPUTED_VALUE"""),"Executive Sponsor")</f>
        <v>Executive Sponsor</v>
      </c>
    </row>
    <row r="738">
      <c r="A738" s="12" t="str">
        <f>IFERROR(__xludf.DUMMYFUNCTION("""COMPUTED_VALUE"""),"a0lVT000006Ge1GYAS")</f>
        <v>a0lVT000006Ge1GYAS</v>
      </c>
      <c r="B738" s="12" t="str">
        <f>IFERROR(__xludf.DUMMYFUNCTION("""COMPUTED_VALUE"""),"a0rVT0000178HITYA2")</f>
        <v>a0rVT0000178HITYA2</v>
      </c>
      <c r="C738" s="12" t="str">
        <f>IFERROR(__xludf.DUMMYFUNCTION("""COMPUTED_VALUE"""),"003VT00000mwC6nYAE")</f>
        <v>003VT00000mwC6nYAE</v>
      </c>
      <c r="D738" s="12" t="str">
        <f>IFERROR(__xludf.DUMMYFUNCTION("""COMPUTED_VALUE"""),"Taylor Watkins")</f>
        <v>Taylor Watkins</v>
      </c>
      <c r="E738" s="12" t="str">
        <f>IFERROR(__xludf.DUMMYFUNCTION("""COMPUTED_VALUE"""),"taylorwatkins@greenixpc.com")</f>
        <v>taylorwatkins@greenixpc.com</v>
      </c>
      <c r="F738" s="12" t="str">
        <f>IFERROR(__xludf.DUMMYFUNCTION("""COMPUTED_VALUE"""),"Project Manager [Customer]")</f>
        <v>Project Manager [Customer]</v>
      </c>
    </row>
    <row r="739">
      <c r="A739" s="12" t="str">
        <f>IFERROR(__xludf.DUMMYFUNCTION("""COMPUTED_VALUE"""),"a0lVT000006QD6DYAW")</f>
        <v>a0lVT000006QD6DYAW</v>
      </c>
      <c r="B739" s="12" t="str">
        <f>IFERROR(__xludf.DUMMYFUNCTION("""COMPUTED_VALUE"""),"a0rVT000017YW3BYAW")</f>
        <v>a0rVT000017YW3BYAW</v>
      </c>
      <c r="C739" s="12" t="str">
        <f>IFERROR(__xludf.DUMMYFUNCTION("""COMPUTED_VALUE"""),"0031B00002kRL6VQAW")</f>
        <v>0031B00002kRL6VQAW</v>
      </c>
      <c r="D739" s="12" t="str">
        <f>IFERROR(__xludf.DUMMYFUNCTION("""COMPUTED_VALUE"""),"Lindsey Hoffman")</f>
        <v>Lindsey Hoffman</v>
      </c>
      <c r="E739" s="12" t="str">
        <f>IFERROR(__xludf.DUMMYFUNCTION("""COMPUTED_VALUE"""),"lhoffman@mtm-inc.net")</f>
        <v>lhoffman@mtm-inc.net</v>
      </c>
      <c r="F739" s="12" t="str">
        <f>IFERROR(__xludf.DUMMYFUNCTION("""COMPUTED_VALUE"""),"Executive Sponsor")</f>
        <v>Executive Sponsor</v>
      </c>
    </row>
    <row r="740">
      <c r="A740" s="12" t="str">
        <f>IFERROR(__xludf.DUMMYFUNCTION("""COMPUTED_VALUE"""),"a0lVT000006QD6EYAW")</f>
        <v>a0lVT000006QD6EYAW</v>
      </c>
      <c r="B740" s="12" t="str">
        <f>IFERROR(__xludf.DUMMYFUNCTION("""COMPUTED_VALUE"""),"a0rVT000017YW3BYAW")</f>
        <v>a0rVT000017YW3BYAW</v>
      </c>
      <c r="C740" s="12" t="str">
        <f>IFERROR(__xludf.DUMMYFUNCTION("""COMPUTED_VALUE"""),"00380000028CBSBAA4")</f>
        <v>00380000028CBSBAA4</v>
      </c>
      <c r="D740" s="12" t="str">
        <f>IFERROR(__xludf.DUMMYFUNCTION("""COMPUTED_VALUE"""),"Brittany Elliott")</f>
        <v>Brittany Elliott</v>
      </c>
      <c r="E740" s="12" t="str">
        <f>IFERROR(__xludf.DUMMYFUNCTION("""COMPUTED_VALUE"""),"bnolle@mtm-inc.net")</f>
        <v>bnolle@mtm-inc.net</v>
      </c>
      <c r="F740" s="12" t="str">
        <f>IFERROR(__xludf.DUMMYFUNCTION("""COMPUTED_VALUE"""),"Project Manager [Customer]")</f>
        <v>Project Manager [Customer]</v>
      </c>
    </row>
    <row r="741">
      <c r="A741" s="12" t="str">
        <f>IFERROR(__xludf.DUMMYFUNCTION("""COMPUTED_VALUE"""),"a0lVT0000066armYAA")</f>
        <v>a0lVT0000066armYAA</v>
      </c>
      <c r="B741" s="12" t="str">
        <f>IFERROR(__xludf.DUMMYFUNCTION("""COMPUTED_VALUE"""),"a0rVT000017dRYTYA2")</f>
        <v>a0rVT000017dRYTYA2</v>
      </c>
      <c r="C741" s="12" t="str">
        <f>IFERROR(__xludf.DUMMYFUNCTION("""COMPUTED_VALUE"""),"0034X00003EuS5QQAV")</f>
        <v>0034X00003EuS5QQAV</v>
      </c>
      <c r="D741" s="12" t="str">
        <f>IFERROR(__xludf.DUMMYFUNCTION("""COMPUTED_VALUE"""),"Leslie Mesones")</f>
        <v>Leslie Mesones</v>
      </c>
      <c r="E741" s="12" t="str">
        <f>IFERROR(__xludf.DUMMYFUNCTION("""COMPUTED_VALUE"""),"lmesones@arcusbio.com")</f>
        <v>lmesones@arcusbio.com</v>
      </c>
      <c r="F741" s="12" t="str">
        <f>IFERROR(__xludf.DUMMYFUNCTION("""COMPUTED_VALUE"""),"Executive Sponsor")</f>
        <v>Executive Sponsor</v>
      </c>
    </row>
    <row r="742">
      <c r="A742" s="12" t="str">
        <f>IFERROR(__xludf.DUMMYFUNCTION("""COMPUTED_VALUE"""),"a0lVT0000066arlYAA")</f>
        <v>a0lVT0000066arlYAA</v>
      </c>
      <c r="B742" s="12" t="str">
        <f>IFERROR(__xludf.DUMMYFUNCTION("""COMPUTED_VALUE"""),"a0rVT000017dRYTYA2")</f>
        <v>a0rVT000017dRYTYA2</v>
      </c>
      <c r="C742" s="12" t="str">
        <f>IFERROR(__xludf.DUMMYFUNCTION("""COMPUTED_VALUE"""),"0034X00003S8PHRQA3")</f>
        <v>0034X00003S8PHRQA3</v>
      </c>
      <c r="D742" s="12" t="str">
        <f>IFERROR(__xludf.DUMMYFUNCTION("""COMPUTED_VALUE"""),"Michelle Lee")</f>
        <v>Michelle Lee</v>
      </c>
      <c r="E742" s="12" t="str">
        <f>IFERROR(__xludf.DUMMYFUNCTION("""COMPUTED_VALUE"""),"mlee02@arcusbio.com")</f>
        <v>mlee02@arcusbio.com</v>
      </c>
      <c r="F742" s="12" t="str">
        <f>IFERROR(__xludf.DUMMYFUNCTION("""COMPUTED_VALUE"""),"Project Manager [Customer]")</f>
        <v>Project Manager [Customer]</v>
      </c>
    </row>
    <row r="743">
      <c r="A743" s="12" t="str">
        <f>IFERROR(__xludf.DUMMYFUNCTION("""COMPUTED_VALUE"""),"a0lVT000006BVzWYAW")</f>
        <v>a0lVT000006BVzWYAW</v>
      </c>
      <c r="B743" s="12" t="str">
        <f>IFERROR(__xludf.DUMMYFUNCTION("""COMPUTED_VALUE"""),"a0rVT000017gi1iYAA")</f>
        <v>a0rVT000017gi1iYAA</v>
      </c>
      <c r="C743" s="12" t="str">
        <f>IFERROR(__xludf.DUMMYFUNCTION("""COMPUTED_VALUE"""),"0034X00002yU4WTQA0")</f>
        <v>0034X00002yU4WTQA0</v>
      </c>
      <c r="D743" s="12" t="str">
        <f>IFERROR(__xludf.DUMMYFUNCTION("""COMPUTED_VALUE"""),"Edi Fumero")</f>
        <v>Edi Fumero</v>
      </c>
      <c r="E743" s="12" t="str">
        <f>IFERROR(__xludf.DUMMYFUNCTION("""COMPUTED_VALUE"""),"edilberto.fumero@blackrock.com")</f>
        <v>edilberto.fumero@blackrock.com</v>
      </c>
      <c r="F743" s="12" t="str">
        <f>IFERROR(__xludf.DUMMYFUNCTION("""COMPUTED_VALUE"""),"Project Manager [Customer]")</f>
        <v>Project Manager [Customer]</v>
      </c>
    </row>
    <row r="744">
      <c r="A744" s="12" t="str">
        <f>IFERROR(__xludf.DUMMYFUNCTION("""COMPUTED_VALUE"""),"a0lVT000006BVzVYAW")</f>
        <v>a0lVT000006BVzVYAW</v>
      </c>
      <c r="B744" s="12" t="str">
        <f>IFERROR(__xludf.DUMMYFUNCTION("""COMPUTED_VALUE"""),"a0rVT000017gi1iYAA")</f>
        <v>a0rVT000017gi1iYAA</v>
      </c>
      <c r="C744" s="12" t="str">
        <f>IFERROR(__xludf.DUMMYFUNCTION("""COMPUTED_VALUE"""),"0034X00003BmhKeQAJ")</f>
        <v>0034X00003BmhKeQAJ</v>
      </c>
      <c r="D744" s="12" t="str">
        <f>IFERROR(__xludf.DUMMYFUNCTION("""COMPUTED_VALUE"""),"Manfred Ramirez")</f>
        <v>Manfred Ramirez</v>
      </c>
      <c r="E744" s="12" t="str">
        <f>IFERROR(__xludf.DUMMYFUNCTION("""COMPUTED_VALUE"""),"manfred.ramirez@blackrock.com")</f>
        <v>manfred.ramirez@blackrock.com</v>
      </c>
      <c r="F744" s="12" t="str">
        <f>IFERROR(__xludf.DUMMYFUNCTION("""COMPUTED_VALUE"""),"Executive Sponsor")</f>
        <v>Executive Sponsor</v>
      </c>
    </row>
    <row r="745">
      <c r="A745" s="12" t="str">
        <f>IFERROR(__xludf.DUMMYFUNCTION("""COMPUTED_VALUE"""),"a0lVT0000064M9lYAE")</f>
        <v>a0lVT0000064M9lYAE</v>
      </c>
      <c r="B745" s="12" t="str">
        <f>IFERROR(__xludf.DUMMYFUNCTION("""COMPUTED_VALUE"""),"a0rVT000017gi1iYAA")</f>
        <v>a0rVT000017gi1iYAA</v>
      </c>
      <c r="C745" s="12" t="str">
        <f>IFERROR(__xludf.DUMMYFUNCTION("""COMPUTED_VALUE"""),"003VT00000H0DGRYA3")</f>
        <v>003VT00000H0DGRYA3</v>
      </c>
      <c r="D745" s="12" t="str">
        <f>IFERROR(__xludf.DUMMYFUNCTION("""COMPUTED_VALUE"""),"Brooke Knight")</f>
        <v>Brooke Knight</v>
      </c>
      <c r="E745" s="12" t="str">
        <f>IFERROR(__xludf.DUMMYFUNCTION("""COMPUTED_VALUE"""),"brooke.knight@workday.com")</f>
        <v>brooke.knight@workday.com</v>
      </c>
      <c r="F745" s="12" t="str">
        <f>IFERROR(__xludf.DUMMYFUNCTION("""COMPUTED_VALUE"""),"Engagement Manager [Primary]")</f>
        <v>Engagement Manager [Primary]</v>
      </c>
    </row>
    <row r="746">
      <c r="A746" s="12" t="str">
        <f>IFERROR(__xludf.DUMMYFUNCTION("""COMPUTED_VALUE"""),"a0lVT000006J5IHYA0")</f>
        <v>a0lVT000006J5IHYA0</v>
      </c>
      <c r="B746" s="12" t="str">
        <f>IFERROR(__xludf.DUMMYFUNCTION("""COMPUTED_VALUE"""),"a0rVT000017gi1iYAA")</f>
        <v>a0rVT000017gi1iYAA</v>
      </c>
      <c r="C746" s="12" t="str">
        <f>IFERROR(__xludf.DUMMYFUNCTION("""COMPUTED_VALUE"""),"0038000001sCnOiAAK")</f>
        <v>0038000001sCnOiAAK</v>
      </c>
      <c r="D746" s="12" t="str">
        <f>IFERROR(__xludf.DUMMYFUNCTION("""COMPUTED_VALUE"""),"Nate Allen")</f>
        <v>Nate Allen</v>
      </c>
      <c r="E746" s="12" t="str">
        <f>IFERROR(__xludf.DUMMYFUNCTION("""COMPUTED_VALUE"""),"nate.allen2@workday.com")</f>
        <v>nate.allen2@workday.com</v>
      </c>
      <c r="F746" s="12" t="str">
        <f>IFERROR(__xludf.DUMMYFUNCTION("""COMPUTED_VALUE"""),"Deployment Sponsor")</f>
        <v>Deployment Sponsor</v>
      </c>
    </row>
    <row r="747">
      <c r="A747" s="12" t="str">
        <f>IFERROR(__xludf.DUMMYFUNCTION("""COMPUTED_VALUE"""),"a0lVT0000064pwXYAQ")</f>
        <v>a0lVT0000064pwXYAQ</v>
      </c>
      <c r="B747" s="12" t="str">
        <f>IFERROR(__xludf.DUMMYFUNCTION("""COMPUTED_VALUE"""),"a0rVT000017lAyhYAE")</f>
        <v>a0rVT000017lAyhYAE</v>
      </c>
      <c r="C747" s="12" t="str">
        <f>IFERROR(__xludf.DUMMYFUNCTION("""COMPUTED_VALUE"""),"0034X000033v2eXQAQ")</f>
        <v>0034X000033v2eXQAQ</v>
      </c>
      <c r="D747" s="12" t="str">
        <f>IFERROR(__xludf.DUMMYFUNCTION("""COMPUTED_VALUE"""),"Philip Amato")</f>
        <v>Philip Amato</v>
      </c>
      <c r="E747" s="12" t="str">
        <f>IFERROR(__xludf.DUMMYFUNCTION("""COMPUTED_VALUE"""),"philip@easymilefitness.com")</f>
        <v>philip@easymilefitness.com</v>
      </c>
      <c r="F747" s="12" t="str">
        <f>IFERROR(__xludf.DUMMYFUNCTION("""COMPUTED_VALUE"""),"Project Manager [Customer]")</f>
        <v>Project Manager [Customer]</v>
      </c>
    </row>
    <row r="748">
      <c r="A748" s="12" t="str">
        <f>IFERROR(__xludf.DUMMYFUNCTION("""COMPUTED_VALUE"""),"a0lVT000006POzlYAG")</f>
        <v>a0lVT000006POzlYAG</v>
      </c>
      <c r="B748" s="12" t="str">
        <f>IFERROR(__xludf.DUMMYFUNCTION("""COMPUTED_VALUE"""),"a0rVT000017lAyhYAE")</f>
        <v>a0rVT000017lAyhYAE</v>
      </c>
      <c r="C748" s="12" t="str">
        <f>IFERROR(__xludf.DUMMYFUNCTION("""COMPUTED_VALUE"""),"0034X000033v2eXQAQ")</f>
        <v>0034X000033v2eXQAQ</v>
      </c>
      <c r="D748" s="12" t="str">
        <f>IFERROR(__xludf.DUMMYFUNCTION("""COMPUTED_VALUE"""),"Philip Amato")</f>
        <v>Philip Amato</v>
      </c>
      <c r="E748" s="12" t="str">
        <f>IFERROR(__xludf.DUMMYFUNCTION("""COMPUTED_VALUE"""),"philip@easymilefitness.com")</f>
        <v>philip@easymilefitness.com</v>
      </c>
      <c r="F748" s="12" t="str">
        <f>IFERROR(__xludf.DUMMYFUNCTION("""COMPUTED_VALUE"""),"Executive Sponsor")</f>
        <v>Executive Sponsor</v>
      </c>
    </row>
    <row r="749">
      <c r="A749" s="12" t="str">
        <f>IFERROR(__xludf.DUMMYFUNCTION("""COMPUTED_VALUE"""),"a0lVT0000068YXJYA2")</f>
        <v>a0lVT0000068YXJYA2</v>
      </c>
      <c r="B749" s="12" t="str">
        <f>IFERROR(__xludf.DUMMYFUNCTION("""COMPUTED_VALUE"""),"a0rVT00001920gaYAA")</f>
        <v>a0rVT00001920gaYAA</v>
      </c>
      <c r="C749" s="12" t="str">
        <f>IFERROR(__xludf.DUMMYFUNCTION("""COMPUTED_VALUE"""),"003VT00000NXx5mYAD")</f>
        <v>003VT00000NXx5mYAD</v>
      </c>
      <c r="D749" s="12" t="str">
        <f>IFERROR(__xludf.DUMMYFUNCTION("""COMPUTED_VALUE"""),"Frances Lambe")</f>
        <v>Frances Lambe</v>
      </c>
      <c r="E749" s="12" t="str">
        <f>IFERROR(__xludf.DUMMYFUNCTION("""COMPUTED_VALUE"""),"frances.lambe@workday.com")</f>
        <v>frances.lambe@workday.com</v>
      </c>
      <c r="F749" s="12" t="str">
        <f>IFERROR(__xludf.DUMMYFUNCTION("""COMPUTED_VALUE"""),"Engagement Manager [Primary]")</f>
        <v>Engagement Manager [Primary]</v>
      </c>
    </row>
    <row r="750">
      <c r="A750" s="12" t="str">
        <f>IFERROR(__xludf.DUMMYFUNCTION("""COMPUTED_VALUE"""),"a0lVT000006AgP9YAK")</f>
        <v>a0lVT000006AgP9YAK</v>
      </c>
      <c r="B750" s="12" t="str">
        <f>IFERROR(__xludf.DUMMYFUNCTION("""COMPUTED_VALUE"""),"a0rVT000019VosTYAS")</f>
        <v>a0rVT000019VosTYAS</v>
      </c>
      <c r="C750" s="12" t="str">
        <f>IFERROR(__xludf.DUMMYFUNCTION("""COMPUTED_VALUE"""),"0034X00003GMOLBQA5")</f>
        <v>0034X00003GMOLBQA5</v>
      </c>
      <c r="D750" s="12" t="str">
        <f>IFERROR(__xludf.DUMMYFUNCTION("""COMPUTED_VALUE"""),"Jamie Jackson")</f>
        <v>Jamie Jackson</v>
      </c>
      <c r="E750" s="12" t="str">
        <f>IFERROR(__xludf.DUMMYFUNCTION("""COMPUTED_VALUE"""),"jamie.jackson@workday.com")</f>
        <v>jamie.jackson@workday.com</v>
      </c>
      <c r="F750" s="12" t="str">
        <f>IFERROR(__xludf.DUMMYFUNCTION("""COMPUTED_VALUE"""),"Engagement Manager [Primary]")</f>
        <v>Engagement Manager [Primary]</v>
      </c>
    </row>
    <row r="751">
      <c r="A751" s="12" t="str">
        <f>IFERROR(__xludf.DUMMYFUNCTION("""COMPUTED_VALUE"""),"a0lVT000006IR37YAG")</f>
        <v>a0lVT000006IR37YAG</v>
      </c>
      <c r="B751" s="12" t="str">
        <f>IFERROR(__xludf.DUMMYFUNCTION("""COMPUTED_VALUE"""),"a0rVT00001APYEjYAP")</f>
        <v>a0rVT00001APYEjYAP</v>
      </c>
      <c r="C751" s="12" t="str">
        <f>IFERROR(__xludf.DUMMYFUNCTION("""COMPUTED_VALUE"""),"0034X00003EtGr8QAF")</f>
        <v>0034X00003EtGr8QAF</v>
      </c>
      <c r="D751" s="12" t="str">
        <f>IFERROR(__xludf.DUMMYFUNCTION("""COMPUTED_VALUE"""),"Aaron Barnes")</f>
        <v>Aaron Barnes</v>
      </c>
      <c r="E751" s="12" t="str">
        <f>IFERROR(__xludf.DUMMYFUNCTION("""COMPUTED_VALUE"""),"aaron.barnes@workday.com")</f>
        <v>aaron.barnes@workday.com</v>
      </c>
      <c r="F751" s="12" t="str">
        <f>IFERROR(__xludf.DUMMYFUNCTION("""COMPUTED_VALUE"""),"Deployment Sponsor")</f>
        <v>Deployment Sponsor</v>
      </c>
    </row>
    <row r="752">
      <c r="A752" s="12" t="str">
        <f>IFERROR(__xludf.DUMMYFUNCTION("""COMPUTED_VALUE"""),"a0lVT000006DoTOYA0")</f>
        <v>a0lVT000006DoTOYA0</v>
      </c>
      <c r="B752" s="12" t="str">
        <f>IFERROR(__xludf.DUMMYFUNCTION("""COMPUTED_VALUE"""),"a0rVT00001APYEjYAP")</f>
        <v>a0rVT00001APYEjYAP</v>
      </c>
      <c r="C752" s="12" t="str">
        <f>IFERROR(__xludf.DUMMYFUNCTION("""COMPUTED_VALUE"""),"0034X00003GO2uIQAT")</f>
        <v>0034X00003GO2uIQAT</v>
      </c>
      <c r="D752" s="12" t="str">
        <f>IFERROR(__xludf.DUMMYFUNCTION("""COMPUTED_VALUE"""),"Bizhan Said")</f>
        <v>Bizhan Said</v>
      </c>
      <c r="E752" s="12" t="str">
        <f>IFERROR(__xludf.DUMMYFUNCTION("""COMPUTED_VALUE"""),"bizhan.said@pilottravelcenters.com")</f>
        <v>bizhan.said@pilottravelcenters.com</v>
      </c>
      <c r="F752" s="12" t="str">
        <f>IFERROR(__xludf.DUMMYFUNCTION("""COMPUTED_VALUE"""),"Executive Sponsor")</f>
        <v>Executive Sponsor</v>
      </c>
    </row>
    <row r="753">
      <c r="A753" s="12" t="str">
        <f>IFERROR(__xludf.DUMMYFUNCTION("""COMPUTED_VALUE"""),"a0lVT000006DoTNYA0")</f>
        <v>a0lVT000006DoTNYA0</v>
      </c>
      <c r="B753" s="12" t="str">
        <f>IFERROR(__xludf.DUMMYFUNCTION("""COMPUTED_VALUE"""),"a0rVT00001APYEjYAP")</f>
        <v>a0rVT00001APYEjYAP</v>
      </c>
      <c r="C753" s="12" t="str">
        <f>IFERROR(__xludf.DUMMYFUNCTION("""COMPUTED_VALUE"""),"003VT00000tyyw6YAA")</f>
        <v>003VT00000tyyw6YAA</v>
      </c>
      <c r="D753" s="12" t="str">
        <f>IFERROR(__xludf.DUMMYFUNCTION("""COMPUTED_VALUE"""),"Deidra Gay")</f>
        <v>Deidra Gay</v>
      </c>
      <c r="E753" s="12" t="str">
        <f>IFERROR(__xludf.DUMMYFUNCTION("""COMPUTED_VALUE"""),"deidra.gay@pilottravelcenters.com")</f>
        <v>deidra.gay@pilottravelcenters.com</v>
      </c>
      <c r="F753" s="12" t="str">
        <f>IFERROR(__xludf.DUMMYFUNCTION("""COMPUTED_VALUE"""),"Project Manager [Customer]")</f>
        <v>Project Manager [Customer]</v>
      </c>
    </row>
    <row r="754">
      <c r="A754" s="12" t="str">
        <f>IFERROR(__xludf.DUMMYFUNCTION("""COMPUTED_VALUE"""),"a0lVT000006CEBpYAO")</f>
        <v>a0lVT000006CEBpYAO</v>
      </c>
      <c r="B754" s="12" t="str">
        <f>IFERROR(__xludf.DUMMYFUNCTION("""COMPUTED_VALUE"""),"a0rVT00001APYEjYAP")</f>
        <v>a0rVT00001APYEjYAP</v>
      </c>
      <c r="C754" s="12" t="str">
        <f>IFERROR(__xludf.DUMMYFUNCTION("""COMPUTED_VALUE"""),"003VT00000fc4sfYAA")</f>
        <v>003VT00000fc4sfYAA</v>
      </c>
      <c r="D754" s="12" t="str">
        <f>IFERROR(__xludf.DUMMYFUNCTION("""COMPUTED_VALUE"""),"Katie Nehrenz")</f>
        <v>Katie Nehrenz</v>
      </c>
      <c r="E754" s="12" t="str">
        <f>IFERROR(__xludf.DUMMYFUNCTION("""COMPUTED_VALUE"""),"katie.nehrenz@workday.com")</f>
        <v>katie.nehrenz@workday.com</v>
      </c>
      <c r="F754" s="12" t="str">
        <f>IFERROR(__xludf.DUMMYFUNCTION("""COMPUTED_VALUE"""),"Engagement Manager [Primary]")</f>
        <v>Engagement Manager [Primary]</v>
      </c>
    </row>
    <row r="755">
      <c r="A755" s="12" t="str">
        <f>IFERROR(__xludf.DUMMYFUNCTION("""COMPUTED_VALUE"""),"a0lVT000006CRfJYAW")</f>
        <v>a0lVT000006CRfJYAW</v>
      </c>
      <c r="B755" s="12" t="str">
        <f>IFERROR(__xludf.DUMMYFUNCTION("""COMPUTED_VALUE"""),"a0rVT00001ASqThYAL")</f>
        <v>a0rVT00001ASqThYAL</v>
      </c>
      <c r="C755" s="12" t="str">
        <f>IFERROR(__xludf.DUMMYFUNCTION("""COMPUTED_VALUE"""),"003VT00000WusXyYAJ")</f>
        <v>003VT00000WusXyYAJ</v>
      </c>
      <c r="D755" s="12" t="str">
        <f>IFERROR(__xludf.DUMMYFUNCTION("""COMPUTED_VALUE"""),"Monica Morandi")</f>
        <v>Monica Morandi</v>
      </c>
      <c r="E755" s="12" t="str">
        <f>IFERROR(__xludf.DUMMYFUNCTION("""COMPUTED_VALUE"""),"monica.morandi@workday.com")</f>
        <v>monica.morandi@workday.com</v>
      </c>
      <c r="F755" s="12" t="str">
        <f>IFERROR(__xludf.DUMMYFUNCTION("""COMPUTED_VALUE"""),"Engagement Manager [Primary]")</f>
        <v>Engagement Manager [Primary]</v>
      </c>
    </row>
    <row r="756">
      <c r="A756" s="12" t="str">
        <f>IFERROR(__xludf.DUMMYFUNCTION("""COMPUTED_VALUE"""),"a0lVT000006DrcYYAS")</f>
        <v>a0lVT000006DrcYYAS</v>
      </c>
      <c r="B756" s="12" t="str">
        <f>IFERROR(__xludf.DUMMYFUNCTION("""COMPUTED_VALUE"""),"a0rVT00001ASqThYAL")</f>
        <v>a0rVT00001ASqThYAL</v>
      </c>
      <c r="C756" s="12" t="str">
        <f>IFERROR(__xludf.DUMMYFUNCTION("""COMPUTED_VALUE"""),"0034X00003JswFkQAJ")</f>
        <v>0034X00003JswFkQAJ</v>
      </c>
      <c r="D756" s="12" t="str">
        <f>IFERROR(__xludf.DUMMYFUNCTION("""COMPUTED_VALUE"""),"Brad Hall")</f>
        <v>Brad Hall</v>
      </c>
      <c r="E756" s="12" t="str">
        <f>IFERROR(__xludf.DUMMYFUNCTION("""COMPUTED_VALUE"""),"bhall@oaklawn.com")</f>
        <v>bhall@oaklawn.com</v>
      </c>
      <c r="F756" s="12" t="str">
        <f>IFERROR(__xludf.DUMMYFUNCTION("""COMPUTED_VALUE"""),"Executive Sponsor")</f>
        <v>Executive Sponsor</v>
      </c>
    </row>
    <row r="757">
      <c r="A757" s="12" t="str">
        <f>IFERROR(__xludf.DUMMYFUNCTION("""COMPUTED_VALUE"""),"a0lVT000006DrcXYAS")</f>
        <v>a0lVT000006DrcXYAS</v>
      </c>
      <c r="B757" s="12" t="str">
        <f>IFERROR(__xludf.DUMMYFUNCTION("""COMPUTED_VALUE"""),"a0rVT00001ASqThYAL")</f>
        <v>a0rVT00001ASqThYAL</v>
      </c>
      <c r="C757" s="12" t="str">
        <f>IFERROR(__xludf.DUMMYFUNCTION("""COMPUTED_VALUE"""),"003VT00000duomrYAA")</f>
        <v>003VT00000duomrYAA</v>
      </c>
      <c r="D757" s="12" t="str">
        <f>IFERROR(__xludf.DUMMYFUNCTION("""COMPUTED_VALUE"""),"Savannah Leavell")</f>
        <v>Savannah Leavell</v>
      </c>
      <c r="E757" s="12" t="str">
        <f>IFERROR(__xludf.DUMMYFUNCTION("""COMPUTED_VALUE"""),"sleavell@oaklawn.com")</f>
        <v>sleavell@oaklawn.com</v>
      </c>
      <c r="F757" s="12" t="str">
        <f>IFERROR(__xludf.DUMMYFUNCTION("""COMPUTED_VALUE"""),"Project Manager [Customer]")</f>
        <v>Project Manager [Customer]</v>
      </c>
    </row>
    <row r="758">
      <c r="A758" s="12" t="str">
        <f>IFERROR(__xludf.DUMMYFUNCTION("""COMPUTED_VALUE"""),"a0lVT000006OuFJYA0")</f>
        <v>a0lVT000006OuFJYA0</v>
      </c>
      <c r="B758" s="12" t="str">
        <f>IFERROR(__xludf.DUMMYFUNCTION("""COMPUTED_VALUE"""),"a0rVT00001ASqThYAL")</f>
        <v>a0rVT00001ASqThYAL</v>
      </c>
      <c r="C758" s="12" t="str">
        <f>IFERROR(__xludf.DUMMYFUNCTION("""COMPUTED_VALUE"""),"0038000001i7N4rAAE")</f>
        <v>0038000001i7N4rAAE</v>
      </c>
      <c r="D758" s="12" t="str">
        <f>IFERROR(__xludf.DUMMYFUNCTION("""COMPUTED_VALUE"""),"Val Tsvetkov")</f>
        <v>Val Tsvetkov</v>
      </c>
      <c r="E758" s="12" t="str">
        <f>IFERROR(__xludf.DUMMYFUNCTION("""COMPUTED_VALUE"""),"val.tsvetkov@workday.com")</f>
        <v>val.tsvetkov@workday.com</v>
      </c>
      <c r="F758" s="12" t="str">
        <f>IFERROR(__xludf.DUMMYFUNCTION("""COMPUTED_VALUE"""),"Deployment Sponsor")</f>
        <v>Deployment Sponsor</v>
      </c>
    </row>
    <row r="759">
      <c r="A759" s="12" t="str">
        <f>IFERROR(__xludf.DUMMYFUNCTION("""COMPUTED_VALUE"""),"a0lVT000006DtXtYAK")</f>
        <v>a0lVT000006DtXtYAK</v>
      </c>
      <c r="B759" s="12" t="str">
        <f>IFERROR(__xludf.DUMMYFUNCTION("""COMPUTED_VALUE"""),"a0rVT00001ATaJjYAL")</f>
        <v>a0rVT00001ATaJjYAL</v>
      </c>
      <c r="C759" s="12" t="str">
        <f>IFERROR(__xludf.DUMMYFUNCTION("""COMPUTED_VALUE"""),"0031B00002kQl9HQAS")</f>
        <v>0031B00002kQl9HQAS</v>
      </c>
      <c r="D759" s="12" t="str">
        <f>IFERROR(__xludf.DUMMYFUNCTION("""COMPUTED_VALUE"""),"Lindsey Carlson")</f>
        <v>Lindsey Carlson</v>
      </c>
      <c r="E759" s="12" t="str">
        <f>IFERROR(__xludf.DUMMYFUNCTION("""COMPUTED_VALUE"""),"lindsey.carlson@sharecare.com")</f>
        <v>lindsey.carlson@sharecare.com</v>
      </c>
      <c r="F759" s="12" t="str">
        <f>IFERROR(__xludf.DUMMYFUNCTION("""COMPUTED_VALUE"""),"Executive Sponsor")</f>
        <v>Executive Sponsor</v>
      </c>
    </row>
    <row r="760">
      <c r="A760" s="12" t="str">
        <f>IFERROR(__xludf.DUMMYFUNCTION("""COMPUTED_VALUE"""),"a0lVT000006DtXuYAK")</f>
        <v>a0lVT000006DtXuYAK</v>
      </c>
      <c r="B760" s="12" t="str">
        <f>IFERROR(__xludf.DUMMYFUNCTION("""COMPUTED_VALUE"""),"a0rVT00001ATaJjYAL")</f>
        <v>a0rVT00001ATaJjYAL</v>
      </c>
      <c r="C760" s="12" t="str">
        <f>IFERROR(__xludf.DUMMYFUNCTION("""COMPUTED_VALUE"""),"003VT00000fBAUJYA4")</f>
        <v>003VT00000fBAUJYA4</v>
      </c>
      <c r="D760" s="12" t="str">
        <f>IFERROR(__xludf.DUMMYFUNCTION("""COMPUTED_VALUE"""),"Lindsey Carlson")</f>
        <v>Lindsey Carlson</v>
      </c>
      <c r="E760" s="12" t="str">
        <f>IFERROR(__xludf.DUMMYFUNCTION("""COMPUTED_VALUE"""),"lindsey.carlson@sharecare.com")</f>
        <v>lindsey.carlson@sharecare.com</v>
      </c>
      <c r="F760" s="12" t="str">
        <f>IFERROR(__xludf.DUMMYFUNCTION("""COMPUTED_VALUE"""),"Project Manager [Customer]")</f>
        <v>Project Manager [Customer]</v>
      </c>
    </row>
    <row r="761">
      <c r="A761" s="12" t="str">
        <f>IFERROR(__xludf.DUMMYFUNCTION("""COMPUTED_VALUE"""),"a0lVT000006K8ArYAK")</f>
        <v>a0lVT000006K8ArYAK</v>
      </c>
      <c r="B761" s="12" t="str">
        <f>IFERROR(__xludf.DUMMYFUNCTION("""COMPUTED_VALUE"""),"a0rVT00001ATaJjYAL")</f>
        <v>a0rVT00001ATaJjYAL</v>
      </c>
      <c r="C761" s="12" t="str">
        <f>IFERROR(__xludf.DUMMYFUNCTION("""COMPUTED_VALUE"""),"0038000001i7N4rAAE")</f>
        <v>0038000001i7N4rAAE</v>
      </c>
      <c r="D761" s="12" t="str">
        <f>IFERROR(__xludf.DUMMYFUNCTION("""COMPUTED_VALUE"""),"Val Tsvetkov")</f>
        <v>Val Tsvetkov</v>
      </c>
      <c r="E761" s="12" t="str">
        <f>IFERROR(__xludf.DUMMYFUNCTION("""COMPUTED_VALUE"""),"val.tsvetkov@workday.com")</f>
        <v>val.tsvetkov@workday.com</v>
      </c>
      <c r="F761" s="12" t="str">
        <f>IFERROR(__xludf.DUMMYFUNCTION("""COMPUTED_VALUE"""),"Deployment Sponsor")</f>
        <v>Deployment Sponsor</v>
      </c>
    </row>
    <row r="762">
      <c r="A762" s="12" t="str">
        <f>IFERROR(__xludf.DUMMYFUNCTION("""COMPUTED_VALUE"""),"a0lVT000006CRSPYA4")</f>
        <v>a0lVT000006CRSPYA4</v>
      </c>
      <c r="B762" s="12" t="str">
        <f>IFERROR(__xludf.DUMMYFUNCTION("""COMPUTED_VALUE"""),"a0rVT00001ATaJjYAL")</f>
        <v>a0rVT00001ATaJjYAL</v>
      </c>
      <c r="C762" s="12" t="str">
        <f>IFERROR(__xludf.DUMMYFUNCTION("""COMPUTED_VALUE"""),"003VT00000WusXyYAJ")</f>
        <v>003VT00000WusXyYAJ</v>
      </c>
      <c r="D762" s="12" t="str">
        <f>IFERROR(__xludf.DUMMYFUNCTION("""COMPUTED_VALUE"""),"Monica Morandi")</f>
        <v>Monica Morandi</v>
      </c>
      <c r="E762" s="12" t="str">
        <f>IFERROR(__xludf.DUMMYFUNCTION("""COMPUTED_VALUE"""),"monica.morandi@workday.com")</f>
        <v>monica.morandi@workday.com</v>
      </c>
      <c r="F762" s="12" t="str">
        <f>IFERROR(__xludf.DUMMYFUNCTION("""COMPUTED_VALUE"""),"Engagement Manager [Primary]")</f>
        <v>Engagement Manager [Primary]</v>
      </c>
    </row>
    <row r="763">
      <c r="A763" s="12" t="str">
        <f>IFERROR(__xludf.DUMMYFUNCTION("""COMPUTED_VALUE"""),"a0lVT000006QrlCYAS")</f>
        <v>a0lVT000006QrlCYAS</v>
      </c>
      <c r="B763" s="12" t="str">
        <f>IFERROR(__xludf.DUMMYFUNCTION("""COMPUTED_VALUE"""),"a0rVT00001AqcR7YAJ")</f>
        <v>a0rVT00001AqcR7YAJ</v>
      </c>
      <c r="C763" s="12" t="str">
        <f>IFERROR(__xludf.DUMMYFUNCTION("""COMPUTED_VALUE"""),"0034X00003Nwk7AQAR")</f>
        <v>0034X00003Nwk7AQAR</v>
      </c>
      <c r="D763" s="12" t="str">
        <f>IFERROR(__xludf.DUMMYFUNCTION("""COMPUTED_VALUE"""),"Ben McClellan")</f>
        <v>Ben McClellan</v>
      </c>
      <c r="E763" s="12" t="str">
        <f>IFERROR(__xludf.DUMMYFUNCTION("""COMPUTED_VALUE"""),"bmcclellan@honorhealth.com")</f>
        <v>bmcclellan@honorhealth.com</v>
      </c>
      <c r="F763" s="12" t="str">
        <f>IFERROR(__xludf.DUMMYFUNCTION("""COMPUTED_VALUE"""),"Project Manager [Customer]")</f>
        <v>Project Manager [Customer]</v>
      </c>
    </row>
    <row r="764">
      <c r="A764" s="12" t="str">
        <f>IFERROR(__xludf.DUMMYFUNCTION("""COMPUTED_VALUE"""),"a0lVT000006QrlBYAS")</f>
        <v>a0lVT000006QrlBYAS</v>
      </c>
      <c r="B764" s="12" t="str">
        <f>IFERROR(__xludf.DUMMYFUNCTION("""COMPUTED_VALUE"""),"a0rVT00001AqcR7YAJ")</f>
        <v>a0rVT00001AqcR7YAJ</v>
      </c>
      <c r="C764" s="12" t="str">
        <f>IFERROR(__xludf.DUMMYFUNCTION("""COMPUTED_VALUE"""),"0031B00002qTX0IQAW")</f>
        <v>0031B00002qTX0IQAW</v>
      </c>
      <c r="D764" s="12" t="str">
        <f>IFERROR(__xludf.DUMMYFUNCTION("""COMPUTED_VALUE"""),"Wayne Frangesch")</f>
        <v>Wayne Frangesch</v>
      </c>
      <c r="E764" s="12" t="str">
        <f>IFERROR(__xludf.DUMMYFUNCTION("""COMPUTED_VALUE"""),"wfrangesch@honorhealth.com")</f>
        <v>wfrangesch@honorhealth.com</v>
      </c>
      <c r="F764" s="12" t="str">
        <f>IFERROR(__xludf.DUMMYFUNCTION("""COMPUTED_VALUE"""),"Executive Sponsor")</f>
        <v>Executive Sponsor</v>
      </c>
    </row>
    <row r="765">
      <c r="A765" s="12" t="str">
        <f>IFERROR(__xludf.DUMMYFUNCTION("""COMPUTED_VALUE"""),"a0lVT000006MEKDYA4")</f>
        <v>a0lVT000006MEKDYA4</v>
      </c>
      <c r="B765" s="12" t="str">
        <f>IFERROR(__xludf.DUMMYFUNCTION("""COMPUTED_VALUE"""),"a0rVT00001BHdnjYAD")</f>
        <v>a0rVT00001BHdnjYAD</v>
      </c>
      <c r="C765" s="12" t="str">
        <f>IFERROR(__xludf.DUMMYFUNCTION("""COMPUTED_VALUE"""),"0034X00003JsNpYQAV")</f>
        <v>0034X00003JsNpYQAV</v>
      </c>
      <c r="D765" s="12" t="str">
        <f>IFERROR(__xludf.DUMMYFUNCTION("""COMPUTED_VALUE"""),"Dhaval Rana")</f>
        <v>Dhaval Rana</v>
      </c>
      <c r="E765" s="12" t="str">
        <f>IFERROR(__xludf.DUMMYFUNCTION("""COMPUTED_VALUE"""),"dhaval.rana@workday.com")</f>
        <v>dhaval.rana@workday.com</v>
      </c>
      <c r="F765" s="12" t="str">
        <f>IFERROR(__xludf.DUMMYFUNCTION("""COMPUTED_VALUE"""),"Engagement Manager [Primary]")</f>
        <v>Engagement Manager [Primary]</v>
      </c>
    </row>
    <row r="766">
      <c r="A766" s="12" t="str">
        <f>IFERROR(__xludf.DUMMYFUNCTION("""COMPUTED_VALUE"""),"a0lVT000006HLNxYAO")</f>
        <v>a0lVT000006HLNxYAO</v>
      </c>
      <c r="B766" s="12" t="str">
        <f>IFERROR(__xludf.DUMMYFUNCTION("""COMPUTED_VALUE"""),"a0rVT00001BHkKZYA1")</f>
        <v>a0rVT00001BHkKZYA1</v>
      </c>
      <c r="C766" s="12" t="str">
        <f>IFERROR(__xludf.DUMMYFUNCTION("""COMPUTED_VALUE"""),"003VT00000YF2KVYA1")</f>
        <v>003VT00000YF2KVYA1</v>
      </c>
      <c r="D766" s="12" t="str">
        <f>IFERROR(__xludf.DUMMYFUNCTION("""COMPUTED_VALUE"""),"Karishma Prajapati")</f>
        <v>Karishma Prajapati</v>
      </c>
      <c r="E766" s="12" t="str">
        <f>IFERROR(__xludf.DUMMYFUNCTION("""COMPUTED_VALUE"""),"karishma.prajapati@workday.com")</f>
        <v>karishma.prajapati@workday.com</v>
      </c>
      <c r="F766" s="12" t="str">
        <f>IFERROR(__xludf.DUMMYFUNCTION("""COMPUTED_VALUE"""),"Engagement Manager [Primary]")</f>
        <v>Engagement Manager [Primary]</v>
      </c>
    </row>
    <row r="767">
      <c r="A767" s="12" t="str">
        <f>IFERROR(__xludf.DUMMYFUNCTION("""COMPUTED_VALUE"""),"a0lVT000006HLMLYA4")</f>
        <v>a0lVT000006HLMLYA4</v>
      </c>
      <c r="B767" s="12" t="str">
        <f>IFERROR(__xludf.DUMMYFUNCTION("""COMPUTED_VALUE"""),"a0rVT00001BHkKZYA1")</f>
        <v>a0rVT00001BHkKZYA1</v>
      </c>
      <c r="C767" s="12" t="str">
        <f>IFERROR(__xludf.DUMMYFUNCTION("""COMPUTED_VALUE"""),"003VT00000qJHYfYAO")</f>
        <v>003VT00000qJHYfYAO</v>
      </c>
      <c r="D767" s="12" t="str">
        <f>IFERROR(__xludf.DUMMYFUNCTION("""COMPUTED_VALUE"""),"Sharvari Naik")</f>
        <v>Sharvari Naik</v>
      </c>
      <c r="E767" s="12" t="str">
        <f>IFERROR(__xludf.DUMMYFUNCTION("""COMPUTED_VALUE"""),"sharvari.naik@workday.com")</f>
        <v>sharvari.naik@workday.com</v>
      </c>
      <c r="F767" s="12" t="str">
        <f>IFERROR(__xludf.DUMMYFUNCTION("""COMPUTED_VALUE"""),"Engagement Manager [Secondary]")</f>
        <v>Engagement Manager [Secondary]</v>
      </c>
    </row>
    <row r="768">
      <c r="A768" s="12" t="str">
        <f>IFERROR(__xludf.DUMMYFUNCTION("""COMPUTED_VALUE"""),"a0lVT000006MEP3YAO")</f>
        <v>a0lVT000006MEP3YAO</v>
      </c>
      <c r="B768" s="12" t="str">
        <f>IFERROR(__xludf.DUMMYFUNCTION("""COMPUTED_VALUE"""),"a0rVT00001BaWYoYAN")</f>
        <v>a0rVT00001BaWYoYAN</v>
      </c>
      <c r="C768" s="12" t="str">
        <f>IFERROR(__xludf.DUMMYFUNCTION("""COMPUTED_VALUE"""),"0034X00003JsNpYQAV")</f>
        <v>0034X00003JsNpYQAV</v>
      </c>
      <c r="D768" s="12" t="str">
        <f>IFERROR(__xludf.DUMMYFUNCTION("""COMPUTED_VALUE"""),"Dhaval Rana")</f>
        <v>Dhaval Rana</v>
      </c>
      <c r="E768" s="12" t="str">
        <f>IFERROR(__xludf.DUMMYFUNCTION("""COMPUTED_VALUE"""),"dhaval.rana@workday.com")</f>
        <v>dhaval.rana@workday.com</v>
      </c>
      <c r="F768" s="12" t="str">
        <f>IFERROR(__xludf.DUMMYFUNCTION("""COMPUTED_VALUE"""),"Engagement Manager [Primary]")</f>
        <v>Engagement Manager [Primary]</v>
      </c>
    </row>
    <row r="769">
      <c r="A769" s="12" t="str">
        <f>IFERROR(__xludf.DUMMYFUNCTION("""COMPUTED_VALUE"""),"a0lVT000006KNY6YAO")</f>
        <v>a0lVT000006KNY6YAO</v>
      </c>
      <c r="B769" s="12" t="str">
        <f>IFERROR(__xludf.DUMMYFUNCTION("""COMPUTED_VALUE"""),"a0rVT00001BaWgrYAF")</f>
        <v>a0rVT00001BaWgrYAF</v>
      </c>
      <c r="C769" s="12" t="str">
        <f>IFERROR(__xludf.DUMMYFUNCTION("""COMPUTED_VALUE"""),"0031B00002r8QhhQAE")</f>
        <v>0031B00002r8QhhQAE</v>
      </c>
      <c r="D769" s="12" t="str">
        <f>IFERROR(__xludf.DUMMYFUNCTION("""COMPUTED_VALUE"""),"Curtis Carter")</f>
        <v>Curtis Carter</v>
      </c>
      <c r="E769" s="12" t="str">
        <f>IFERROR(__xludf.DUMMYFUNCTION("""COMPUTED_VALUE"""),"curtis.carter@workday.com")</f>
        <v>curtis.carter@workday.com</v>
      </c>
      <c r="F769" s="12" t="str">
        <f>IFERROR(__xludf.DUMMYFUNCTION("""COMPUTED_VALUE"""),"Engagement Manager [Secondary]")</f>
        <v>Engagement Manager [Secondary]</v>
      </c>
    </row>
    <row r="770">
      <c r="A770" s="12" t="str">
        <f>IFERROR(__xludf.DUMMYFUNCTION("""COMPUTED_VALUE"""),"a0lVT000006KNY5YAO")</f>
        <v>a0lVT000006KNY5YAO</v>
      </c>
      <c r="B770" s="12" t="str">
        <f>IFERROR(__xludf.DUMMYFUNCTION("""COMPUTED_VALUE"""),"a0rVT00001BaWgrYAF")</f>
        <v>a0rVT00001BaWgrYAF</v>
      </c>
      <c r="C770" s="12" t="str">
        <f>IFERROR(__xludf.DUMMYFUNCTION("""COMPUTED_VALUE"""),"003VT00000fc4shYAA")</f>
        <v>003VT00000fc4shYAA</v>
      </c>
      <c r="D770" s="12" t="str">
        <f>IFERROR(__xludf.DUMMYFUNCTION("""COMPUTED_VALUE"""),"Michelle Holland")</f>
        <v>Michelle Holland</v>
      </c>
      <c r="E770" s="12" t="str">
        <f>IFERROR(__xludf.DUMMYFUNCTION("""COMPUTED_VALUE"""),"michelle.holland@workday.com")</f>
        <v>michelle.holland@workday.com</v>
      </c>
      <c r="F770" s="12" t="str">
        <f>IFERROR(__xludf.DUMMYFUNCTION("""COMPUTED_VALUE"""),"Engagement Manager [Primary]")</f>
        <v>Engagement Manager [Primary]</v>
      </c>
    </row>
    <row r="771">
      <c r="A771" s="12" t="str">
        <f>IFERROR(__xludf.DUMMYFUNCTION("""COMPUTED_VALUE"""),"a0lVT000006GkTFYA0")</f>
        <v>a0lVT000006GkTFYA0</v>
      </c>
      <c r="B771" s="12" t="str">
        <f>IFERROR(__xludf.DUMMYFUNCTION("""COMPUTED_VALUE"""),"a0rVT00001BfVLyYAN")</f>
        <v>a0rVT00001BfVLyYAN</v>
      </c>
      <c r="C771" s="12" t="str">
        <f>IFERROR(__xludf.DUMMYFUNCTION("""COMPUTED_VALUE"""),"0034X000030Su6fQAC")</f>
        <v>0034X000030Su6fQAC</v>
      </c>
      <c r="D771" s="12" t="str">
        <f>IFERROR(__xludf.DUMMYFUNCTION("""COMPUTED_VALUE"""),"Mukul Chandra")</f>
        <v>Mukul Chandra</v>
      </c>
      <c r="E771" s="12" t="str">
        <f>IFERROR(__xludf.DUMMYFUNCTION("""COMPUTED_VALUE"""),"mukul.chandra@workday.com")</f>
        <v>mukul.chandra@workday.com</v>
      </c>
      <c r="F771" s="12" t="str">
        <f>IFERROR(__xludf.DUMMYFUNCTION("""COMPUTED_VALUE"""),"Engagement Manager [Primary]")</f>
        <v>Engagement Manager [Primary]</v>
      </c>
    </row>
    <row r="772">
      <c r="A772" s="12" t="str">
        <f>IFERROR(__xludf.DUMMYFUNCTION("""COMPUTED_VALUE"""),"a0lVT000006HL32YAG")</f>
        <v>a0lVT000006HL32YAG</v>
      </c>
      <c r="B772" s="12" t="str">
        <f>IFERROR(__xludf.DUMMYFUNCTION("""COMPUTED_VALUE"""),"a0rVT00001BfVLyYAN")</f>
        <v>a0rVT00001BfVLyYAN</v>
      </c>
      <c r="C772" s="12" t="str">
        <f>IFERROR(__xludf.DUMMYFUNCTION("""COMPUTED_VALUE"""),"0034X00003BnZ19QAF")</f>
        <v>0034X00003BnZ19QAF</v>
      </c>
      <c r="D772" s="12" t="str">
        <f>IFERROR(__xludf.DUMMYFUNCTION("""COMPUTED_VALUE"""),"Irene Wee")</f>
        <v>Irene Wee</v>
      </c>
      <c r="E772" s="12" t="str">
        <f>IFERROR(__xludf.DUMMYFUNCTION("""COMPUTED_VALUE"""),"irene.wee@keppel.com")</f>
        <v>irene.wee@keppel.com</v>
      </c>
      <c r="F772" s="12" t="str">
        <f>IFERROR(__xludf.DUMMYFUNCTION("""COMPUTED_VALUE"""),"Executive Sponsor")</f>
        <v>Executive Sponsor</v>
      </c>
    </row>
    <row r="773">
      <c r="A773" s="12" t="str">
        <f>IFERROR(__xludf.DUMMYFUNCTION("""COMPUTED_VALUE"""),"a0lVT000006HL31YAG")</f>
        <v>a0lVT000006HL31YAG</v>
      </c>
      <c r="B773" s="12" t="str">
        <f>IFERROR(__xludf.DUMMYFUNCTION("""COMPUTED_VALUE"""),"a0rVT00001BfVLyYAN")</f>
        <v>a0rVT00001BfVLyYAN</v>
      </c>
      <c r="C773" s="12" t="str">
        <f>IFERROR(__xludf.DUMMYFUNCTION("""COMPUTED_VALUE"""),"0031B00002pjBbQQAU")</f>
        <v>0031B00002pjBbQQAU</v>
      </c>
      <c r="D773" s="12" t="str">
        <f>IFERROR(__xludf.DUMMYFUNCTION("""COMPUTED_VALUE"""),"Martin Alejandro")</f>
        <v>Martin Alejandro</v>
      </c>
      <c r="E773" s="12" t="str">
        <f>IFERROR(__xludf.DUMMYFUNCTION("""COMPUTED_VALUE"""),"martin.alejandro@keppel.com")</f>
        <v>martin.alejandro@keppel.com</v>
      </c>
      <c r="F773" s="12" t="str">
        <f>IFERROR(__xludf.DUMMYFUNCTION("""COMPUTED_VALUE"""),"Project Manager [Customer]")</f>
        <v>Project Manager [Customer]</v>
      </c>
    </row>
    <row r="774">
      <c r="A774" s="12" t="str">
        <f>IFERROR(__xludf.DUMMYFUNCTION("""COMPUTED_VALUE"""),"a0lVT000006METtYAO")</f>
        <v>a0lVT000006METtYAO</v>
      </c>
      <c r="B774" s="12" t="str">
        <f>IFERROR(__xludf.DUMMYFUNCTION("""COMPUTED_VALUE"""),"a0rVT00001BzrlJYAR")</f>
        <v>a0rVT00001BzrlJYAR</v>
      </c>
      <c r="C774" s="12" t="str">
        <f>IFERROR(__xludf.DUMMYFUNCTION("""COMPUTED_VALUE"""),"0034X00003JsNpYQAV")</f>
        <v>0034X00003JsNpYQAV</v>
      </c>
      <c r="D774" s="12" t="str">
        <f>IFERROR(__xludf.DUMMYFUNCTION("""COMPUTED_VALUE"""),"Dhaval Rana")</f>
        <v>Dhaval Rana</v>
      </c>
      <c r="E774" s="12" t="str">
        <f>IFERROR(__xludf.DUMMYFUNCTION("""COMPUTED_VALUE"""),"dhaval.rana@workday.com")</f>
        <v>dhaval.rana@workday.com</v>
      </c>
      <c r="F774" s="12" t="str">
        <f>IFERROR(__xludf.DUMMYFUNCTION("""COMPUTED_VALUE"""),"Engagement Manager [Primary]")</f>
        <v>Engagement Manager [Primary]</v>
      </c>
    </row>
    <row r="775">
      <c r="A775" s="12" t="str">
        <f>IFERROR(__xludf.DUMMYFUNCTION("""COMPUTED_VALUE"""),"a0lVT000006InBhYAK")</f>
        <v>a0lVT000006InBhYAK</v>
      </c>
      <c r="B775" s="12" t="str">
        <f>IFERROR(__xludf.DUMMYFUNCTION("""COMPUTED_VALUE"""),"a0rVT00001CPx3zYAD")</f>
        <v>a0rVT00001CPx3zYAD</v>
      </c>
      <c r="C775" s="12" t="str">
        <f>IFERROR(__xludf.DUMMYFUNCTION("""COMPUTED_VALUE"""),"0031B00002r8QhhQAE")</f>
        <v>0031B00002r8QhhQAE</v>
      </c>
      <c r="D775" s="12" t="str">
        <f>IFERROR(__xludf.DUMMYFUNCTION("""COMPUTED_VALUE"""),"Curtis Carter")</f>
        <v>Curtis Carter</v>
      </c>
      <c r="E775" s="12" t="str">
        <f>IFERROR(__xludf.DUMMYFUNCTION("""COMPUTED_VALUE"""),"curtis.carter@workday.com")</f>
        <v>curtis.carter@workday.com</v>
      </c>
      <c r="F775" s="12" t="str">
        <f>IFERROR(__xludf.DUMMYFUNCTION("""COMPUTED_VALUE"""),"Engagement Manager [Primary]")</f>
        <v>Engagement Manager [Primary]</v>
      </c>
    </row>
    <row r="776">
      <c r="A776" s="12" t="str">
        <f>IFERROR(__xludf.DUMMYFUNCTION("""COMPUTED_VALUE"""),"a0lVT000006Nas9YAC")</f>
        <v>a0lVT000006Nas9YAC</v>
      </c>
      <c r="B776" s="12" t="str">
        <f>IFERROR(__xludf.DUMMYFUNCTION("""COMPUTED_VALUE"""),"a0rVT00001CkOfpYAF")</f>
        <v>a0rVT00001CkOfpYAF</v>
      </c>
      <c r="C776" s="12" t="str">
        <f>IFERROR(__xludf.DUMMYFUNCTION("""COMPUTED_VALUE"""),"0034X00003EtGr8QAF")</f>
        <v>0034X00003EtGr8QAF</v>
      </c>
      <c r="D776" s="12" t="str">
        <f>IFERROR(__xludf.DUMMYFUNCTION("""COMPUTED_VALUE"""),"Aaron Barnes")</f>
        <v>Aaron Barnes</v>
      </c>
      <c r="E776" s="12" t="str">
        <f>IFERROR(__xludf.DUMMYFUNCTION("""COMPUTED_VALUE"""),"aaron.barnes@workday.com")</f>
        <v>aaron.barnes@workday.com</v>
      </c>
      <c r="F776" s="12" t="str">
        <f>IFERROR(__xludf.DUMMYFUNCTION("""COMPUTED_VALUE"""),"Engagement Manager [Secondary]")</f>
        <v>Engagement Manager [Secondary]</v>
      </c>
    </row>
    <row r="777">
      <c r="A777" s="12" t="str">
        <f>IFERROR(__xludf.DUMMYFUNCTION("""COMPUTED_VALUE"""),"a0lVT000006K3pVYAS")</f>
        <v>a0lVT000006K3pVYAS</v>
      </c>
      <c r="B777" s="12" t="str">
        <f>IFERROR(__xludf.DUMMYFUNCTION("""COMPUTED_VALUE"""),"a0rVT00001CkOfpYAF")</f>
        <v>a0rVT00001CkOfpYAF</v>
      </c>
      <c r="C777" s="12" t="str">
        <f>IFERROR(__xludf.DUMMYFUNCTION("""COMPUTED_VALUE"""),"003VT00000fcE3zYAE")</f>
        <v>003VT00000fcE3zYAE</v>
      </c>
      <c r="D777" s="12" t="str">
        <f>IFERROR(__xludf.DUMMYFUNCTION("""COMPUTED_VALUE"""),"Taylor Mitchell")</f>
        <v>Taylor Mitchell</v>
      </c>
      <c r="E777" s="12" t="str">
        <f>IFERROR(__xludf.DUMMYFUNCTION("""COMPUTED_VALUE"""),"taylor.mitchell@workday.com")</f>
        <v>taylor.mitchell@workday.com</v>
      </c>
      <c r="F777" s="12" t="str">
        <f>IFERROR(__xludf.DUMMYFUNCTION("""COMPUTED_VALUE"""),"Engagement Manager [Primary]")</f>
        <v>Engagement Manager [Primary]</v>
      </c>
    </row>
    <row r="778">
      <c r="A778" s="12" t="str">
        <f>IFERROR(__xludf.DUMMYFUNCTION("""COMPUTED_VALUE"""),"a0lVT000006KEkvYAG")</f>
        <v>a0lVT000006KEkvYAG</v>
      </c>
      <c r="B778" s="12" t="str">
        <f>IFERROR(__xludf.DUMMYFUNCTION("""COMPUTED_VALUE"""),"a0rVT00001Co5l3YAB")</f>
        <v>a0rVT00001Co5l3YAB</v>
      </c>
      <c r="C778" s="12" t="str">
        <f>IFERROR(__xludf.DUMMYFUNCTION("""COMPUTED_VALUE"""),"0034X00003JsNpYQAV")</f>
        <v>0034X00003JsNpYQAV</v>
      </c>
      <c r="D778" s="12" t="str">
        <f>IFERROR(__xludf.DUMMYFUNCTION("""COMPUTED_VALUE"""),"Dhaval Rana")</f>
        <v>Dhaval Rana</v>
      </c>
      <c r="E778" s="12" t="str">
        <f>IFERROR(__xludf.DUMMYFUNCTION("""COMPUTED_VALUE"""),"dhaval.rana@workday.com")</f>
        <v>dhaval.rana@workday.com</v>
      </c>
      <c r="F778" s="12" t="str">
        <f>IFERROR(__xludf.DUMMYFUNCTION("""COMPUTED_VALUE"""),"Engagement Manager [Primary]")</f>
        <v>Engagement Manager [Primary]</v>
      </c>
    </row>
    <row r="779">
      <c r="A779" s="12" t="str">
        <f>IFERROR(__xludf.DUMMYFUNCTION("""COMPUTED_VALUE"""),"a0lVT000006KFc9YAG")</f>
        <v>a0lVT000006KFc9YAG</v>
      </c>
      <c r="B779" s="12" t="str">
        <f>IFERROR(__xludf.DUMMYFUNCTION("""COMPUTED_VALUE"""),"a0rVT00001CoK2XYAV")</f>
        <v>a0rVT00001CoK2XYAV</v>
      </c>
      <c r="C779" s="12" t="str">
        <f>IFERROR(__xludf.DUMMYFUNCTION("""COMPUTED_VALUE"""),"0034X00003JsNpYQAV")</f>
        <v>0034X00003JsNpYQAV</v>
      </c>
      <c r="D779" s="12" t="str">
        <f>IFERROR(__xludf.DUMMYFUNCTION("""COMPUTED_VALUE"""),"Dhaval Rana")</f>
        <v>Dhaval Rana</v>
      </c>
      <c r="E779" s="12" t="str">
        <f>IFERROR(__xludf.DUMMYFUNCTION("""COMPUTED_VALUE"""),"dhaval.rana@workday.com")</f>
        <v>dhaval.rana@workday.com</v>
      </c>
      <c r="F779" s="12" t="str">
        <f>IFERROR(__xludf.DUMMYFUNCTION("""COMPUTED_VALUE"""),"Engagement Manager [Primary]")</f>
        <v>Engagement Manager [Primary]</v>
      </c>
    </row>
    <row r="780">
      <c r="A780" s="12" t="str">
        <f>IFERROR(__xludf.DUMMYFUNCTION("""COMPUTED_VALUE"""),"a0lVT000006KFkDYAW")</f>
        <v>a0lVT000006KFkDYAW</v>
      </c>
      <c r="B780" s="12" t="str">
        <f>IFERROR(__xludf.DUMMYFUNCTION("""COMPUTED_VALUE"""),"a0rVT00001CoMXNYA3")</f>
        <v>a0rVT00001CoMXNYA3</v>
      </c>
      <c r="C780" s="12" t="str">
        <f>IFERROR(__xludf.DUMMYFUNCTION("""COMPUTED_VALUE"""),"0034X00003JsNpYQAV")</f>
        <v>0034X00003JsNpYQAV</v>
      </c>
      <c r="D780" s="12" t="str">
        <f>IFERROR(__xludf.DUMMYFUNCTION("""COMPUTED_VALUE"""),"Dhaval Rana")</f>
        <v>Dhaval Rana</v>
      </c>
      <c r="E780" s="12" t="str">
        <f>IFERROR(__xludf.DUMMYFUNCTION("""COMPUTED_VALUE"""),"dhaval.rana@workday.com")</f>
        <v>dhaval.rana@workday.com</v>
      </c>
      <c r="F780" s="12" t="str">
        <f>IFERROR(__xludf.DUMMYFUNCTION("""COMPUTED_VALUE"""),"Engagement Manager [Primary]")</f>
        <v>Engagement Manager [Primary]</v>
      </c>
    </row>
    <row r="781">
      <c r="A781" s="12" t="str">
        <f>IFERROR(__xludf.DUMMYFUNCTION("""COMPUTED_VALUE"""),"a0lVT000006MvtpYAC")</f>
        <v>a0lVT000006MvtpYAC</v>
      </c>
      <c r="B781" s="12" t="str">
        <f>IFERROR(__xludf.DUMMYFUNCTION("""COMPUTED_VALUE"""),"a0rVT00001DIjoHYAT")</f>
        <v>a0rVT00001DIjoHYAT</v>
      </c>
      <c r="C781" s="12" t="str">
        <f>IFERROR(__xludf.DUMMYFUNCTION("""COMPUTED_VALUE"""),"00380000021wifiAAA")</f>
        <v>00380000021wifiAAA</v>
      </c>
      <c r="D781" s="12" t="str">
        <f>IFERROR(__xludf.DUMMYFUNCTION("""COMPUTED_VALUE"""),"Keith Lawless")</f>
        <v>Keith Lawless</v>
      </c>
      <c r="E781" s="12" t="str">
        <f>IFERROR(__xludf.DUMMYFUNCTION("""COMPUTED_VALUE"""),"keith.lawless@workday.com")</f>
        <v>keith.lawless@workday.com</v>
      </c>
      <c r="F781" s="12" t="str">
        <f>IFERROR(__xludf.DUMMYFUNCTION("""COMPUTED_VALUE"""),"Deployment Sponsor")</f>
        <v>Deployment Sponsor</v>
      </c>
    </row>
    <row r="782">
      <c r="A782" s="12" t="str">
        <f>IFERROR(__xludf.DUMMYFUNCTION("""COMPUTED_VALUE"""),"a0lVT000006MvozYAC")</f>
        <v>a0lVT000006MvozYAC</v>
      </c>
      <c r="B782" s="12" t="str">
        <f>IFERROR(__xludf.DUMMYFUNCTION("""COMPUTED_VALUE"""),"a0rVT00001DIjoHYAT")</f>
        <v>a0rVT00001DIjoHYAT</v>
      </c>
      <c r="C782" s="12" t="str">
        <f>IFERROR(__xludf.DUMMYFUNCTION("""COMPUTED_VALUE"""),"0034X00003GLjtLQAT")</f>
        <v>0034X00003GLjtLQAT</v>
      </c>
      <c r="D782" s="12" t="str">
        <f>IFERROR(__xludf.DUMMYFUNCTION("""COMPUTED_VALUE"""),"Aleksandra Toulemonde")</f>
        <v>Aleksandra Toulemonde</v>
      </c>
      <c r="E782" s="12" t="str">
        <f>IFERROR(__xludf.DUMMYFUNCTION("""COMPUTED_VALUE"""),"aleksandra.toulemond@workday.com")</f>
        <v>aleksandra.toulemond@workday.com</v>
      </c>
      <c r="F782" s="12" t="str">
        <f>IFERROR(__xludf.DUMMYFUNCTION("""COMPUTED_VALUE"""),"Engagement Manager [Primary]")</f>
        <v>Engagement Manager [Primary]</v>
      </c>
    </row>
    <row r="783">
      <c r="A783" s="12" t="str">
        <f>IFERROR(__xludf.DUMMYFUNCTION("""COMPUTED_VALUE"""),"a0lVT000006N9dRYAS")</f>
        <v>a0lVT000006N9dRYAS</v>
      </c>
      <c r="B783" s="12" t="str">
        <f>IFERROR(__xludf.DUMMYFUNCTION("""COMPUTED_VALUE"""),"a0rVT00001DMM6jYAH")</f>
        <v>a0rVT00001DMM6jYAH</v>
      </c>
      <c r="C783" s="12" t="str">
        <f>IFERROR(__xludf.DUMMYFUNCTION("""COMPUTED_VALUE"""),"003VT00000twDGXYA2")</f>
        <v>003VT00000twDGXYA2</v>
      </c>
      <c r="D783" s="12" t="str">
        <f>IFERROR(__xludf.DUMMYFUNCTION("""COMPUTED_VALUE"""),"Alexandra Reischl")</f>
        <v>Alexandra Reischl</v>
      </c>
      <c r="E783" s="12" t="str">
        <f>IFERROR(__xludf.DUMMYFUNCTION("""COMPUTED_VALUE"""),"alex.reischl@workday.com")</f>
        <v>alex.reischl@workday.com</v>
      </c>
      <c r="F783" s="12" t="str">
        <f>IFERROR(__xludf.DUMMYFUNCTION("""COMPUTED_VALUE"""),"Engagement Manager [Primary]")</f>
        <v>Engagement Manager [Primary]</v>
      </c>
    </row>
    <row r="784">
      <c r="A784" s="12" t="str">
        <f>IFERROR(__xludf.DUMMYFUNCTION("""COMPUTED_VALUE"""),"a0lVT000006NAMbYAO")</f>
        <v>a0lVT000006NAMbYAO</v>
      </c>
      <c r="B784" s="12" t="str">
        <f>IFERROR(__xludf.DUMMYFUNCTION("""COMPUTED_VALUE"""),"a0rVT00001DMSm1YAH")</f>
        <v>a0rVT00001DMSm1YAH</v>
      </c>
      <c r="C784" s="12" t="str">
        <f>IFERROR(__xludf.DUMMYFUNCTION("""COMPUTED_VALUE"""),"0034X00003ErzzBQAR")</f>
        <v>0034X00003ErzzBQAR</v>
      </c>
      <c r="D784" s="12" t="str">
        <f>IFERROR(__xludf.DUMMYFUNCTION("""COMPUTED_VALUE"""),"Ashvini Khade")</f>
        <v>Ashvini Khade</v>
      </c>
      <c r="E784" s="12" t="str">
        <f>IFERROR(__xludf.DUMMYFUNCTION("""COMPUTED_VALUE"""),"ashvini.khade@workday.com")</f>
        <v>ashvini.khade@workday.com</v>
      </c>
      <c r="F784" s="12" t="str">
        <f>IFERROR(__xludf.DUMMYFUNCTION("""COMPUTED_VALUE"""),"Engagement Manager [Primary]")</f>
        <v>Engagement Manager [Primary]</v>
      </c>
    </row>
    <row r="785">
      <c r="A785" s="12" t="str">
        <f>IFERROR(__xludf.DUMMYFUNCTION("""COMPUTED_VALUE"""),"a0lVT000006NA86YAG")</f>
        <v>a0lVT000006NA86YAG</v>
      </c>
      <c r="B785" s="12" t="str">
        <f>IFERROR(__xludf.DUMMYFUNCTION("""COMPUTED_VALUE"""),"a0rVT00001DMSm1YAH")</f>
        <v>a0rVT00001DMSm1YAH</v>
      </c>
      <c r="C785" s="12" t="str">
        <f>IFERROR(__xludf.DUMMYFUNCTION("""COMPUTED_VALUE"""),"0034X00003T12iNQAR")</f>
        <v>0034X00003T12iNQAR</v>
      </c>
      <c r="D785" s="12" t="str">
        <f>IFERROR(__xludf.DUMMYFUNCTION("""COMPUTED_VALUE"""),"Niraj Pradhan")</f>
        <v>Niraj Pradhan</v>
      </c>
      <c r="E785" s="12" t="str">
        <f>IFERROR(__xludf.DUMMYFUNCTION("""COMPUTED_VALUE"""),"niraj.pradhan@workday.com")</f>
        <v>niraj.pradhan@workday.com</v>
      </c>
      <c r="F785" s="12" t="str">
        <f>IFERROR(__xludf.DUMMYFUNCTION("""COMPUTED_VALUE"""),"Engagement Manager [Secondary]")</f>
        <v>Engagement Manager [Secondary]</v>
      </c>
    </row>
    <row r="786">
      <c r="A786" s="12" t="str">
        <f>IFERROR(__xludf.DUMMYFUNCTION("""COMPUTED_VALUE"""),"a0lVT000006PafxYAC")</f>
        <v>a0lVT000006PafxYAC</v>
      </c>
      <c r="B786" s="12" t="str">
        <f>IFERROR(__xludf.DUMMYFUNCTION("""COMPUTED_VALUE"""),"a0rVT00001DMU7VYAX")</f>
        <v>a0rVT00001DMU7VYAX</v>
      </c>
      <c r="C786" s="12" t="str">
        <f>IFERROR(__xludf.DUMMYFUNCTION("""COMPUTED_VALUE"""),"0031B00002gdtgOQAQ")</f>
        <v>0031B00002gdtgOQAQ</v>
      </c>
      <c r="D786" s="12" t="str">
        <f>IFERROR(__xludf.DUMMYFUNCTION("""COMPUTED_VALUE"""),"Aaron Stetts")</f>
        <v>Aaron Stetts</v>
      </c>
      <c r="E786" s="12" t="str">
        <f>IFERROR(__xludf.DUMMYFUNCTION("""COMPUTED_VALUE"""),"aaron.stetts@meijer.com")</f>
        <v>aaron.stetts@meijer.com</v>
      </c>
      <c r="F786" s="12" t="str">
        <f>IFERROR(__xludf.DUMMYFUNCTION("""COMPUTED_VALUE"""),"Project Manager [Customer]")</f>
        <v>Project Manager [Customer]</v>
      </c>
    </row>
    <row r="787">
      <c r="A787" s="12" t="str">
        <f>IFERROR(__xludf.DUMMYFUNCTION("""COMPUTED_VALUE"""),"a0lVT000006Pao1YAC")</f>
        <v>a0lVT000006Pao1YAC</v>
      </c>
      <c r="B787" s="12" t="str">
        <f>IFERROR(__xludf.DUMMYFUNCTION("""COMPUTED_VALUE"""),"a0rVT00001DMU7VYAX")</f>
        <v>a0rVT00001DMU7VYAX</v>
      </c>
      <c r="C787" s="12" t="str">
        <f>IFERROR(__xludf.DUMMYFUNCTION("""COMPUTED_VALUE"""),"0034X00003RELJeQAP")</f>
        <v>0034X00003RELJeQAP</v>
      </c>
      <c r="D787" s="12" t="str">
        <f>IFERROR(__xludf.DUMMYFUNCTION("""COMPUTED_VALUE"""),"John Schneider")</f>
        <v>John Schneider</v>
      </c>
      <c r="E787" s="12" t="str">
        <f>IFERROR(__xludf.DUMMYFUNCTION("""COMPUTED_VALUE"""),"john.schneider@meijer.com")</f>
        <v>john.schneider@meijer.com</v>
      </c>
      <c r="F787" s="12" t="str">
        <f>IFERROR(__xludf.DUMMYFUNCTION("""COMPUTED_VALUE"""),"Executive Sponsor")</f>
        <v>Executive Sponsor</v>
      </c>
    </row>
    <row r="788">
      <c r="A788" s="12" t="str">
        <f>IFERROR(__xludf.DUMMYFUNCTION("""COMPUTED_VALUE"""),"a0lVT000006NyxmYAC")</f>
        <v>a0lVT000006NyxmYAC</v>
      </c>
      <c r="B788" s="12" t="str">
        <f>IFERROR(__xludf.DUMMYFUNCTION("""COMPUTED_VALUE"""),"a0rVT00001DWjN0YAL")</f>
        <v>a0rVT00001DWjN0YAL</v>
      </c>
      <c r="C788" s="12" t="str">
        <f>IFERROR(__xludf.DUMMYFUNCTION("""COMPUTED_VALUE"""),"0034X00003EtGr8QAF")</f>
        <v>0034X00003EtGr8QAF</v>
      </c>
      <c r="D788" s="12" t="str">
        <f>IFERROR(__xludf.DUMMYFUNCTION("""COMPUTED_VALUE"""),"Aaron Barnes")</f>
        <v>Aaron Barnes</v>
      </c>
      <c r="E788" s="12" t="str">
        <f>IFERROR(__xludf.DUMMYFUNCTION("""COMPUTED_VALUE"""),"aaron.barnes@workday.com")</f>
        <v>aaron.barnes@workday.com</v>
      </c>
      <c r="F788" s="12" t="str">
        <f>IFERROR(__xludf.DUMMYFUNCTION("""COMPUTED_VALUE"""),"Engagement Manager [Primary]")</f>
        <v>Engagement Manager [Primary]</v>
      </c>
    </row>
    <row r="789">
      <c r="A789" s="12" t="str">
        <f>IFERROR(__xludf.DUMMYFUNCTION("""COMPUTED_VALUE"""),"a0lVT000006O3XaYAK")</f>
        <v>a0lVT000006O3XaYAK</v>
      </c>
      <c r="B789" s="12" t="str">
        <f>IFERROR(__xludf.DUMMYFUNCTION("""COMPUTED_VALUE"""),"a0rVT00001DWnJHYA1")</f>
        <v>a0rVT00001DWnJHYA1</v>
      </c>
      <c r="C789" s="12" t="str">
        <f>IFERROR(__xludf.DUMMYFUNCTION("""COMPUTED_VALUE"""),"0034X00003EtGr8QAF")</f>
        <v>0034X00003EtGr8QAF</v>
      </c>
      <c r="D789" s="12" t="str">
        <f>IFERROR(__xludf.DUMMYFUNCTION("""COMPUTED_VALUE"""),"Aaron Barnes")</f>
        <v>Aaron Barnes</v>
      </c>
      <c r="E789" s="12" t="str">
        <f>IFERROR(__xludf.DUMMYFUNCTION("""COMPUTED_VALUE"""),"aaron.barnes@workday.com")</f>
        <v>aaron.barnes@workday.com</v>
      </c>
      <c r="F789" s="12" t="str">
        <f>IFERROR(__xludf.DUMMYFUNCTION("""COMPUTED_VALUE"""),"Engagement Manager [Primary]")</f>
        <v>Engagement Manager [Primary]</v>
      </c>
    </row>
    <row r="790">
      <c r="A790" s="12" t="str">
        <f>IFERROR(__xludf.DUMMYFUNCTION("""COMPUTED_VALUE"""),"a0lVT000006O6TrYAK")</f>
        <v>a0lVT000006O6TrYAK</v>
      </c>
      <c r="B790" s="12" t="str">
        <f>IFERROR(__xludf.DUMMYFUNCTION("""COMPUTED_VALUE"""),"a0rVT00001DWrb7YAD")</f>
        <v>a0rVT00001DWrb7YAD</v>
      </c>
      <c r="C790" s="12" t="str">
        <f>IFERROR(__xludf.DUMMYFUNCTION("""COMPUTED_VALUE"""),"0034X00003EtGr8QAF")</f>
        <v>0034X00003EtGr8QAF</v>
      </c>
      <c r="D790" s="12" t="str">
        <f>IFERROR(__xludf.DUMMYFUNCTION("""COMPUTED_VALUE"""),"Aaron Barnes")</f>
        <v>Aaron Barnes</v>
      </c>
      <c r="E790" s="12" t="str">
        <f>IFERROR(__xludf.DUMMYFUNCTION("""COMPUTED_VALUE"""),"aaron.barnes@workday.com")</f>
        <v>aaron.barnes@workday.com</v>
      </c>
      <c r="F790" s="12" t="str">
        <f>IFERROR(__xludf.DUMMYFUNCTION("""COMPUTED_VALUE"""),"Engagement Manager [Primary]")</f>
        <v>Engagement Manager [Primary]</v>
      </c>
    </row>
    <row r="791">
      <c r="A791" s="12" t="str">
        <f>IFERROR(__xludf.DUMMYFUNCTION("""COMPUTED_VALUE"""),"a0lVT000006O5G2YAK")</f>
        <v>a0lVT000006O5G2YAK</v>
      </c>
      <c r="B791" s="12" t="str">
        <f>IFERROR(__xludf.DUMMYFUNCTION("""COMPUTED_VALUE"""),"a0rVT00001DWt2wYAD")</f>
        <v>a0rVT00001DWt2wYAD</v>
      </c>
      <c r="C791" s="12" t="str">
        <f>IFERROR(__xludf.DUMMYFUNCTION("""COMPUTED_VALUE"""),"0034X00003EtGr8QAF")</f>
        <v>0034X00003EtGr8QAF</v>
      </c>
      <c r="D791" s="12" t="str">
        <f>IFERROR(__xludf.DUMMYFUNCTION("""COMPUTED_VALUE"""),"Aaron Barnes")</f>
        <v>Aaron Barnes</v>
      </c>
      <c r="E791" s="12" t="str">
        <f>IFERROR(__xludf.DUMMYFUNCTION("""COMPUTED_VALUE"""),"aaron.barnes@workday.com")</f>
        <v>aaron.barnes@workday.com</v>
      </c>
      <c r="F791" s="12" t="str">
        <f>IFERROR(__xludf.DUMMYFUNCTION("""COMPUTED_VALUE"""),"Engagement Manager [Primary]")</f>
        <v>Engagement Manager [Primary]</v>
      </c>
    </row>
    <row r="792">
      <c r="A792" s="12" t="str">
        <f>IFERROR(__xludf.DUMMYFUNCTION("""COMPUTED_VALUE"""),"a0lVT000006O7xlYAC")</f>
        <v>a0lVT000006O7xlYAC</v>
      </c>
      <c r="B792" s="12" t="str">
        <f>IFERROR(__xludf.DUMMYFUNCTION("""COMPUTED_VALUE"""),"a0rVT00001DWu2KYAT")</f>
        <v>a0rVT00001DWu2KYAT</v>
      </c>
      <c r="C792" s="12" t="str">
        <f>IFERROR(__xludf.DUMMYFUNCTION("""COMPUTED_VALUE"""),"0034X00003EtGr8QAF")</f>
        <v>0034X00003EtGr8QAF</v>
      </c>
      <c r="D792" s="12" t="str">
        <f>IFERROR(__xludf.DUMMYFUNCTION("""COMPUTED_VALUE"""),"Aaron Barnes")</f>
        <v>Aaron Barnes</v>
      </c>
      <c r="E792" s="12" t="str">
        <f>IFERROR(__xludf.DUMMYFUNCTION("""COMPUTED_VALUE"""),"aaron.barnes@workday.com")</f>
        <v>aaron.barnes@workday.com</v>
      </c>
      <c r="F792" s="12" t="str">
        <f>IFERROR(__xludf.DUMMYFUNCTION("""COMPUTED_VALUE"""),"Engagement Manager [Primary]")</f>
        <v>Engagement Manager [Primary]</v>
      </c>
    </row>
    <row r="793">
      <c r="A793" s="12" t="str">
        <f>IFERROR(__xludf.DUMMYFUNCTION("""COMPUTED_VALUE"""),"a0lVT000006NvrtYAC")</f>
        <v>a0lVT000006NvrtYAC</v>
      </c>
      <c r="B793" s="12" t="str">
        <f>IFERROR(__xludf.DUMMYFUNCTION("""COMPUTED_VALUE"""),"a0rVT00001DWwqUYAT")</f>
        <v>a0rVT00001DWwqUYAT</v>
      </c>
      <c r="C793" s="12" t="str">
        <f>IFERROR(__xludf.DUMMYFUNCTION("""COMPUTED_VALUE"""),"0034X00003EtGr8QAF")</f>
        <v>0034X00003EtGr8QAF</v>
      </c>
      <c r="D793" s="12" t="str">
        <f>IFERROR(__xludf.DUMMYFUNCTION("""COMPUTED_VALUE"""),"Aaron Barnes")</f>
        <v>Aaron Barnes</v>
      </c>
      <c r="E793" s="12" t="str">
        <f>IFERROR(__xludf.DUMMYFUNCTION("""COMPUTED_VALUE"""),"aaron.barnes@workday.com")</f>
        <v>aaron.barnes@workday.com</v>
      </c>
      <c r="F793" s="12" t="str">
        <f>IFERROR(__xludf.DUMMYFUNCTION("""COMPUTED_VALUE"""),"Engagement Manager [Primary]")</f>
        <v>Engagement Manager [Primary]</v>
      </c>
    </row>
    <row r="794">
      <c r="A794" s="12" t="str">
        <f>IFERROR(__xludf.DUMMYFUNCTION("""COMPUTED_VALUE"""),"a0lVT000006O2LQYA0")</f>
        <v>a0lVT000006O2LQYA0</v>
      </c>
      <c r="B794" s="12" t="str">
        <f>IFERROR(__xludf.DUMMYFUNCTION("""COMPUTED_VALUE"""),"a0rVT00001DWwwwYAD")</f>
        <v>a0rVT00001DWwwwYAD</v>
      </c>
      <c r="C794" s="12" t="str">
        <f>IFERROR(__xludf.DUMMYFUNCTION("""COMPUTED_VALUE"""),"0034X00003EtGr8QAF")</f>
        <v>0034X00003EtGr8QAF</v>
      </c>
      <c r="D794" s="12" t="str">
        <f>IFERROR(__xludf.DUMMYFUNCTION("""COMPUTED_VALUE"""),"Aaron Barnes")</f>
        <v>Aaron Barnes</v>
      </c>
      <c r="E794" s="12" t="str">
        <f>IFERROR(__xludf.DUMMYFUNCTION("""COMPUTED_VALUE"""),"aaron.barnes@workday.com")</f>
        <v>aaron.barnes@workday.com</v>
      </c>
      <c r="F794" s="12" t="str">
        <f>IFERROR(__xludf.DUMMYFUNCTION("""COMPUTED_VALUE"""),"Engagement Manager [Primary]")</f>
        <v>Engagement Manager [Primary]</v>
      </c>
    </row>
    <row r="795">
      <c r="A795" s="12" t="str">
        <f>IFERROR(__xludf.DUMMYFUNCTION("""COMPUTED_VALUE"""),"a0lVT000006O8U1YAK")</f>
        <v>a0lVT000006O8U1YAK</v>
      </c>
      <c r="B795" s="12" t="str">
        <f>IFERROR(__xludf.DUMMYFUNCTION("""COMPUTED_VALUE"""),"a0rVT00001DWxeUYAT")</f>
        <v>a0rVT00001DWxeUYAT</v>
      </c>
      <c r="C795" s="12" t="str">
        <f>IFERROR(__xludf.DUMMYFUNCTION("""COMPUTED_VALUE"""),"0034X00003EtGr8QAF")</f>
        <v>0034X00003EtGr8QAF</v>
      </c>
      <c r="D795" s="12" t="str">
        <f>IFERROR(__xludf.DUMMYFUNCTION("""COMPUTED_VALUE"""),"Aaron Barnes")</f>
        <v>Aaron Barnes</v>
      </c>
      <c r="E795" s="12" t="str">
        <f>IFERROR(__xludf.DUMMYFUNCTION("""COMPUTED_VALUE"""),"aaron.barnes@workday.com")</f>
        <v>aaron.barnes@workday.com</v>
      </c>
      <c r="F795" s="12" t="str">
        <f>IFERROR(__xludf.DUMMYFUNCTION("""COMPUTED_VALUE"""),"Engagement Manager [Primary]")</f>
        <v>Engagement Manager [Primary]</v>
      </c>
    </row>
    <row r="796">
      <c r="A796" s="12" t="str">
        <f>IFERROR(__xludf.DUMMYFUNCTION("""COMPUTED_VALUE"""),"a0lVT000006NvOoYAK")</f>
        <v>a0lVT000006NvOoYAK</v>
      </c>
      <c r="B796" s="12" t="str">
        <f>IFERROR(__xludf.DUMMYFUNCTION("""COMPUTED_VALUE"""),"a0rVT00001DWxhkYAD")</f>
        <v>a0rVT00001DWxhkYAD</v>
      </c>
      <c r="C796" s="12" t="str">
        <f>IFERROR(__xludf.DUMMYFUNCTION("""COMPUTED_VALUE"""),"0034X00003EtGr8QAF")</f>
        <v>0034X00003EtGr8QAF</v>
      </c>
      <c r="D796" s="12" t="str">
        <f>IFERROR(__xludf.DUMMYFUNCTION("""COMPUTED_VALUE"""),"Aaron Barnes")</f>
        <v>Aaron Barnes</v>
      </c>
      <c r="E796" s="12" t="str">
        <f>IFERROR(__xludf.DUMMYFUNCTION("""COMPUTED_VALUE"""),"aaron.barnes@workday.com")</f>
        <v>aaron.barnes@workday.com</v>
      </c>
      <c r="F796" s="12" t="str">
        <f>IFERROR(__xludf.DUMMYFUNCTION("""COMPUTED_VALUE"""),"Engagement Manager [Primary]")</f>
        <v>Engagement Manager [Primary]</v>
      </c>
    </row>
    <row r="797">
      <c r="A797" s="12" t="str">
        <f>IFERROR(__xludf.DUMMYFUNCTION("""COMPUTED_VALUE"""),"a0lVT000006O1h8YAC")</f>
        <v>a0lVT000006O1h8YAC</v>
      </c>
      <c r="B797" s="12" t="str">
        <f>IFERROR(__xludf.DUMMYFUNCTION("""COMPUTED_VALUE"""),"a0rVT00001DWxt0YAD")</f>
        <v>a0rVT00001DWxt0YAD</v>
      </c>
      <c r="C797" s="12" t="str">
        <f>IFERROR(__xludf.DUMMYFUNCTION("""COMPUTED_VALUE"""),"0034X00003EtGr8QAF")</f>
        <v>0034X00003EtGr8QAF</v>
      </c>
      <c r="D797" s="12" t="str">
        <f>IFERROR(__xludf.DUMMYFUNCTION("""COMPUTED_VALUE"""),"Aaron Barnes")</f>
        <v>Aaron Barnes</v>
      </c>
      <c r="E797" s="12" t="str">
        <f>IFERROR(__xludf.DUMMYFUNCTION("""COMPUTED_VALUE"""),"aaron.barnes@workday.com")</f>
        <v>aaron.barnes@workday.com</v>
      </c>
      <c r="F797" s="12" t="str">
        <f>IFERROR(__xludf.DUMMYFUNCTION("""COMPUTED_VALUE"""),"Engagement Manager [Primary]")</f>
        <v>Engagement Manager [Primary]</v>
      </c>
    </row>
    <row r="798">
      <c r="A798" s="12" t="str">
        <f>IFERROR(__xludf.DUMMYFUNCTION("""COMPUTED_VALUE"""),"a0lVT000006NtJpYAK")</f>
        <v>a0lVT000006NtJpYAK</v>
      </c>
      <c r="B798" s="12" t="str">
        <f>IFERROR(__xludf.DUMMYFUNCTION("""COMPUTED_VALUE"""),"a0rVT00001DWyIkYAL")</f>
        <v>a0rVT00001DWyIkYAL</v>
      </c>
      <c r="C798" s="12" t="str">
        <f>IFERROR(__xludf.DUMMYFUNCTION("""COMPUTED_VALUE"""),"0034X00003EtGr8QAF")</f>
        <v>0034X00003EtGr8QAF</v>
      </c>
      <c r="D798" s="12" t="str">
        <f>IFERROR(__xludf.DUMMYFUNCTION("""COMPUTED_VALUE"""),"Aaron Barnes")</f>
        <v>Aaron Barnes</v>
      </c>
      <c r="E798" s="12" t="str">
        <f>IFERROR(__xludf.DUMMYFUNCTION("""COMPUTED_VALUE"""),"aaron.barnes@workday.com")</f>
        <v>aaron.barnes@workday.com</v>
      </c>
      <c r="F798" s="12" t="str">
        <f>IFERROR(__xludf.DUMMYFUNCTION("""COMPUTED_VALUE"""),"Engagement Manager [Primary]")</f>
        <v>Engagement Manager [Primary]</v>
      </c>
    </row>
    <row r="799">
      <c r="A799" s="12" t="str">
        <f>IFERROR(__xludf.DUMMYFUNCTION("""COMPUTED_VALUE"""),"a0lVT000006O1E5YAK")</f>
        <v>a0lVT000006O1E5YAK</v>
      </c>
      <c r="B799" s="12" t="str">
        <f>IFERROR(__xludf.DUMMYFUNCTION("""COMPUTED_VALUE"""),"a0rVT00001DWyfeYAD")</f>
        <v>a0rVT00001DWyfeYAD</v>
      </c>
      <c r="C799" s="12" t="str">
        <f>IFERROR(__xludf.DUMMYFUNCTION("""COMPUTED_VALUE"""),"0034X00003EtGr8QAF")</f>
        <v>0034X00003EtGr8QAF</v>
      </c>
      <c r="D799" s="12" t="str">
        <f>IFERROR(__xludf.DUMMYFUNCTION("""COMPUTED_VALUE"""),"Aaron Barnes")</f>
        <v>Aaron Barnes</v>
      </c>
      <c r="E799" s="12" t="str">
        <f>IFERROR(__xludf.DUMMYFUNCTION("""COMPUTED_VALUE"""),"aaron.barnes@workday.com")</f>
        <v>aaron.barnes@workday.com</v>
      </c>
      <c r="F799" s="12" t="str">
        <f>IFERROR(__xludf.DUMMYFUNCTION("""COMPUTED_VALUE"""),"Engagement Manager [Primary]")</f>
        <v>Engagement Manager [Primary]</v>
      </c>
    </row>
    <row r="800">
      <c r="A800" s="12" t="str">
        <f>IFERROR(__xludf.DUMMYFUNCTION("""COMPUTED_VALUE"""),"a0lVT000006O2wVYAS")</f>
        <v>a0lVT000006O2wVYAS</v>
      </c>
      <c r="B800" s="12" t="str">
        <f>IFERROR(__xludf.DUMMYFUNCTION("""COMPUTED_VALUE"""),"a0rVT00001DWz1zYAD")</f>
        <v>a0rVT00001DWz1zYAD</v>
      </c>
      <c r="C800" s="12" t="str">
        <f>IFERROR(__xludf.DUMMYFUNCTION("""COMPUTED_VALUE"""),"0034X00003EtGr8QAF")</f>
        <v>0034X00003EtGr8QAF</v>
      </c>
      <c r="D800" s="12" t="str">
        <f>IFERROR(__xludf.DUMMYFUNCTION("""COMPUTED_VALUE"""),"Aaron Barnes")</f>
        <v>Aaron Barnes</v>
      </c>
      <c r="E800" s="12" t="str">
        <f>IFERROR(__xludf.DUMMYFUNCTION("""COMPUTED_VALUE"""),"aaron.barnes@workday.com")</f>
        <v>aaron.barnes@workday.com</v>
      </c>
      <c r="F800" s="12" t="str">
        <f>IFERROR(__xludf.DUMMYFUNCTION("""COMPUTED_VALUE"""),"Engagement Manager [Primary]")</f>
        <v>Engagement Manager [Primary]</v>
      </c>
    </row>
    <row r="801">
      <c r="A801" s="12" t="str">
        <f>IFERROR(__xludf.DUMMYFUNCTION("""COMPUTED_VALUE"""),"a0lVT000006O5zDYAS")</f>
        <v>a0lVT000006O5zDYAS</v>
      </c>
      <c r="B801" s="12" t="str">
        <f>IFERROR(__xludf.DUMMYFUNCTION("""COMPUTED_VALUE"""),"a0rVT00001DWzEtYAL")</f>
        <v>a0rVT00001DWzEtYAL</v>
      </c>
      <c r="C801" s="12" t="str">
        <f>IFERROR(__xludf.DUMMYFUNCTION("""COMPUTED_VALUE"""),"0034X00003EtGr8QAF")</f>
        <v>0034X00003EtGr8QAF</v>
      </c>
      <c r="D801" s="12" t="str">
        <f>IFERROR(__xludf.DUMMYFUNCTION("""COMPUTED_VALUE"""),"Aaron Barnes")</f>
        <v>Aaron Barnes</v>
      </c>
      <c r="E801" s="12" t="str">
        <f>IFERROR(__xludf.DUMMYFUNCTION("""COMPUTED_VALUE"""),"aaron.barnes@workday.com")</f>
        <v>aaron.barnes@workday.com</v>
      </c>
      <c r="F801" s="12" t="str">
        <f>IFERROR(__xludf.DUMMYFUNCTION("""COMPUTED_VALUE"""),"Engagement Manager [Primary]")</f>
        <v>Engagement Manager [Primary]</v>
      </c>
    </row>
    <row r="802">
      <c r="A802" s="12" t="str">
        <f>IFERROR(__xludf.DUMMYFUNCTION("""COMPUTED_VALUE"""),"a0lVT000006O7w9YAC")</f>
        <v>a0lVT000006O7w9YAC</v>
      </c>
      <c r="B802" s="12" t="str">
        <f>IFERROR(__xludf.DUMMYFUNCTION("""COMPUTED_VALUE"""),"a0rVT00001DWzd4YAD")</f>
        <v>a0rVT00001DWzd4YAD</v>
      </c>
      <c r="C802" s="12" t="str">
        <f>IFERROR(__xludf.DUMMYFUNCTION("""COMPUTED_VALUE"""),"0034X00003EtGr8QAF")</f>
        <v>0034X00003EtGr8QAF</v>
      </c>
      <c r="D802" s="12" t="str">
        <f>IFERROR(__xludf.DUMMYFUNCTION("""COMPUTED_VALUE"""),"Aaron Barnes")</f>
        <v>Aaron Barnes</v>
      </c>
      <c r="E802" s="12" t="str">
        <f>IFERROR(__xludf.DUMMYFUNCTION("""COMPUTED_VALUE"""),"aaron.barnes@workday.com")</f>
        <v>aaron.barnes@workday.com</v>
      </c>
      <c r="F802" s="12" t="str">
        <f>IFERROR(__xludf.DUMMYFUNCTION("""COMPUTED_VALUE"""),"Engagement Manager [Primary]")</f>
        <v>Engagement Manager [Primary]</v>
      </c>
    </row>
    <row r="803">
      <c r="A803" s="12" t="str">
        <f>IFERROR(__xludf.DUMMYFUNCTION("""COMPUTED_VALUE"""),"a0lVT000006Nq49YAC")</f>
        <v>a0lVT000006Nq49YAC</v>
      </c>
      <c r="B803" s="12" t="str">
        <f>IFERROR(__xludf.DUMMYFUNCTION("""COMPUTED_VALUE"""),"a0rVT00001DWzhuYAD")</f>
        <v>a0rVT00001DWzhuYAD</v>
      </c>
      <c r="C803" s="12" t="str">
        <f>IFERROR(__xludf.DUMMYFUNCTION("""COMPUTED_VALUE"""),"0034X00003EtGr8QAF")</f>
        <v>0034X00003EtGr8QAF</v>
      </c>
      <c r="D803" s="12" t="str">
        <f>IFERROR(__xludf.DUMMYFUNCTION("""COMPUTED_VALUE"""),"Aaron Barnes")</f>
        <v>Aaron Barnes</v>
      </c>
      <c r="E803" s="12" t="str">
        <f>IFERROR(__xludf.DUMMYFUNCTION("""COMPUTED_VALUE"""),"aaron.barnes@workday.com")</f>
        <v>aaron.barnes@workday.com</v>
      </c>
      <c r="F803" s="12" t="str">
        <f>IFERROR(__xludf.DUMMYFUNCTION("""COMPUTED_VALUE"""),"Engagement Manager [Primary]")</f>
        <v>Engagement Manager [Primary]</v>
      </c>
    </row>
    <row r="804">
      <c r="A804" s="12" t="str">
        <f>IFERROR(__xludf.DUMMYFUNCTION("""COMPUTED_VALUE"""),"a0lVT000006NpjFYAS")</f>
        <v>a0lVT000006NpjFYAS</v>
      </c>
      <c r="B804" s="12" t="str">
        <f>IFERROR(__xludf.DUMMYFUNCTION("""COMPUTED_VALUE"""),"a0rVT00001DX0EAYA1")</f>
        <v>a0rVT00001DX0EAYA1</v>
      </c>
      <c r="C804" s="12" t="str">
        <f>IFERROR(__xludf.DUMMYFUNCTION("""COMPUTED_VALUE"""),"0034X00003EtGr8QAF")</f>
        <v>0034X00003EtGr8QAF</v>
      </c>
      <c r="D804" s="12" t="str">
        <f>IFERROR(__xludf.DUMMYFUNCTION("""COMPUTED_VALUE"""),"Aaron Barnes")</f>
        <v>Aaron Barnes</v>
      </c>
      <c r="E804" s="12" t="str">
        <f>IFERROR(__xludf.DUMMYFUNCTION("""COMPUTED_VALUE"""),"aaron.barnes@workday.com")</f>
        <v>aaron.barnes@workday.com</v>
      </c>
      <c r="F804" s="12" t="str">
        <f>IFERROR(__xludf.DUMMYFUNCTION("""COMPUTED_VALUE"""),"Engagement Manager [Primary]")</f>
        <v>Engagement Manager [Primary]</v>
      </c>
    </row>
    <row r="805">
      <c r="A805" s="12" t="str">
        <f>IFERROR(__xludf.DUMMYFUNCTION("""COMPUTED_VALUE"""),"a0lVT000006O2QDYA0")</f>
        <v>a0lVT000006O2QDYA0</v>
      </c>
      <c r="B805" s="12" t="str">
        <f>IFERROR(__xludf.DUMMYFUNCTION("""COMPUTED_VALUE"""),"a0rVT00001DX0qtYAD")</f>
        <v>a0rVT00001DX0qtYAD</v>
      </c>
      <c r="C805" s="12" t="str">
        <f>IFERROR(__xludf.DUMMYFUNCTION("""COMPUTED_VALUE"""),"0034X00003EtGr8QAF")</f>
        <v>0034X00003EtGr8QAF</v>
      </c>
      <c r="D805" s="12" t="str">
        <f>IFERROR(__xludf.DUMMYFUNCTION("""COMPUTED_VALUE"""),"Aaron Barnes")</f>
        <v>Aaron Barnes</v>
      </c>
      <c r="E805" s="12" t="str">
        <f>IFERROR(__xludf.DUMMYFUNCTION("""COMPUTED_VALUE"""),"aaron.barnes@workday.com")</f>
        <v>aaron.barnes@workday.com</v>
      </c>
      <c r="F805" s="12" t="str">
        <f>IFERROR(__xludf.DUMMYFUNCTION("""COMPUTED_VALUE"""),"Engagement Manager [Primary]")</f>
        <v>Engagement Manager [Primary]</v>
      </c>
    </row>
    <row r="806">
      <c r="A806" s="12" t="str">
        <f>IFERROR(__xludf.DUMMYFUNCTION("""COMPUTED_VALUE"""),"a0lVT000006NqP7YAK")</f>
        <v>a0lVT000006NqP7YAK</v>
      </c>
      <c r="B806" s="12" t="str">
        <f>IFERROR(__xludf.DUMMYFUNCTION("""COMPUTED_VALUE"""),"a0rVT00001DX0uPYAT")</f>
        <v>a0rVT00001DX0uPYAT</v>
      </c>
      <c r="C806" s="12" t="str">
        <f>IFERROR(__xludf.DUMMYFUNCTION("""COMPUTED_VALUE"""),"0034X00003EtGr8QAF")</f>
        <v>0034X00003EtGr8QAF</v>
      </c>
      <c r="D806" s="12" t="str">
        <f>IFERROR(__xludf.DUMMYFUNCTION("""COMPUTED_VALUE"""),"Aaron Barnes")</f>
        <v>Aaron Barnes</v>
      </c>
      <c r="E806" s="12" t="str">
        <f>IFERROR(__xludf.DUMMYFUNCTION("""COMPUTED_VALUE"""),"aaron.barnes@workday.com")</f>
        <v>aaron.barnes@workday.com</v>
      </c>
      <c r="F806" s="12" t="str">
        <f>IFERROR(__xludf.DUMMYFUNCTION("""COMPUTED_VALUE"""),"Engagement Manager [Primary]")</f>
        <v>Engagement Manager [Primary]</v>
      </c>
    </row>
    <row r="807">
      <c r="A807" s="12" t="str">
        <f>IFERROR(__xludf.DUMMYFUNCTION("""COMPUTED_VALUE"""),"a0lVT000006Ns17YAC")</f>
        <v>a0lVT000006Ns17YAC</v>
      </c>
      <c r="B807" s="12" t="str">
        <f>IFERROR(__xludf.DUMMYFUNCTION("""COMPUTED_VALUE"""),"a0rVT00001DX18cYAD")</f>
        <v>a0rVT00001DX18cYAD</v>
      </c>
      <c r="C807" s="12" t="str">
        <f>IFERROR(__xludf.DUMMYFUNCTION("""COMPUTED_VALUE"""),"0034X00003EtGr8QAF")</f>
        <v>0034X00003EtGr8QAF</v>
      </c>
      <c r="D807" s="12" t="str">
        <f>IFERROR(__xludf.DUMMYFUNCTION("""COMPUTED_VALUE"""),"Aaron Barnes")</f>
        <v>Aaron Barnes</v>
      </c>
      <c r="E807" s="12" t="str">
        <f>IFERROR(__xludf.DUMMYFUNCTION("""COMPUTED_VALUE"""),"aaron.barnes@workday.com")</f>
        <v>aaron.barnes@workday.com</v>
      </c>
      <c r="F807" s="12" t="str">
        <f>IFERROR(__xludf.DUMMYFUNCTION("""COMPUTED_VALUE"""),"Engagement Manager [Primary]")</f>
        <v>Engagement Manager [Primary]</v>
      </c>
    </row>
    <row r="808">
      <c r="A808" s="12" t="str">
        <f>IFERROR(__xludf.DUMMYFUNCTION("""COMPUTED_VALUE"""),"a0lVT000006O4lNYAS")</f>
        <v>a0lVT000006O4lNYAS</v>
      </c>
      <c r="B808" s="12" t="str">
        <f>IFERROR(__xludf.DUMMYFUNCTION("""COMPUTED_VALUE"""),"a0rVT00001DX1BuYAL")</f>
        <v>a0rVT00001DX1BuYAL</v>
      </c>
      <c r="C808" s="12" t="str">
        <f>IFERROR(__xludf.DUMMYFUNCTION("""COMPUTED_VALUE"""),"0034X00003EtGr8QAF")</f>
        <v>0034X00003EtGr8QAF</v>
      </c>
      <c r="D808" s="12" t="str">
        <f>IFERROR(__xludf.DUMMYFUNCTION("""COMPUTED_VALUE"""),"Aaron Barnes")</f>
        <v>Aaron Barnes</v>
      </c>
      <c r="E808" s="12" t="str">
        <f>IFERROR(__xludf.DUMMYFUNCTION("""COMPUTED_VALUE"""),"aaron.barnes@workday.com")</f>
        <v>aaron.barnes@workday.com</v>
      </c>
      <c r="F808" s="12" t="str">
        <f>IFERROR(__xludf.DUMMYFUNCTION("""COMPUTED_VALUE"""),"Engagement Manager [Primary]")</f>
        <v>Engagement Manager [Primary]</v>
      </c>
    </row>
    <row r="809">
      <c r="A809" s="12" t="str">
        <f>IFERROR(__xludf.DUMMYFUNCTION("""COMPUTED_VALUE"""),"a0lVT000006O6X3YAK")</f>
        <v>a0lVT000006O6X3YAK</v>
      </c>
      <c r="B809" s="12" t="str">
        <f>IFERROR(__xludf.DUMMYFUNCTION("""COMPUTED_VALUE"""),"a0rVT00001DX3C3YAL")</f>
        <v>a0rVT00001DX3C3YAL</v>
      </c>
      <c r="C809" s="12" t="str">
        <f>IFERROR(__xludf.DUMMYFUNCTION("""COMPUTED_VALUE"""),"0034X00003EtGr8QAF")</f>
        <v>0034X00003EtGr8QAF</v>
      </c>
      <c r="D809" s="12" t="str">
        <f>IFERROR(__xludf.DUMMYFUNCTION("""COMPUTED_VALUE"""),"Aaron Barnes")</f>
        <v>Aaron Barnes</v>
      </c>
      <c r="E809" s="12" t="str">
        <f>IFERROR(__xludf.DUMMYFUNCTION("""COMPUTED_VALUE"""),"aaron.barnes@workday.com")</f>
        <v>aaron.barnes@workday.com</v>
      </c>
      <c r="F809" s="12" t="str">
        <f>IFERROR(__xludf.DUMMYFUNCTION("""COMPUTED_VALUE"""),"Engagement Manager [Primary]")</f>
        <v>Engagement Manager [Primary]</v>
      </c>
    </row>
    <row r="810">
      <c r="A810" s="12" t="str">
        <f>IFERROR(__xludf.DUMMYFUNCTION("""COMPUTED_VALUE"""),"a0lVT000006QN8nYAG")</f>
        <v>a0lVT000006QN8nYAG</v>
      </c>
      <c r="B810" s="12" t="str">
        <f>IFERROR(__xludf.DUMMYFUNCTION("""COMPUTED_VALUE"""),"a0rVT00001DX3OxYAL")</f>
        <v>a0rVT00001DX3OxYAL</v>
      </c>
      <c r="C810" s="12" t="str">
        <f>IFERROR(__xludf.DUMMYFUNCTION("""COMPUTED_VALUE"""),"003VT00000fc4shYAA")</f>
        <v>003VT00000fc4shYAA</v>
      </c>
      <c r="D810" s="12" t="str">
        <f>IFERROR(__xludf.DUMMYFUNCTION("""COMPUTED_VALUE"""),"Michelle Holland")</f>
        <v>Michelle Holland</v>
      </c>
      <c r="E810" s="12" t="str">
        <f>IFERROR(__xludf.DUMMYFUNCTION("""COMPUTED_VALUE"""),"michelle.holland@workday.com")</f>
        <v>michelle.holland@workday.com</v>
      </c>
      <c r="F810" s="12" t="str">
        <f>IFERROR(__xludf.DUMMYFUNCTION("""COMPUTED_VALUE"""),"Engagement Manager [Primary]")</f>
        <v>Engagement Manager [Primary]</v>
      </c>
    </row>
    <row r="811">
      <c r="A811" s="12" t="str">
        <f>IFERROR(__xludf.DUMMYFUNCTION("""COMPUTED_VALUE"""),"a0lVT000006QNGsYAO")</f>
        <v>a0lVT000006QNGsYAO</v>
      </c>
      <c r="B811" s="12" t="str">
        <f>IFERROR(__xludf.DUMMYFUNCTION("""COMPUTED_VALUE"""),"a0rVT00001DX3OxYAL")</f>
        <v>a0rVT00001DX3OxYAL</v>
      </c>
      <c r="C811" s="12" t="str">
        <f>IFERROR(__xludf.DUMMYFUNCTION("""COMPUTED_VALUE"""),"0034X00003S9a6xQAB")</f>
        <v>0034X00003S9a6xQAB</v>
      </c>
      <c r="D811" s="12" t="str">
        <f>IFERROR(__xludf.DUMMYFUNCTION("""COMPUTED_VALUE"""),"Laura Smith")</f>
        <v>Laura Smith</v>
      </c>
      <c r="E811" s="12" t="str">
        <f>IFERROR(__xludf.DUMMYFUNCTION("""COMPUTED_VALUE"""),"lsmith@cinemark.com")</f>
        <v>lsmith@cinemark.com</v>
      </c>
      <c r="F811" s="12" t="str">
        <f>IFERROR(__xludf.DUMMYFUNCTION("""COMPUTED_VALUE"""),"Project Manager [Customer]")</f>
        <v>Project Manager [Customer]</v>
      </c>
    </row>
    <row r="812">
      <c r="A812" s="12" t="str">
        <f>IFERROR(__xludf.DUMMYFUNCTION("""COMPUTED_VALUE"""),"a0lVT000006QNGrYAO")</f>
        <v>a0lVT000006QNGrYAO</v>
      </c>
      <c r="B812" s="12" t="str">
        <f>IFERROR(__xludf.DUMMYFUNCTION("""COMPUTED_VALUE"""),"a0rVT00001DX3OxYAL")</f>
        <v>a0rVT00001DX3OxYAL</v>
      </c>
      <c r="C812" s="12" t="str">
        <f>IFERROR(__xludf.DUMMYFUNCTION("""COMPUTED_VALUE"""),"0031B00002r8nYiQAI")</f>
        <v>0031B00002r8nYiQAI</v>
      </c>
      <c r="D812" s="12" t="str">
        <f>IFERROR(__xludf.DUMMYFUNCTION("""COMPUTED_VALUE"""),"Sharla Jones")</f>
        <v>Sharla Jones</v>
      </c>
      <c r="E812" s="12" t="str">
        <f>IFERROR(__xludf.DUMMYFUNCTION("""COMPUTED_VALUE"""),"sharlajones@cinemark.com")</f>
        <v>sharlajones@cinemark.com</v>
      </c>
      <c r="F812" s="12" t="str">
        <f>IFERROR(__xludf.DUMMYFUNCTION("""COMPUTED_VALUE"""),"Executive Sponsor")</f>
        <v>Executive Sponsor</v>
      </c>
    </row>
    <row r="813">
      <c r="A813" s="12" t="str">
        <f>IFERROR(__xludf.DUMMYFUNCTION("""COMPUTED_VALUE"""),"a0lVT000006O03XYAS")</f>
        <v>a0lVT000006O03XYAS</v>
      </c>
      <c r="B813" s="12" t="str">
        <f>IFERROR(__xludf.DUMMYFUNCTION("""COMPUTED_VALUE"""),"a0rVT00001DX3OyYAL")</f>
        <v>a0rVT00001DX3OyYAL</v>
      </c>
      <c r="C813" s="12" t="str">
        <f>IFERROR(__xludf.DUMMYFUNCTION("""COMPUTED_VALUE"""),"0034X00003EtGr8QAF")</f>
        <v>0034X00003EtGr8QAF</v>
      </c>
      <c r="D813" s="12" t="str">
        <f>IFERROR(__xludf.DUMMYFUNCTION("""COMPUTED_VALUE"""),"Aaron Barnes")</f>
        <v>Aaron Barnes</v>
      </c>
      <c r="E813" s="12" t="str">
        <f>IFERROR(__xludf.DUMMYFUNCTION("""COMPUTED_VALUE"""),"aaron.barnes@workday.com")</f>
        <v>aaron.barnes@workday.com</v>
      </c>
      <c r="F813" s="12" t="str">
        <f>IFERROR(__xludf.DUMMYFUNCTION("""COMPUTED_VALUE"""),"Engagement Manager [Primary]")</f>
        <v>Engagement Manager [Primary]</v>
      </c>
    </row>
    <row r="814">
      <c r="A814" s="12" t="str">
        <f>IFERROR(__xludf.DUMMYFUNCTION("""COMPUTED_VALUE"""),"a0lVT000006NyzRYAS")</f>
        <v>a0lVT000006NyzRYAS</v>
      </c>
      <c r="B814" s="12" t="str">
        <f>IFERROR(__xludf.DUMMYFUNCTION("""COMPUTED_VALUE"""),"a0rVT00001DX3aFYAT")</f>
        <v>a0rVT00001DX3aFYAT</v>
      </c>
      <c r="C814" s="12" t="str">
        <f>IFERROR(__xludf.DUMMYFUNCTION("""COMPUTED_VALUE"""),"0034X00003EtGr8QAF")</f>
        <v>0034X00003EtGr8QAF</v>
      </c>
      <c r="D814" s="12" t="str">
        <f>IFERROR(__xludf.DUMMYFUNCTION("""COMPUTED_VALUE"""),"Aaron Barnes")</f>
        <v>Aaron Barnes</v>
      </c>
      <c r="E814" s="12" t="str">
        <f>IFERROR(__xludf.DUMMYFUNCTION("""COMPUTED_VALUE"""),"aaron.barnes@workday.com")</f>
        <v>aaron.barnes@workday.com</v>
      </c>
      <c r="F814" s="12" t="str">
        <f>IFERROR(__xludf.DUMMYFUNCTION("""COMPUTED_VALUE"""),"Engagement Manager [Primary]")</f>
        <v>Engagement Manager [Primary]</v>
      </c>
    </row>
    <row r="815">
      <c r="A815" s="12" t="str">
        <f>IFERROR(__xludf.DUMMYFUNCTION("""COMPUTED_VALUE"""),"a0lVT000006O5ntYAC")</f>
        <v>a0lVT000006O5ntYAC</v>
      </c>
      <c r="B815" s="12" t="str">
        <f>IFERROR(__xludf.DUMMYFUNCTION("""COMPUTED_VALUE"""),"a0rVT00001DX402YAD")</f>
        <v>a0rVT00001DX402YAD</v>
      </c>
      <c r="C815" s="12" t="str">
        <f>IFERROR(__xludf.DUMMYFUNCTION("""COMPUTED_VALUE"""),"0034X00003EtGr8QAF")</f>
        <v>0034X00003EtGr8QAF</v>
      </c>
      <c r="D815" s="12" t="str">
        <f>IFERROR(__xludf.DUMMYFUNCTION("""COMPUTED_VALUE"""),"Aaron Barnes")</f>
        <v>Aaron Barnes</v>
      </c>
      <c r="E815" s="12" t="str">
        <f>IFERROR(__xludf.DUMMYFUNCTION("""COMPUTED_VALUE"""),"aaron.barnes@workday.com")</f>
        <v>aaron.barnes@workday.com</v>
      </c>
      <c r="F815" s="12" t="str">
        <f>IFERROR(__xludf.DUMMYFUNCTION("""COMPUTED_VALUE"""),"Engagement Manager [Primary]")</f>
        <v>Engagement Manager [Primary]</v>
      </c>
    </row>
    <row r="816">
      <c r="A816" s="12" t="str">
        <f>IFERROR(__xludf.DUMMYFUNCTION("""COMPUTED_VALUE"""),"a0lVT000006O4wfYAC")</f>
        <v>a0lVT000006O4wfYAC</v>
      </c>
      <c r="B816" s="12" t="str">
        <f>IFERROR(__xludf.DUMMYFUNCTION("""COMPUTED_VALUE"""),"a0rVT00001DX4MhYAL")</f>
        <v>a0rVT00001DX4MhYAL</v>
      </c>
      <c r="C816" s="12" t="str">
        <f>IFERROR(__xludf.DUMMYFUNCTION("""COMPUTED_VALUE"""),"0034X00003EtGr8QAF")</f>
        <v>0034X00003EtGr8QAF</v>
      </c>
      <c r="D816" s="12" t="str">
        <f>IFERROR(__xludf.DUMMYFUNCTION("""COMPUTED_VALUE"""),"Aaron Barnes")</f>
        <v>Aaron Barnes</v>
      </c>
      <c r="E816" s="12" t="str">
        <f>IFERROR(__xludf.DUMMYFUNCTION("""COMPUTED_VALUE"""),"aaron.barnes@workday.com")</f>
        <v>aaron.barnes@workday.com</v>
      </c>
      <c r="F816" s="12" t="str">
        <f>IFERROR(__xludf.DUMMYFUNCTION("""COMPUTED_VALUE"""),"Engagement Manager [Primary]")</f>
        <v>Engagement Manager [Primary]</v>
      </c>
    </row>
    <row r="817">
      <c r="A817" s="12" t="str">
        <f>IFERROR(__xludf.DUMMYFUNCTION("""COMPUTED_VALUE"""),"a0lVT000006O5JFYA0")</f>
        <v>a0lVT000006O5JFYA0</v>
      </c>
      <c r="B817" s="12" t="str">
        <f>IFERROR(__xludf.DUMMYFUNCTION("""COMPUTED_VALUE"""),"a0rVT00001DX6DAYA1")</f>
        <v>a0rVT00001DX6DAYA1</v>
      </c>
      <c r="C817" s="12" t="str">
        <f>IFERROR(__xludf.DUMMYFUNCTION("""COMPUTED_VALUE"""),"0034X00003EtGr8QAF")</f>
        <v>0034X00003EtGr8QAF</v>
      </c>
      <c r="D817" s="12" t="str">
        <f>IFERROR(__xludf.DUMMYFUNCTION("""COMPUTED_VALUE"""),"Aaron Barnes")</f>
        <v>Aaron Barnes</v>
      </c>
      <c r="E817" s="12" t="str">
        <f>IFERROR(__xludf.DUMMYFUNCTION("""COMPUTED_VALUE"""),"aaron.barnes@workday.com")</f>
        <v>aaron.barnes@workday.com</v>
      </c>
      <c r="F817" s="12" t="str">
        <f>IFERROR(__xludf.DUMMYFUNCTION("""COMPUTED_VALUE"""),"Engagement Manager [Primary]")</f>
        <v>Engagement Manager [Primary]</v>
      </c>
    </row>
    <row r="818">
      <c r="A818" s="12" t="str">
        <f>IFERROR(__xludf.DUMMYFUNCTION("""COMPUTED_VALUE"""),"a0lVT000006Ns61YAC")</f>
        <v>a0lVT000006Ns61YAC</v>
      </c>
      <c r="B818" s="12" t="str">
        <f>IFERROR(__xludf.DUMMYFUNCTION("""COMPUTED_VALUE"""),"a0rVT00001DX6Y5YAL")</f>
        <v>a0rVT00001DX6Y5YAL</v>
      </c>
      <c r="C818" s="12" t="str">
        <f>IFERROR(__xludf.DUMMYFUNCTION("""COMPUTED_VALUE"""),"0034X00003EtGr8QAF")</f>
        <v>0034X00003EtGr8QAF</v>
      </c>
      <c r="D818" s="12" t="str">
        <f>IFERROR(__xludf.DUMMYFUNCTION("""COMPUTED_VALUE"""),"Aaron Barnes")</f>
        <v>Aaron Barnes</v>
      </c>
      <c r="E818" s="12" t="str">
        <f>IFERROR(__xludf.DUMMYFUNCTION("""COMPUTED_VALUE"""),"aaron.barnes@workday.com")</f>
        <v>aaron.barnes@workday.com</v>
      </c>
      <c r="F818" s="12" t="str">
        <f>IFERROR(__xludf.DUMMYFUNCTION("""COMPUTED_VALUE"""),"Engagement Manager [Primary]")</f>
        <v>Engagement Manager [Primary]</v>
      </c>
    </row>
    <row r="819">
      <c r="A819" s="12" t="str">
        <f>IFERROR(__xludf.DUMMYFUNCTION("""COMPUTED_VALUE"""),"a0lVT000006NoDhYAK")</f>
        <v>a0lVT000006NoDhYAK</v>
      </c>
      <c r="B819" s="12" t="str">
        <f>IFERROR(__xludf.DUMMYFUNCTION("""COMPUTED_VALUE"""),"a0rVT00001DX6kzYAD")</f>
        <v>a0rVT00001DX6kzYAD</v>
      </c>
      <c r="C819" s="12" t="str">
        <f>IFERROR(__xludf.DUMMYFUNCTION("""COMPUTED_VALUE"""),"0034X00003EtGr8QAF")</f>
        <v>0034X00003EtGr8QAF</v>
      </c>
      <c r="D819" s="12" t="str">
        <f>IFERROR(__xludf.DUMMYFUNCTION("""COMPUTED_VALUE"""),"Aaron Barnes")</f>
        <v>Aaron Barnes</v>
      </c>
      <c r="E819" s="12" t="str">
        <f>IFERROR(__xludf.DUMMYFUNCTION("""COMPUTED_VALUE"""),"aaron.barnes@workday.com")</f>
        <v>aaron.barnes@workday.com</v>
      </c>
      <c r="F819" s="12" t="str">
        <f>IFERROR(__xludf.DUMMYFUNCTION("""COMPUTED_VALUE"""),"Engagement Manager [Primary]")</f>
        <v>Engagement Manager [Primary]</v>
      </c>
    </row>
    <row r="820">
      <c r="A820" s="12" t="str">
        <f>IFERROR(__xludf.DUMMYFUNCTION("""COMPUTED_VALUE"""),"a0lVT000006O2MzYAK")</f>
        <v>a0lVT000006O2MzYAK</v>
      </c>
      <c r="B820" s="12" t="str">
        <f>IFERROR(__xludf.DUMMYFUNCTION("""COMPUTED_VALUE"""),"a0rVT00001DX79BYAT")</f>
        <v>a0rVT00001DX79BYAT</v>
      </c>
      <c r="C820" s="12" t="str">
        <f>IFERROR(__xludf.DUMMYFUNCTION("""COMPUTED_VALUE"""),"0034X00003EtGr8QAF")</f>
        <v>0034X00003EtGr8QAF</v>
      </c>
      <c r="D820" s="12" t="str">
        <f>IFERROR(__xludf.DUMMYFUNCTION("""COMPUTED_VALUE"""),"Aaron Barnes")</f>
        <v>Aaron Barnes</v>
      </c>
      <c r="E820" s="12" t="str">
        <f>IFERROR(__xludf.DUMMYFUNCTION("""COMPUTED_VALUE"""),"aaron.barnes@workday.com")</f>
        <v>aaron.barnes@workday.com</v>
      </c>
      <c r="F820" s="12" t="str">
        <f>IFERROR(__xludf.DUMMYFUNCTION("""COMPUTED_VALUE"""),"Engagement Manager [Primary]")</f>
        <v>Engagement Manager [Primary]</v>
      </c>
    </row>
    <row r="821">
      <c r="A821" s="12" t="str">
        <f>IFERROR(__xludf.DUMMYFUNCTION("""COMPUTED_VALUE"""),"a0lVT000006NzKLYA0")</f>
        <v>a0lVT000006NzKLYA0</v>
      </c>
      <c r="B821" s="12" t="str">
        <f>IFERROR(__xludf.DUMMYFUNCTION("""COMPUTED_VALUE"""),"a0rVT00001DX7kHYAT")</f>
        <v>a0rVT00001DX7kHYAT</v>
      </c>
      <c r="C821" s="12" t="str">
        <f>IFERROR(__xludf.DUMMYFUNCTION("""COMPUTED_VALUE"""),"0034X00003EtGr8QAF")</f>
        <v>0034X00003EtGr8QAF</v>
      </c>
      <c r="D821" s="12" t="str">
        <f>IFERROR(__xludf.DUMMYFUNCTION("""COMPUTED_VALUE"""),"Aaron Barnes")</f>
        <v>Aaron Barnes</v>
      </c>
      <c r="E821" s="12" t="str">
        <f>IFERROR(__xludf.DUMMYFUNCTION("""COMPUTED_VALUE"""),"aaron.barnes@workday.com")</f>
        <v>aaron.barnes@workday.com</v>
      </c>
      <c r="F821" s="12" t="str">
        <f>IFERROR(__xludf.DUMMYFUNCTION("""COMPUTED_VALUE"""),"Engagement Manager [Primary]")</f>
        <v>Engagement Manager [Primary]</v>
      </c>
    </row>
    <row r="822">
      <c r="A822" s="12" t="str">
        <f>IFERROR(__xludf.DUMMYFUNCTION("""COMPUTED_VALUE"""),"a0lVT000006Ns4QYAS")</f>
        <v>a0lVT000006Ns4QYAS</v>
      </c>
      <c r="B822" s="12" t="str">
        <f>IFERROR(__xludf.DUMMYFUNCTION("""COMPUTED_VALUE"""),"a0rVT00001DX7luYAD")</f>
        <v>a0rVT00001DX7luYAD</v>
      </c>
      <c r="C822" s="12" t="str">
        <f>IFERROR(__xludf.DUMMYFUNCTION("""COMPUTED_VALUE"""),"0034X00003EtGr8QAF")</f>
        <v>0034X00003EtGr8QAF</v>
      </c>
      <c r="D822" s="12" t="str">
        <f>IFERROR(__xludf.DUMMYFUNCTION("""COMPUTED_VALUE"""),"Aaron Barnes")</f>
        <v>Aaron Barnes</v>
      </c>
      <c r="E822" s="12" t="str">
        <f>IFERROR(__xludf.DUMMYFUNCTION("""COMPUTED_VALUE"""),"aaron.barnes@workday.com")</f>
        <v>aaron.barnes@workday.com</v>
      </c>
      <c r="F822" s="12" t="str">
        <f>IFERROR(__xludf.DUMMYFUNCTION("""COMPUTED_VALUE"""),"Engagement Manager [Primary]")</f>
        <v>Engagement Manager [Primary]</v>
      </c>
    </row>
    <row r="823">
      <c r="A823" s="12" t="str">
        <f>IFERROR(__xludf.DUMMYFUNCTION("""COMPUTED_VALUE"""),"a0lVT000006O2V4YAK")</f>
        <v>a0lVT000006O2V4YAK</v>
      </c>
      <c r="B823" s="12" t="str">
        <f>IFERROR(__xludf.DUMMYFUNCTION("""COMPUTED_VALUE"""),"a0rVT00001DX7nVYAT")</f>
        <v>a0rVT00001DX7nVYAT</v>
      </c>
      <c r="C823" s="12" t="str">
        <f>IFERROR(__xludf.DUMMYFUNCTION("""COMPUTED_VALUE"""),"0034X00003EtGr8QAF")</f>
        <v>0034X00003EtGr8QAF</v>
      </c>
      <c r="D823" s="12" t="str">
        <f>IFERROR(__xludf.DUMMYFUNCTION("""COMPUTED_VALUE"""),"Aaron Barnes")</f>
        <v>Aaron Barnes</v>
      </c>
      <c r="E823" s="12" t="str">
        <f>IFERROR(__xludf.DUMMYFUNCTION("""COMPUTED_VALUE"""),"aaron.barnes@workday.com")</f>
        <v>aaron.barnes@workday.com</v>
      </c>
      <c r="F823" s="12" t="str">
        <f>IFERROR(__xludf.DUMMYFUNCTION("""COMPUTED_VALUE"""),"Engagement Manager [Primary]")</f>
        <v>Engagement Manager [Primary]</v>
      </c>
    </row>
    <row r="824">
      <c r="A824" s="12" t="str">
        <f>IFERROR(__xludf.DUMMYFUNCTION("""COMPUTED_VALUE"""),"a0lVT000006O3kTYAS")</f>
        <v>a0lVT000006O3kTYAS</v>
      </c>
      <c r="B824" s="12" t="str">
        <f>IFERROR(__xludf.DUMMYFUNCTION("""COMPUTED_VALUE"""),"a0rVT00001DX7tyYAD")</f>
        <v>a0rVT00001DX7tyYAD</v>
      </c>
      <c r="C824" s="12" t="str">
        <f>IFERROR(__xludf.DUMMYFUNCTION("""COMPUTED_VALUE"""),"0034X00003EtGr8QAF")</f>
        <v>0034X00003EtGr8QAF</v>
      </c>
      <c r="D824" s="12" t="str">
        <f>IFERROR(__xludf.DUMMYFUNCTION("""COMPUTED_VALUE"""),"Aaron Barnes")</f>
        <v>Aaron Barnes</v>
      </c>
      <c r="E824" s="12" t="str">
        <f>IFERROR(__xludf.DUMMYFUNCTION("""COMPUTED_VALUE"""),"aaron.barnes@workday.com")</f>
        <v>aaron.barnes@workday.com</v>
      </c>
      <c r="F824" s="12" t="str">
        <f>IFERROR(__xludf.DUMMYFUNCTION("""COMPUTED_VALUE"""),"Engagement Manager [Primary]")</f>
        <v>Engagement Manager [Primary]</v>
      </c>
    </row>
    <row r="825">
      <c r="A825" s="12" t="str">
        <f>IFERROR(__xludf.DUMMYFUNCTION("""COMPUTED_VALUE"""),"a0lVT000006Num5YAC")</f>
        <v>a0lVT000006Num5YAC</v>
      </c>
      <c r="B825" s="12" t="str">
        <f>IFERROR(__xludf.DUMMYFUNCTION("""COMPUTED_VALUE"""),"a0rVT00001DX86sYAD")</f>
        <v>a0rVT00001DX86sYAD</v>
      </c>
      <c r="C825" s="12" t="str">
        <f>IFERROR(__xludf.DUMMYFUNCTION("""COMPUTED_VALUE"""),"0034X00003EtGr8QAF")</f>
        <v>0034X00003EtGr8QAF</v>
      </c>
      <c r="D825" s="12" t="str">
        <f>IFERROR(__xludf.DUMMYFUNCTION("""COMPUTED_VALUE"""),"Aaron Barnes")</f>
        <v>Aaron Barnes</v>
      </c>
      <c r="E825" s="12" t="str">
        <f>IFERROR(__xludf.DUMMYFUNCTION("""COMPUTED_VALUE"""),"aaron.barnes@workday.com")</f>
        <v>aaron.barnes@workday.com</v>
      </c>
      <c r="F825" s="12" t="str">
        <f>IFERROR(__xludf.DUMMYFUNCTION("""COMPUTED_VALUE"""),"Engagement Manager [Primary]")</f>
        <v>Engagement Manager [Primary]</v>
      </c>
    </row>
    <row r="826">
      <c r="A826" s="12" t="str">
        <f>IFERROR(__xludf.DUMMYFUNCTION("""COMPUTED_VALUE"""),"a0lVT000006O7ePYAS")</f>
        <v>a0lVT000006O7ePYAS</v>
      </c>
      <c r="B826" s="12" t="str">
        <f>IFERROR(__xludf.DUMMYFUNCTION("""COMPUTED_VALUE"""),"a0rVT00001DX8ZuYAL")</f>
        <v>a0rVT00001DX8ZuYAL</v>
      </c>
      <c r="C826" s="12" t="str">
        <f>IFERROR(__xludf.DUMMYFUNCTION("""COMPUTED_VALUE"""),"0034X00003EtGr8QAF")</f>
        <v>0034X00003EtGr8QAF</v>
      </c>
      <c r="D826" s="12" t="str">
        <f>IFERROR(__xludf.DUMMYFUNCTION("""COMPUTED_VALUE"""),"Aaron Barnes")</f>
        <v>Aaron Barnes</v>
      </c>
      <c r="E826" s="12" t="str">
        <f>IFERROR(__xludf.DUMMYFUNCTION("""COMPUTED_VALUE"""),"aaron.barnes@workday.com")</f>
        <v>aaron.barnes@workday.com</v>
      </c>
      <c r="F826" s="12" t="str">
        <f>IFERROR(__xludf.DUMMYFUNCTION("""COMPUTED_VALUE"""),"Engagement Manager [Primary]")</f>
        <v>Engagement Manager [Primary]</v>
      </c>
    </row>
    <row r="827">
      <c r="A827" s="12" t="str">
        <f>IFERROR(__xludf.DUMMYFUNCTION("""COMPUTED_VALUE"""),"a0lVT000006NvS2YAK")</f>
        <v>a0lVT000006NvS2YAK</v>
      </c>
      <c r="B827" s="12" t="str">
        <f>IFERROR(__xludf.DUMMYFUNCTION("""COMPUTED_VALUE"""),"a0rVT00001DX8ejYAD")</f>
        <v>a0rVT00001DX8ejYAD</v>
      </c>
      <c r="C827" s="12" t="str">
        <f>IFERROR(__xludf.DUMMYFUNCTION("""COMPUTED_VALUE"""),"0034X00003EtGr8QAF")</f>
        <v>0034X00003EtGr8QAF</v>
      </c>
      <c r="D827" s="12" t="str">
        <f>IFERROR(__xludf.DUMMYFUNCTION("""COMPUTED_VALUE"""),"Aaron Barnes")</f>
        <v>Aaron Barnes</v>
      </c>
      <c r="E827" s="12" t="str">
        <f>IFERROR(__xludf.DUMMYFUNCTION("""COMPUTED_VALUE"""),"aaron.barnes@workday.com")</f>
        <v>aaron.barnes@workday.com</v>
      </c>
      <c r="F827" s="12" t="str">
        <f>IFERROR(__xludf.DUMMYFUNCTION("""COMPUTED_VALUE"""),"Engagement Manager [Primary]")</f>
        <v>Engagement Manager [Primary]</v>
      </c>
    </row>
    <row r="828">
      <c r="A828" s="12" t="str">
        <f>IFERROR(__xludf.DUMMYFUNCTION("""COMPUTED_VALUE"""),"a0lVT000006QQRdYAO")</f>
        <v>a0lVT000006QQRdYAO</v>
      </c>
      <c r="B828" s="12" t="str">
        <f>IFERROR(__xludf.DUMMYFUNCTION("""COMPUTED_VALUE"""),"a0rVT00001DX8jZYAT")</f>
        <v>a0rVT00001DX8jZYAT</v>
      </c>
      <c r="C828" s="12" t="str">
        <f>IFERROR(__xludf.DUMMYFUNCTION("""COMPUTED_VALUE"""),"0034X00003S8u0BQAR")</f>
        <v>0034X00003S8u0BQAR</v>
      </c>
      <c r="D828" s="12" t="str">
        <f>IFERROR(__xludf.DUMMYFUNCTION("""COMPUTED_VALUE"""),"John E. Gotham")</f>
        <v>John E. Gotham</v>
      </c>
      <c r="E828" s="12" t="str">
        <f>IFERROR(__xludf.DUMMYFUNCTION("""COMPUTED_VALUE"""),"john.gotham@newellco.com")</f>
        <v>john.gotham@newellco.com</v>
      </c>
      <c r="F828" s="12" t="str">
        <f>IFERROR(__xludf.DUMMYFUNCTION("""COMPUTED_VALUE"""),"Executive Sponsor")</f>
        <v>Executive Sponsor</v>
      </c>
    </row>
    <row r="829">
      <c r="A829" s="12" t="str">
        <f>IFERROR(__xludf.DUMMYFUNCTION("""COMPUTED_VALUE"""),"a0lVT000006QQWTYA4")</f>
        <v>a0lVT000006QQWTYA4</v>
      </c>
      <c r="B829" s="12" t="str">
        <f>IFERROR(__xludf.DUMMYFUNCTION("""COMPUTED_VALUE"""),"a0rVT00001DX8jZYAT")</f>
        <v>a0rVT00001DX8jZYAT</v>
      </c>
      <c r="C829" s="12" t="str">
        <f>IFERROR(__xludf.DUMMYFUNCTION("""COMPUTED_VALUE"""),"003VT00000YfogTYAR")</f>
        <v>003VT00000YfogTYAR</v>
      </c>
      <c r="D829" s="12" t="str">
        <f>IFERROR(__xludf.DUMMYFUNCTION("""COMPUTED_VALUE"""),"Lindsay Cole")</f>
        <v>Lindsay Cole</v>
      </c>
      <c r="E829" s="12" t="str">
        <f>IFERROR(__xludf.DUMMYFUNCTION("""COMPUTED_VALUE"""),"lindsay.cole@newellco.com")</f>
        <v>lindsay.cole@newellco.com</v>
      </c>
      <c r="F829" s="12" t="str">
        <f>IFERROR(__xludf.DUMMYFUNCTION("""COMPUTED_VALUE"""),"Project Manager [Customer]")</f>
        <v>Project Manager [Customer]</v>
      </c>
    </row>
    <row r="830">
      <c r="A830" s="12" t="str">
        <f>IFERROR(__xludf.DUMMYFUNCTION("""COMPUTED_VALUE"""),"a0lVT000006QMJBYA4")</f>
        <v>a0lVT000006QMJBYA4</v>
      </c>
      <c r="B830" s="12" t="str">
        <f>IFERROR(__xludf.DUMMYFUNCTION("""COMPUTED_VALUE"""),"a0rVT00001DX8jZYAT")</f>
        <v>a0rVT00001DX8jZYAT</v>
      </c>
      <c r="C830" s="12" t="str">
        <f>IFERROR(__xludf.DUMMYFUNCTION("""COMPUTED_VALUE"""),"003VT00000fc4shYAA")</f>
        <v>003VT00000fc4shYAA</v>
      </c>
      <c r="D830" s="12" t="str">
        <f>IFERROR(__xludf.DUMMYFUNCTION("""COMPUTED_VALUE"""),"Michelle Holland")</f>
        <v>Michelle Holland</v>
      </c>
      <c r="E830" s="12" t="str">
        <f>IFERROR(__xludf.DUMMYFUNCTION("""COMPUTED_VALUE"""),"michelle.holland@workday.com")</f>
        <v>michelle.holland@workday.com</v>
      </c>
      <c r="F830" s="12" t="str">
        <f>IFERROR(__xludf.DUMMYFUNCTION("""COMPUTED_VALUE"""),"Engagement Manager [Primary]")</f>
        <v>Engagement Manager [Primary]</v>
      </c>
    </row>
    <row r="831">
      <c r="A831" s="12" t="str">
        <f>IFERROR(__xludf.DUMMYFUNCTION("""COMPUTED_VALUE"""),"a0lVT000006O3e1YAC")</f>
        <v>a0lVT000006O3e1YAC</v>
      </c>
      <c r="B831" s="12" t="str">
        <f>IFERROR(__xludf.DUMMYFUNCTION("""COMPUTED_VALUE"""),"a0rVT00001DX8q2YAD")</f>
        <v>a0rVT00001DX8q2YAD</v>
      </c>
      <c r="C831" s="12" t="str">
        <f>IFERROR(__xludf.DUMMYFUNCTION("""COMPUTED_VALUE"""),"0034X00003EtGr8QAF")</f>
        <v>0034X00003EtGr8QAF</v>
      </c>
      <c r="D831" s="12" t="str">
        <f>IFERROR(__xludf.DUMMYFUNCTION("""COMPUTED_VALUE"""),"Aaron Barnes")</f>
        <v>Aaron Barnes</v>
      </c>
      <c r="E831" s="12" t="str">
        <f>IFERROR(__xludf.DUMMYFUNCTION("""COMPUTED_VALUE"""),"aaron.barnes@workday.com")</f>
        <v>aaron.barnes@workday.com</v>
      </c>
      <c r="F831" s="12" t="str">
        <f>IFERROR(__xludf.DUMMYFUNCTION("""COMPUTED_VALUE"""),"Engagement Manager [Primary]")</f>
        <v>Engagement Manager [Primary]</v>
      </c>
    </row>
    <row r="832">
      <c r="A832" s="12" t="str">
        <f>IFERROR(__xludf.DUMMYFUNCTION("""COMPUTED_VALUE"""),"a0lVT000006O3MHYA0")</f>
        <v>a0lVT000006O3MHYA0</v>
      </c>
      <c r="B832" s="12" t="str">
        <f>IFERROR(__xludf.DUMMYFUNCTION("""COMPUTED_VALUE"""),"a0rVT00001DX8wTYAT")</f>
        <v>a0rVT00001DX8wTYAT</v>
      </c>
      <c r="C832" s="12" t="str">
        <f>IFERROR(__xludf.DUMMYFUNCTION("""COMPUTED_VALUE"""),"0034X00003EtGr8QAF")</f>
        <v>0034X00003EtGr8QAF</v>
      </c>
      <c r="D832" s="12" t="str">
        <f>IFERROR(__xludf.DUMMYFUNCTION("""COMPUTED_VALUE"""),"Aaron Barnes")</f>
        <v>Aaron Barnes</v>
      </c>
      <c r="E832" s="12" t="str">
        <f>IFERROR(__xludf.DUMMYFUNCTION("""COMPUTED_VALUE"""),"aaron.barnes@workday.com")</f>
        <v>aaron.barnes@workday.com</v>
      </c>
      <c r="F832" s="12" t="str">
        <f>IFERROR(__xludf.DUMMYFUNCTION("""COMPUTED_VALUE"""),"Engagement Manager [Primary]")</f>
        <v>Engagement Manager [Primary]</v>
      </c>
    </row>
    <row r="833">
      <c r="A833" s="12" t="str">
        <f>IFERROR(__xludf.DUMMYFUNCTION("""COMPUTED_VALUE"""),"a0lVT000006NymXYAS")</f>
        <v>a0lVT000006NymXYAS</v>
      </c>
      <c r="B833" s="12" t="str">
        <f>IFERROR(__xludf.DUMMYFUNCTION("""COMPUTED_VALUE"""),"a0rVT00001DX9KfYAL")</f>
        <v>a0rVT00001DX9KfYAL</v>
      </c>
      <c r="C833" s="12" t="str">
        <f>IFERROR(__xludf.DUMMYFUNCTION("""COMPUTED_VALUE"""),"0034X00003EtGr8QAF")</f>
        <v>0034X00003EtGr8QAF</v>
      </c>
      <c r="D833" s="12" t="str">
        <f>IFERROR(__xludf.DUMMYFUNCTION("""COMPUTED_VALUE"""),"Aaron Barnes")</f>
        <v>Aaron Barnes</v>
      </c>
      <c r="E833" s="12" t="str">
        <f>IFERROR(__xludf.DUMMYFUNCTION("""COMPUTED_VALUE"""),"aaron.barnes@workday.com")</f>
        <v>aaron.barnes@workday.com</v>
      </c>
      <c r="F833" s="12" t="str">
        <f>IFERROR(__xludf.DUMMYFUNCTION("""COMPUTED_VALUE"""),"Engagement Manager [Primary]")</f>
        <v>Engagement Manager [Primary]</v>
      </c>
    </row>
    <row r="834">
      <c r="A834" s="12" t="str">
        <f>IFERROR(__xludf.DUMMYFUNCTION("""COMPUTED_VALUE"""),"a0lVT000006O3sXYAS")</f>
        <v>a0lVT000006O3sXYAS</v>
      </c>
      <c r="B834" s="12" t="str">
        <f>IFERROR(__xludf.DUMMYFUNCTION("""COMPUTED_VALUE"""),"a0rVT00001DX9VxYAL")</f>
        <v>a0rVT00001DX9VxYAL</v>
      </c>
      <c r="C834" s="12" t="str">
        <f>IFERROR(__xludf.DUMMYFUNCTION("""COMPUTED_VALUE"""),"0034X00003EtGr8QAF")</f>
        <v>0034X00003EtGr8QAF</v>
      </c>
      <c r="D834" s="12" t="str">
        <f>IFERROR(__xludf.DUMMYFUNCTION("""COMPUTED_VALUE"""),"Aaron Barnes")</f>
        <v>Aaron Barnes</v>
      </c>
      <c r="E834" s="12" t="str">
        <f>IFERROR(__xludf.DUMMYFUNCTION("""COMPUTED_VALUE"""),"aaron.barnes@workday.com")</f>
        <v>aaron.barnes@workday.com</v>
      </c>
      <c r="F834" s="12" t="str">
        <f>IFERROR(__xludf.DUMMYFUNCTION("""COMPUTED_VALUE"""),"Engagement Manager [Primary]")</f>
        <v>Engagement Manager [Primary]</v>
      </c>
    </row>
    <row r="835">
      <c r="A835" s="12" t="str">
        <f>IFERROR(__xludf.DUMMYFUNCTION("""COMPUTED_VALUE"""),"a0lVT000006Ns7dYAC")</f>
        <v>a0lVT000006Ns7dYAC</v>
      </c>
      <c r="B835" s="12" t="str">
        <f>IFERROR(__xludf.DUMMYFUNCTION("""COMPUTED_VALUE"""),"a0rVT00001DX9irYAD")</f>
        <v>a0rVT00001DX9irYAD</v>
      </c>
      <c r="C835" s="12" t="str">
        <f>IFERROR(__xludf.DUMMYFUNCTION("""COMPUTED_VALUE"""),"0034X00003EtGr8QAF")</f>
        <v>0034X00003EtGr8QAF</v>
      </c>
      <c r="D835" s="12" t="str">
        <f>IFERROR(__xludf.DUMMYFUNCTION("""COMPUTED_VALUE"""),"Aaron Barnes")</f>
        <v>Aaron Barnes</v>
      </c>
      <c r="E835" s="12" t="str">
        <f>IFERROR(__xludf.DUMMYFUNCTION("""COMPUTED_VALUE"""),"aaron.barnes@workday.com")</f>
        <v>aaron.barnes@workday.com</v>
      </c>
      <c r="F835" s="12" t="str">
        <f>IFERROR(__xludf.DUMMYFUNCTION("""COMPUTED_VALUE"""),"Engagement Manager [Primary]")</f>
        <v>Engagement Manager [Primary]</v>
      </c>
    </row>
    <row r="836">
      <c r="A836" s="12" t="str">
        <f>IFERROR(__xludf.DUMMYFUNCTION("""COMPUTED_VALUE"""),"a0lVT000006QlflYAC")</f>
        <v>a0lVT000006QlflYAC</v>
      </c>
      <c r="B836" s="12" t="str">
        <f>IFERROR(__xludf.DUMMYFUNCTION("""COMPUTED_VALUE"""),"a0rVT00001DX9irYAD")</f>
        <v>a0rVT00001DX9irYAD</v>
      </c>
      <c r="C836" s="12" t="str">
        <f>IFERROR(__xludf.DUMMYFUNCTION("""COMPUTED_VALUE"""),"003VT00000fcCgUYAU")</f>
        <v>003VT00000fcCgUYAU</v>
      </c>
      <c r="D836" s="12" t="str">
        <f>IFERROR(__xludf.DUMMYFUNCTION("""COMPUTED_VALUE"""),"Jordan DePaolis")</f>
        <v>Jordan DePaolis</v>
      </c>
      <c r="E836" s="12" t="str">
        <f>IFERROR(__xludf.DUMMYFUNCTION("""COMPUTED_VALUE"""),"jordan.depaolis@workday.com")</f>
        <v>jordan.depaolis@workday.com</v>
      </c>
      <c r="F836" s="12" t="str">
        <f>IFERROR(__xludf.DUMMYFUNCTION("""COMPUTED_VALUE"""),"Engagement Manager [Primary]")</f>
        <v>Engagement Manager [Primary]</v>
      </c>
    </row>
    <row r="837">
      <c r="A837" s="12" t="str">
        <f>IFERROR(__xludf.DUMMYFUNCTION("""COMPUTED_VALUE"""),"a0lVT000006O1dvYAC")</f>
        <v>a0lVT000006O1dvYAC</v>
      </c>
      <c r="B837" s="12" t="str">
        <f>IFERROR(__xludf.DUMMYFUNCTION("""COMPUTED_VALUE"""),"a0rVT00001DXA2EYAX")</f>
        <v>a0rVT00001DXA2EYAX</v>
      </c>
      <c r="C837" s="12" t="str">
        <f>IFERROR(__xludf.DUMMYFUNCTION("""COMPUTED_VALUE"""),"0034X00003EtGr8QAF")</f>
        <v>0034X00003EtGr8QAF</v>
      </c>
      <c r="D837" s="12" t="str">
        <f>IFERROR(__xludf.DUMMYFUNCTION("""COMPUTED_VALUE"""),"Aaron Barnes")</f>
        <v>Aaron Barnes</v>
      </c>
      <c r="E837" s="12" t="str">
        <f>IFERROR(__xludf.DUMMYFUNCTION("""COMPUTED_VALUE"""),"aaron.barnes@workday.com")</f>
        <v>aaron.barnes@workday.com</v>
      </c>
      <c r="F837" s="12" t="str">
        <f>IFERROR(__xludf.DUMMYFUNCTION("""COMPUTED_VALUE"""),"Deployment Sponsor")</f>
        <v>Deployment Sponsor</v>
      </c>
    </row>
    <row r="838">
      <c r="A838" s="12" t="str">
        <f>IFERROR(__xludf.DUMMYFUNCTION("""COMPUTED_VALUE"""),"a0lVT000006R0GcYAK")</f>
        <v>a0lVT000006R0GcYAK</v>
      </c>
      <c r="B838" s="12" t="str">
        <f>IFERROR(__xludf.DUMMYFUNCTION("""COMPUTED_VALUE"""),"a0rVT00001DXA2EYAX")</f>
        <v>a0rVT00001DXA2EYAX</v>
      </c>
      <c r="C838" s="12" t="str">
        <f>IFERROR(__xludf.DUMMYFUNCTION("""COMPUTED_VALUE"""),"0034X000033wpBKQAY")</f>
        <v>0034X000033wpBKQAY</v>
      </c>
      <c r="D838" s="12" t="str">
        <f>IFERROR(__xludf.DUMMYFUNCTION("""COMPUTED_VALUE"""),"Debbie Oune")</f>
        <v>Debbie Oune</v>
      </c>
      <c r="E838" s="12" t="str">
        <f>IFERROR(__xludf.DUMMYFUNCTION("""COMPUTED_VALUE"""),"deoune@altamed.org")</f>
        <v>deoune@altamed.org</v>
      </c>
      <c r="F838" s="12" t="str">
        <f>IFERROR(__xludf.DUMMYFUNCTION("""COMPUTED_VALUE"""),"Executive Sponsor")</f>
        <v>Executive Sponsor</v>
      </c>
    </row>
    <row r="839">
      <c r="A839" s="12" t="str">
        <f>IFERROR(__xludf.DUMMYFUNCTION("""COMPUTED_VALUE"""),"a0lVT000006R0GbYAK")</f>
        <v>a0lVT000006R0GbYAK</v>
      </c>
      <c r="B839" s="12" t="str">
        <f>IFERROR(__xludf.DUMMYFUNCTION("""COMPUTED_VALUE"""),"a0rVT00001DXA2EYAX")</f>
        <v>a0rVT00001DXA2EYAX</v>
      </c>
      <c r="C839" s="12" t="str">
        <f>IFERROR(__xludf.DUMMYFUNCTION("""COMPUTED_VALUE"""),"0034X00003DfWWmQAN")</f>
        <v>0034X00003DfWWmQAN</v>
      </c>
      <c r="D839" s="12" t="str">
        <f>IFERROR(__xludf.DUMMYFUNCTION("""COMPUTED_VALUE"""),"Lili Shippe")</f>
        <v>Lili Shippe</v>
      </c>
      <c r="E839" s="12" t="str">
        <f>IFERROR(__xludf.DUMMYFUNCTION("""COMPUTED_VALUE"""),"lshippe@altamed.org")</f>
        <v>lshippe@altamed.org</v>
      </c>
      <c r="F839" s="12" t="str">
        <f>IFERROR(__xludf.DUMMYFUNCTION("""COMPUTED_VALUE"""),"Project Manager [Customer]")</f>
        <v>Project Manager [Customer]</v>
      </c>
    </row>
    <row r="840">
      <c r="A840" s="12" t="str">
        <f>IFERROR(__xludf.DUMMYFUNCTION("""COMPUTED_VALUE"""),"a0lVT000006R0BlYAK")</f>
        <v>a0lVT000006R0BlYAK</v>
      </c>
      <c r="B840" s="12" t="str">
        <f>IFERROR(__xludf.DUMMYFUNCTION("""COMPUTED_VALUE"""),"a0rVT00001DXA2EYAX")</f>
        <v>a0rVT00001DXA2EYAX</v>
      </c>
      <c r="C840" s="12" t="str">
        <f>IFERROR(__xludf.DUMMYFUNCTION("""COMPUTED_VALUE"""),"003VT00000i6ikzYAA")</f>
        <v>003VT00000i6ikzYAA</v>
      </c>
      <c r="D840" s="12" t="str">
        <f>IFERROR(__xludf.DUMMYFUNCTION("""COMPUTED_VALUE"""),"Mathangi Jambunathan")</f>
        <v>Mathangi Jambunathan</v>
      </c>
      <c r="E840" s="12" t="str">
        <f>IFERROR(__xludf.DUMMYFUNCTION("""COMPUTED_VALUE"""),"mathangi.jambunathan@workday.com")</f>
        <v>mathangi.jambunathan@workday.com</v>
      </c>
      <c r="F840" s="12" t="str">
        <f>IFERROR(__xludf.DUMMYFUNCTION("""COMPUTED_VALUE"""),"Engagement Manager [Primary]")</f>
        <v>Engagement Manager [Primary]</v>
      </c>
    </row>
    <row r="841">
      <c r="A841" s="12" t="str">
        <f>IFERROR(__xludf.DUMMYFUNCTION("""COMPUTED_VALUE"""),"a0lVT000006PJdWYAW")</f>
        <v>a0lVT000006PJdWYAW</v>
      </c>
      <c r="B841" s="12" t="str">
        <f>IFERROR(__xludf.DUMMYFUNCTION("""COMPUTED_VALUE"""),"a0rVT00001DXAOnYAP")</f>
        <v>a0rVT00001DXAOnYAP</v>
      </c>
      <c r="C841" s="12" t="str">
        <f>IFERROR(__xludf.DUMMYFUNCTION("""COMPUTED_VALUE"""),"0034X000032NB4WQAW")</f>
        <v>0034X000032NB4WQAW</v>
      </c>
      <c r="D841" s="12" t="str">
        <f>IFERROR(__xludf.DUMMYFUNCTION("""COMPUTED_VALUE"""),"Brian Gibbons")</f>
        <v>Brian Gibbons</v>
      </c>
      <c r="E841" s="12" t="str">
        <f>IFERROR(__xludf.DUMMYFUNCTION("""COMPUTED_VALUE"""),"brian.gibbons@verizon.com")</f>
        <v>brian.gibbons@verizon.com</v>
      </c>
      <c r="F841" s="12" t="str">
        <f>IFERROR(__xludf.DUMMYFUNCTION("""COMPUTED_VALUE"""),"Executive Sponsor")</f>
        <v>Executive Sponsor</v>
      </c>
    </row>
    <row r="842">
      <c r="A842" s="12" t="str">
        <f>IFERROR(__xludf.DUMMYFUNCTION("""COMPUTED_VALUE"""),"a0lVT000006Nz10YAC")</f>
        <v>a0lVT000006Nz10YAC</v>
      </c>
      <c r="B842" s="12" t="str">
        <f>IFERROR(__xludf.DUMMYFUNCTION("""COMPUTED_VALUE"""),"a0rVT00001DXAOnYAP")</f>
        <v>a0rVT00001DXAOnYAP</v>
      </c>
      <c r="C842" s="12" t="str">
        <f>IFERROR(__xludf.DUMMYFUNCTION("""COMPUTED_VALUE"""),"0034X00003EtGr8QAF")</f>
        <v>0034X00003EtGr8QAF</v>
      </c>
      <c r="D842" s="12" t="str">
        <f>IFERROR(__xludf.DUMMYFUNCTION("""COMPUTED_VALUE"""),"Aaron Barnes")</f>
        <v>Aaron Barnes</v>
      </c>
      <c r="E842" s="12" t="str">
        <f>IFERROR(__xludf.DUMMYFUNCTION("""COMPUTED_VALUE"""),"aaron.barnes@workday.com")</f>
        <v>aaron.barnes@workday.com</v>
      </c>
      <c r="F842" s="12" t="str">
        <f>IFERROR(__xludf.DUMMYFUNCTION("""COMPUTED_VALUE"""),"Deployment Sponsor")</f>
        <v>Deployment Sponsor</v>
      </c>
    </row>
    <row r="843">
      <c r="A843" s="12" t="str">
        <f>IFERROR(__xludf.DUMMYFUNCTION("""COMPUTED_VALUE"""),"a0lVT000006PJdVYAW")</f>
        <v>a0lVT000006PJdVYAW</v>
      </c>
      <c r="B843" s="12" t="str">
        <f>IFERROR(__xludf.DUMMYFUNCTION("""COMPUTED_VALUE"""),"a0rVT00001DXAOnYAP")</f>
        <v>a0rVT00001DXAOnYAP</v>
      </c>
      <c r="C843" s="12" t="str">
        <f>IFERROR(__xludf.DUMMYFUNCTION("""COMPUTED_VALUE"""),"0034X00002xZ9kOQAS")</f>
        <v>0034X00002xZ9kOQAS</v>
      </c>
      <c r="D843" s="12" t="str">
        <f>IFERROR(__xludf.DUMMYFUNCTION("""COMPUTED_VALUE"""),"Vincent Abbruzzese")</f>
        <v>Vincent Abbruzzese</v>
      </c>
      <c r="E843" s="12" t="str">
        <f>IFERROR(__xludf.DUMMYFUNCTION("""COMPUTED_VALUE"""),"vincent.abbruzzese@verizon.com")</f>
        <v>vincent.abbruzzese@verizon.com</v>
      </c>
      <c r="F843" s="12" t="str">
        <f>IFERROR(__xludf.DUMMYFUNCTION("""COMPUTED_VALUE"""),"Project Manager [Customer]")</f>
        <v>Project Manager [Customer]</v>
      </c>
    </row>
    <row r="844">
      <c r="A844" s="12" t="str">
        <f>IFERROR(__xludf.DUMMYFUNCTION("""COMPUTED_VALUE"""),"a0lVT000006PIEQYA4")</f>
        <v>a0lVT000006PIEQYA4</v>
      </c>
      <c r="B844" s="12" t="str">
        <f>IFERROR(__xludf.DUMMYFUNCTION("""COMPUTED_VALUE"""),"a0rVT00001DXAOnYAP")</f>
        <v>a0rVT00001DXAOnYAP</v>
      </c>
      <c r="C844" s="12" t="str">
        <f>IFERROR(__xludf.DUMMYFUNCTION("""COMPUTED_VALUE"""),"003VT00000fc4sgYAA")</f>
        <v>003VT00000fc4sgYAA</v>
      </c>
      <c r="D844" s="12" t="str">
        <f>IFERROR(__xludf.DUMMYFUNCTION("""COMPUTED_VALUE"""),"Kat Evans")</f>
        <v>Kat Evans</v>
      </c>
      <c r="E844" s="12" t="str">
        <f>IFERROR(__xludf.DUMMYFUNCTION("""COMPUTED_VALUE"""),"kat.matasova@workday.com")</f>
        <v>kat.matasova@workday.com</v>
      </c>
      <c r="F844" s="12" t="str">
        <f>IFERROR(__xludf.DUMMYFUNCTION("""COMPUTED_VALUE"""),"Engagement Manager [Primary]")</f>
        <v>Engagement Manager [Primary]</v>
      </c>
    </row>
    <row r="845">
      <c r="A845" s="12" t="str">
        <f>IFERROR(__xludf.DUMMYFUNCTION("""COMPUTED_VALUE"""),"a0lVT000006O56LYAS")</f>
        <v>a0lVT000006O56LYAS</v>
      </c>
      <c r="B845" s="12" t="str">
        <f>IFERROR(__xludf.DUMMYFUNCTION("""COMPUTED_VALUE"""),"a0rVT00001DXAVGYA5")</f>
        <v>a0rVT00001DXAVGYA5</v>
      </c>
      <c r="C845" s="12" t="str">
        <f>IFERROR(__xludf.DUMMYFUNCTION("""COMPUTED_VALUE"""),"0034X00003EtGr8QAF")</f>
        <v>0034X00003EtGr8QAF</v>
      </c>
      <c r="D845" s="12" t="str">
        <f>IFERROR(__xludf.DUMMYFUNCTION("""COMPUTED_VALUE"""),"Aaron Barnes")</f>
        <v>Aaron Barnes</v>
      </c>
      <c r="E845" s="12" t="str">
        <f>IFERROR(__xludf.DUMMYFUNCTION("""COMPUTED_VALUE"""),"aaron.barnes@workday.com")</f>
        <v>aaron.barnes@workday.com</v>
      </c>
      <c r="F845" s="12" t="str">
        <f>IFERROR(__xludf.DUMMYFUNCTION("""COMPUTED_VALUE"""),"Engagement Manager [Primary]")</f>
        <v>Engagement Manager [Primary]</v>
      </c>
    </row>
    <row r="846">
      <c r="A846" s="12" t="str">
        <f>IFERROR(__xludf.DUMMYFUNCTION("""COMPUTED_VALUE"""),"a0lVT000006NsUDYA0")</f>
        <v>a0lVT000006NsUDYA0</v>
      </c>
      <c r="B846" s="12" t="str">
        <f>IFERROR(__xludf.DUMMYFUNCTION("""COMPUTED_VALUE"""),"a0rVT00001DXBG1YAP")</f>
        <v>a0rVT00001DXBG1YAP</v>
      </c>
      <c r="C846" s="12" t="str">
        <f>IFERROR(__xludf.DUMMYFUNCTION("""COMPUTED_VALUE"""),"0034X00003EtGr8QAF")</f>
        <v>0034X00003EtGr8QAF</v>
      </c>
      <c r="D846" s="12" t="str">
        <f>IFERROR(__xludf.DUMMYFUNCTION("""COMPUTED_VALUE"""),"Aaron Barnes")</f>
        <v>Aaron Barnes</v>
      </c>
      <c r="E846" s="12" t="str">
        <f>IFERROR(__xludf.DUMMYFUNCTION("""COMPUTED_VALUE"""),"aaron.barnes@workday.com")</f>
        <v>aaron.barnes@workday.com</v>
      </c>
      <c r="F846" s="12" t="str">
        <f>IFERROR(__xludf.DUMMYFUNCTION("""COMPUTED_VALUE"""),"Engagement Manager [Primary]")</f>
        <v>Engagement Manager [Primary]</v>
      </c>
    </row>
    <row r="847">
      <c r="A847" s="12" t="str">
        <f>IFERROR(__xludf.DUMMYFUNCTION("""COMPUTED_VALUE"""),"a0lVT000006NzAjYAK")</f>
        <v>a0lVT000006NzAjYAK</v>
      </c>
      <c r="B847" s="12" t="str">
        <f>IFERROR(__xludf.DUMMYFUNCTION("""COMPUTED_VALUE"""),"a0rVT00001DXBHdYAP")</f>
        <v>a0rVT00001DXBHdYAP</v>
      </c>
      <c r="C847" s="12" t="str">
        <f>IFERROR(__xludf.DUMMYFUNCTION("""COMPUTED_VALUE"""),"0034X00003EtGr8QAF")</f>
        <v>0034X00003EtGr8QAF</v>
      </c>
      <c r="D847" s="12" t="str">
        <f>IFERROR(__xludf.DUMMYFUNCTION("""COMPUTED_VALUE"""),"Aaron Barnes")</f>
        <v>Aaron Barnes</v>
      </c>
      <c r="E847" s="12" t="str">
        <f>IFERROR(__xludf.DUMMYFUNCTION("""COMPUTED_VALUE"""),"aaron.barnes@workday.com")</f>
        <v>aaron.barnes@workday.com</v>
      </c>
      <c r="F847" s="12" t="str">
        <f>IFERROR(__xludf.DUMMYFUNCTION("""COMPUTED_VALUE"""),"Engagement Manager [Primary]")</f>
        <v>Engagement Manager [Primary]</v>
      </c>
    </row>
    <row r="848">
      <c r="A848" s="12" t="str">
        <f>IFERROR(__xludf.DUMMYFUNCTION("""COMPUTED_VALUE"""),"a0lVT000006O9UvYAK")</f>
        <v>a0lVT000006O9UvYAK</v>
      </c>
      <c r="B848" s="12" t="str">
        <f>IFERROR(__xludf.DUMMYFUNCTION("""COMPUTED_VALUE"""),"a0rVT00001DXBRLYA5")</f>
        <v>a0rVT00001DXBRLYA5</v>
      </c>
      <c r="C848" s="12" t="str">
        <f>IFERROR(__xludf.DUMMYFUNCTION("""COMPUTED_VALUE"""),"0034X00003EtGr8QAF")</f>
        <v>0034X00003EtGr8QAF</v>
      </c>
      <c r="D848" s="12" t="str">
        <f>IFERROR(__xludf.DUMMYFUNCTION("""COMPUTED_VALUE"""),"Aaron Barnes")</f>
        <v>Aaron Barnes</v>
      </c>
      <c r="E848" s="12" t="str">
        <f>IFERROR(__xludf.DUMMYFUNCTION("""COMPUTED_VALUE"""),"aaron.barnes@workday.com")</f>
        <v>aaron.barnes@workday.com</v>
      </c>
      <c r="F848" s="12" t="str">
        <f>IFERROR(__xludf.DUMMYFUNCTION("""COMPUTED_VALUE"""),"Engagement Manager [Primary]")</f>
        <v>Engagement Manager [Primary]</v>
      </c>
    </row>
    <row r="849">
      <c r="A849" s="12" t="str">
        <f>IFERROR(__xludf.DUMMYFUNCTION("""COMPUTED_VALUE"""),"a0lVT000006O6gjYAC")</f>
        <v>a0lVT000006O6gjYAC</v>
      </c>
      <c r="B849" s="12" t="str">
        <f>IFERROR(__xludf.DUMMYFUNCTION("""COMPUTED_VALUE"""),"a0rVT00001DXBzCYAX")</f>
        <v>a0rVT00001DXBzCYAX</v>
      </c>
      <c r="C849" s="12" t="str">
        <f>IFERROR(__xludf.DUMMYFUNCTION("""COMPUTED_VALUE"""),"0034X00003EtGr8QAF")</f>
        <v>0034X00003EtGr8QAF</v>
      </c>
      <c r="D849" s="12" t="str">
        <f>IFERROR(__xludf.DUMMYFUNCTION("""COMPUTED_VALUE"""),"Aaron Barnes")</f>
        <v>Aaron Barnes</v>
      </c>
      <c r="E849" s="12" t="str">
        <f>IFERROR(__xludf.DUMMYFUNCTION("""COMPUTED_VALUE"""),"aaron.barnes@workday.com")</f>
        <v>aaron.barnes@workday.com</v>
      </c>
      <c r="F849" s="12" t="str">
        <f>IFERROR(__xludf.DUMMYFUNCTION("""COMPUTED_VALUE"""),"Engagement Manager [Primary]")</f>
        <v>Engagement Manager [Primary]</v>
      </c>
    </row>
    <row r="850">
      <c r="A850" s="12" t="str">
        <f>IFERROR(__xludf.DUMMYFUNCTION("""COMPUTED_VALUE"""),"a0lVT000006O5mHYAS")</f>
        <v>a0lVT000006O5mHYAS</v>
      </c>
      <c r="B850" s="12" t="str">
        <f>IFERROR(__xludf.DUMMYFUNCTION("""COMPUTED_VALUE"""),"a0rVT00001DXC0nYAH")</f>
        <v>a0rVT00001DXC0nYAH</v>
      </c>
      <c r="C850" s="12" t="str">
        <f>IFERROR(__xludf.DUMMYFUNCTION("""COMPUTED_VALUE"""),"0034X00003EtGr8QAF")</f>
        <v>0034X00003EtGr8QAF</v>
      </c>
      <c r="D850" s="12" t="str">
        <f>IFERROR(__xludf.DUMMYFUNCTION("""COMPUTED_VALUE"""),"Aaron Barnes")</f>
        <v>Aaron Barnes</v>
      </c>
      <c r="E850" s="12" t="str">
        <f>IFERROR(__xludf.DUMMYFUNCTION("""COMPUTED_VALUE"""),"aaron.barnes@workday.com")</f>
        <v>aaron.barnes@workday.com</v>
      </c>
      <c r="F850" s="12" t="str">
        <f>IFERROR(__xludf.DUMMYFUNCTION("""COMPUTED_VALUE"""),"Engagement Manager [Primary]")</f>
        <v>Engagement Manager [Primary]</v>
      </c>
    </row>
    <row r="851">
      <c r="A851" s="12" t="str">
        <f>IFERROR(__xludf.DUMMYFUNCTION("""COMPUTED_VALUE"""),"a0lVT000006Nz93YAC")</f>
        <v>a0lVT000006Nz93YAC</v>
      </c>
      <c r="B851" s="12" t="str">
        <f>IFERROR(__xludf.DUMMYFUNCTION("""COMPUTED_VALUE"""),"a0rVT00001DXC2QYAX")</f>
        <v>a0rVT00001DXC2QYAX</v>
      </c>
      <c r="C851" s="12" t="str">
        <f>IFERROR(__xludf.DUMMYFUNCTION("""COMPUTED_VALUE"""),"0034X00003EtGr8QAF")</f>
        <v>0034X00003EtGr8QAF</v>
      </c>
      <c r="D851" s="12" t="str">
        <f>IFERROR(__xludf.DUMMYFUNCTION("""COMPUTED_VALUE"""),"Aaron Barnes")</f>
        <v>Aaron Barnes</v>
      </c>
      <c r="E851" s="12" t="str">
        <f>IFERROR(__xludf.DUMMYFUNCTION("""COMPUTED_VALUE"""),"aaron.barnes@workday.com")</f>
        <v>aaron.barnes@workday.com</v>
      </c>
      <c r="F851" s="12" t="str">
        <f>IFERROR(__xludf.DUMMYFUNCTION("""COMPUTED_VALUE"""),"Engagement Manager [Primary]")</f>
        <v>Engagement Manager [Primary]</v>
      </c>
    </row>
    <row r="852">
      <c r="A852" s="12" t="str">
        <f>IFERROR(__xludf.DUMMYFUNCTION("""COMPUTED_VALUE"""),"a0lVT000006NyEfYAK")</f>
        <v>a0lVT000006NyEfYAK</v>
      </c>
      <c r="B852" s="12" t="str">
        <f>IFERROR(__xludf.DUMMYFUNCTION("""COMPUTED_VALUE"""),"a0rVT00001DXC8rYAH")</f>
        <v>a0rVT00001DXC8rYAH</v>
      </c>
      <c r="C852" s="12" t="str">
        <f>IFERROR(__xludf.DUMMYFUNCTION("""COMPUTED_VALUE"""),"0034X00003EtGr8QAF")</f>
        <v>0034X00003EtGr8QAF</v>
      </c>
      <c r="D852" s="12" t="str">
        <f>IFERROR(__xludf.DUMMYFUNCTION("""COMPUTED_VALUE"""),"Aaron Barnes")</f>
        <v>Aaron Barnes</v>
      </c>
      <c r="E852" s="12" t="str">
        <f>IFERROR(__xludf.DUMMYFUNCTION("""COMPUTED_VALUE"""),"aaron.barnes@workday.com")</f>
        <v>aaron.barnes@workday.com</v>
      </c>
      <c r="F852" s="12" t="str">
        <f>IFERROR(__xludf.DUMMYFUNCTION("""COMPUTED_VALUE"""),"Engagement Manager [Primary]")</f>
        <v>Engagement Manager [Primary]</v>
      </c>
    </row>
    <row r="853">
      <c r="A853" s="12" t="str">
        <f>IFERROR(__xludf.DUMMYFUNCTION("""COMPUTED_VALUE"""),"a0lVT000006Nw6XYAS")</f>
        <v>a0lVT000006Nw6XYAS</v>
      </c>
      <c r="B853" s="12" t="str">
        <f>IFERROR(__xludf.DUMMYFUNCTION("""COMPUTED_VALUE"""),"a0rVT00001DXCGwYAP")</f>
        <v>a0rVT00001DXCGwYAP</v>
      </c>
      <c r="C853" s="12" t="str">
        <f>IFERROR(__xludf.DUMMYFUNCTION("""COMPUTED_VALUE"""),"0034X00003EtGr8QAF")</f>
        <v>0034X00003EtGr8QAF</v>
      </c>
      <c r="D853" s="12" t="str">
        <f>IFERROR(__xludf.DUMMYFUNCTION("""COMPUTED_VALUE"""),"Aaron Barnes")</f>
        <v>Aaron Barnes</v>
      </c>
      <c r="E853" s="12" t="str">
        <f>IFERROR(__xludf.DUMMYFUNCTION("""COMPUTED_VALUE"""),"aaron.barnes@workday.com")</f>
        <v>aaron.barnes@workday.com</v>
      </c>
      <c r="F853" s="12" t="str">
        <f>IFERROR(__xludf.DUMMYFUNCTION("""COMPUTED_VALUE"""),"Engagement Manager [Primary]")</f>
        <v>Engagement Manager [Primary]</v>
      </c>
    </row>
    <row r="854">
      <c r="A854" s="12" t="str">
        <f>IFERROR(__xludf.DUMMYFUNCTION("""COMPUTED_VALUE"""),"a0lVT000006NxdVYAS")</f>
        <v>a0lVT000006NxdVYAS</v>
      </c>
      <c r="B854" s="12" t="str">
        <f>IFERROR(__xludf.DUMMYFUNCTION("""COMPUTED_VALUE"""),"a0rVT00001DXCSDYA5")</f>
        <v>a0rVT00001DXCSDYA5</v>
      </c>
      <c r="C854" s="12" t="str">
        <f>IFERROR(__xludf.DUMMYFUNCTION("""COMPUTED_VALUE"""),"0034X00003EtGr8QAF")</f>
        <v>0034X00003EtGr8QAF</v>
      </c>
      <c r="D854" s="12" t="str">
        <f>IFERROR(__xludf.DUMMYFUNCTION("""COMPUTED_VALUE"""),"Aaron Barnes")</f>
        <v>Aaron Barnes</v>
      </c>
      <c r="E854" s="12" t="str">
        <f>IFERROR(__xludf.DUMMYFUNCTION("""COMPUTED_VALUE"""),"aaron.barnes@workday.com")</f>
        <v>aaron.barnes@workday.com</v>
      </c>
      <c r="F854" s="12" t="str">
        <f>IFERROR(__xludf.DUMMYFUNCTION("""COMPUTED_VALUE"""),"Deployment Sponsor")</f>
        <v>Deployment Sponsor</v>
      </c>
    </row>
    <row r="855">
      <c r="A855" s="12" t="str">
        <f>IFERROR(__xludf.DUMMYFUNCTION("""COMPUTED_VALUE"""),"a0lVT000006PK1hYAG")</f>
        <v>a0lVT000006PK1hYAG</v>
      </c>
      <c r="B855" s="12" t="str">
        <f>IFERROR(__xludf.DUMMYFUNCTION("""COMPUTED_VALUE"""),"a0rVT00001DXCSDYA5")</f>
        <v>a0rVT00001DXCSDYA5</v>
      </c>
      <c r="C855" s="12" t="str">
        <f>IFERROR(__xludf.DUMMYFUNCTION("""COMPUTED_VALUE"""),"0034X00003RDauwQAD")</f>
        <v>0034X00003RDauwQAD</v>
      </c>
      <c r="D855" s="12" t="str">
        <f>IFERROR(__xludf.DUMMYFUNCTION("""COMPUTED_VALUE"""),"Michael Jones")</f>
        <v>Michael Jones</v>
      </c>
      <c r="E855" s="12" t="str">
        <f>IFERROR(__xludf.DUMMYFUNCTION("""COMPUTED_VALUE"""),"mwjones@cmh.edu")</f>
        <v>mwjones@cmh.edu</v>
      </c>
      <c r="F855" s="12" t="str">
        <f>IFERROR(__xludf.DUMMYFUNCTION("""COMPUTED_VALUE"""),"Project Manager [Customer]")</f>
        <v>Project Manager [Customer]</v>
      </c>
    </row>
    <row r="856">
      <c r="A856" s="12" t="str">
        <f>IFERROR(__xludf.DUMMYFUNCTION("""COMPUTED_VALUE"""),"a0lVT000006PK05YAG")</f>
        <v>a0lVT000006PK05YAG</v>
      </c>
      <c r="B856" s="12" t="str">
        <f>IFERROR(__xludf.DUMMYFUNCTION("""COMPUTED_VALUE"""),"a0rVT00001DXCSDYA5")</f>
        <v>a0rVT00001DXCSDYA5</v>
      </c>
      <c r="C856" s="12" t="str">
        <f>IFERROR(__xludf.DUMMYFUNCTION("""COMPUTED_VALUE"""),"003VT00000fc4sgYAA")</f>
        <v>003VT00000fc4sgYAA</v>
      </c>
      <c r="D856" s="12" t="str">
        <f>IFERROR(__xludf.DUMMYFUNCTION("""COMPUTED_VALUE"""),"Kat Evans")</f>
        <v>Kat Evans</v>
      </c>
      <c r="E856" s="12" t="str">
        <f>IFERROR(__xludf.DUMMYFUNCTION("""COMPUTED_VALUE"""),"kat.matasova@workday.com")</f>
        <v>kat.matasova@workday.com</v>
      </c>
      <c r="F856" s="12" t="str">
        <f>IFERROR(__xludf.DUMMYFUNCTION("""COMPUTED_VALUE"""),"Engagement Manager [Primary]")</f>
        <v>Engagement Manager [Primary]</v>
      </c>
    </row>
    <row r="857">
      <c r="A857" s="12" t="str">
        <f>IFERROR(__xludf.DUMMYFUNCTION("""COMPUTED_VALUE"""),"a0lVT000006NpsrYAC")</f>
        <v>a0lVT000006NpsrYAC</v>
      </c>
      <c r="B857" s="12" t="str">
        <f>IFERROR(__xludf.DUMMYFUNCTION("""COMPUTED_VALUE"""),"a0rVT00001DXCVRYA5")</f>
        <v>a0rVT00001DXCVRYA5</v>
      </c>
      <c r="C857" s="12" t="str">
        <f>IFERROR(__xludf.DUMMYFUNCTION("""COMPUTED_VALUE"""),"0034X00003EtGr8QAF")</f>
        <v>0034X00003EtGr8QAF</v>
      </c>
      <c r="D857" s="12" t="str">
        <f>IFERROR(__xludf.DUMMYFUNCTION("""COMPUTED_VALUE"""),"Aaron Barnes")</f>
        <v>Aaron Barnes</v>
      </c>
      <c r="E857" s="12" t="str">
        <f>IFERROR(__xludf.DUMMYFUNCTION("""COMPUTED_VALUE"""),"aaron.barnes@workday.com")</f>
        <v>aaron.barnes@workday.com</v>
      </c>
      <c r="F857" s="12" t="str">
        <f>IFERROR(__xludf.DUMMYFUNCTION("""COMPUTED_VALUE"""),"Engagement Manager [Primary]")</f>
        <v>Engagement Manager [Primary]</v>
      </c>
    </row>
    <row r="858">
      <c r="A858" s="12" t="str">
        <f>IFERROR(__xludf.DUMMYFUNCTION("""COMPUTED_VALUE"""),"a0lVT000006NnxdYAC")</f>
        <v>a0lVT000006NnxdYAC</v>
      </c>
      <c r="B858" s="12" t="str">
        <f>IFERROR(__xludf.DUMMYFUNCTION("""COMPUTED_VALUE"""),"a0rVT00001DXCX4YAP")</f>
        <v>a0rVT00001DXCX4YAP</v>
      </c>
      <c r="C858" s="12" t="str">
        <f>IFERROR(__xludf.DUMMYFUNCTION("""COMPUTED_VALUE"""),"0034X00003EtGr8QAF")</f>
        <v>0034X00003EtGr8QAF</v>
      </c>
      <c r="D858" s="12" t="str">
        <f>IFERROR(__xludf.DUMMYFUNCTION("""COMPUTED_VALUE"""),"Aaron Barnes")</f>
        <v>Aaron Barnes</v>
      </c>
      <c r="E858" s="12" t="str">
        <f>IFERROR(__xludf.DUMMYFUNCTION("""COMPUTED_VALUE"""),"aaron.barnes@workday.com")</f>
        <v>aaron.barnes@workday.com</v>
      </c>
      <c r="F858" s="12" t="str">
        <f>IFERROR(__xludf.DUMMYFUNCTION("""COMPUTED_VALUE"""),"Engagement Manager [Primary]")</f>
        <v>Engagement Manager [Primary]</v>
      </c>
    </row>
    <row r="859">
      <c r="A859" s="12" t="str">
        <f>IFERROR(__xludf.DUMMYFUNCTION("""COMPUTED_VALUE"""),"a0lVT000006NsKbYAK")</f>
        <v>a0lVT000006NsKbYAK</v>
      </c>
      <c r="B859" s="12" t="str">
        <f>IFERROR(__xludf.DUMMYFUNCTION("""COMPUTED_VALUE"""),"a0rVT00001DXCYfYAP")</f>
        <v>a0rVT00001DXCYfYAP</v>
      </c>
      <c r="C859" s="12" t="str">
        <f>IFERROR(__xludf.DUMMYFUNCTION("""COMPUTED_VALUE"""),"0034X00003EtGr8QAF")</f>
        <v>0034X00003EtGr8QAF</v>
      </c>
      <c r="D859" s="12" t="str">
        <f>IFERROR(__xludf.DUMMYFUNCTION("""COMPUTED_VALUE"""),"Aaron Barnes")</f>
        <v>Aaron Barnes</v>
      </c>
      <c r="E859" s="12" t="str">
        <f>IFERROR(__xludf.DUMMYFUNCTION("""COMPUTED_VALUE"""),"aaron.barnes@workday.com")</f>
        <v>aaron.barnes@workday.com</v>
      </c>
      <c r="F859" s="12" t="str">
        <f>IFERROR(__xludf.DUMMYFUNCTION("""COMPUTED_VALUE"""),"Engagement Manager [Primary]")</f>
        <v>Engagement Manager [Primary]</v>
      </c>
    </row>
    <row r="860">
      <c r="A860" s="12" t="str">
        <f>IFERROR(__xludf.DUMMYFUNCTION("""COMPUTED_VALUE"""),"a0lVT000006O6GvYAK")</f>
        <v>a0lVT000006O6GvYAK</v>
      </c>
      <c r="B860" s="12" t="str">
        <f>IFERROR(__xludf.DUMMYFUNCTION("""COMPUTED_VALUE"""),"a0rVT00001DXCdVYAX")</f>
        <v>a0rVT00001DXCdVYAX</v>
      </c>
      <c r="C860" s="12" t="str">
        <f>IFERROR(__xludf.DUMMYFUNCTION("""COMPUTED_VALUE"""),"0034X00003EtGr8QAF")</f>
        <v>0034X00003EtGr8QAF</v>
      </c>
      <c r="D860" s="12" t="str">
        <f>IFERROR(__xludf.DUMMYFUNCTION("""COMPUTED_VALUE"""),"Aaron Barnes")</f>
        <v>Aaron Barnes</v>
      </c>
      <c r="E860" s="12" t="str">
        <f>IFERROR(__xludf.DUMMYFUNCTION("""COMPUTED_VALUE"""),"aaron.barnes@workday.com")</f>
        <v>aaron.barnes@workday.com</v>
      </c>
      <c r="F860" s="12" t="str">
        <f>IFERROR(__xludf.DUMMYFUNCTION("""COMPUTED_VALUE"""),"Engagement Manager [Primary]")</f>
        <v>Engagement Manager [Primary]</v>
      </c>
    </row>
    <row r="861">
      <c r="A861" s="12" t="str">
        <f>IFERROR(__xludf.DUMMYFUNCTION("""COMPUTED_VALUE"""),"a0lVT000006O6NNYA0")</f>
        <v>a0lVT000006O6NNYA0</v>
      </c>
      <c r="B861" s="12" t="str">
        <f>IFERROR(__xludf.DUMMYFUNCTION("""COMPUTED_VALUE"""),"a0rVT00001DXCqPYAX")</f>
        <v>a0rVT00001DXCqPYAX</v>
      </c>
      <c r="C861" s="12" t="str">
        <f>IFERROR(__xludf.DUMMYFUNCTION("""COMPUTED_VALUE"""),"0034X00003EtGr8QAF")</f>
        <v>0034X00003EtGr8QAF</v>
      </c>
      <c r="D861" s="12" t="str">
        <f>IFERROR(__xludf.DUMMYFUNCTION("""COMPUTED_VALUE"""),"Aaron Barnes")</f>
        <v>Aaron Barnes</v>
      </c>
      <c r="E861" s="12" t="str">
        <f>IFERROR(__xludf.DUMMYFUNCTION("""COMPUTED_VALUE"""),"aaron.barnes@workday.com")</f>
        <v>aaron.barnes@workday.com</v>
      </c>
      <c r="F861" s="12" t="str">
        <f>IFERROR(__xludf.DUMMYFUNCTION("""COMPUTED_VALUE"""),"Engagement Manager [Primary]")</f>
        <v>Engagement Manager [Primary]</v>
      </c>
    </row>
    <row r="862">
      <c r="A862" s="12" t="str">
        <f>IFERROR(__xludf.DUMMYFUNCTION("""COMPUTED_VALUE"""),"a0lVT000006O71hYAC")</f>
        <v>a0lVT000006O71hYAC</v>
      </c>
      <c r="B862" s="12" t="str">
        <f>IFERROR(__xludf.DUMMYFUNCTION("""COMPUTED_VALUE"""),"a0rVT00001DXCwsYAH")</f>
        <v>a0rVT00001DXCwsYAH</v>
      </c>
      <c r="C862" s="12" t="str">
        <f>IFERROR(__xludf.DUMMYFUNCTION("""COMPUTED_VALUE"""),"0034X00003EtGr8QAF")</f>
        <v>0034X00003EtGr8QAF</v>
      </c>
      <c r="D862" s="12" t="str">
        <f>IFERROR(__xludf.DUMMYFUNCTION("""COMPUTED_VALUE"""),"Aaron Barnes")</f>
        <v>Aaron Barnes</v>
      </c>
      <c r="E862" s="12" t="str">
        <f>IFERROR(__xludf.DUMMYFUNCTION("""COMPUTED_VALUE"""),"aaron.barnes@workday.com")</f>
        <v>aaron.barnes@workday.com</v>
      </c>
      <c r="F862" s="12" t="str">
        <f>IFERROR(__xludf.DUMMYFUNCTION("""COMPUTED_VALUE"""),"Engagement Manager [Primary]")</f>
        <v>Engagement Manager [Primary]</v>
      </c>
    </row>
    <row r="863">
      <c r="A863" s="12" t="str">
        <f>IFERROR(__xludf.DUMMYFUNCTION("""COMPUTED_VALUE"""),"a0lVT000006O6aHYAS")</f>
        <v>a0lVT000006O6aHYAS</v>
      </c>
      <c r="B863" s="12" t="str">
        <f>IFERROR(__xludf.DUMMYFUNCTION("""COMPUTED_VALUE"""),"a0rVT00001DXDBNYA5")</f>
        <v>a0rVT00001DXDBNYA5</v>
      </c>
      <c r="C863" s="12" t="str">
        <f>IFERROR(__xludf.DUMMYFUNCTION("""COMPUTED_VALUE"""),"0034X00003EtGr8QAF")</f>
        <v>0034X00003EtGr8QAF</v>
      </c>
      <c r="D863" s="12" t="str">
        <f>IFERROR(__xludf.DUMMYFUNCTION("""COMPUTED_VALUE"""),"Aaron Barnes")</f>
        <v>Aaron Barnes</v>
      </c>
      <c r="E863" s="12" t="str">
        <f>IFERROR(__xludf.DUMMYFUNCTION("""COMPUTED_VALUE"""),"aaron.barnes@workday.com")</f>
        <v>aaron.barnes@workday.com</v>
      </c>
      <c r="F863" s="12" t="str">
        <f>IFERROR(__xludf.DUMMYFUNCTION("""COMPUTED_VALUE"""),"Engagement Manager [Primary]")</f>
        <v>Engagement Manager [Primary]</v>
      </c>
    </row>
    <row r="864">
      <c r="A864" s="12" t="str">
        <f>IFERROR(__xludf.DUMMYFUNCTION("""COMPUTED_VALUE"""),"a0lVT000006O8VeYAK")</f>
        <v>a0lVT000006O8VeYAK</v>
      </c>
      <c r="B864" s="12" t="str">
        <f>IFERROR(__xludf.DUMMYFUNCTION("""COMPUTED_VALUE"""),"a0rVT00001DXDBPYA5")</f>
        <v>a0rVT00001DXDBPYA5</v>
      </c>
      <c r="C864" s="12" t="str">
        <f>IFERROR(__xludf.DUMMYFUNCTION("""COMPUTED_VALUE"""),"0034X00003EtGr8QAF")</f>
        <v>0034X00003EtGr8QAF</v>
      </c>
      <c r="D864" s="12" t="str">
        <f>IFERROR(__xludf.DUMMYFUNCTION("""COMPUTED_VALUE"""),"Aaron Barnes")</f>
        <v>Aaron Barnes</v>
      </c>
      <c r="E864" s="12" t="str">
        <f>IFERROR(__xludf.DUMMYFUNCTION("""COMPUTED_VALUE"""),"aaron.barnes@workday.com")</f>
        <v>aaron.barnes@workday.com</v>
      </c>
      <c r="F864" s="12" t="str">
        <f>IFERROR(__xludf.DUMMYFUNCTION("""COMPUTED_VALUE"""),"Engagement Manager [Primary]")</f>
        <v>Engagement Manager [Primary]</v>
      </c>
    </row>
    <row r="865">
      <c r="A865" s="12" t="str">
        <f>IFERROR(__xludf.DUMMYFUNCTION("""COMPUTED_VALUE"""),"a0lVT000006O6dVYAS")</f>
        <v>a0lVT000006O6dVYAS</v>
      </c>
      <c r="B865" s="12" t="str">
        <f>IFERROR(__xludf.DUMMYFUNCTION("""COMPUTED_VALUE"""),"a0rVT00001DXDGDYA5")</f>
        <v>a0rVT00001DXDGDYA5</v>
      </c>
      <c r="C865" s="12" t="str">
        <f>IFERROR(__xludf.DUMMYFUNCTION("""COMPUTED_VALUE"""),"0034X00003EtGr8QAF")</f>
        <v>0034X00003EtGr8QAF</v>
      </c>
      <c r="D865" s="12" t="str">
        <f>IFERROR(__xludf.DUMMYFUNCTION("""COMPUTED_VALUE"""),"Aaron Barnes")</f>
        <v>Aaron Barnes</v>
      </c>
      <c r="E865" s="12" t="str">
        <f>IFERROR(__xludf.DUMMYFUNCTION("""COMPUTED_VALUE"""),"aaron.barnes@workday.com")</f>
        <v>aaron.barnes@workday.com</v>
      </c>
      <c r="F865" s="12" t="str">
        <f>IFERROR(__xludf.DUMMYFUNCTION("""COMPUTED_VALUE"""),"Engagement Manager [Primary]")</f>
        <v>Engagement Manager [Primary]</v>
      </c>
    </row>
    <row r="866">
      <c r="A866" s="12" t="str">
        <f>IFERROR(__xludf.DUMMYFUNCTION("""COMPUTED_VALUE"""),"a0lVT000006O6f7YAC")</f>
        <v>a0lVT000006O6f7YAC</v>
      </c>
      <c r="B866" s="12" t="str">
        <f>IFERROR(__xludf.DUMMYFUNCTION("""COMPUTED_VALUE"""),"a0rVT00001DXDHpYAP")</f>
        <v>a0rVT00001DXDHpYAP</v>
      </c>
      <c r="C866" s="12" t="str">
        <f>IFERROR(__xludf.DUMMYFUNCTION("""COMPUTED_VALUE"""),"0034X00003EtGr8QAF")</f>
        <v>0034X00003EtGr8QAF</v>
      </c>
      <c r="D866" s="12" t="str">
        <f>IFERROR(__xludf.DUMMYFUNCTION("""COMPUTED_VALUE"""),"Aaron Barnes")</f>
        <v>Aaron Barnes</v>
      </c>
      <c r="E866" s="12" t="str">
        <f>IFERROR(__xludf.DUMMYFUNCTION("""COMPUTED_VALUE"""),"aaron.barnes@workday.com")</f>
        <v>aaron.barnes@workday.com</v>
      </c>
      <c r="F866" s="12" t="str">
        <f>IFERROR(__xludf.DUMMYFUNCTION("""COMPUTED_VALUE"""),"Engagement Manager [Primary]")</f>
        <v>Engagement Manager [Primary]</v>
      </c>
    </row>
    <row r="867">
      <c r="A867" s="12" t="str">
        <f>IFERROR(__xludf.DUMMYFUNCTION("""COMPUTED_VALUE"""),"a0lVT000006Nue5YAC")</f>
        <v>a0lVT000006Nue5YAC</v>
      </c>
      <c r="B867" s="12" t="str">
        <f>IFERROR(__xludf.DUMMYFUNCTION("""COMPUTED_VALUE"""),"a0rVT00001DXDphYAH")</f>
        <v>a0rVT00001DXDphYAH</v>
      </c>
      <c r="C867" s="12" t="str">
        <f>IFERROR(__xludf.DUMMYFUNCTION("""COMPUTED_VALUE"""),"0034X00003EtGr8QAF")</f>
        <v>0034X00003EtGr8QAF</v>
      </c>
      <c r="D867" s="12" t="str">
        <f>IFERROR(__xludf.DUMMYFUNCTION("""COMPUTED_VALUE"""),"Aaron Barnes")</f>
        <v>Aaron Barnes</v>
      </c>
      <c r="E867" s="12" t="str">
        <f>IFERROR(__xludf.DUMMYFUNCTION("""COMPUTED_VALUE"""),"aaron.barnes@workday.com")</f>
        <v>aaron.barnes@workday.com</v>
      </c>
      <c r="F867" s="12" t="str">
        <f>IFERROR(__xludf.DUMMYFUNCTION("""COMPUTED_VALUE"""),"Engagement Manager [Primary]")</f>
        <v>Engagement Manager [Primary]</v>
      </c>
    </row>
    <row r="868">
      <c r="A868" s="12" t="str">
        <f>IFERROR(__xludf.DUMMYFUNCTION("""COMPUTED_VALUE"""),"a0lVT000006O8iXYAS")</f>
        <v>a0lVT000006O8iXYAS</v>
      </c>
      <c r="B868" s="12" t="str">
        <f>IFERROR(__xludf.DUMMYFUNCTION("""COMPUTED_VALUE"""),"a0rVT00001DXDzOYAX")</f>
        <v>a0rVT00001DXDzOYAX</v>
      </c>
      <c r="C868" s="12" t="str">
        <f>IFERROR(__xludf.DUMMYFUNCTION("""COMPUTED_VALUE"""),"0034X00003EtGr8QAF")</f>
        <v>0034X00003EtGr8QAF</v>
      </c>
      <c r="D868" s="12" t="str">
        <f>IFERROR(__xludf.DUMMYFUNCTION("""COMPUTED_VALUE"""),"Aaron Barnes")</f>
        <v>Aaron Barnes</v>
      </c>
      <c r="E868" s="12" t="str">
        <f>IFERROR(__xludf.DUMMYFUNCTION("""COMPUTED_VALUE"""),"aaron.barnes@workday.com")</f>
        <v>aaron.barnes@workday.com</v>
      </c>
      <c r="F868" s="12" t="str">
        <f>IFERROR(__xludf.DUMMYFUNCTION("""COMPUTED_VALUE"""),"Engagement Manager [Primary]")</f>
        <v>Engagement Manager [Primary]</v>
      </c>
    </row>
    <row r="869">
      <c r="A869" s="12" t="str">
        <f>IFERROR(__xludf.DUMMYFUNCTION("""COMPUTED_VALUE"""),"a0lVT000006NuvtYAC")</f>
        <v>a0lVT000006NuvtYAC</v>
      </c>
      <c r="B869" s="12" t="str">
        <f>IFERROR(__xludf.DUMMYFUNCTION("""COMPUTED_VALUE"""),"a0rVT00001DXE4EYAX")</f>
        <v>a0rVT00001DXE4EYAX</v>
      </c>
      <c r="C869" s="12" t="str">
        <f>IFERROR(__xludf.DUMMYFUNCTION("""COMPUTED_VALUE"""),"0034X00003EtGr8QAF")</f>
        <v>0034X00003EtGr8QAF</v>
      </c>
      <c r="D869" s="12" t="str">
        <f>IFERROR(__xludf.DUMMYFUNCTION("""COMPUTED_VALUE"""),"Aaron Barnes")</f>
        <v>Aaron Barnes</v>
      </c>
      <c r="E869" s="12" t="str">
        <f>IFERROR(__xludf.DUMMYFUNCTION("""COMPUTED_VALUE"""),"aaron.barnes@workday.com")</f>
        <v>aaron.barnes@workday.com</v>
      </c>
      <c r="F869" s="12" t="str">
        <f>IFERROR(__xludf.DUMMYFUNCTION("""COMPUTED_VALUE"""),"Engagement Manager [Primary]")</f>
        <v>Engagement Manager [Primary]</v>
      </c>
    </row>
    <row r="870">
      <c r="A870" s="12" t="str">
        <f>IFERROR(__xludf.DUMMYFUNCTION("""COMPUTED_VALUE"""),"a0lVT000006O57zYAC")</f>
        <v>a0lVT000006O57zYAC</v>
      </c>
      <c r="B870" s="12" t="str">
        <f>IFERROR(__xludf.DUMMYFUNCTION("""COMPUTED_VALUE"""),"a0rVT00001DXEDtYAP")</f>
        <v>a0rVT00001DXEDtYAP</v>
      </c>
      <c r="C870" s="12" t="str">
        <f>IFERROR(__xludf.DUMMYFUNCTION("""COMPUTED_VALUE"""),"0034X00003EtGr8QAF")</f>
        <v>0034X00003EtGr8QAF</v>
      </c>
      <c r="D870" s="12" t="str">
        <f>IFERROR(__xludf.DUMMYFUNCTION("""COMPUTED_VALUE"""),"Aaron Barnes")</f>
        <v>Aaron Barnes</v>
      </c>
      <c r="E870" s="12" t="str">
        <f>IFERROR(__xludf.DUMMYFUNCTION("""COMPUTED_VALUE"""),"aaron.barnes@workday.com")</f>
        <v>aaron.barnes@workday.com</v>
      </c>
      <c r="F870" s="12" t="str">
        <f>IFERROR(__xludf.DUMMYFUNCTION("""COMPUTED_VALUE"""),"Engagement Manager [Primary]")</f>
        <v>Engagement Manager [Primary]</v>
      </c>
    </row>
    <row r="871">
      <c r="A871" s="12" t="str">
        <f>IFERROR(__xludf.DUMMYFUNCTION("""COMPUTED_VALUE"""),"a0lVT000006NoSDYA0")</f>
        <v>a0lVT000006NoSDYA0</v>
      </c>
      <c r="B871" s="12" t="str">
        <f>IFERROR(__xludf.DUMMYFUNCTION("""COMPUTED_VALUE"""),"a0rVT00001DXEFWYA5")</f>
        <v>a0rVT00001DXEFWYA5</v>
      </c>
      <c r="C871" s="12" t="str">
        <f>IFERROR(__xludf.DUMMYFUNCTION("""COMPUTED_VALUE"""),"0034X00003EtGr8QAF")</f>
        <v>0034X00003EtGr8QAF</v>
      </c>
      <c r="D871" s="12" t="str">
        <f>IFERROR(__xludf.DUMMYFUNCTION("""COMPUTED_VALUE"""),"Aaron Barnes")</f>
        <v>Aaron Barnes</v>
      </c>
      <c r="E871" s="12" t="str">
        <f>IFERROR(__xludf.DUMMYFUNCTION("""COMPUTED_VALUE"""),"aaron.barnes@workday.com")</f>
        <v>aaron.barnes@workday.com</v>
      </c>
      <c r="F871" s="12" t="str">
        <f>IFERROR(__xludf.DUMMYFUNCTION("""COMPUTED_VALUE"""),"Engagement Manager [Primary]")</f>
        <v>Engagement Manager [Primary]</v>
      </c>
    </row>
    <row r="872">
      <c r="A872" s="12" t="str">
        <f>IFERROR(__xludf.DUMMYFUNCTION("""COMPUTED_VALUE"""),"a0lVT000006O7JRYA0")</f>
        <v>a0lVT000006O7JRYA0</v>
      </c>
      <c r="B872" s="12" t="str">
        <f>IFERROR(__xludf.DUMMYFUNCTION("""COMPUTED_VALUE"""),"a0rVT00001DXEPBYA5")</f>
        <v>a0rVT00001DXEPBYA5</v>
      </c>
      <c r="C872" s="12" t="str">
        <f>IFERROR(__xludf.DUMMYFUNCTION("""COMPUTED_VALUE"""),"0034X00003EtGr8QAF")</f>
        <v>0034X00003EtGr8QAF</v>
      </c>
      <c r="D872" s="12" t="str">
        <f>IFERROR(__xludf.DUMMYFUNCTION("""COMPUTED_VALUE"""),"Aaron Barnes")</f>
        <v>Aaron Barnes</v>
      </c>
      <c r="E872" s="12" t="str">
        <f>IFERROR(__xludf.DUMMYFUNCTION("""COMPUTED_VALUE"""),"aaron.barnes@workday.com")</f>
        <v>aaron.barnes@workday.com</v>
      </c>
      <c r="F872" s="12" t="str">
        <f>IFERROR(__xludf.DUMMYFUNCTION("""COMPUTED_VALUE"""),"Engagement Manager [Primary]")</f>
        <v>Engagement Manager [Primary]</v>
      </c>
    </row>
    <row r="873">
      <c r="A873" s="12" t="str">
        <f>IFERROR(__xludf.DUMMYFUNCTION("""COMPUTED_VALUE"""),"a0lVT000006O4lOYAS")</f>
        <v>a0lVT000006O4lOYAS</v>
      </c>
      <c r="B873" s="12" t="str">
        <f>IFERROR(__xludf.DUMMYFUNCTION("""COMPUTED_VALUE"""),"a0rVT00001DXEQoYAP")</f>
        <v>a0rVT00001DXEQoYAP</v>
      </c>
      <c r="C873" s="12" t="str">
        <f>IFERROR(__xludf.DUMMYFUNCTION("""COMPUTED_VALUE"""),"0034X00003EtGr8QAF")</f>
        <v>0034X00003EtGr8QAF</v>
      </c>
      <c r="D873" s="12" t="str">
        <f>IFERROR(__xludf.DUMMYFUNCTION("""COMPUTED_VALUE"""),"Aaron Barnes")</f>
        <v>Aaron Barnes</v>
      </c>
      <c r="E873" s="12" t="str">
        <f>IFERROR(__xludf.DUMMYFUNCTION("""COMPUTED_VALUE"""),"aaron.barnes@workday.com")</f>
        <v>aaron.barnes@workday.com</v>
      </c>
      <c r="F873" s="12" t="str">
        <f>IFERROR(__xludf.DUMMYFUNCTION("""COMPUTED_VALUE"""),"Engagement Manager [Primary]")</f>
        <v>Engagement Manager [Primary]</v>
      </c>
    </row>
    <row r="874">
      <c r="A874" s="12" t="str">
        <f>IFERROR(__xludf.DUMMYFUNCTION("""COMPUTED_VALUE"""),"a0lVT000006O0ZmYAK")</f>
        <v>a0lVT000006O0ZmYAK</v>
      </c>
      <c r="B874" s="12" t="str">
        <f>IFERROR(__xludf.DUMMYFUNCTION("""COMPUTED_VALUE"""),"a0rVT00001DXEYrYAP")</f>
        <v>a0rVT00001DXEYrYAP</v>
      </c>
      <c r="C874" s="12" t="str">
        <f>IFERROR(__xludf.DUMMYFUNCTION("""COMPUTED_VALUE"""),"0034X00003EtGr8QAF")</f>
        <v>0034X00003EtGr8QAF</v>
      </c>
      <c r="D874" s="12" t="str">
        <f>IFERROR(__xludf.DUMMYFUNCTION("""COMPUTED_VALUE"""),"Aaron Barnes")</f>
        <v>Aaron Barnes</v>
      </c>
      <c r="E874" s="12" t="str">
        <f>IFERROR(__xludf.DUMMYFUNCTION("""COMPUTED_VALUE"""),"aaron.barnes@workday.com")</f>
        <v>aaron.barnes@workday.com</v>
      </c>
      <c r="F874" s="12" t="str">
        <f>IFERROR(__xludf.DUMMYFUNCTION("""COMPUTED_VALUE"""),"Engagement Manager [Primary]")</f>
        <v>Engagement Manager [Primary]</v>
      </c>
    </row>
    <row r="875">
      <c r="A875" s="12" t="str">
        <f>IFERROR(__xludf.DUMMYFUNCTION("""COMPUTED_VALUE"""),"a0lVT000006NqKIYA0")</f>
        <v>a0lVT000006NqKIYA0</v>
      </c>
      <c r="B875" s="12" t="str">
        <f>IFERROR(__xludf.DUMMYFUNCTION("""COMPUTED_VALUE"""),"a0rVT00001DXEaTYAX")</f>
        <v>a0rVT00001DXEaTYAX</v>
      </c>
      <c r="C875" s="12" t="str">
        <f>IFERROR(__xludf.DUMMYFUNCTION("""COMPUTED_VALUE"""),"0034X00003EtGr8QAF")</f>
        <v>0034X00003EtGr8QAF</v>
      </c>
      <c r="D875" s="12" t="str">
        <f>IFERROR(__xludf.DUMMYFUNCTION("""COMPUTED_VALUE"""),"Aaron Barnes")</f>
        <v>Aaron Barnes</v>
      </c>
      <c r="E875" s="12" t="str">
        <f>IFERROR(__xludf.DUMMYFUNCTION("""COMPUTED_VALUE"""),"aaron.barnes@workday.com")</f>
        <v>aaron.barnes@workday.com</v>
      </c>
      <c r="F875" s="12" t="str">
        <f>IFERROR(__xludf.DUMMYFUNCTION("""COMPUTED_VALUE"""),"Engagement Manager [Primary]")</f>
        <v>Engagement Manager [Primary]</v>
      </c>
    </row>
    <row r="876">
      <c r="A876" s="12" t="str">
        <f>IFERROR(__xludf.DUMMYFUNCTION("""COMPUTED_VALUE"""),"a0lVT000006NwnxYAC")</f>
        <v>a0lVT000006NwnxYAC</v>
      </c>
      <c r="B876" s="12" t="str">
        <f>IFERROR(__xludf.DUMMYFUNCTION("""COMPUTED_VALUE"""),"a0rVT00001DXEiXYAX")</f>
        <v>a0rVT00001DXEiXYAX</v>
      </c>
      <c r="C876" s="12" t="str">
        <f>IFERROR(__xludf.DUMMYFUNCTION("""COMPUTED_VALUE"""),"0034X00003EtGr8QAF")</f>
        <v>0034X00003EtGr8QAF</v>
      </c>
      <c r="D876" s="12" t="str">
        <f>IFERROR(__xludf.DUMMYFUNCTION("""COMPUTED_VALUE"""),"Aaron Barnes")</f>
        <v>Aaron Barnes</v>
      </c>
      <c r="E876" s="12" t="str">
        <f>IFERROR(__xludf.DUMMYFUNCTION("""COMPUTED_VALUE"""),"aaron.barnes@workday.com")</f>
        <v>aaron.barnes@workday.com</v>
      </c>
      <c r="F876" s="12" t="str">
        <f>IFERROR(__xludf.DUMMYFUNCTION("""COMPUTED_VALUE"""),"Engagement Manager [Primary]")</f>
        <v>Engagement Manager [Primary]</v>
      </c>
    </row>
    <row r="877">
      <c r="A877" s="12" t="str">
        <f>IFERROR(__xludf.DUMMYFUNCTION("""COMPUTED_VALUE"""),"a0lVT000006O7ZZYA0")</f>
        <v>a0lVT000006O7ZZYA0</v>
      </c>
      <c r="B877" s="12" t="str">
        <f>IFERROR(__xludf.DUMMYFUNCTION("""COMPUTED_VALUE"""),"a0rVT00001DXEtpYAH")</f>
        <v>a0rVT00001DXEtpYAH</v>
      </c>
      <c r="C877" s="12" t="str">
        <f>IFERROR(__xludf.DUMMYFUNCTION("""COMPUTED_VALUE"""),"0034X00003EtGr8QAF")</f>
        <v>0034X00003EtGr8QAF</v>
      </c>
      <c r="D877" s="12" t="str">
        <f>IFERROR(__xludf.DUMMYFUNCTION("""COMPUTED_VALUE"""),"Aaron Barnes")</f>
        <v>Aaron Barnes</v>
      </c>
      <c r="E877" s="12" t="str">
        <f>IFERROR(__xludf.DUMMYFUNCTION("""COMPUTED_VALUE"""),"aaron.barnes@workday.com")</f>
        <v>aaron.barnes@workday.com</v>
      </c>
      <c r="F877" s="12" t="str">
        <f>IFERROR(__xludf.DUMMYFUNCTION("""COMPUTED_VALUE"""),"Engagement Manager [Primary]")</f>
        <v>Engagement Manager [Primary]</v>
      </c>
    </row>
    <row r="878">
      <c r="A878" s="12" t="str">
        <f>IFERROR(__xludf.DUMMYFUNCTION("""COMPUTED_VALUE"""),"a0lVT000006NuxRYAS")</f>
        <v>a0lVT000006NuxRYAS</v>
      </c>
      <c r="B878" s="12" t="str">
        <f>IFERROR(__xludf.DUMMYFUNCTION("""COMPUTED_VALUE"""),"a0rVT00001DXF0HYAX")</f>
        <v>a0rVT00001DXF0HYAX</v>
      </c>
      <c r="C878" s="12" t="str">
        <f>IFERROR(__xludf.DUMMYFUNCTION("""COMPUTED_VALUE"""),"0034X00003EtGr8QAF")</f>
        <v>0034X00003EtGr8QAF</v>
      </c>
      <c r="D878" s="12" t="str">
        <f>IFERROR(__xludf.DUMMYFUNCTION("""COMPUTED_VALUE"""),"Aaron Barnes")</f>
        <v>Aaron Barnes</v>
      </c>
      <c r="E878" s="12" t="str">
        <f>IFERROR(__xludf.DUMMYFUNCTION("""COMPUTED_VALUE"""),"aaron.barnes@workday.com")</f>
        <v>aaron.barnes@workday.com</v>
      </c>
      <c r="F878" s="12" t="str">
        <f>IFERROR(__xludf.DUMMYFUNCTION("""COMPUTED_VALUE"""),"Engagement Manager [Primary]")</f>
        <v>Engagement Manager [Primary]</v>
      </c>
    </row>
    <row r="879">
      <c r="A879" s="12" t="str">
        <f>IFERROR(__xludf.DUMMYFUNCTION("""COMPUTED_VALUE"""),"a0lVT000006O7phYAC")</f>
        <v>a0lVT000006O7phYAC</v>
      </c>
      <c r="B879" s="12" t="str">
        <f>IFERROR(__xludf.DUMMYFUNCTION("""COMPUTED_VALUE"""),"a0rVT00001DXF6jYAH")</f>
        <v>a0rVT00001DXF6jYAH</v>
      </c>
      <c r="C879" s="12" t="str">
        <f>IFERROR(__xludf.DUMMYFUNCTION("""COMPUTED_VALUE"""),"0034X00003EtGr8QAF")</f>
        <v>0034X00003EtGr8QAF</v>
      </c>
      <c r="D879" s="12" t="str">
        <f>IFERROR(__xludf.DUMMYFUNCTION("""COMPUTED_VALUE"""),"Aaron Barnes")</f>
        <v>Aaron Barnes</v>
      </c>
      <c r="E879" s="12" t="str">
        <f>IFERROR(__xludf.DUMMYFUNCTION("""COMPUTED_VALUE"""),"aaron.barnes@workday.com")</f>
        <v>aaron.barnes@workday.com</v>
      </c>
      <c r="F879" s="12" t="str">
        <f>IFERROR(__xludf.DUMMYFUNCTION("""COMPUTED_VALUE"""),"Engagement Manager [Primary]")</f>
        <v>Engagement Manager [Primary]</v>
      </c>
    </row>
    <row r="880">
      <c r="A880" s="12" t="str">
        <f>IFERROR(__xludf.DUMMYFUNCTION("""COMPUTED_VALUE"""),"a0lVT000006O1dwYAC")</f>
        <v>a0lVT000006O1dwYAC</v>
      </c>
      <c r="B880" s="12" t="str">
        <f>IFERROR(__xludf.DUMMYFUNCTION("""COMPUTED_VALUE"""),"a0rVT00001DXFEpYAP")</f>
        <v>a0rVT00001DXFEpYAP</v>
      </c>
      <c r="C880" s="12" t="str">
        <f>IFERROR(__xludf.DUMMYFUNCTION("""COMPUTED_VALUE"""),"0034X00003EtGr8QAF")</f>
        <v>0034X00003EtGr8QAF</v>
      </c>
      <c r="D880" s="12" t="str">
        <f>IFERROR(__xludf.DUMMYFUNCTION("""COMPUTED_VALUE"""),"Aaron Barnes")</f>
        <v>Aaron Barnes</v>
      </c>
      <c r="E880" s="12" t="str">
        <f>IFERROR(__xludf.DUMMYFUNCTION("""COMPUTED_VALUE"""),"aaron.barnes@workday.com")</f>
        <v>aaron.barnes@workday.com</v>
      </c>
      <c r="F880" s="12" t="str">
        <f>IFERROR(__xludf.DUMMYFUNCTION("""COMPUTED_VALUE"""),"Engagement Manager [Primary]")</f>
        <v>Engagement Manager [Primary]</v>
      </c>
    </row>
    <row r="881">
      <c r="A881" s="12" t="str">
        <f>IFERROR(__xludf.DUMMYFUNCTION("""COMPUTED_VALUE"""),"a0lVT000006O6f9YAC")</f>
        <v>a0lVT000006O6f9YAC</v>
      </c>
      <c r="B881" s="12" t="str">
        <f>IFERROR(__xludf.DUMMYFUNCTION("""COMPUTED_VALUE"""),"a0rVT00001DXFJdYAP")</f>
        <v>a0rVT00001DXFJdYAP</v>
      </c>
      <c r="C881" s="12" t="str">
        <f>IFERROR(__xludf.DUMMYFUNCTION("""COMPUTED_VALUE"""),"0034X00003EtGr8QAF")</f>
        <v>0034X00003EtGr8QAF</v>
      </c>
      <c r="D881" s="12" t="str">
        <f>IFERROR(__xludf.DUMMYFUNCTION("""COMPUTED_VALUE"""),"Aaron Barnes")</f>
        <v>Aaron Barnes</v>
      </c>
      <c r="E881" s="12" t="str">
        <f>IFERROR(__xludf.DUMMYFUNCTION("""COMPUTED_VALUE"""),"aaron.barnes@workday.com")</f>
        <v>aaron.barnes@workday.com</v>
      </c>
      <c r="F881" s="12" t="str">
        <f>IFERROR(__xludf.DUMMYFUNCTION("""COMPUTED_VALUE"""),"Engagement Manager [Primary]")</f>
        <v>Engagement Manager [Primary]</v>
      </c>
    </row>
    <row r="882">
      <c r="A882" s="12" t="str">
        <f>IFERROR(__xludf.DUMMYFUNCTION("""COMPUTED_VALUE"""),"a0lVT000006NtTWYA0")</f>
        <v>a0lVT000006NtTWYA0</v>
      </c>
      <c r="B882" s="12" t="str">
        <f>IFERROR(__xludf.DUMMYFUNCTION("""COMPUTED_VALUE"""),"a0rVT00001DXFRhYAP")</f>
        <v>a0rVT00001DXFRhYAP</v>
      </c>
      <c r="C882" s="12" t="str">
        <f>IFERROR(__xludf.DUMMYFUNCTION("""COMPUTED_VALUE"""),"0034X00003EtGr8QAF")</f>
        <v>0034X00003EtGr8QAF</v>
      </c>
      <c r="D882" s="12" t="str">
        <f>IFERROR(__xludf.DUMMYFUNCTION("""COMPUTED_VALUE"""),"Aaron Barnes")</f>
        <v>Aaron Barnes</v>
      </c>
      <c r="E882" s="12" t="str">
        <f>IFERROR(__xludf.DUMMYFUNCTION("""COMPUTED_VALUE"""),"aaron.barnes@workday.com")</f>
        <v>aaron.barnes@workday.com</v>
      </c>
      <c r="F882" s="12" t="str">
        <f>IFERROR(__xludf.DUMMYFUNCTION("""COMPUTED_VALUE"""),"Engagement Manager [Primary]")</f>
        <v>Engagement Manager [Primary]</v>
      </c>
    </row>
    <row r="883">
      <c r="A883" s="12" t="str">
        <f>IFERROR(__xludf.DUMMYFUNCTION("""COMPUTED_VALUE"""),"a0lVT000006O1cLYAS")</f>
        <v>a0lVT000006O1cLYAS</v>
      </c>
      <c r="B883" s="12" t="str">
        <f>IFERROR(__xludf.DUMMYFUNCTION("""COMPUTED_VALUE"""),"a0rVT00001DXFUvYAP")</f>
        <v>a0rVT00001DXFUvYAP</v>
      </c>
      <c r="C883" s="12" t="str">
        <f>IFERROR(__xludf.DUMMYFUNCTION("""COMPUTED_VALUE"""),"0034X00003EtGr8QAF")</f>
        <v>0034X00003EtGr8QAF</v>
      </c>
      <c r="D883" s="12" t="str">
        <f>IFERROR(__xludf.DUMMYFUNCTION("""COMPUTED_VALUE"""),"Aaron Barnes")</f>
        <v>Aaron Barnes</v>
      </c>
      <c r="E883" s="12" t="str">
        <f>IFERROR(__xludf.DUMMYFUNCTION("""COMPUTED_VALUE"""),"aaron.barnes@workday.com")</f>
        <v>aaron.barnes@workday.com</v>
      </c>
      <c r="F883" s="12" t="str">
        <f>IFERROR(__xludf.DUMMYFUNCTION("""COMPUTED_VALUE"""),"Engagement Manager [Primary]")</f>
        <v>Engagement Manager [Primary]</v>
      </c>
    </row>
    <row r="884">
      <c r="A884" s="12" t="str">
        <f>IFERROR(__xludf.DUMMYFUNCTION("""COMPUTED_VALUE"""),"a0lVT000006PKOHYA4")</f>
        <v>a0lVT000006PKOHYA4</v>
      </c>
      <c r="B884" s="12" t="str">
        <f>IFERROR(__xludf.DUMMYFUNCTION("""COMPUTED_VALUE"""),"a0rVT00001DXFWXYA5")</f>
        <v>a0rVT00001DXFWXYA5</v>
      </c>
      <c r="C884" s="12" t="str">
        <f>IFERROR(__xludf.DUMMYFUNCTION("""COMPUTED_VALUE"""),"003VT00000dP8n7YAC")</f>
        <v>003VT00000dP8n7YAC</v>
      </c>
      <c r="D884" s="12" t="str">
        <f>IFERROR(__xludf.DUMMYFUNCTION("""COMPUTED_VALUE"""),"Cameron Pickett")</f>
        <v>Cameron Pickett</v>
      </c>
      <c r="E884" s="12" t="str">
        <f>IFERROR(__xludf.DUMMYFUNCTION("""COMPUTED_VALUE"""),"cameron.pickett@touchmark.com")</f>
        <v>cameron.pickett@touchmark.com</v>
      </c>
      <c r="F884" s="12" t="str">
        <f>IFERROR(__xludf.DUMMYFUNCTION("""COMPUTED_VALUE"""),"Project Manager [Customer]")</f>
        <v>Project Manager [Customer]</v>
      </c>
    </row>
    <row r="885">
      <c r="A885" s="12" t="str">
        <f>IFERROR(__xludf.DUMMYFUNCTION("""COMPUTED_VALUE"""),"a0lVT000006PKJRYA4")</f>
        <v>a0lVT000006PKJRYA4</v>
      </c>
      <c r="B885" s="12" t="str">
        <f>IFERROR(__xludf.DUMMYFUNCTION("""COMPUTED_VALUE"""),"a0rVT00001DXFWXYA5")</f>
        <v>a0rVT00001DXFWXYA5</v>
      </c>
      <c r="C885" s="12" t="str">
        <f>IFERROR(__xludf.DUMMYFUNCTION("""COMPUTED_VALUE"""),"003VT00000fc4sgYAA")</f>
        <v>003VT00000fc4sgYAA</v>
      </c>
      <c r="D885" s="12" t="str">
        <f>IFERROR(__xludf.DUMMYFUNCTION("""COMPUTED_VALUE"""),"Kat Evans")</f>
        <v>Kat Evans</v>
      </c>
      <c r="E885" s="12" t="str">
        <f>IFERROR(__xludf.DUMMYFUNCTION("""COMPUTED_VALUE"""),"kat.matasova@workday.com")</f>
        <v>kat.matasova@workday.com</v>
      </c>
      <c r="F885" s="12" t="str">
        <f>IFERROR(__xludf.DUMMYFUNCTION("""COMPUTED_VALUE"""),"Engagement Manager [Primary]")</f>
        <v>Engagement Manager [Primary]</v>
      </c>
    </row>
    <row r="886">
      <c r="A886" s="12" t="str">
        <f>IFERROR(__xludf.DUMMYFUNCTION("""COMPUTED_VALUE"""),"a0lVT000006O7g2YAC")</f>
        <v>a0lVT000006O7g2YAC</v>
      </c>
      <c r="B886" s="12" t="str">
        <f>IFERROR(__xludf.DUMMYFUNCTION("""COMPUTED_VALUE"""),"a0rVT00001DXFWXYA5")</f>
        <v>a0rVT00001DXFWXYA5</v>
      </c>
      <c r="C886" s="12" t="str">
        <f>IFERROR(__xludf.DUMMYFUNCTION("""COMPUTED_VALUE"""),"0034X00003EtGr8QAF")</f>
        <v>0034X00003EtGr8QAF</v>
      </c>
      <c r="D886" s="12" t="str">
        <f>IFERROR(__xludf.DUMMYFUNCTION("""COMPUTED_VALUE"""),"Aaron Barnes")</f>
        <v>Aaron Barnes</v>
      </c>
      <c r="E886" s="12" t="str">
        <f>IFERROR(__xludf.DUMMYFUNCTION("""COMPUTED_VALUE"""),"aaron.barnes@workday.com")</f>
        <v>aaron.barnes@workday.com</v>
      </c>
      <c r="F886" s="12" t="str">
        <f>IFERROR(__xludf.DUMMYFUNCTION("""COMPUTED_VALUE"""),"Deployment Sponsor")</f>
        <v>Deployment Sponsor</v>
      </c>
    </row>
    <row r="887">
      <c r="A887" s="12" t="str">
        <f>IFERROR(__xludf.DUMMYFUNCTION("""COMPUTED_VALUE"""),"a0lVT000006PKRVYA4")</f>
        <v>a0lVT000006PKRVYA4</v>
      </c>
      <c r="B887" s="12" t="str">
        <f>IFERROR(__xludf.DUMMYFUNCTION("""COMPUTED_VALUE"""),"a0rVT00001DXFWXYA5")</f>
        <v>a0rVT00001DXFWXYA5</v>
      </c>
      <c r="C887" s="12" t="str">
        <f>IFERROR(__xludf.DUMMYFUNCTION("""COMPUTED_VALUE"""),"0034X00003RCgtZQAT")</f>
        <v>0034X00003RCgtZQAT</v>
      </c>
      <c r="D887" s="12" t="str">
        <f>IFERROR(__xludf.DUMMYFUNCTION("""COMPUTED_VALUE"""),"Elaine Buchele")</f>
        <v>Elaine Buchele</v>
      </c>
      <c r="E887" s="12" t="str">
        <f>IFERROR(__xludf.DUMMYFUNCTION("""COMPUTED_VALUE"""),"elaine.buchele@touchmark.com")</f>
        <v>elaine.buchele@touchmark.com</v>
      </c>
      <c r="F887" s="12" t="str">
        <f>IFERROR(__xludf.DUMMYFUNCTION("""COMPUTED_VALUE"""),"Executive Sponsor")</f>
        <v>Executive Sponsor</v>
      </c>
    </row>
    <row r="888">
      <c r="A888" s="12" t="str">
        <f>IFERROR(__xludf.DUMMYFUNCTION("""COMPUTED_VALUE"""),"a0lVT000006NmXQYA0")</f>
        <v>a0lVT000006NmXQYA0</v>
      </c>
      <c r="B888" s="12" t="str">
        <f>IFERROR(__xludf.DUMMYFUNCTION("""COMPUTED_VALUE"""),"a0rVT00001DXFZlYAP")</f>
        <v>a0rVT00001DXFZlYAP</v>
      </c>
      <c r="C888" s="12" t="str">
        <f>IFERROR(__xludf.DUMMYFUNCTION("""COMPUTED_VALUE"""),"0034X00003EtGr8QAF")</f>
        <v>0034X00003EtGr8QAF</v>
      </c>
      <c r="D888" s="12" t="str">
        <f>IFERROR(__xludf.DUMMYFUNCTION("""COMPUTED_VALUE"""),"Aaron Barnes")</f>
        <v>Aaron Barnes</v>
      </c>
      <c r="E888" s="12" t="str">
        <f>IFERROR(__xludf.DUMMYFUNCTION("""COMPUTED_VALUE"""),"aaron.barnes@workday.com")</f>
        <v>aaron.barnes@workday.com</v>
      </c>
      <c r="F888" s="12" t="str">
        <f>IFERROR(__xludf.DUMMYFUNCTION("""COMPUTED_VALUE"""),"Engagement Manager [Primary]")</f>
        <v>Engagement Manager [Primary]</v>
      </c>
    </row>
    <row r="889">
      <c r="A889" s="12" t="str">
        <f>IFERROR(__xludf.DUMMYFUNCTION("""COMPUTED_VALUE"""),"a0lVT000006O56MYAS")</f>
        <v>a0lVT000006O56MYAS</v>
      </c>
      <c r="B889" s="12" t="str">
        <f>IFERROR(__xludf.DUMMYFUNCTION("""COMPUTED_VALUE"""),"a0rVT00001DXGvdYAH")</f>
        <v>a0rVT00001DXGvdYAH</v>
      </c>
      <c r="C889" s="12" t="str">
        <f>IFERROR(__xludf.DUMMYFUNCTION("""COMPUTED_VALUE"""),"0034X00003EtGr8QAF")</f>
        <v>0034X00003EtGr8QAF</v>
      </c>
      <c r="D889" s="12" t="str">
        <f>IFERROR(__xludf.DUMMYFUNCTION("""COMPUTED_VALUE"""),"Aaron Barnes")</f>
        <v>Aaron Barnes</v>
      </c>
      <c r="E889" s="12" t="str">
        <f>IFERROR(__xludf.DUMMYFUNCTION("""COMPUTED_VALUE"""),"aaron.barnes@workday.com")</f>
        <v>aaron.barnes@workday.com</v>
      </c>
      <c r="F889" s="12" t="str">
        <f>IFERROR(__xludf.DUMMYFUNCTION("""COMPUTED_VALUE"""),"Engagement Manager [Primary]")</f>
        <v>Engagement Manager [Primary]</v>
      </c>
    </row>
    <row r="890">
      <c r="A890" s="12" t="str">
        <f>IFERROR(__xludf.DUMMYFUNCTION("""COMPUTED_VALUE"""),"a0lVT000006NyjJYAS")</f>
        <v>a0lVT000006NyjJYAS</v>
      </c>
      <c r="B890" s="12" t="str">
        <f>IFERROR(__xludf.DUMMYFUNCTION("""COMPUTED_VALUE"""),"a0rVT00001DXH8XYAX")</f>
        <v>a0rVT00001DXH8XYAX</v>
      </c>
      <c r="C890" s="12" t="str">
        <f>IFERROR(__xludf.DUMMYFUNCTION("""COMPUTED_VALUE"""),"0034X00003EtGr8QAF")</f>
        <v>0034X00003EtGr8QAF</v>
      </c>
      <c r="D890" s="12" t="str">
        <f>IFERROR(__xludf.DUMMYFUNCTION("""COMPUTED_VALUE"""),"Aaron Barnes")</f>
        <v>Aaron Barnes</v>
      </c>
      <c r="E890" s="12" t="str">
        <f>IFERROR(__xludf.DUMMYFUNCTION("""COMPUTED_VALUE"""),"aaron.barnes@workday.com")</f>
        <v>aaron.barnes@workday.com</v>
      </c>
      <c r="F890" s="12" t="str">
        <f>IFERROR(__xludf.DUMMYFUNCTION("""COMPUTED_VALUE"""),"Engagement Manager [Primary]")</f>
        <v>Engagement Manager [Primary]</v>
      </c>
    </row>
    <row r="891">
      <c r="A891" s="12" t="str">
        <f>IFERROR(__xludf.DUMMYFUNCTION("""COMPUTED_VALUE"""),"a0lVT000006O9ZlYAK")</f>
        <v>a0lVT000006O9ZlYAK</v>
      </c>
      <c r="B891" s="12" t="str">
        <f>IFERROR(__xludf.DUMMYFUNCTION("""COMPUTED_VALUE"""),"a0rVT00001DXHBlYAP")</f>
        <v>a0rVT00001DXHBlYAP</v>
      </c>
      <c r="C891" s="12" t="str">
        <f>IFERROR(__xludf.DUMMYFUNCTION("""COMPUTED_VALUE"""),"0034X00003EtGr8QAF")</f>
        <v>0034X00003EtGr8QAF</v>
      </c>
      <c r="D891" s="12" t="str">
        <f>IFERROR(__xludf.DUMMYFUNCTION("""COMPUTED_VALUE"""),"Aaron Barnes")</f>
        <v>Aaron Barnes</v>
      </c>
      <c r="E891" s="12" t="str">
        <f>IFERROR(__xludf.DUMMYFUNCTION("""COMPUTED_VALUE"""),"aaron.barnes@workday.com")</f>
        <v>aaron.barnes@workday.com</v>
      </c>
      <c r="F891" s="12" t="str">
        <f>IFERROR(__xludf.DUMMYFUNCTION("""COMPUTED_VALUE"""),"Engagement Manager [Primary]")</f>
        <v>Engagement Manager [Primary]</v>
      </c>
    </row>
    <row r="892">
      <c r="A892" s="12" t="str">
        <f>IFERROR(__xludf.DUMMYFUNCTION("""COMPUTED_VALUE"""),"a0lVT000006QlO2YAK")</f>
        <v>a0lVT000006QlO2YAK</v>
      </c>
      <c r="B892" s="12" t="str">
        <f>IFERROR(__xludf.DUMMYFUNCTION("""COMPUTED_VALUE"""),"a0rVT00001DXHDNYA5")</f>
        <v>a0rVT00001DXHDNYA5</v>
      </c>
      <c r="C892" s="12" t="str">
        <f>IFERROR(__xludf.DUMMYFUNCTION("""COMPUTED_VALUE"""),"003VT00000wxA0QYAU")</f>
        <v>003VT00000wxA0QYAU</v>
      </c>
      <c r="D892" s="12" t="str">
        <f>IFERROR(__xludf.DUMMYFUNCTION("""COMPUTED_VALUE"""),"Emily Timm")</f>
        <v>Emily Timm</v>
      </c>
      <c r="E892" s="12" t="str">
        <f>IFERROR(__xludf.DUMMYFUNCTION("""COMPUTED_VALUE"""),"etimm@procarehr.com")</f>
        <v>etimm@procarehr.com</v>
      </c>
      <c r="F892" s="12" t="str">
        <f>IFERROR(__xludf.DUMMYFUNCTION("""COMPUTED_VALUE"""),"Project Manager [Customer]")</f>
        <v>Project Manager [Customer]</v>
      </c>
    </row>
    <row r="893">
      <c r="A893" s="12" t="str">
        <f>IFERROR(__xludf.DUMMYFUNCTION("""COMPUTED_VALUE"""),"a0lVT000006QlO1YAK")</f>
        <v>a0lVT000006QlO1YAK</v>
      </c>
      <c r="B893" s="12" t="str">
        <f>IFERROR(__xludf.DUMMYFUNCTION("""COMPUTED_VALUE"""),"a0rVT00001DXHDNYA5")</f>
        <v>a0rVT00001DXHDNYA5</v>
      </c>
      <c r="C893" s="12" t="str">
        <f>IFERROR(__xludf.DUMMYFUNCTION("""COMPUTED_VALUE"""),"003VT00000wxA0QYAU")</f>
        <v>003VT00000wxA0QYAU</v>
      </c>
      <c r="D893" s="12" t="str">
        <f>IFERROR(__xludf.DUMMYFUNCTION("""COMPUTED_VALUE"""),"Emily Timm")</f>
        <v>Emily Timm</v>
      </c>
      <c r="E893" s="12" t="str">
        <f>IFERROR(__xludf.DUMMYFUNCTION("""COMPUTED_VALUE"""),"etimm@procarehr.com")</f>
        <v>etimm@procarehr.com</v>
      </c>
      <c r="F893" s="12" t="str">
        <f>IFERROR(__xludf.DUMMYFUNCTION("""COMPUTED_VALUE"""),"Executive Sponsor")</f>
        <v>Executive Sponsor</v>
      </c>
    </row>
    <row r="894">
      <c r="A894" s="12" t="str">
        <f>IFERROR(__xludf.DUMMYFUNCTION("""COMPUTED_VALUE"""),"a0lVT000006O78BYAS")</f>
        <v>a0lVT000006O78BYAS</v>
      </c>
      <c r="B894" s="12" t="str">
        <f>IFERROR(__xludf.DUMMYFUNCTION("""COMPUTED_VALUE"""),"a0rVT00001DXHDNYA5")</f>
        <v>a0rVT00001DXHDNYA5</v>
      </c>
      <c r="C894" s="12" t="str">
        <f>IFERROR(__xludf.DUMMYFUNCTION("""COMPUTED_VALUE"""),"0034X00003EtGr8QAF")</f>
        <v>0034X00003EtGr8QAF</v>
      </c>
      <c r="D894" s="12" t="str">
        <f>IFERROR(__xludf.DUMMYFUNCTION("""COMPUTED_VALUE"""),"Aaron Barnes")</f>
        <v>Aaron Barnes</v>
      </c>
      <c r="E894" s="12" t="str">
        <f>IFERROR(__xludf.DUMMYFUNCTION("""COMPUTED_VALUE"""),"aaron.barnes@workday.com")</f>
        <v>aaron.barnes@workday.com</v>
      </c>
      <c r="F894" s="12" t="str">
        <f>IFERROR(__xludf.DUMMYFUNCTION("""COMPUTED_VALUE"""),"Deployment Sponsor")</f>
        <v>Deployment Sponsor</v>
      </c>
    </row>
    <row r="895">
      <c r="A895" s="12" t="str">
        <f>IFERROR(__xludf.DUMMYFUNCTION("""COMPUTED_VALUE"""),"a0lVT000006QlB7YAK")</f>
        <v>a0lVT000006QlB7YAK</v>
      </c>
      <c r="B895" s="12" t="str">
        <f>IFERROR(__xludf.DUMMYFUNCTION("""COMPUTED_VALUE"""),"a0rVT00001DXHDNYA5")</f>
        <v>a0rVT00001DXHDNYA5</v>
      </c>
      <c r="C895" s="12" t="str">
        <f>IFERROR(__xludf.DUMMYFUNCTION("""COMPUTED_VALUE"""),"003VT00000fcCgUYAU")</f>
        <v>003VT00000fcCgUYAU</v>
      </c>
      <c r="D895" s="12" t="str">
        <f>IFERROR(__xludf.DUMMYFUNCTION("""COMPUTED_VALUE"""),"Jordan DePaolis")</f>
        <v>Jordan DePaolis</v>
      </c>
      <c r="E895" s="12" t="str">
        <f>IFERROR(__xludf.DUMMYFUNCTION("""COMPUTED_VALUE"""),"jordan.depaolis@workday.com")</f>
        <v>jordan.depaolis@workday.com</v>
      </c>
      <c r="F895" s="12" t="str">
        <f>IFERROR(__xludf.DUMMYFUNCTION("""COMPUTED_VALUE"""),"Engagement Manager [Primary]")</f>
        <v>Engagement Manager [Primary]</v>
      </c>
    </row>
    <row r="896">
      <c r="A896" s="12" t="str">
        <f>IFERROR(__xludf.DUMMYFUNCTION("""COMPUTED_VALUE"""),"a0lVT000006QWdVYAW")</f>
        <v>a0lVT000006QWdVYAW</v>
      </c>
      <c r="B896" s="12" t="str">
        <f>IFERROR(__xludf.DUMMYFUNCTION("""COMPUTED_VALUE"""),"a0rVT00001DjGv4YAF")</f>
        <v>a0rVT00001DjGv4YAF</v>
      </c>
      <c r="C896" s="12" t="str">
        <f>IFERROR(__xludf.DUMMYFUNCTION("""COMPUTED_VALUE"""),"0038000002KQrrlAAD")</f>
        <v>0038000002KQrrlAAD</v>
      </c>
      <c r="D896" s="12" t="str">
        <f>IFERROR(__xludf.DUMMYFUNCTION("""COMPUTED_VALUE"""),"Anna Ho")</f>
        <v>Anna Ho</v>
      </c>
      <c r="E896" s="12" t="str">
        <f>IFERROR(__xludf.DUMMYFUNCTION("""COMPUTED_VALUE"""),"anna.ho@esfcentre.edu.hk")</f>
        <v>anna.ho@esfcentre.edu.hk</v>
      </c>
      <c r="F896" s="12" t="str">
        <f>IFERROR(__xludf.DUMMYFUNCTION("""COMPUTED_VALUE"""),"Project Manager [Customer]")</f>
        <v>Project Manager [Customer]</v>
      </c>
    </row>
    <row r="897">
      <c r="A897" s="12" t="str">
        <f>IFERROR(__xludf.DUMMYFUNCTION("""COMPUTED_VALUE"""),"a0lVT000006QWdXYAW")</f>
        <v>a0lVT000006QWdXYAW</v>
      </c>
      <c r="B897" s="12" t="str">
        <f>IFERROR(__xludf.DUMMYFUNCTION("""COMPUTED_VALUE"""),"a0rVT00001DjGv4YAF")</f>
        <v>a0rVT00001DjGv4YAF</v>
      </c>
      <c r="C897" s="12" t="str">
        <f>IFERROR(__xludf.DUMMYFUNCTION("""COMPUTED_VALUE"""),"0038000001O7ofOAAR")</f>
        <v>0038000001O7ofOAAR</v>
      </c>
      <c r="D897" s="12" t="str">
        <f>IFERROR(__xludf.DUMMYFUNCTION("""COMPUTED_VALUE"""),"Lawrence Liang")</f>
        <v>Lawrence Liang</v>
      </c>
      <c r="E897" s="12" t="str">
        <f>IFERROR(__xludf.DUMMYFUNCTION("""COMPUTED_VALUE"""),"lawrence.liang@workday.com")</f>
        <v>lawrence.liang@workday.com</v>
      </c>
      <c r="F897" s="12" t="str">
        <f>IFERROR(__xludf.DUMMYFUNCTION("""COMPUTED_VALUE"""),"Deployment Sponsor")</f>
        <v>Deployment Sponsor</v>
      </c>
    </row>
    <row r="898">
      <c r="A898" s="12" t="str">
        <f>IFERROR(__xludf.DUMMYFUNCTION("""COMPUTED_VALUE"""),"a0lVT000006QWdWYAW")</f>
        <v>a0lVT000006QWdWYAW</v>
      </c>
      <c r="B898" s="12" t="str">
        <f>IFERROR(__xludf.DUMMYFUNCTION("""COMPUTED_VALUE"""),"a0rVT00001DjGv4YAF")</f>
        <v>a0rVT00001DjGv4YAF</v>
      </c>
      <c r="C898" s="12" t="str">
        <f>IFERROR(__xludf.DUMMYFUNCTION("""COMPUTED_VALUE"""),"0034X00003PBZRwQAP")</f>
        <v>0034X00003PBZRwQAP</v>
      </c>
      <c r="D898" s="12" t="str">
        <f>IFERROR(__xludf.DUMMYFUNCTION("""COMPUTED_VALUE"""),"Kunal Mulchandani")</f>
        <v>Kunal Mulchandani</v>
      </c>
      <c r="E898" s="12" t="str">
        <f>IFERROR(__xludf.DUMMYFUNCTION("""COMPUTED_VALUE"""),"kunal.mulchandani@esfcentre.edu.hk")</f>
        <v>kunal.mulchandani@esfcentre.edu.hk</v>
      </c>
      <c r="F898" s="12" t="str">
        <f>IFERROR(__xludf.DUMMYFUNCTION("""COMPUTED_VALUE"""),"Executive Sponsor")</f>
        <v>Executive Sponsor</v>
      </c>
    </row>
    <row r="899">
      <c r="A899" s="12" t="str">
        <f>IFERROR(__xludf.DUMMYFUNCTION("""COMPUTED_VALUE"""),"a0lVT000006OojNYAS")</f>
        <v>a0lVT000006OojNYAS</v>
      </c>
      <c r="B899" s="12" t="str">
        <f>IFERROR(__xludf.DUMMYFUNCTION("""COMPUTED_VALUE"""),"a0rVT00001DjGv4YAF")</f>
        <v>a0rVT00001DjGv4YAF</v>
      </c>
      <c r="C899" s="12" t="str">
        <f>IFERROR(__xludf.DUMMYFUNCTION("""COMPUTED_VALUE"""),"003VT00000NY7BXYA1")</f>
        <v>003VT00000NY7BXYA1</v>
      </c>
      <c r="D899" s="12" t="str">
        <f>IFERROR(__xludf.DUMMYFUNCTION("""COMPUTED_VALUE"""),"Geeta Kumari")</f>
        <v>Geeta Kumari</v>
      </c>
      <c r="E899" s="12" t="str">
        <f>IFERROR(__xludf.DUMMYFUNCTION("""COMPUTED_VALUE"""),"geeta.kumari@workday.com")</f>
        <v>geeta.kumari@workday.com</v>
      </c>
      <c r="F899" s="12" t="str">
        <f>IFERROR(__xludf.DUMMYFUNCTION("""COMPUTED_VALUE"""),"Engagement Manager [Primary]")</f>
        <v>Engagement Manager [Primary]</v>
      </c>
    </row>
    <row r="900">
      <c r="A900" s="12" t="str">
        <f>IFERROR(__xludf.DUMMYFUNCTION("""COMPUTED_VALUE"""),"a0lVT000006PWFlYAO")</f>
        <v>a0lVT000006PWFlYAO</v>
      </c>
      <c r="B900" s="12" t="str">
        <f>IFERROR(__xludf.DUMMYFUNCTION("""COMPUTED_VALUE"""),"a0rVT00001DjGv4YAF")</f>
        <v>a0rVT00001DjGv4YAF</v>
      </c>
      <c r="C900" s="12" t="str">
        <f>IFERROR(__xludf.DUMMYFUNCTION("""COMPUTED_VALUE"""),"0034X00003BlszbQAB")</f>
        <v>0034X00003BlszbQAB</v>
      </c>
      <c r="D900" s="12" t="str">
        <f>IFERROR(__xludf.DUMMYFUNCTION("""COMPUTED_VALUE"""),"Bobo Ching")</f>
        <v>Bobo Ching</v>
      </c>
      <c r="E900" s="12" t="str">
        <f>IFERROR(__xludf.DUMMYFUNCTION("""COMPUTED_VALUE"""),"bobo.ching@workday.com")</f>
        <v>bobo.ching@workday.com</v>
      </c>
      <c r="F900" s="12" t="str">
        <f>IFERROR(__xludf.DUMMYFUNCTION("""COMPUTED_VALUE"""),"Engagement Manager [Primary]")</f>
        <v>Engagement Manager [Primary]</v>
      </c>
    </row>
  </sheetData>
  <hyperlinks>
    <hyperlink r:id="rId1" ref="D1"/>
    <hyperlink r:id="rId2" ref="D478"/>
  </hyperlinks>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18.88"/>
  </cols>
  <sheetData>
    <row r="1">
      <c r="A1" s="2" t="s">
        <v>15294</v>
      </c>
      <c r="B1" s="2" t="s">
        <v>15295</v>
      </c>
      <c r="C1" s="2" t="s">
        <v>15296</v>
      </c>
      <c r="D1" s="2" t="s">
        <v>124</v>
      </c>
      <c r="E1" s="1" t="s">
        <v>15298</v>
      </c>
      <c r="F1" s="14"/>
      <c r="G1" s="14"/>
      <c r="H1" s="14"/>
      <c r="I1" s="14"/>
      <c r="J1" s="14"/>
      <c r="K1" s="14"/>
      <c r="L1" s="14"/>
      <c r="M1" s="14"/>
      <c r="N1" s="14"/>
      <c r="O1" s="14"/>
      <c r="P1" s="14"/>
      <c r="Q1" s="14"/>
      <c r="R1" s="14"/>
      <c r="S1" s="14"/>
      <c r="T1" s="14"/>
      <c r="U1" s="14"/>
      <c r="V1" s="14"/>
      <c r="W1" s="14"/>
      <c r="X1" s="14"/>
      <c r="Y1" s="14"/>
      <c r="Z1" s="14"/>
    </row>
    <row r="2">
      <c r="A2" s="4" t="s">
        <v>3185</v>
      </c>
      <c r="B2" s="1" t="s">
        <v>15301</v>
      </c>
      <c r="C2" s="1" t="s">
        <v>15302</v>
      </c>
      <c r="D2" s="1" t="b">
        <v>1</v>
      </c>
      <c r="E2" s="1" t="s">
        <v>15303</v>
      </c>
    </row>
    <row r="3">
      <c r="A3" s="15" t="s">
        <v>15305</v>
      </c>
      <c r="B3" s="15" t="s">
        <v>15306</v>
      </c>
      <c r="C3" s="15" t="s">
        <v>15302</v>
      </c>
      <c r="D3" s="16" t="b">
        <v>1</v>
      </c>
      <c r="E3" s="15" t="s">
        <v>15303</v>
      </c>
    </row>
    <row r="4">
      <c r="A4" s="15" t="s">
        <v>15307</v>
      </c>
      <c r="B4" s="15" t="s">
        <v>15308</v>
      </c>
      <c r="C4" s="15" t="s">
        <v>15302</v>
      </c>
      <c r="D4" s="16" t="b">
        <v>1</v>
      </c>
      <c r="E4" s="15" t="s">
        <v>15303</v>
      </c>
    </row>
    <row r="5">
      <c r="A5" s="1" t="s">
        <v>12559</v>
      </c>
      <c r="B5" s="1" t="s">
        <v>12558</v>
      </c>
      <c r="C5" s="1" t="s">
        <v>15302</v>
      </c>
      <c r="D5" s="1" t="b">
        <v>1</v>
      </c>
      <c r="E5" s="1" t="s">
        <v>15303</v>
      </c>
    </row>
    <row r="6">
      <c r="A6" s="1" t="s">
        <v>12587</v>
      </c>
      <c r="B6" s="1" t="s">
        <v>15311</v>
      </c>
      <c r="C6" s="1" t="s">
        <v>15302</v>
      </c>
      <c r="D6" s="1" t="b">
        <v>1</v>
      </c>
      <c r="E6" s="1" t="s">
        <v>15303</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13"/>
    <col customWidth="1" min="2" max="2" width="31.25"/>
  </cols>
  <sheetData>
    <row r="1">
      <c r="A1" s="17" t="s">
        <v>15386</v>
      </c>
      <c r="B1" s="17" t="s">
        <v>15388</v>
      </c>
      <c r="C1" s="17" t="s">
        <v>124</v>
      </c>
      <c r="D1" s="14"/>
      <c r="E1" s="14"/>
      <c r="F1" s="14"/>
      <c r="G1" s="14"/>
      <c r="H1" s="14"/>
      <c r="I1" s="14"/>
      <c r="J1" s="14"/>
      <c r="K1" s="14"/>
      <c r="L1" s="14"/>
      <c r="M1" s="14"/>
      <c r="N1" s="14"/>
      <c r="O1" s="14"/>
      <c r="P1" s="14"/>
      <c r="Q1" s="14"/>
      <c r="R1" s="14"/>
      <c r="S1" s="14"/>
      <c r="T1" s="14"/>
      <c r="U1" s="14"/>
      <c r="V1" s="14"/>
      <c r="W1" s="14"/>
      <c r="X1" s="14"/>
      <c r="Y1" s="14"/>
      <c r="Z1" s="14"/>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0.13"/>
  </cols>
  <sheetData>
    <row r="1">
      <c r="A1" s="18" t="s">
        <v>1950</v>
      </c>
      <c r="B1" s="2" t="s">
        <v>15465</v>
      </c>
      <c r="C1" s="2" t="s">
        <v>15466</v>
      </c>
      <c r="D1" s="2" t="s">
        <v>15467</v>
      </c>
      <c r="E1" s="2" t="s">
        <v>15468</v>
      </c>
      <c r="F1" s="2" t="s">
        <v>15386</v>
      </c>
      <c r="G1" s="2" t="s">
        <v>15469</v>
      </c>
      <c r="H1" s="19" t="s">
        <v>15470</v>
      </c>
      <c r="I1" s="19" t="s">
        <v>15472</v>
      </c>
      <c r="J1" s="2" t="s">
        <v>15473</v>
      </c>
      <c r="K1" s="14"/>
      <c r="L1" s="14"/>
      <c r="M1" s="14"/>
      <c r="N1" s="14"/>
      <c r="O1" s="14"/>
      <c r="P1" s="14"/>
      <c r="Q1" s="14"/>
      <c r="R1" s="14"/>
      <c r="S1" s="14"/>
      <c r="T1" s="14"/>
      <c r="U1" s="14"/>
      <c r="V1" s="14"/>
      <c r="W1" s="14"/>
      <c r="X1" s="14"/>
      <c r="Y1" s="14"/>
      <c r="Z1" s="14"/>
    </row>
    <row r="2">
      <c r="A2" s="11">
        <v>46275.853649502315</v>
      </c>
      <c r="B2" s="1" t="s">
        <v>3185</v>
      </c>
      <c r="C2" s="1" t="s">
        <v>15476</v>
      </c>
      <c r="D2" s="1" t="s">
        <v>15477</v>
      </c>
      <c r="E2" s="1" t="s">
        <v>1139</v>
      </c>
      <c r="F2" s="1" t="s">
        <v>1141</v>
      </c>
      <c r="G2" s="1" t="s">
        <v>15478</v>
      </c>
      <c r="H2" s="20" t="s">
        <v>15479</v>
      </c>
      <c r="I2" s="20" t="s">
        <v>15480</v>
      </c>
    </row>
    <row r="3">
      <c r="A3" s="11">
        <v>46275.85409100694</v>
      </c>
      <c r="B3" s="1" t="s">
        <v>3185</v>
      </c>
      <c r="C3" s="1" t="s">
        <v>15476</v>
      </c>
      <c r="D3" s="1" t="s">
        <v>15477</v>
      </c>
      <c r="E3" s="1" t="s">
        <v>2279</v>
      </c>
      <c r="F3" s="1" t="s">
        <v>2649</v>
      </c>
      <c r="H3" s="20" t="s">
        <v>15479</v>
      </c>
      <c r="I3" s="20" t="s">
        <v>15479</v>
      </c>
    </row>
    <row r="4">
      <c r="A4" s="11">
        <v>46276.40348097222</v>
      </c>
      <c r="B4" s="1" t="s">
        <v>3185</v>
      </c>
      <c r="C4" s="1" t="s">
        <v>15483</v>
      </c>
      <c r="D4" s="1" t="s">
        <v>15477</v>
      </c>
      <c r="E4" s="1" t="s">
        <v>2279</v>
      </c>
      <c r="F4" s="1" t="s">
        <v>2649</v>
      </c>
      <c r="G4" s="1" t="s">
        <v>15484</v>
      </c>
      <c r="H4" s="20" t="s">
        <v>15485</v>
      </c>
      <c r="I4" s="20" t="s">
        <v>15479</v>
      </c>
    </row>
    <row r="5">
      <c r="A5" s="11">
        <v>46276.403485601855</v>
      </c>
      <c r="B5" s="1" t="s">
        <v>3185</v>
      </c>
      <c r="C5" s="1" t="s">
        <v>15483</v>
      </c>
      <c r="D5" s="1" t="s">
        <v>15477</v>
      </c>
      <c r="E5" s="1" t="s">
        <v>1139</v>
      </c>
      <c r="F5" s="1" t="s">
        <v>1141</v>
      </c>
      <c r="G5" s="1" t="s">
        <v>15484</v>
      </c>
      <c r="H5" s="20" t="s">
        <v>15480</v>
      </c>
      <c r="I5" s="20" t="s">
        <v>15479</v>
      </c>
    </row>
    <row r="6">
      <c r="A6" s="11">
        <v>46279.44161435185</v>
      </c>
      <c r="B6" s="1" t="s">
        <v>3185</v>
      </c>
      <c r="C6" s="1" t="s">
        <v>15476</v>
      </c>
      <c r="D6" s="1" t="s">
        <v>15477</v>
      </c>
      <c r="E6" s="1" t="s">
        <v>1139</v>
      </c>
      <c r="F6" s="1" t="s">
        <v>1141</v>
      </c>
      <c r="G6" s="1" t="s">
        <v>15488</v>
      </c>
      <c r="H6" s="20" t="s">
        <v>15479</v>
      </c>
      <c r="I6" s="20" t="s">
        <v>15489</v>
      </c>
    </row>
    <row r="7">
      <c r="A7" s="11"/>
      <c r="H7" s="20"/>
      <c r="I7" s="20"/>
    </row>
    <row r="8">
      <c r="A8" s="11"/>
      <c r="H8" s="20"/>
      <c r="I8" s="20"/>
    </row>
    <row r="9">
      <c r="A9" s="11"/>
      <c r="H9" s="20"/>
      <c r="I9" s="20"/>
    </row>
    <row r="10">
      <c r="A10" s="11"/>
      <c r="H10" s="20"/>
      <c r="I10" s="20"/>
    </row>
    <row r="11">
      <c r="A11" s="11"/>
      <c r="H11" s="20"/>
      <c r="I11" s="20"/>
    </row>
    <row r="12">
      <c r="A12" s="11"/>
      <c r="H12" s="20"/>
      <c r="I12" s="20"/>
    </row>
    <row r="13">
      <c r="A13" s="11"/>
      <c r="H13" s="20"/>
      <c r="I13" s="20"/>
    </row>
    <row r="14">
      <c r="A14" s="11"/>
      <c r="H14" s="20"/>
      <c r="I14" s="20"/>
    </row>
    <row r="15">
      <c r="A15" s="11"/>
      <c r="H15" s="20"/>
      <c r="I15" s="20"/>
    </row>
    <row r="16">
      <c r="A16" s="11"/>
      <c r="H16" s="20"/>
      <c r="I16" s="20"/>
    </row>
    <row r="17">
      <c r="A17" s="11"/>
      <c r="H17" s="20"/>
      <c r="I17" s="20"/>
    </row>
    <row r="18">
      <c r="A18" s="11"/>
      <c r="H18" s="20"/>
      <c r="I18" s="20"/>
    </row>
    <row r="19">
      <c r="A19" s="11"/>
      <c r="H19" s="20"/>
      <c r="I19" s="20"/>
    </row>
    <row r="20">
      <c r="A20" s="11"/>
      <c r="H20" s="20"/>
      <c r="I20" s="20"/>
    </row>
    <row r="21">
      <c r="A21" s="11"/>
      <c r="H21" s="20"/>
      <c r="I21" s="20"/>
    </row>
    <row r="22">
      <c r="A22" s="11"/>
      <c r="H22" s="20"/>
      <c r="I22" s="20"/>
    </row>
    <row r="23">
      <c r="A23" s="11"/>
      <c r="H23" s="20"/>
      <c r="I23" s="20"/>
    </row>
    <row r="24">
      <c r="A24" s="11"/>
      <c r="H24" s="20"/>
      <c r="I24" s="20"/>
    </row>
    <row r="25">
      <c r="A25" s="11"/>
      <c r="H25" s="20"/>
      <c r="I25" s="20"/>
    </row>
    <row r="26">
      <c r="A26" s="11"/>
      <c r="H26" s="20"/>
      <c r="I26" s="20"/>
    </row>
    <row r="27">
      <c r="A27" s="11"/>
      <c r="H27" s="20"/>
      <c r="I27" s="20"/>
    </row>
    <row r="28">
      <c r="A28" s="11"/>
      <c r="H28" s="20"/>
      <c r="I28" s="20"/>
    </row>
    <row r="29">
      <c r="A29" s="11"/>
      <c r="H29" s="20"/>
      <c r="I29" s="20"/>
    </row>
    <row r="30">
      <c r="A30" s="11"/>
      <c r="H30" s="20"/>
      <c r="I30" s="20"/>
    </row>
    <row r="31">
      <c r="A31" s="11"/>
      <c r="H31" s="20"/>
      <c r="I31" s="20"/>
    </row>
    <row r="32">
      <c r="A32" s="11"/>
      <c r="H32" s="20"/>
      <c r="I32" s="20"/>
    </row>
    <row r="33">
      <c r="A33" s="11"/>
      <c r="H33" s="20"/>
      <c r="I33" s="20"/>
    </row>
    <row r="34">
      <c r="A34" s="11"/>
      <c r="H34" s="20"/>
      <c r="I34" s="20"/>
    </row>
    <row r="35">
      <c r="A35" s="11"/>
      <c r="H35" s="20"/>
      <c r="I35" s="20"/>
    </row>
    <row r="36">
      <c r="A36" s="11"/>
      <c r="H36" s="20"/>
      <c r="I36" s="20"/>
    </row>
    <row r="37">
      <c r="A37" s="11"/>
      <c r="H37" s="20"/>
      <c r="I37" s="20"/>
    </row>
    <row r="38">
      <c r="A38" s="11"/>
      <c r="H38" s="20"/>
      <c r="I38" s="20"/>
    </row>
    <row r="39">
      <c r="A39" s="11"/>
      <c r="H39" s="20"/>
      <c r="I39" s="20"/>
    </row>
    <row r="40">
      <c r="A40" s="11"/>
      <c r="H40" s="20"/>
      <c r="I40" s="20"/>
    </row>
    <row r="41">
      <c r="A41" s="11"/>
      <c r="H41" s="20"/>
      <c r="I41" s="20"/>
    </row>
    <row r="42">
      <c r="A42" s="11"/>
      <c r="H42" s="20"/>
      <c r="I42" s="20"/>
    </row>
    <row r="43">
      <c r="A43" s="11"/>
      <c r="H43" s="20"/>
      <c r="I43" s="20"/>
    </row>
    <row r="44">
      <c r="A44" s="11"/>
      <c r="H44" s="20"/>
      <c r="I44" s="20"/>
    </row>
    <row r="45">
      <c r="A45" s="11"/>
      <c r="H45" s="20"/>
      <c r="I45" s="20"/>
    </row>
    <row r="46">
      <c r="A46" s="11"/>
      <c r="H46" s="20"/>
      <c r="I46" s="20"/>
    </row>
    <row r="47">
      <c r="A47" s="11"/>
      <c r="H47" s="20"/>
      <c r="I47" s="20"/>
    </row>
    <row r="48">
      <c r="A48" s="11"/>
      <c r="H48" s="20"/>
      <c r="I48" s="20"/>
    </row>
    <row r="49">
      <c r="A49" s="11"/>
      <c r="H49" s="20"/>
      <c r="I49" s="20"/>
    </row>
    <row r="50">
      <c r="A50" s="11"/>
      <c r="H50" s="20"/>
      <c r="I50" s="20"/>
    </row>
    <row r="51">
      <c r="A51" s="11"/>
      <c r="H51" s="20"/>
      <c r="I51" s="20"/>
    </row>
    <row r="52">
      <c r="A52" s="11"/>
      <c r="H52" s="20"/>
      <c r="I52" s="20"/>
    </row>
    <row r="53">
      <c r="A53" s="11"/>
      <c r="H53" s="20"/>
      <c r="I53" s="20"/>
    </row>
    <row r="54">
      <c r="A54" s="11"/>
      <c r="H54" s="20"/>
      <c r="I54" s="20"/>
    </row>
    <row r="55">
      <c r="A55" s="11"/>
      <c r="H55" s="20"/>
      <c r="I55" s="20"/>
    </row>
    <row r="56">
      <c r="A56" s="11"/>
      <c r="H56" s="20"/>
      <c r="I56" s="20"/>
    </row>
    <row r="57">
      <c r="A57" s="11"/>
      <c r="H57" s="20"/>
      <c r="I57" s="20"/>
    </row>
    <row r="58">
      <c r="A58" s="11"/>
      <c r="H58" s="20"/>
      <c r="I58" s="20"/>
    </row>
    <row r="59">
      <c r="A59" s="11"/>
      <c r="H59" s="20"/>
      <c r="I59" s="20"/>
    </row>
    <row r="60">
      <c r="A60" s="11"/>
      <c r="H60" s="20"/>
      <c r="I60" s="20"/>
    </row>
    <row r="61">
      <c r="A61" s="11"/>
      <c r="H61" s="20"/>
      <c r="I61" s="20"/>
    </row>
    <row r="62">
      <c r="A62" s="11"/>
      <c r="H62" s="20"/>
      <c r="I62" s="20"/>
    </row>
    <row r="63">
      <c r="A63" s="11"/>
      <c r="H63" s="20"/>
      <c r="I63" s="20"/>
    </row>
    <row r="64">
      <c r="A64" s="21"/>
      <c r="H64" s="22"/>
      <c r="I64" s="22"/>
    </row>
    <row r="65">
      <c r="A65" s="21"/>
      <c r="H65" s="22"/>
      <c r="I65" s="22"/>
    </row>
    <row r="66">
      <c r="A66" s="21"/>
      <c r="H66" s="22"/>
      <c r="I66" s="22"/>
    </row>
    <row r="67">
      <c r="A67" s="21"/>
      <c r="H67" s="22"/>
      <c r="I67" s="22"/>
    </row>
    <row r="68">
      <c r="A68" s="21"/>
      <c r="H68" s="22"/>
      <c r="I68" s="22"/>
    </row>
    <row r="69">
      <c r="A69" s="21"/>
      <c r="H69" s="22"/>
      <c r="I69" s="22"/>
    </row>
    <row r="70">
      <c r="A70" s="21"/>
      <c r="H70" s="22"/>
      <c r="I70" s="22"/>
    </row>
    <row r="71">
      <c r="A71" s="21"/>
      <c r="H71" s="22"/>
      <c r="I71" s="22"/>
    </row>
    <row r="72">
      <c r="A72" s="21"/>
      <c r="H72" s="22"/>
      <c r="I72" s="22"/>
    </row>
    <row r="73">
      <c r="A73" s="21"/>
      <c r="H73" s="22"/>
      <c r="I73" s="22"/>
    </row>
    <row r="74">
      <c r="A74" s="21"/>
      <c r="H74" s="22"/>
      <c r="I74" s="22"/>
    </row>
    <row r="75">
      <c r="A75" s="21"/>
      <c r="H75" s="22"/>
      <c r="I75" s="22"/>
    </row>
    <row r="76">
      <c r="A76" s="21"/>
      <c r="H76" s="22"/>
      <c r="I76" s="22"/>
    </row>
    <row r="77">
      <c r="A77" s="21"/>
      <c r="H77" s="22"/>
      <c r="I77" s="22"/>
    </row>
    <row r="78">
      <c r="A78" s="21"/>
      <c r="H78" s="22"/>
      <c r="I78" s="22"/>
    </row>
    <row r="79">
      <c r="A79" s="21"/>
      <c r="H79" s="22"/>
      <c r="I79" s="22"/>
    </row>
    <row r="80">
      <c r="A80" s="21"/>
      <c r="H80" s="22"/>
      <c r="I80" s="22"/>
    </row>
    <row r="81">
      <c r="A81" s="21"/>
      <c r="H81" s="22"/>
      <c r="I81" s="22"/>
    </row>
    <row r="82">
      <c r="A82" s="21"/>
      <c r="H82" s="22"/>
      <c r="I82" s="22"/>
    </row>
    <row r="83">
      <c r="A83" s="21"/>
      <c r="H83" s="22"/>
      <c r="I83" s="22"/>
    </row>
    <row r="84">
      <c r="A84" s="21"/>
      <c r="H84" s="22"/>
      <c r="I84" s="22"/>
    </row>
    <row r="85">
      <c r="A85" s="21"/>
      <c r="H85" s="22"/>
      <c r="I85" s="22"/>
    </row>
    <row r="86">
      <c r="A86" s="21"/>
      <c r="H86" s="22"/>
      <c r="I86" s="22"/>
    </row>
    <row r="87">
      <c r="A87" s="21"/>
      <c r="H87" s="22"/>
      <c r="I87" s="22"/>
    </row>
    <row r="88">
      <c r="A88" s="21"/>
      <c r="H88" s="22"/>
      <c r="I88" s="22"/>
    </row>
    <row r="89">
      <c r="A89" s="21"/>
      <c r="H89" s="22"/>
      <c r="I89" s="22"/>
    </row>
    <row r="90">
      <c r="A90" s="21"/>
      <c r="H90" s="22"/>
      <c r="I90" s="22"/>
    </row>
    <row r="91">
      <c r="A91" s="21"/>
      <c r="H91" s="22"/>
      <c r="I91" s="22"/>
    </row>
    <row r="92">
      <c r="A92" s="21"/>
      <c r="H92" s="22"/>
      <c r="I92" s="22"/>
    </row>
    <row r="93">
      <c r="A93" s="21"/>
      <c r="H93" s="22"/>
      <c r="I93" s="22"/>
    </row>
    <row r="94">
      <c r="A94" s="21"/>
      <c r="H94" s="22"/>
      <c r="I94" s="22"/>
    </row>
    <row r="95">
      <c r="A95" s="21"/>
      <c r="H95" s="22"/>
      <c r="I95" s="22"/>
    </row>
    <row r="96">
      <c r="A96" s="21"/>
      <c r="H96" s="22"/>
      <c r="I96" s="22"/>
    </row>
    <row r="97">
      <c r="A97" s="21"/>
      <c r="H97" s="22"/>
      <c r="I97" s="22"/>
    </row>
    <row r="98">
      <c r="A98" s="21"/>
      <c r="H98" s="22"/>
      <c r="I98" s="22"/>
    </row>
    <row r="99">
      <c r="A99" s="21"/>
      <c r="H99" s="22"/>
      <c r="I99" s="22"/>
    </row>
    <row r="100">
      <c r="A100" s="21"/>
      <c r="H100" s="22"/>
      <c r="I100" s="22"/>
    </row>
    <row r="101">
      <c r="A101" s="21"/>
      <c r="H101" s="22"/>
      <c r="I101" s="22"/>
    </row>
    <row r="102">
      <c r="A102" s="21"/>
      <c r="H102" s="22"/>
      <c r="I102" s="22"/>
    </row>
    <row r="103">
      <c r="A103" s="21"/>
      <c r="H103" s="22"/>
      <c r="I103" s="22"/>
    </row>
    <row r="104">
      <c r="A104" s="21"/>
      <c r="H104" s="22"/>
      <c r="I104" s="22"/>
    </row>
    <row r="105">
      <c r="A105" s="21"/>
      <c r="H105" s="22"/>
      <c r="I105" s="22"/>
    </row>
    <row r="106">
      <c r="A106" s="21"/>
      <c r="H106" s="22"/>
      <c r="I106" s="22"/>
    </row>
    <row r="107">
      <c r="A107" s="21"/>
      <c r="H107" s="22"/>
      <c r="I107" s="22"/>
    </row>
    <row r="108">
      <c r="A108" s="21"/>
      <c r="H108" s="22"/>
      <c r="I108" s="22"/>
    </row>
    <row r="109">
      <c r="A109" s="21"/>
      <c r="H109" s="22"/>
      <c r="I109" s="22"/>
    </row>
    <row r="110">
      <c r="A110" s="21"/>
      <c r="H110" s="22"/>
      <c r="I110" s="22"/>
    </row>
    <row r="111">
      <c r="A111" s="21"/>
      <c r="H111" s="22"/>
      <c r="I111" s="22"/>
    </row>
    <row r="112">
      <c r="A112" s="21"/>
      <c r="H112" s="22"/>
      <c r="I112" s="22"/>
    </row>
    <row r="113">
      <c r="A113" s="21"/>
      <c r="H113" s="22"/>
      <c r="I113" s="22"/>
    </row>
    <row r="114">
      <c r="A114" s="21"/>
      <c r="H114" s="22"/>
      <c r="I114" s="22"/>
    </row>
    <row r="115">
      <c r="A115" s="21"/>
      <c r="H115" s="22"/>
      <c r="I115" s="22"/>
    </row>
    <row r="116">
      <c r="A116" s="21"/>
      <c r="H116" s="22"/>
      <c r="I116" s="22"/>
    </row>
    <row r="117">
      <c r="A117" s="21"/>
      <c r="H117" s="22"/>
      <c r="I117" s="22"/>
    </row>
    <row r="118">
      <c r="A118" s="21"/>
      <c r="H118" s="22"/>
      <c r="I118" s="22"/>
    </row>
    <row r="119">
      <c r="A119" s="21"/>
      <c r="H119" s="22"/>
      <c r="I119" s="22"/>
    </row>
    <row r="120">
      <c r="A120" s="21"/>
      <c r="H120" s="22"/>
      <c r="I120" s="22"/>
    </row>
    <row r="121">
      <c r="A121" s="21"/>
      <c r="H121" s="22"/>
      <c r="I121" s="22"/>
    </row>
    <row r="122">
      <c r="A122" s="21"/>
      <c r="H122" s="22"/>
      <c r="I122" s="22"/>
    </row>
    <row r="123">
      <c r="A123" s="21"/>
      <c r="H123" s="22"/>
      <c r="I123" s="22"/>
    </row>
    <row r="124">
      <c r="A124" s="21"/>
      <c r="H124" s="22"/>
      <c r="I124" s="22"/>
    </row>
    <row r="125">
      <c r="A125" s="21"/>
      <c r="H125" s="22"/>
      <c r="I125" s="22"/>
    </row>
    <row r="126">
      <c r="A126" s="21"/>
      <c r="H126" s="22"/>
      <c r="I126" s="22"/>
    </row>
    <row r="127">
      <c r="A127" s="21"/>
      <c r="H127" s="22"/>
      <c r="I127" s="22"/>
    </row>
    <row r="128">
      <c r="A128" s="21"/>
      <c r="H128" s="22"/>
      <c r="I128" s="22"/>
    </row>
    <row r="129">
      <c r="A129" s="21"/>
      <c r="H129" s="22"/>
      <c r="I129" s="22"/>
    </row>
    <row r="130">
      <c r="A130" s="21"/>
      <c r="H130" s="22"/>
      <c r="I130" s="22"/>
    </row>
    <row r="131">
      <c r="A131" s="21"/>
      <c r="H131" s="22"/>
      <c r="I131" s="22"/>
    </row>
    <row r="132">
      <c r="A132" s="21"/>
      <c r="H132" s="22"/>
      <c r="I132" s="22"/>
    </row>
    <row r="133">
      <c r="A133" s="21"/>
      <c r="H133" s="22"/>
      <c r="I133" s="22"/>
    </row>
    <row r="134">
      <c r="A134" s="21"/>
      <c r="H134" s="22"/>
      <c r="I134" s="22"/>
    </row>
    <row r="135">
      <c r="A135" s="21"/>
      <c r="H135" s="22"/>
      <c r="I135" s="22"/>
    </row>
    <row r="136">
      <c r="A136" s="21"/>
      <c r="H136" s="22"/>
      <c r="I136" s="22"/>
    </row>
    <row r="137">
      <c r="A137" s="21"/>
      <c r="H137" s="22"/>
      <c r="I137" s="22"/>
    </row>
    <row r="138">
      <c r="A138" s="21"/>
      <c r="H138" s="22"/>
      <c r="I138" s="22"/>
    </row>
    <row r="139">
      <c r="A139" s="21"/>
      <c r="H139" s="22"/>
      <c r="I139" s="22"/>
    </row>
    <row r="140">
      <c r="A140" s="21"/>
      <c r="H140" s="22"/>
      <c r="I140" s="22"/>
    </row>
    <row r="141">
      <c r="A141" s="21"/>
      <c r="H141" s="22"/>
      <c r="I141" s="22"/>
    </row>
    <row r="142">
      <c r="A142" s="21"/>
      <c r="H142" s="22"/>
      <c r="I142" s="22"/>
    </row>
    <row r="143">
      <c r="A143" s="21"/>
      <c r="H143" s="22"/>
      <c r="I143" s="22"/>
    </row>
    <row r="144">
      <c r="A144" s="21"/>
      <c r="H144" s="22"/>
      <c r="I144" s="22"/>
    </row>
    <row r="145">
      <c r="A145" s="21"/>
      <c r="H145" s="22"/>
      <c r="I145" s="22"/>
    </row>
    <row r="146">
      <c r="A146" s="21"/>
      <c r="H146" s="22"/>
      <c r="I146" s="22"/>
    </row>
    <row r="147">
      <c r="A147" s="21"/>
      <c r="H147" s="22"/>
      <c r="I147" s="22"/>
    </row>
    <row r="148">
      <c r="A148" s="21"/>
      <c r="H148" s="22"/>
      <c r="I148" s="22"/>
    </row>
    <row r="149">
      <c r="A149" s="21"/>
      <c r="H149" s="22"/>
      <c r="I149" s="22"/>
    </row>
    <row r="150">
      <c r="A150" s="21"/>
      <c r="H150" s="22"/>
      <c r="I150" s="22"/>
    </row>
    <row r="151">
      <c r="A151" s="21"/>
      <c r="H151" s="22"/>
      <c r="I151" s="22"/>
    </row>
    <row r="152">
      <c r="A152" s="21"/>
      <c r="H152" s="22"/>
      <c r="I152" s="22"/>
    </row>
    <row r="153">
      <c r="A153" s="21"/>
      <c r="H153" s="22"/>
      <c r="I153" s="22"/>
    </row>
    <row r="154">
      <c r="A154" s="21"/>
      <c r="H154" s="22"/>
      <c r="I154" s="22"/>
    </row>
    <row r="155">
      <c r="A155" s="21"/>
      <c r="H155" s="22"/>
      <c r="I155" s="22"/>
    </row>
    <row r="156">
      <c r="A156" s="21"/>
      <c r="H156" s="22"/>
      <c r="I156" s="22"/>
    </row>
    <row r="157">
      <c r="A157" s="21"/>
      <c r="H157" s="22"/>
      <c r="I157" s="22"/>
    </row>
    <row r="158">
      <c r="A158" s="21"/>
      <c r="H158" s="22"/>
      <c r="I158" s="22"/>
    </row>
    <row r="159">
      <c r="A159" s="21"/>
      <c r="H159" s="22"/>
      <c r="I159" s="22"/>
    </row>
    <row r="160">
      <c r="A160" s="21"/>
      <c r="H160" s="22"/>
      <c r="I160" s="22"/>
    </row>
    <row r="161">
      <c r="A161" s="21"/>
      <c r="H161" s="22"/>
      <c r="I161" s="22"/>
    </row>
    <row r="162">
      <c r="A162" s="21"/>
      <c r="H162" s="22"/>
      <c r="I162" s="22"/>
    </row>
    <row r="163">
      <c r="A163" s="21"/>
      <c r="H163" s="22"/>
      <c r="I163" s="22"/>
    </row>
    <row r="164">
      <c r="A164" s="21"/>
      <c r="H164" s="22"/>
      <c r="I164" s="22"/>
    </row>
    <row r="165">
      <c r="A165" s="21"/>
      <c r="H165" s="22"/>
      <c r="I165" s="22"/>
    </row>
    <row r="166">
      <c r="A166" s="21"/>
      <c r="H166" s="22"/>
      <c r="I166" s="22"/>
    </row>
    <row r="167">
      <c r="A167" s="21"/>
      <c r="H167" s="22"/>
      <c r="I167" s="22"/>
    </row>
    <row r="168">
      <c r="A168" s="21"/>
      <c r="H168" s="22"/>
      <c r="I168" s="22"/>
    </row>
    <row r="169">
      <c r="A169" s="21"/>
      <c r="H169" s="22"/>
      <c r="I169" s="22"/>
    </row>
    <row r="170">
      <c r="A170" s="21"/>
      <c r="H170" s="22"/>
      <c r="I170" s="22"/>
    </row>
    <row r="171">
      <c r="A171" s="21"/>
      <c r="H171" s="22"/>
      <c r="I171" s="22"/>
    </row>
    <row r="172">
      <c r="A172" s="21"/>
      <c r="H172" s="22"/>
      <c r="I172" s="22"/>
    </row>
    <row r="173">
      <c r="A173" s="21"/>
      <c r="H173" s="22"/>
      <c r="I173" s="22"/>
    </row>
    <row r="174">
      <c r="A174" s="21"/>
      <c r="H174" s="22"/>
      <c r="I174" s="22"/>
    </row>
    <row r="175">
      <c r="A175" s="21"/>
      <c r="H175" s="22"/>
      <c r="I175" s="22"/>
    </row>
    <row r="176">
      <c r="A176" s="21"/>
      <c r="H176" s="22"/>
      <c r="I176" s="22"/>
    </row>
    <row r="177">
      <c r="A177" s="21"/>
      <c r="H177" s="22"/>
      <c r="I177" s="22"/>
    </row>
    <row r="178">
      <c r="A178" s="21"/>
      <c r="H178" s="22"/>
      <c r="I178" s="22"/>
    </row>
    <row r="179">
      <c r="A179" s="21"/>
      <c r="H179" s="22"/>
      <c r="I179" s="22"/>
    </row>
    <row r="180">
      <c r="A180" s="21"/>
      <c r="H180" s="22"/>
      <c r="I180" s="22"/>
    </row>
    <row r="181">
      <c r="A181" s="21"/>
      <c r="H181" s="22"/>
      <c r="I181" s="22"/>
    </row>
    <row r="182">
      <c r="A182" s="21"/>
      <c r="H182" s="22"/>
      <c r="I182" s="22"/>
    </row>
    <row r="183">
      <c r="A183" s="21"/>
      <c r="H183" s="22"/>
      <c r="I183" s="22"/>
    </row>
    <row r="184">
      <c r="A184" s="21"/>
      <c r="H184" s="22"/>
      <c r="I184" s="22"/>
    </row>
    <row r="185">
      <c r="A185" s="21"/>
      <c r="H185" s="22"/>
      <c r="I185" s="22"/>
    </row>
    <row r="186">
      <c r="A186" s="21"/>
      <c r="H186" s="22"/>
      <c r="I186" s="22"/>
    </row>
    <row r="187">
      <c r="A187" s="21"/>
      <c r="H187" s="22"/>
      <c r="I187" s="22"/>
    </row>
    <row r="188">
      <c r="A188" s="21"/>
      <c r="H188" s="22"/>
      <c r="I188" s="22"/>
    </row>
    <row r="189">
      <c r="A189" s="21"/>
      <c r="H189" s="22"/>
      <c r="I189" s="22"/>
    </row>
    <row r="190">
      <c r="A190" s="21"/>
      <c r="H190" s="22"/>
      <c r="I190" s="22"/>
    </row>
    <row r="191">
      <c r="A191" s="21"/>
      <c r="H191" s="22"/>
      <c r="I191" s="22"/>
    </row>
    <row r="192">
      <c r="A192" s="21"/>
      <c r="H192" s="22"/>
      <c r="I192" s="22"/>
    </row>
    <row r="193">
      <c r="A193" s="21"/>
      <c r="H193" s="22"/>
      <c r="I193" s="22"/>
    </row>
    <row r="194">
      <c r="A194" s="21"/>
      <c r="H194" s="22"/>
      <c r="I194" s="22"/>
    </row>
    <row r="195">
      <c r="A195" s="21"/>
      <c r="H195" s="22"/>
      <c r="I195" s="22"/>
    </row>
    <row r="196">
      <c r="A196" s="21"/>
      <c r="H196" s="22"/>
      <c r="I196" s="22"/>
    </row>
    <row r="197">
      <c r="A197" s="21"/>
      <c r="H197" s="22"/>
      <c r="I197" s="22"/>
    </row>
    <row r="198">
      <c r="A198" s="21"/>
      <c r="H198" s="22"/>
      <c r="I198" s="22"/>
    </row>
    <row r="199">
      <c r="A199" s="21"/>
      <c r="H199" s="22"/>
      <c r="I199" s="22"/>
    </row>
    <row r="200">
      <c r="A200" s="21"/>
      <c r="H200" s="22"/>
      <c r="I200" s="22"/>
    </row>
    <row r="201">
      <c r="A201" s="21"/>
      <c r="H201" s="22"/>
      <c r="I201" s="22"/>
    </row>
    <row r="202">
      <c r="A202" s="21"/>
      <c r="H202" s="22"/>
      <c r="I202" s="22"/>
    </row>
    <row r="203">
      <c r="A203" s="21"/>
      <c r="H203" s="22"/>
      <c r="I203" s="22"/>
    </row>
    <row r="204">
      <c r="A204" s="21"/>
      <c r="H204" s="22"/>
      <c r="I204" s="22"/>
    </row>
    <row r="205">
      <c r="A205" s="21"/>
      <c r="H205" s="22"/>
      <c r="I205" s="22"/>
    </row>
    <row r="206">
      <c r="A206" s="21"/>
      <c r="H206" s="22"/>
      <c r="I206" s="22"/>
    </row>
    <row r="207">
      <c r="A207" s="21"/>
      <c r="H207" s="22"/>
      <c r="I207" s="22"/>
    </row>
    <row r="208">
      <c r="A208" s="21"/>
      <c r="H208" s="22"/>
      <c r="I208" s="22"/>
    </row>
    <row r="209">
      <c r="A209" s="21"/>
      <c r="H209" s="22"/>
      <c r="I209" s="22"/>
    </row>
    <row r="210">
      <c r="A210" s="21"/>
      <c r="H210" s="22"/>
      <c r="I210" s="22"/>
    </row>
    <row r="211">
      <c r="A211" s="21"/>
      <c r="H211" s="22"/>
      <c r="I211" s="22"/>
    </row>
    <row r="212">
      <c r="A212" s="21"/>
      <c r="H212" s="22"/>
      <c r="I212" s="22"/>
    </row>
    <row r="213">
      <c r="A213" s="21"/>
      <c r="H213" s="22"/>
      <c r="I213" s="22"/>
    </row>
    <row r="214">
      <c r="A214" s="21"/>
      <c r="H214" s="22"/>
      <c r="I214" s="22"/>
    </row>
    <row r="215">
      <c r="A215" s="21"/>
      <c r="H215" s="22"/>
      <c r="I215" s="22"/>
    </row>
    <row r="216">
      <c r="A216" s="21"/>
      <c r="H216" s="22"/>
      <c r="I216" s="22"/>
    </row>
    <row r="217">
      <c r="A217" s="21"/>
      <c r="H217" s="22"/>
      <c r="I217" s="22"/>
    </row>
    <row r="218">
      <c r="A218" s="21"/>
      <c r="H218" s="22"/>
      <c r="I218" s="22"/>
    </row>
    <row r="219">
      <c r="A219" s="21"/>
      <c r="H219" s="22"/>
      <c r="I219" s="22"/>
    </row>
    <row r="220">
      <c r="A220" s="21"/>
      <c r="H220" s="22"/>
      <c r="I220" s="22"/>
    </row>
    <row r="221">
      <c r="A221" s="21"/>
      <c r="H221" s="22"/>
      <c r="I221" s="22"/>
    </row>
    <row r="222">
      <c r="A222" s="21"/>
      <c r="H222" s="22"/>
      <c r="I222" s="22"/>
    </row>
    <row r="223">
      <c r="A223" s="21"/>
      <c r="H223" s="22"/>
      <c r="I223" s="22"/>
    </row>
    <row r="224">
      <c r="A224" s="21"/>
      <c r="H224" s="22"/>
      <c r="I224" s="22"/>
    </row>
    <row r="225">
      <c r="A225" s="21"/>
      <c r="H225" s="22"/>
      <c r="I225" s="22"/>
    </row>
    <row r="226">
      <c r="A226" s="21"/>
      <c r="H226" s="22"/>
      <c r="I226" s="22"/>
    </row>
    <row r="227">
      <c r="A227" s="21"/>
      <c r="H227" s="22"/>
      <c r="I227" s="22"/>
    </row>
    <row r="228">
      <c r="A228" s="21"/>
      <c r="H228" s="22"/>
      <c r="I228" s="22"/>
    </row>
    <row r="229">
      <c r="A229" s="21"/>
      <c r="H229" s="22"/>
      <c r="I229" s="22"/>
    </row>
    <row r="230">
      <c r="A230" s="21"/>
      <c r="H230" s="22"/>
      <c r="I230" s="22"/>
    </row>
    <row r="231">
      <c r="A231" s="21"/>
      <c r="H231" s="22"/>
      <c r="I231" s="22"/>
    </row>
    <row r="232">
      <c r="A232" s="21"/>
      <c r="H232" s="22"/>
      <c r="I232" s="22"/>
    </row>
    <row r="233">
      <c r="A233" s="21"/>
      <c r="H233" s="22"/>
      <c r="I233" s="22"/>
    </row>
    <row r="234">
      <c r="A234" s="21"/>
      <c r="H234" s="22"/>
      <c r="I234" s="22"/>
    </row>
    <row r="235">
      <c r="A235" s="21"/>
      <c r="H235" s="22"/>
      <c r="I235" s="22"/>
    </row>
    <row r="236">
      <c r="A236" s="21"/>
      <c r="H236" s="22"/>
      <c r="I236" s="22"/>
    </row>
    <row r="237">
      <c r="A237" s="21"/>
      <c r="H237" s="22"/>
      <c r="I237" s="22"/>
    </row>
    <row r="238">
      <c r="A238" s="21"/>
      <c r="H238" s="22"/>
      <c r="I238" s="22"/>
    </row>
    <row r="239">
      <c r="A239" s="21"/>
      <c r="H239" s="22"/>
      <c r="I239" s="22"/>
    </row>
    <row r="240">
      <c r="A240" s="21"/>
      <c r="H240" s="22"/>
      <c r="I240" s="22"/>
    </row>
    <row r="241">
      <c r="A241" s="21"/>
      <c r="H241" s="22"/>
      <c r="I241" s="22"/>
    </row>
    <row r="242">
      <c r="A242" s="21"/>
      <c r="H242" s="22"/>
      <c r="I242" s="22"/>
    </row>
    <row r="243">
      <c r="A243" s="21"/>
      <c r="H243" s="22"/>
      <c r="I243" s="22"/>
    </row>
    <row r="244">
      <c r="A244" s="21"/>
      <c r="H244" s="22"/>
      <c r="I244" s="22"/>
    </row>
    <row r="245">
      <c r="A245" s="21"/>
      <c r="H245" s="22"/>
      <c r="I245" s="22"/>
    </row>
    <row r="246">
      <c r="A246" s="21"/>
      <c r="H246" s="22"/>
      <c r="I246" s="22"/>
    </row>
    <row r="247">
      <c r="A247" s="21"/>
      <c r="H247" s="22"/>
      <c r="I247" s="22"/>
    </row>
    <row r="248">
      <c r="A248" s="21"/>
      <c r="H248" s="22"/>
      <c r="I248" s="22"/>
    </row>
    <row r="249">
      <c r="A249" s="21"/>
      <c r="H249" s="22"/>
      <c r="I249" s="22"/>
    </row>
    <row r="250">
      <c r="A250" s="21"/>
      <c r="H250" s="22"/>
      <c r="I250" s="22"/>
    </row>
    <row r="251">
      <c r="A251" s="21"/>
      <c r="H251" s="22"/>
      <c r="I251" s="22"/>
    </row>
    <row r="252">
      <c r="A252" s="21"/>
      <c r="H252" s="22"/>
      <c r="I252" s="22"/>
    </row>
    <row r="253">
      <c r="A253" s="21"/>
      <c r="H253" s="22"/>
      <c r="I253" s="22"/>
    </row>
    <row r="254">
      <c r="A254" s="21"/>
      <c r="H254" s="22"/>
      <c r="I254" s="22"/>
    </row>
    <row r="255">
      <c r="A255" s="21"/>
      <c r="H255" s="22"/>
      <c r="I255" s="22"/>
    </row>
    <row r="256">
      <c r="A256" s="21"/>
      <c r="H256" s="22"/>
      <c r="I256" s="22"/>
    </row>
    <row r="257">
      <c r="A257" s="21"/>
      <c r="H257" s="22"/>
      <c r="I257" s="22"/>
    </row>
    <row r="258">
      <c r="A258" s="21"/>
      <c r="H258" s="22"/>
      <c r="I258" s="22"/>
    </row>
    <row r="259">
      <c r="A259" s="21"/>
      <c r="H259" s="22"/>
      <c r="I259" s="22"/>
    </row>
    <row r="260">
      <c r="A260" s="21"/>
      <c r="H260" s="22"/>
      <c r="I260" s="22"/>
    </row>
    <row r="261">
      <c r="A261" s="21"/>
      <c r="H261" s="22"/>
      <c r="I261" s="22"/>
    </row>
    <row r="262">
      <c r="A262" s="21"/>
      <c r="H262" s="22"/>
      <c r="I262" s="22"/>
    </row>
    <row r="263">
      <c r="A263" s="21"/>
      <c r="H263" s="22"/>
      <c r="I263" s="22"/>
    </row>
    <row r="264">
      <c r="A264" s="21"/>
      <c r="H264" s="22"/>
      <c r="I264" s="22"/>
    </row>
    <row r="265">
      <c r="A265" s="21"/>
      <c r="H265" s="22"/>
      <c r="I265" s="22"/>
    </row>
    <row r="266">
      <c r="A266" s="21"/>
      <c r="H266" s="22"/>
      <c r="I266" s="22"/>
    </row>
    <row r="267">
      <c r="A267" s="21"/>
      <c r="H267" s="22"/>
      <c r="I267" s="22"/>
    </row>
    <row r="268">
      <c r="A268" s="21"/>
      <c r="H268" s="22"/>
      <c r="I268" s="22"/>
    </row>
    <row r="269">
      <c r="A269" s="21"/>
      <c r="H269" s="22"/>
      <c r="I269" s="22"/>
    </row>
    <row r="270">
      <c r="A270" s="21"/>
      <c r="H270" s="22"/>
      <c r="I270" s="22"/>
    </row>
    <row r="271">
      <c r="A271" s="21"/>
      <c r="H271" s="22"/>
      <c r="I271" s="22"/>
    </row>
    <row r="272">
      <c r="A272" s="21"/>
      <c r="H272" s="22"/>
      <c r="I272" s="22"/>
    </row>
    <row r="273">
      <c r="A273" s="21"/>
      <c r="H273" s="22"/>
      <c r="I273" s="22"/>
    </row>
    <row r="274">
      <c r="A274" s="21"/>
      <c r="H274" s="22"/>
      <c r="I274" s="22"/>
    </row>
    <row r="275">
      <c r="A275" s="21"/>
      <c r="H275" s="22"/>
      <c r="I275" s="22"/>
    </row>
    <row r="276">
      <c r="A276" s="21"/>
      <c r="H276" s="22"/>
      <c r="I276" s="22"/>
    </row>
    <row r="277">
      <c r="A277" s="21"/>
      <c r="H277" s="22"/>
      <c r="I277" s="22"/>
    </row>
    <row r="278">
      <c r="A278" s="21"/>
      <c r="H278" s="22"/>
      <c r="I278" s="22"/>
    </row>
    <row r="279">
      <c r="A279" s="21"/>
      <c r="H279" s="22"/>
      <c r="I279" s="22"/>
    </row>
    <row r="280">
      <c r="A280" s="21"/>
      <c r="H280" s="22"/>
      <c r="I280" s="22"/>
    </row>
    <row r="281">
      <c r="A281" s="21"/>
      <c r="H281" s="22"/>
      <c r="I281" s="22"/>
    </row>
    <row r="282">
      <c r="A282" s="21"/>
      <c r="H282" s="22"/>
      <c r="I282" s="22"/>
    </row>
    <row r="283">
      <c r="A283" s="21"/>
      <c r="H283" s="22"/>
      <c r="I283" s="22"/>
    </row>
    <row r="284">
      <c r="A284" s="21"/>
      <c r="H284" s="22"/>
      <c r="I284" s="22"/>
    </row>
    <row r="285">
      <c r="A285" s="21"/>
      <c r="H285" s="22"/>
      <c r="I285" s="22"/>
    </row>
    <row r="286">
      <c r="A286" s="21"/>
      <c r="H286" s="22"/>
      <c r="I286" s="22"/>
    </row>
    <row r="287">
      <c r="A287" s="21"/>
      <c r="H287" s="22"/>
      <c r="I287" s="22"/>
    </row>
    <row r="288">
      <c r="A288" s="21"/>
      <c r="H288" s="22"/>
      <c r="I288" s="22"/>
    </row>
    <row r="289">
      <c r="A289" s="21"/>
      <c r="H289" s="22"/>
      <c r="I289" s="22"/>
    </row>
    <row r="290">
      <c r="A290" s="21"/>
      <c r="H290" s="22"/>
      <c r="I290" s="22"/>
    </row>
    <row r="291">
      <c r="A291" s="21"/>
      <c r="H291" s="22"/>
      <c r="I291" s="22"/>
    </row>
    <row r="292">
      <c r="A292" s="21"/>
      <c r="H292" s="22"/>
      <c r="I292" s="22"/>
    </row>
    <row r="293">
      <c r="A293" s="21"/>
      <c r="H293" s="22"/>
      <c r="I293" s="22"/>
    </row>
    <row r="294">
      <c r="A294" s="21"/>
      <c r="H294" s="22"/>
      <c r="I294" s="22"/>
    </row>
    <row r="295">
      <c r="A295" s="21"/>
      <c r="H295" s="22"/>
      <c r="I295" s="22"/>
    </row>
    <row r="296">
      <c r="A296" s="21"/>
      <c r="H296" s="22"/>
      <c r="I296" s="22"/>
    </row>
    <row r="297">
      <c r="A297" s="21"/>
      <c r="H297" s="22"/>
      <c r="I297" s="22"/>
    </row>
    <row r="298">
      <c r="A298" s="21"/>
      <c r="H298" s="22"/>
      <c r="I298" s="22"/>
    </row>
    <row r="299">
      <c r="A299" s="21"/>
      <c r="H299" s="22"/>
      <c r="I299" s="22"/>
    </row>
    <row r="300">
      <c r="A300" s="21"/>
      <c r="H300" s="22"/>
      <c r="I300" s="22"/>
    </row>
    <row r="301">
      <c r="A301" s="21"/>
      <c r="H301" s="22"/>
      <c r="I301" s="22"/>
    </row>
    <row r="302">
      <c r="A302" s="21"/>
      <c r="H302" s="22"/>
      <c r="I302" s="22"/>
    </row>
    <row r="303">
      <c r="A303" s="21"/>
      <c r="H303" s="22"/>
      <c r="I303" s="22"/>
    </row>
    <row r="304">
      <c r="A304" s="21"/>
      <c r="H304" s="22"/>
      <c r="I304" s="22"/>
    </row>
    <row r="305">
      <c r="A305" s="21"/>
      <c r="H305" s="22"/>
      <c r="I305" s="22"/>
    </row>
    <row r="306">
      <c r="A306" s="21"/>
      <c r="H306" s="22"/>
      <c r="I306" s="22"/>
    </row>
    <row r="307">
      <c r="A307" s="21"/>
      <c r="H307" s="22"/>
      <c r="I307" s="22"/>
    </row>
    <row r="308">
      <c r="A308" s="21"/>
      <c r="H308" s="22"/>
      <c r="I308" s="22"/>
    </row>
    <row r="309">
      <c r="A309" s="21"/>
      <c r="H309" s="22"/>
      <c r="I309" s="22"/>
    </row>
    <row r="310">
      <c r="A310" s="21"/>
      <c r="H310" s="22"/>
      <c r="I310" s="22"/>
    </row>
    <row r="311">
      <c r="A311" s="21"/>
      <c r="H311" s="22"/>
      <c r="I311" s="22"/>
    </row>
    <row r="312">
      <c r="A312" s="21"/>
      <c r="H312" s="22"/>
      <c r="I312" s="22"/>
    </row>
    <row r="313">
      <c r="A313" s="21"/>
      <c r="H313" s="22"/>
      <c r="I313" s="22"/>
    </row>
    <row r="314">
      <c r="A314" s="21"/>
      <c r="H314" s="22"/>
      <c r="I314" s="22"/>
    </row>
    <row r="315">
      <c r="A315" s="21"/>
      <c r="H315" s="22"/>
      <c r="I315" s="22"/>
    </row>
    <row r="316">
      <c r="A316" s="21"/>
      <c r="H316" s="22"/>
      <c r="I316" s="22"/>
    </row>
    <row r="317">
      <c r="A317" s="21"/>
      <c r="H317" s="22"/>
      <c r="I317" s="22"/>
    </row>
    <row r="318">
      <c r="A318" s="21"/>
      <c r="H318" s="22"/>
      <c r="I318" s="22"/>
    </row>
    <row r="319">
      <c r="A319" s="21"/>
      <c r="H319" s="22"/>
      <c r="I319" s="22"/>
    </row>
    <row r="320">
      <c r="A320" s="21"/>
      <c r="H320" s="22"/>
      <c r="I320" s="22"/>
    </row>
    <row r="321">
      <c r="A321" s="21"/>
      <c r="H321" s="22"/>
      <c r="I321" s="22"/>
    </row>
    <row r="322">
      <c r="A322" s="21"/>
      <c r="H322" s="22"/>
      <c r="I322" s="22"/>
    </row>
    <row r="323">
      <c r="A323" s="21"/>
      <c r="H323" s="22"/>
      <c r="I323" s="22"/>
    </row>
    <row r="324">
      <c r="A324" s="21"/>
      <c r="H324" s="22"/>
      <c r="I324" s="22"/>
    </row>
    <row r="325">
      <c r="A325" s="21"/>
      <c r="H325" s="22"/>
      <c r="I325" s="22"/>
    </row>
    <row r="326">
      <c r="A326" s="21"/>
      <c r="H326" s="22"/>
      <c r="I326" s="22"/>
    </row>
    <row r="327">
      <c r="A327" s="21"/>
      <c r="H327" s="22"/>
      <c r="I327" s="22"/>
    </row>
    <row r="328">
      <c r="A328" s="21"/>
      <c r="H328" s="22"/>
      <c r="I328" s="22"/>
    </row>
    <row r="329">
      <c r="A329" s="21"/>
      <c r="H329" s="22"/>
      <c r="I329" s="22"/>
    </row>
    <row r="330">
      <c r="A330" s="21"/>
      <c r="H330" s="22"/>
      <c r="I330" s="22"/>
    </row>
    <row r="331">
      <c r="A331" s="21"/>
      <c r="H331" s="22"/>
      <c r="I331" s="22"/>
    </row>
    <row r="332">
      <c r="A332" s="21"/>
      <c r="H332" s="22"/>
      <c r="I332" s="22"/>
    </row>
    <row r="333">
      <c r="A333" s="21"/>
      <c r="H333" s="22"/>
      <c r="I333" s="22"/>
    </row>
    <row r="334">
      <c r="A334" s="21"/>
      <c r="H334" s="22"/>
      <c r="I334" s="22"/>
    </row>
    <row r="335">
      <c r="A335" s="21"/>
      <c r="H335" s="22"/>
      <c r="I335" s="22"/>
    </row>
    <row r="336">
      <c r="A336" s="21"/>
      <c r="H336" s="22"/>
      <c r="I336" s="22"/>
    </row>
    <row r="337">
      <c r="A337" s="21"/>
      <c r="H337" s="22"/>
      <c r="I337" s="22"/>
    </row>
    <row r="338">
      <c r="A338" s="21"/>
      <c r="H338" s="22"/>
      <c r="I338" s="22"/>
    </row>
    <row r="339">
      <c r="A339" s="21"/>
      <c r="H339" s="22"/>
      <c r="I339" s="22"/>
    </row>
    <row r="340">
      <c r="A340" s="21"/>
      <c r="H340" s="22"/>
      <c r="I340" s="22"/>
    </row>
    <row r="341">
      <c r="A341" s="21"/>
      <c r="H341" s="22"/>
      <c r="I341" s="22"/>
    </row>
    <row r="342">
      <c r="A342" s="21"/>
      <c r="H342" s="22"/>
      <c r="I342" s="22"/>
    </row>
    <row r="343">
      <c r="A343" s="21"/>
      <c r="H343" s="22"/>
      <c r="I343" s="22"/>
    </row>
    <row r="344">
      <c r="A344" s="21"/>
      <c r="H344" s="22"/>
      <c r="I344" s="22"/>
    </row>
    <row r="345">
      <c r="A345" s="21"/>
      <c r="H345" s="22"/>
      <c r="I345" s="22"/>
    </row>
    <row r="346">
      <c r="A346" s="21"/>
      <c r="H346" s="22"/>
      <c r="I346" s="22"/>
    </row>
    <row r="347">
      <c r="A347" s="21"/>
      <c r="H347" s="22"/>
      <c r="I347" s="22"/>
    </row>
    <row r="348">
      <c r="A348" s="21"/>
      <c r="H348" s="22"/>
      <c r="I348" s="22"/>
    </row>
    <row r="349">
      <c r="A349" s="21"/>
      <c r="H349" s="22"/>
      <c r="I349" s="22"/>
    </row>
    <row r="350">
      <c r="A350" s="21"/>
      <c r="H350" s="22"/>
      <c r="I350" s="22"/>
    </row>
    <row r="351">
      <c r="A351" s="21"/>
      <c r="H351" s="22"/>
      <c r="I351" s="22"/>
    </row>
    <row r="352">
      <c r="A352" s="21"/>
      <c r="H352" s="22"/>
      <c r="I352" s="22"/>
    </row>
    <row r="353">
      <c r="A353" s="21"/>
      <c r="H353" s="22"/>
      <c r="I353" s="22"/>
    </row>
    <row r="354">
      <c r="A354" s="21"/>
      <c r="H354" s="22"/>
      <c r="I354" s="22"/>
    </row>
    <row r="355">
      <c r="A355" s="21"/>
      <c r="H355" s="22"/>
      <c r="I355" s="22"/>
    </row>
    <row r="356">
      <c r="A356" s="21"/>
      <c r="H356" s="22"/>
      <c r="I356" s="22"/>
    </row>
    <row r="357">
      <c r="A357" s="21"/>
      <c r="H357" s="22"/>
      <c r="I357" s="22"/>
    </row>
    <row r="358">
      <c r="A358" s="21"/>
      <c r="H358" s="22"/>
      <c r="I358" s="22"/>
    </row>
    <row r="359">
      <c r="A359" s="21"/>
      <c r="H359" s="22"/>
      <c r="I359" s="22"/>
    </row>
    <row r="360">
      <c r="A360" s="21"/>
      <c r="H360" s="22"/>
      <c r="I360" s="22"/>
    </row>
    <row r="361">
      <c r="A361" s="21"/>
      <c r="H361" s="22"/>
      <c r="I361" s="22"/>
    </row>
    <row r="362">
      <c r="A362" s="21"/>
      <c r="H362" s="22"/>
      <c r="I362" s="22"/>
    </row>
    <row r="363">
      <c r="A363" s="21"/>
      <c r="H363" s="22"/>
      <c r="I363" s="22"/>
    </row>
    <row r="364">
      <c r="A364" s="21"/>
      <c r="H364" s="22"/>
      <c r="I364" s="22"/>
    </row>
    <row r="365">
      <c r="A365" s="21"/>
      <c r="H365" s="22"/>
      <c r="I365" s="22"/>
    </row>
    <row r="366">
      <c r="A366" s="21"/>
      <c r="H366" s="22"/>
      <c r="I366" s="22"/>
    </row>
    <row r="367">
      <c r="A367" s="21"/>
      <c r="H367" s="22"/>
      <c r="I367" s="22"/>
    </row>
    <row r="368">
      <c r="A368" s="21"/>
      <c r="H368" s="22"/>
      <c r="I368" s="22"/>
    </row>
    <row r="369">
      <c r="A369" s="21"/>
      <c r="H369" s="22"/>
      <c r="I369" s="22"/>
    </row>
    <row r="370">
      <c r="A370" s="21"/>
      <c r="H370" s="22"/>
      <c r="I370" s="22"/>
    </row>
    <row r="371">
      <c r="A371" s="21"/>
      <c r="H371" s="22"/>
      <c r="I371" s="22"/>
    </row>
    <row r="372">
      <c r="A372" s="21"/>
      <c r="H372" s="22"/>
      <c r="I372" s="22"/>
    </row>
    <row r="373">
      <c r="A373" s="21"/>
      <c r="H373" s="22"/>
      <c r="I373" s="22"/>
    </row>
    <row r="374">
      <c r="A374" s="21"/>
      <c r="H374" s="22"/>
      <c r="I374" s="22"/>
    </row>
    <row r="375">
      <c r="A375" s="21"/>
      <c r="H375" s="22"/>
      <c r="I375" s="22"/>
    </row>
    <row r="376">
      <c r="A376" s="21"/>
      <c r="H376" s="22"/>
      <c r="I376" s="22"/>
    </row>
    <row r="377">
      <c r="A377" s="21"/>
      <c r="H377" s="22"/>
      <c r="I377" s="22"/>
    </row>
    <row r="378">
      <c r="A378" s="21"/>
      <c r="H378" s="22"/>
      <c r="I378" s="22"/>
    </row>
    <row r="379">
      <c r="A379" s="21"/>
      <c r="H379" s="22"/>
      <c r="I379" s="22"/>
    </row>
    <row r="380">
      <c r="A380" s="21"/>
      <c r="H380" s="22"/>
      <c r="I380" s="22"/>
    </row>
    <row r="381">
      <c r="A381" s="21"/>
      <c r="H381" s="22"/>
      <c r="I381" s="22"/>
    </row>
    <row r="382">
      <c r="A382" s="21"/>
      <c r="H382" s="22"/>
      <c r="I382" s="22"/>
    </row>
    <row r="383">
      <c r="A383" s="21"/>
      <c r="H383" s="22"/>
      <c r="I383" s="22"/>
    </row>
    <row r="384">
      <c r="A384" s="21"/>
      <c r="H384" s="22"/>
      <c r="I384" s="22"/>
    </row>
    <row r="385">
      <c r="A385" s="21"/>
      <c r="H385" s="22"/>
      <c r="I385" s="22"/>
    </row>
    <row r="386">
      <c r="A386" s="21"/>
      <c r="H386" s="22"/>
      <c r="I386" s="22"/>
    </row>
    <row r="387">
      <c r="A387" s="21"/>
      <c r="H387" s="22"/>
      <c r="I387" s="22"/>
    </row>
    <row r="388">
      <c r="A388" s="21"/>
      <c r="H388" s="22"/>
      <c r="I388" s="22"/>
    </row>
    <row r="389">
      <c r="A389" s="21"/>
      <c r="H389" s="22"/>
      <c r="I389" s="22"/>
    </row>
    <row r="390">
      <c r="A390" s="21"/>
      <c r="H390" s="22"/>
      <c r="I390" s="22"/>
    </row>
    <row r="391">
      <c r="A391" s="21"/>
      <c r="H391" s="22"/>
      <c r="I391" s="22"/>
    </row>
    <row r="392">
      <c r="A392" s="21"/>
      <c r="H392" s="22"/>
      <c r="I392" s="22"/>
    </row>
    <row r="393">
      <c r="A393" s="21"/>
      <c r="H393" s="22"/>
      <c r="I393" s="22"/>
    </row>
    <row r="394">
      <c r="A394" s="21"/>
      <c r="H394" s="22"/>
      <c r="I394" s="22"/>
    </row>
    <row r="395">
      <c r="A395" s="21"/>
      <c r="H395" s="22"/>
      <c r="I395" s="22"/>
    </row>
    <row r="396">
      <c r="A396" s="21"/>
      <c r="H396" s="22"/>
      <c r="I396" s="22"/>
    </row>
    <row r="397">
      <c r="A397" s="21"/>
      <c r="H397" s="22"/>
      <c r="I397" s="22"/>
    </row>
    <row r="398">
      <c r="A398" s="21"/>
      <c r="H398" s="22"/>
      <c r="I398" s="22"/>
    </row>
    <row r="399">
      <c r="A399" s="21"/>
      <c r="H399" s="22"/>
      <c r="I399" s="22"/>
    </row>
    <row r="400">
      <c r="A400" s="21"/>
      <c r="H400" s="22"/>
      <c r="I400" s="22"/>
    </row>
    <row r="401">
      <c r="A401" s="21"/>
      <c r="H401" s="22"/>
      <c r="I401" s="22"/>
    </row>
    <row r="402">
      <c r="A402" s="21"/>
      <c r="H402" s="22"/>
      <c r="I402" s="22"/>
    </row>
    <row r="403">
      <c r="A403" s="21"/>
      <c r="H403" s="22"/>
      <c r="I403" s="22"/>
    </row>
    <row r="404">
      <c r="A404" s="21"/>
      <c r="H404" s="22"/>
      <c r="I404" s="22"/>
    </row>
    <row r="405">
      <c r="A405" s="21"/>
      <c r="H405" s="22"/>
      <c r="I405" s="22"/>
    </row>
    <row r="406">
      <c r="A406" s="21"/>
      <c r="H406" s="22"/>
      <c r="I406" s="22"/>
    </row>
    <row r="407">
      <c r="A407" s="21"/>
      <c r="H407" s="22"/>
      <c r="I407" s="22"/>
    </row>
    <row r="408">
      <c r="A408" s="21"/>
      <c r="H408" s="22"/>
      <c r="I408" s="22"/>
    </row>
    <row r="409">
      <c r="A409" s="21"/>
      <c r="H409" s="22"/>
      <c r="I409" s="22"/>
    </row>
    <row r="410">
      <c r="A410" s="21"/>
      <c r="H410" s="22"/>
      <c r="I410" s="22"/>
    </row>
    <row r="411">
      <c r="A411" s="21"/>
      <c r="H411" s="22"/>
      <c r="I411" s="22"/>
    </row>
    <row r="412">
      <c r="A412" s="21"/>
      <c r="H412" s="22"/>
      <c r="I412" s="22"/>
    </row>
    <row r="413">
      <c r="A413" s="21"/>
      <c r="H413" s="22"/>
      <c r="I413" s="22"/>
    </row>
    <row r="414">
      <c r="A414" s="21"/>
      <c r="H414" s="22"/>
      <c r="I414" s="22"/>
    </row>
    <row r="415">
      <c r="A415" s="21"/>
      <c r="H415" s="22"/>
      <c r="I415" s="22"/>
    </row>
    <row r="416">
      <c r="A416" s="21"/>
      <c r="H416" s="22"/>
      <c r="I416" s="22"/>
    </row>
    <row r="417">
      <c r="A417" s="21"/>
      <c r="H417" s="22"/>
      <c r="I417" s="22"/>
    </row>
    <row r="418">
      <c r="A418" s="21"/>
      <c r="H418" s="22"/>
      <c r="I418" s="22"/>
    </row>
    <row r="419">
      <c r="A419" s="21"/>
      <c r="H419" s="22"/>
      <c r="I419" s="22"/>
    </row>
    <row r="420">
      <c r="A420" s="21"/>
      <c r="H420" s="22"/>
      <c r="I420" s="22"/>
    </row>
    <row r="421">
      <c r="A421" s="21"/>
      <c r="H421" s="22"/>
      <c r="I421" s="22"/>
    </row>
    <row r="422">
      <c r="A422" s="21"/>
      <c r="H422" s="22"/>
      <c r="I422" s="22"/>
    </row>
    <row r="423">
      <c r="A423" s="21"/>
      <c r="H423" s="22"/>
      <c r="I423" s="22"/>
    </row>
    <row r="424">
      <c r="A424" s="21"/>
      <c r="H424" s="22"/>
      <c r="I424" s="22"/>
    </row>
    <row r="425">
      <c r="A425" s="21"/>
      <c r="H425" s="22"/>
      <c r="I425" s="22"/>
    </row>
    <row r="426">
      <c r="A426" s="21"/>
      <c r="H426" s="22"/>
      <c r="I426" s="22"/>
    </row>
    <row r="427">
      <c r="A427" s="21"/>
      <c r="H427" s="22"/>
      <c r="I427" s="22"/>
    </row>
    <row r="428">
      <c r="A428" s="21"/>
      <c r="H428" s="22"/>
      <c r="I428" s="22"/>
    </row>
    <row r="429">
      <c r="A429" s="21"/>
      <c r="H429" s="22"/>
      <c r="I429" s="22"/>
    </row>
    <row r="430">
      <c r="A430" s="21"/>
      <c r="H430" s="22"/>
      <c r="I430" s="22"/>
    </row>
    <row r="431">
      <c r="A431" s="21"/>
      <c r="H431" s="22"/>
      <c r="I431" s="22"/>
    </row>
    <row r="432">
      <c r="A432" s="21"/>
      <c r="H432" s="22"/>
      <c r="I432" s="22"/>
    </row>
    <row r="433">
      <c r="A433" s="21"/>
      <c r="H433" s="22"/>
      <c r="I433" s="22"/>
    </row>
    <row r="434">
      <c r="A434" s="21"/>
      <c r="H434" s="22"/>
      <c r="I434" s="22"/>
    </row>
    <row r="435">
      <c r="A435" s="21"/>
      <c r="H435" s="22"/>
      <c r="I435" s="22"/>
    </row>
    <row r="436">
      <c r="A436" s="21"/>
      <c r="H436" s="22"/>
      <c r="I436" s="22"/>
    </row>
    <row r="437">
      <c r="A437" s="21"/>
      <c r="H437" s="22"/>
      <c r="I437" s="22"/>
    </row>
    <row r="438">
      <c r="A438" s="21"/>
      <c r="H438" s="22"/>
      <c r="I438" s="22"/>
    </row>
    <row r="439">
      <c r="A439" s="21"/>
      <c r="H439" s="22"/>
      <c r="I439" s="22"/>
    </row>
    <row r="440">
      <c r="A440" s="21"/>
      <c r="H440" s="22"/>
      <c r="I440" s="22"/>
    </row>
    <row r="441">
      <c r="A441" s="21"/>
      <c r="H441" s="22"/>
      <c r="I441" s="22"/>
    </row>
    <row r="442">
      <c r="A442" s="21"/>
      <c r="H442" s="22"/>
      <c r="I442" s="22"/>
    </row>
    <row r="443">
      <c r="A443" s="21"/>
      <c r="H443" s="22"/>
      <c r="I443" s="22"/>
    </row>
    <row r="444">
      <c r="A444" s="21"/>
      <c r="H444" s="22"/>
      <c r="I444" s="22"/>
    </row>
    <row r="445">
      <c r="A445" s="21"/>
      <c r="H445" s="22"/>
      <c r="I445" s="22"/>
    </row>
    <row r="446">
      <c r="A446" s="21"/>
      <c r="H446" s="22"/>
      <c r="I446" s="22"/>
    </row>
    <row r="447">
      <c r="A447" s="21"/>
      <c r="H447" s="22"/>
      <c r="I447" s="22"/>
    </row>
    <row r="448">
      <c r="A448" s="21"/>
      <c r="H448" s="22"/>
      <c r="I448" s="22"/>
    </row>
    <row r="449">
      <c r="A449" s="21"/>
      <c r="H449" s="22"/>
      <c r="I449" s="22"/>
    </row>
    <row r="450">
      <c r="A450" s="21"/>
      <c r="H450" s="22"/>
      <c r="I450" s="22"/>
    </row>
    <row r="451">
      <c r="A451" s="21"/>
      <c r="H451" s="22"/>
      <c r="I451" s="22"/>
    </row>
    <row r="452">
      <c r="A452" s="21"/>
      <c r="H452" s="22"/>
      <c r="I452" s="22"/>
    </row>
    <row r="453">
      <c r="A453" s="21"/>
      <c r="H453" s="22"/>
      <c r="I453" s="22"/>
    </row>
    <row r="454">
      <c r="A454" s="21"/>
      <c r="H454" s="22"/>
      <c r="I454" s="22"/>
    </row>
    <row r="455">
      <c r="A455" s="21"/>
      <c r="H455" s="22"/>
      <c r="I455" s="22"/>
    </row>
    <row r="456">
      <c r="A456" s="21"/>
      <c r="H456" s="22"/>
      <c r="I456" s="22"/>
    </row>
    <row r="457">
      <c r="A457" s="21"/>
      <c r="H457" s="22"/>
      <c r="I457" s="22"/>
    </row>
    <row r="458">
      <c r="A458" s="21"/>
      <c r="H458" s="22"/>
      <c r="I458" s="22"/>
    </row>
    <row r="459">
      <c r="A459" s="21"/>
      <c r="H459" s="22"/>
      <c r="I459" s="22"/>
    </row>
    <row r="460">
      <c r="A460" s="21"/>
      <c r="H460" s="22"/>
      <c r="I460" s="22"/>
    </row>
    <row r="461">
      <c r="A461" s="21"/>
      <c r="H461" s="22"/>
      <c r="I461" s="22"/>
    </row>
    <row r="462">
      <c r="A462" s="21"/>
      <c r="H462" s="22"/>
      <c r="I462" s="22"/>
    </row>
    <row r="463">
      <c r="A463" s="21"/>
      <c r="H463" s="22"/>
      <c r="I463" s="22"/>
    </row>
    <row r="464">
      <c r="A464" s="21"/>
      <c r="H464" s="22"/>
      <c r="I464" s="22"/>
    </row>
    <row r="465">
      <c r="A465" s="21"/>
      <c r="H465" s="22"/>
      <c r="I465" s="22"/>
    </row>
    <row r="466">
      <c r="A466" s="21"/>
      <c r="H466" s="22"/>
      <c r="I466" s="22"/>
    </row>
    <row r="467">
      <c r="A467" s="21"/>
      <c r="H467" s="22"/>
      <c r="I467" s="22"/>
    </row>
    <row r="468">
      <c r="A468" s="21"/>
      <c r="H468" s="22"/>
      <c r="I468" s="22"/>
    </row>
    <row r="469">
      <c r="A469" s="21"/>
      <c r="H469" s="22"/>
      <c r="I469" s="22"/>
    </row>
    <row r="470">
      <c r="A470" s="21"/>
      <c r="H470" s="22"/>
      <c r="I470" s="22"/>
    </row>
    <row r="471">
      <c r="A471" s="21"/>
      <c r="H471" s="22"/>
      <c r="I471" s="22"/>
    </row>
    <row r="472">
      <c r="A472" s="21"/>
      <c r="H472" s="22"/>
      <c r="I472" s="22"/>
    </row>
    <row r="473">
      <c r="A473" s="21"/>
      <c r="H473" s="22"/>
      <c r="I473" s="22"/>
    </row>
    <row r="474">
      <c r="A474" s="21"/>
      <c r="H474" s="22"/>
      <c r="I474" s="22"/>
    </row>
    <row r="475">
      <c r="A475" s="21"/>
      <c r="H475" s="22"/>
      <c r="I475" s="22"/>
    </row>
    <row r="476">
      <c r="A476" s="21"/>
      <c r="H476" s="22"/>
      <c r="I476" s="22"/>
    </row>
    <row r="477">
      <c r="A477" s="21"/>
      <c r="H477" s="22"/>
      <c r="I477" s="22"/>
    </row>
    <row r="478">
      <c r="A478" s="21"/>
      <c r="H478" s="22"/>
      <c r="I478" s="22"/>
    </row>
    <row r="479">
      <c r="A479" s="21"/>
      <c r="H479" s="22"/>
      <c r="I479" s="22"/>
    </row>
    <row r="480">
      <c r="A480" s="21"/>
      <c r="H480" s="22"/>
      <c r="I480" s="22"/>
    </row>
    <row r="481">
      <c r="A481" s="21"/>
      <c r="H481" s="22"/>
      <c r="I481" s="22"/>
    </row>
    <row r="482">
      <c r="A482" s="21"/>
      <c r="H482" s="22"/>
      <c r="I482" s="22"/>
    </row>
    <row r="483">
      <c r="A483" s="21"/>
      <c r="H483" s="22"/>
      <c r="I483" s="22"/>
    </row>
    <row r="484">
      <c r="A484" s="21"/>
      <c r="H484" s="22"/>
      <c r="I484" s="22"/>
    </row>
    <row r="485">
      <c r="A485" s="21"/>
      <c r="H485" s="22"/>
      <c r="I485" s="22"/>
    </row>
    <row r="486">
      <c r="A486" s="21"/>
      <c r="H486" s="22"/>
      <c r="I486" s="22"/>
    </row>
    <row r="487">
      <c r="A487" s="21"/>
      <c r="H487" s="22"/>
      <c r="I487" s="22"/>
    </row>
    <row r="488">
      <c r="A488" s="21"/>
      <c r="H488" s="22"/>
      <c r="I488" s="22"/>
    </row>
    <row r="489">
      <c r="A489" s="21"/>
      <c r="H489" s="22"/>
      <c r="I489" s="22"/>
    </row>
    <row r="490">
      <c r="A490" s="21"/>
      <c r="H490" s="22"/>
      <c r="I490" s="22"/>
    </row>
    <row r="491">
      <c r="A491" s="21"/>
      <c r="H491" s="22"/>
      <c r="I491" s="22"/>
    </row>
    <row r="492">
      <c r="A492" s="21"/>
      <c r="H492" s="22"/>
      <c r="I492" s="22"/>
    </row>
    <row r="493">
      <c r="A493" s="21"/>
      <c r="H493" s="22"/>
      <c r="I493" s="22"/>
    </row>
    <row r="494">
      <c r="A494" s="21"/>
      <c r="H494" s="22"/>
      <c r="I494" s="22"/>
    </row>
    <row r="495">
      <c r="A495" s="21"/>
      <c r="H495" s="22"/>
      <c r="I495" s="22"/>
    </row>
    <row r="496">
      <c r="A496" s="21"/>
      <c r="H496" s="22"/>
      <c r="I496" s="22"/>
    </row>
    <row r="497">
      <c r="A497" s="21"/>
      <c r="H497" s="22"/>
      <c r="I497" s="22"/>
    </row>
    <row r="498">
      <c r="A498" s="21"/>
      <c r="H498" s="22"/>
      <c r="I498" s="22"/>
    </row>
    <row r="499">
      <c r="A499" s="21"/>
      <c r="H499" s="22"/>
      <c r="I499" s="22"/>
    </row>
    <row r="500">
      <c r="A500" s="21"/>
      <c r="H500" s="22"/>
      <c r="I500" s="22"/>
    </row>
    <row r="501">
      <c r="A501" s="21"/>
      <c r="H501" s="22"/>
      <c r="I501" s="22"/>
    </row>
    <row r="502">
      <c r="A502" s="21"/>
      <c r="H502" s="22"/>
      <c r="I502" s="22"/>
    </row>
    <row r="503">
      <c r="A503" s="21"/>
      <c r="H503" s="22"/>
      <c r="I503" s="22"/>
    </row>
    <row r="504">
      <c r="A504" s="21"/>
      <c r="H504" s="22"/>
      <c r="I504" s="22"/>
    </row>
    <row r="505">
      <c r="A505" s="21"/>
      <c r="H505" s="22"/>
      <c r="I505" s="22"/>
    </row>
    <row r="506">
      <c r="A506" s="21"/>
      <c r="H506" s="22"/>
      <c r="I506" s="22"/>
    </row>
    <row r="507">
      <c r="A507" s="21"/>
      <c r="H507" s="22"/>
      <c r="I507" s="22"/>
    </row>
    <row r="508">
      <c r="A508" s="21"/>
      <c r="H508" s="22"/>
      <c r="I508" s="22"/>
    </row>
    <row r="509">
      <c r="A509" s="21"/>
      <c r="H509" s="22"/>
      <c r="I509" s="22"/>
    </row>
    <row r="510">
      <c r="A510" s="21"/>
      <c r="H510" s="22"/>
      <c r="I510" s="22"/>
    </row>
    <row r="511">
      <c r="A511" s="21"/>
      <c r="H511" s="22"/>
      <c r="I511" s="22"/>
    </row>
    <row r="512">
      <c r="A512" s="21"/>
      <c r="H512" s="22"/>
      <c r="I512" s="22"/>
    </row>
    <row r="513">
      <c r="A513" s="21"/>
      <c r="H513" s="22"/>
      <c r="I513" s="22"/>
    </row>
    <row r="514">
      <c r="A514" s="21"/>
      <c r="H514" s="22"/>
      <c r="I514" s="22"/>
    </row>
    <row r="515">
      <c r="A515" s="21"/>
      <c r="H515" s="22"/>
      <c r="I515" s="22"/>
    </row>
    <row r="516">
      <c r="A516" s="21"/>
      <c r="H516" s="22"/>
      <c r="I516" s="22"/>
    </row>
    <row r="517">
      <c r="A517" s="21"/>
      <c r="H517" s="22"/>
      <c r="I517" s="22"/>
    </row>
    <row r="518">
      <c r="A518" s="21"/>
      <c r="H518" s="22"/>
      <c r="I518" s="22"/>
    </row>
    <row r="519">
      <c r="A519" s="21"/>
      <c r="H519" s="22"/>
      <c r="I519" s="22"/>
    </row>
    <row r="520">
      <c r="A520" s="21"/>
      <c r="H520" s="22"/>
      <c r="I520" s="22"/>
    </row>
    <row r="521">
      <c r="A521" s="21"/>
      <c r="H521" s="22"/>
      <c r="I521" s="22"/>
    </row>
    <row r="522">
      <c r="A522" s="21"/>
      <c r="H522" s="22"/>
      <c r="I522" s="22"/>
    </row>
    <row r="523">
      <c r="A523" s="21"/>
      <c r="H523" s="22"/>
      <c r="I523" s="22"/>
    </row>
    <row r="524">
      <c r="A524" s="21"/>
      <c r="H524" s="22"/>
      <c r="I524" s="22"/>
    </row>
    <row r="525">
      <c r="A525" s="21"/>
      <c r="H525" s="22"/>
      <c r="I525" s="22"/>
    </row>
    <row r="526">
      <c r="A526" s="21"/>
      <c r="H526" s="22"/>
      <c r="I526" s="22"/>
    </row>
    <row r="527">
      <c r="A527" s="21"/>
      <c r="H527" s="22"/>
      <c r="I527" s="22"/>
    </row>
    <row r="528">
      <c r="A528" s="21"/>
      <c r="H528" s="22"/>
      <c r="I528" s="22"/>
    </row>
    <row r="529">
      <c r="A529" s="21"/>
      <c r="H529" s="22"/>
      <c r="I529" s="22"/>
    </row>
    <row r="530">
      <c r="A530" s="21"/>
      <c r="H530" s="22"/>
      <c r="I530" s="22"/>
    </row>
    <row r="531">
      <c r="A531" s="21"/>
      <c r="H531" s="22"/>
      <c r="I531" s="22"/>
    </row>
    <row r="532">
      <c r="A532" s="21"/>
      <c r="H532" s="22"/>
      <c r="I532" s="22"/>
    </row>
    <row r="533">
      <c r="A533" s="21"/>
      <c r="H533" s="22"/>
      <c r="I533" s="22"/>
    </row>
    <row r="534">
      <c r="A534" s="21"/>
      <c r="H534" s="22"/>
      <c r="I534" s="22"/>
    </row>
    <row r="535">
      <c r="A535" s="21"/>
      <c r="H535" s="22"/>
      <c r="I535" s="22"/>
    </row>
    <row r="536">
      <c r="A536" s="21"/>
      <c r="H536" s="22"/>
      <c r="I536" s="22"/>
    </row>
    <row r="537">
      <c r="A537" s="21"/>
      <c r="H537" s="22"/>
      <c r="I537" s="22"/>
    </row>
    <row r="538">
      <c r="A538" s="21"/>
      <c r="H538" s="22"/>
      <c r="I538" s="22"/>
    </row>
    <row r="539">
      <c r="A539" s="21"/>
      <c r="H539" s="22"/>
      <c r="I539" s="22"/>
    </row>
    <row r="540">
      <c r="A540" s="21"/>
      <c r="H540" s="22"/>
      <c r="I540" s="22"/>
    </row>
    <row r="541">
      <c r="A541" s="21"/>
      <c r="H541" s="22"/>
      <c r="I541" s="22"/>
    </row>
    <row r="542">
      <c r="A542" s="21"/>
      <c r="H542" s="22"/>
      <c r="I542" s="22"/>
    </row>
    <row r="543">
      <c r="A543" s="21"/>
      <c r="H543" s="22"/>
      <c r="I543" s="22"/>
    </row>
    <row r="544">
      <c r="A544" s="21"/>
      <c r="H544" s="22"/>
      <c r="I544" s="22"/>
    </row>
    <row r="545">
      <c r="A545" s="21"/>
      <c r="H545" s="22"/>
      <c r="I545" s="22"/>
    </row>
    <row r="546">
      <c r="A546" s="21"/>
      <c r="H546" s="22"/>
      <c r="I546" s="22"/>
    </row>
    <row r="547">
      <c r="A547" s="21"/>
      <c r="H547" s="22"/>
      <c r="I547" s="22"/>
    </row>
    <row r="548">
      <c r="A548" s="21"/>
      <c r="H548" s="22"/>
      <c r="I548" s="22"/>
    </row>
    <row r="549">
      <c r="A549" s="21"/>
      <c r="H549" s="22"/>
      <c r="I549" s="22"/>
    </row>
    <row r="550">
      <c r="A550" s="21"/>
      <c r="H550" s="22"/>
      <c r="I550" s="22"/>
    </row>
    <row r="551">
      <c r="A551" s="21"/>
      <c r="H551" s="22"/>
      <c r="I551" s="22"/>
    </row>
    <row r="552">
      <c r="A552" s="21"/>
      <c r="H552" s="22"/>
      <c r="I552" s="22"/>
    </row>
    <row r="553">
      <c r="A553" s="21"/>
      <c r="H553" s="22"/>
      <c r="I553" s="22"/>
    </row>
    <row r="554">
      <c r="A554" s="21"/>
      <c r="H554" s="22"/>
      <c r="I554" s="22"/>
    </row>
    <row r="555">
      <c r="A555" s="21"/>
      <c r="H555" s="22"/>
      <c r="I555" s="22"/>
    </row>
    <row r="556">
      <c r="A556" s="21"/>
      <c r="H556" s="22"/>
      <c r="I556" s="22"/>
    </row>
    <row r="557">
      <c r="A557" s="21"/>
      <c r="H557" s="22"/>
      <c r="I557" s="22"/>
    </row>
    <row r="558">
      <c r="A558" s="21"/>
      <c r="H558" s="22"/>
      <c r="I558" s="22"/>
    </row>
    <row r="559">
      <c r="A559" s="21"/>
      <c r="H559" s="22"/>
      <c r="I559" s="22"/>
    </row>
    <row r="560">
      <c r="A560" s="21"/>
      <c r="H560" s="22"/>
      <c r="I560" s="22"/>
    </row>
    <row r="561">
      <c r="A561" s="21"/>
      <c r="H561" s="22"/>
      <c r="I561" s="22"/>
    </row>
    <row r="562">
      <c r="A562" s="21"/>
      <c r="H562" s="22"/>
      <c r="I562" s="22"/>
    </row>
    <row r="563">
      <c r="A563" s="21"/>
      <c r="H563" s="22"/>
      <c r="I563" s="22"/>
    </row>
    <row r="564">
      <c r="A564" s="21"/>
      <c r="H564" s="22"/>
      <c r="I564" s="22"/>
    </row>
    <row r="565">
      <c r="A565" s="21"/>
      <c r="H565" s="22"/>
      <c r="I565" s="22"/>
    </row>
    <row r="566">
      <c r="A566" s="21"/>
      <c r="H566" s="22"/>
      <c r="I566" s="22"/>
    </row>
    <row r="567">
      <c r="A567" s="21"/>
      <c r="H567" s="22"/>
      <c r="I567" s="22"/>
    </row>
    <row r="568">
      <c r="A568" s="21"/>
      <c r="H568" s="22"/>
      <c r="I568" s="22"/>
    </row>
    <row r="569">
      <c r="A569" s="21"/>
      <c r="H569" s="22"/>
      <c r="I569" s="22"/>
    </row>
    <row r="570">
      <c r="A570" s="21"/>
      <c r="H570" s="22"/>
      <c r="I570" s="22"/>
    </row>
    <row r="571">
      <c r="A571" s="21"/>
      <c r="H571" s="22"/>
      <c r="I571" s="22"/>
    </row>
    <row r="572">
      <c r="A572" s="21"/>
      <c r="H572" s="22"/>
      <c r="I572" s="22"/>
    </row>
    <row r="573">
      <c r="A573" s="21"/>
      <c r="H573" s="22"/>
      <c r="I573" s="22"/>
    </row>
    <row r="574">
      <c r="A574" s="21"/>
      <c r="H574" s="22"/>
      <c r="I574" s="22"/>
    </row>
    <row r="575">
      <c r="A575" s="21"/>
      <c r="H575" s="22"/>
      <c r="I575" s="22"/>
    </row>
    <row r="576">
      <c r="A576" s="21"/>
      <c r="H576" s="22"/>
      <c r="I576" s="22"/>
    </row>
    <row r="577">
      <c r="A577" s="21"/>
      <c r="H577" s="22"/>
      <c r="I577" s="22"/>
    </row>
    <row r="578">
      <c r="A578" s="21"/>
      <c r="H578" s="22"/>
      <c r="I578" s="22"/>
    </row>
    <row r="579">
      <c r="A579" s="21"/>
      <c r="H579" s="22"/>
      <c r="I579" s="22"/>
    </row>
    <row r="580">
      <c r="A580" s="21"/>
      <c r="H580" s="22"/>
      <c r="I580" s="22"/>
    </row>
    <row r="581">
      <c r="A581" s="21"/>
      <c r="H581" s="22"/>
      <c r="I581" s="22"/>
    </row>
    <row r="582">
      <c r="A582" s="21"/>
      <c r="H582" s="22"/>
      <c r="I582" s="22"/>
    </row>
    <row r="583">
      <c r="A583" s="21"/>
      <c r="H583" s="22"/>
      <c r="I583" s="22"/>
    </row>
    <row r="584">
      <c r="A584" s="21"/>
      <c r="H584" s="22"/>
      <c r="I584" s="22"/>
    </row>
    <row r="585">
      <c r="A585" s="21"/>
      <c r="H585" s="22"/>
      <c r="I585" s="22"/>
    </row>
    <row r="586">
      <c r="A586" s="21"/>
      <c r="H586" s="22"/>
      <c r="I586" s="22"/>
    </row>
    <row r="587">
      <c r="A587" s="21"/>
      <c r="H587" s="22"/>
      <c r="I587" s="22"/>
    </row>
    <row r="588">
      <c r="A588" s="21"/>
      <c r="H588" s="22"/>
      <c r="I588" s="22"/>
    </row>
    <row r="589">
      <c r="A589" s="21"/>
      <c r="H589" s="22"/>
      <c r="I589" s="22"/>
    </row>
    <row r="590">
      <c r="A590" s="21"/>
      <c r="H590" s="22"/>
      <c r="I590" s="22"/>
    </row>
    <row r="591">
      <c r="A591" s="21"/>
      <c r="H591" s="22"/>
      <c r="I591" s="22"/>
    </row>
    <row r="592">
      <c r="A592" s="21"/>
      <c r="H592" s="22"/>
      <c r="I592" s="22"/>
    </row>
    <row r="593">
      <c r="A593" s="21"/>
      <c r="H593" s="22"/>
      <c r="I593" s="22"/>
    </row>
    <row r="594">
      <c r="A594" s="21"/>
      <c r="H594" s="22"/>
      <c r="I594" s="22"/>
    </row>
    <row r="595">
      <c r="A595" s="21"/>
      <c r="H595" s="22"/>
      <c r="I595" s="22"/>
    </row>
    <row r="596">
      <c r="A596" s="21"/>
      <c r="H596" s="22"/>
      <c r="I596" s="22"/>
    </row>
    <row r="597">
      <c r="A597" s="21"/>
      <c r="H597" s="22"/>
      <c r="I597" s="22"/>
    </row>
    <row r="598">
      <c r="A598" s="21"/>
      <c r="H598" s="22"/>
      <c r="I598" s="22"/>
    </row>
    <row r="599">
      <c r="A599" s="21"/>
      <c r="H599" s="22"/>
      <c r="I599" s="22"/>
    </row>
    <row r="600">
      <c r="A600" s="21"/>
      <c r="H600" s="22"/>
      <c r="I600" s="22"/>
    </row>
    <row r="601">
      <c r="A601" s="21"/>
      <c r="H601" s="22"/>
      <c r="I601" s="22"/>
    </row>
    <row r="602">
      <c r="A602" s="21"/>
      <c r="H602" s="22"/>
      <c r="I602" s="22"/>
    </row>
    <row r="603">
      <c r="A603" s="21"/>
      <c r="H603" s="22"/>
      <c r="I603" s="22"/>
    </row>
    <row r="604">
      <c r="A604" s="21"/>
      <c r="H604" s="22"/>
      <c r="I604" s="22"/>
    </row>
    <row r="605">
      <c r="A605" s="21"/>
      <c r="H605" s="22"/>
      <c r="I605" s="22"/>
    </row>
    <row r="606">
      <c r="A606" s="21"/>
      <c r="H606" s="22"/>
      <c r="I606" s="22"/>
    </row>
    <row r="607">
      <c r="A607" s="21"/>
      <c r="H607" s="22"/>
      <c r="I607" s="22"/>
    </row>
    <row r="608">
      <c r="A608" s="21"/>
      <c r="H608" s="22"/>
      <c r="I608" s="22"/>
    </row>
    <row r="609">
      <c r="A609" s="21"/>
      <c r="H609" s="22"/>
      <c r="I609" s="22"/>
    </row>
    <row r="610">
      <c r="A610" s="21"/>
      <c r="H610" s="22"/>
      <c r="I610" s="22"/>
    </row>
    <row r="611">
      <c r="A611" s="21"/>
      <c r="H611" s="22"/>
      <c r="I611" s="22"/>
    </row>
    <row r="612">
      <c r="A612" s="21"/>
      <c r="H612" s="22"/>
      <c r="I612" s="22"/>
    </row>
    <row r="613">
      <c r="A613" s="21"/>
      <c r="H613" s="22"/>
      <c r="I613" s="22"/>
    </row>
    <row r="614">
      <c r="A614" s="21"/>
      <c r="H614" s="22"/>
      <c r="I614" s="22"/>
    </row>
    <row r="615">
      <c r="A615" s="21"/>
      <c r="H615" s="22"/>
      <c r="I615" s="22"/>
    </row>
    <row r="616">
      <c r="A616" s="21"/>
      <c r="H616" s="22"/>
      <c r="I616" s="22"/>
    </row>
    <row r="617">
      <c r="A617" s="21"/>
      <c r="H617" s="22"/>
      <c r="I617" s="22"/>
    </row>
    <row r="618">
      <c r="A618" s="21"/>
      <c r="H618" s="22"/>
      <c r="I618" s="22"/>
    </row>
    <row r="619">
      <c r="A619" s="21"/>
      <c r="H619" s="22"/>
      <c r="I619" s="22"/>
    </row>
    <row r="620">
      <c r="A620" s="21"/>
      <c r="H620" s="22"/>
      <c r="I620" s="22"/>
    </row>
    <row r="621">
      <c r="A621" s="21"/>
      <c r="H621" s="22"/>
      <c r="I621" s="22"/>
    </row>
    <row r="622">
      <c r="A622" s="21"/>
      <c r="H622" s="22"/>
      <c r="I622" s="22"/>
    </row>
    <row r="623">
      <c r="A623" s="21"/>
      <c r="H623" s="22"/>
      <c r="I623" s="22"/>
    </row>
    <row r="624">
      <c r="A624" s="21"/>
      <c r="H624" s="22"/>
      <c r="I624" s="22"/>
    </row>
    <row r="625">
      <c r="A625" s="21"/>
      <c r="H625" s="22"/>
      <c r="I625" s="22"/>
    </row>
    <row r="626">
      <c r="A626" s="21"/>
      <c r="H626" s="22"/>
      <c r="I626" s="22"/>
    </row>
    <row r="627">
      <c r="A627" s="21"/>
      <c r="H627" s="22"/>
      <c r="I627" s="22"/>
    </row>
    <row r="628">
      <c r="A628" s="21"/>
      <c r="H628" s="22"/>
      <c r="I628" s="22"/>
    </row>
    <row r="629">
      <c r="A629" s="21"/>
      <c r="H629" s="22"/>
      <c r="I629" s="22"/>
    </row>
    <row r="630">
      <c r="A630" s="21"/>
      <c r="H630" s="22"/>
      <c r="I630" s="22"/>
    </row>
    <row r="631">
      <c r="A631" s="21"/>
      <c r="H631" s="22"/>
      <c r="I631" s="22"/>
    </row>
    <row r="632">
      <c r="A632" s="21"/>
      <c r="H632" s="22"/>
      <c r="I632" s="22"/>
    </row>
    <row r="633">
      <c r="A633" s="21"/>
      <c r="H633" s="22"/>
      <c r="I633" s="22"/>
    </row>
    <row r="634">
      <c r="A634" s="21"/>
      <c r="H634" s="22"/>
      <c r="I634" s="22"/>
    </row>
    <row r="635">
      <c r="A635" s="21"/>
      <c r="H635" s="22"/>
      <c r="I635" s="22"/>
    </row>
    <row r="636">
      <c r="A636" s="21"/>
      <c r="H636" s="22"/>
      <c r="I636" s="22"/>
    </row>
    <row r="637">
      <c r="A637" s="21"/>
      <c r="H637" s="22"/>
      <c r="I637" s="22"/>
    </row>
    <row r="638">
      <c r="A638" s="21"/>
      <c r="H638" s="22"/>
      <c r="I638" s="22"/>
    </row>
    <row r="639">
      <c r="A639" s="21"/>
      <c r="H639" s="22"/>
      <c r="I639" s="22"/>
    </row>
    <row r="640">
      <c r="A640" s="21"/>
      <c r="H640" s="22"/>
      <c r="I640" s="22"/>
    </row>
    <row r="641">
      <c r="A641" s="21"/>
      <c r="H641" s="22"/>
      <c r="I641" s="22"/>
    </row>
    <row r="642">
      <c r="A642" s="21"/>
      <c r="H642" s="22"/>
      <c r="I642" s="22"/>
    </row>
    <row r="643">
      <c r="A643" s="21"/>
      <c r="H643" s="22"/>
      <c r="I643" s="22"/>
    </row>
    <row r="644">
      <c r="A644" s="21"/>
      <c r="H644" s="22"/>
      <c r="I644" s="22"/>
    </row>
    <row r="645">
      <c r="A645" s="21"/>
      <c r="H645" s="22"/>
      <c r="I645" s="22"/>
    </row>
    <row r="646">
      <c r="A646" s="21"/>
      <c r="H646" s="22"/>
      <c r="I646" s="22"/>
    </row>
    <row r="647">
      <c r="A647" s="21"/>
      <c r="H647" s="22"/>
      <c r="I647" s="22"/>
    </row>
    <row r="648">
      <c r="A648" s="21"/>
      <c r="H648" s="22"/>
      <c r="I648" s="22"/>
    </row>
    <row r="649">
      <c r="A649" s="21"/>
      <c r="H649" s="22"/>
      <c r="I649" s="22"/>
    </row>
    <row r="650">
      <c r="A650" s="21"/>
      <c r="H650" s="22"/>
      <c r="I650" s="22"/>
    </row>
    <row r="651">
      <c r="A651" s="21"/>
      <c r="H651" s="22"/>
      <c r="I651" s="22"/>
    </row>
    <row r="652">
      <c r="A652" s="21"/>
      <c r="H652" s="22"/>
      <c r="I652" s="22"/>
    </row>
    <row r="653">
      <c r="A653" s="21"/>
      <c r="H653" s="22"/>
      <c r="I653" s="22"/>
    </row>
    <row r="654">
      <c r="A654" s="21"/>
      <c r="H654" s="22"/>
      <c r="I654" s="22"/>
    </row>
    <row r="655">
      <c r="A655" s="21"/>
      <c r="H655" s="22"/>
      <c r="I655" s="22"/>
    </row>
    <row r="656">
      <c r="A656" s="21"/>
      <c r="H656" s="22"/>
      <c r="I656" s="22"/>
    </row>
    <row r="657">
      <c r="A657" s="21"/>
      <c r="H657" s="22"/>
      <c r="I657" s="22"/>
    </row>
    <row r="658">
      <c r="A658" s="21"/>
      <c r="H658" s="22"/>
      <c r="I658" s="22"/>
    </row>
    <row r="659">
      <c r="A659" s="21"/>
      <c r="H659" s="22"/>
      <c r="I659" s="22"/>
    </row>
    <row r="660">
      <c r="A660" s="21"/>
      <c r="H660" s="22"/>
      <c r="I660" s="22"/>
    </row>
    <row r="661">
      <c r="A661" s="21"/>
      <c r="H661" s="22"/>
      <c r="I661" s="22"/>
    </row>
    <row r="662">
      <c r="A662" s="21"/>
      <c r="H662" s="22"/>
      <c r="I662" s="22"/>
    </row>
    <row r="663">
      <c r="A663" s="21"/>
      <c r="H663" s="22"/>
      <c r="I663" s="22"/>
    </row>
    <row r="664">
      <c r="A664" s="21"/>
      <c r="H664" s="22"/>
      <c r="I664" s="22"/>
    </row>
    <row r="665">
      <c r="A665" s="21"/>
      <c r="H665" s="22"/>
      <c r="I665" s="22"/>
    </row>
    <row r="666">
      <c r="A666" s="21"/>
      <c r="H666" s="22"/>
      <c r="I666" s="22"/>
    </row>
    <row r="667">
      <c r="A667" s="21"/>
      <c r="H667" s="22"/>
      <c r="I667" s="22"/>
    </row>
    <row r="668">
      <c r="A668" s="21"/>
      <c r="H668" s="22"/>
      <c r="I668" s="22"/>
    </row>
    <row r="669">
      <c r="A669" s="21"/>
      <c r="H669" s="22"/>
      <c r="I669" s="22"/>
    </row>
    <row r="670">
      <c r="A670" s="21"/>
      <c r="H670" s="22"/>
      <c r="I670" s="22"/>
    </row>
    <row r="671">
      <c r="A671" s="21"/>
      <c r="H671" s="22"/>
      <c r="I671" s="22"/>
    </row>
    <row r="672">
      <c r="A672" s="21"/>
      <c r="H672" s="22"/>
      <c r="I672" s="22"/>
    </row>
    <row r="673">
      <c r="A673" s="21"/>
      <c r="H673" s="22"/>
      <c r="I673" s="22"/>
    </row>
    <row r="674">
      <c r="A674" s="21"/>
      <c r="H674" s="22"/>
      <c r="I674" s="22"/>
    </row>
    <row r="675">
      <c r="A675" s="21"/>
      <c r="H675" s="22"/>
      <c r="I675" s="22"/>
    </row>
    <row r="676">
      <c r="A676" s="21"/>
      <c r="H676" s="22"/>
      <c r="I676" s="22"/>
    </row>
    <row r="677">
      <c r="A677" s="21"/>
      <c r="H677" s="22"/>
      <c r="I677" s="22"/>
    </row>
    <row r="678">
      <c r="A678" s="21"/>
      <c r="H678" s="22"/>
      <c r="I678" s="22"/>
    </row>
    <row r="679">
      <c r="A679" s="21"/>
      <c r="H679" s="22"/>
      <c r="I679" s="22"/>
    </row>
    <row r="680">
      <c r="A680" s="21"/>
      <c r="H680" s="22"/>
      <c r="I680" s="22"/>
    </row>
    <row r="681">
      <c r="A681" s="21"/>
      <c r="H681" s="22"/>
      <c r="I681" s="22"/>
    </row>
    <row r="682">
      <c r="A682" s="21"/>
      <c r="H682" s="22"/>
      <c r="I682" s="22"/>
    </row>
    <row r="683">
      <c r="A683" s="21"/>
      <c r="H683" s="22"/>
      <c r="I683" s="22"/>
    </row>
    <row r="684">
      <c r="A684" s="21"/>
      <c r="H684" s="22"/>
      <c r="I684" s="22"/>
    </row>
    <row r="685">
      <c r="A685" s="21"/>
      <c r="H685" s="22"/>
      <c r="I685" s="22"/>
    </row>
    <row r="686">
      <c r="A686" s="21"/>
      <c r="H686" s="22"/>
      <c r="I686" s="22"/>
    </row>
    <row r="687">
      <c r="A687" s="21"/>
      <c r="H687" s="22"/>
      <c r="I687" s="22"/>
    </row>
    <row r="688">
      <c r="A688" s="21"/>
      <c r="H688" s="22"/>
      <c r="I688" s="22"/>
    </row>
    <row r="689">
      <c r="A689" s="21"/>
      <c r="H689" s="22"/>
      <c r="I689" s="22"/>
    </row>
    <row r="690">
      <c r="A690" s="21"/>
      <c r="H690" s="22"/>
      <c r="I690" s="22"/>
    </row>
    <row r="691">
      <c r="A691" s="21"/>
      <c r="H691" s="22"/>
      <c r="I691" s="22"/>
    </row>
    <row r="692">
      <c r="A692" s="21"/>
      <c r="H692" s="22"/>
      <c r="I692" s="22"/>
    </row>
    <row r="693">
      <c r="A693" s="21"/>
      <c r="H693" s="22"/>
      <c r="I693" s="22"/>
    </row>
    <row r="694">
      <c r="A694" s="21"/>
      <c r="H694" s="22"/>
      <c r="I694" s="22"/>
    </row>
    <row r="695">
      <c r="A695" s="21"/>
      <c r="H695" s="22"/>
      <c r="I695" s="22"/>
    </row>
    <row r="696">
      <c r="A696" s="21"/>
      <c r="H696" s="22"/>
      <c r="I696" s="22"/>
    </row>
    <row r="697">
      <c r="A697" s="21"/>
      <c r="H697" s="22"/>
      <c r="I697" s="22"/>
    </row>
    <row r="698">
      <c r="A698" s="21"/>
      <c r="H698" s="22"/>
      <c r="I698" s="22"/>
    </row>
    <row r="699">
      <c r="A699" s="21"/>
      <c r="H699" s="22"/>
      <c r="I699" s="22"/>
    </row>
    <row r="700">
      <c r="A700" s="21"/>
      <c r="H700" s="22"/>
      <c r="I700" s="22"/>
    </row>
    <row r="701">
      <c r="A701" s="21"/>
      <c r="H701" s="22"/>
      <c r="I701" s="22"/>
    </row>
    <row r="702">
      <c r="A702" s="21"/>
      <c r="H702" s="22"/>
      <c r="I702" s="22"/>
    </row>
    <row r="703">
      <c r="A703" s="21"/>
      <c r="H703" s="22"/>
      <c r="I703" s="22"/>
    </row>
    <row r="704">
      <c r="A704" s="21"/>
      <c r="H704" s="22"/>
      <c r="I704" s="22"/>
    </row>
    <row r="705">
      <c r="A705" s="21"/>
      <c r="H705" s="22"/>
      <c r="I705" s="22"/>
    </row>
    <row r="706">
      <c r="A706" s="21"/>
      <c r="H706" s="22"/>
      <c r="I706" s="22"/>
    </row>
    <row r="707">
      <c r="A707" s="21"/>
      <c r="H707" s="22"/>
      <c r="I707" s="22"/>
    </row>
    <row r="708">
      <c r="A708" s="21"/>
      <c r="H708" s="22"/>
      <c r="I708" s="22"/>
    </row>
    <row r="709">
      <c r="A709" s="21"/>
      <c r="H709" s="22"/>
      <c r="I709" s="22"/>
    </row>
    <row r="710">
      <c r="A710" s="21"/>
      <c r="H710" s="22"/>
      <c r="I710" s="22"/>
    </row>
    <row r="711">
      <c r="A711" s="21"/>
      <c r="H711" s="22"/>
      <c r="I711" s="22"/>
    </row>
    <row r="712">
      <c r="A712" s="21"/>
      <c r="H712" s="22"/>
      <c r="I712" s="22"/>
    </row>
    <row r="713">
      <c r="A713" s="21"/>
      <c r="H713" s="22"/>
      <c r="I713" s="22"/>
    </row>
    <row r="714">
      <c r="A714" s="21"/>
      <c r="H714" s="22"/>
      <c r="I714" s="22"/>
    </row>
    <row r="715">
      <c r="A715" s="21"/>
      <c r="H715" s="22"/>
      <c r="I715" s="22"/>
    </row>
    <row r="716">
      <c r="A716" s="21"/>
      <c r="H716" s="22"/>
      <c r="I716" s="22"/>
    </row>
    <row r="717">
      <c r="A717" s="21"/>
      <c r="H717" s="22"/>
      <c r="I717" s="22"/>
    </row>
    <row r="718">
      <c r="A718" s="21"/>
      <c r="H718" s="22"/>
      <c r="I718" s="22"/>
    </row>
    <row r="719">
      <c r="A719" s="21"/>
      <c r="H719" s="22"/>
      <c r="I719" s="22"/>
    </row>
    <row r="720">
      <c r="A720" s="21"/>
      <c r="H720" s="22"/>
      <c r="I720" s="22"/>
    </row>
    <row r="721">
      <c r="A721" s="21"/>
      <c r="H721" s="22"/>
      <c r="I721" s="22"/>
    </row>
    <row r="722">
      <c r="A722" s="21"/>
      <c r="H722" s="22"/>
      <c r="I722" s="22"/>
    </row>
    <row r="723">
      <c r="A723" s="21"/>
      <c r="H723" s="22"/>
      <c r="I723" s="22"/>
    </row>
    <row r="724">
      <c r="A724" s="21"/>
      <c r="H724" s="22"/>
      <c r="I724" s="22"/>
    </row>
    <row r="725">
      <c r="A725" s="21"/>
      <c r="H725" s="22"/>
      <c r="I725" s="22"/>
    </row>
    <row r="726">
      <c r="A726" s="21"/>
      <c r="H726" s="22"/>
      <c r="I726" s="22"/>
    </row>
    <row r="727">
      <c r="A727" s="21"/>
      <c r="H727" s="22"/>
      <c r="I727" s="22"/>
    </row>
    <row r="728">
      <c r="A728" s="21"/>
      <c r="H728" s="22"/>
      <c r="I728" s="22"/>
    </row>
    <row r="729">
      <c r="A729" s="21"/>
      <c r="H729" s="22"/>
      <c r="I729" s="22"/>
    </row>
    <row r="730">
      <c r="A730" s="21"/>
      <c r="H730" s="22"/>
      <c r="I730" s="22"/>
    </row>
    <row r="731">
      <c r="A731" s="21"/>
      <c r="H731" s="22"/>
      <c r="I731" s="22"/>
    </row>
    <row r="732">
      <c r="A732" s="21"/>
      <c r="H732" s="22"/>
      <c r="I732" s="22"/>
    </row>
    <row r="733">
      <c r="A733" s="21"/>
      <c r="H733" s="22"/>
      <c r="I733" s="22"/>
    </row>
    <row r="734">
      <c r="A734" s="21"/>
      <c r="H734" s="22"/>
      <c r="I734" s="22"/>
    </row>
    <row r="735">
      <c r="A735" s="21"/>
      <c r="H735" s="22"/>
      <c r="I735" s="22"/>
    </row>
    <row r="736">
      <c r="A736" s="21"/>
      <c r="H736" s="22"/>
      <c r="I736" s="22"/>
    </row>
    <row r="737">
      <c r="A737" s="21"/>
      <c r="H737" s="22"/>
      <c r="I737" s="22"/>
    </row>
    <row r="738">
      <c r="A738" s="21"/>
      <c r="H738" s="22"/>
      <c r="I738" s="22"/>
    </row>
    <row r="739">
      <c r="A739" s="21"/>
      <c r="H739" s="22"/>
      <c r="I739" s="22"/>
    </row>
    <row r="740">
      <c r="A740" s="21"/>
      <c r="H740" s="22"/>
      <c r="I740" s="22"/>
    </row>
    <row r="741">
      <c r="A741" s="21"/>
      <c r="H741" s="22"/>
      <c r="I741" s="22"/>
    </row>
    <row r="742">
      <c r="A742" s="21"/>
      <c r="H742" s="22"/>
      <c r="I742" s="22"/>
    </row>
    <row r="743">
      <c r="A743" s="21"/>
      <c r="H743" s="22"/>
      <c r="I743" s="22"/>
    </row>
    <row r="744">
      <c r="A744" s="21"/>
      <c r="H744" s="22"/>
      <c r="I744" s="22"/>
    </row>
    <row r="745">
      <c r="A745" s="21"/>
      <c r="H745" s="22"/>
      <c r="I745" s="22"/>
    </row>
    <row r="746">
      <c r="A746" s="21"/>
      <c r="H746" s="22"/>
      <c r="I746" s="22"/>
    </row>
    <row r="747">
      <c r="A747" s="21"/>
      <c r="H747" s="22"/>
      <c r="I747" s="22"/>
    </row>
    <row r="748">
      <c r="A748" s="21"/>
      <c r="H748" s="22"/>
      <c r="I748" s="22"/>
    </row>
    <row r="749">
      <c r="A749" s="21"/>
      <c r="H749" s="22"/>
      <c r="I749" s="22"/>
    </row>
    <row r="750">
      <c r="A750" s="21"/>
      <c r="H750" s="22"/>
      <c r="I750" s="22"/>
    </row>
    <row r="751">
      <c r="A751" s="21"/>
      <c r="H751" s="22"/>
      <c r="I751" s="22"/>
    </row>
    <row r="752">
      <c r="A752" s="21"/>
      <c r="H752" s="22"/>
      <c r="I752" s="22"/>
    </row>
    <row r="753">
      <c r="A753" s="21"/>
      <c r="H753" s="22"/>
      <c r="I753" s="22"/>
    </row>
    <row r="754">
      <c r="A754" s="21"/>
      <c r="H754" s="22"/>
      <c r="I754" s="22"/>
    </row>
    <row r="755">
      <c r="A755" s="21"/>
      <c r="H755" s="22"/>
      <c r="I755" s="22"/>
    </row>
    <row r="756">
      <c r="A756" s="21"/>
      <c r="H756" s="22"/>
      <c r="I756" s="22"/>
    </row>
    <row r="757">
      <c r="A757" s="21"/>
      <c r="H757" s="22"/>
      <c r="I757" s="22"/>
    </row>
    <row r="758">
      <c r="A758" s="21"/>
      <c r="H758" s="22"/>
      <c r="I758" s="22"/>
    </row>
    <row r="759">
      <c r="A759" s="21"/>
      <c r="H759" s="22"/>
      <c r="I759" s="22"/>
    </row>
    <row r="760">
      <c r="A760" s="21"/>
      <c r="H760" s="22"/>
      <c r="I760" s="22"/>
    </row>
    <row r="761">
      <c r="A761" s="21"/>
      <c r="H761" s="22"/>
      <c r="I761" s="22"/>
    </row>
    <row r="762">
      <c r="A762" s="21"/>
      <c r="H762" s="22"/>
      <c r="I762" s="22"/>
    </row>
    <row r="763">
      <c r="A763" s="21"/>
      <c r="H763" s="22"/>
      <c r="I763" s="22"/>
    </row>
    <row r="764">
      <c r="A764" s="21"/>
      <c r="H764" s="22"/>
      <c r="I764" s="22"/>
    </row>
    <row r="765">
      <c r="A765" s="21"/>
      <c r="H765" s="22"/>
      <c r="I765" s="22"/>
    </row>
    <row r="766">
      <c r="A766" s="21"/>
      <c r="H766" s="22"/>
      <c r="I766" s="22"/>
    </row>
    <row r="767">
      <c r="A767" s="21"/>
      <c r="H767" s="22"/>
      <c r="I767" s="22"/>
    </row>
    <row r="768">
      <c r="A768" s="21"/>
      <c r="H768" s="22"/>
      <c r="I768" s="22"/>
    </row>
    <row r="769">
      <c r="A769" s="21"/>
      <c r="H769" s="22"/>
      <c r="I769" s="22"/>
    </row>
    <row r="770">
      <c r="A770" s="21"/>
      <c r="H770" s="22"/>
      <c r="I770" s="22"/>
    </row>
    <row r="771">
      <c r="A771" s="21"/>
      <c r="H771" s="22"/>
      <c r="I771" s="22"/>
    </row>
    <row r="772">
      <c r="A772" s="21"/>
      <c r="H772" s="22"/>
      <c r="I772" s="22"/>
    </row>
    <row r="773">
      <c r="A773" s="21"/>
      <c r="H773" s="22"/>
      <c r="I773" s="22"/>
    </row>
    <row r="774">
      <c r="A774" s="21"/>
      <c r="H774" s="22"/>
      <c r="I774" s="22"/>
    </row>
    <row r="775">
      <c r="A775" s="21"/>
      <c r="H775" s="22"/>
      <c r="I775" s="22"/>
    </row>
    <row r="776">
      <c r="A776" s="21"/>
      <c r="H776" s="22"/>
      <c r="I776" s="22"/>
    </row>
    <row r="777">
      <c r="A777" s="21"/>
      <c r="H777" s="22"/>
      <c r="I777" s="22"/>
    </row>
    <row r="778">
      <c r="A778" s="21"/>
      <c r="H778" s="22"/>
      <c r="I778" s="22"/>
    </row>
    <row r="779">
      <c r="A779" s="21"/>
      <c r="H779" s="22"/>
      <c r="I779" s="22"/>
    </row>
    <row r="780">
      <c r="A780" s="21"/>
      <c r="H780" s="22"/>
      <c r="I780" s="22"/>
    </row>
    <row r="781">
      <c r="A781" s="21"/>
      <c r="H781" s="22"/>
      <c r="I781" s="22"/>
    </row>
    <row r="782">
      <c r="A782" s="21"/>
      <c r="H782" s="22"/>
      <c r="I782" s="22"/>
    </row>
    <row r="783">
      <c r="A783" s="21"/>
      <c r="H783" s="22"/>
      <c r="I783" s="22"/>
    </row>
    <row r="784">
      <c r="A784" s="21"/>
      <c r="H784" s="22"/>
      <c r="I784" s="22"/>
    </row>
    <row r="785">
      <c r="A785" s="21"/>
      <c r="H785" s="22"/>
      <c r="I785" s="22"/>
    </row>
    <row r="786">
      <c r="A786" s="21"/>
      <c r="H786" s="22"/>
      <c r="I786" s="22"/>
    </row>
    <row r="787">
      <c r="A787" s="21"/>
      <c r="H787" s="22"/>
      <c r="I787" s="22"/>
    </row>
    <row r="788">
      <c r="A788" s="21"/>
      <c r="H788" s="22"/>
      <c r="I788" s="22"/>
    </row>
    <row r="789">
      <c r="A789" s="21"/>
      <c r="H789" s="22"/>
      <c r="I789" s="22"/>
    </row>
    <row r="790">
      <c r="A790" s="21"/>
      <c r="H790" s="22"/>
      <c r="I790" s="22"/>
    </row>
    <row r="791">
      <c r="A791" s="21"/>
      <c r="H791" s="22"/>
      <c r="I791" s="22"/>
    </row>
    <row r="792">
      <c r="A792" s="21"/>
      <c r="H792" s="22"/>
      <c r="I792" s="22"/>
    </row>
    <row r="793">
      <c r="A793" s="21"/>
      <c r="H793" s="22"/>
      <c r="I793" s="22"/>
    </row>
    <row r="794">
      <c r="A794" s="21"/>
      <c r="H794" s="22"/>
      <c r="I794" s="22"/>
    </row>
    <row r="795">
      <c r="A795" s="21"/>
      <c r="H795" s="22"/>
      <c r="I795" s="22"/>
    </row>
    <row r="796">
      <c r="A796" s="21"/>
      <c r="H796" s="22"/>
      <c r="I796" s="22"/>
    </row>
    <row r="797">
      <c r="A797" s="21"/>
      <c r="H797" s="22"/>
      <c r="I797" s="22"/>
    </row>
    <row r="798">
      <c r="A798" s="21"/>
      <c r="H798" s="22"/>
      <c r="I798" s="22"/>
    </row>
    <row r="799">
      <c r="A799" s="21"/>
      <c r="H799" s="22"/>
      <c r="I799" s="22"/>
    </row>
    <row r="800">
      <c r="A800" s="21"/>
      <c r="H800" s="22"/>
      <c r="I800" s="22"/>
    </row>
    <row r="801">
      <c r="A801" s="21"/>
      <c r="H801" s="22"/>
      <c r="I801" s="22"/>
    </row>
    <row r="802">
      <c r="A802" s="21"/>
      <c r="H802" s="22"/>
      <c r="I802" s="22"/>
    </row>
    <row r="803">
      <c r="A803" s="21"/>
      <c r="H803" s="22"/>
      <c r="I803" s="22"/>
    </row>
    <row r="804">
      <c r="A804" s="21"/>
      <c r="H804" s="22"/>
      <c r="I804" s="22"/>
    </row>
    <row r="805">
      <c r="A805" s="21"/>
      <c r="H805" s="22"/>
      <c r="I805" s="22"/>
    </row>
    <row r="806">
      <c r="A806" s="21"/>
      <c r="H806" s="22"/>
      <c r="I806" s="22"/>
    </row>
    <row r="807">
      <c r="A807" s="21"/>
      <c r="H807" s="22"/>
      <c r="I807" s="22"/>
    </row>
    <row r="808">
      <c r="A808" s="21"/>
      <c r="H808" s="22"/>
      <c r="I808" s="22"/>
    </row>
    <row r="809">
      <c r="A809" s="21"/>
      <c r="H809" s="22"/>
      <c r="I809" s="22"/>
    </row>
    <row r="810">
      <c r="A810" s="21"/>
      <c r="H810" s="22"/>
      <c r="I810" s="22"/>
    </row>
    <row r="811">
      <c r="A811" s="21"/>
      <c r="H811" s="22"/>
      <c r="I811" s="22"/>
    </row>
    <row r="812">
      <c r="A812" s="21"/>
      <c r="H812" s="22"/>
      <c r="I812" s="22"/>
    </row>
    <row r="813">
      <c r="A813" s="21"/>
      <c r="H813" s="22"/>
      <c r="I813" s="22"/>
    </row>
    <row r="814">
      <c r="A814" s="21"/>
      <c r="H814" s="22"/>
      <c r="I814" s="22"/>
    </row>
    <row r="815">
      <c r="A815" s="21"/>
      <c r="H815" s="22"/>
      <c r="I815" s="22"/>
    </row>
    <row r="816">
      <c r="A816" s="21"/>
      <c r="H816" s="22"/>
      <c r="I816" s="22"/>
    </row>
    <row r="817">
      <c r="A817" s="21"/>
      <c r="H817" s="22"/>
      <c r="I817" s="22"/>
    </row>
    <row r="818">
      <c r="A818" s="21"/>
      <c r="H818" s="22"/>
      <c r="I818" s="22"/>
    </row>
    <row r="819">
      <c r="A819" s="21"/>
      <c r="H819" s="22"/>
      <c r="I819" s="22"/>
    </row>
    <row r="820">
      <c r="A820" s="21"/>
      <c r="H820" s="22"/>
      <c r="I820" s="22"/>
    </row>
    <row r="821">
      <c r="A821" s="21"/>
      <c r="H821" s="22"/>
      <c r="I821" s="22"/>
    </row>
    <row r="822">
      <c r="A822" s="21"/>
      <c r="H822" s="22"/>
      <c r="I822" s="22"/>
    </row>
    <row r="823">
      <c r="A823" s="21"/>
      <c r="H823" s="22"/>
      <c r="I823" s="22"/>
    </row>
    <row r="824">
      <c r="A824" s="21"/>
      <c r="H824" s="22"/>
      <c r="I824" s="22"/>
    </row>
    <row r="825">
      <c r="A825" s="21"/>
      <c r="H825" s="22"/>
      <c r="I825" s="22"/>
    </row>
    <row r="826">
      <c r="A826" s="21"/>
      <c r="H826" s="22"/>
      <c r="I826" s="22"/>
    </row>
    <row r="827">
      <c r="A827" s="21"/>
      <c r="H827" s="22"/>
      <c r="I827" s="22"/>
    </row>
    <row r="828">
      <c r="A828" s="21"/>
      <c r="H828" s="22"/>
      <c r="I828" s="22"/>
    </row>
    <row r="829">
      <c r="A829" s="21"/>
      <c r="H829" s="22"/>
      <c r="I829" s="22"/>
    </row>
    <row r="830">
      <c r="A830" s="21"/>
      <c r="H830" s="22"/>
      <c r="I830" s="22"/>
    </row>
    <row r="831">
      <c r="A831" s="21"/>
      <c r="H831" s="22"/>
      <c r="I831" s="22"/>
    </row>
    <row r="832">
      <c r="A832" s="21"/>
      <c r="H832" s="22"/>
      <c r="I832" s="22"/>
    </row>
    <row r="833">
      <c r="A833" s="21"/>
      <c r="H833" s="22"/>
      <c r="I833" s="22"/>
    </row>
    <row r="834">
      <c r="A834" s="21"/>
      <c r="H834" s="22"/>
      <c r="I834" s="22"/>
    </row>
    <row r="835">
      <c r="A835" s="21"/>
      <c r="H835" s="22"/>
      <c r="I835" s="22"/>
    </row>
    <row r="836">
      <c r="A836" s="21"/>
      <c r="H836" s="22"/>
      <c r="I836" s="22"/>
    </row>
    <row r="837">
      <c r="A837" s="21"/>
      <c r="H837" s="22"/>
      <c r="I837" s="22"/>
    </row>
    <row r="838">
      <c r="A838" s="21"/>
      <c r="H838" s="22"/>
      <c r="I838" s="22"/>
    </row>
    <row r="839">
      <c r="A839" s="21"/>
      <c r="H839" s="22"/>
      <c r="I839" s="22"/>
    </row>
    <row r="840">
      <c r="A840" s="21"/>
      <c r="H840" s="22"/>
      <c r="I840" s="22"/>
    </row>
    <row r="841">
      <c r="A841" s="21"/>
      <c r="H841" s="22"/>
      <c r="I841" s="22"/>
    </row>
    <row r="842">
      <c r="A842" s="21"/>
      <c r="H842" s="22"/>
      <c r="I842" s="22"/>
    </row>
    <row r="843">
      <c r="A843" s="21"/>
      <c r="H843" s="22"/>
      <c r="I843" s="22"/>
    </row>
    <row r="844">
      <c r="A844" s="21"/>
      <c r="H844" s="22"/>
      <c r="I844" s="22"/>
    </row>
    <row r="845">
      <c r="A845" s="21"/>
      <c r="H845" s="22"/>
      <c r="I845" s="22"/>
    </row>
    <row r="846">
      <c r="A846" s="21"/>
      <c r="H846" s="22"/>
      <c r="I846" s="22"/>
    </row>
    <row r="847">
      <c r="A847" s="21"/>
      <c r="H847" s="22"/>
      <c r="I847" s="22"/>
    </row>
    <row r="848">
      <c r="A848" s="21"/>
      <c r="H848" s="22"/>
      <c r="I848" s="22"/>
    </row>
    <row r="849">
      <c r="A849" s="21"/>
      <c r="H849" s="22"/>
      <c r="I849" s="22"/>
    </row>
    <row r="850">
      <c r="A850" s="21"/>
      <c r="H850" s="22"/>
      <c r="I850" s="22"/>
    </row>
    <row r="851">
      <c r="A851" s="21"/>
      <c r="H851" s="22"/>
      <c r="I851" s="22"/>
    </row>
    <row r="852">
      <c r="A852" s="21"/>
      <c r="H852" s="22"/>
      <c r="I852" s="22"/>
    </row>
    <row r="853">
      <c r="A853" s="21"/>
      <c r="H853" s="22"/>
      <c r="I853" s="22"/>
    </row>
    <row r="854">
      <c r="A854" s="21"/>
      <c r="H854" s="22"/>
      <c r="I854" s="22"/>
    </row>
    <row r="855">
      <c r="A855" s="21"/>
      <c r="H855" s="22"/>
      <c r="I855" s="22"/>
    </row>
    <row r="856">
      <c r="A856" s="21"/>
      <c r="H856" s="22"/>
      <c r="I856" s="22"/>
    </row>
    <row r="857">
      <c r="A857" s="21"/>
      <c r="H857" s="22"/>
      <c r="I857" s="22"/>
    </row>
    <row r="858">
      <c r="A858" s="21"/>
      <c r="H858" s="22"/>
      <c r="I858" s="22"/>
    </row>
    <row r="859">
      <c r="A859" s="21"/>
      <c r="H859" s="22"/>
      <c r="I859" s="22"/>
    </row>
    <row r="860">
      <c r="A860" s="21"/>
      <c r="H860" s="22"/>
      <c r="I860" s="22"/>
    </row>
    <row r="861">
      <c r="A861" s="21"/>
      <c r="H861" s="22"/>
      <c r="I861" s="22"/>
    </row>
    <row r="862">
      <c r="A862" s="21"/>
      <c r="H862" s="22"/>
      <c r="I862" s="22"/>
    </row>
    <row r="863">
      <c r="A863" s="21"/>
      <c r="H863" s="22"/>
      <c r="I863" s="22"/>
    </row>
    <row r="864">
      <c r="A864" s="21"/>
      <c r="H864" s="22"/>
      <c r="I864" s="22"/>
    </row>
    <row r="865">
      <c r="A865" s="21"/>
      <c r="H865" s="22"/>
      <c r="I865" s="22"/>
    </row>
    <row r="866">
      <c r="A866" s="21"/>
      <c r="H866" s="22"/>
      <c r="I866" s="22"/>
    </row>
    <row r="867">
      <c r="A867" s="21"/>
      <c r="H867" s="22"/>
      <c r="I867" s="22"/>
    </row>
    <row r="868">
      <c r="A868" s="21"/>
      <c r="H868" s="22"/>
      <c r="I868" s="22"/>
    </row>
    <row r="869">
      <c r="A869" s="21"/>
      <c r="H869" s="22"/>
      <c r="I869" s="22"/>
    </row>
    <row r="870">
      <c r="A870" s="21"/>
      <c r="H870" s="22"/>
      <c r="I870" s="22"/>
    </row>
    <row r="871">
      <c r="A871" s="21"/>
      <c r="H871" s="22"/>
      <c r="I871" s="22"/>
    </row>
    <row r="872">
      <c r="A872" s="21"/>
      <c r="H872" s="22"/>
      <c r="I872" s="22"/>
    </row>
    <row r="873">
      <c r="A873" s="21"/>
      <c r="H873" s="22"/>
      <c r="I873" s="22"/>
    </row>
    <row r="874">
      <c r="A874" s="21"/>
      <c r="H874" s="22"/>
      <c r="I874" s="22"/>
    </row>
    <row r="875">
      <c r="A875" s="21"/>
      <c r="H875" s="22"/>
      <c r="I875" s="22"/>
    </row>
    <row r="876">
      <c r="A876" s="21"/>
      <c r="H876" s="22"/>
      <c r="I876" s="22"/>
    </row>
    <row r="877">
      <c r="A877" s="21"/>
      <c r="H877" s="22"/>
      <c r="I877" s="22"/>
    </row>
    <row r="878">
      <c r="A878" s="21"/>
      <c r="H878" s="22"/>
      <c r="I878" s="22"/>
    </row>
    <row r="879">
      <c r="A879" s="21"/>
      <c r="H879" s="22"/>
      <c r="I879" s="22"/>
    </row>
    <row r="880">
      <c r="A880" s="21"/>
      <c r="H880" s="22"/>
      <c r="I880" s="22"/>
    </row>
    <row r="881">
      <c r="A881" s="21"/>
      <c r="H881" s="22"/>
      <c r="I881" s="22"/>
    </row>
    <row r="882">
      <c r="A882" s="21"/>
      <c r="H882" s="22"/>
      <c r="I882" s="22"/>
    </row>
    <row r="883">
      <c r="A883" s="21"/>
      <c r="H883" s="22"/>
      <c r="I883" s="22"/>
    </row>
    <row r="884">
      <c r="A884" s="21"/>
      <c r="H884" s="22"/>
      <c r="I884" s="22"/>
    </row>
    <row r="885">
      <c r="A885" s="21"/>
      <c r="H885" s="22"/>
      <c r="I885" s="22"/>
    </row>
    <row r="886">
      <c r="A886" s="21"/>
      <c r="H886" s="22"/>
      <c r="I886" s="22"/>
    </row>
    <row r="887">
      <c r="A887" s="21"/>
      <c r="H887" s="22"/>
      <c r="I887" s="22"/>
    </row>
    <row r="888">
      <c r="A888" s="21"/>
      <c r="H888" s="22"/>
      <c r="I888" s="22"/>
    </row>
    <row r="889">
      <c r="A889" s="21"/>
      <c r="H889" s="22"/>
      <c r="I889" s="22"/>
    </row>
    <row r="890">
      <c r="A890" s="21"/>
      <c r="H890" s="22"/>
      <c r="I890" s="22"/>
    </row>
    <row r="891">
      <c r="A891" s="21"/>
      <c r="H891" s="22"/>
      <c r="I891" s="22"/>
    </row>
    <row r="892">
      <c r="A892" s="21"/>
      <c r="H892" s="22"/>
      <c r="I892" s="22"/>
    </row>
    <row r="893">
      <c r="A893" s="21"/>
      <c r="H893" s="22"/>
      <c r="I893" s="22"/>
    </row>
    <row r="894">
      <c r="A894" s="21"/>
      <c r="H894" s="22"/>
      <c r="I894" s="22"/>
    </row>
    <row r="895">
      <c r="A895" s="21"/>
      <c r="H895" s="22"/>
      <c r="I895" s="22"/>
    </row>
    <row r="896">
      <c r="A896" s="21"/>
      <c r="H896" s="22"/>
      <c r="I896" s="22"/>
    </row>
    <row r="897">
      <c r="A897" s="21"/>
      <c r="H897" s="22"/>
      <c r="I897" s="22"/>
    </row>
    <row r="898">
      <c r="A898" s="21"/>
      <c r="H898" s="22"/>
      <c r="I898" s="22"/>
    </row>
    <row r="899">
      <c r="A899" s="21"/>
      <c r="H899" s="22"/>
      <c r="I899" s="22"/>
    </row>
    <row r="900">
      <c r="A900" s="21"/>
      <c r="H900" s="22"/>
      <c r="I900" s="22"/>
    </row>
    <row r="901">
      <c r="A901" s="21"/>
      <c r="H901" s="22"/>
      <c r="I901" s="22"/>
    </row>
    <row r="902">
      <c r="A902" s="21"/>
      <c r="H902" s="22"/>
      <c r="I902" s="22"/>
    </row>
    <row r="903">
      <c r="A903" s="21"/>
      <c r="H903" s="22"/>
      <c r="I903" s="22"/>
    </row>
    <row r="904">
      <c r="A904" s="21"/>
      <c r="H904" s="22"/>
      <c r="I904" s="22"/>
    </row>
    <row r="905">
      <c r="A905" s="21"/>
      <c r="H905" s="22"/>
      <c r="I905" s="22"/>
    </row>
    <row r="906">
      <c r="A906" s="21"/>
      <c r="H906" s="22"/>
      <c r="I906" s="22"/>
    </row>
    <row r="907">
      <c r="A907" s="21"/>
      <c r="H907" s="22"/>
      <c r="I907" s="22"/>
    </row>
    <row r="908">
      <c r="A908" s="21"/>
      <c r="H908" s="22"/>
      <c r="I908" s="22"/>
    </row>
    <row r="909">
      <c r="A909" s="21"/>
      <c r="H909" s="22"/>
      <c r="I909" s="22"/>
    </row>
    <row r="910">
      <c r="A910" s="21"/>
      <c r="H910" s="22"/>
      <c r="I910" s="22"/>
    </row>
    <row r="911">
      <c r="A911" s="21"/>
      <c r="H911" s="22"/>
      <c r="I911" s="22"/>
    </row>
    <row r="912">
      <c r="A912" s="21"/>
      <c r="H912" s="22"/>
      <c r="I912" s="22"/>
    </row>
    <row r="913">
      <c r="A913" s="21"/>
      <c r="H913" s="22"/>
      <c r="I913" s="22"/>
    </row>
    <row r="914">
      <c r="A914" s="21"/>
      <c r="H914" s="22"/>
      <c r="I914" s="22"/>
    </row>
    <row r="915">
      <c r="A915" s="21"/>
      <c r="H915" s="22"/>
      <c r="I915" s="22"/>
    </row>
    <row r="916">
      <c r="A916" s="21"/>
      <c r="H916" s="22"/>
      <c r="I916" s="22"/>
    </row>
    <row r="917">
      <c r="A917" s="21"/>
      <c r="H917" s="22"/>
      <c r="I917" s="22"/>
    </row>
    <row r="918">
      <c r="A918" s="21"/>
      <c r="H918" s="22"/>
      <c r="I918" s="22"/>
    </row>
    <row r="919">
      <c r="A919" s="21"/>
      <c r="H919" s="22"/>
      <c r="I919" s="22"/>
    </row>
    <row r="920">
      <c r="A920" s="21"/>
      <c r="H920" s="22"/>
      <c r="I920" s="22"/>
    </row>
    <row r="921">
      <c r="A921" s="21"/>
      <c r="H921" s="22"/>
      <c r="I921" s="22"/>
    </row>
    <row r="922">
      <c r="A922" s="21"/>
      <c r="H922" s="22"/>
      <c r="I922" s="22"/>
    </row>
    <row r="923">
      <c r="A923" s="21"/>
      <c r="H923" s="22"/>
      <c r="I923" s="22"/>
    </row>
    <row r="924">
      <c r="A924" s="21"/>
      <c r="H924" s="22"/>
      <c r="I924" s="22"/>
    </row>
    <row r="925">
      <c r="A925" s="21"/>
      <c r="H925" s="22"/>
      <c r="I925" s="22"/>
    </row>
    <row r="926">
      <c r="A926" s="21"/>
      <c r="H926" s="22"/>
      <c r="I926" s="22"/>
    </row>
    <row r="927">
      <c r="A927" s="21"/>
      <c r="H927" s="22"/>
      <c r="I927" s="22"/>
    </row>
    <row r="928">
      <c r="A928" s="21"/>
      <c r="H928" s="22"/>
      <c r="I928" s="22"/>
    </row>
    <row r="929">
      <c r="A929" s="21"/>
      <c r="H929" s="22"/>
      <c r="I929" s="22"/>
    </row>
    <row r="930">
      <c r="A930" s="21"/>
      <c r="H930" s="22"/>
      <c r="I930" s="22"/>
    </row>
    <row r="931">
      <c r="A931" s="21"/>
      <c r="H931" s="22"/>
      <c r="I931" s="22"/>
    </row>
    <row r="932">
      <c r="A932" s="21"/>
      <c r="H932" s="22"/>
      <c r="I932" s="22"/>
    </row>
    <row r="933">
      <c r="A933" s="21"/>
      <c r="H933" s="22"/>
      <c r="I933" s="22"/>
    </row>
    <row r="934">
      <c r="A934" s="21"/>
      <c r="H934" s="22"/>
      <c r="I934" s="22"/>
    </row>
    <row r="935">
      <c r="A935" s="21"/>
      <c r="H935" s="22"/>
      <c r="I935" s="22"/>
    </row>
    <row r="936">
      <c r="A936" s="21"/>
      <c r="H936" s="22"/>
      <c r="I936" s="22"/>
    </row>
    <row r="937">
      <c r="A937" s="21"/>
      <c r="H937" s="22"/>
      <c r="I937" s="22"/>
    </row>
    <row r="938">
      <c r="A938" s="21"/>
      <c r="H938" s="22"/>
      <c r="I938" s="22"/>
    </row>
    <row r="939">
      <c r="A939" s="21"/>
      <c r="H939" s="22"/>
      <c r="I939" s="22"/>
    </row>
    <row r="940">
      <c r="A940" s="21"/>
      <c r="H940" s="22"/>
      <c r="I940" s="22"/>
    </row>
    <row r="941">
      <c r="A941" s="21"/>
      <c r="H941" s="22"/>
      <c r="I941" s="22"/>
    </row>
    <row r="942">
      <c r="A942" s="21"/>
      <c r="H942" s="22"/>
      <c r="I942" s="22"/>
    </row>
    <row r="943">
      <c r="A943" s="21"/>
      <c r="H943" s="22"/>
      <c r="I943" s="22"/>
    </row>
    <row r="944">
      <c r="A944" s="21"/>
      <c r="H944" s="22"/>
      <c r="I944" s="22"/>
    </row>
    <row r="945">
      <c r="A945" s="21"/>
      <c r="H945" s="22"/>
      <c r="I945" s="22"/>
    </row>
    <row r="946">
      <c r="A946" s="21"/>
      <c r="H946" s="22"/>
      <c r="I946" s="22"/>
    </row>
    <row r="947">
      <c r="A947" s="21"/>
      <c r="H947" s="22"/>
      <c r="I947" s="22"/>
    </row>
    <row r="948">
      <c r="A948" s="21"/>
      <c r="H948" s="22"/>
      <c r="I948" s="22"/>
    </row>
    <row r="949">
      <c r="A949" s="21"/>
      <c r="H949" s="22"/>
      <c r="I949" s="22"/>
    </row>
    <row r="950">
      <c r="A950" s="21"/>
      <c r="H950" s="22"/>
      <c r="I950" s="22"/>
    </row>
    <row r="951">
      <c r="A951" s="21"/>
      <c r="H951" s="22"/>
      <c r="I951" s="22"/>
    </row>
    <row r="952">
      <c r="A952" s="21"/>
      <c r="H952" s="22"/>
      <c r="I952" s="22"/>
    </row>
    <row r="953">
      <c r="A953" s="21"/>
      <c r="H953" s="22"/>
      <c r="I953" s="22"/>
    </row>
    <row r="954">
      <c r="A954" s="21"/>
      <c r="H954" s="22"/>
      <c r="I954" s="22"/>
    </row>
    <row r="955">
      <c r="A955" s="21"/>
      <c r="H955" s="22"/>
      <c r="I955" s="22"/>
    </row>
    <row r="956">
      <c r="A956" s="21"/>
      <c r="H956" s="22"/>
      <c r="I956" s="22"/>
    </row>
    <row r="957">
      <c r="A957" s="21"/>
      <c r="H957" s="22"/>
      <c r="I957" s="22"/>
    </row>
    <row r="958">
      <c r="A958" s="21"/>
      <c r="H958" s="22"/>
      <c r="I958" s="22"/>
    </row>
    <row r="959">
      <c r="A959" s="21"/>
      <c r="H959" s="22"/>
      <c r="I959" s="22"/>
    </row>
    <row r="960">
      <c r="A960" s="21"/>
      <c r="H960" s="22"/>
      <c r="I960" s="22"/>
    </row>
    <row r="961">
      <c r="A961" s="21"/>
      <c r="H961" s="22"/>
      <c r="I961" s="22"/>
    </row>
    <row r="962">
      <c r="A962" s="21"/>
      <c r="H962" s="22"/>
      <c r="I962" s="22"/>
    </row>
    <row r="963">
      <c r="A963" s="21"/>
      <c r="H963" s="22"/>
      <c r="I963" s="22"/>
    </row>
    <row r="964">
      <c r="A964" s="21"/>
      <c r="H964" s="22"/>
      <c r="I964" s="22"/>
    </row>
    <row r="965">
      <c r="A965" s="21"/>
      <c r="H965" s="22"/>
      <c r="I965" s="22"/>
    </row>
    <row r="966">
      <c r="A966" s="21"/>
      <c r="H966" s="22"/>
      <c r="I966" s="22"/>
    </row>
    <row r="967">
      <c r="A967" s="21"/>
      <c r="H967" s="22"/>
      <c r="I967" s="22"/>
    </row>
    <row r="968">
      <c r="A968" s="21"/>
      <c r="H968" s="22"/>
      <c r="I968" s="22"/>
    </row>
    <row r="969">
      <c r="A969" s="21"/>
      <c r="H969" s="22"/>
      <c r="I969" s="22"/>
    </row>
    <row r="970">
      <c r="A970" s="21"/>
      <c r="H970" s="22"/>
      <c r="I970" s="22"/>
    </row>
    <row r="971">
      <c r="A971" s="21"/>
      <c r="H971" s="22"/>
      <c r="I971" s="22"/>
    </row>
    <row r="972">
      <c r="A972" s="21"/>
      <c r="H972" s="22"/>
      <c r="I972" s="22"/>
    </row>
    <row r="973">
      <c r="A973" s="21"/>
      <c r="H973" s="22"/>
      <c r="I973" s="22"/>
    </row>
    <row r="974">
      <c r="A974" s="21"/>
      <c r="H974" s="22"/>
      <c r="I974" s="22"/>
    </row>
    <row r="975">
      <c r="A975" s="21"/>
      <c r="H975" s="22"/>
      <c r="I975" s="22"/>
    </row>
    <row r="976">
      <c r="A976" s="21"/>
      <c r="H976" s="22"/>
      <c r="I976" s="22"/>
    </row>
    <row r="977">
      <c r="A977" s="21"/>
      <c r="H977" s="22"/>
      <c r="I977" s="22"/>
    </row>
    <row r="978">
      <c r="A978" s="21"/>
      <c r="H978" s="22"/>
      <c r="I978" s="22"/>
    </row>
    <row r="979">
      <c r="A979" s="21"/>
      <c r="H979" s="22"/>
      <c r="I979" s="22"/>
    </row>
    <row r="980">
      <c r="A980" s="21"/>
      <c r="H980" s="22"/>
      <c r="I980" s="22"/>
    </row>
    <row r="981">
      <c r="A981" s="21"/>
      <c r="H981" s="22"/>
      <c r="I981" s="22"/>
    </row>
    <row r="982">
      <c r="A982" s="21"/>
      <c r="H982" s="22"/>
      <c r="I982" s="22"/>
    </row>
    <row r="983">
      <c r="A983" s="21"/>
      <c r="H983" s="22"/>
      <c r="I983" s="22"/>
    </row>
    <row r="984">
      <c r="A984" s="21"/>
      <c r="H984" s="22"/>
      <c r="I984" s="22"/>
    </row>
    <row r="985">
      <c r="A985" s="21"/>
      <c r="H985" s="22"/>
      <c r="I985" s="22"/>
    </row>
    <row r="986">
      <c r="A986" s="21"/>
      <c r="H986" s="22"/>
      <c r="I986" s="22"/>
    </row>
    <row r="987">
      <c r="A987" s="21"/>
      <c r="H987" s="22"/>
      <c r="I987" s="22"/>
    </row>
    <row r="988">
      <c r="A988" s="21"/>
      <c r="H988" s="22"/>
      <c r="I988" s="22"/>
    </row>
    <row r="989">
      <c r="A989" s="21"/>
      <c r="H989" s="22"/>
      <c r="I989" s="22"/>
    </row>
    <row r="990">
      <c r="A990" s="21"/>
      <c r="H990" s="22"/>
      <c r="I990" s="22"/>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13"/>
    <col customWidth="1" min="2" max="2" width="47.88"/>
    <col customWidth="1" min="6" max="6" width="45.25"/>
    <col customWidth="1" min="9" max="9" width="15.38"/>
    <col customWidth="1" min="14" max="14" width="88.75"/>
    <col customWidth="1" min="15" max="15" width="21.75"/>
    <col customWidth="1" min="16" max="16" width="86.88"/>
  </cols>
  <sheetData>
    <row r="1">
      <c r="A1" s="5" t="s">
        <v>10</v>
      </c>
      <c r="B1" s="2" t="s">
        <v>58</v>
      </c>
      <c r="C1" s="2" t="s">
        <v>67</v>
      </c>
      <c r="D1" s="2" t="s">
        <v>15722</v>
      </c>
      <c r="E1" s="2" t="s">
        <v>15723</v>
      </c>
      <c r="F1" s="2" t="s">
        <v>4</v>
      </c>
      <c r="G1" s="2" t="s">
        <v>82</v>
      </c>
      <c r="H1" s="2" t="s">
        <v>106</v>
      </c>
      <c r="I1" s="2" t="s">
        <v>84</v>
      </c>
      <c r="J1" s="2" t="s">
        <v>86</v>
      </c>
      <c r="K1" s="2" t="s">
        <v>75</v>
      </c>
      <c r="L1" s="2" t="s">
        <v>97</v>
      </c>
      <c r="M1" s="5" t="s">
        <v>15726</v>
      </c>
      <c r="N1" s="2" t="s">
        <v>110</v>
      </c>
      <c r="O1" s="2" t="s">
        <v>1</v>
      </c>
      <c r="P1" s="4"/>
    </row>
    <row r="2">
      <c r="A2" s="1" t="s">
        <v>735</v>
      </c>
      <c r="B2" s="1" t="s">
        <v>180</v>
      </c>
      <c r="C2" s="1" t="s">
        <v>1671</v>
      </c>
      <c r="D2" s="1" t="s">
        <v>15733</v>
      </c>
      <c r="E2" s="1" t="s">
        <v>41</v>
      </c>
      <c r="F2" s="1" t="s">
        <v>737</v>
      </c>
      <c r="G2" s="1" t="s">
        <v>71</v>
      </c>
      <c r="H2" s="1" t="s">
        <v>47</v>
      </c>
      <c r="I2" s="1" t="s">
        <v>460</v>
      </c>
      <c r="J2" s="1" t="s">
        <v>131</v>
      </c>
      <c r="K2" s="3">
        <v>46192.0</v>
      </c>
      <c r="M2" s="1" t="s">
        <v>140</v>
      </c>
      <c r="N2" s="1" t="s">
        <v>15735</v>
      </c>
      <c r="O2" s="1" t="s">
        <v>733</v>
      </c>
    </row>
    <row r="3">
      <c r="A3" s="1" t="s">
        <v>746</v>
      </c>
      <c r="B3" s="1" t="s">
        <v>60</v>
      </c>
      <c r="C3" s="1" t="s">
        <v>1179</v>
      </c>
      <c r="D3" s="4"/>
      <c r="E3" s="4"/>
      <c r="F3" s="1" t="s">
        <v>747</v>
      </c>
      <c r="G3" s="1" t="s">
        <v>98</v>
      </c>
      <c r="H3" s="1" t="s">
        <v>540</v>
      </c>
      <c r="I3" s="1" t="s">
        <v>162</v>
      </c>
      <c r="J3" s="1" t="s">
        <v>131</v>
      </c>
      <c r="K3" s="3">
        <v>46573.0</v>
      </c>
      <c r="N3" s="1" t="s">
        <v>15737</v>
      </c>
      <c r="O3" s="1" t="s">
        <v>745</v>
      </c>
    </row>
    <row r="4">
      <c r="A4" s="1" t="s">
        <v>132</v>
      </c>
      <c r="B4" s="1" t="s">
        <v>60</v>
      </c>
      <c r="C4" s="1" t="s">
        <v>1179</v>
      </c>
      <c r="D4" s="4"/>
      <c r="E4" s="4"/>
      <c r="F4" s="1" t="s">
        <v>145</v>
      </c>
      <c r="G4" s="1" t="s">
        <v>71</v>
      </c>
      <c r="H4" s="1" t="s">
        <v>141</v>
      </c>
      <c r="I4" s="1" t="s">
        <v>162</v>
      </c>
      <c r="J4" s="1" t="s">
        <v>131</v>
      </c>
      <c r="K4" s="3">
        <v>46006.0</v>
      </c>
      <c r="L4" s="1" t="s">
        <v>138</v>
      </c>
      <c r="N4" s="1" t="s">
        <v>15739</v>
      </c>
      <c r="O4" s="1" t="s">
        <v>753</v>
      </c>
    </row>
    <row r="5">
      <c r="A5" s="1" t="s">
        <v>756</v>
      </c>
      <c r="B5" s="1" t="s">
        <v>180</v>
      </c>
      <c r="C5" s="1" t="s">
        <v>1179</v>
      </c>
      <c r="D5" s="4"/>
      <c r="E5" s="4"/>
      <c r="F5" s="1" t="s">
        <v>759</v>
      </c>
      <c r="G5" s="1" t="s">
        <v>71</v>
      </c>
      <c r="H5" s="1" t="s">
        <v>267</v>
      </c>
      <c r="I5" s="1" t="s">
        <v>162</v>
      </c>
      <c r="J5" s="1" t="s">
        <v>131</v>
      </c>
      <c r="K5" s="3">
        <v>46460.0</v>
      </c>
      <c r="L5" s="4"/>
      <c r="N5" s="1" t="s">
        <v>15741</v>
      </c>
      <c r="O5" s="1" t="s">
        <v>755</v>
      </c>
    </row>
    <row r="6">
      <c r="A6" s="1" t="s">
        <v>765</v>
      </c>
      <c r="B6" s="1" t="s">
        <v>180</v>
      </c>
      <c r="C6" s="1" t="s">
        <v>1671</v>
      </c>
      <c r="D6" s="4"/>
      <c r="E6" s="4"/>
      <c r="F6" s="1" t="s">
        <v>766</v>
      </c>
      <c r="G6" s="1" t="s">
        <v>98</v>
      </c>
      <c r="H6" s="1" t="s">
        <v>298</v>
      </c>
      <c r="I6" s="1" t="s">
        <v>460</v>
      </c>
      <c r="J6" s="1" t="s">
        <v>472</v>
      </c>
      <c r="K6" s="3">
        <v>46200.0</v>
      </c>
      <c r="N6" s="1" t="s">
        <v>15742</v>
      </c>
      <c r="O6" s="1" t="s">
        <v>762</v>
      </c>
    </row>
    <row r="7">
      <c r="A7" s="1" t="s">
        <v>771</v>
      </c>
      <c r="B7" s="1" t="s">
        <v>180</v>
      </c>
      <c r="C7" s="1" t="s">
        <v>1179</v>
      </c>
      <c r="D7" s="4"/>
      <c r="E7" s="4"/>
      <c r="F7" s="1" t="s">
        <v>773</v>
      </c>
      <c r="G7" s="1" t="s">
        <v>71</v>
      </c>
      <c r="H7" s="1" t="s">
        <v>267</v>
      </c>
      <c r="I7" s="1" t="s">
        <v>162</v>
      </c>
      <c r="J7" s="1" t="s">
        <v>131</v>
      </c>
      <c r="K7" s="3">
        <v>46447.0</v>
      </c>
      <c r="N7" s="1" t="s">
        <v>15745</v>
      </c>
      <c r="O7" s="1" t="s">
        <v>770</v>
      </c>
    </row>
    <row r="8">
      <c r="A8" s="1" t="s">
        <v>778</v>
      </c>
      <c r="B8" s="1" t="s">
        <v>180</v>
      </c>
      <c r="C8" s="1" t="s">
        <v>1179</v>
      </c>
      <c r="D8" s="1" t="s">
        <v>15746</v>
      </c>
      <c r="E8" s="1" t="s">
        <v>41</v>
      </c>
      <c r="F8" s="1" t="s">
        <v>779</v>
      </c>
      <c r="G8" s="1" t="s">
        <v>71</v>
      </c>
      <c r="H8" s="1" t="s">
        <v>298</v>
      </c>
      <c r="I8" s="1" t="s">
        <v>162</v>
      </c>
      <c r="J8" s="1" t="s">
        <v>131</v>
      </c>
      <c r="K8" s="3">
        <v>46357.0</v>
      </c>
      <c r="M8" s="1"/>
      <c r="N8" s="1" t="s">
        <v>15747</v>
      </c>
      <c r="O8" s="1" t="s">
        <v>776</v>
      </c>
    </row>
    <row r="9">
      <c r="A9" s="1" t="s">
        <v>173</v>
      </c>
      <c r="B9" s="1" t="s">
        <v>180</v>
      </c>
      <c r="C9" s="1" t="s">
        <v>1179</v>
      </c>
      <c r="D9" s="1"/>
      <c r="E9" s="1"/>
      <c r="F9" s="1" t="s">
        <v>176</v>
      </c>
      <c r="G9" s="1" t="s">
        <v>572</v>
      </c>
      <c r="H9" s="1" t="s">
        <v>184</v>
      </c>
      <c r="I9" s="1" t="s">
        <v>253</v>
      </c>
      <c r="J9" s="1" t="s">
        <v>365</v>
      </c>
      <c r="K9" s="3">
        <v>46188.0</v>
      </c>
      <c r="L9" s="4"/>
      <c r="M9" s="4"/>
      <c r="N9" s="1" t="s">
        <v>15750</v>
      </c>
      <c r="O9" s="1" t="s">
        <v>170</v>
      </c>
    </row>
    <row r="10">
      <c r="A10" s="1" t="s">
        <v>783</v>
      </c>
      <c r="B10" s="1" t="s">
        <v>180</v>
      </c>
      <c r="C10" s="1" t="s">
        <v>1179</v>
      </c>
      <c r="D10" s="1" t="s">
        <v>15733</v>
      </c>
      <c r="E10" s="1" t="s">
        <v>41</v>
      </c>
      <c r="F10" s="1" t="s">
        <v>784</v>
      </c>
      <c r="G10" s="1" t="s">
        <v>71</v>
      </c>
      <c r="H10" s="1" t="s">
        <v>47</v>
      </c>
      <c r="I10" s="1" t="s">
        <v>460</v>
      </c>
      <c r="J10" s="1" t="s">
        <v>365</v>
      </c>
      <c r="K10" s="3">
        <v>46279.0</v>
      </c>
      <c r="M10" s="1" t="s">
        <v>15753</v>
      </c>
      <c r="N10" s="1" t="s">
        <v>15754</v>
      </c>
      <c r="O10" s="1" t="s">
        <v>782</v>
      </c>
    </row>
    <row r="11">
      <c r="A11" s="1" t="s">
        <v>15755</v>
      </c>
      <c r="B11" s="1" t="s">
        <v>180</v>
      </c>
      <c r="C11" s="1" t="s">
        <v>1179</v>
      </c>
      <c r="D11" s="1"/>
      <c r="E11" s="1"/>
      <c r="F11" s="1" t="s">
        <v>15756</v>
      </c>
      <c r="G11" s="1"/>
      <c r="H11" s="1"/>
      <c r="I11" s="1"/>
      <c r="J11" s="1" t="s">
        <v>131</v>
      </c>
      <c r="K11" s="3">
        <v>44872.0</v>
      </c>
      <c r="M11" s="1"/>
      <c r="N11" s="1"/>
      <c r="O11" s="1" t="s">
        <v>15758</v>
      </c>
    </row>
    <row r="12">
      <c r="A12" s="1" t="s">
        <v>796</v>
      </c>
      <c r="B12" s="1" t="s">
        <v>180</v>
      </c>
      <c r="C12" s="1" t="s">
        <v>1179</v>
      </c>
      <c r="D12" s="4"/>
      <c r="E12" s="4"/>
      <c r="F12" s="1" t="s">
        <v>797</v>
      </c>
      <c r="G12" s="1" t="s">
        <v>71</v>
      </c>
      <c r="H12" s="1" t="s">
        <v>47</v>
      </c>
      <c r="I12" s="1" t="s">
        <v>162</v>
      </c>
      <c r="J12" s="1" t="s">
        <v>131</v>
      </c>
      <c r="K12" s="3">
        <v>46661.0</v>
      </c>
      <c r="M12" s="1" t="s">
        <v>183</v>
      </c>
      <c r="N12" s="1" t="s">
        <v>15760</v>
      </c>
      <c r="O12" s="1" t="s">
        <v>794</v>
      </c>
    </row>
    <row r="13">
      <c r="A13" s="1" t="s">
        <v>804</v>
      </c>
      <c r="B13" s="1" t="s">
        <v>180</v>
      </c>
      <c r="C13" s="1" t="s">
        <v>1179</v>
      </c>
      <c r="D13" s="4"/>
      <c r="E13" s="4"/>
      <c r="F13" s="1" t="s">
        <v>807</v>
      </c>
      <c r="G13" s="1" t="s">
        <v>98</v>
      </c>
      <c r="H13" s="1" t="s">
        <v>141</v>
      </c>
      <c r="I13" s="1" t="s">
        <v>460</v>
      </c>
      <c r="J13" s="1" t="s">
        <v>131</v>
      </c>
      <c r="K13" s="3">
        <v>46362.0</v>
      </c>
      <c r="M13" s="1"/>
      <c r="N13" s="1" t="s">
        <v>15763</v>
      </c>
      <c r="O13" s="1" t="s">
        <v>802</v>
      </c>
    </row>
    <row r="14">
      <c r="A14" s="1" t="s">
        <v>812</v>
      </c>
      <c r="B14" s="1" t="s">
        <v>180</v>
      </c>
      <c r="C14" s="1" t="s">
        <v>1179</v>
      </c>
      <c r="D14" s="4"/>
      <c r="E14" s="4"/>
      <c r="F14" s="1" t="s">
        <v>814</v>
      </c>
      <c r="G14" s="1" t="s">
        <v>71</v>
      </c>
      <c r="H14" s="1" t="s">
        <v>47</v>
      </c>
      <c r="I14" s="1" t="s">
        <v>460</v>
      </c>
      <c r="J14" s="1" t="s">
        <v>131</v>
      </c>
      <c r="K14" s="3">
        <v>46293.0</v>
      </c>
      <c r="M14" s="1" t="s">
        <v>11537</v>
      </c>
      <c r="N14" s="1" t="s">
        <v>15766</v>
      </c>
      <c r="O14" s="1" t="s">
        <v>810</v>
      </c>
    </row>
    <row r="15">
      <c r="A15" s="1" t="s">
        <v>818</v>
      </c>
      <c r="B15" s="1" t="s">
        <v>180</v>
      </c>
      <c r="C15" s="1" t="s">
        <v>1179</v>
      </c>
      <c r="D15" s="4"/>
      <c r="E15" s="4"/>
      <c r="F15" s="1" t="s">
        <v>819</v>
      </c>
      <c r="G15" s="1" t="s">
        <v>71</v>
      </c>
      <c r="H15" s="1" t="s">
        <v>267</v>
      </c>
      <c r="I15" s="1" t="s">
        <v>335</v>
      </c>
      <c r="J15" s="1" t="s">
        <v>131</v>
      </c>
      <c r="K15" s="3">
        <v>46539.0</v>
      </c>
      <c r="M15" s="1"/>
      <c r="N15" s="1" t="s">
        <v>15767</v>
      </c>
      <c r="O15" s="1" t="s">
        <v>817</v>
      </c>
    </row>
    <row r="16">
      <c r="A16" s="1" t="s">
        <v>822</v>
      </c>
      <c r="B16" s="1" t="s">
        <v>180</v>
      </c>
      <c r="C16" s="1" t="s">
        <v>1671</v>
      </c>
      <c r="D16" s="4"/>
      <c r="E16" s="4"/>
      <c r="F16" s="1" t="s">
        <v>823</v>
      </c>
      <c r="G16" s="1" t="s">
        <v>98</v>
      </c>
      <c r="H16" s="1" t="s">
        <v>227</v>
      </c>
      <c r="I16" s="1" t="s">
        <v>216</v>
      </c>
      <c r="J16" s="1" t="s">
        <v>131</v>
      </c>
      <c r="K16" s="3">
        <v>45839.0</v>
      </c>
      <c r="L16" s="1" t="s">
        <v>140</v>
      </c>
      <c r="M16" s="4"/>
      <c r="N16" s="1" t="s">
        <v>15770</v>
      </c>
      <c r="O16" s="1" t="s">
        <v>821</v>
      </c>
    </row>
    <row r="17">
      <c r="A17" s="1" t="s">
        <v>832</v>
      </c>
      <c r="B17" s="1" t="s">
        <v>60</v>
      </c>
      <c r="C17" s="1" t="s">
        <v>1671</v>
      </c>
      <c r="D17" s="4"/>
      <c r="E17" s="4"/>
      <c r="F17" s="1" t="s">
        <v>834</v>
      </c>
      <c r="G17" s="1" t="s">
        <v>71</v>
      </c>
      <c r="H17" s="1" t="s">
        <v>141</v>
      </c>
      <c r="I17" s="1" t="s">
        <v>335</v>
      </c>
      <c r="J17" s="1" t="s">
        <v>131</v>
      </c>
      <c r="K17" s="3">
        <v>46373.0</v>
      </c>
      <c r="L17" s="1"/>
      <c r="M17" s="4"/>
      <c r="N17" s="1">
        <v>3304377.0</v>
      </c>
      <c r="O17" s="1" t="s">
        <v>830</v>
      </c>
    </row>
    <row r="18">
      <c r="A18" s="1" t="s">
        <v>837</v>
      </c>
      <c r="B18" s="1" t="s">
        <v>180</v>
      </c>
      <c r="C18" s="1" t="s">
        <v>1671</v>
      </c>
      <c r="D18" s="4"/>
      <c r="E18" s="4"/>
      <c r="F18" s="1" t="s">
        <v>839</v>
      </c>
      <c r="G18" s="1" t="s">
        <v>98</v>
      </c>
      <c r="H18" s="1" t="s">
        <v>227</v>
      </c>
      <c r="I18" s="1" t="s">
        <v>460</v>
      </c>
      <c r="J18" s="1" t="s">
        <v>472</v>
      </c>
      <c r="K18" s="3">
        <v>46022.0</v>
      </c>
      <c r="L18" s="1" t="s">
        <v>15773</v>
      </c>
      <c r="N18" s="1" t="s">
        <v>15774</v>
      </c>
      <c r="O18" s="1" t="s">
        <v>836</v>
      </c>
    </row>
    <row r="19">
      <c r="A19" s="1" t="s">
        <v>842</v>
      </c>
      <c r="B19" s="1" t="s">
        <v>180</v>
      </c>
      <c r="C19" s="1" t="s">
        <v>1179</v>
      </c>
      <c r="D19" s="4"/>
      <c r="E19" s="4"/>
      <c r="F19" s="1" t="s">
        <v>845</v>
      </c>
      <c r="G19" s="1" t="s">
        <v>98</v>
      </c>
      <c r="H19" s="1" t="s">
        <v>267</v>
      </c>
      <c r="I19" s="1" t="s">
        <v>460</v>
      </c>
      <c r="J19" s="1" t="s">
        <v>131</v>
      </c>
      <c r="K19" s="3">
        <v>46263.0</v>
      </c>
      <c r="L19" s="1"/>
      <c r="M19" s="4"/>
      <c r="N19" s="1" t="s">
        <v>15775</v>
      </c>
      <c r="O19" s="1" t="s">
        <v>840</v>
      </c>
    </row>
    <row r="20">
      <c r="A20" s="1" t="s">
        <v>847</v>
      </c>
      <c r="B20" s="1" t="s">
        <v>180</v>
      </c>
      <c r="C20" s="1" t="s">
        <v>1179</v>
      </c>
      <c r="D20" s="4"/>
      <c r="E20" s="4"/>
      <c r="F20" s="1" t="s">
        <v>849</v>
      </c>
      <c r="G20" s="1" t="s">
        <v>71</v>
      </c>
      <c r="H20" s="1" t="s">
        <v>141</v>
      </c>
      <c r="I20" s="1" t="s">
        <v>335</v>
      </c>
      <c r="J20" s="1" t="s">
        <v>131</v>
      </c>
      <c r="K20" s="3"/>
      <c r="M20" s="4"/>
      <c r="N20" s="1" t="s">
        <v>15778</v>
      </c>
      <c r="O20" s="1" t="s">
        <v>816</v>
      </c>
    </row>
    <row r="21">
      <c r="A21" s="1" t="s">
        <v>259</v>
      </c>
      <c r="B21" s="1" t="s">
        <v>180</v>
      </c>
      <c r="C21" s="1" t="s">
        <v>1179</v>
      </c>
      <c r="D21" s="4"/>
      <c r="E21" s="4"/>
      <c r="F21" s="1" t="s">
        <v>261</v>
      </c>
      <c r="G21" s="1" t="s">
        <v>98</v>
      </c>
      <c r="H21" s="1" t="s">
        <v>267</v>
      </c>
      <c r="I21" s="1" t="s">
        <v>216</v>
      </c>
      <c r="J21" s="1" t="s">
        <v>131</v>
      </c>
      <c r="K21" s="3">
        <v>46178.0</v>
      </c>
      <c r="L21" s="4"/>
      <c r="N21" s="1" t="s">
        <v>15779</v>
      </c>
      <c r="O21" s="1" t="s">
        <v>258</v>
      </c>
    </row>
    <row r="22">
      <c r="A22" s="1" t="s">
        <v>855</v>
      </c>
      <c r="B22" s="1" t="s">
        <v>180</v>
      </c>
      <c r="C22" s="1" t="s">
        <v>1179</v>
      </c>
      <c r="D22" s="4"/>
      <c r="E22" s="4"/>
      <c r="F22" s="1" t="s">
        <v>856</v>
      </c>
      <c r="G22" s="1" t="s">
        <v>71</v>
      </c>
      <c r="H22" s="1" t="s">
        <v>141</v>
      </c>
      <c r="I22" s="1" t="s">
        <v>460</v>
      </c>
      <c r="J22" s="1" t="s">
        <v>131</v>
      </c>
      <c r="K22" s="3">
        <v>46374.0</v>
      </c>
      <c r="L22" s="4"/>
      <c r="N22" s="1" t="s">
        <v>15782</v>
      </c>
      <c r="O22" s="1" t="s">
        <v>853</v>
      </c>
    </row>
    <row r="23">
      <c r="A23" s="1" t="s">
        <v>861</v>
      </c>
      <c r="B23" s="1" t="s">
        <v>180</v>
      </c>
      <c r="C23" s="1" t="s">
        <v>1179</v>
      </c>
      <c r="D23" s="1" t="s">
        <v>15733</v>
      </c>
      <c r="E23" s="1" t="s">
        <v>41</v>
      </c>
      <c r="F23" s="1" t="s">
        <v>863</v>
      </c>
      <c r="G23" s="1" t="s">
        <v>98</v>
      </c>
      <c r="H23" s="1" t="s">
        <v>47</v>
      </c>
      <c r="I23" s="1" t="s">
        <v>460</v>
      </c>
      <c r="J23" s="1" t="s">
        <v>131</v>
      </c>
      <c r="K23" s="3">
        <v>46204.0</v>
      </c>
      <c r="L23" s="4"/>
      <c r="M23" s="1" t="s">
        <v>1866</v>
      </c>
      <c r="N23" s="1" t="s">
        <v>15785</v>
      </c>
      <c r="O23" s="1" t="s">
        <v>859</v>
      </c>
    </row>
    <row r="24">
      <c r="A24" s="1" t="s">
        <v>358</v>
      </c>
      <c r="B24" s="1" t="s">
        <v>180</v>
      </c>
      <c r="C24" s="1" t="s">
        <v>1179</v>
      </c>
      <c r="D24" s="1"/>
      <c r="E24" s="1"/>
      <c r="F24" s="1" t="s">
        <v>873</v>
      </c>
      <c r="G24" s="1" t="s">
        <v>71</v>
      </c>
      <c r="H24" s="1" t="s">
        <v>267</v>
      </c>
      <c r="I24" s="1" t="s">
        <v>162</v>
      </c>
      <c r="J24" s="1" t="s">
        <v>131</v>
      </c>
      <c r="K24" s="3">
        <v>46083.0</v>
      </c>
      <c r="L24" s="1" t="s">
        <v>361</v>
      </c>
      <c r="M24" s="1"/>
      <c r="N24" s="1" t="s">
        <v>15787</v>
      </c>
      <c r="O24" s="1" t="s">
        <v>869</v>
      </c>
    </row>
    <row r="25">
      <c r="A25" s="1" t="s">
        <v>358</v>
      </c>
      <c r="B25" s="1" t="s">
        <v>180</v>
      </c>
      <c r="C25" s="1" t="s">
        <v>1179</v>
      </c>
      <c r="D25" s="4"/>
      <c r="E25" s="4"/>
      <c r="F25" s="1" t="s">
        <v>362</v>
      </c>
      <c r="G25" s="1" t="s">
        <v>71</v>
      </c>
      <c r="H25" s="1" t="s">
        <v>267</v>
      </c>
      <c r="I25" s="1" t="s">
        <v>216</v>
      </c>
      <c r="J25" s="1" t="s">
        <v>131</v>
      </c>
      <c r="K25" s="3">
        <v>46141.0</v>
      </c>
      <c r="L25" s="1" t="s">
        <v>361</v>
      </c>
      <c r="M25" s="4"/>
      <c r="N25" s="1" t="s">
        <v>15787</v>
      </c>
      <c r="O25" s="1" t="s">
        <v>866</v>
      </c>
    </row>
    <row r="26">
      <c r="A26" s="1" t="s">
        <v>877</v>
      </c>
      <c r="B26" s="1" t="s">
        <v>180</v>
      </c>
      <c r="C26" s="1" t="s">
        <v>1179</v>
      </c>
      <c r="D26" s="4"/>
      <c r="E26" s="4"/>
      <c r="F26" s="1" t="s">
        <v>878</v>
      </c>
      <c r="G26" s="1" t="s">
        <v>98</v>
      </c>
      <c r="H26" s="1" t="s">
        <v>267</v>
      </c>
      <c r="I26" s="1" t="s">
        <v>460</v>
      </c>
      <c r="J26" s="1" t="s">
        <v>131</v>
      </c>
      <c r="K26" s="3">
        <v>46272.0</v>
      </c>
      <c r="L26" s="1"/>
      <c r="M26" s="4"/>
      <c r="N26" s="1" t="s">
        <v>15791</v>
      </c>
      <c r="O26" s="1" t="s">
        <v>876</v>
      </c>
    </row>
    <row r="27">
      <c r="A27" s="1" t="s">
        <v>882</v>
      </c>
      <c r="B27" s="1" t="s">
        <v>180</v>
      </c>
      <c r="C27" s="1" t="s">
        <v>1179</v>
      </c>
      <c r="D27" s="1" t="s">
        <v>15733</v>
      </c>
      <c r="E27" s="1" t="s">
        <v>41</v>
      </c>
      <c r="F27" s="1" t="s">
        <v>883</v>
      </c>
      <c r="G27" s="1" t="s">
        <v>71</v>
      </c>
      <c r="H27" s="1" t="s">
        <v>47</v>
      </c>
      <c r="I27" s="1" t="s">
        <v>460</v>
      </c>
      <c r="J27" s="1" t="s">
        <v>472</v>
      </c>
      <c r="K27" s="3">
        <v>46370.0</v>
      </c>
      <c r="L27" s="4"/>
      <c r="M27" s="1" t="s">
        <v>140</v>
      </c>
      <c r="N27" s="1" t="s">
        <v>15793</v>
      </c>
      <c r="O27" s="1" t="s">
        <v>881</v>
      </c>
    </row>
    <row r="28">
      <c r="A28" s="1" t="s">
        <v>897</v>
      </c>
      <c r="B28" s="1" t="s">
        <v>180</v>
      </c>
      <c r="C28" s="1" t="s">
        <v>1179</v>
      </c>
      <c r="D28" s="1"/>
      <c r="E28" s="1"/>
      <c r="F28" s="1" t="s">
        <v>899</v>
      </c>
      <c r="G28" s="1" t="s">
        <v>71</v>
      </c>
      <c r="H28" s="1" t="s">
        <v>900</v>
      </c>
      <c r="I28" s="1" t="s">
        <v>253</v>
      </c>
      <c r="J28" s="1" t="s">
        <v>131</v>
      </c>
      <c r="K28" s="3">
        <v>45928.0</v>
      </c>
      <c r="L28" s="4"/>
      <c r="M28" s="1"/>
      <c r="N28" s="1" t="s">
        <v>15795</v>
      </c>
      <c r="O28" s="1" t="s">
        <v>896</v>
      </c>
    </row>
    <row r="29">
      <c r="A29" s="1" t="s">
        <v>539</v>
      </c>
      <c r="B29" s="1" t="s">
        <v>180</v>
      </c>
      <c r="C29" s="1" t="s">
        <v>1179</v>
      </c>
      <c r="D29" s="4"/>
      <c r="E29" s="4"/>
      <c r="F29" s="1" t="s">
        <v>541</v>
      </c>
      <c r="G29" s="1" t="s">
        <v>71</v>
      </c>
      <c r="H29" s="1" t="s">
        <v>540</v>
      </c>
      <c r="I29" s="1" t="s">
        <v>253</v>
      </c>
      <c r="J29" s="1" t="s">
        <v>131</v>
      </c>
      <c r="K29" s="3">
        <v>46192.0</v>
      </c>
      <c r="M29" s="4"/>
      <c r="N29" s="1" t="s">
        <v>15798</v>
      </c>
      <c r="O29" s="1" t="s">
        <v>904</v>
      </c>
    </row>
    <row r="30">
      <c r="A30" s="1" t="s">
        <v>910</v>
      </c>
      <c r="B30" s="1" t="s">
        <v>180</v>
      </c>
      <c r="C30" s="1" t="s">
        <v>1179</v>
      </c>
      <c r="D30" s="4"/>
      <c r="E30" s="4"/>
      <c r="F30" s="1" t="s">
        <v>911</v>
      </c>
      <c r="G30" s="1" t="s">
        <v>71</v>
      </c>
      <c r="H30" s="1" t="s">
        <v>267</v>
      </c>
      <c r="I30" s="1" t="s">
        <v>253</v>
      </c>
      <c r="J30" s="1" t="s">
        <v>131</v>
      </c>
      <c r="K30" s="3">
        <v>46192.0</v>
      </c>
      <c r="M30" s="4"/>
      <c r="N30" s="1" t="s">
        <v>15801</v>
      </c>
      <c r="O30" s="1" t="s">
        <v>908</v>
      </c>
    </row>
    <row r="31">
      <c r="A31" s="1" t="s">
        <v>918</v>
      </c>
      <c r="B31" s="1" t="s">
        <v>180</v>
      </c>
      <c r="C31" s="1" t="s">
        <v>1179</v>
      </c>
      <c r="D31" s="4"/>
      <c r="E31" s="4"/>
      <c r="F31" s="1" t="s">
        <v>299</v>
      </c>
      <c r="G31" s="1" t="s">
        <v>98</v>
      </c>
      <c r="H31" s="1"/>
      <c r="I31" s="1" t="s">
        <v>129</v>
      </c>
      <c r="J31" s="1" t="s">
        <v>131</v>
      </c>
      <c r="K31" s="3"/>
      <c r="N31" s="1"/>
      <c r="O31" s="1" t="s">
        <v>916</v>
      </c>
    </row>
    <row r="32">
      <c r="A32" s="1" t="s">
        <v>925</v>
      </c>
      <c r="B32" s="1" t="s">
        <v>180</v>
      </c>
      <c r="C32" s="1" t="s">
        <v>1179</v>
      </c>
      <c r="D32" s="4"/>
      <c r="E32" s="4"/>
      <c r="F32" s="1" t="s">
        <v>926</v>
      </c>
      <c r="G32" s="1" t="s">
        <v>98</v>
      </c>
      <c r="H32" s="1" t="s">
        <v>141</v>
      </c>
      <c r="I32" s="1" t="s">
        <v>253</v>
      </c>
      <c r="J32" s="1" t="s">
        <v>131</v>
      </c>
      <c r="K32" s="3">
        <v>45816.0</v>
      </c>
      <c r="L32" s="1" t="s">
        <v>15804</v>
      </c>
      <c r="N32" s="1" t="s">
        <v>15805</v>
      </c>
      <c r="O32" s="1" t="s">
        <v>922</v>
      </c>
    </row>
    <row r="33">
      <c r="A33" s="1" t="s">
        <v>930</v>
      </c>
      <c r="B33" s="1" t="s">
        <v>180</v>
      </c>
      <c r="C33" s="1" t="s">
        <v>1179</v>
      </c>
      <c r="D33" s="4"/>
      <c r="E33" s="4"/>
      <c r="F33" s="1" t="s">
        <v>932</v>
      </c>
      <c r="G33" s="1" t="s">
        <v>71</v>
      </c>
      <c r="H33" s="1" t="s">
        <v>95</v>
      </c>
      <c r="I33" s="1" t="s">
        <v>460</v>
      </c>
      <c r="J33" s="1" t="s">
        <v>131</v>
      </c>
      <c r="K33" s="3"/>
      <c r="L33" s="1"/>
      <c r="N33" s="1" t="s">
        <v>15808</v>
      </c>
      <c r="O33" s="1" t="s">
        <v>373</v>
      </c>
    </row>
    <row r="34">
      <c r="A34" s="1" t="s">
        <v>935</v>
      </c>
      <c r="B34" s="1" t="s">
        <v>180</v>
      </c>
      <c r="C34" s="1" t="s">
        <v>1671</v>
      </c>
      <c r="D34" s="4"/>
      <c r="E34" s="4"/>
      <c r="F34" s="1" t="s">
        <v>937</v>
      </c>
      <c r="G34" s="1" t="s">
        <v>98</v>
      </c>
      <c r="H34" s="1" t="s">
        <v>227</v>
      </c>
      <c r="I34" s="1" t="s">
        <v>460</v>
      </c>
      <c r="J34" s="1" t="s">
        <v>472</v>
      </c>
      <c r="K34" s="3">
        <v>46361.0</v>
      </c>
      <c r="L34" s="1" t="s">
        <v>361</v>
      </c>
      <c r="N34" s="1" t="s">
        <v>15810</v>
      </c>
      <c r="O34" s="1" t="s">
        <v>934</v>
      </c>
    </row>
    <row r="35">
      <c r="A35" s="1" t="s">
        <v>942</v>
      </c>
      <c r="B35" s="1" t="s">
        <v>180</v>
      </c>
      <c r="C35" s="1" t="s">
        <v>1671</v>
      </c>
      <c r="D35" s="4"/>
      <c r="E35" s="4"/>
      <c r="F35" s="1" t="s">
        <v>945</v>
      </c>
      <c r="G35" s="1" t="s">
        <v>98</v>
      </c>
      <c r="H35" s="1"/>
      <c r="I35" s="1" t="s">
        <v>129</v>
      </c>
      <c r="J35" s="1" t="s">
        <v>131</v>
      </c>
      <c r="K35" s="3"/>
      <c r="L35" s="1"/>
      <c r="N35" s="1"/>
      <c r="O35" s="1" t="s">
        <v>941</v>
      </c>
    </row>
    <row r="36">
      <c r="A36" s="1" t="s">
        <v>947</v>
      </c>
      <c r="B36" s="1" t="s">
        <v>180</v>
      </c>
      <c r="C36" s="1" t="s">
        <v>1179</v>
      </c>
      <c r="D36" s="4"/>
      <c r="E36" s="4"/>
      <c r="F36" s="1" t="s">
        <v>948</v>
      </c>
      <c r="G36" s="1" t="s">
        <v>71</v>
      </c>
      <c r="H36" s="1" t="s">
        <v>141</v>
      </c>
      <c r="I36" s="1" t="s">
        <v>162</v>
      </c>
      <c r="J36" s="1" t="s">
        <v>131</v>
      </c>
      <c r="K36" s="13"/>
      <c r="L36" s="4"/>
      <c r="N36" s="1" t="s">
        <v>15815</v>
      </c>
      <c r="O36" s="1" t="s">
        <v>946</v>
      </c>
    </row>
    <row r="37">
      <c r="A37" s="1" t="s">
        <v>951</v>
      </c>
      <c r="B37" s="1" t="s">
        <v>180</v>
      </c>
      <c r="C37" s="1" t="s">
        <v>1179</v>
      </c>
      <c r="D37" s="4"/>
      <c r="E37" s="4"/>
      <c r="F37" s="1" t="s">
        <v>953</v>
      </c>
      <c r="G37" s="1" t="s">
        <v>71</v>
      </c>
      <c r="H37" s="1" t="s">
        <v>540</v>
      </c>
      <c r="I37" s="1" t="s">
        <v>162</v>
      </c>
      <c r="J37" s="1" t="s">
        <v>131</v>
      </c>
      <c r="L37" s="4"/>
      <c r="N37" s="1" t="s">
        <v>15817</v>
      </c>
      <c r="O37" s="1" t="s">
        <v>950</v>
      </c>
    </row>
    <row r="38">
      <c r="A38" s="1" t="s">
        <v>955</v>
      </c>
      <c r="B38" s="1" t="s">
        <v>180</v>
      </c>
      <c r="C38" s="1" t="s">
        <v>1179</v>
      </c>
      <c r="D38" s="4"/>
      <c r="E38" s="4"/>
      <c r="F38" s="1" t="s">
        <v>958</v>
      </c>
      <c r="G38" s="1" t="s">
        <v>98</v>
      </c>
      <c r="H38" s="1" t="s">
        <v>267</v>
      </c>
      <c r="I38" s="1" t="s">
        <v>460</v>
      </c>
      <c r="J38" s="1" t="s">
        <v>365</v>
      </c>
      <c r="K38" s="3">
        <v>46274.0</v>
      </c>
      <c r="N38" s="1" t="s">
        <v>15819</v>
      </c>
      <c r="O38" s="1" t="s">
        <v>50</v>
      </c>
    </row>
    <row r="39">
      <c r="A39" s="1" t="s">
        <v>965</v>
      </c>
      <c r="B39" s="1" t="s">
        <v>180</v>
      </c>
      <c r="C39" s="1" t="s">
        <v>1179</v>
      </c>
      <c r="D39" s="1" t="s">
        <v>15733</v>
      </c>
      <c r="E39" s="1" t="s">
        <v>41</v>
      </c>
      <c r="F39" s="1" t="s">
        <v>966</v>
      </c>
      <c r="G39" s="1" t="s">
        <v>98</v>
      </c>
      <c r="H39" s="1" t="s">
        <v>540</v>
      </c>
      <c r="I39" s="1" t="s">
        <v>162</v>
      </c>
      <c r="J39" s="1" t="s">
        <v>131</v>
      </c>
      <c r="K39" s="3">
        <v>46332.0</v>
      </c>
      <c r="M39" s="4"/>
      <c r="N39" s="1" t="s">
        <v>15821</v>
      </c>
      <c r="O39" s="1" t="s">
        <v>964</v>
      </c>
    </row>
    <row r="40">
      <c r="A40" s="1" t="s">
        <v>122</v>
      </c>
      <c r="B40" s="1" t="s">
        <v>180</v>
      </c>
      <c r="C40" s="1" t="s">
        <v>1671</v>
      </c>
      <c r="D40" s="1" t="s">
        <v>15822</v>
      </c>
      <c r="E40" s="1" t="s">
        <v>41</v>
      </c>
      <c r="F40" s="1" t="s">
        <v>15756</v>
      </c>
      <c r="G40" s="1"/>
      <c r="H40" s="1"/>
      <c r="I40" s="1"/>
      <c r="J40" s="1" t="s">
        <v>131</v>
      </c>
      <c r="K40" s="3">
        <v>45811.0</v>
      </c>
      <c r="L40" s="4"/>
      <c r="M40" s="1"/>
      <c r="N40" s="1"/>
      <c r="O40" s="1" t="s">
        <v>15823</v>
      </c>
    </row>
    <row r="41">
      <c r="A41" s="1" t="s">
        <v>122</v>
      </c>
      <c r="B41" s="1" t="s">
        <v>180</v>
      </c>
      <c r="C41" s="1" t="s">
        <v>1671</v>
      </c>
      <c r="D41" s="1" t="s">
        <v>15822</v>
      </c>
      <c r="E41" s="1" t="s">
        <v>41</v>
      </c>
      <c r="F41" s="1" t="s">
        <v>125</v>
      </c>
      <c r="G41" s="1" t="s">
        <v>98</v>
      </c>
      <c r="H41" s="1" t="s">
        <v>47</v>
      </c>
      <c r="I41" s="1" t="s">
        <v>162</v>
      </c>
      <c r="J41" s="1" t="s">
        <v>131</v>
      </c>
      <c r="K41" s="3">
        <v>46230.0</v>
      </c>
      <c r="L41" s="4"/>
      <c r="M41" s="1" t="s">
        <v>140</v>
      </c>
      <c r="N41" s="1" t="s">
        <v>15826</v>
      </c>
      <c r="O41" s="1" t="s">
        <v>968</v>
      </c>
    </row>
    <row r="42">
      <c r="A42" s="1" t="s">
        <v>974</v>
      </c>
      <c r="B42" s="1" t="s">
        <v>180</v>
      </c>
      <c r="C42" s="1" t="s">
        <v>1179</v>
      </c>
      <c r="D42" s="1"/>
      <c r="E42" s="1"/>
      <c r="F42" s="1" t="s">
        <v>980</v>
      </c>
      <c r="G42" s="1" t="s">
        <v>98</v>
      </c>
      <c r="H42" s="1" t="s">
        <v>267</v>
      </c>
      <c r="I42" s="1" t="s">
        <v>162</v>
      </c>
      <c r="J42" s="1" t="s">
        <v>131</v>
      </c>
      <c r="K42" s="3">
        <v>46185.0</v>
      </c>
      <c r="L42" s="1" t="s">
        <v>140</v>
      </c>
      <c r="M42" s="1"/>
      <c r="N42" s="1" t="s">
        <v>15827</v>
      </c>
      <c r="O42" s="1" t="s">
        <v>979</v>
      </c>
    </row>
    <row r="43">
      <c r="A43" s="1" t="s">
        <v>974</v>
      </c>
      <c r="B43" s="1" t="s">
        <v>180</v>
      </c>
      <c r="C43" s="1" t="s">
        <v>1179</v>
      </c>
      <c r="D43" s="4"/>
      <c r="E43" s="4"/>
      <c r="F43" s="1" t="s">
        <v>975</v>
      </c>
      <c r="G43" s="1" t="s">
        <v>98</v>
      </c>
      <c r="H43" s="1" t="s">
        <v>267</v>
      </c>
      <c r="I43" s="1" t="s">
        <v>216</v>
      </c>
      <c r="J43" s="1" t="s">
        <v>131</v>
      </c>
      <c r="K43" s="3">
        <v>45911.0</v>
      </c>
      <c r="L43" s="1" t="s">
        <v>140</v>
      </c>
      <c r="M43" s="4"/>
      <c r="N43" s="1" t="s">
        <v>15829</v>
      </c>
      <c r="O43" s="1" t="s">
        <v>972</v>
      </c>
    </row>
    <row r="44">
      <c r="A44" s="1" t="s">
        <v>248</v>
      </c>
      <c r="B44" s="1" t="s">
        <v>180</v>
      </c>
      <c r="C44" s="1" t="s">
        <v>1179</v>
      </c>
      <c r="D44" s="1" t="s">
        <v>15733</v>
      </c>
      <c r="E44" s="1" t="s">
        <v>41</v>
      </c>
      <c r="F44" s="1" t="s">
        <v>980</v>
      </c>
      <c r="G44" s="1" t="s">
        <v>71</v>
      </c>
      <c r="H44" s="1" t="s">
        <v>47</v>
      </c>
      <c r="I44" s="1" t="s">
        <v>460</v>
      </c>
      <c r="J44" s="1" t="s">
        <v>131</v>
      </c>
      <c r="K44" s="3">
        <v>46204.0</v>
      </c>
      <c r="L44" s="1"/>
      <c r="M44" s="1" t="s">
        <v>64</v>
      </c>
      <c r="N44" s="1" t="s">
        <v>15831</v>
      </c>
      <c r="O44" s="1" t="s">
        <v>987</v>
      </c>
    </row>
    <row r="45">
      <c r="A45" s="1" t="s">
        <v>248</v>
      </c>
      <c r="B45" s="1" t="s">
        <v>180</v>
      </c>
      <c r="C45" s="1" t="s">
        <v>1179</v>
      </c>
      <c r="D45" s="1" t="s">
        <v>15733</v>
      </c>
      <c r="E45" s="1" t="s">
        <v>41</v>
      </c>
      <c r="F45" s="1" t="s">
        <v>254</v>
      </c>
      <c r="G45" s="1" t="s">
        <v>71</v>
      </c>
      <c r="H45" s="1" t="s">
        <v>47</v>
      </c>
      <c r="I45" s="1" t="s">
        <v>253</v>
      </c>
      <c r="J45" s="1" t="s">
        <v>131</v>
      </c>
      <c r="K45" s="3">
        <v>46173.0</v>
      </c>
      <c r="L45" s="4"/>
      <c r="M45" s="1" t="s">
        <v>64</v>
      </c>
      <c r="N45" s="1" t="s">
        <v>15832</v>
      </c>
      <c r="O45" s="1" t="s">
        <v>984</v>
      </c>
    </row>
    <row r="46">
      <c r="A46" s="1" t="s">
        <v>993</v>
      </c>
      <c r="B46" s="1" t="s">
        <v>180</v>
      </c>
      <c r="C46" s="1" t="s">
        <v>1671</v>
      </c>
      <c r="D46" s="1"/>
      <c r="E46" s="1"/>
      <c r="F46" s="1" t="s">
        <v>1001</v>
      </c>
      <c r="G46" s="1" t="s">
        <v>98</v>
      </c>
      <c r="H46" s="1"/>
      <c r="I46" s="1" t="s">
        <v>129</v>
      </c>
      <c r="J46" s="1" t="s">
        <v>131</v>
      </c>
      <c r="K46" s="3"/>
      <c r="L46" s="1"/>
      <c r="M46" s="1"/>
      <c r="N46" s="1" t="s">
        <v>15834</v>
      </c>
      <c r="O46" s="1" t="s">
        <v>999</v>
      </c>
    </row>
    <row r="47">
      <c r="A47" s="1" t="s">
        <v>993</v>
      </c>
      <c r="B47" s="1" t="s">
        <v>180</v>
      </c>
      <c r="C47" s="1" t="s">
        <v>1671</v>
      </c>
      <c r="D47" s="4"/>
      <c r="E47" s="4"/>
      <c r="F47" s="1" t="s">
        <v>996</v>
      </c>
      <c r="G47" s="1" t="s">
        <v>98</v>
      </c>
      <c r="H47" s="1" t="s">
        <v>227</v>
      </c>
      <c r="I47" s="1" t="s">
        <v>460</v>
      </c>
      <c r="J47" s="1" t="s">
        <v>131</v>
      </c>
      <c r="K47" s="3">
        <v>46569.0</v>
      </c>
      <c r="L47" s="1" t="s">
        <v>15836</v>
      </c>
      <c r="M47" s="4"/>
      <c r="N47" s="1" t="s">
        <v>15837</v>
      </c>
      <c r="O47" s="1" t="s">
        <v>992</v>
      </c>
    </row>
    <row r="48">
      <c r="A48" s="1" t="s">
        <v>1003</v>
      </c>
      <c r="B48" s="1" t="s">
        <v>180</v>
      </c>
      <c r="C48" s="1" t="s">
        <v>1179</v>
      </c>
      <c r="D48" s="4"/>
      <c r="E48" s="4"/>
      <c r="F48" s="1" t="s">
        <v>1006</v>
      </c>
      <c r="G48" s="1" t="s">
        <v>71</v>
      </c>
      <c r="H48" s="1" t="s">
        <v>540</v>
      </c>
      <c r="I48" s="1" t="s">
        <v>335</v>
      </c>
      <c r="J48" s="1" t="s">
        <v>131</v>
      </c>
      <c r="K48" s="3">
        <v>46538.0</v>
      </c>
      <c r="L48" s="1"/>
      <c r="M48" s="4"/>
      <c r="N48" s="1" t="s">
        <v>15839</v>
      </c>
      <c r="O48" s="1" t="s">
        <v>1002</v>
      </c>
    </row>
    <row r="49">
      <c r="A49" s="1" t="s">
        <v>55</v>
      </c>
      <c r="B49" s="1" t="s">
        <v>180</v>
      </c>
      <c r="C49" s="1" t="s">
        <v>1179</v>
      </c>
      <c r="D49" s="1" t="s">
        <v>15733</v>
      </c>
      <c r="E49" s="1" t="s">
        <v>41</v>
      </c>
      <c r="F49" s="1" t="s">
        <v>56</v>
      </c>
      <c r="G49" s="1" t="s">
        <v>71</v>
      </c>
      <c r="H49" s="1" t="s">
        <v>47</v>
      </c>
      <c r="I49" s="1" t="s">
        <v>335</v>
      </c>
      <c r="J49" s="1" t="s">
        <v>131</v>
      </c>
      <c r="K49" s="3">
        <v>46269.0</v>
      </c>
      <c r="M49" s="1" t="s">
        <v>68</v>
      </c>
      <c r="N49" s="1" t="s">
        <v>15841</v>
      </c>
      <c r="O49" s="1" t="s">
        <v>53</v>
      </c>
    </row>
    <row r="50">
      <c r="A50" s="1" t="s">
        <v>1010</v>
      </c>
      <c r="B50" s="1" t="s">
        <v>180</v>
      </c>
      <c r="C50" s="1" t="s">
        <v>1179</v>
      </c>
      <c r="D50" s="1"/>
      <c r="E50" s="1"/>
      <c r="F50" s="1" t="s">
        <v>1011</v>
      </c>
      <c r="G50" s="1" t="s">
        <v>71</v>
      </c>
      <c r="H50" s="1" t="s">
        <v>267</v>
      </c>
      <c r="I50" s="1" t="s">
        <v>460</v>
      </c>
      <c r="J50" s="1" t="s">
        <v>131</v>
      </c>
      <c r="K50" s="3">
        <v>46278.0</v>
      </c>
      <c r="M50" s="1"/>
      <c r="N50" s="1" t="s">
        <v>15843</v>
      </c>
      <c r="O50" s="1" t="s">
        <v>1009</v>
      </c>
    </row>
    <row r="51">
      <c r="A51" s="1" t="s">
        <v>15845</v>
      </c>
      <c r="B51" s="1" t="s">
        <v>180</v>
      </c>
      <c r="C51" s="1" t="s">
        <v>1179</v>
      </c>
      <c r="D51" s="4"/>
      <c r="E51" s="4"/>
      <c r="F51" s="1" t="s">
        <v>15756</v>
      </c>
      <c r="G51" s="1"/>
      <c r="H51" s="1"/>
      <c r="I51" s="1"/>
      <c r="J51" s="1" t="s">
        <v>131</v>
      </c>
      <c r="K51" s="3">
        <v>45783.0</v>
      </c>
      <c r="M51" s="4"/>
      <c r="N51" s="1"/>
      <c r="O51" s="1" t="s">
        <v>15846</v>
      </c>
    </row>
    <row r="52">
      <c r="A52" s="1" t="s">
        <v>1014</v>
      </c>
      <c r="B52" s="1" t="s">
        <v>180</v>
      </c>
      <c r="C52" s="1" t="s">
        <v>1179</v>
      </c>
      <c r="D52" s="4"/>
      <c r="E52" s="4"/>
      <c r="F52" s="1" t="s">
        <v>1015</v>
      </c>
      <c r="G52" s="1" t="s">
        <v>71</v>
      </c>
      <c r="H52" s="1" t="s">
        <v>141</v>
      </c>
      <c r="I52" s="1" t="s">
        <v>460</v>
      </c>
      <c r="J52" s="1" t="s">
        <v>365</v>
      </c>
      <c r="K52" s="3">
        <v>46219.0</v>
      </c>
      <c r="N52" s="1" t="s">
        <v>15849</v>
      </c>
      <c r="O52" s="1" t="s">
        <v>1013</v>
      </c>
    </row>
    <row r="53">
      <c r="A53" s="1" t="s">
        <v>477</v>
      </c>
      <c r="B53" s="1" t="s">
        <v>180</v>
      </c>
      <c r="C53" s="1" t="s">
        <v>1179</v>
      </c>
      <c r="D53" s="4"/>
      <c r="E53" s="4"/>
      <c r="F53" s="1" t="s">
        <v>480</v>
      </c>
      <c r="G53" s="1" t="s">
        <v>98</v>
      </c>
      <c r="H53" s="1" t="s">
        <v>267</v>
      </c>
      <c r="I53" s="1" t="s">
        <v>216</v>
      </c>
      <c r="J53" s="1" t="s">
        <v>131</v>
      </c>
      <c r="K53" s="3">
        <v>45867.0</v>
      </c>
      <c r="N53" s="1" t="s">
        <v>15851</v>
      </c>
      <c r="O53" s="1" t="s">
        <v>15852</v>
      </c>
    </row>
    <row r="54">
      <c r="A54" s="1" t="s">
        <v>1019</v>
      </c>
      <c r="B54" s="1" t="s">
        <v>180</v>
      </c>
      <c r="C54" s="1" t="s">
        <v>1179</v>
      </c>
      <c r="D54" s="4"/>
      <c r="E54" s="4"/>
      <c r="F54" s="1" t="s">
        <v>1022</v>
      </c>
      <c r="G54" s="1" t="s">
        <v>98</v>
      </c>
      <c r="H54" s="1" t="s">
        <v>267</v>
      </c>
      <c r="I54" s="1" t="s">
        <v>460</v>
      </c>
      <c r="J54" s="1" t="s">
        <v>131</v>
      </c>
      <c r="K54" s="3">
        <v>46194.0</v>
      </c>
      <c r="M54" s="4"/>
      <c r="N54" s="1" t="s">
        <v>15854</v>
      </c>
      <c r="O54" s="1" t="s">
        <v>1017</v>
      </c>
    </row>
    <row r="55">
      <c r="A55" s="1" t="s">
        <v>1026</v>
      </c>
      <c r="B55" s="1" t="s">
        <v>180</v>
      </c>
      <c r="C55" s="1" t="s">
        <v>1179</v>
      </c>
      <c r="D55" s="4"/>
      <c r="E55" s="4"/>
      <c r="F55" s="1" t="s">
        <v>1028</v>
      </c>
      <c r="G55" s="1" t="s">
        <v>71</v>
      </c>
      <c r="H55" s="1" t="s">
        <v>141</v>
      </c>
      <c r="I55" s="1" t="s">
        <v>460</v>
      </c>
      <c r="J55" s="1" t="s">
        <v>131</v>
      </c>
      <c r="K55" s="3">
        <v>46266.0</v>
      </c>
      <c r="N55" s="1" t="s">
        <v>15857</v>
      </c>
      <c r="O55" s="1" t="s">
        <v>1025</v>
      </c>
    </row>
    <row r="56">
      <c r="A56" s="1" t="s">
        <v>1032</v>
      </c>
      <c r="B56" s="1" t="s">
        <v>180</v>
      </c>
      <c r="C56" s="1" t="s">
        <v>1179</v>
      </c>
      <c r="D56" s="4"/>
      <c r="E56" s="4"/>
      <c r="F56" s="1" t="s">
        <v>1033</v>
      </c>
      <c r="G56" s="1" t="s">
        <v>98</v>
      </c>
      <c r="H56" s="1" t="s">
        <v>267</v>
      </c>
      <c r="I56" s="1" t="s">
        <v>253</v>
      </c>
      <c r="J56" s="1" t="s">
        <v>131</v>
      </c>
      <c r="K56" s="3">
        <v>46006.0</v>
      </c>
      <c r="L56" s="4"/>
      <c r="N56" s="1" t="s">
        <v>15858</v>
      </c>
      <c r="O56" s="1" t="s">
        <v>1029</v>
      </c>
    </row>
    <row r="57">
      <c r="A57" s="1" t="s">
        <v>1038</v>
      </c>
      <c r="B57" s="1" t="s">
        <v>180</v>
      </c>
      <c r="C57" s="1" t="s">
        <v>1179</v>
      </c>
      <c r="D57" s="4"/>
      <c r="E57" s="4"/>
      <c r="F57" s="1" t="s">
        <v>1039</v>
      </c>
      <c r="G57" s="1" t="s">
        <v>71</v>
      </c>
      <c r="H57" s="1" t="s">
        <v>540</v>
      </c>
      <c r="I57" s="1" t="s">
        <v>460</v>
      </c>
      <c r="J57" s="1" t="s">
        <v>131</v>
      </c>
      <c r="K57" s="3">
        <v>46318.0</v>
      </c>
      <c r="M57" s="4"/>
      <c r="N57" s="1" t="s">
        <v>15861</v>
      </c>
      <c r="O57" s="1" t="s">
        <v>1036</v>
      </c>
    </row>
    <row r="58">
      <c r="A58" s="1" t="s">
        <v>1043</v>
      </c>
      <c r="B58" s="1" t="s">
        <v>180</v>
      </c>
      <c r="C58" s="1" t="s">
        <v>1179</v>
      </c>
      <c r="D58" s="4"/>
      <c r="E58" s="4"/>
      <c r="F58" s="1" t="s">
        <v>1044</v>
      </c>
      <c r="G58" s="1" t="s">
        <v>71</v>
      </c>
      <c r="H58" s="1" t="s">
        <v>141</v>
      </c>
      <c r="I58" s="1" t="s">
        <v>460</v>
      </c>
      <c r="J58" s="1" t="s">
        <v>131</v>
      </c>
      <c r="K58" s="3">
        <v>46237.0</v>
      </c>
      <c r="L58" s="4"/>
      <c r="M58" s="4"/>
      <c r="N58" s="1" t="s">
        <v>15863</v>
      </c>
      <c r="O58" s="1" t="s">
        <v>1041</v>
      </c>
    </row>
    <row r="59">
      <c r="A59" s="1" t="s">
        <v>151</v>
      </c>
      <c r="B59" s="1" t="s">
        <v>180</v>
      </c>
      <c r="C59" s="1" t="s">
        <v>1671</v>
      </c>
      <c r="D59" s="1" t="s">
        <v>15733</v>
      </c>
      <c r="E59" s="1" t="s">
        <v>41</v>
      </c>
      <c r="F59" s="1" t="s">
        <v>154</v>
      </c>
      <c r="G59" s="1" t="s">
        <v>98</v>
      </c>
      <c r="H59" s="1" t="s">
        <v>163</v>
      </c>
      <c r="I59" s="1" t="s">
        <v>216</v>
      </c>
      <c r="J59" s="1" t="s">
        <v>131</v>
      </c>
      <c r="K59" s="3">
        <v>46184.0</v>
      </c>
      <c r="L59" s="4"/>
      <c r="M59" s="4"/>
      <c r="N59" s="1" t="s">
        <v>15865</v>
      </c>
      <c r="O59" s="1" t="s">
        <v>148</v>
      </c>
    </row>
    <row r="60">
      <c r="A60" s="1" t="s">
        <v>315</v>
      </c>
      <c r="B60" s="1" t="s">
        <v>180</v>
      </c>
      <c r="C60" s="1" t="s">
        <v>1179</v>
      </c>
      <c r="D60" s="1" t="s">
        <v>15733</v>
      </c>
      <c r="E60" s="1" t="s">
        <v>41</v>
      </c>
      <c r="F60" s="1" t="s">
        <v>317</v>
      </c>
      <c r="G60" s="1" t="s">
        <v>71</v>
      </c>
      <c r="H60" s="1" t="s">
        <v>47</v>
      </c>
      <c r="I60" s="1" t="s">
        <v>216</v>
      </c>
      <c r="J60" s="1" t="s">
        <v>131</v>
      </c>
      <c r="K60" s="3">
        <v>46184.0</v>
      </c>
      <c r="L60" s="4"/>
      <c r="M60" s="1" t="s">
        <v>323</v>
      </c>
      <c r="N60" s="1" t="s">
        <v>15866</v>
      </c>
      <c r="O60" s="1" t="s">
        <v>314</v>
      </c>
    </row>
    <row r="61">
      <c r="A61" s="1" t="s">
        <v>315</v>
      </c>
      <c r="B61" s="1" t="s">
        <v>180</v>
      </c>
      <c r="C61" s="1" t="s">
        <v>1179</v>
      </c>
      <c r="D61" s="1" t="s">
        <v>15733</v>
      </c>
      <c r="E61" s="1" t="s">
        <v>41</v>
      </c>
      <c r="F61" s="1" t="s">
        <v>1057</v>
      </c>
      <c r="G61" s="1" t="s">
        <v>71</v>
      </c>
      <c r="H61" s="1" t="s">
        <v>47</v>
      </c>
      <c r="I61" s="1" t="s">
        <v>162</v>
      </c>
      <c r="J61" s="1" t="s">
        <v>131</v>
      </c>
      <c r="K61" s="3"/>
      <c r="L61" s="4"/>
      <c r="M61" s="1"/>
      <c r="N61" s="1"/>
      <c r="O61" s="1" t="s">
        <v>1056</v>
      </c>
    </row>
    <row r="62">
      <c r="A62" s="1" t="s">
        <v>1062</v>
      </c>
      <c r="B62" s="1" t="s">
        <v>180</v>
      </c>
      <c r="C62" s="1" t="s">
        <v>1671</v>
      </c>
      <c r="D62" s="1"/>
      <c r="E62" s="1"/>
      <c r="F62" s="1" t="s">
        <v>1064</v>
      </c>
      <c r="G62" s="1" t="s">
        <v>15869</v>
      </c>
      <c r="H62" s="1" t="s">
        <v>227</v>
      </c>
      <c r="I62" s="1" t="s">
        <v>460</v>
      </c>
      <c r="J62" s="1" t="s">
        <v>131</v>
      </c>
      <c r="K62" s="3">
        <v>46283.0</v>
      </c>
      <c r="L62" s="1" t="s">
        <v>15804</v>
      </c>
      <c r="M62" s="1"/>
      <c r="N62" s="1" t="s">
        <v>15870</v>
      </c>
      <c r="O62" s="1" t="s">
        <v>1060</v>
      </c>
    </row>
    <row r="63">
      <c r="A63" s="1" t="s">
        <v>1071</v>
      </c>
      <c r="B63" s="1" t="s">
        <v>180</v>
      </c>
      <c r="C63" s="1" t="s">
        <v>1179</v>
      </c>
      <c r="D63" s="1" t="s">
        <v>15733</v>
      </c>
      <c r="E63" s="1" t="s">
        <v>41</v>
      </c>
      <c r="F63" s="1" t="s">
        <v>1073</v>
      </c>
      <c r="G63" s="1" t="s">
        <v>98</v>
      </c>
      <c r="H63" s="1" t="s">
        <v>47</v>
      </c>
      <c r="I63" s="1" t="s">
        <v>335</v>
      </c>
      <c r="J63" s="1" t="s">
        <v>131</v>
      </c>
      <c r="K63" s="3">
        <v>46216.0</v>
      </c>
      <c r="L63" s="1"/>
      <c r="M63" s="1" t="s">
        <v>15873</v>
      </c>
      <c r="N63" s="1" t="s">
        <v>15874</v>
      </c>
      <c r="O63" s="1" t="s">
        <v>1069</v>
      </c>
    </row>
    <row r="64">
      <c r="A64" s="1" t="s">
        <v>1079</v>
      </c>
      <c r="B64" s="1" t="s">
        <v>60</v>
      </c>
      <c r="C64" s="1" t="s">
        <v>1179</v>
      </c>
      <c r="D64" s="1"/>
      <c r="E64" s="1"/>
      <c r="F64" s="1" t="s">
        <v>1080</v>
      </c>
      <c r="G64" s="1" t="s">
        <v>98</v>
      </c>
      <c r="H64" s="1" t="s">
        <v>540</v>
      </c>
      <c r="I64" s="1" t="s">
        <v>460</v>
      </c>
      <c r="J64" s="1" t="s">
        <v>131</v>
      </c>
      <c r="K64" s="3">
        <v>46251.0</v>
      </c>
      <c r="M64" s="1"/>
      <c r="N64" s="1" t="s">
        <v>15876</v>
      </c>
      <c r="O64" s="1" t="s">
        <v>1077</v>
      </c>
    </row>
    <row r="65">
      <c r="A65" s="1" t="s">
        <v>1085</v>
      </c>
      <c r="B65" s="1" t="s">
        <v>180</v>
      </c>
      <c r="C65" s="1" t="s">
        <v>1671</v>
      </c>
      <c r="D65" s="4"/>
      <c r="E65" s="4"/>
      <c r="F65" s="1" t="s">
        <v>1087</v>
      </c>
      <c r="G65" s="1" t="s">
        <v>3438</v>
      </c>
      <c r="H65" s="1" t="s">
        <v>298</v>
      </c>
      <c r="I65" s="1" t="s">
        <v>162</v>
      </c>
      <c r="J65" s="1" t="s">
        <v>131</v>
      </c>
      <c r="K65" s="3">
        <v>46384.0</v>
      </c>
      <c r="M65" s="4"/>
      <c r="N65" s="1" t="s">
        <v>15878</v>
      </c>
      <c r="O65" s="1" t="s">
        <v>1083</v>
      </c>
    </row>
    <row r="66">
      <c r="A66" s="1" t="s">
        <v>1091</v>
      </c>
      <c r="B66" s="1" t="s">
        <v>180</v>
      </c>
      <c r="C66" s="1" t="s">
        <v>1671</v>
      </c>
      <c r="D66" s="4"/>
      <c r="E66" s="4"/>
      <c r="F66" s="1" t="s">
        <v>1092</v>
      </c>
      <c r="G66" s="1" t="s">
        <v>98</v>
      </c>
      <c r="H66" s="1" t="s">
        <v>227</v>
      </c>
      <c r="I66" s="1" t="s">
        <v>162</v>
      </c>
      <c r="J66" s="1" t="s">
        <v>131</v>
      </c>
      <c r="K66" s="3"/>
      <c r="L66" s="4"/>
      <c r="M66" s="4"/>
      <c r="N66" s="1"/>
      <c r="O66" s="1" t="s">
        <v>1089</v>
      </c>
    </row>
    <row r="67">
      <c r="A67" s="1" t="s">
        <v>1096</v>
      </c>
      <c r="B67" s="1" t="s">
        <v>60</v>
      </c>
      <c r="C67" s="1" t="s">
        <v>1179</v>
      </c>
      <c r="D67" s="4"/>
      <c r="E67" s="4"/>
      <c r="F67" s="1" t="s">
        <v>1098</v>
      </c>
      <c r="G67" s="1" t="s">
        <v>71</v>
      </c>
      <c r="H67" s="1" t="s">
        <v>267</v>
      </c>
      <c r="I67" s="1" t="s">
        <v>335</v>
      </c>
      <c r="J67" s="1" t="s">
        <v>131</v>
      </c>
      <c r="K67" s="3">
        <v>46539.0</v>
      </c>
      <c r="L67" s="4"/>
      <c r="M67" s="4"/>
      <c r="N67" s="1" t="s">
        <v>15881</v>
      </c>
      <c r="O67" s="1" t="s">
        <v>1093</v>
      </c>
    </row>
    <row r="68">
      <c r="A68" s="1" t="s">
        <v>1101</v>
      </c>
      <c r="B68" s="1" t="s">
        <v>180</v>
      </c>
      <c r="C68" s="1" t="s">
        <v>1179</v>
      </c>
      <c r="D68" s="1" t="s">
        <v>15733</v>
      </c>
      <c r="E68" s="1" t="s">
        <v>41</v>
      </c>
      <c r="F68" s="1" t="s">
        <v>1103</v>
      </c>
      <c r="G68" s="1" t="s">
        <v>98</v>
      </c>
      <c r="H68" s="1" t="s">
        <v>47</v>
      </c>
      <c r="I68" s="1" t="s">
        <v>335</v>
      </c>
      <c r="J68" s="1" t="s">
        <v>131</v>
      </c>
      <c r="K68" s="3">
        <v>46296.0</v>
      </c>
      <c r="L68" s="4"/>
      <c r="M68" s="1" t="s">
        <v>15884</v>
      </c>
      <c r="N68" s="1" t="s">
        <v>15885</v>
      </c>
      <c r="O68" s="1" t="s">
        <v>1100</v>
      </c>
    </row>
    <row r="69">
      <c r="A69" s="1" t="s">
        <v>1106</v>
      </c>
      <c r="B69" s="1" t="s">
        <v>180</v>
      </c>
      <c r="C69" s="1" t="s">
        <v>1179</v>
      </c>
      <c r="D69" s="1"/>
      <c r="E69" s="1"/>
      <c r="F69" s="1" t="s">
        <v>1108</v>
      </c>
      <c r="G69" s="1" t="s">
        <v>98</v>
      </c>
      <c r="H69" s="1" t="s">
        <v>227</v>
      </c>
      <c r="I69" s="1" t="s">
        <v>216</v>
      </c>
      <c r="J69" s="1" t="s">
        <v>131</v>
      </c>
      <c r="K69" s="3">
        <v>45611.0</v>
      </c>
      <c r="L69" s="4"/>
      <c r="M69" s="1"/>
      <c r="N69" s="1" t="s">
        <v>15886</v>
      </c>
      <c r="O69" s="1" t="s">
        <v>1105</v>
      </c>
    </row>
    <row r="70">
      <c r="A70" s="1" t="s">
        <v>1114</v>
      </c>
      <c r="B70" s="1" t="s">
        <v>180</v>
      </c>
      <c r="C70" s="1" t="s">
        <v>1671</v>
      </c>
      <c r="D70" s="4"/>
      <c r="E70" s="4"/>
      <c r="F70" s="1" t="s">
        <v>1115</v>
      </c>
      <c r="G70" s="1" t="s">
        <v>98</v>
      </c>
      <c r="H70" s="1" t="s">
        <v>540</v>
      </c>
      <c r="I70" s="1" t="s">
        <v>335</v>
      </c>
      <c r="J70" s="1" t="s">
        <v>472</v>
      </c>
      <c r="K70" s="3">
        <v>46271.0</v>
      </c>
      <c r="L70" s="1" t="s">
        <v>11156</v>
      </c>
      <c r="M70" s="4"/>
      <c r="N70" s="1" t="s">
        <v>15890</v>
      </c>
      <c r="O70" s="1" t="s">
        <v>1112</v>
      </c>
    </row>
    <row r="71">
      <c r="A71" s="1" t="s">
        <v>1120</v>
      </c>
      <c r="B71" s="1" t="s">
        <v>180</v>
      </c>
      <c r="C71" s="1" t="s">
        <v>1179</v>
      </c>
      <c r="D71" s="4"/>
      <c r="E71" s="4"/>
      <c r="F71" s="1" t="s">
        <v>1122</v>
      </c>
      <c r="G71" s="1" t="s">
        <v>98</v>
      </c>
      <c r="H71" s="1" t="s">
        <v>267</v>
      </c>
      <c r="I71" s="1" t="s">
        <v>162</v>
      </c>
      <c r="J71" s="1" t="s">
        <v>131</v>
      </c>
      <c r="K71" s="3">
        <v>46357.0</v>
      </c>
      <c r="L71" s="1"/>
      <c r="M71" s="4"/>
      <c r="N71" s="1" t="s">
        <v>15891</v>
      </c>
      <c r="O71" s="1" t="s">
        <v>1119</v>
      </c>
    </row>
    <row r="72">
      <c r="A72" s="1" t="s">
        <v>1125</v>
      </c>
      <c r="B72" s="1" t="s">
        <v>180</v>
      </c>
      <c r="C72" s="1" t="s">
        <v>1179</v>
      </c>
      <c r="D72" s="1" t="s">
        <v>15733</v>
      </c>
      <c r="E72" s="1" t="s">
        <v>41</v>
      </c>
      <c r="F72" s="1" t="s">
        <v>1126</v>
      </c>
      <c r="G72" s="1" t="s">
        <v>71</v>
      </c>
      <c r="H72" s="1" t="s">
        <v>47</v>
      </c>
      <c r="I72" s="1" t="s">
        <v>253</v>
      </c>
      <c r="J72" s="1" t="s">
        <v>131</v>
      </c>
      <c r="K72" s="3">
        <v>46098.0</v>
      </c>
      <c r="L72" s="4"/>
      <c r="M72" s="1" t="s">
        <v>140</v>
      </c>
      <c r="N72" s="1" t="s">
        <v>15894</v>
      </c>
      <c r="O72" s="1" t="s">
        <v>1123</v>
      </c>
    </row>
    <row r="73">
      <c r="A73" s="1" t="s">
        <v>1132</v>
      </c>
      <c r="B73" s="1" t="s">
        <v>180</v>
      </c>
      <c r="C73" s="1" t="s">
        <v>1179</v>
      </c>
      <c r="D73" s="1"/>
      <c r="E73" s="1"/>
      <c r="F73" s="1" t="s">
        <v>1133</v>
      </c>
      <c r="G73" s="1" t="s">
        <v>98</v>
      </c>
      <c r="H73" s="1" t="s">
        <v>47</v>
      </c>
      <c r="I73" s="1" t="s">
        <v>129</v>
      </c>
      <c r="J73" s="1" t="s">
        <v>131</v>
      </c>
      <c r="K73" s="3">
        <v>46391.0</v>
      </c>
      <c r="M73" s="1" t="s">
        <v>15896</v>
      </c>
      <c r="N73" s="1" t="s">
        <v>15897</v>
      </c>
      <c r="O73" s="1" t="s">
        <v>1130</v>
      </c>
    </row>
    <row r="74">
      <c r="A74" s="1" t="s">
        <v>1135</v>
      </c>
      <c r="B74" s="1" t="s">
        <v>180</v>
      </c>
      <c r="C74" s="1" t="s">
        <v>1671</v>
      </c>
      <c r="D74" s="4"/>
      <c r="E74" s="4"/>
      <c r="F74" s="1" t="s">
        <v>1136</v>
      </c>
      <c r="G74" s="1" t="s">
        <v>98</v>
      </c>
      <c r="H74" s="1" t="s">
        <v>298</v>
      </c>
      <c r="I74" s="1" t="s">
        <v>460</v>
      </c>
      <c r="J74" s="1" t="s">
        <v>131</v>
      </c>
      <c r="K74" s="3">
        <v>46185.0</v>
      </c>
      <c r="M74" s="1"/>
      <c r="N74" s="1" t="s">
        <v>15899</v>
      </c>
      <c r="O74" s="1" t="s">
        <v>1134</v>
      </c>
    </row>
    <row r="75">
      <c r="A75" s="1" t="s">
        <v>223</v>
      </c>
      <c r="B75" s="1" t="s">
        <v>180</v>
      </c>
      <c r="C75" s="1" t="s">
        <v>1179</v>
      </c>
      <c r="D75" s="1" t="s">
        <v>15733</v>
      </c>
      <c r="E75" s="1" t="s">
        <v>41</v>
      </c>
      <c r="F75" s="1" t="s">
        <v>225</v>
      </c>
      <c r="G75" s="1" t="s">
        <v>71</v>
      </c>
      <c r="H75" s="1" t="s">
        <v>47</v>
      </c>
      <c r="I75" s="1" t="s">
        <v>253</v>
      </c>
      <c r="J75" s="1" t="s">
        <v>131</v>
      </c>
      <c r="K75" s="3">
        <v>46204.0</v>
      </c>
      <c r="M75" s="1" t="s">
        <v>234</v>
      </c>
      <c r="N75" s="1" t="s">
        <v>15901</v>
      </c>
      <c r="O75" s="1" t="s">
        <v>220</v>
      </c>
    </row>
    <row r="76">
      <c r="A76" s="1" t="s">
        <v>1146</v>
      </c>
      <c r="B76" s="1" t="s">
        <v>180</v>
      </c>
      <c r="C76" s="1" t="s">
        <v>1179</v>
      </c>
      <c r="D76" s="1"/>
      <c r="E76" s="1"/>
      <c r="F76" s="1" t="s">
        <v>1147</v>
      </c>
      <c r="G76" s="1" t="s">
        <v>71</v>
      </c>
      <c r="H76" s="1" t="s">
        <v>540</v>
      </c>
      <c r="I76" s="1" t="s">
        <v>162</v>
      </c>
      <c r="J76" s="1" t="s">
        <v>131</v>
      </c>
      <c r="K76" s="3"/>
      <c r="M76" s="1"/>
      <c r="N76" s="1" t="s">
        <v>15903</v>
      </c>
      <c r="O76" s="1" t="s">
        <v>1145</v>
      </c>
    </row>
    <row r="77">
      <c r="A77" s="1" t="s">
        <v>1152</v>
      </c>
      <c r="B77" s="1" t="s">
        <v>180</v>
      </c>
      <c r="C77" s="1" t="s">
        <v>1179</v>
      </c>
      <c r="D77" s="4"/>
      <c r="E77" s="4"/>
      <c r="F77" s="1" t="s">
        <v>1154</v>
      </c>
      <c r="G77" s="1" t="s">
        <v>98</v>
      </c>
      <c r="H77" s="1" t="s">
        <v>267</v>
      </c>
      <c r="I77" s="1" t="s">
        <v>253</v>
      </c>
      <c r="J77" s="1" t="s">
        <v>131</v>
      </c>
      <c r="K77" s="3">
        <v>45771.0</v>
      </c>
      <c r="M77" s="4"/>
      <c r="N77" s="1" t="s">
        <v>15905</v>
      </c>
      <c r="O77" s="1" t="s">
        <v>1150</v>
      </c>
    </row>
    <row r="78">
      <c r="A78" s="1" t="s">
        <v>1152</v>
      </c>
      <c r="B78" s="1" t="s">
        <v>180</v>
      </c>
      <c r="C78" s="1" t="s">
        <v>1179</v>
      </c>
      <c r="D78" s="4"/>
      <c r="E78" s="4"/>
      <c r="F78" s="1" t="s">
        <v>1159</v>
      </c>
      <c r="G78" s="1" t="s">
        <v>98</v>
      </c>
      <c r="H78" s="1" t="s">
        <v>267</v>
      </c>
      <c r="I78" s="1" t="s">
        <v>460</v>
      </c>
      <c r="J78" s="1" t="s">
        <v>131</v>
      </c>
      <c r="K78" s="3">
        <v>46204.0</v>
      </c>
      <c r="N78" s="1" t="s">
        <v>15907</v>
      </c>
      <c r="O78" s="1" t="s">
        <v>1157</v>
      </c>
    </row>
    <row r="79">
      <c r="A79" s="1" t="s">
        <v>457</v>
      </c>
      <c r="B79" s="1" t="s">
        <v>180</v>
      </c>
      <c r="C79" s="1" t="s">
        <v>1671</v>
      </c>
      <c r="D79" s="4"/>
      <c r="E79" s="4"/>
      <c r="F79" s="1" t="s">
        <v>461</v>
      </c>
      <c r="G79" s="1" t="s">
        <v>98</v>
      </c>
      <c r="H79" s="1" t="s">
        <v>141</v>
      </c>
      <c r="I79" s="1" t="s">
        <v>253</v>
      </c>
      <c r="J79" s="1" t="s">
        <v>131</v>
      </c>
      <c r="K79" s="3">
        <v>46149.0</v>
      </c>
      <c r="N79" s="1" t="s">
        <v>15909</v>
      </c>
      <c r="O79" s="1" t="s">
        <v>1160</v>
      </c>
    </row>
    <row r="80">
      <c r="A80" s="1" t="s">
        <v>1165</v>
      </c>
      <c r="B80" s="1" t="s">
        <v>180</v>
      </c>
      <c r="C80" s="1" t="s">
        <v>1179</v>
      </c>
      <c r="D80" s="4"/>
      <c r="E80" s="4"/>
      <c r="F80" s="1" t="s">
        <v>1170</v>
      </c>
      <c r="G80" s="1" t="s">
        <v>71</v>
      </c>
      <c r="H80" s="1" t="s">
        <v>267</v>
      </c>
      <c r="I80" s="1" t="s">
        <v>335</v>
      </c>
      <c r="J80" s="1" t="s">
        <v>131</v>
      </c>
      <c r="K80" s="3">
        <v>46367.0</v>
      </c>
      <c r="N80" s="1" t="s">
        <v>15911</v>
      </c>
      <c r="O80" s="1" t="s">
        <v>1169</v>
      </c>
    </row>
    <row r="81">
      <c r="A81" s="1" t="s">
        <v>1165</v>
      </c>
      <c r="B81" s="1" t="s">
        <v>180</v>
      </c>
      <c r="C81" s="1" t="s">
        <v>1179</v>
      </c>
      <c r="D81" s="4"/>
      <c r="E81" s="4"/>
      <c r="F81" s="1" t="s">
        <v>450</v>
      </c>
      <c r="G81" s="1" t="s">
        <v>71</v>
      </c>
      <c r="H81" s="1" t="s">
        <v>267</v>
      </c>
      <c r="I81" s="1" t="s">
        <v>162</v>
      </c>
      <c r="J81" s="1" t="s">
        <v>131</v>
      </c>
      <c r="K81" s="3">
        <v>46283.0</v>
      </c>
      <c r="L81" s="4"/>
      <c r="N81" s="1" t="s">
        <v>15913</v>
      </c>
      <c r="O81" s="1" t="s">
        <v>1164</v>
      </c>
    </row>
    <row r="82">
      <c r="A82" s="1" t="s">
        <v>1172</v>
      </c>
      <c r="B82" s="1" t="s">
        <v>180</v>
      </c>
      <c r="C82" s="1" t="s">
        <v>1671</v>
      </c>
      <c r="D82" s="4"/>
      <c r="E82" s="4"/>
      <c r="F82" s="1" t="s">
        <v>1173</v>
      </c>
      <c r="G82" s="1" t="s">
        <v>98</v>
      </c>
      <c r="H82" s="1" t="s">
        <v>298</v>
      </c>
      <c r="I82" s="1" t="s">
        <v>162</v>
      </c>
      <c r="J82" s="1" t="s">
        <v>131</v>
      </c>
      <c r="K82" s="3">
        <v>46296.0</v>
      </c>
      <c r="L82" s="4"/>
      <c r="N82" s="1" t="s">
        <v>15915</v>
      </c>
      <c r="O82" s="1" t="s">
        <v>843</v>
      </c>
    </row>
    <row r="83">
      <c r="A83" s="1" t="s">
        <v>1177</v>
      </c>
      <c r="B83" s="1" t="s">
        <v>180</v>
      </c>
      <c r="C83" s="1" t="s">
        <v>1671</v>
      </c>
      <c r="D83" s="4"/>
      <c r="E83" s="4"/>
      <c r="F83" s="1" t="s">
        <v>1178</v>
      </c>
      <c r="G83" s="1" t="s">
        <v>71</v>
      </c>
      <c r="H83" s="1" t="s">
        <v>298</v>
      </c>
      <c r="I83" s="1" t="s">
        <v>335</v>
      </c>
      <c r="J83" s="1" t="s">
        <v>131</v>
      </c>
      <c r="K83" s="3"/>
      <c r="M83" s="4"/>
      <c r="N83" s="1" t="s">
        <v>15917</v>
      </c>
      <c r="O83" s="1" t="s">
        <v>1176</v>
      </c>
    </row>
    <row r="84">
      <c r="A84" s="1" t="s">
        <v>1182</v>
      </c>
      <c r="B84" s="1" t="s">
        <v>180</v>
      </c>
      <c r="C84" s="1" t="s">
        <v>1179</v>
      </c>
      <c r="D84" s="4"/>
      <c r="E84" s="4"/>
      <c r="F84" s="1" t="s">
        <v>1183</v>
      </c>
      <c r="G84" s="1" t="s">
        <v>98</v>
      </c>
      <c r="H84" s="1" t="s">
        <v>267</v>
      </c>
      <c r="I84" s="1" t="s">
        <v>335</v>
      </c>
      <c r="J84" s="1" t="s">
        <v>131</v>
      </c>
      <c r="K84" s="3">
        <v>46477.0</v>
      </c>
      <c r="M84" s="4"/>
      <c r="N84" s="1" t="s">
        <v>15919</v>
      </c>
      <c r="O84" s="1" t="s">
        <v>507</v>
      </c>
    </row>
    <row r="85">
      <c r="A85" s="1" t="s">
        <v>368</v>
      </c>
      <c r="B85" s="1" t="s">
        <v>180</v>
      </c>
      <c r="C85" s="1" t="s">
        <v>1671</v>
      </c>
      <c r="D85" s="1" t="s">
        <v>15822</v>
      </c>
      <c r="E85" s="1" t="s">
        <v>41</v>
      </c>
      <c r="F85" s="1" t="s">
        <v>377</v>
      </c>
      <c r="G85" s="1" t="s">
        <v>98</v>
      </c>
      <c r="H85" s="1" t="s">
        <v>376</v>
      </c>
      <c r="I85" s="1" t="s">
        <v>216</v>
      </c>
      <c r="J85" s="1" t="s">
        <v>131</v>
      </c>
      <c r="K85" s="3">
        <v>46139.0</v>
      </c>
      <c r="M85" s="4"/>
      <c r="N85" s="1" t="s">
        <v>15921</v>
      </c>
      <c r="O85" s="1" t="s">
        <v>1190</v>
      </c>
    </row>
    <row r="86">
      <c r="A86" s="1" t="s">
        <v>380</v>
      </c>
      <c r="B86" s="1" t="s">
        <v>180</v>
      </c>
      <c r="C86" s="1" t="s">
        <v>1179</v>
      </c>
      <c r="D86" s="1"/>
      <c r="E86" s="1"/>
      <c r="F86" s="1" t="s">
        <v>386</v>
      </c>
      <c r="G86" s="1" t="s">
        <v>98</v>
      </c>
      <c r="H86" s="1" t="s">
        <v>298</v>
      </c>
      <c r="I86" s="1" t="s">
        <v>162</v>
      </c>
      <c r="J86" s="1" t="s">
        <v>131</v>
      </c>
      <c r="K86" s="3">
        <v>46118.0</v>
      </c>
      <c r="M86" s="4"/>
      <c r="N86" s="1" t="s">
        <v>15922</v>
      </c>
      <c r="O86" s="1" t="s">
        <v>1194</v>
      </c>
    </row>
    <row r="87">
      <c r="A87" s="1" t="s">
        <v>446</v>
      </c>
      <c r="B87" s="1" t="s">
        <v>180</v>
      </c>
      <c r="C87" s="1" t="s">
        <v>1671</v>
      </c>
      <c r="D87" s="1" t="s">
        <v>15924</v>
      </c>
      <c r="E87" s="1" t="s">
        <v>130</v>
      </c>
      <c r="F87" s="1" t="s">
        <v>1201</v>
      </c>
      <c r="G87" s="1" t="s">
        <v>98</v>
      </c>
      <c r="H87" s="1" t="s">
        <v>47</v>
      </c>
      <c r="I87" s="1" t="s">
        <v>460</v>
      </c>
      <c r="J87" s="1" t="s">
        <v>131</v>
      </c>
      <c r="K87" s="3">
        <v>46234.0</v>
      </c>
      <c r="M87" s="1" t="s">
        <v>448</v>
      </c>
      <c r="N87" s="1" t="s">
        <v>15926</v>
      </c>
      <c r="O87" s="1" t="s">
        <v>1198</v>
      </c>
    </row>
    <row r="88">
      <c r="A88" s="1" t="s">
        <v>1205</v>
      </c>
      <c r="B88" s="1" t="s">
        <v>180</v>
      </c>
      <c r="C88" s="1" t="s">
        <v>1179</v>
      </c>
      <c r="D88" s="1" t="s">
        <v>15733</v>
      </c>
      <c r="E88" s="1" t="s">
        <v>41</v>
      </c>
      <c r="F88" s="1" t="s">
        <v>1207</v>
      </c>
      <c r="G88" s="1" t="s">
        <v>71</v>
      </c>
      <c r="H88" s="1" t="s">
        <v>141</v>
      </c>
      <c r="I88" s="1" t="s">
        <v>162</v>
      </c>
      <c r="J88" s="1" t="s">
        <v>131</v>
      </c>
      <c r="K88" s="3"/>
      <c r="M88" s="1"/>
      <c r="N88" s="1" t="s">
        <v>15927</v>
      </c>
      <c r="O88" s="1" t="s">
        <v>1204</v>
      </c>
    </row>
    <row r="89">
      <c r="A89" s="1" t="s">
        <v>1209</v>
      </c>
      <c r="B89" s="1" t="s">
        <v>180</v>
      </c>
      <c r="C89" s="1" t="s">
        <v>1179</v>
      </c>
      <c r="D89" s="1"/>
      <c r="E89" s="1"/>
      <c r="F89" s="1" t="s">
        <v>1215</v>
      </c>
      <c r="G89" s="1" t="s">
        <v>71</v>
      </c>
      <c r="H89" s="1" t="s">
        <v>267</v>
      </c>
      <c r="I89" s="1" t="s">
        <v>253</v>
      </c>
      <c r="J89" s="1" t="s">
        <v>131</v>
      </c>
      <c r="K89" s="3">
        <v>46012.0</v>
      </c>
      <c r="M89" s="1"/>
      <c r="N89" s="1" t="s">
        <v>15930</v>
      </c>
      <c r="O89" s="1" t="s">
        <v>1208</v>
      </c>
    </row>
    <row r="90">
      <c r="A90" s="1" t="s">
        <v>1209</v>
      </c>
      <c r="B90" s="1" t="s">
        <v>180</v>
      </c>
      <c r="C90" s="1" t="s">
        <v>1179</v>
      </c>
      <c r="D90" s="1"/>
      <c r="E90" s="1"/>
      <c r="F90" s="1" t="s">
        <v>1218</v>
      </c>
      <c r="G90" s="1" t="s">
        <v>71</v>
      </c>
      <c r="H90" s="1" t="s">
        <v>267</v>
      </c>
      <c r="I90" s="1" t="s">
        <v>335</v>
      </c>
      <c r="J90" s="1" t="s">
        <v>131</v>
      </c>
      <c r="K90" s="3"/>
      <c r="L90" s="4"/>
      <c r="M90" s="4"/>
      <c r="N90" s="1" t="s">
        <v>15931</v>
      </c>
      <c r="O90" s="1" t="s">
        <v>1217</v>
      </c>
    </row>
    <row r="91">
      <c r="A91" s="1" t="s">
        <v>33</v>
      </c>
      <c r="B91" s="1" t="s">
        <v>180</v>
      </c>
      <c r="C91" s="1" t="s">
        <v>1179</v>
      </c>
      <c r="D91" s="4"/>
      <c r="E91" s="4"/>
      <c r="F91" s="1" t="s">
        <v>35</v>
      </c>
      <c r="G91" s="1" t="s">
        <v>71</v>
      </c>
      <c r="H91" s="1" t="s">
        <v>47</v>
      </c>
      <c r="I91" s="1" t="s">
        <v>162</v>
      </c>
      <c r="J91" s="1" t="s">
        <v>131</v>
      </c>
      <c r="K91" s="3"/>
      <c r="L91" s="4"/>
      <c r="M91" s="1" t="s">
        <v>46</v>
      </c>
      <c r="N91" s="1" t="s">
        <v>15934</v>
      </c>
      <c r="O91" s="1" t="s">
        <v>31</v>
      </c>
    </row>
    <row r="92">
      <c r="A92" s="1" t="s">
        <v>33</v>
      </c>
      <c r="B92" s="1" t="s">
        <v>180</v>
      </c>
      <c r="C92" s="1" t="s">
        <v>1179</v>
      </c>
      <c r="D92" s="4"/>
      <c r="E92" s="4"/>
      <c r="F92" s="1" t="s">
        <v>1222</v>
      </c>
      <c r="G92" s="1" t="s">
        <v>71</v>
      </c>
      <c r="H92" s="1" t="s">
        <v>47</v>
      </c>
      <c r="I92" s="1" t="s">
        <v>253</v>
      </c>
      <c r="J92" s="1" t="s">
        <v>131</v>
      </c>
      <c r="K92" s="3">
        <v>46113.0</v>
      </c>
      <c r="L92" s="4"/>
      <c r="M92" s="1" t="s">
        <v>46</v>
      </c>
      <c r="N92" s="1" t="s">
        <v>15936</v>
      </c>
      <c r="O92" s="1" t="s">
        <v>1220</v>
      </c>
    </row>
    <row r="93">
      <c r="A93" s="1" t="s">
        <v>1235</v>
      </c>
      <c r="B93" s="1" t="s">
        <v>180</v>
      </c>
      <c r="C93" s="1" t="s">
        <v>1179</v>
      </c>
      <c r="D93" s="1" t="s">
        <v>15733</v>
      </c>
      <c r="E93" s="1" t="s">
        <v>41</v>
      </c>
      <c r="F93" s="1" t="s">
        <v>1236</v>
      </c>
      <c r="G93" s="1" t="s">
        <v>71</v>
      </c>
      <c r="H93" s="1" t="s">
        <v>47</v>
      </c>
      <c r="I93" s="1" t="s">
        <v>253</v>
      </c>
      <c r="J93" s="1" t="s">
        <v>131</v>
      </c>
      <c r="K93" s="3">
        <v>46005.0</v>
      </c>
      <c r="L93" s="4"/>
      <c r="M93" s="1" t="s">
        <v>15938</v>
      </c>
      <c r="N93" s="1" t="s">
        <v>15939</v>
      </c>
      <c r="O93" s="1" t="s">
        <v>1234</v>
      </c>
    </row>
    <row r="94">
      <c r="A94" s="1" t="s">
        <v>1244</v>
      </c>
      <c r="B94" s="1" t="s">
        <v>180</v>
      </c>
      <c r="C94" s="1" t="s">
        <v>1179</v>
      </c>
      <c r="D94" s="1"/>
      <c r="E94" s="1"/>
      <c r="F94" s="1" t="s">
        <v>1246</v>
      </c>
      <c r="G94" s="1" t="s">
        <v>71</v>
      </c>
      <c r="H94" s="1" t="s">
        <v>141</v>
      </c>
      <c r="I94" s="1" t="s">
        <v>335</v>
      </c>
      <c r="J94" s="1" t="s">
        <v>131</v>
      </c>
      <c r="K94" s="3">
        <v>46363.0</v>
      </c>
      <c r="L94" s="4"/>
      <c r="M94" s="1"/>
      <c r="N94" s="1" t="s">
        <v>15942</v>
      </c>
      <c r="O94" s="1" t="s">
        <v>1050</v>
      </c>
    </row>
    <row r="95">
      <c r="A95" s="1" t="s">
        <v>1248</v>
      </c>
      <c r="B95" s="1" t="s">
        <v>180</v>
      </c>
      <c r="C95" s="1" t="s">
        <v>1671</v>
      </c>
      <c r="D95" s="1"/>
      <c r="E95" s="1"/>
      <c r="F95" s="1" t="s">
        <v>299</v>
      </c>
      <c r="G95" s="1" t="s">
        <v>98</v>
      </c>
      <c r="H95" s="1" t="s">
        <v>1249</v>
      </c>
      <c r="I95" s="1" t="s">
        <v>216</v>
      </c>
      <c r="J95" s="1" t="s">
        <v>131</v>
      </c>
      <c r="K95" s="3">
        <v>45930.0</v>
      </c>
      <c r="M95" s="1"/>
      <c r="N95" s="1" t="s">
        <v>15943</v>
      </c>
      <c r="O95" s="1" t="s">
        <v>1247</v>
      </c>
    </row>
    <row r="96">
      <c r="A96" s="1" t="s">
        <v>1251</v>
      </c>
      <c r="B96" s="1" t="s">
        <v>60</v>
      </c>
      <c r="C96" s="1" t="s">
        <v>1179</v>
      </c>
      <c r="D96" s="4"/>
      <c r="E96" s="4"/>
      <c r="F96" s="1" t="s">
        <v>1252</v>
      </c>
      <c r="G96" s="1" t="s">
        <v>71</v>
      </c>
      <c r="H96" s="1" t="s">
        <v>540</v>
      </c>
      <c r="I96" s="1" t="s">
        <v>335</v>
      </c>
      <c r="J96" s="1" t="s">
        <v>131</v>
      </c>
      <c r="K96" s="3">
        <v>46374.0</v>
      </c>
      <c r="L96" s="4"/>
      <c r="M96" s="4"/>
      <c r="N96" s="1" t="s">
        <v>15946</v>
      </c>
      <c r="O96" s="1" t="s">
        <v>1250</v>
      </c>
    </row>
    <row r="97">
      <c r="A97" s="1" t="s">
        <v>1255</v>
      </c>
      <c r="B97" s="1" t="s">
        <v>60</v>
      </c>
      <c r="C97" s="1" t="s">
        <v>1179</v>
      </c>
      <c r="D97" s="4"/>
      <c r="E97" s="4"/>
      <c r="F97" s="1" t="s">
        <v>1259</v>
      </c>
      <c r="G97" s="1" t="s">
        <v>71</v>
      </c>
      <c r="H97" s="1" t="s">
        <v>540</v>
      </c>
      <c r="I97" s="1" t="s">
        <v>162</v>
      </c>
      <c r="J97" s="1" t="s">
        <v>131</v>
      </c>
      <c r="K97" s="3">
        <v>46377.0</v>
      </c>
      <c r="L97" s="4"/>
      <c r="M97" s="4"/>
      <c r="N97" s="1" t="s">
        <v>15948</v>
      </c>
      <c r="O97" s="1" t="s">
        <v>1254</v>
      </c>
    </row>
    <row r="98">
      <c r="A98" s="1" t="s">
        <v>1260</v>
      </c>
      <c r="B98" s="1" t="s">
        <v>60</v>
      </c>
      <c r="C98" s="1" t="s">
        <v>1179</v>
      </c>
      <c r="D98" s="4"/>
      <c r="E98" s="4"/>
      <c r="F98" s="1" t="s">
        <v>1261</v>
      </c>
      <c r="G98" s="1" t="s">
        <v>98</v>
      </c>
      <c r="H98" s="1" t="s">
        <v>540</v>
      </c>
      <c r="I98" s="1" t="s">
        <v>253</v>
      </c>
      <c r="J98" s="1" t="s">
        <v>131</v>
      </c>
      <c r="K98" s="3">
        <v>46020.0</v>
      </c>
      <c r="L98" s="4"/>
      <c r="M98" s="1" t="s">
        <v>64</v>
      </c>
      <c r="N98" s="1" t="s">
        <v>15950</v>
      </c>
      <c r="O98" s="1" t="s">
        <v>54</v>
      </c>
    </row>
    <row r="99">
      <c r="A99" s="1" t="s">
        <v>1264</v>
      </c>
      <c r="B99" s="1" t="s">
        <v>60</v>
      </c>
      <c r="C99" s="1" t="s">
        <v>1179</v>
      </c>
      <c r="D99" s="4"/>
      <c r="E99" s="1" t="s">
        <v>41</v>
      </c>
      <c r="F99" s="1" t="s">
        <v>1266</v>
      </c>
      <c r="G99" s="1" t="s">
        <v>98</v>
      </c>
      <c r="H99" s="1" t="s">
        <v>267</v>
      </c>
      <c r="I99" s="1" t="s">
        <v>335</v>
      </c>
      <c r="J99" s="1" t="s">
        <v>131</v>
      </c>
      <c r="K99" s="3">
        <v>46472.0</v>
      </c>
      <c r="L99" s="4"/>
      <c r="M99" s="1"/>
      <c r="N99" s="1" t="s">
        <v>15952</v>
      </c>
      <c r="O99" s="1" t="s">
        <v>1263</v>
      </c>
    </row>
    <row r="100">
      <c r="A100" s="1" t="s">
        <v>1264</v>
      </c>
      <c r="B100" s="1" t="s">
        <v>60</v>
      </c>
      <c r="C100" s="1" t="s">
        <v>1179</v>
      </c>
      <c r="D100" s="4"/>
      <c r="E100" s="1" t="s">
        <v>41</v>
      </c>
      <c r="F100" s="1" t="s">
        <v>1273</v>
      </c>
      <c r="G100" s="1" t="s">
        <v>98</v>
      </c>
      <c r="H100" s="1" t="s">
        <v>47</v>
      </c>
      <c r="I100" s="1" t="s">
        <v>162</v>
      </c>
      <c r="J100" s="1" t="s">
        <v>131</v>
      </c>
      <c r="K100" s="3"/>
      <c r="L100" s="4"/>
      <c r="M100" s="1"/>
      <c r="N100" s="1"/>
      <c r="O100" s="1" t="s">
        <v>1271</v>
      </c>
    </row>
    <row r="101">
      <c r="A101" s="1" t="s">
        <v>1276</v>
      </c>
      <c r="B101" s="1" t="s">
        <v>60</v>
      </c>
      <c r="C101" s="1" t="s">
        <v>1179</v>
      </c>
      <c r="D101" s="4"/>
      <c r="E101" s="1"/>
      <c r="F101" s="1" t="s">
        <v>1277</v>
      </c>
      <c r="G101" s="1" t="s">
        <v>98</v>
      </c>
      <c r="H101" s="1" t="s">
        <v>141</v>
      </c>
      <c r="I101" s="1" t="s">
        <v>162</v>
      </c>
      <c r="J101" s="1" t="s">
        <v>131</v>
      </c>
      <c r="K101" s="3"/>
      <c r="L101" s="4"/>
      <c r="N101" s="1" t="s">
        <v>15955</v>
      </c>
      <c r="O101" s="1" t="s">
        <v>1275</v>
      </c>
    </row>
    <row r="102">
      <c r="A102" s="1" t="s">
        <v>1281</v>
      </c>
      <c r="B102" s="1" t="s">
        <v>60</v>
      </c>
      <c r="C102" s="1" t="s">
        <v>1179</v>
      </c>
      <c r="D102" s="4"/>
      <c r="E102" s="1"/>
      <c r="F102" s="1" t="s">
        <v>1283</v>
      </c>
      <c r="G102" s="1" t="s">
        <v>98</v>
      </c>
      <c r="H102" s="1" t="s">
        <v>267</v>
      </c>
      <c r="I102" s="1" t="s">
        <v>162</v>
      </c>
      <c r="J102" s="1" t="s">
        <v>131</v>
      </c>
      <c r="K102" s="3">
        <v>46569.0</v>
      </c>
      <c r="L102" s="4"/>
      <c r="M102" s="4"/>
      <c r="N102" s="1" t="s">
        <v>15957</v>
      </c>
      <c r="O102" s="1" t="s">
        <v>1279</v>
      </c>
    </row>
    <row r="103">
      <c r="A103" s="1" t="s">
        <v>1290</v>
      </c>
      <c r="B103" s="1" t="s">
        <v>60</v>
      </c>
      <c r="C103" s="1" t="s">
        <v>1671</v>
      </c>
      <c r="D103" s="4"/>
      <c r="E103" s="4"/>
      <c r="F103" s="1" t="s">
        <v>1170</v>
      </c>
      <c r="G103" s="1" t="s">
        <v>98</v>
      </c>
      <c r="H103" s="1" t="s">
        <v>540</v>
      </c>
      <c r="I103" s="1" t="s">
        <v>162</v>
      </c>
      <c r="J103" s="1" t="s">
        <v>131</v>
      </c>
      <c r="K103" s="3"/>
      <c r="L103" s="4"/>
      <c r="M103" s="4"/>
      <c r="N103" s="1" t="s">
        <v>15959</v>
      </c>
      <c r="O103" s="1" t="s">
        <v>1288</v>
      </c>
    </row>
    <row r="104">
      <c r="A104" s="1" t="s">
        <v>1293</v>
      </c>
      <c r="B104" s="1" t="s">
        <v>60</v>
      </c>
      <c r="C104" s="1" t="s">
        <v>1179</v>
      </c>
      <c r="D104" s="4"/>
      <c r="E104" s="4"/>
      <c r="F104" s="1" t="s">
        <v>1294</v>
      </c>
      <c r="G104" s="1" t="s">
        <v>98</v>
      </c>
      <c r="H104" s="1" t="s">
        <v>141</v>
      </c>
      <c r="I104" s="1" t="s">
        <v>335</v>
      </c>
      <c r="J104" s="1" t="s">
        <v>131</v>
      </c>
      <c r="K104" s="3">
        <v>46387.0</v>
      </c>
      <c r="L104" s="4"/>
      <c r="M104" s="4"/>
      <c r="N104" s="1" t="s">
        <v>15961</v>
      </c>
      <c r="O104" s="1" t="s">
        <v>1292</v>
      </c>
    </row>
    <row r="105">
      <c r="A105" s="1" t="s">
        <v>1295</v>
      </c>
      <c r="B105" s="1" t="s">
        <v>60</v>
      </c>
      <c r="C105" s="1" t="s">
        <v>1179</v>
      </c>
      <c r="D105" s="4"/>
      <c r="E105" s="4"/>
      <c r="F105" s="1" t="s">
        <v>1296</v>
      </c>
      <c r="G105" s="1" t="s">
        <v>71</v>
      </c>
      <c r="H105" s="1" t="s">
        <v>540</v>
      </c>
      <c r="I105" s="1" t="s">
        <v>335</v>
      </c>
      <c r="J105" s="1" t="s">
        <v>131</v>
      </c>
      <c r="K105" s="3">
        <v>46458.0</v>
      </c>
      <c r="M105" s="4"/>
      <c r="N105" s="1" t="s">
        <v>15963</v>
      </c>
      <c r="O105" s="1" t="s">
        <v>921</v>
      </c>
    </row>
    <row r="106">
      <c r="A106" s="1" t="s">
        <v>1301</v>
      </c>
      <c r="B106" s="1" t="s">
        <v>180</v>
      </c>
      <c r="C106" s="1" t="s">
        <v>1671</v>
      </c>
      <c r="D106" s="4"/>
      <c r="E106" s="4"/>
      <c r="F106" s="1" t="s">
        <v>1303</v>
      </c>
      <c r="G106" s="1" t="s">
        <v>98</v>
      </c>
      <c r="H106" s="1" t="s">
        <v>227</v>
      </c>
      <c r="I106" s="1" t="s">
        <v>162</v>
      </c>
      <c r="J106" s="1" t="s">
        <v>131</v>
      </c>
      <c r="K106" s="3">
        <v>46660.0</v>
      </c>
      <c r="M106" s="4"/>
      <c r="N106" s="1" t="s">
        <v>15965</v>
      </c>
      <c r="O106" s="1" t="s">
        <v>1299</v>
      </c>
    </row>
    <row r="107">
      <c r="A107" s="1" t="s">
        <v>1307</v>
      </c>
      <c r="B107" s="1" t="s">
        <v>60</v>
      </c>
      <c r="C107" s="1" t="s">
        <v>1179</v>
      </c>
      <c r="D107" s="4"/>
      <c r="E107" s="4"/>
      <c r="F107" s="1" t="s">
        <v>1308</v>
      </c>
      <c r="G107" s="1" t="s">
        <v>71</v>
      </c>
      <c r="H107" s="1" t="s">
        <v>141</v>
      </c>
      <c r="I107" s="1" t="s">
        <v>162</v>
      </c>
      <c r="J107" s="1" t="s">
        <v>131</v>
      </c>
      <c r="K107" s="3">
        <v>46464.0</v>
      </c>
      <c r="M107" s="4"/>
      <c r="N107" s="1" t="s">
        <v>15967</v>
      </c>
      <c r="O107" s="1" t="s">
        <v>1306</v>
      </c>
    </row>
    <row r="108">
      <c r="A108" s="1" t="s">
        <v>1311</v>
      </c>
      <c r="B108" s="1" t="s">
        <v>180</v>
      </c>
      <c r="C108" s="1" t="s">
        <v>1179</v>
      </c>
      <c r="D108" s="1" t="s">
        <v>15733</v>
      </c>
      <c r="E108" s="1" t="s">
        <v>41</v>
      </c>
      <c r="F108" s="1" t="s">
        <v>1312</v>
      </c>
      <c r="G108" s="1" t="s">
        <v>71</v>
      </c>
      <c r="H108" s="1" t="s">
        <v>47</v>
      </c>
      <c r="I108" s="1" t="s">
        <v>460</v>
      </c>
      <c r="J108" s="1" t="s">
        <v>472</v>
      </c>
      <c r="K108" s="3">
        <v>46282.0</v>
      </c>
      <c r="M108" s="1" t="s">
        <v>15753</v>
      </c>
      <c r="N108" s="1" t="s">
        <v>15969</v>
      </c>
      <c r="O108" s="1" t="s">
        <v>1310</v>
      </c>
    </row>
    <row r="109">
      <c r="A109" s="1" t="s">
        <v>1323</v>
      </c>
      <c r="B109" s="1" t="s">
        <v>180</v>
      </c>
      <c r="C109" s="1" t="s">
        <v>1179</v>
      </c>
      <c r="D109" s="1"/>
      <c r="E109" s="1"/>
      <c r="F109" s="1" t="s">
        <v>1325</v>
      </c>
      <c r="G109" s="1" t="s">
        <v>98</v>
      </c>
      <c r="H109" s="1" t="s">
        <v>540</v>
      </c>
      <c r="I109" s="1" t="s">
        <v>335</v>
      </c>
      <c r="J109" s="1" t="s">
        <v>131</v>
      </c>
      <c r="K109" s="3">
        <v>46272.0</v>
      </c>
      <c r="M109" s="1"/>
      <c r="N109" s="1" t="s">
        <v>15972</v>
      </c>
      <c r="O109" s="1" t="s">
        <v>1321</v>
      </c>
    </row>
    <row r="110">
      <c r="A110" s="1" t="s">
        <v>1328</v>
      </c>
      <c r="B110" s="1" t="s">
        <v>180</v>
      </c>
      <c r="C110" s="1" t="s">
        <v>1179</v>
      </c>
      <c r="D110" s="1" t="s">
        <v>15973</v>
      </c>
      <c r="E110" s="1" t="s">
        <v>41</v>
      </c>
      <c r="F110" s="1" t="s">
        <v>1330</v>
      </c>
      <c r="G110" s="1" t="s">
        <v>71</v>
      </c>
      <c r="H110" s="1" t="s">
        <v>47</v>
      </c>
      <c r="I110" s="1" t="s">
        <v>460</v>
      </c>
      <c r="J110" s="1" t="s">
        <v>131</v>
      </c>
      <c r="K110" s="3">
        <v>46104.0</v>
      </c>
      <c r="M110" s="1" t="s">
        <v>15884</v>
      </c>
      <c r="N110" s="1" t="s">
        <v>15976</v>
      </c>
      <c r="O110" s="1" t="s">
        <v>1327</v>
      </c>
    </row>
    <row r="111">
      <c r="A111" s="1" t="s">
        <v>1335</v>
      </c>
      <c r="B111" s="1" t="s">
        <v>60</v>
      </c>
      <c r="C111" s="1" t="s">
        <v>1179</v>
      </c>
      <c r="D111" s="1"/>
      <c r="E111" s="1"/>
      <c r="F111" s="1" t="s">
        <v>1337</v>
      </c>
      <c r="G111" s="1" t="s">
        <v>71</v>
      </c>
      <c r="H111" s="1"/>
      <c r="I111" s="1" t="s">
        <v>129</v>
      </c>
      <c r="J111" s="1" t="s">
        <v>131</v>
      </c>
      <c r="K111" s="3"/>
      <c r="M111" s="1"/>
      <c r="N111" s="1"/>
      <c r="O111" s="1" t="s">
        <v>1334</v>
      </c>
    </row>
    <row r="112">
      <c r="A112" s="1" t="s">
        <v>1340</v>
      </c>
      <c r="B112" s="1" t="s">
        <v>60</v>
      </c>
      <c r="C112" s="1" t="s">
        <v>1671</v>
      </c>
      <c r="D112" s="1" t="s">
        <v>15979</v>
      </c>
      <c r="E112" s="1" t="s">
        <v>130</v>
      </c>
      <c r="F112" s="1" t="s">
        <v>1350</v>
      </c>
      <c r="G112" s="1" t="s">
        <v>98</v>
      </c>
      <c r="H112" s="1" t="s">
        <v>47</v>
      </c>
      <c r="I112" s="1" t="s">
        <v>253</v>
      </c>
      <c r="J112" s="1" t="s">
        <v>131</v>
      </c>
      <c r="K112" s="3">
        <v>46326.0</v>
      </c>
      <c r="L112" s="4"/>
      <c r="M112" s="1" t="s">
        <v>15981</v>
      </c>
      <c r="N112" s="1" t="s">
        <v>15982</v>
      </c>
      <c r="O112" s="1" t="s">
        <v>1348</v>
      </c>
    </row>
    <row r="113">
      <c r="A113" s="1" t="s">
        <v>1340</v>
      </c>
      <c r="B113" s="1" t="s">
        <v>60</v>
      </c>
      <c r="C113" s="1" t="s">
        <v>1671</v>
      </c>
      <c r="D113" s="1" t="s">
        <v>15979</v>
      </c>
      <c r="E113" s="1" t="s">
        <v>130</v>
      </c>
      <c r="F113" s="1" t="s">
        <v>1356</v>
      </c>
      <c r="G113" s="1" t="s">
        <v>98</v>
      </c>
      <c r="H113" s="1" t="s">
        <v>47</v>
      </c>
      <c r="I113" s="1" t="s">
        <v>335</v>
      </c>
      <c r="J113" s="1" t="s">
        <v>131</v>
      </c>
      <c r="K113" s="3">
        <v>46346.0</v>
      </c>
      <c r="M113" s="1" t="s">
        <v>15981</v>
      </c>
      <c r="N113" s="1" t="s">
        <v>15984</v>
      </c>
      <c r="O113" s="1" t="s">
        <v>1354</v>
      </c>
    </row>
    <row r="114">
      <c r="A114" s="1" t="s">
        <v>1340</v>
      </c>
      <c r="B114" s="1" t="s">
        <v>60</v>
      </c>
      <c r="C114" s="1" t="s">
        <v>1671</v>
      </c>
      <c r="D114" s="1" t="s">
        <v>15979</v>
      </c>
      <c r="E114" s="1" t="s">
        <v>130</v>
      </c>
      <c r="F114" s="1" t="s">
        <v>1342</v>
      </c>
      <c r="G114" s="1" t="s">
        <v>98</v>
      </c>
      <c r="H114" s="1" t="s">
        <v>47</v>
      </c>
      <c r="I114" s="1" t="s">
        <v>253</v>
      </c>
      <c r="J114" s="1" t="s">
        <v>131</v>
      </c>
      <c r="K114" s="3">
        <v>46204.0</v>
      </c>
      <c r="M114" s="1" t="s">
        <v>138</v>
      </c>
      <c r="N114" s="1" t="s">
        <v>15987</v>
      </c>
      <c r="O114" s="1" t="s">
        <v>1339</v>
      </c>
    </row>
    <row r="115">
      <c r="A115" s="1" t="s">
        <v>1365</v>
      </c>
      <c r="B115" s="1" t="s">
        <v>60</v>
      </c>
      <c r="C115" s="1" t="s">
        <v>1179</v>
      </c>
      <c r="D115" s="1"/>
      <c r="E115" s="1"/>
      <c r="F115" s="1" t="s">
        <v>1367</v>
      </c>
      <c r="G115" s="1" t="s">
        <v>71</v>
      </c>
      <c r="H115" s="1" t="s">
        <v>540</v>
      </c>
      <c r="I115" s="1" t="s">
        <v>335</v>
      </c>
      <c r="J115" s="1" t="s">
        <v>131</v>
      </c>
      <c r="K115" s="3">
        <v>46290.0</v>
      </c>
      <c r="M115" s="1"/>
      <c r="N115" s="1" t="s">
        <v>15989</v>
      </c>
      <c r="O115" s="1" t="s">
        <v>1364</v>
      </c>
    </row>
    <row r="116">
      <c r="A116" s="1" t="s">
        <v>1374</v>
      </c>
      <c r="B116" s="1" t="s">
        <v>60</v>
      </c>
      <c r="C116" s="1" t="s">
        <v>1179</v>
      </c>
      <c r="D116" s="1" t="s">
        <v>15733</v>
      </c>
      <c r="E116" s="1" t="s">
        <v>41</v>
      </c>
      <c r="F116" s="1" t="s">
        <v>1375</v>
      </c>
      <c r="G116" s="1" t="s">
        <v>71</v>
      </c>
      <c r="H116" s="1" t="s">
        <v>47</v>
      </c>
      <c r="I116" s="1" t="s">
        <v>253</v>
      </c>
      <c r="J116" s="1" t="s">
        <v>131</v>
      </c>
      <c r="K116" s="3">
        <v>46209.0</v>
      </c>
      <c r="M116" s="1" t="s">
        <v>11537</v>
      </c>
      <c r="N116" s="1" t="s">
        <v>15991</v>
      </c>
      <c r="O116" s="1" t="s">
        <v>1372</v>
      </c>
    </row>
    <row r="117">
      <c r="A117" s="1" t="s">
        <v>1383</v>
      </c>
      <c r="B117" s="1" t="s">
        <v>180</v>
      </c>
      <c r="C117" s="1" t="s">
        <v>1671</v>
      </c>
      <c r="D117" s="1" t="s">
        <v>15733</v>
      </c>
      <c r="E117" s="1" t="s">
        <v>41</v>
      </c>
      <c r="F117" s="1" t="s">
        <v>1385</v>
      </c>
      <c r="G117" s="1" t="s">
        <v>71</v>
      </c>
      <c r="H117" s="1" t="s">
        <v>47</v>
      </c>
      <c r="I117" s="1" t="s">
        <v>460</v>
      </c>
      <c r="J117" s="1" t="s">
        <v>131</v>
      </c>
      <c r="K117" s="3">
        <v>46313.0</v>
      </c>
      <c r="L117" s="4"/>
      <c r="M117" s="1" t="s">
        <v>183</v>
      </c>
      <c r="N117" s="1" t="s">
        <v>15993</v>
      </c>
      <c r="O117" s="1" t="s">
        <v>1381</v>
      </c>
    </row>
    <row r="118">
      <c r="A118" s="1" t="s">
        <v>1391</v>
      </c>
      <c r="B118" s="1" t="s">
        <v>60</v>
      </c>
      <c r="C118" s="1" t="s">
        <v>1179</v>
      </c>
      <c r="D118" s="1"/>
      <c r="E118" s="1"/>
      <c r="F118" s="1" t="s">
        <v>1398</v>
      </c>
      <c r="G118" s="1" t="s">
        <v>98</v>
      </c>
      <c r="H118" s="1" t="s">
        <v>530</v>
      </c>
      <c r="I118" s="1" t="s">
        <v>162</v>
      </c>
      <c r="J118" s="1" t="s">
        <v>131</v>
      </c>
      <c r="K118" s="3"/>
      <c r="L118" s="4"/>
      <c r="M118" s="1"/>
      <c r="N118" s="1"/>
      <c r="O118" s="1" t="s">
        <v>1397</v>
      </c>
    </row>
    <row r="119">
      <c r="A119" s="1" t="s">
        <v>1391</v>
      </c>
      <c r="B119" s="1" t="s">
        <v>60</v>
      </c>
      <c r="C119" s="1" t="s">
        <v>1179</v>
      </c>
      <c r="D119" s="1"/>
      <c r="E119" s="1"/>
      <c r="F119" s="1" t="s">
        <v>1393</v>
      </c>
      <c r="G119" s="1" t="s">
        <v>98</v>
      </c>
      <c r="H119" s="1" t="s">
        <v>713</v>
      </c>
      <c r="I119" s="1" t="s">
        <v>162</v>
      </c>
      <c r="J119" s="1" t="s">
        <v>131</v>
      </c>
      <c r="K119" s="3"/>
      <c r="L119" s="4"/>
      <c r="M119" s="1"/>
      <c r="N119" s="1"/>
      <c r="O119" s="1" t="s">
        <v>1389</v>
      </c>
    </row>
    <row r="120">
      <c r="A120" s="1" t="s">
        <v>1404</v>
      </c>
      <c r="B120" s="1" t="s">
        <v>60</v>
      </c>
      <c r="C120" s="1" t="s">
        <v>1179</v>
      </c>
      <c r="D120" s="4"/>
      <c r="E120" s="4"/>
      <c r="F120" s="1" t="s">
        <v>1407</v>
      </c>
      <c r="G120" s="1" t="s">
        <v>71</v>
      </c>
      <c r="H120" s="1" t="s">
        <v>163</v>
      </c>
      <c r="I120" s="1" t="s">
        <v>162</v>
      </c>
      <c r="J120" s="1" t="s">
        <v>131</v>
      </c>
      <c r="K120" s="3"/>
      <c r="L120" s="4"/>
      <c r="M120" s="4"/>
      <c r="N120" s="1" t="s">
        <v>15998</v>
      </c>
      <c r="O120" s="1" t="s">
        <v>1402</v>
      </c>
    </row>
    <row r="121">
      <c r="A121" s="1" t="s">
        <v>1410</v>
      </c>
      <c r="B121" s="1" t="s">
        <v>60</v>
      </c>
      <c r="C121" s="1" t="s">
        <v>1671</v>
      </c>
      <c r="D121" s="4"/>
      <c r="E121" s="4"/>
      <c r="F121" s="1" t="s">
        <v>1417</v>
      </c>
      <c r="G121" s="1" t="s">
        <v>98</v>
      </c>
      <c r="H121" s="1" t="s">
        <v>95</v>
      </c>
      <c r="I121" s="1" t="s">
        <v>335</v>
      </c>
      <c r="J121" s="1" t="s">
        <v>365</v>
      </c>
      <c r="K121" s="3">
        <v>46237.0</v>
      </c>
      <c r="L121" s="4"/>
      <c r="M121" s="4"/>
      <c r="N121" s="1" t="s">
        <v>16000</v>
      </c>
      <c r="O121" s="1" t="s">
        <v>1413</v>
      </c>
    </row>
    <row r="122">
      <c r="A122" s="1" t="s">
        <v>1410</v>
      </c>
      <c r="B122" s="1" t="s">
        <v>60</v>
      </c>
      <c r="C122" s="1" t="s">
        <v>1671</v>
      </c>
      <c r="D122" s="4"/>
      <c r="E122" s="4"/>
      <c r="F122" s="1" t="s">
        <v>1411</v>
      </c>
      <c r="G122" s="1" t="s">
        <v>98</v>
      </c>
      <c r="H122" s="1"/>
      <c r="I122" s="1" t="s">
        <v>129</v>
      </c>
      <c r="J122" s="1" t="s">
        <v>131</v>
      </c>
      <c r="K122" s="3"/>
      <c r="L122" s="1"/>
      <c r="M122" s="4"/>
      <c r="N122" s="1"/>
      <c r="O122" s="1" t="s">
        <v>1409</v>
      </c>
    </row>
    <row r="123">
      <c r="A123" s="1" t="s">
        <v>1421</v>
      </c>
      <c r="B123" s="1" t="s">
        <v>180</v>
      </c>
      <c r="C123" s="1" t="s">
        <v>1671</v>
      </c>
      <c r="D123" s="4"/>
      <c r="E123" s="4"/>
      <c r="F123" s="1" t="s">
        <v>1422</v>
      </c>
      <c r="G123" s="1" t="s">
        <v>98</v>
      </c>
      <c r="H123" s="1" t="s">
        <v>298</v>
      </c>
      <c r="I123" s="1" t="s">
        <v>162</v>
      </c>
      <c r="J123" s="1" t="s">
        <v>131</v>
      </c>
      <c r="K123" s="3"/>
      <c r="L123" s="1" t="s">
        <v>138</v>
      </c>
      <c r="M123" s="4"/>
      <c r="N123" s="1" t="s">
        <v>16004</v>
      </c>
      <c r="O123" s="1" t="s">
        <v>1420</v>
      </c>
    </row>
    <row r="124">
      <c r="A124" s="1" t="s">
        <v>1428</v>
      </c>
      <c r="B124" s="1" t="s">
        <v>60</v>
      </c>
      <c r="C124" s="1" t="s">
        <v>1671</v>
      </c>
      <c r="D124" s="4"/>
      <c r="E124" s="4"/>
      <c r="F124" s="1" t="s">
        <v>1429</v>
      </c>
      <c r="G124" s="1" t="s">
        <v>98</v>
      </c>
      <c r="H124" s="1" t="s">
        <v>298</v>
      </c>
      <c r="I124" s="1" t="s">
        <v>460</v>
      </c>
      <c r="J124" s="1" t="s">
        <v>131</v>
      </c>
      <c r="K124" s="3">
        <v>45819.0</v>
      </c>
      <c r="L124" s="1" t="s">
        <v>68</v>
      </c>
      <c r="M124" s="4"/>
      <c r="N124" s="1" t="s">
        <v>16006</v>
      </c>
      <c r="O124" s="1" t="s">
        <v>1426</v>
      </c>
    </row>
    <row r="125">
      <c r="A125" s="1" t="s">
        <v>1434</v>
      </c>
      <c r="B125" s="1" t="s">
        <v>180</v>
      </c>
      <c r="C125" s="1" t="s">
        <v>1671</v>
      </c>
      <c r="D125" s="4"/>
      <c r="E125" s="4"/>
      <c r="F125" s="1" t="s">
        <v>1436</v>
      </c>
      <c r="G125" s="1" t="s">
        <v>98</v>
      </c>
      <c r="H125" s="1" t="s">
        <v>900</v>
      </c>
      <c r="I125" s="1" t="s">
        <v>162</v>
      </c>
      <c r="J125" s="1" t="s">
        <v>131</v>
      </c>
      <c r="K125" s="3"/>
      <c r="L125" s="1"/>
      <c r="M125" s="4"/>
      <c r="N125" s="1"/>
      <c r="O125" s="1" t="s">
        <v>1432</v>
      </c>
    </row>
    <row r="126">
      <c r="A126" s="1" t="s">
        <v>1440</v>
      </c>
      <c r="B126" s="1" t="s">
        <v>180</v>
      </c>
      <c r="C126" s="1" t="s">
        <v>1671</v>
      </c>
      <c r="D126" s="4"/>
      <c r="E126" s="4"/>
      <c r="F126" s="1" t="s">
        <v>1441</v>
      </c>
      <c r="G126" s="1" t="s">
        <v>98</v>
      </c>
      <c r="H126" s="1" t="s">
        <v>900</v>
      </c>
      <c r="I126" s="1" t="s">
        <v>335</v>
      </c>
      <c r="J126" s="1" t="s">
        <v>365</v>
      </c>
      <c r="K126" s="3">
        <v>46201.0</v>
      </c>
      <c r="L126" s="1"/>
      <c r="M126" s="4"/>
      <c r="N126" s="1" t="s">
        <v>16009</v>
      </c>
      <c r="O126" s="1" t="s">
        <v>1439</v>
      </c>
    </row>
    <row r="127">
      <c r="A127" s="1" t="s">
        <v>521</v>
      </c>
      <c r="B127" s="1" t="s">
        <v>180</v>
      </c>
      <c r="C127" s="1" t="s">
        <v>1671</v>
      </c>
      <c r="D127" s="4"/>
      <c r="E127" s="4"/>
      <c r="F127" s="1" t="s">
        <v>525</v>
      </c>
      <c r="G127" s="1" t="s">
        <v>98</v>
      </c>
      <c r="H127" s="1" t="s">
        <v>227</v>
      </c>
      <c r="I127" s="1" t="s">
        <v>216</v>
      </c>
      <c r="J127" s="1" t="s">
        <v>131</v>
      </c>
      <c r="K127" s="3">
        <v>46104.0</v>
      </c>
      <c r="L127" s="1" t="s">
        <v>448</v>
      </c>
      <c r="M127" s="4"/>
      <c r="N127" s="1" t="s">
        <v>16011</v>
      </c>
      <c r="O127" s="1" t="s">
        <v>1443</v>
      </c>
    </row>
    <row r="128">
      <c r="A128" s="1" t="s">
        <v>1450</v>
      </c>
      <c r="B128" s="1" t="s">
        <v>60</v>
      </c>
      <c r="C128" s="1" t="s">
        <v>1179</v>
      </c>
      <c r="D128" s="4"/>
      <c r="E128" s="4"/>
      <c r="F128" s="1" t="s">
        <v>1452</v>
      </c>
      <c r="G128" s="1" t="s">
        <v>98</v>
      </c>
      <c r="H128" s="1" t="s">
        <v>267</v>
      </c>
      <c r="I128" s="1" t="s">
        <v>460</v>
      </c>
      <c r="J128" s="1" t="s">
        <v>131</v>
      </c>
      <c r="K128" s="3">
        <v>46286.0</v>
      </c>
      <c r="L128" s="1"/>
      <c r="M128" s="4"/>
      <c r="N128" s="1" t="s">
        <v>16013</v>
      </c>
      <c r="O128" s="1" t="s">
        <v>1449</v>
      </c>
    </row>
    <row r="129">
      <c r="A129" s="1" t="s">
        <v>90</v>
      </c>
      <c r="B129" s="1" t="s">
        <v>60</v>
      </c>
      <c r="C129" s="1" t="s">
        <v>1179</v>
      </c>
      <c r="D129" s="4"/>
      <c r="E129" s="4"/>
      <c r="F129" s="1" t="s">
        <v>1461</v>
      </c>
      <c r="G129" s="1" t="s">
        <v>98</v>
      </c>
      <c r="H129" s="1" t="s">
        <v>540</v>
      </c>
      <c r="I129" s="1" t="s">
        <v>162</v>
      </c>
      <c r="J129" s="1" t="s">
        <v>131</v>
      </c>
      <c r="K129" s="3">
        <v>46419.0</v>
      </c>
      <c r="L129" s="4"/>
      <c r="M129" s="1"/>
      <c r="N129" s="1"/>
      <c r="O129" s="1" t="s">
        <v>1459</v>
      </c>
    </row>
    <row r="130">
      <c r="A130" s="1" t="s">
        <v>90</v>
      </c>
      <c r="B130" s="1" t="s">
        <v>60</v>
      </c>
      <c r="C130" s="1" t="s">
        <v>1179</v>
      </c>
      <c r="D130" s="1"/>
      <c r="E130" s="1"/>
      <c r="F130" s="1" t="s">
        <v>96</v>
      </c>
      <c r="G130" s="1" t="s">
        <v>98</v>
      </c>
      <c r="H130" s="1" t="s">
        <v>95</v>
      </c>
      <c r="I130" s="1" t="s">
        <v>253</v>
      </c>
      <c r="J130" s="1" t="s">
        <v>131</v>
      </c>
      <c r="K130" s="3">
        <v>46188.0</v>
      </c>
      <c r="L130" s="4"/>
      <c r="M130" s="1"/>
      <c r="N130" s="1" t="s">
        <v>16017</v>
      </c>
      <c r="O130" s="1" t="s">
        <v>1454</v>
      </c>
    </row>
    <row r="131">
      <c r="A131" s="1" t="s">
        <v>1466</v>
      </c>
      <c r="B131" s="1" t="s">
        <v>180</v>
      </c>
      <c r="C131" s="1" t="s">
        <v>1179</v>
      </c>
      <c r="D131" s="1"/>
      <c r="E131" s="1"/>
      <c r="F131" s="1" t="s">
        <v>1468</v>
      </c>
      <c r="G131" s="1" t="s">
        <v>71</v>
      </c>
      <c r="H131" s="1" t="s">
        <v>47</v>
      </c>
      <c r="I131" s="1" t="s">
        <v>335</v>
      </c>
      <c r="J131" s="1" t="s">
        <v>472</v>
      </c>
      <c r="K131" s="3">
        <v>46297.0</v>
      </c>
      <c r="L131" s="4"/>
      <c r="M131" s="1" t="s">
        <v>1866</v>
      </c>
      <c r="N131" s="1" t="s">
        <v>16019</v>
      </c>
      <c r="O131" s="1" t="s">
        <v>1463</v>
      </c>
    </row>
    <row r="132">
      <c r="A132" s="1" t="s">
        <v>536</v>
      </c>
      <c r="B132" s="1" t="s">
        <v>60</v>
      </c>
      <c r="C132" s="1" t="s">
        <v>1179</v>
      </c>
      <c r="D132" s="1" t="s">
        <v>15733</v>
      </c>
      <c r="E132" s="1" t="s">
        <v>41</v>
      </c>
      <c r="F132" s="1" t="s">
        <v>1474</v>
      </c>
      <c r="G132" s="1" t="s">
        <v>98</v>
      </c>
      <c r="H132" s="1" t="s">
        <v>530</v>
      </c>
      <c r="I132" s="1" t="s">
        <v>162</v>
      </c>
      <c r="J132" s="1" t="s">
        <v>131</v>
      </c>
      <c r="K132" s="3">
        <v>46204.0</v>
      </c>
      <c r="L132" s="4"/>
      <c r="M132" s="1"/>
      <c r="N132" s="1" t="s">
        <v>16021</v>
      </c>
      <c r="O132" s="1" t="s">
        <v>1471</v>
      </c>
    </row>
    <row r="133">
      <c r="A133" s="1" t="s">
        <v>1480</v>
      </c>
      <c r="B133" s="1" t="s">
        <v>60</v>
      </c>
      <c r="C133" s="1" t="s">
        <v>1179</v>
      </c>
      <c r="D133" s="1"/>
      <c r="E133" s="1"/>
      <c r="F133" s="1" t="s">
        <v>1482</v>
      </c>
      <c r="G133" s="1" t="s">
        <v>572</v>
      </c>
      <c r="H133" s="1" t="s">
        <v>184</v>
      </c>
      <c r="I133" s="1" t="s">
        <v>162</v>
      </c>
      <c r="J133" s="1" t="s">
        <v>131</v>
      </c>
      <c r="K133" s="3">
        <v>46370.0</v>
      </c>
      <c r="L133" s="4"/>
      <c r="M133" s="1"/>
      <c r="N133" s="1" t="s">
        <v>16023</v>
      </c>
      <c r="O133" s="1" t="s">
        <v>1479</v>
      </c>
    </row>
    <row r="134">
      <c r="A134" s="1" t="s">
        <v>1486</v>
      </c>
      <c r="B134" s="1" t="s">
        <v>60</v>
      </c>
      <c r="C134" s="1" t="s">
        <v>1671</v>
      </c>
      <c r="D134" s="1"/>
      <c r="E134" s="1"/>
      <c r="F134" s="1" t="s">
        <v>1489</v>
      </c>
      <c r="G134" s="1" t="s">
        <v>71</v>
      </c>
      <c r="H134" s="1" t="s">
        <v>900</v>
      </c>
      <c r="I134" s="1" t="s">
        <v>460</v>
      </c>
      <c r="J134" s="1" t="s">
        <v>131</v>
      </c>
      <c r="K134" s="3">
        <v>45498.0</v>
      </c>
      <c r="L134" s="1"/>
      <c r="M134" s="1" t="s">
        <v>15981</v>
      </c>
      <c r="N134" s="1" t="s">
        <v>16025</v>
      </c>
      <c r="O134" s="1" t="s">
        <v>1484</v>
      </c>
    </row>
    <row r="135">
      <c r="A135" s="1" t="s">
        <v>1491</v>
      </c>
      <c r="B135" s="1" t="s">
        <v>180</v>
      </c>
      <c r="C135" s="1" t="s">
        <v>1671</v>
      </c>
      <c r="D135" s="1" t="s">
        <v>15733</v>
      </c>
      <c r="E135" s="1" t="s">
        <v>41</v>
      </c>
      <c r="F135" s="1" t="s">
        <v>1493</v>
      </c>
      <c r="G135" s="1" t="s">
        <v>98</v>
      </c>
      <c r="H135" s="1" t="s">
        <v>530</v>
      </c>
      <c r="I135" s="1" t="s">
        <v>162</v>
      </c>
      <c r="J135" s="1" t="s">
        <v>131</v>
      </c>
      <c r="K135" s="3"/>
      <c r="L135" s="1"/>
      <c r="M135" s="1"/>
      <c r="N135" s="1" t="s">
        <v>16027</v>
      </c>
      <c r="O135" s="1" t="s">
        <v>1490</v>
      </c>
    </row>
    <row r="136">
      <c r="A136" s="1" t="s">
        <v>1499</v>
      </c>
      <c r="B136" s="1" t="s">
        <v>60</v>
      </c>
      <c r="C136" s="1" t="s">
        <v>1179</v>
      </c>
      <c r="D136" s="1"/>
      <c r="E136" s="1"/>
      <c r="F136" s="1" t="s">
        <v>1500</v>
      </c>
      <c r="G136" s="1" t="s">
        <v>98</v>
      </c>
      <c r="H136" s="1" t="s">
        <v>540</v>
      </c>
      <c r="I136" s="1" t="s">
        <v>460</v>
      </c>
      <c r="J136" s="1" t="s">
        <v>131</v>
      </c>
      <c r="K136" s="3">
        <v>46006.0</v>
      </c>
      <c r="L136" s="1" t="s">
        <v>361</v>
      </c>
      <c r="M136" s="4"/>
      <c r="N136" s="1" t="s">
        <v>16029</v>
      </c>
      <c r="O136" s="1" t="s">
        <v>1496</v>
      </c>
    </row>
    <row r="137">
      <c r="A137" s="1" t="s">
        <v>1506</v>
      </c>
      <c r="B137" s="1" t="s">
        <v>60</v>
      </c>
      <c r="C137" s="1" t="s">
        <v>1179</v>
      </c>
      <c r="D137" s="4"/>
      <c r="E137" s="4"/>
      <c r="F137" s="1" t="s">
        <v>1508</v>
      </c>
      <c r="G137" s="1" t="s">
        <v>71</v>
      </c>
      <c r="H137" s="1" t="s">
        <v>1511</v>
      </c>
      <c r="I137" s="1" t="s">
        <v>335</v>
      </c>
      <c r="J137" s="1" t="s">
        <v>131</v>
      </c>
      <c r="K137" s="3"/>
      <c r="L137" s="1"/>
      <c r="M137" s="4"/>
      <c r="N137" s="1" t="s">
        <v>16031</v>
      </c>
      <c r="O137" s="1" t="s">
        <v>1504</v>
      </c>
    </row>
    <row r="138">
      <c r="A138" s="1" t="s">
        <v>1506</v>
      </c>
      <c r="B138" s="1" t="s">
        <v>60</v>
      </c>
      <c r="C138" s="1" t="s">
        <v>1179</v>
      </c>
      <c r="D138" s="4"/>
      <c r="E138" s="4"/>
      <c r="F138" s="1" t="s">
        <v>1514</v>
      </c>
      <c r="G138" s="1" t="s">
        <v>71</v>
      </c>
      <c r="H138" s="1" t="s">
        <v>1516</v>
      </c>
      <c r="I138" s="1" t="s">
        <v>335</v>
      </c>
      <c r="J138" s="1" t="s">
        <v>131</v>
      </c>
      <c r="K138" s="3">
        <v>46383.0</v>
      </c>
      <c r="L138" s="1"/>
      <c r="M138" s="4"/>
      <c r="N138" s="1" t="s">
        <v>16034</v>
      </c>
      <c r="O138" s="1" t="s">
        <v>1512</v>
      </c>
    </row>
    <row r="139">
      <c r="A139" s="1" t="s">
        <v>1518</v>
      </c>
      <c r="B139" s="1" t="s">
        <v>180</v>
      </c>
      <c r="C139" s="1" t="s">
        <v>1671</v>
      </c>
      <c r="D139" s="4"/>
      <c r="E139" s="4"/>
      <c r="F139" s="1" t="s">
        <v>1520</v>
      </c>
      <c r="G139" s="1" t="s">
        <v>98</v>
      </c>
      <c r="H139" s="1" t="s">
        <v>267</v>
      </c>
      <c r="I139" s="1" t="s">
        <v>460</v>
      </c>
      <c r="J139" s="1" t="s">
        <v>131</v>
      </c>
      <c r="K139" s="3">
        <v>46370.0</v>
      </c>
      <c r="L139" s="1"/>
      <c r="M139" s="1"/>
      <c r="N139" s="1" t="s">
        <v>16036</v>
      </c>
      <c r="O139" s="1" t="s">
        <v>1517</v>
      </c>
    </row>
    <row r="140">
      <c r="A140" s="1" t="s">
        <v>1524</v>
      </c>
      <c r="B140" s="1" t="s">
        <v>60</v>
      </c>
      <c r="C140" s="1" t="s">
        <v>1179</v>
      </c>
      <c r="D140" s="4"/>
      <c r="E140" s="4"/>
      <c r="F140" s="1" t="s">
        <v>1526</v>
      </c>
      <c r="G140" s="1" t="s">
        <v>98</v>
      </c>
      <c r="H140" s="1" t="s">
        <v>298</v>
      </c>
      <c r="I140" s="1" t="s">
        <v>253</v>
      </c>
      <c r="J140" s="1" t="s">
        <v>131</v>
      </c>
      <c r="K140" s="3">
        <v>46075.0</v>
      </c>
      <c r="L140" s="1" t="s">
        <v>16039</v>
      </c>
      <c r="M140" s="1"/>
      <c r="N140" s="1" t="s">
        <v>16040</v>
      </c>
      <c r="O140" s="1" t="s">
        <v>1522</v>
      </c>
    </row>
    <row r="141">
      <c r="A141" s="1" t="s">
        <v>105</v>
      </c>
      <c r="B141" s="1" t="s">
        <v>180</v>
      </c>
      <c r="C141" s="1" t="s">
        <v>1179</v>
      </c>
      <c r="D141" s="1"/>
      <c r="E141" s="1"/>
      <c r="F141" s="1" t="s">
        <v>107</v>
      </c>
      <c r="G141" s="1" t="s">
        <v>71</v>
      </c>
      <c r="H141" s="1" t="s">
        <v>47</v>
      </c>
      <c r="I141" s="1" t="s">
        <v>253</v>
      </c>
      <c r="J141" s="1" t="s">
        <v>131</v>
      </c>
      <c r="K141" s="3">
        <v>46160.0</v>
      </c>
      <c r="L141" s="1"/>
      <c r="M141" s="1" t="s">
        <v>183</v>
      </c>
      <c r="N141" s="1" t="s">
        <v>16041</v>
      </c>
      <c r="O141" s="1" t="s">
        <v>102</v>
      </c>
    </row>
    <row r="142">
      <c r="A142" s="1" t="s">
        <v>1537</v>
      </c>
      <c r="B142" s="1" t="s">
        <v>60</v>
      </c>
      <c r="C142" s="1" t="s">
        <v>1179</v>
      </c>
      <c r="D142" s="1"/>
      <c r="E142" s="1"/>
      <c r="F142" s="1" t="s">
        <v>1538</v>
      </c>
      <c r="G142" s="1" t="s">
        <v>98</v>
      </c>
      <c r="H142" s="1" t="s">
        <v>1540</v>
      </c>
      <c r="I142" s="1" t="s">
        <v>335</v>
      </c>
      <c r="J142" s="1" t="s">
        <v>131</v>
      </c>
      <c r="K142" s="3">
        <v>46203.0</v>
      </c>
      <c r="L142" s="4"/>
      <c r="M142" s="1"/>
      <c r="N142" s="1" t="s">
        <v>16044</v>
      </c>
      <c r="O142" s="1" t="s">
        <v>1536</v>
      </c>
    </row>
    <row r="143">
      <c r="A143" s="1" t="s">
        <v>1542</v>
      </c>
      <c r="B143" s="1" t="s">
        <v>180</v>
      </c>
      <c r="C143" s="1" t="s">
        <v>1179</v>
      </c>
      <c r="D143" s="1" t="s">
        <v>15733</v>
      </c>
      <c r="E143" s="1" t="s">
        <v>41</v>
      </c>
      <c r="F143" s="1" t="s">
        <v>1543</v>
      </c>
      <c r="G143" s="1" t="s">
        <v>3438</v>
      </c>
      <c r="H143" s="1" t="s">
        <v>47</v>
      </c>
      <c r="I143" s="1" t="s">
        <v>335</v>
      </c>
      <c r="J143" s="1" t="s">
        <v>131</v>
      </c>
      <c r="K143" s="3">
        <v>46370.0</v>
      </c>
      <c r="L143" s="4"/>
      <c r="M143" s="1" t="s">
        <v>46</v>
      </c>
      <c r="N143" s="1" t="s">
        <v>16047</v>
      </c>
      <c r="O143" s="1" t="s">
        <v>1541</v>
      </c>
    </row>
    <row r="144">
      <c r="A144" s="1" t="s">
        <v>1546</v>
      </c>
      <c r="B144" s="1" t="s">
        <v>180</v>
      </c>
      <c r="C144" s="1" t="s">
        <v>1671</v>
      </c>
      <c r="D144" s="1"/>
      <c r="E144" s="1"/>
      <c r="F144" s="1" t="s">
        <v>1548</v>
      </c>
      <c r="G144" s="1" t="s">
        <v>98</v>
      </c>
      <c r="H144" s="1" t="s">
        <v>1249</v>
      </c>
      <c r="I144" s="1" t="s">
        <v>162</v>
      </c>
      <c r="J144" s="1" t="s">
        <v>131</v>
      </c>
      <c r="K144" s="3"/>
      <c r="L144" s="4"/>
      <c r="M144" s="1"/>
      <c r="N144" s="1" t="s">
        <v>16049</v>
      </c>
      <c r="O144" s="1" t="s">
        <v>1545</v>
      </c>
    </row>
    <row r="145">
      <c r="A145" s="1" t="s">
        <v>1551</v>
      </c>
      <c r="B145" s="1" t="s">
        <v>60</v>
      </c>
      <c r="C145" s="1" t="s">
        <v>1179</v>
      </c>
      <c r="D145" s="1"/>
      <c r="E145" s="1"/>
      <c r="F145" s="1" t="s">
        <v>1552</v>
      </c>
      <c r="G145" s="1" t="s">
        <v>71</v>
      </c>
      <c r="H145" s="1" t="s">
        <v>1516</v>
      </c>
      <c r="I145" s="1" t="s">
        <v>162</v>
      </c>
      <c r="J145" s="1" t="s">
        <v>131</v>
      </c>
      <c r="K145" s="3">
        <v>46594.0</v>
      </c>
      <c r="L145" s="4"/>
      <c r="M145" s="1"/>
      <c r="N145" s="1" t="s">
        <v>16051</v>
      </c>
      <c r="O145" s="1" t="s">
        <v>1549</v>
      </c>
    </row>
    <row r="146">
      <c r="A146" s="1" t="s">
        <v>1556</v>
      </c>
      <c r="B146" s="1" t="s">
        <v>180</v>
      </c>
      <c r="C146" s="1" t="s">
        <v>1179</v>
      </c>
      <c r="D146" s="1"/>
      <c r="E146" s="1"/>
      <c r="F146" s="1" t="s">
        <v>1560</v>
      </c>
      <c r="G146" s="1" t="s">
        <v>98</v>
      </c>
      <c r="H146" s="1" t="s">
        <v>298</v>
      </c>
      <c r="I146" s="1" t="s">
        <v>216</v>
      </c>
      <c r="J146" s="1" t="s">
        <v>131</v>
      </c>
      <c r="K146" s="3">
        <v>46012.0</v>
      </c>
      <c r="L146" s="1" t="s">
        <v>15981</v>
      </c>
      <c r="M146" s="1"/>
      <c r="N146" s="1" t="s">
        <v>16054</v>
      </c>
      <c r="O146" s="1" t="s">
        <v>1558</v>
      </c>
    </row>
    <row r="147">
      <c r="A147" s="1" t="s">
        <v>1556</v>
      </c>
      <c r="B147" s="1" t="s">
        <v>180</v>
      </c>
      <c r="C147" s="1" t="s">
        <v>1179</v>
      </c>
      <c r="D147" s="4"/>
      <c r="E147" s="4"/>
      <c r="F147" s="1" t="s">
        <v>1557</v>
      </c>
      <c r="G147" s="1" t="s">
        <v>98</v>
      </c>
      <c r="H147" s="1" t="s">
        <v>298</v>
      </c>
      <c r="I147" s="1" t="s">
        <v>335</v>
      </c>
      <c r="J147" s="1" t="s">
        <v>131</v>
      </c>
      <c r="K147" s="3">
        <v>46012.0</v>
      </c>
      <c r="L147" s="4"/>
      <c r="M147" s="4"/>
      <c r="N147" s="1" t="s">
        <v>16055</v>
      </c>
      <c r="O147" s="1" t="s">
        <v>1555</v>
      </c>
    </row>
    <row r="148">
      <c r="A148" s="1" t="s">
        <v>1566</v>
      </c>
      <c r="B148" s="1" t="s">
        <v>180</v>
      </c>
      <c r="C148" s="1" t="s">
        <v>1671</v>
      </c>
      <c r="D148" s="4"/>
      <c r="E148" s="4"/>
      <c r="F148" s="1" t="s">
        <v>1568</v>
      </c>
      <c r="G148" s="1" t="s">
        <v>98</v>
      </c>
      <c r="H148" s="1" t="s">
        <v>267</v>
      </c>
      <c r="I148" s="1" t="s">
        <v>460</v>
      </c>
      <c r="J148" s="1" t="s">
        <v>131</v>
      </c>
      <c r="K148" s="3">
        <v>46257.0</v>
      </c>
      <c r="L148" s="1"/>
      <c r="M148" s="4"/>
      <c r="N148" s="1" t="s">
        <v>16058</v>
      </c>
      <c r="O148" s="1" t="s">
        <v>1563</v>
      </c>
    </row>
    <row r="149">
      <c r="A149" s="1" t="s">
        <v>1571</v>
      </c>
      <c r="B149" s="1" t="s">
        <v>180</v>
      </c>
      <c r="C149" s="1" t="s">
        <v>1671</v>
      </c>
      <c r="D149" s="4"/>
      <c r="E149" s="4"/>
      <c r="F149" s="1" t="s">
        <v>1572</v>
      </c>
      <c r="G149" s="1" t="s">
        <v>98</v>
      </c>
      <c r="H149" s="1" t="s">
        <v>1573</v>
      </c>
      <c r="I149" s="1" t="s">
        <v>162</v>
      </c>
      <c r="J149" s="1" t="s">
        <v>131</v>
      </c>
      <c r="K149" s="3">
        <v>46565.0</v>
      </c>
      <c r="L149" s="1"/>
      <c r="M149" s="4"/>
      <c r="N149" s="1" t="s">
        <v>16059</v>
      </c>
      <c r="O149" s="1" t="s">
        <v>1570</v>
      </c>
    </row>
    <row r="150">
      <c r="A150" s="1" t="s">
        <v>1578</v>
      </c>
      <c r="B150" s="1" t="s">
        <v>180</v>
      </c>
      <c r="C150" s="1" t="s">
        <v>1671</v>
      </c>
      <c r="D150" s="4"/>
      <c r="E150" s="4"/>
      <c r="F150" s="1" t="s">
        <v>1581</v>
      </c>
      <c r="G150" s="1" t="s">
        <v>98</v>
      </c>
      <c r="H150" s="1"/>
      <c r="I150" s="1" t="s">
        <v>129</v>
      </c>
      <c r="J150" s="1" t="s">
        <v>131</v>
      </c>
      <c r="K150" s="3"/>
      <c r="L150" s="1"/>
      <c r="M150" s="4"/>
      <c r="N150" s="1"/>
      <c r="O150" s="1" t="s">
        <v>1576</v>
      </c>
    </row>
    <row r="151">
      <c r="A151" s="1" t="s">
        <v>1588</v>
      </c>
      <c r="B151" s="1" t="s">
        <v>180</v>
      </c>
      <c r="C151" s="1" t="s">
        <v>1671</v>
      </c>
      <c r="D151" s="4"/>
      <c r="E151" s="4"/>
      <c r="F151" s="1" t="s">
        <v>1590</v>
      </c>
      <c r="G151" s="1" t="s">
        <v>98</v>
      </c>
      <c r="H151" s="1" t="s">
        <v>298</v>
      </c>
      <c r="I151" s="1" t="s">
        <v>216</v>
      </c>
      <c r="J151" s="1" t="s">
        <v>131</v>
      </c>
      <c r="K151" s="3">
        <v>46104.0</v>
      </c>
      <c r="L151" s="4"/>
      <c r="N151" s="1" t="s">
        <v>16062</v>
      </c>
      <c r="O151" s="1" t="s">
        <v>1586</v>
      </c>
    </row>
    <row r="152">
      <c r="A152" s="1" t="s">
        <v>1593</v>
      </c>
      <c r="B152" s="1" t="s">
        <v>180</v>
      </c>
      <c r="C152" s="1" t="s">
        <v>1671</v>
      </c>
      <c r="D152" s="4"/>
      <c r="E152" s="4"/>
      <c r="F152" s="1" t="s">
        <v>1595</v>
      </c>
      <c r="G152" s="1" t="s">
        <v>98</v>
      </c>
      <c r="H152" s="1" t="s">
        <v>47</v>
      </c>
      <c r="I152" s="1" t="s">
        <v>162</v>
      </c>
      <c r="J152" s="1" t="s">
        <v>131</v>
      </c>
      <c r="K152" s="3"/>
      <c r="L152" s="4"/>
      <c r="N152" s="1" t="s">
        <v>16064</v>
      </c>
      <c r="O152" s="1" t="s">
        <v>1592</v>
      </c>
    </row>
    <row r="153">
      <c r="A153" s="1" t="s">
        <v>1601</v>
      </c>
      <c r="B153" s="1" t="s">
        <v>180</v>
      </c>
      <c r="C153" s="1" t="s">
        <v>1671</v>
      </c>
      <c r="D153" s="4"/>
      <c r="E153" s="4"/>
      <c r="F153" s="1" t="s">
        <v>1602</v>
      </c>
      <c r="G153" s="1" t="s">
        <v>98</v>
      </c>
      <c r="H153" s="1" t="s">
        <v>1573</v>
      </c>
      <c r="I153" s="1" t="s">
        <v>162</v>
      </c>
      <c r="J153" s="1" t="s">
        <v>131</v>
      </c>
      <c r="K153" s="3"/>
      <c r="L153" s="4"/>
      <c r="N153" s="1" t="s">
        <v>16066</v>
      </c>
      <c r="O153" s="1" t="s">
        <v>1600</v>
      </c>
    </row>
    <row r="154">
      <c r="A154" s="1" t="s">
        <v>1606</v>
      </c>
      <c r="B154" s="1" t="s">
        <v>180</v>
      </c>
      <c r="C154" s="1" t="s">
        <v>1671</v>
      </c>
      <c r="D154" s="4"/>
      <c r="E154" s="4"/>
      <c r="F154" s="1" t="s">
        <v>1607</v>
      </c>
      <c r="G154" s="1" t="s">
        <v>98</v>
      </c>
      <c r="H154" s="1"/>
      <c r="I154" s="1" t="s">
        <v>129</v>
      </c>
      <c r="J154" s="1" t="s">
        <v>131</v>
      </c>
      <c r="K154" s="3"/>
      <c r="L154" s="4"/>
      <c r="M154" s="4"/>
      <c r="N154" s="1"/>
      <c r="O154" s="1" t="s">
        <v>1605</v>
      </c>
    </row>
    <row r="155">
      <c r="A155" s="1" t="s">
        <v>402</v>
      </c>
      <c r="B155" s="1" t="s">
        <v>180</v>
      </c>
      <c r="C155" s="1" t="s">
        <v>1671</v>
      </c>
      <c r="D155" s="4"/>
      <c r="E155" s="4"/>
      <c r="F155" s="1" t="s">
        <v>408</v>
      </c>
      <c r="G155" s="1" t="s">
        <v>98</v>
      </c>
      <c r="H155" s="1" t="s">
        <v>163</v>
      </c>
      <c r="I155" s="1" t="s">
        <v>253</v>
      </c>
      <c r="J155" s="1" t="s">
        <v>365</v>
      </c>
      <c r="K155" s="3">
        <v>46194.0</v>
      </c>
      <c r="L155" s="1" t="s">
        <v>405</v>
      </c>
      <c r="M155" s="4"/>
      <c r="N155" s="1" t="s">
        <v>16069</v>
      </c>
      <c r="O155" s="1" t="s">
        <v>1608</v>
      </c>
    </row>
    <row r="156">
      <c r="A156" s="1" t="s">
        <v>1617</v>
      </c>
      <c r="B156" s="1" t="s">
        <v>180</v>
      </c>
      <c r="C156" s="1" t="s">
        <v>1671</v>
      </c>
      <c r="D156" s="4"/>
      <c r="E156" s="4"/>
      <c r="F156" s="1" t="s">
        <v>1618</v>
      </c>
      <c r="G156" s="1" t="s">
        <v>98</v>
      </c>
      <c r="H156" s="1" t="s">
        <v>298</v>
      </c>
      <c r="I156" s="1" t="s">
        <v>162</v>
      </c>
      <c r="J156" s="1" t="s">
        <v>131</v>
      </c>
      <c r="K156" s="3"/>
      <c r="L156" s="1"/>
      <c r="M156" s="4"/>
      <c r="N156" s="1" t="s">
        <v>16070</v>
      </c>
      <c r="O156" s="1" t="s">
        <v>1616</v>
      </c>
    </row>
    <row r="157">
      <c r="A157" s="1" t="s">
        <v>1622</v>
      </c>
      <c r="B157" s="1" t="s">
        <v>180</v>
      </c>
      <c r="C157" s="1" t="s">
        <v>1671</v>
      </c>
      <c r="D157" s="4"/>
      <c r="E157" s="4"/>
      <c r="F157" s="1" t="s">
        <v>1625</v>
      </c>
      <c r="G157" s="1" t="s">
        <v>71</v>
      </c>
      <c r="H157" s="1" t="s">
        <v>540</v>
      </c>
      <c r="I157" s="1" t="s">
        <v>162</v>
      </c>
      <c r="J157" s="1" t="s">
        <v>131</v>
      </c>
      <c r="K157" s="3">
        <v>46388.0</v>
      </c>
      <c r="L157" s="1"/>
      <c r="M157" s="4"/>
      <c r="N157" s="1" t="s">
        <v>16073</v>
      </c>
      <c r="O157" s="1" t="s">
        <v>1621</v>
      </c>
    </row>
    <row r="158">
      <c r="A158" s="1" t="s">
        <v>1629</v>
      </c>
      <c r="B158" s="1" t="s">
        <v>180</v>
      </c>
      <c r="C158" s="1" t="s">
        <v>1671</v>
      </c>
      <c r="D158" s="1" t="s">
        <v>15822</v>
      </c>
      <c r="E158" s="1" t="s">
        <v>41</v>
      </c>
      <c r="F158" s="1" t="s">
        <v>1631</v>
      </c>
      <c r="G158" s="1" t="s">
        <v>98</v>
      </c>
      <c r="H158" s="1" t="s">
        <v>1633</v>
      </c>
      <c r="I158" s="1" t="s">
        <v>460</v>
      </c>
      <c r="J158" s="1" t="s">
        <v>131</v>
      </c>
      <c r="K158" s="3">
        <v>46385.0</v>
      </c>
      <c r="L158" s="1"/>
      <c r="M158" s="1" t="s">
        <v>15873</v>
      </c>
      <c r="N158" s="1" t="s">
        <v>16076</v>
      </c>
      <c r="O158" s="1" t="s">
        <v>1627</v>
      </c>
    </row>
    <row r="159">
      <c r="A159" s="1" t="s">
        <v>1636</v>
      </c>
      <c r="B159" s="1" t="s">
        <v>180</v>
      </c>
      <c r="C159" s="1" t="s">
        <v>1671</v>
      </c>
      <c r="D159" s="1"/>
      <c r="E159" s="1"/>
      <c r="F159" s="1" t="s">
        <v>1637</v>
      </c>
      <c r="G159" s="1" t="s">
        <v>98</v>
      </c>
      <c r="H159" s="1"/>
      <c r="I159" s="1" t="s">
        <v>129</v>
      </c>
      <c r="J159" s="1" t="s">
        <v>131</v>
      </c>
      <c r="K159" s="3"/>
      <c r="M159" s="1"/>
      <c r="N159" s="1"/>
      <c r="O159" s="1" t="s">
        <v>1635</v>
      </c>
    </row>
    <row r="160">
      <c r="A160" s="1" t="s">
        <v>1640</v>
      </c>
      <c r="B160" s="1" t="s">
        <v>180</v>
      </c>
      <c r="C160" s="1" t="s">
        <v>1671</v>
      </c>
      <c r="D160" s="1" t="s">
        <v>15822</v>
      </c>
      <c r="E160" s="1" t="s">
        <v>41</v>
      </c>
      <c r="F160" s="1" t="s">
        <v>1641</v>
      </c>
      <c r="G160" s="1" t="s">
        <v>98</v>
      </c>
      <c r="H160" s="1" t="s">
        <v>163</v>
      </c>
      <c r="I160" s="1" t="s">
        <v>335</v>
      </c>
      <c r="J160" s="1" t="s">
        <v>131</v>
      </c>
      <c r="K160" s="3">
        <v>46361.0</v>
      </c>
      <c r="M160" s="1"/>
      <c r="N160" s="1" t="s">
        <v>16079</v>
      </c>
      <c r="O160" s="1" t="s">
        <v>1639</v>
      </c>
    </row>
    <row r="161">
      <c r="A161" s="1" t="s">
        <v>1646</v>
      </c>
      <c r="B161" s="1" t="s">
        <v>180</v>
      </c>
      <c r="C161" s="1" t="s">
        <v>1671</v>
      </c>
      <c r="D161" s="1"/>
      <c r="E161" s="1"/>
      <c r="F161" s="1" t="s">
        <v>1648</v>
      </c>
      <c r="G161" s="1" t="s">
        <v>98</v>
      </c>
      <c r="H161" s="1"/>
      <c r="I161" s="1" t="s">
        <v>129</v>
      </c>
      <c r="J161" s="1" t="s">
        <v>131</v>
      </c>
      <c r="K161" s="3"/>
      <c r="L161" s="4"/>
      <c r="M161" s="1"/>
      <c r="N161" s="1"/>
      <c r="O161" s="1" t="s">
        <v>1645</v>
      </c>
    </row>
    <row r="162">
      <c r="A162" s="1" t="s">
        <v>1651</v>
      </c>
      <c r="B162" s="1" t="s">
        <v>180</v>
      </c>
      <c r="C162" s="1" t="s">
        <v>1671</v>
      </c>
      <c r="D162" s="1"/>
      <c r="E162" s="1"/>
      <c r="F162" s="1" t="s">
        <v>1652</v>
      </c>
      <c r="G162" s="1" t="s">
        <v>98</v>
      </c>
      <c r="H162" s="1" t="s">
        <v>900</v>
      </c>
      <c r="I162" s="1" t="s">
        <v>162</v>
      </c>
      <c r="J162" s="1" t="s">
        <v>131</v>
      </c>
      <c r="K162" s="3"/>
      <c r="L162" s="4"/>
      <c r="M162" s="4"/>
      <c r="N162" s="1" t="s">
        <v>16083</v>
      </c>
      <c r="O162" s="1" t="s">
        <v>1649</v>
      </c>
    </row>
    <row r="163">
      <c r="A163" s="1" t="s">
        <v>1654</v>
      </c>
      <c r="B163" s="1" t="s">
        <v>60</v>
      </c>
      <c r="C163" s="1" t="s">
        <v>1671</v>
      </c>
      <c r="D163" s="1"/>
      <c r="E163" s="1"/>
      <c r="F163" s="1" t="s">
        <v>1656</v>
      </c>
      <c r="G163" s="1" t="s">
        <v>98</v>
      </c>
      <c r="H163" s="1" t="s">
        <v>163</v>
      </c>
      <c r="I163" s="1" t="s">
        <v>460</v>
      </c>
      <c r="J163" s="1" t="s">
        <v>131</v>
      </c>
      <c r="K163" s="3">
        <v>46510.0</v>
      </c>
      <c r="L163" s="4"/>
      <c r="M163" s="4"/>
      <c r="N163" s="1" t="s">
        <v>16085</v>
      </c>
      <c r="O163" s="1" t="s">
        <v>1653</v>
      </c>
    </row>
    <row r="164">
      <c r="A164" s="1" t="s">
        <v>1658</v>
      </c>
      <c r="B164" s="1" t="s">
        <v>180</v>
      </c>
      <c r="C164" s="1" t="s">
        <v>1671</v>
      </c>
      <c r="D164" s="4"/>
      <c r="E164" s="4"/>
      <c r="F164" s="1" t="s">
        <v>1660</v>
      </c>
      <c r="G164" s="1" t="s">
        <v>98</v>
      </c>
      <c r="H164" s="1" t="s">
        <v>95</v>
      </c>
      <c r="I164" s="1" t="s">
        <v>162</v>
      </c>
      <c r="J164" s="1" t="s">
        <v>131</v>
      </c>
      <c r="K164" s="3"/>
      <c r="L164" s="4"/>
      <c r="M164" s="4"/>
      <c r="N164" s="1" t="s">
        <v>16088</v>
      </c>
      <c r="O164" s="1" t="s">
        <v>1657</v>
      </c>
    </row>
    <row r="165">
      <c r="A165" s="1" t="s">
        <v>1662</v>
      </c>
      <c r="B165" s="1" t="s">
        <v>180</v>
      </c>
      <c r="C165" s="1" t="s">
        <v>1671</v>
      </c>
      <c r="D165" s="4"/>
      <c r="E165" s="4"/>
      <c r="F165" s="1" t="s">
        <v>1664</v>
      </c>
      <c r="G165" s="1" t="s">
        <v>98</v>
      </c>
      <c r="H165" s="1" t="s">
        <v>298</v>
      </c>
      <c r="I165" s="1" t="s">
        <v>363</v>
      </c>
      <c r="J165" s="1" t="s">
        <v>472</v>
      </c>
      <c r="K165" s="3">
        <v>45893.0</v>
      </c>
      <c r="L165" s="4"/>
      <c r="M165" s="4"/>
      <c r="N165" s="1" t="s">
        <v>16089</v>
      </c>
      <c r="O165" s="1" t="s">
        <v>1661</v>
      </c>
    </row>
    <row r="166">
      <c r="A166" s="1" t="s">
        <v>1668</v>
      </c>
      <c r="B166" s="1" t="s">
        <v>180</v>
      </c>
      <c r="C166" s="1" t="s">
        <v>1671</v>
      </c>
      <c r="D166" s="4"/>
      <c r="E166" s="4"/>
      <c r="F166" s="1" t="s">
        <v>1669</v>
      </c>
      <c r="G166" s="1" t="s">
        <v>98</v>
      </c>
      <c r="H166" s="1" t="s">
        <v>163</v>
      </c>
      <c r="I166" s="1" t="s">
        <v>335</v>
      </c>
      <c r="J166" s="1" t="s">
        <v>131</v>
      </c>
      <c r="K166" s="3"/>
      <c r="L166" s="4"/>
      <c r="M166" s="4"/>
      <c r="N166" s="1" t="s">
        <v>16092</v>
      </c>
      <c r="O166" s="1" t="s">
        <v>1667</v>
      </c>
    </row>
    <row r="167">
      <c r="A167" s="1" t="s">
        <v>1674</v>
      </c>
      <c r="B167" s="1" t="s">
        <v>180</v>
      </c>
      <c r="C167" s="1" t="s">
        <v>1671</v>
      </c>
      <c r="D167" s="4"/>
      <c r="E167" s="4"/>
      <c r="F167" s="1" t="s">
        <v>1675</v>
      </c>
      <c r="G167" s="1" t="s">
        <v>98</v>
      </c>
      <c r="H167" s="1" t="s">
        <v>163</v>
      </c>
      <c r="I167" s="1" t="s">
        <v>363</v>
      </c>
      <c r="J167" s="1" t="s">
        <v>472</v>
      </c>
      <c r="K167" s="3">
        <v>46661.0</v>
      </c>
      <c r="L167" s="1" t="s">
        <v>16094</v>
      </c>
      <c r="M167" s="4"/>
      <c r="N167" s="1" t="s">
        <v>16095</v>
      </c>
      <c r="O167" s="1" t="s">
        <v>1672</v>
      </c>
    </row>
    <row r="168">
      <c r="A168" s="1" t="s">
        <v>1679</v>
      </c>
      <c r="B168" s="1" t="s">
        <v>180</v>
      </c>
      <c r="C168" s="1" t="s">
        <v>1671</v>
      </c>
      <c r="D168" s="1" t="s">
        <v>15733</v>
      </c>
      <c r="E168" s="1" t="s">
        <v>41</v>
      </c>
      <c r="F168" s="1" t="s">
        <v>1681</v>
      </c>
      <c r="G168" s="1" t="s">
        <v>3438</v>
      </c>
      <c r="H168" s="1" t="s">
        <v>47</v>
      </c>
      <c r="I168" s="1" t="s">
        <v>216</v>
      </c>
      <c r="J168" s="1" t="s">
        <v>131</v>
      </c>
      <c r="K168" s="3">
        <v>46181.0</v>
      </c>
      <c r="L168" s="1"/>
      <c r="M168" s="1" t="s">
        <v>68</v>
      </c>
      <c r="N168" s="1" t="s">
        <v>16097</v>
      </c>
      <c r="O168" s="1" t="s">
        <v>1678</v>
      </c>
    </row>
    <row r="169">
      <c r="A169" s="1" t="s">
        <v>1684</v>
      </c>
      <c r="B169" s="1" t="s">
        <v>60</v>
      </c>
      <c r="C169" s="1" t="s">
        <v>1179</v>
      </c>
      <c r="D169" s="1"/>
      <c r="E169" s="1"/>
      <c r="F169" s="1" t="s">
        <v>1686</v>
      </c>
      <c r="G169" s="1" t="s">
        <v>98</v>
      </c>
      <c r="H169" s="1" t="s">
        <v>298</v>
      </c>
      <c r="I169" s="1" t="s">
        <v>162</v>
      </c>
      <c r="J169" s="1" t="s">
        <v>131</v>
      </c>
      <c r="K169" s="3">
        <v>46295.0</v>
      </c>
      <c r="L169" s="1"/>
      <c r="M169" s="1"/>
      <c r="N169" s="1" t="s">
        <v>16100</v>
      </c>
      <c r="O169" s="1" t="s">
        <v>1683</v>
      </c>
    </row>
    <row r="170">
      <c r="A170" s="1" t="s">
        <v>1689</v>
      </c>
      <c r="B170" s="1" t="s">
        <v>180</v>
      </c>
      <c r="C170" s="1" t="s">
        <v>1671</v>
      </c>
      <c r="D170" s="1"/>
      <c r="E170" s="1"/>
      <c r="F170" s="1" t="s">
        <v>1690</v>
      </c>
      <c r="G170" s="1" t="s">
        <v>98</v>
      </c>
      <c r="H170" s="1" t="s">
        <v>540</v>
      </c>
      <c r="I170" s="1" t="s">
        <v>335</v>
      </c>
      <c r="J170" s="1" t="s">
        <v>131</v>
      </c>
      <c r="K170" s="3">
        <v>46451.0</v>
      </c>
      <c r="L170" s="1"/>
      <c r="M170" s="1"/>
      <c r="N170" s="1" t="s">
        <v>16102</v>
      </c>
      <c r="O170" s="1" t="s">
        <v>1687</v>
      </c>
    </row>
    <row r="171">
      <c r="A171" s="1" t="s">
        <v>1694</v>
      </c>
      <c r="B171" s="1" t="s">
        <v>180</v>
      </c>
      <c r="C171" s="1" t="s">
        <v>1671</v>
      </c>
      <c r="D171" s="1"/>
      <c r="E171" s="1"/>
      <c r="F171" s="1" t="s">
        <v>1695</v>
      </c>
      <c r="G171" s="1" t="s">
        <v>98</v>
      </c>
      <c r="H171" s="1" t="s">
        <v>95</v>
      </c>
      <c r="I171" s="1" t="s">
        <v>162</v>
      </c>
      <c r="J171" s="1" t="s">
        <v>131</v>
      </c>
      <c r="K171" s="3"/>
      <c r="L171" s="4"/>
      <c r="M171" s="1"/>
      <c r="N171" s="1"/>
      <c r="O171" s="1" t="s">
        <v>1692</v>
      </c>
    </row>
    <row r="172">
      <c r="A172" s="1" t="s">
        <v>1698</v>
      </c>
      <c r="B172" s="1" t="s">
        <v>180</v>
      </c>
      <c r="C172" s="1" t="s">
        <v>1179</v>
      </c>
      <c r="D172" s="4"/>
      <c r="E172" s="4"/>
      <c r="F172" s="1" t="s">
        <v>1699</v>
      </c>
      <c r="G172" s="1" t="s">
        <v>71</v>
      </c>
      <c r="H172" s="1" t="s">
        <v>47</v>
      </c>
      <c r="I172" s="1" t="s">
        <v>335</v>
      </c>
      <c r="J172" s="1" t="s">
        <v>472</v>
      </c>
      <c r="K172" s="3">
        <v>46281.0</v>
      </c>
      <c r="L172" s="4"/>
      <c r="M172" s="1" t="s">
        <v>323</v>
      </c>
      <c r="N172" s="1" t="s">
        <v>16105</v>
      </c>
      <c r="O172" s="1" t="s">
        <v>1697</v>
      </c>
    </row>
    <row r="173">
      <c r="A173" s="1" t="s">
        <v>1707</v>
      </c>
      <c r="B173" s="1" t="s">
        <v>180</v>
      </c>
      <c r="C173" s="1" t="s">
        <v>1179</v>
      </c>
      <c r="D173" s="4"/>
      <c r="E173" s="4"/>
      <c r="F173" s="1" t="s">
        <v>1708</v>
      </c>
      <c r="G173" s="1" t="s">
        <v>71</v>
      </c>
      <c r="H173" s="1" t="s">
        <v>540</v>
      </c>
      <c r="I173" s="1" t="s">
        <v>335</v>
      </c>
      <c r="J173" s="1" t="s">
        <v>131</v>
      </c>
      <c r="K173" s="3">
        <v>46249.0</v>
      </c>
      <c r="L173" s="4"/>
      <c r="M173" s="1"/>
      <c r="N173" s="1" t="s">
        <v>16107</v>
      </c>
      <c r="O173" s="1" t="s">
        <v>1704</v>
      </c>
    </row>
    <row r="174">
      <c r="A174" s="1" t="s">
        <v>1711</v>
      </c>
      <c r="B174" s="1" t="s">
        <v>60</v>
      </c>
      <c r="C174" s="1" t="s">
        <v>1179</v>
      </c>
      <c r="D174" s="4"/>
      <c r="E174" s="4"/>
      <c r="F174" s="1" t="s">
        <v>1712</v>
      </c>
      <c r="G174" s="1" t="s">
        <v>71</v>
      </c>
      <c r="H174" s="1" t="s">
        <v>1516</v>
      </c>
      <c r="I174" s="1" t="s">
        <v>216</v>
      </c>
      <c r="J174" s="1" t="s">
        <v>131</v>
      </c>
      <c r="K174" s="3">
        <v>46092.0</v>
      </c>
      <c r="L174" s="4"/>
      <c r="M174" s="1"/>
      <c r="N174" s="1" t="s">
        <v>16110</v>
      </c>
      <c r="O174" s="1" t="s">
        <v>1710</v>
      </c>
    </row>
    <row r="175">
      <c r="A175" s="1" t="s">
        <v>296</v>
      </c>
      <c r="B175" s="1" t="s">
        <v>180</v>
      </c>
      <c r="C175" s="1" t="s">
        <v>1671</v>
      </c>
      <c r="D175" s="4"/>
      <c r="E175" s="4"/>
      <c r="F175" s="1" t="s">
        <v>299</v>
      </c>
      <c r="G175" s="1" t="s">
        <v>98</v>
      </c>
      <c r="H175" s="1" t="s">
        <v>298</v>
      </c>
      <c r="I175" s="1" t="s">
        <v>162</v>
      </c>
      <c r="J175" s="1" t="s">
        <v>131</v>
      </c>
      <c r="K175" s="3">
        <v>46171.0</v>
      </c>
      <c r="M175" s="1"/>
      <c r="N175" s="1" t="s">
        <v>16111</v>
      </c>
      <c r="O175" s="1" t="s">
        <v>1720</v>
      </c>
    </row>
    <row r="176">
      <c r="A176" s="1" t="s">
        <v>296</v>
      </c>
      <c r="B176" s="1" t="s">
        <v>180</v>
      </c>
      <c r="C176" s="1" t="s">
        <v>1671</v>
      </c>
      <c r="D176" s="4"/>
      <c r="E176" s="4"/>
      <c r="F176" s="1" t="s">
        <v>1716</v>
      </c>
      <c r="G176" s="1" t="s">
        <v>98</v>
      </c>
      <c r="H176" s="1" t="s">
        <v>298</v>
      </c>
      <c r="I176" s="1" t="s">
        <v>162</v>
      </c>
      <c r="J176" s="1" t="s">
        <v>131</v>
      </c>
      <c r="K176" s="3">
        <v>46139.0</v>
      </c>
      <c r="M176" s="4"/>
      <c r="N176" s="1" t="s">
        <v>16111</v>
      </c>
      <c r="O176" s="1" t="s">
        <v>1714</v>
      </c>
    </row>
    <row r="177">
      <c r="A177" s="1" t="s">
        <v>1725</v>
      </c>
      <c r="B177" s="1" t="s">
        <v>180</v>
      </c>
      <c r="C177" s="1" t="s">
        <v>1671</v>
      </c>
      <c r="D177" s="4"/>
      <c r="E177" s="4"/>
      <c r="F177" s="1" t="s">
        <v>1727</v>
      </c>
      <c r="G177" s="1" t="s">
        <v>98</v>
      </c>
      <c r="H177" s="1" t="s">
        <v>227</v>
      </c>
      <c r="I177" s="1" t="s">
        <v>460</v>
      </c>
      <c r="J177" s="1" t="s">
        <v>131</v>
      </c>
      <c r="K177" s="3">
        <v>46296.0</v>
      </c>
      <c r="M177" s="4"/>
      <c r="N177" s="1" t="s">
        <v>16114</v>
      </c>
      <c r="O177" s="1" t="s">
        <v>1724</v>
      </c>
    </row>
    <row r="178">
      <c r="A178" s="1" t="s">
        <v>1731</v>
      </c>
      <c r="B178" s="1" t="s">
        <v>180</v>
      </c>
      <c r="C178" s="1" t="s">
        <v>1179</v>
      </c>
      <c r="D178" s="4"/>
      <c r="E178" s="4"/>
      <c r="F178" s="1" t="s">
        <v>1732</v>
      </c>
      <c r="G178" s="1" t="s">
        <v>98</v>
      </c>
      <c r="H178" s="1" t="s">
        <v>267</v>
      </c>
      <c r="I178" s="1" t="s">
        <v>216</v>
      </c>
      <c r="J178" s="1" t="s">
        <v>131</v>
      </c>
      <c r="K178" s="3">
        <v>45999.0</v>
      </c>
      <c r="M178" s="4"/>
      <c r="N178" s="1" t="s">
        <v>16116</v>
      </c>
      <c r="O178" s="1" t="s">
        <v>1730</v>
      </c>
    </row>
    <row r="179">
      <c r="A179" s="1"/>
      <c r="B179" s="1"/>
      <c r="C179" s="1"/>
      <c r="D179" s="4"/>
      <c r="E179" s="4"/>
      <c r="F179" s="1"/>
      <c r="G179" s="1"/>
      <c r="H179" s="1"/>
      <c r="I179" s="1"/>
      <c r="J179" s="1"/>
      <c r="K179" s="3"/>
      <c r="M179" s="4"/>
      <c r="N179" s="1"/>
      <c r="O179" s="1"/>
    </row>
    <row r="180">
      <c r="A180" s="1"/>
      <c r="B180" s="1"/>
      <c r="C180" s="1"/>
      <c r="D180" s="4"/>
      <c r="E180" s="4"/>
      <c r="F180" s="1"/>
      <c r="G180" s="1"/>
      <c r="H180" s="1"/>
      <c r="I180" s="1"/>
      <c r="J180" s="1"/>
      <c r="K180" s="3"/>
      <c r="M180" s="4"/>
      <c r="N180" s="1"/>
      <c r="O180" s="1"/>
    </row>
    <row r="181">
      <c r="A181" s="1"/>
      <c r="B181" s="1"/>
      <c r="C181" s="1"/>
      <c r="D181" s="4"/>
      <c r="E181" s="4"/>
      <c r="F181" s="1"/>
      <c r="G181" s="1"/>
      <c r="H181" s="1"/>
      <c r="I181" s="1"/>
      <c r="J181" s="1"/>
      <c r="K181" s="3"/>
      <c r="L181" s="4"/>
      <c r="N181" s="1"/>
      <c r="O181" s="1"/>
    </row>
    <row r="182">
      <c r="A182" s="4"/>
      <c r="B182" s="4"/>
      <c r="C182" s="4"/>
      <c r="D182" s="4"/>
      <c r="E182" s="4"/>
      <c r="F182" s="4"/>
      <c r="G182" s="4"/>
      <c r="H182" s="4"/>
      <c r="I182" s="4"/>
      <c r="J182" s="4"/>
      <c r="N182" s="4"/>
      <c r="O182" s="4"/>
    </row>
    <row r="183">
      <c r="A183" s="4"/>
      <c r="B183" s="4"/>
      <c r="C183" s="4"/>
      <c r="D183" s="4"/>
      <c r="E183" s="4"/>
      <c r="F183" s="4"/>
      <c r="G183" s="4"/>
      <c r="H183" s="4"/>
      <c r="I183" s="4"/>
      <c r="J183" s="4"/>
      <c r="N183" s="4"/>
      <c r="O183" s="4"/>
    </row>
    <row r="184">
      <c r="A184" s="4"/>
      <c r="B184" s="4"/>
      <c r="C184" s="4"/>
      <c r="D184" s="4"/>
      <c r="E184" s="4"/>
      <c r="F184" s="4"/>
      <c r="G184" s="4"/>
      <c r="H184" s="4"/>
      <c r="I184" s="4"/>
      <c r="J184" s="4"/>
      <c r="N184" s="4"/>
      <c r="O184" s="4"/>
    </row>
    <row r="185">
      <c r="A185" s="4"/>
      <c r="B185" s="4"/>
      <c r="C185" s="4"/>
      <c r="F185" s="4"/>
      <c r="G185" s="4"/>
      <c r="H185" s="4"/>
      <c r="I185" s="4"/>
      <c r="J185" s="4"/>
      <c r="N185" s="4"/>
      <c r="O185" s="4"/>
    </row>
    <row r="186">
      <c r="A186" s="4"/>
      <c r="B186" s="4"/>
      <c r="C186" s="4"/>
      <c r="D186" s="4"/>
      <c r="E186" s="4"/>
      <c r="F186" s="4"/>
      <c r="G186" s="4"/>
      <c r="H186" s="4"/>
      <c r="I186" s="4"/>
      <c r="J186" s="4"/>
      <c r="K186" s="13"/>
      <c r="M186" s="4"/>
      <c r="N186" s="4"/>
      <c r="O186" s="4"/>
    </row>
    <row r="187">
      <c r="A187" s="4"/>
      <c r="B187" s="4"/>
      <c r="C187" s="4"/>
      <c r="D187" s="4"/>
      <c r="E187" s="4"/>
      <c r="F187" s="4"/>
      <c r="G187" s="4"/>
      <c r="H187" s="4"/>
      <c r="I187" s="4"/>
      <c r="J187" s="4"/>
      <c r="N187" s="4"/>
      <c r="O187" s="4"/>
    </row>
    <row r="188">
      <c r="A188" s="4"/>
      <c r="B188" s="4"/>
      <c r="C188" s="4"/>
      <c r="D188" s="4"/>
      <c r="E188" s="4"/>
      <c r="F188" s="4"/>
      <c r="G188" s="4"/>
      <c r="H188" s="4"/>
      <c r="J188" s="4"/>
      <c r="K188" s="13"/>
      <c r="N188" s="4"/>
      <c r="O188" s="4"/>
    </row>
    <row r="189">
      <c r="A189" s="4"/>
      <c r="B189" s="4"/>
      <c r="C189" s="4"/>
      <c r="D189" s="4"/>
      <c r="E189" s="4"/>
      <c r="F189" s="4"/>
      <c r="G189" s="4"/>
      <c r="H189" s="4"/>
      <c r="I189" s="4"/>
      <c r="J189" s="4"/>
      <c r="K189" s="13"/>
      <c r="M189" s="4"/>
      <c r="N189" s="4"/>
      <c r="O189" s="4"/>
    </row>
    <row r="190">
      <c r="A190" s="4"/>
      <c r="B190" s="4"/>
      <c r="C190" s="4"/>
      <c r="D190" s="4"/>
      <c r="E190" s="4"/>
      <c r="F190" s="4"/>
      <c r="G190" s="4"/>
      <c r="H190" s="4"/>
      <c r="I190" s="4"/>
      <c r="J190" s="4"/>
      <c r="O190" s="4"/>
    </row>
    <row r="191">
      <c r="A191" s="4"/>
      <c r="B191" s="4"/>
      <c r="C191" s="4"/>
      <c r="D191" s="4"/>
      <c r="E191" s="4"/>
      <c r="F191" s="4"/>
      <c r="G191" s="4"/>
      <c r="H191" s="4"/>
      <c r="I191" s="4"/>
      <c r="J191" s="4"/>
      <c r="N191" s="4"/>
      <c r="O191" s="4"/>
    </row>
    <row r="192">
      <c r="A192" s="4"/>
      <c r="B192" s="4"/>
      <c r="C192" s="4"/>
      <c r="F192" s="4"/>
      <c r="G192" s="4"/>
      <c r="H192" s="4"/>
      <c r="I192" s="4"/>
      <c r="J192" s="4"/>
      <c r="N192" s="4"/>
      <c r="O192" s="4"/>
    </row>
    <row r="193">
      <c r="A193" s="4"/>
      <c r="B193" s="4"/>
      <c r="C193" s="4"/>
      <c r="E193" s="4"/>
      <c r="F193" s="4"/>
      <c r="G193" s="4"/>
      <c r="H193" s="4"/>
      <c r="I193" s="4"/>
      <c r="J193" s="4"/>
      <c r="O193" s="4"/>
    </row>
    <row r="194">
      <c r="A194" s="4"/>
      <c r="B194" s="4"/>
      <c r="C194" s="4"/>
      <c r="E194" s="4"/>
      <c r="F194" s="4"/>
      <c r="G194" s="4"/>
      <c r="H194" s="4"/>
      <c r="I194" s="4"/>
      <c r="J194" s="4"/>
      <c r="O194" s="4"/>
    </row>
    <row r="195">
      <c r="A195" s="4"/>
      <c r="B195" s="4"/>
      <c r="C195" s="4"/>
      <c r="E195" s="4"/>
      <c r="F195" s="4"/>
      <c r="G195" s="4"/>
      <c r="H195" s="4"/>
      <c r="I195" s="4"/>
      <c r="J195" s="4"/>
      <c r="K195" s="13"/>
      <c r="N195" s="4"/>
      <c r="O195" s="4"/>
    </row>
    <row r="196">
      <c r="A196" s="4"/>
      <c r="B196" s="4"/>
      <c r="C196" s="4"/>
      <c r="F196" s="4"/>
      <c r="G196" s="4"/>
      <c r="H196" s="4"/>
      <c r="I196" s="4"/>
      <c r="J196" s="4"/>
      <c r="K196" s="13"/>
      <c r="N196" s="4"/>
      <c r="O196" s="4"/>
    </row>
    <row r="197">
      <c r="A197" s="4"/>
      <c r="B197" s="4"/>
      <c r="C197" s="4"/>
      <c r="F197" s="4"/>
      <c r="G197" s="4"/>
      <c r="H197" s="4"/>
      <c r="I197" s="4"/>
      <c r="J197" s="4"/>
      <c r="K197" s="13"/>
      <c r="N197" s="4"/>
      <c r="O197" s="4"/>
    </row>
    <row r="198">
      <c r="A198" s="4"/>
      <c r="B198" s="4"/>
      <c r="C198" s="4"/>
      <c r="F198" s="4"/>
      <c r="G198" s="4"/>
      <c r="H198" s="4"/>
      <c r="I198" s="4"/>
      <c r="J198" s="4"/>
      <c r="K198" s="13"/>
      <c r="N198" s="4"/>
      <c r="O198" s="4"/>
    </row>
    <row r="199">
      <c r="A199" s="4"/>
      <c r="B199" s="4"/>
      <c r="C199" s="4"/>
      <c r="F199" s="4"/>
      <c r="G199" s="4"/>
      <c r="H199" s="4"/>
      <c r="I199" s="4"/>
      <c r="J199" s="4"/>
      <c r="O199" s="4"/>
    </row>
    <row r="200">
      <c r="A200" s="4"/>
      <c r="B200" s="4"/>
      <c r="C200" s="4"/>
      <c r="F200" s="4"/>
      <c r="G200" s="4"/>
      <c r="H200" s="4"/>
      <c r="I200" s="4"/>
      <c r="J200" s="4"/>
      <c r="K200" s="13"/>
      <c r="N200" s="4"/>
      <c r="O200" s="4"/>
    </row>
    <row r="201">
      <c r="A201" s="4"/>
      <c r="B201" s="4"/>
      <c r="C201" s="4"/>
      <c r="F201" s="4"/>
      <c r="G201" s="4"/>
      <c r="H201" s="4"/>
      <c r="I201" s="4"/>
      <c r="J201" s="4"/>
      <c r="K201" s="13"/>
      <c r="N201" s="4"/>
      <c r="O201" s="4"/>
    </row>
    <row r="202">
      <c r="A202" s="4"/>
      <c r="B202" s="4"/>
      <c r="C202" s="4"/>
      <c r="F202" s="4"/>
      <c r="G202" s="4"/>
      <c r="H202" s="4"/>
      <c r="I202" s="4"/>
      <c r="J202" s="4"/>
      <c r="O202" s="4"/>
    </row>
    <row r="203">
      <c r="A203" s="4"/>
      <c r="B203" s="4"/>
      <c r="C203" s="4"/>
      <c r="F203" s="4"/>
      <c r="G203" s="4"/>
      <c r="H203" s="4"/>
      <c r="I203" s="4"/>
      <c r="J203" s="4"/>
      <c r="K203" s="13"/>
      <c r="N203" s="4"/>
      <c r="O203" s="4"/>
    </row>
    <row r="204">
      <c r="A204" s="4"/>
      <c r="B204" s="4"/>
      <c r="C204" s="4"/>
      <c r="F204" s="4"/>
      <c r="G204" s="4"/>
      <c r="H204" s="4"/>
      <c r="I204" s="4"/>
      <c r="J204" s="4"/>
      <c r="K204" s="13"/>
      <c r="N204" s="4"/>
      <c r="O204" s="4"/>
    </row>
    <row r="205">
      <c r="A205" s="4"/>
      <c r="B205" s="4"/>
      <c r="C205" s="4"/>
      <c r="D205" s="4"/>
      <c r="E205" s="4"/>
      <c r="F205" s="4"/>
      <c r="G205" s="4"/>
      <c r="H205" s="4"/>
      <c r="I205" s="4"/>
      <c r="J205" s="4"/>
      <c r="K205" s="13"/>
      <c r="N205" s="4"/>
      <c r="O205" s="4"/>
    </row>
    <row r="206">
      <c r="A206" s="4"/>
      <c r="B206" s="4"/>
      <c r="C206" s="4"/>
      <c r="D206" s="4"/>
      <c r="E206" s="4"/>
      <c r="F206" s="4"/>
      <c r="G206" s="4"/>
      <c r="H206" s="4"/>
      <c r="I206" s="4"/>
      <c r="J206" s="4"/>
      <c r="O206" s="4"/>
    </row>
    <row r="207">
      <c r="A207" s="4"/>
      <c r="B207" s="4"/>
      <c r="C207" s="4"/>
      <c r="D207" s="4"/>
      <c r="E207" s="4"/>
      <c r="F207" s="4"/>
      <c r="G207" s="4"/>
      <c r="H207" s="4"/>
      <c r="I207" s="4"/>
      <c r="J207" s="4"/>
      <c r="K207" s="13"/>
      <c r="M207" s="4"/>
      <c r="N207" s="4"/>
      <c r="O207" s="4"/>
    </row>
    <row r="208">
      <c r="A208" s="4"/>
      <c r="B208" s="4"/>
      <c r="C208" s="4"/>
      <c r="F208" s="4"/>
      <c r="G208" s="4"/>
      <c r="H208" s="4"/>
      <c r="I208" s="4"/>
      <c r="J208" s="4"/>
      <c r="N208" s="4"/>
      <c r="O208" s="4"/>
    </row>
    <row r="209">
      <c r="A209" s="4"/>
      <c r="B209" s="4"/>
      <c r="C209" s="4"/>
      <c r="F209" s="4"/>
      <c r="G209" s="4"/>
      <c r="H209" s="4"/>
      <c r="J209" s="4"/>
      <c r="K209" s="13"/>
      <c r="N209" s="4"/>
      <c r="O209" s="4"/>
    </row>
    <row r="210">
      <c r="A210" s="4"/>
      <c r="B210" s="4"/>
      <c r="C210" s="4"/>
      <c r="F210" s="4"/>
      <c r="G210" s="4"/>
      <c r="H210" s="4"/>
      <c r="I210" s="4"/>
      <c r="J210" s="4"/>
      <c r="K210" s="13"/>
      <c r="N210" s="4"/>
      <c r="O210" s="4"/>
    </row>
    <row r="211">
      <c r="A211" s="4"/>
      <c r="B211" s="4"/>
      <c r="C211" s="4"/>
      <c r="D211" s="4"/>
      <c r="E211" s="4"/>
      <c r="F211" s="4"/>
      <c r="G211" s="4"/>
      <c r="H211" s="4"/>
      <c r="I211" s="4"/>
      <c r="J211" s="4"/>
      <c r="O211" s="4"/>
    </row>
    <row r="212">
      <c r="A212" s="4"/>
      <c r="B212" s="4"/>
      <c r="C212" s="4"/>
      <c r="D212" s="4"/>
      <c r="E212" s="4"/>
      <c r="F212" s="4"/>
      <c r="G212" s="4"/>
      <c r="H212" s="4"/>
      <c r="I212" s="4"/>
      <c r="J212" s="4"/>
      <c r="K212" s="13"/>
      <c r="N212" s="4"/>
      <c r="O212" s="4"/>
    </row>
    <row r="213">
      <c r="A213" s="4"/>
      <c r="B213" s="4"/>
      <c r="C213" s="4"/>
      <c r="D213" s="4"/>
      <c r="E213" s="4"/>
      <c r="F213" s="4"/>
      <c r="G213" s="4"/>
      <c r="H213" s="4"/>
      <c r="I213" s="4"/>
      <c r="J213" s="4"/>
      <c r="N213" s="4"/>
      <c r="O213" s="4"/>
    </row>
    <row r="214">
      <c r="A214" s="4"/>
      <c r="B214" s="4"/>
      <c r="C214" s="4"/>
      <c r="D214" s="4"/>
      <c r="E214" s="4"/>
      <c r="F214" s="4"/>
      <c r="G214" s="4"/>
      <c r="H214" s="4"/>
      <c r="I214" s="4"/>
      <c r="J214" s="4"/>
      <c r="O214" s="4"/>
    </row>
    <row r="215">
      <c r="A215" s="4"/>
      <c r="B215" s="4"/>
      <c r="C215" s="4"/>
      <c r="D215" s="4"/>
      <c r="E215" s="4"/>
      <c r="F215" s="4"/>
      <c r="G215" s="4"/>
      <c r="H215" s="4"/>
      <c r="I215" s="4"/>
      <c r="J215" s="4"/>
      <c r="K215" s="13"/>
      <c r="N215" s="4"/>
      <c r="O215" s="4"/>
    </row>
    <row r="216">
      <c r="A216" s="4"/>
      <c r="B216" s="4"/>
      <c r="C216" s="4"/>
      <c r="D216" s="4"/>
      <c r="E216" s="4"/>
      <c r="F216" s="4"/>
      <c r="G216" s="4"/>
      <c r="H216" s="4"/>
      <c r="I216" s="4"/>
      <c r="J216" s="4"/>
      <c r="M216" s="4"/>
      <c r="O216" s="4"/>
    </row>
    <row r="217">
      <c r="A217" s="4"/>
      <c r="B217" s="4"/>
      <c r="C217" s="4"/>
      <c r="F217" s="4"/>
      <c r="G217" s="4"/>
      <c r="H217" s="4"/>
      <c r="I217" s="4"/>
      <c r="J217" s="4"/>
      <c r="K217" s="13"/>
      <c r="N217" s="4"/>
      <c r="O217" s="4"/>
    </row>
    <row r="218">
      <c r="A218" s="4"/>
      <c r="B218" s="4"/>
      <c r="C218" s="4"/>
      <c r="F218" s="4"/>
      <c r="G218" s="4"/>
      <c r="H218" s="4"/>
      <c r="I218" s="4"/>
      <c r="J218" s="4"/>
      <c r="N218" s="4"/>
      <c r="O218" s="4"/>
    </row>
    <row r="219">
      <c r="A219" s="4"/>
      <c r="B219" s="4"/>
      <c r="C219" s="4"/>
      <c r="F219" s="4"/>
      <c r="G219" s="4"/>
      <c r="H219" s="4"/>
      <c r="I219" s="4"/>
      <c r="J219" s="4"/>
      <c r="N219" s="4"/>
      <c r="O219" s="4"/>
    </row>
    <row r="220">
      <c r="A220" s="4"/>
      <c r="B220" s="4"/>
      <c r="C220" s="4"/>
      <c r="D220" s="4"/>
      <c r="E220" s="4"/>
      <c r="F220" s="4"/>
      <c r="G220" s="4"/>
      <c r="H220" s="4"/>
      <c r="I220" s="4"/>
      <c r="J220" s="4"/>
      <c r="K220" s="13"/>
      <c r="N220" s="4"/>
      <c r="O220" s="4"/>
    </row>
    <row r="221">
      <c r="A221" s="4"/>
      <c r="B221" s="4"/>
      <c r="C221" s="4"/>
      <c r="F221" s="4"/>
      <c r="G221" s="4"/>
      <c r="H221" s="4"/>
      <c r="I221" s="4"/>
      <c r="J221" s="4"/>
      <c r="K221" s="13"/>
      <c r="L221" s="4"/>
      <c r="N221" s="4"/>
      <c r="O221" s="4"/>
    </row>
    <row r="222">
      <c r="A222" s="4"/>
      <c r="B222" s="4"/>
      <c r="C222" s="4"/>
      <c r="F222" s="4"/>
      <c r="G222" s="4"/>
      <c r="H222" s="4"/>
      <c r="I222" s="4"/>
      <c r="J222" s="4"/>
      <c r="K222" s="13"/>
      <c r="N222" s="4"/>
      <c r="O222" s="4"/>
    </row>
    <row r="223">
      <c r="A223" s="4"/>
      <c r="B223" s="4"/>
      <c r="C223" s="4"/>
      <c r="F223" s="4"/>
      <c r="G223" s="4"/>
      <c r="H223" s="4"/>
      <c r="I223" s="4"/>
      <c r="J223" s="4"/>
      <c r="K223" s="13"/>
      <c r="N223" s="4"/>
      <c r="O223" s="4"/>
    </row>
    <row r="224">
      <c r="A224" s="4"/>
      <c r="B224" s="4"/>
      <c r="C224" s="4"/>
      <c r="F224" s="4"/>
      <c r="G224" s="4"/>
      <c r="H224" s="4"/>
      <c r="I224" s="4"/>
      <c r="J224" s="4"/>
      <c r="N224" s="4"/>
      <c r="O224" s="4"/>
    </row>
    <row r="225">
      <c r="A225" s="4"/>
      <c r="B225" s="4"/>
      <c r="C225" s="4"/>
      <c r="D225" s="4"/>
      <c r="E225" s="4"/>
      <c r="F225" s="4"/>
      <c r="G225" s="4"/>
      <c r="H225" s="4"/>
      <c r="I225" s="4"/>
      <c r="J225" s="4"/>
      <c r="K225" s="13"/>
      <c r="M225" s="4"/>
      <c r="N225" s="4"/>
      <c r="O225" s="4"/>
    </row>
    <row r="226">
      <c r="A226" s="4"/>
      <c r="B226" s="4"/>
      <c r="C226" s="4"/>
      <c r="F226" s="4"/>
      <c r="G226" s="4"/>
      <c r="H226" s="4"/>
      <c r="I226" s="4"/>
      <c r="J226" s="4"/>
      <c r="K226" s="13"/>
      <c r="M226" s="4"/>
      <c r="N226" s="4"/>
      <c r="O226" s="4"/>
    </row>
    <row r="227">
      <c r="A227" s="4"/>
      <c r="B227" s="4"/>
      <c r="C227" s="4"/>
      <c r="F227" s="4"/>
      <c r="G227" s="4"/>
      <c r="H227" s="4"/>
      <c r="I227" s="4"/>
      <c r="J227" s="4"/>
      <c r="K227" s="13"/>
      <c r="N227" s="4"/>
      <c r="O227" s="4"/>
    </row>
    <row r="228">
      <c r="A228" s="4"/>
      <c r="B228" s="4"/>
      <c r="C228" s="4"/>
      <c r="F228" s="4"/>
      <c r="G228" s="4"/>
      <c r="H228" s="4"/>
      <c r="I228" s="4"/>
      <c r="J228" s="4"/>
      <c r="N228" s="4"/>
      <c r="O228" s="4"/>
    </row>
    <row r="229">
      <c r="A229" s="4"/>
      <c r="B229" s="4"/>
      <c r="C229" s="4"/>
      <c r="F229" s="4"/>
      <c r="G229" s="4"/>
      <c r="H229" s="4"/>
      <c r="I229" s="4"/>
      <c r="J229" s="4"/>
      <c r="N229" s="4"/>
      <c r="O229" s="4"/>
    </row>
    <row r="230">
      <c r="A230" s="4"/>
      <c r="B230" s="4"/>
      <c r="C230" s="4"/>
      <c r="F230" s="4"/>
      <c r="G230" s="4"/>
      <c r="H230" s="4"/>
      <c r="I230" s="4"/>
      <c r="J230" s="4"/>
      <c r="K230" s="13"/>
      <c r="N230" s="4"/>
      <c r="O230" s="4"/>
    </row>
    <row r="231">
      <c r="A231" s="4"/>
      <c r="B231" s="4"/>
      <c r="C231" s="4"/>
      <c r="F231" s="4"/>
      <c r="G231" s="4"/>
      <c r="H231" s="4"/>
      <c r="I231" s="4"/>
      <c r="J231" s="4"/>
      <c r="O231" s="4"/>
    </row>
    <row r="232">
      <c r="A232" s="4"/>
      <c r="B232" s="4"/>
      <c r="C232" s="4"/>
      <c r="E232" s="4"/>
      <c r="F232" s="4"/>
      <c r="G232" s="4"/>
      <c r="H232" s="4"/>
      <c r="I232" s="4"/>
      <c r="J232" s="4"/>
      <c r="O232" s="4"/>
    </row>
    <row r="233">
      <c r="A233" s="4"/>
      <c r="B233" s="4"/>
      <c r="C233" s="4"/>
      <c r="E233" s="4"/>
      <c r="F233" s="4"/>
      <c r="G233" s="4"/>
      <c r="H233" s="4"/>
      <c r="I233" s="4"/>
      <c r="J233" s="4"/>
      <c r="N233" s="4"/>
      <c r="O233" s="4"/>
    </row>
    <row r="234">
      <c r="A234" s="4"/>
      <c r="B234" s="4"/>
      <c r="C234" s="4"/>
      <c r="F234" s="4"/>
      <c r="G234" s="4"/>
      <c r="H234" s="4"/>
      <c r="I234" s="4"/>
      <c r="J234" s="4"/>
      <c r="O234" s="4"/>
    </row>
    <row r="235">
      <c r="A235" s="4"/>
      <c r="B235" s="4"/>
      <c r="C235" s="4"/>
      <c r="F235" s="4"/>
      <c r="G235" s="4"/>
      <c r="H235" s="4"/>
      <c r="I235" s="4"/>
      <c r="J235" s="4"/>
      <c r="K235" s="13"/>
      <c r="N235" s="4"/>
      <c r="O235" s="4"/>
    </row>
    <row r="236">
      <c r="A236" s="4"/>
      <c r="B236" s="4"/>
      <c r="C236" s="4"/>
      <c r="F236" s="4"/>
      <c r="G236" s="4"/>
      <c r="H236" s="4"/>
      <c r="I236" s="4"/>
      <c r="J236" s="4"/>
      <c r="K236" s="13"/>
      <c r="N236" s="4"/>
      <c r="O236" s="4"/>
    </row>
    <row r="237">
      <c r="A237" s="4"/>
      <c r="B237" s="4"/>
      <c r="C237" s="4"/>
      <c r="D237" s="4"/>
      <c r="E237" s="4"/>
      <c r="F237" s="4"/>
      <c r="G237" s="4"/>
      <c r="H237" s="4"/>
      <c r="I237" s="4"/>
      <c r="J237" s="4"/>
      <c r="K237" s="13"/>
      <c r="M237" s="4"/>
      <c r="N237" s="4"/>
      <c r="O237" s="4"/>
    </row>
    <row r="238">
      <c r="A238" s="4"/>
      <c r="B238" s="4"/>
      <c r="C238" s="4"/>
      <c r="D238" s="4"/>
      <c r="E238" s="4"/>
      <c r="F238" s="4"/>
      <c r="G238" s="4"/>
      <c r="H238" s="4"/>
      <c r="I238" s="4"/>
      <c r="J238" s="4"/>
      <c r="K238" s="13"/>
      <c r="M238" s="4"/>
      <c r="N238" s="4"/>
      <c r="O238" s="4"/>
    </row>
    <row r="239">
      <c r="A239" s="4"/>
      <c r="B239" s="4"/>
      <c r="C239" s="4"/>
      <c r="D239" s="4"/>
      <c r="E239" s="4"/>
      <c r="F239" s="4"/>
      <c r="G239" s="4"/>
      <c r="H239" s="4"/>
      <c r="I239" s="4"/>
      <c r="J239" s="4"/>
      <c r="K239" s="13"/>
      <c r="M239" s="4"/>
      <c r="N239" s="4"/>
      <c r="O239" s="4"/>
    </row>
    <row r="240">
      <c r="A240" s="4"/>
      <c r="B240" s="4"/>
      <c r="C240" s="4"/>
      <c r="F240" s="4"/>
      <c r="G240" s="4"/>
      <c r="H240" s="4"/>
      <c r="I240" s="4"/>
      <c r="J240" s="4"/>
      <c r="N240" s="4"/>
      <c r="O240" s="4"/>
    </row>
    <row r="241">
      <c r="A241" s="4"/>
      <c r="B241" s="4"/>
      <c r="C241" s="4"/>
      <c r="F241" s="4"/>
      <c r="G241" s="4"/>
      <c r="H241" s="4"/>
      <c r="I241" s="4"/>
      <c r="J241" s="4"/>
      <c r="K241" s="13"/>
      <c r="M241" s="4"/>
      <c r="N241" s="4"/>
      <c r="O241" s="4"/>
    </row>
    <row r="242">
      <c r="A242" s="4"/>
      <c r="B242" s="4"/>
      <c r="C242" s="4"/>
      <c r="F242" s="4"/>
      <c r="G242" s="4"/>
      <c r="H242" s="4"/>
      <c r="I242" s="4"/>
      <c r="J242" s="4"/>
      <c r="K242" s="13"/>
      <c r="N242" s="4"/>
      <c r="O242" s="4"/>
    </row>
    <row r="243">
      <c r="A243" s="4"/>
      <c r="B243" s="4"/>
      <c r="C243" s="4"/>
      <c r="F243" s="4"/>
      <c r="G243" s="4"/>
      <c r="H243" s="4"/>
      <c r="I243" s="4"/>
      <c r="J243" s="4"/>
      <c r="N243" s="4"/>
      <c r="O243" s="4"/>
    </row>
    <row r="244">
      <c r="A244" s="4"/>
      <c r="B244" s="4"/>
      <c r="C244" s="4"/>
      <c r="F244" s="4"/>
      <c r="G244" s="4"/>
      <c r="H244" s="4"/>
      <c r="I244" s="4"/>
      <c r="J244" s="4"/>
      <c r="O244" s="4"/>
    </row>
    <row r="245">
      <c r="A245" s="4"/>
      <c r="B245" s="4"/>
      <c r="C245" s="4"/>
      <c r="F245" s="4"/>
      <c r="G245" s="4"/>
      <c r="H245" s="4"/>
      <c r="I245" s="4"/>
      <c r="J245" s="4"/>
      <c r="K245" s="13"/>
      <c r="N245" s="4"/>
      <c r="O245" s="4"/>
    </row>
    <row r="246">
      <c r="A246" s="4"/>
      <c r="B246" s="4"/>
      <c r="C246" s="4"/>
      <c r="F246" s="4"/>
      <c r="G246" s="4"/>
      <c r="H246" s="4"/>
      <c r="I246" s="4"/>
      <c r="J246" s="4"/>
      <c r="N246" s="4"/>
      <c r="O246" s="4"/>
    </row>
    <row r="247">
      <c r="A247" s="4"/>
      <c r="B247" s="4"/>
      <c r="C247" s="4"/>
      <c r="F247" s="4"/>
      <c r="G247" s="4"/>
      <c r="H247" s="4"/>
      <c r="I247" s="4"/>
      <c r="J247" s="4"/>
      <c r="K247" s="13"/>
      <c r="N247" s="4"/>
      <c r="O247" s="4"/>
    </row>
    <row r="248">
      <c r="A248" s="4"/>
      <c r="B248" s="4"/>
      <c r="C248" s="4"/>
      <c r="F248" s="4"/>
      <c r="G248" s="4"/>
      <c r="H248" s="4"/>
      <c r="I248" s="4"/>
      <c r="J248" s="4"/>
      <c r="K248" s="13"/>
      <c r="N248" s="4"/>
      <c r="O248" s="4"/>
    </row>
    <row r="249">
      <c r="A249" s="4"/>
      <c r="B249" s="4"/>
      <c r="C249" s="4"/>
      <c r="F249" s="4"/>
      <c r="G249" s="4"/>
      <c r="H249" s="4"/>
      <c r="I249" s="4"/>
      <c r="J249" s="4"/>
      <c r="K249" s="13"/>
      <c r="N249" s="4"/>
      <c r="O249" s="4"/>
    </row>
    <row r="250">
      <c r="A250" s="4"/>
      <c r="B250" s="4"/>
      <c r="C250" s="4"/>
      <c r="F250" s="4"/>
      <c r="G250" s="4"/>
      <c r="H250" s="4"/>
      <c r="I250" s="4"/>
      <c r="J250" s="4"/>
      <c r="K250" s="13"/>
      <c r="N250" s="4"/>
      <c r="O250" s="4"/>
    </row>
    <row r="251">
      <c r="A251" s="4"/>
      <c r="B251" s="4"/>
      <c r="C251" s="4"/>
      <c r="F251" s="4"/>
      <c r="G251" s="4"/>
      <c r="H251" s="4"/>
      <c r="I251" s="4"/>
      <c r="J251" s="4"/>
      <c r="K251" s="13"/>
      <c r="N251" s="4"/>
      <c r="O251" s="4"/>
    </row>
    <row r="252">
      <c r="A252" s="4"/>
      <c r="B252" s="4"/>
      <c r="C252" s="4"/>
      <c r="F252" s="4"/>
      <c r="G252" s="4"/>
      <c r="H252" s="4"/>
      <c r="I252" s="4"/>
      <c r="J252" s="4"/>
      <c r="K252" s="13"/>
      <c r="N252" s="4"/>
      <c r="O252" s="4"/>
    </row>
    <row r="253">
      <c r="A253" s="4"/>
      <c r="B253" s="4"/>
      <c r="C253" s="4"/>
      <c r="F253" s="4"/>
      <c r="G253" s="4"/>
      <c r="H253" s="4"/>
      <c r="I253" s="4"/>
      <c r="J253" s="4"/>
      <c r="K253" s="13"/>
      <c r="N253" s="4"/>
      <c r="O253" s="4"/>
    </row>
    <row r="254">
      <c r="A254" s="4"/>
      <c r="B254" s="4"/>
      <c r="C254" s="4"/>
      <c r="F254" s="4"/>
      <c r="G254" s="4"/>
      <c r="H254" s="4"/>
      <c r="I254" s="4"/>
      <c r="J254" s="4"/>
      <c r="K254" s="13"/>
      <c r="N254" s="4"/>
      <c r="O254" s="4"/>
    </row>
    <row r="255">
      <c r="A255" s="4"/>
      <c r="B255" s="4"/>
      <c r="C255" s="4"/>
      <c r="D255" s="4"/>
      <c r="E255" s="4"/>
      <c r="F255" s="4"/>
      <c r="G255" s="4"/>
      <c r="H255" s="4"/>
      <c r="I255" s="4"/>
      <c r="J255" s="4"/>
      <c r="M255" s="4"/>
      <c r="O255" s="4"/>
    </row>
    <row r="256">
      <c r="A256" s="4"/>
      <c r="B256" s="4"/>
      <c r="C256" s="4"/>
      <c r="D256" s="4"/>
      <c r="E256" s="4"/>
      <c r="F256" s="4"/>
      <c r="G256" s="4"/>
      <c r="H256" s="4"/>
      <c r="I256" s="4"/>
      <c r="J256" s="4"/>
      <c r="K256" s="13"/>
      <c r="N256" s="4"/>
      <c r="O256" s="4"/>
    </row>
    <row r="257">
      <c r="A257" s="4"/>
      <c r="B257" s="4"/>
      <c r="C257" s="4"/>
      <c r="D257" s="4"/>
      <c r="E257" s="4"/>
      <c r="F257" s="4"/>
      <c r="G257" s="4"/>
      <c r="H257" s="4"/>
      <c r="I257" s="4"/>
      <c r="J257" s="4"/>
      <c r="O257" s="4"/>
    </row>
    <row r="258">
      <c r="A258" s="4"/>
      <c r="B258" s="4"/>
      <c r="C258" s="4"/>
      <c r="F258" s="4"/>
      <c r="G258" s="4"/>
      <c r="H258" s="4"/>
      <c r="I258" s="4"/>
      <c r="J258" s="4"/>
      <c r="K258" s="13"/>
      <c r="N258" s="4"/>
      <c r="O258" s="4"/>
    </row>
    <row r="259">
      <c r="A259" s="4"/>
      <c r="B259" s="4"/>
      <c r="C259" s="4"/>
      <c r="F259" s="4"/>
      <c r="G259" s="4"/>
      <c r="H259" s="4"/>
      <c r="I259" s="4"/>
      <c r="J259" s="4"/>
      <c r="K259" s="13"/>
      <c r="N259" s="4"/>
      <c r="O259" s="4"/>
    </row>
    <row r="260">
      <c r="A260" s="4"/>
      <c r="B260" s="4"/>
      <c r="C260" s="4"/>
      <c r="F260" s="4"/>
      <c r="G260" s="4"/>
      <c r="H260" s="4"/>
      <c r="I260" s="4"/>
      <c r="J260" s="4"/>
      <c r="N260" s="4"/>
      <c r="O260" s="4"/>
    </row>
    <row r="261">
      <c r="A261" s="4"/>
      <c r="B261" s="4"/>
      <c r="C261" s="4"/>
      <c r="F261" s="4"/>
      <c r="G261" s="4"/>
      <c r="H261" s="4"/>
      <c r="I261" s="4"/>
      <c r="J261" s="4"/>
      <c r="O261" s="4"/>
    </row>
    <row r="262">
      <c r="A262" s="4"/>
      <c r="B262" s="4"/>
      <c r="C262" s="4"/>
      <c r="F262" s="4"/>
      <c r="G262" s="4"/>
      <c r="H262" s="4"/>
      <c r="I262" s="4"/>
      <c r="J262" s="4"/>
      <c r="O262" s="4"/>
    </row>
    <row r="263">
      <c r="A263" s="4"/>
      <c r="B263" s="4"/>
      <c r="C263" s="4"/>
      <c r="F263" s="4"/>
      <c r="G263" s="4"/>
      <c r="H263" s="4"/>
      <c r="I263" s="4"/>
      <c r="J263" s="4"/>
      <c r="N263" s="4"/>
      <c r="O263" s="4"/>
    </row>
    <row r="264">
      <c r="A264" s="4"/>
      <c r="B264" s="4"/>
      <c r="C264" s="4"/>
      <c r="F264" s="4"/>
      <c r="G264" s="4"/>
      <c r="H264" s="4"/>
      <c r="I264" s="4"/>
      <c r="J264" s="4"/>
      <c r="K264" s="13"/>
      <c r="N264" s="4"/>
      <c r="O264" s="4"/>
    </row>
    <row r="265">
      <c r="A265" s="4"/>
      <c r="B265" s="4"/>
      <c r="C265" s="4"/>
      <c r="F265" s="4"/>
      <c r="G265" s="4"/>
      <c r="H265" s="4"/>
      <c r="I265" s="4"/>
      <c r="J265" s="4"/>
      <c r="K265" s="13"/>
      <c r="N265" s="4"/>
      <c r="O265" s="4"/>
    </row>
    <row r="266">
      <c r="A266" s="4"/>
      <c r="B266" s="4"/>
      <c r="C266" s="4"/>
      <c r="F266" s="4"/>
      <c r="G266" s="4"/>
      <c r="H266" s="4"/>
      <c r="I266" s="4"/>
      <c r="J266" s="4"/>
      <c r="K266" s="13"/>
      <c r="N266" s="4"/>
      <c r="O266" s="4"/>
    </row>
    <row r="267">
      <c r="A267" s="4"/>
      <c r="B267" s="4"/>
      <c r="C267" s="4"/>
      <c r="D267" s="4"/>
      <c r="E267" s="4"/>
      <c r="F267" s="4"/>
      <c r="G267" s="4"/>
      <c r="H267" s="4"/>
      <c r="I267" s="4"/>
      <c r="J267" s="4"/>
      <c r="K267" s="13"/>
      <c r="M267" s="4"/>
      <c r="N267" s="4"/>
      <c r="O267" s="4"/>
    </row>
    <row r="268">
      <c r="A268" s="4"/>
      <c r="B268" s="4"/>
      <c r="C268" s="4"/>
      <c r="D268" s="4"/>
      <c r="E268" s="4"/>
      <c r="F268" s="4"/>
      <c r="G268" s="4"/>
      <c r="H268" s="4"/>
      <c r="I268" s="4"/>
      <c r="J268" s="4"/>
      <c r="K268" s="13"/>
      <c r="N268" s="4"/>
      <c r="O268" s="4"/>
    </row>
    <row r="269">
      <c r="A269" s="4"/>
      <c r="B269" s="4"/>
      <c r="C269" s="4"/>
      <c r="D269" s="4"/>
      <c r="E269" s="4"/>
      <c r="F269" s="4"/>
      <c r="G269" s="4"/>
      <c r="H269" s="4"/>
      <c r="I269" s="4"/>
      <c r="J269" s="4"/>
      <c r="O269" s="4"/>
    </row>
    <row r="270">
      <c r="A270" s="4"/>
      <c r="B270" s="4"/>
      <c r="C270" s="4"/>
      <c r="F270" s="4"/>
      <c r="G270" s="4"/>
      <c r="H270" s="4"/>
      <c r="J270" s="4"/>
      <c r="K270" s="13"/>
      <c r="N270" s="4"/>
      <c r="O270" s="4"/>
    </row>
    <row r="271">
      <c r="A271" s="4"/>
      <c r="B271" s="4"/>
      <c r="C271" s="4"/>
      <c r="F271" s="4"/>
      <c r="G271" s="4"/>
      <c r="H271" s="4"/>
      <c r="I271" s="4"/>
      <c r="J271" s="4"/>
      <c r="K271" s="13"/>
      <c r="N271" s="4"/>
      <c r="O271" s="4"/>
    </row>
    <row r="272">
      <c r="A272" s="4"/>
      <c r="B272" s="4"/>
      <c r="C272" s="4"/>
      <c r="F272" s="4"/>
      <c r="G272" s="4"/>
      <c r="H272" s="4"/>
      <c r="I272" s="4"/>
      <c r="J272" s="4"/>
      <c r="K272" s="13"/>
      <c r="N272" s="4"/>
      <c r="O272" s="4"/>
    </row>
    <row r="273">
      <c r="A273" s="4"/>
      <c r="B273" s="4"/>
      <c r="C273" s="4"/>
      <c r="F273" s="4"/>
      <c r="G273" s="4"/>
      <c r="H273" s="4"/>
      <c r="I273" s="4"/>
      <c r="J273" s="4"/>
      <c r="N273" s="4"/>
      <c r="O273" s="4"/>
    </row>
    <row r="274">
      <c r="A274" s="4"/>
      <c r="B274" s="4"/>
      <c r="C274" s="4"/>
      <c r="D274" s="4"/>
      <c r="E274" s="4"/>
      <c r="F274" s="4"/>
      <c r="G274" s="4"/>
      <c r="H274" s="4"/>
      <c r="I274" s="4"/>
      <c r="J274" s="4"/>
      <c r="O274" s="4"/>
    </row>
    <row r="275">
      <c r="A275" s="4"/>
      <c r="B275" s="4"/>
      <c r="C275" s="4"/>
      <c r="D275" s="4"/>
      <c r="E275" s="4"/>
      <c r="F275" s="4"/>
      <c r="G275" s="4"/>
      <c r="H275" s="4"/>
      <c r="I275" s="4"/>
      <c r="J275" s="4"/>
      <c r="K275" s="13"/>
      <c r="N275" s="4"/>
      <c r="O275" s="4"/>
    </row>
    <row r="276">
      <c r="A276" s="4"/>
      <c r="B276" s="4"/>
      <c r="C276" s="4"/>
      <c r="D276" s="4"/>
      <c r="E276" s="4"/>
      <c r="F276" s="4"/>
      <c r="G276" s="4"/>
      <c r="H276" s="4"/>
      <c r="I276" s="4"/>
      <c r="J276" s="4"/>
      <c r="K276" s="13"/>
      <c r="M276" s="4"/>
      <c r="N276" s="4"/>
      <c r="O276" s="4"/>
    </row>
    <row r="277">
      <c r="A277" s="4"/>
      <c r="B277" s="4"/>
      <c r="C277" s="4"/>
      <c r="D277" s="4"/>
      <c r="E277" s="4"/>
      <c r="F277" s="4"/>
      <c r="G277" s="4"/>
      <c r="H277" s="4"/>
      <c r="I277" s="4"/>
      <c r="J277" s="4"/>
      <c r="K277" s="13"/>
      <c r="M277" s="4"/>
      <c r="N277" s="4"/>
      <c r="O277" s="4"/>
    </row>
    <row r="278">
      <c r="A278" s="4"/>
      <c r="B278" s="4"/>
      <c r="C278" s="4"/>
      <c r="D278" s="4"/>
      <c r="E278" s="4"/>
      <c r="F278" s="4"/>
      <c r="G278" s="4"/>
      <c r="H278" s="4"/>
      <c r="I278" s="4"/>
      <c r="J278" s="4"/>
      <c r="N278" s="4"/>
      <c r="O278" s="4"/>
    </row>
    <row r="279">
      <c r="A279" s="4"/>
      <c r="B279" s="4"/>
      <c r="C279" s="4"/>
      <c r="D279" s="4"/>
      <c r="E279" s="4"/>
      <c r="F279" s="4"/>
      <c r="G279" s="4"/>
      <c r="H279" s="4"/>
      <c r="I279" s="4"/>
      <c r="J279" s="4"/>
      <c r="K279" s="13"/>
      <c r="M279" s="4"/>
      <c r="N279" s="4"/>
      <c r="O279" s="4"/>
    </row>
    <row r="280">
      <c r="A280" s="4"/>
      <c r="B280" s="4"/>
      <c r="C280" s="4"/>
      <c r="F280" s="4"/>
      <c r="G280" s="4"/>
      <c r="H280" s="4"/>
      <c r="I280" s="4"/>
      <c r="J280" s="4"/>
      <c r="K280" s="13"/>
      <c r="N280" s="4"/>
      <c r="O280" s="4"/>
    </row>
    <row r="281">
      <c r="A281" s="4"/>
      <c r="B281" s="4"/>
      <c r="C281" s="4"/>
      <c r="F281" s="4"/>
      <c r="G281" s="4"/>
      <c r="H281" s="4"/>
      <c r="I281" s="4"/>
      <c r="J281" s="4"/>
      <c r="O281" s="4"/>
    </row>
    <row r="282">
      <c r="A282" s="4"/>
      <c r="B282" s="4"/>
      <c r="C282" s="4"/>
      <c r="F282" s="4"/>
      <c r="G282" s="4"/>
      <c r="H282" s="4"/>
      <c r="I282" s="4"/>
      <c r="J282" s="4"/>
      <c r="N282" s="4"/>
      <c r="O282" s="4"/>
    </row>
    <row r="283">
      <c r="A283" s="4"/>
      <c r="B283" s="4"/>
      <c r="C283" s="4"/>
      <c r="F283" s="4"/>
      <c r="G283" s="4"/>
      <c r="H283" s="4"/>
      <c r="I283" s="4"/>
      <c r="J283" s="4"/>
      <c r="K283" s="13"/>
      <c r="N283" s="4"/>
      <c r="O283" s="4"/>
    </row>
    <row r="284">
      <c r="A284" s="4"/>
      <c r="B284" s="4"/>
      <c r="C284" s="4"/>
      <c r="F284" s="4"/>
      <c r="G284" s="4"/>
      <c r="H284" s="4"/>
      <c r="I284" s="4"/>
      <c r="J284" s="4"/>
      <c r="M284" s="4"/>
      <c r="N284" s="4"/>
      <c r="O284" s="4"/>
    </row>
    <row r="285">
      <c r="A285" s="4"/>
      <c r="B285" s="4"/>
      <c r="C285" s="4"/>
      <c r="F285" s="4"/>
      <c r="G285" s="4"/>
      <c r="H285" s="4"/>
      <c r="I285" s="4"/>
      <c r="J285" s="4"/>
      <c r="K285" s="13"/>
      <c r="M285" s="4"/>
      <c r="N285" s="4"/>
      <c r="O285" s="4"/>
    </row>
    <row r="286">
      <c r="A286" s="4"/>
      <c r="B286" s="4"/>
      <c r="C286" s="4"/>
      <c r="F286" s="4"/>
      <c r="G286" s="4"/>
      <c r="H286" s="4"/>
      <c r="I286" s="4"/>
      <c r="J286" s="4"/>
      <c r="N286" s="4"/>
      <c r="O286" s="4"/>
    </row>
    <row r="287">
      <c r="A287" s="4"/>
      <c r="B287" s="4"/>
      <c r="C287" s="4"/>
      <c r="F287" s="4"/>
      <c r="G287" s="4"/>
      <c r="H287" s="4"/>
      <c r="I287" s="4"/>
      <c r="J287" s="4"/>
      <c r="N287" s="4"/>
      <c r="O287" s="4"/>
    </row>
    <row r="288">
      <c r="A288" s="4"/>
      <c r="B288" s="4"/>
      <c r="C288" s="4"/>
      <c r="D288" s="4"/>
      <c r="E288" s="4"/>
      <c r="F288" s="4"/>
      <c r="G288" s="4"/>
      <c r="H288" s="4"/>
      <c r="I288" s="4"/>
      <c r="J288" s="4"/>
      <c r="K288" s="13"/>
      <c r="M288" s="4"/>
      <c r="N288" s="4"/>
      <c r="O288" s="4"/>
    </row>
    <row r="289">
      <c r="A289" s="4"/>
      <c r="B289" s="4"/>
      <c r="C289" s="4"/>
      <c r="F289" s="4"/>
      <c r="G289" s="4"/>
      <c r="H289" s="4"/>
      <c r="I289" s="4"/>
      <c r="J289" s="4"/>
      <c r="O289" s="4"/>
    </row>
    <row r="290">
      <c r="A290" s="4"/>
      <c r="B290" s="4"/>
      <c r="C290" s="4"/>
      <c r="F290" s="4"/>
      <c r="G290" s="4"/>
      <c r="H290" s="4"/>
      <c r="I290" s="4"/>
      <c r="J290" s="4"/>
      <c r="K290" s="13"/>
      <c r="N290" s="4"/>
      <c r="O290" s="4"/>
    </row>
    <row r="291">
      <c r="A291" s="4"/>
      <c r="B291" s="4"/>
      <c r="C291" s="4"/>
      <c r="F291" s="4"/>
      <c r="G291" s="4"/>
      <c r="H291" s="4"/>
      <c r="I291" s="4"/>
      <c r="J291" s="4"/>
      <c r="K291" s="13"/>
      <c r="N291" s="4"/>
      <c r="O291" s="4"/>
    </row>
    <row r="292">
      <c r="A292" s="4"/>
      <c r="B292" s="4"/>
      <c r="C292" s="4"/>
      <c r="D292" s="4"/>
      <c r="E292" s="4"/>
      <c r="F292" s="4"/>
      <c r="G292" s="4"/>
      <c r="H292" s="4"/>
      <c r="I292" s="4"/>
      <c r="J292" s="4"/>
      <c r="N292" s="4"/>
      <c r="O292" s="4"/>
    </row>
    <row r="293">
      <c r="A293" s="4"/>
      <c r="B293" s="4"/>
      <c r="C293" s="4"/>
      <c r="D293" s="4"/>
      <c r="E293" s="4"/>
      <c r="F293" s="4"/>
      <c r="G293" s="4"/>
      <c r="H293" s="4"/>
      <c r="I293" s="4"/>
      <c r="J293" s="4"/>
      <c r="M293" s="4"/>
      <c r="O293" s="4"/>
    </row>
    <row r="294">
      <c r="A294" s="4"/>
      <c r="B294" s="4"/>
      <c r="C294" s="4"/>
      <c r="D294" s="4"/>
      <c r="E294" s="4"/>
      <c r="F294" s="4"/>
      <c r="G294" s="4"/>
      <c r="H294" s="4"/>
      <c r="I294" s="4"/>
      <c r="J294" s="4"/>
      <c r="N294" s="4"/>
      <c r="O294" s="4"/>
    </row>
    <row r="295">
      <c r="A295" s="4"/>
      <c r="B295" s="4"/>
      <c r="C295" s="4"/>
      <c r="D295" s="4"/>
      <c r="E295" s="4"/>
      <c r="F295" s="4"/>
      <c r="G295" s="4"/>
      <c r="H295" s="4"/>
      <c r="I295" s="4"/>
      <c r="J295" s="4"/>
      <c r="K295" s="13"/>
      <c r="M295" s="4"/>
      <c r="N295" s="4"/>
      <c r="O295" s="4"/>
    </row>
    <row r="296">
      <c r="A296" s="4"/>
      <c r="B296" s="4"/>
      <c r="C296" s="4"/>
      <c r="F296" s="4"/>
      <c r="G296" s="4"/>
      <c r="H296" s="4"/>
      <c r="I296" s="4"/>
      <c r="J296" s="4"/>
      <c r="K296" s="13"/>
      <c r="N296" s="4"/>
      <c r="O296" s="4"/>
    </row>
    <row r="297">
      <c r="A297" s="4"/>
      <c r="B297" s="4"/>
      <c r="C297" s="4"/>
      <c r="F297" s="4"/>
      <c r="G297" s="4"/>
      <c r="H297" s="4"/>
      <c r="I297" s="4"/>
      <c r="J297" s="4"/>
      <c r="O297" s="4"/>
    </row>
    <row r="298">
      <c r="A298" s="4"/>
      <c r="B298" s="4"/>
      <c r="C298" s="4"/>
      <c r="F298" s="4"/>
      <c r="G298" s="4"/>
      <c r="H298" s="4"/>
      <c r="I298" s="4"/>
      <c r="J298" s="4"/>
      <c r="K298" s="13"/>
      <c r="N298" s="4"/>
      <c r="O298" s="4"/>
    </row>
    <row r="299">
      <c r="A299" s="4"/>
      <c r="B299" s="4"/>
      <c r="C299" s="4"/>
      <c r="F299" s="4"/>
      <c r="G299" s="4"/>
      <c r="H299" s="4"/>
      <c r="I299" s="4"/>
      <c r="J299" s="4"/>
      <c r="O299" s="4"/>
    </row>
    <row r="300">
      <c r="A300" s="4"/>
      <c r="B300" s="4"/>
      <c r="C300" s="4"/>
      <c r="F300" s="4"/>
      <c r="G300" s="4"/>
      <c r="H300" s="4"/>
      <c r="I300" s="4"/>
      <c r="J300" s="4"/>
      <c r="K300" s="13"/>
      <c r="N300" s="4"/>
      <c r="O300" s="4"/>
    </row>
    <row r="301">
      <c r="A301" s="4"/>
      <c r="B301" s="4"/>
      <c r="C301" s="4"/>
      <c r="F301" s="4"/>
      <c r="G301" s="4"/>
      <c r="H301" s="4"/>
      <c r="I301" s="4"/>
      <c r="J301" s="4"/>
      <c r="K301" s="13"/>
      <c r="N301" s="4"/>
      <c r="O301" s="4"/>
    </row>
    <row r="302">
      <c r="A302" s="4"/>
      <c r="B302" s="4"/>
      <c r="C302" s="4"/>
      <c r="F302" s="4"/>
      <c r="G302" s="4"/>
      <c r="H302" s="4"/>
      <c r="I302" s="4"/>
      <c r="J302" s="4"/>
      <c r="K302" s="13"/>
      <c r="N302" s="4"/>
      <c r="O302" s="4"/>
    </row>
    <row r="303">
      <c r="A303" s="4"/>
      <c r="B303" s="4"/>
      <c r="C303" s="4"/>
      <c r="F303" s="4"/>
      <c r="G303" s="4"/>
      <c r="H303" s="4"/>
      <c r="I303" s="4"/>
      <c r="J303" s="4"/>
      <c r="K303" s="13"/>
      <c r="N303" s="4"/>
      <c r="O303" s="4"/>
    </row>
    <row r="304">
      <c r="A304" s="4"/>
      <c r="B304" s="4"/>
      <c r="C304" s="4"/>
      <c r="F304" s="4"/>
      <c r="G304" s="4"/>
      <c r="H304" s="4"/>
      <c r="I304" s="4"/>
      <c r="J304" s="4"/>
      <c r="K304" s="13"/>
      <c r="M304" s="4"/>
      <c r="N304" s="4"/>
      <c r="O304" s="4"/>
    </row>
    <row r="305">
      <c r="A305" s="4"/>
      <c r="B305" s="4"/>
      <c r="C305" s="4"/>
      <c r="F305" s="4"/>
      <c r="G305" s="4"/>
      <c r="H305" s="4"/>
      <c r="I305" s="4"/>
      <c r="J305" s="4"/>
      <c r="K305" s="13"/>
      <c r="M305" s="4"/>
      <c r="N305" s="4"/>
      <c r="O305" s="4"/>
    </row>
    <row r="306">
      <c r="A306" s="4"/>
      <c r="B306" s="4"/>
      <c r="C306" s="4"/>
      <c r="F306" s="4"/>
      <c r="G306" s="4"/>
      <c r="H306" s="4"/>
      <c r="I306" s="4"/>
      <c r="J306" s="4"/>
      <c r="N306" s="4"/>
      <c r="O306" s="4"/>
    </row>
    <row r="307">
      <c r="A307" s="4"/>
      <c r="B307" s="4"/>
      <c r="C307" s="4"/>
      <c r="F307" s="4"/>
      <c r="G307" s="4"/>
      <c r="H307" s="4"/>
      <c r="I307" s="4"/>
      <c r="J307" s="4"/>
      <c r="O307" s="4"/>
    </row>
    <row r="308">
      <c r="A308" s="4"/>
      <c r="B308" s="4"/>
      <c r="C308" s="4"/>
      <c r="E308" s="4"/>
      <c r="F308" s="4"/>
      <c r="G308" s="4"/>
      <c r="H308" s="4"/>
      <c r="I308" s="4"/>
      <c r="J308" s="4"/>
      <c r="K308" s="13"/>
      <c r="N308" s="4"/>
      <c r="O308" s="4"/>
    </row>
    <row r="309">
      <c r="A309" s="4"/>
      <c r="B309" s="4"/>
      <c r="C309" s="4"/>
      <c r="E309" s="4"/>
      <c r="F309" s="4"/>
      <c r="G309" s="4"/>
      <c r="H309" s="4"/>
      <c r="I309" s="4"/>
      <c r="J309" s="4"/>
      <c r="K309" s="13"/>
      <c r="M309" s="4"/>
      <c r="N309" s="4"/>
      <c r="O309" s="4"/>
    </row>
    <row r="310">
      <c r="A310" s="4"/>
      <c r="B310" s="4"/>
      <c r="C310" s="4"/>
      <c r="E310" s="4"/>
      <c r="F310" s="4"/>
      <c r="G310" s="4"/>
      <c r="H310" s="4"/>
      <c r="I310" s="4"/>
      <c r="J310" s="4"/>
      <c r="O310" s="4"/>
    </row>
    <row r="311">
      <c r="A311" s="4"/>
      <c r="B311" s="4"/>
      <c r="C311" s="4"/>
      <c r="E311" s="4"/>
      <c r="F311" s="4"/>
      <c r="G311" s="4"/>
      <c r="H311" s="4"/>
      <c r="I311" s="4"/>
      <c r="J311" s="4"/>
      <c r="N311" s="4"/>
      <c r="O311" s="4"/>
    </row>
    <row r="312">
      <c r="A312" s="4"/>
      <c r="B312" s="4"/>
      <c r="C312" s="4"/>
      <c r="E312" s="4"/>
      <c r="F312" s="4"/>
      <c r="G312" s="4"/>
      <c r="H312" s="4"/>
      <c r="I312" s="4"/>
      <c r="J312" s="4"/>
      <c r="O312" s="4"/>
    </row>
    <row r="313">
      <c r="A313" s="4"/>
      <c r="B313" s="4"/>
      <c r="C313" s="4"/>
      <c r="E313" s="4"/>
      <c r="F313" s="4"/>
      <c r="G313" s="4"/>
      <c r="H313" s="4"/>
      <c r="I313" s="4"/>
      <c r="J313" s="4"/>
      <c r="O313" s="4"/>
    </row>
    <row r="314">
      <c r="A314" s="4"/>
      <c r="B314" s="4"/>
      <c r="C314" s="4"/>
      <c r="E314" s="4"/>
      <c r="F314" s="4"/>
      <c r="G314" s="4"/>
      <c r="H314" s="4"/>
      <c r="I314" s="4"/>
      <c r="J314" s="4"/>
      <c r="O314" s="4"/>
    </row>
    <row r="315">
      <c r="A315" s="4"/>
      <c r="B315" s="4"/>
      <c r="C315" s="4"/>
      <c r="F315" s="4"/>
      <c r="G315" s="4"/>
      <c r="H315" s="4"/>
      <c r="I315" s="4"/>
      <c r="J315" s="4"/>
      <c r="M315" s="4"/>
      <c r="N315" s="4"/>
      <c r="O315" s="4"/>
    </row>
    <row r="316">
      <c r="A316" s="4"/>
      <c r="B316" s="4"/>
      <c r="C316" s="4"/>
      <c r="F316" s="4"/>
      <c r="G316" s="4"/>
      <c r="H316" s="4"/>
      <c r="I316" s="4"/>
      <c r="J316" s="4"/>
      <c r="N316" s="4"/>
      <c r="O316" s="4"/>
    </row>
    <row r="317">
      <c r="A317" s="4"/>
      <c r="B317" s="4"/>
      <c r="C317" s="4"/>
      <c r="F317" s="4"/>
      <c r="G317" s="4"/>
      <c r="H317" s="4"/>
      <c r="I317" s="4"/>
      <c r="J317" s="4"/>
      <c r="N317" s="4"/>
      <c r="O317" s="4"/>
    </row>
    <row r="318">
      <c r="A318" s="4"/>
      <c r="B318" s="4"/>
      <c r="C318" s="4"/>
      <c r="F318" s="4"/>
      <c r="G318" s="4"/>
      <c r="I318" s="4"/>
      <c r="J318" s="4"/>
      <c r="K318" s="13"/>
      <c r="O318" s="4"/>
    </row>
    <row r="319">
      <c r="A319" s="4"/>
      <c r="B319" s="4"/>
      <c r="C319" s="4"/>
      <c r="F319" s="4"/>
      <c r="G319" s="4"/>
      <c r="H319" s="4"/>
      <c r="I319" s="4"/>
      <c r="J319" s="4"/>
      <c r="K319" s="13"/>
      <c r="N319" s="4"/>
      <c r="O319" s="4"/>
    </row>
    <row r="320">
      <c r="A320" s="4"/>
      <c r="B320" s="4"/>
      <c r="C320" s="4"/>
      <c r="F320" s="4"/>
      <c r="G320" s="4"/>
      <c r="H320" s="4"/>
      <c r="I320" s="4"/>
      <c r="J320" s="4"/>
      <c r="K320" s="13"/>
      <c r="N320" s="4"/>
      <c r="O320" s="4"/>
    </row>
    <row r="321">
      <c r="A321" s="4"/>
      <c r="B321" s="4"/>
      <c r="C321" s="4"/>
      <c r="F321" s="4"/>
      <c r="G321" s="4"/>
      <c r="H321" s="4"/>
      <c r="I321" s="4"/>
      <c r="J321" s="4"/>
      <c r="N321" s="4"/>
      <c r="O321" s="4"/>
    </row>
    <row r="322">
      <c r="A322" s="4"/>
      <c r="B322" s="4"/>
      <c r="C322" s="4"/>
      <c r="D322" s="4"/>
      <c r="E322" s="4"/>
      <c r="F322" s="4"/>
      <c r="G322" s="4"/>
      <c r="H322" s="4"/>
      <c r="I322" s="4"/>
      <c r="J322" s="4"/>
      <c r="O322" s="4"/>
    </row>
    <row r="323">
      <c r="A323" s="4"/>
      <c r="B323" s="4"/>
      <c r="C323" s="4"/>
      <c r="F323" s="4"/>
      <c r="G323" s="4"/>
      <c r="H323" s="4"/>
      <c r="J323" s="4"/>
      <c r="K323" s="13"/>
      <c r="N323" s="4"/>
      <c r="O323" s="4"/>
    </row>
    <row r="324">
      <c r="A324" s="4"/>
      <c r="B324" s="4"/>
      <c r="C324" s="4"/>
      <c r="F324" s="4"/>
      <c r="G324" s="4"/>
      <c r="H324" s="4"/>
      <c r="I324" s="4"/>
      <c r="J324" s="4"/>
      <c r="N324" s="4"/>
      <c r="O324" s="4"/>
    </row>
    <row r="325">
      <c r="A325" s="4"/>
      <c r="B325" s="4"/>
      <c r="C325" s="4"/>
      <c r="F325" s="4"/>
      <c r="G325" s="4"/>
      <c r="H325" s="4"/>
      <c r="I325" s="4"/>
      <c r="J325" s="4"/>
      <c r="N325" s="4"/>
      <c r="O325" s="4"/>
    </row>
    <row r="326">
      <c r="A326" s="4"/>
      <c r="B326" s="4"/>
      <c r="C326" s="4"/>
      <c r="F326" s="4"/>
      <c r="G326" s="4"/>
      <c r="H326" s="4"/>
      <c r="I326" s="4"/>
      <c r="J326" s="4"/>
      <c r="O326" s="4"/>
    </row>
    <row r="327">
      <c r="A327" s="4"/>
      <c r="B327" s="4"/>
      <c r="C327" s="4"/>
      <c r="F327" s="4"/>
      <c r="G327" s="4"/>
      <c r="H327" s="4"/>
      <c r="I327" s="4"/>
      <c r="J327" s="4"/>
      <c r="K327" s="13"/>
      <c r="N327" s="4"/>
      <c r="O327" s="4"/>
    </row>
    <row r="328">
      <c r="A328" s="4"/>
      <c r="B328" s="4"/>
      <c r="C328" s="4"/>
      <c r="F328" s="4"/>
      <c r="G328" s="4"/>
      <c r="H328" s="4"/>
      <c r="I328" s="4"/>
      <c r="J328" s="4"/>
      <c r="O328" s="4"/>
    </row>
    <row r="329">
      <c r="A329" s="4"/>
      <c r="B329" s="4"/>
      <c r="C329" s="4"/>
      <c r="F329" s="4"/>
      <c r="G329" s="4"/>
      <c r="H329" s="4"/>
      <c r="I329" s="4"/>
      <c r="J329" s="4"/>
      <c r="N329" s="4"/>
      <c r="O329" s="4"/>
    </row>
    <row r="330">
      <c r="A330" s="4"/>
      <c r="B330" s="4"/>
      <c r="C330" s="4"/>
      <c r="F330" s="4"/>
      <c r="G330" s="4"/>
      <c r="H330" s="4"/>
      <c r="I330" s="4"/>
      <c r="J330" s="4"/>
      <c r="N330" s="4"/>
      <c r="O330" s="4"/>
    </row>
    <row r="331">
      <c r="A331" s="4"/>
      <c r="B331" s="4"/>
      <c r="C331" s="4"/>
      <c r="F331" s="4"/>
      <c r="G331" s="4"/>
      <c r="H331" s="4"/>
      <c r="I331" s="4"/>
      <c r="J331" s="4"/>
      <c r="O331" s="4"/>
    </row>
    <row r="332">
      <c r="A332" s="4"/>
      <c r="B332" s="4"/>
      <c r="C332" s="4"/>
      <c r="F332" s="4"/>
      <c r="G332" s="4"/>
      <c r="H332" s="4"/>
      <c r="I332" s="4"/>
      <c r="J332" s="4"/>
      <c r="K332" s="13"/>
      <c r="N332" s="4"/>
      <c r="O332" s="4"/>
    </row>
    <row r="333">
      <c r="A333" s="4"/>
      <c r="B333" s="4"/>
      <c r="C333" s="4"/>
      <c r="D333" s="4"/>
      <c r="E333" s="4"/>
      <c r="F333" s="4"/>
      <c r="G333" s="4"/>
      <c r="H333" s="4"/>
      <c r="I333" s="4"/>
      <c r="J333" s="4"/>
      <c r="K333" s="13"/>
      <c r="M333" s="4"/>
      <c r="N333" s="4"/>
      <c r="O333" s="4"/>
    </row>
    <row r="334">
      <c r="A334" s="4"/>
      <c r="B334" s="4"/>
      <c r="C334" s="4"/>
      <c r="E334" s="4"/>
      <c r="F334" s="4"/>
      <c r="G334" s="4"/>
      <c r="H334" s="4"/>
      <c r="I334" s="4"/>
      <c r="J334" s="4"/>
      <c r="O334" s="4"/>
    </row>
    <row r="335">
      <c r="A335" s="4"/>
      <c r="B335" s="4"/>
      <c r="C335" s="4"/>
      <c r="E335" s="4"/>
      <c r="F335" s="4"/>
      <c r="G335" s="4"/>
      <c r="H335" s="4"/>
      <c r="I335" s="4"/>
      <c r="J335" s="4"/>
      <c r="O335" s="4"/>
    </row>
    <row r="336">
      <c r="A336" s="4"/>
      <c r="B336" s="4"/>
      <c r="C336" s="4"/>
      <c r="E336" s="4"/>
      <c r="F336" s="4"/>
      <c r="G336" s="4"/>
      <c r="H336" s="4"/>
      <c r="I336" s="4"/>
      <c r="J336" s="4"/>
      <c r="M336" s="4"/>
      <c r="O336" s="4"/>
    </row>
    <row r="337">
      <c r="A337" s="4"/>
      <c r="B337" s="4"/>
      <c r="C337" s="4"/>
      <c r="E337" s="4"/>
      <c r="F337" s="4"/>
      <c r="G337" s="4"/>
      <c r="H337" s="4"/>
      <c r="I337" s="4"/>
      <c r="J337" s="4"/>
      <c r="K337" s="13"/>
      <c r="N337" s="4"/>
      <c r="O337" s="4"/>
    </row>
    <row r="338">
      <c r="A338" s="4"/>
      <c r="B338" s="4"/>
      <c r="C338" s="4"/>
      <c r="F338" s="4"/>
      <c r="G338" s="4"/>
      <c r="H338" s="4"/>
      <c r="I338" s="4"/>
      <c r="J338" s="4"/>
      <c r="K338" s="13"/>
      <c r="N338" s="4"/>
      <c r="O338" s="4"/>
    </row>
    <row r="339">
      <c r="A339" s="4"/>
      <c r="B339" s="4"/>
      <c r="C339" s="4"/>
      <c r="F339" s="4"/>
      <c r="G339" s="4"/>
      <c r="H339" s="4"/>
      <c r="I339" s="4"/>
      <c r="J339" s="4"/>
      <c r="K339" s="13"/>
      <c r="N339" s="4"/>
      <c r="O339" s="4"/>
    </row>
    <row r="340">
      <c r="A340" s="4"/>
      <c r="B340" s="4"/>
      <c r="C340" s="4"/>
      <c r="F340" s="4"/>
      <c r="G340" s="4"/>
      <c r="H340" s="4"/>
      <c r="I340" s="4"/>
      <c r="J340" s="4"/>
      <c r="N340" s="4"/>
      <c r="O340" s="4"/>
    </row>
    <row r="341">
      <c r="A341" s="4"/>
      <c r="B341" s="4"/>
      <c r="C341" s="4"/>
      <c r="F341" s="4"/>
      <c r="G341" s="4"/>
      <c r="H341" s="4"/>
      <c r="I341" s="4"/>
      <c r="J341" s="4"/>
      <c r="K341" s="13"/>
      <c r="M341" s="4"/>
      <c r="N341" s="4"/>
      <c r="O341" s="4"/>
    </row>
    <row r="342">
      <c r="A342" s="4"/>
      <c r="B342" s="4"/>
      <c r="C342" s="4"/>
      <c r="D342" s="4"/>
      <c r="E342" s="4"/>
      <c r="F342" s="4"/>
      <c r="G342" s="4"/>
      <c r="H342" s="4"/>
      <c r="I342" s="4"/>
      <c r="J342" s="4"/>
      <c r="N342" s="4"/>
      <c r="O342" s="4"/>
    </row>
    <row r="343">
      <c r="A343" s="4"/>
      <c r="B343" s="4"/>
      <c r="C343" s="4"/>
      <c r="F343" s="4"/>
      <c r="G343" s="4"/>
      <c r="H343" s="4"/>
      <c r="I343" s="4"/>
      <c r="J343" s="4"/>
      <c r="N343" s="4"/>
      <c r="O343" s="4"/>
    </row>
    <row r="344">
      <c r="A344" s="4"/>
      <c r="B344" s="4"/>
      <c r="C344" s="4"/>
      <c r="F344" s="4"/>
      <c r="G344" s="4"/>
      <c r="I344" s="4"/>
      <c r="J344" s="4"/>
      <c r="K344" s="13"/>
      <c r="O344" s="4"/>
    </row>
    <row r="345">
      <c r="A345" s="4"/>
      <c r="B345" s="4"/>
      <c r="C345" s="4"/>
      <c r="F345" s="4"/>
      <c r="G345" s="4"/>
      <c r="H345" s="4"/>
      <c r="I345" s="4"/>
      <c r="J345" s="4"/>
      <c r="K345" s="13"/>
      <c r="N345" s="4"/>
      <c r="O345" s="4"/>
    </row>
    <row r="346">
      <c r="A346" s="4"/>
      <c r="B346" s="4"/>
      <c r="C346" s="4"/>
      <c r="F346" s="4"/>
      <c r="G346" s="4"/>
      <c r="H346" s="4"/>
      <c r="I346" s="4"/>
      <c r="J346" s="4"/>
      <c r="K346" s="13"/>
      <c r="N346" s="4"/>
      <c r="O346" s="4"/>
    </row>
    <row r="347">
      <c r="A347" s="4"/>
      <c r="B347" s="4"/>
      <c r="C347" s="4"/>
      <c r="F347" s="4"/>
      <c r="G347" s="4"/>
      <c r="H347" s="4"/>
      <c r="I347" s="4"/>
      <c r="J347" s="4"/>
      <c r="K347" s="13"/>
      <c r="N347" s="4"/>
      <c r="O347" s="4"/>
    </row>
    <row r="348">
      <c r="A348" s="4"/>
      <c r="B348" s="4"/>
      <c r="C348" s="4"/>
      <c r="F348" s="4"/>
      <c r="G348" s="4"/>
      <c r="H348" s="4"/>
      <c r="I348" s="4"/>
      <c r="J348" s="4"/>
      <c r="K348" s="13"/>
      <c r="N348" s="4"/>
      <c r="O348" s="4"/>
    </row>
    <row r="349">
      <c r="A349" s="4"/>
      <c r="B349" s="4"/>
      <c r="C349" s="4"/>
      <c r="D349" s="4"/>
      <c r="E349" s="4"/>
      <c r="F349" s="4"/>
      <c r="G349" s="4"/>
      <c r="H349" s="4"/>
      <c r="I349" s="4"/>
      <c r="J349" s="4"/>
      <c r="N349" s="4"/>
      <c r="O349" s="4"/>
    </row>
    <row r="350">
      <c r="A350" s="4"/>
      <c r="B350" s="4"/>
      <c r="C350" s="4"/>
      <c r="D350" s="4"/>
      <c r="E350" s="4"/>
      <c r="F350" s="4"/>
      <c r="G350" s="4"/>
      <c r="H350" s="4"/>
      <c r="I350" s="4"/>
      <c r="J350" s="4"/>
      <c r="K350" s="13"/>
      <c r="M350" s="4"/>
      <c r="N350" s="4"/>
      <c r="O350" s="4"/>
    </row>
    <row r="351">
      <c r="A351" s="4"/>
      <c r="B351" s="4"/>
      <c r="C351" s="4"/>
      <c r="D351" s="4"/>
      <c r="E351" s="4"/>
      <c r="F351" s="4"/>
      <c r="G351" s="4"/>
      <c r="H351" s="4"/>
      <c r="I351" s="4"/>
      <c r="J351" s="4"/>
      <c r="K351" s="13"/>
      <c r="N351" s="4"/>
      <c r="O351" s="4"/>
    </row>
    <row r="352">
      <c r="A352" s="4"/>
      <c r="B352" s="4"/>
      <c r="C352" s="4"/>
      <c r="F352" s="4"/>
      <c r="G352" s="4"/>
      <c r="H352" s="4"/>
      <c r="I352" s="4"/>
      <c r="J352" s="4"/>
      <c r="K352" s="13"/>
      <c r="N352" s="4"/>
      <c r="O352" s="4"/>
    </row>
    <row r="353">
      <c r="A353" s="4"/>
      <c r="B353" s="4"/>
      <c r="C353" s="4"/>
      <c r="F353" s="4"/>
      <c r="G353" s="4"/>
      <c r="H353" s="4"/>
      <c r="I353" s="4"/>
      <c r="J353" s="4"/>
      <c r="K353" s="13"/>
      <c r="N353" s="4"/>
      <c r="O353" s="4"/>
    </row>
    <row r="354">
      <c r="A354" s="4"/>
      <c r="B354" s="4"/>
      <c r="C354" s="4"/>
      <c r="D354" s="4"/>
      <c r="E354" s="4"/>
      <c r="F354" s="4"/>
      <c r="G354" s="4"/>
      <c r="H354" s="4"/>
      <c r="I354" s="4"/>
      <c r="J354" s="4"/>
      <c r="K354" s="13"/>
      <c r="M354" s="4"/>
      <c r="N354" s="4"/>
      <c r="O354" s="4"/>
    </row>
    <row r="355">
      <c r="A355" s="4"/>
      <c r="B355" s="4"/>
      <c r="C355" s="4"/>
      <c r="D355" s="4"/>
      <c r="E355" s="4"/>
      <c r="F355" s="4"/>
      <c r="G355" s="4"/>
      <c r="H355" s="4"/>
      <c r="I355" s="4"/>
      <c r="J355" s="4"/>
      <c r="K355" s="13"/>
      <c r="N355" s="4"/>
      <c r="O355" s="4"/>
    </row>
    <row r="356">
      <c r="A356" s="4"/>
      <c r="B356" s="4"/>
      <c r="C356" s="4"/>
      <c r="D356" s="4"/>
      <c r="E356" s="4"/>
      <c r="F356" s="4"/>
      <c r="G356" s="4"/>
      <c r="H356" s="4"/>
      <c r="I356" s="4"/>
      <c r="J356" s="4"/>
      <c r="N356" s="4"/>
      <c r="O356" s="4"/>
    </row>
    <row r="357">
      <c r="A357" s="4"/>
      <c r="B357" s="4"/>
      <c r="C357" s="4"/>
      <c r="F357" s="4"/>
      <c r="G357" s="4"/>
      <c r="I357" s="4"/>
      <c r="J357" s="4"/>
      <c r="O357" s="4"/>
    </row>
    <row r="358">
      <c r="A358" s="4"/>
      <c r="B358" s="4"/>
      <c r="C358" s="4"/>
      <c r="F358" s="4"/>
      <c r="G358" s="4"/>
      <c r="H358" s="4"/>
      <c r="I358" s="4"/>
      <c r="J358" s="4"/>
      <c r="K358" s="13"/>
      <c r="N358" s="4"/>
      <c r="O358" s="4"/>
    </row>
    <row r="359">
      <c r="A359" s="4"/>
      <c r="B359" s="4"/>
      <c r="C359" s="4"/>
      <c r="D359" s="4"/>
      <c r="E359" s="4"/>
      <c r="F359" s="4"/>
      <c r="G359" s="4"/>
      <c r="H359" s="4"/>
      <c r="I359" s="4"/>
      <c r="J359" s="4"/>
      <c r="K359" s="13"/>
      <c r="M359" s="4"/>
      <c r="N359" s="4"/>
      <c r="O359" s="4"/>
    </row>
    <row r="360">
      <c r="A360" s="4"/>
      <c r="B360" s="4"/>
      <c r="C360" s="4"/>
      <c r="D360" s="4"/>
      <c r="E360" s="4"/>
      <c r="F360" s="4"/>
      <c r="G360" s="4"/>
      <c r="H360" s="4"/>
      <c r="I360" s="4"/>
      <c r="J360" s="4"/>
      <c r="K360" s="13"/>
      <c r="M360" s="4"/>
      <c r="N360" s="4"/>
      <c r="O360" s="4"/>
    </row>
    <row r="361">
      <c r="A361" s="4"/>
      <c r="B361" s="4"/>
      <c r="C361" s="4"/>
      <c r="F361" s="4"/>
      <c r="G361" s="4"/>
      <c r="H361" s="4"/>
      <c r="I361" s="4"/>
      <c r="J361" s="4"/>
      <c r="K361" s="13"/>
      <c r="N361" s="4"/>
      <c r="O361" s="4"/>
    </row>
    <row r="362">
      <c r="A362" s="4"/>
      <c r="B362" s="4"/>
      <c r="C362" s="4"/>
      <c r="D362" s="4"/>
      <c r="E362" s="4"/>
      <c r="F362" s="4"/>
      <c r="G362" s="4"/>
      <c r="H362" s="4"/>
      <c r="I362" s="4"/>
      <c r="J362" s="4"/>
      <c r="K362" s="13"/>
      <c r="M362" s="4"/>
      <c r="N362" s="4"/>
      <c r="O362" s="4"/>
    </row>
    <row r="363">
      <c r="A363" s="4"/>
      <c r="B363" s="4"/>
      <c r="C363" s="4"/>
      <c r="D363" s="4"/>
      <c r="E363" s="4"/>
      <c r="F363" s="4"/>
      <c r="G363" s="4"/>
      <c r="H363" s="4"/>
      <c r="I363" s="4"/>
      <c r="J363" s="4"/>
      <c r="K363" s="13"/>
      <c r="M363" s="4"/>
      <c r="N363" s="4"/>
      <c r="O363" s="4"/>
    </row>
    <row r="364">
      <c r="A364" s="4"/>
      <c r="B364" s="4"/>
      <c r="C364" s="4"/>
      <c r="D364" s="4"/>
      <c r="E364" s="4"/>
      <c r="F364" s="4"/>
      <c r="G364" s="4"/>
      <c r="H364" s="4"/>
      <c r="I364" s="4"/>
      <c r="J364" s="4"/>
      <c r="K364" s="13"/>
      <c r="N364" s="4"/>
      <c r="O364" s="4"/>
    </row>
    <row r="365">
      <c r="A365" s="4"/>
      <c r="B365" s="4"/>
      <c r="C365" s="4"/>
      <c r="D365" s="4"/>
      <c r="E365" s="4"/>
      <c r="F365" s="4"/>
      <c r="G365" s="4"/>
      <c r="H365" s="4"/>
      <c r="I365" s="4"/>
      <c r="J365" s="4"/>
      <c r="K365" s="13"/>
      <c r="M365" s="4"/>
      <c r="N365" s="4"/>
      <c r="O365" s="4"/>
    </row>
    <row r="366">
      <c r="A366" s="4"/>
      <c r="B366" s="4"/>
      <c r="C366" s="4"/>
      <c r="D366" s="4"/>
      <c r="E366" s="4"/>
      <c r="F366" s="4"/>
      <c r="G366" s="4"/>
      <c r="H366" s="4"/>
      <c r="I366" s="4"/>
      <c r="J366" s="4"/>
      <c r="M366" s="4"/>
      <c r="N366" s="4"/>
      <c r="O366" s="4"/>
    </row>
    <row r="367">
      <c r="A367" s="4"/>
      <c r="B367" s="4"/>
      <c r="C367" s="4"/>
      <c r="F367" s="4"/>
      <c r="G367" s="4"/>
      <c r="H367" s="4"/>
      <c r="I367" s="4"/>
      <c r="J367" s="4"/>
      <c r="K367" s="13"/>
      <c r="N367" s="4"/>
      <c r="O367" s="4"/>
    </row>
    <row r="368">
      <c r="A368" s="4"/>
      <c r="B368" s="4"/>
      <c r="C368" s="4"/>
      <c r="F368" s="4"/>
      <c r="G368" s="4"/>
      <c r="H368" s="4"/>
      <c r="I368" s="4"/>
      <c r="J368" s="4"/>
      <c r="K368" s="13"/>
      <c r="N368" s="4"/>
      <c r="O368" s="4"/>
    </row>
    <row r="369">
      <c r="A369" s="4"/>
      <c r="B369" s="4"/>
      <c r="C369" s="4"/>
      <c r="F369" s="4"/>
      <c r="G369" s="4"/>
      <c r="H369" s="4"/>
      <c r="I369" s="4"/>
      <c r="J369" s="4"/>
      <c r="O369" s="4"/>
    </row>
    <row r="370">
      <c r="A370" s="4"/>
      <c r="B370" s="4"/>
      <c r="C370" s="4"/>
      <c r="F370" s="4"/>
      <c r="G370" s="4"/>
      <c r="H370" s="4"/>
      <c r="I370" s="4"/>
      <c r="J370" s="4"/>
      <c r="O370" s="4"/>
    </row>
    <row r="371">
      <c r="A371" s="4"/>
      <c r="B371" s="4"/>
      <c r="C371" s="4"/>
      <c r="F371" s="4"/>
      <c r="G371" s="4"/>
      <c r="H371" s="4"/>
      <c r="I371" s="4"/>
      <c r="J371" s="4"/>
      <c r="K371" s="13"/>
      <c r="N371" s="4"/>
      <c r="O371" s="4"/>
    </row>
    <row r="372">
      <c r="A372" s="4"/>
      <c r="B372" s="4"/>
      <c r="C372" s="4"/>
      <c r="F372" s="4"/>
      <c r="G372" s="4"/>
      <c r="H372" s="4"/>
      <c r="I372" s="4"/>
      <c r="J372" s="4"/>
      <c r="K372" s="13"/>
      <c r="N372" s="4"/>
      <c r="O372" s="4"/>
    </row>
    <row r="373">
      <c r="A373" s="4"/>
      <c r="B373" s="4"/>
      <c r="C373" s="4"/>
      <c r="D373" s="4"/>
      <c r="E373" s="4"/>
      <c r="F373" s="4"/>
      <c r="G373" s="4"/>
      <c r="H373" s="4"/>
      <c r="I373" s="4"/>
      <c r="J373" s="4"/>
      <c r="K373" s="13"/>
      <c r="M373" s="4"/>
      <c r="N373" s="4"/>
      <c r="O373" s="4"/>
    </row>
    <row r="374">
      <c r="A374" s="4"/>
      <c r="B374" s="4"/>
      <c r="C374" s="4"/>
      <c r="D374" s="4"/>
      <c r="E374" s="4"/>
      <c r="F374" s="4"/>
      <c r="G374" s="4"/>
      <c r="H374" s="4"/>
      <c r="I374" s="4"/>
      <c r="J374" s="4"/>
      <c r="K374" s="13"/>
      <c r="M374" s="4"/>
      <c r="N374" s="4"/>
      <c r="O374" s="4"/>
    </row>
    <row r="375">
      <c r="A375" s="4"/>
      <c r="B375" s="4"/>
      <c r="C375" s="4"/>
      <c r="D375" s="4"/>
      <c r="E375" s="4"/>
      <c r="F375" s="4"/>
      <c r="G375" s="4"/>
      <c r="H375" s="4"/>
      <c r="I375" s="4"/>
      <c r="J375" s="4"/>
      <c r="O375" s="4"/>
    </row>
    <row r="376">
      <c r="A376" s="4"/>
      <c r="B376" s="4"/>
      <c r="C376" s="4"/>
      <c r="F376" s="4"/>
      <c r="G376" s="4"/>
      <c r="H376" s="4"/>
      <c r="I376" s="4"/>
      <c r="J376" s="4"/>
      <c r="N376" s="4"/>
      <c r="O376" s="4"/>
    </row>
    <row r="377">
      <c r="A377" s="4"/>
      <c r="B377" s="4"/>
      <c r="C377" s="4"/>
      <c r="D377" s="4"/>
      <c r="E377" s="4"/>
      <c r="F377" s="4"/>
      <c r="G377" s="4"/>
      <c r="H377" s="4"/>
      <c r="I377" s="4"/>
      <c r="J377" s="4"/>
      <c r="K377" s="13"/>
      <c r="M377" s="4"/>
      <c r="N377" s="4"/>
      <c r="O377" s="4"/>
    </row>
    <row r="378">
      <c r="A378" s="4"/>
      <c r="B378" s="4"/>
      <c r="C378" s="4"/>
      <c r="F378" s="4"/>
      <c r="G378" s="4"/>
      <c r="H378" s="4"/>
      <c r="I378" s="4"/>
      <c r="J378" s="4"/>
      <c r="O378" s="4"/>
    </row>
    <row r="379">
      <c r="A379" s="4"/>
      <c r="B379" s="4"/>
      <c r="C379" s="4"/>
      <c r="F379" s="4"/>
      <c r="G379" s="4"/>
      <c r="H379" s="4"/>
      <c r="I379" s="4"/>
      <c r="J379" s="4"/>
      <c r="K379" s="13"/>
      <c r="N379" s="4"/>
      <c r="O379" s="4"/>
    </row>
    <row r="380">
      <c r="A380" s="4"/>
      <c r="B380" s="4"/>
      <c r="C380" s="4"/>
      <c r="F380" s="4"/>
      <c r="G380" s="4"/>
      <c r="H380" s="4"/>
      <c r="I380" s="4"/>
      <c r="J380" s="4"/>
      <c r="O380" s="4"/>
    </row>
    <row r="381">
      <c r="A381" s="4"/>
      <c r="B381" s="4"/>
      <c r="C381" s="4"/>
      <c r="F381" s="4"/>
      <c r="G381" s="4"/>
      <c r="H381" s="4"/>
      <c r="I381" s="4"/>
      <c r="J381" s="4"/>
      <c r="O381" s="4"/>
    </row>
    <row r="382">
      <c r="A382" s="4"/>
      <c r="B382" s="4"/>
      <c r="C382" s="4"/>
      <c r="F382" s="4"/>
      <c r="G382" s="4"/>
      <c r="H382" s="4"/>
      <c r="I382" s="4"/>
      <c r="J382" s="4"/>
      <c r="N382" s="4"/>
      <c r="O382" s="4"/>
    </row>
    <row r="383">
      <c r="A383" s="4"/>
      <c r="B383" s="4"/>
      <c r="C383" s="4"/>
      <c r="F383" s="4"/>
      <c r="G383" s="4"/>
      <c r="H383" s="4"/>
      <c r="I383" s="4"/>
      <c r="J383" s="4"/>
      <c r="O383" s="4"/>
    </row>
    <row r="384">
      <c r="A384" s="4"/>
      <c r="B384" s="4"/>
      <c r="C384" s="4"/>
      <c r="F384" s="4"/>
      <c r="G384" s="4"/>
      <c r="H384" s="4"/>
      <c r="I384" s="4"/>
      <c r="J384" s="4"/>
      <c r="N384" s="4"/>
      <c r="O384" s="4"/>
    </row>
    <row r="385">
      <c r="A385" s="4"/>
      <c r="B385" s="4"/>
      <c r="C385" s="4"/>
      <c r="F385" s="4"/>
      <c r="G385" s="4"/>
      <c r="H385" s="4"/>
      <c r="I385" s="4"/>
      <c r="J385" s="4"/>
      <c r="N385" s="4"/>
      <c r="O385" s="4"/>
    </row>
    <row r="386">
      <c r="A386" s="4"/>
      <c r="B386" s="4"/>
      <c r="C386" s="4"/>
      <c r="F386" s="4"/>
      <c r="G386" s="4"/>
      <c r="H386" s="4"/>
      <c r="I386" s="4"/>
      <c r="J386" s="4"/>
      <c r="K386" s="13"/>
      <c r="N386" s="4"/>
      <c r="O386" s="4"/>
    </row>
    <row r="387">
      <c r="A387" s="4"/>
      <c r="B387" s="4"/>
      <c r="C387" s="4"/>
      <c r="F387" s="4"/>
      <c r="G387" s="4"/>
      <c r="I387" s="4"/>
      <c r="J387" s="4"/>
      <c r="O387" s="4"/>
    </row>
    <row r="388">
      <c r="A388" s="4"/>
      <c r="B388" s="4"/>
      <c r="C388" s="4"/>
      <c r="F388" s="4"/>
      <c r="G388" s="4"/>
      <c r="H388" s="4"/>
      <c r="I388" s="4"/>
      <c r="J388" s="4"/>
      <c r="K388" s="13"/>
      <c r="N388" s="4"/>
      <c r="O388" s="4"/>
    </row>
    <row r="389">
      <c r="A389" s="4"/>
      <c r="B389" s="4"/>
      <c r="C389" s="4"/>
      <c r="F389" s="4"/>
      <c r="G389" s="4"/>
      <c r="H389" s="4"/>
      <c r="I389" s="4"/>
      <c r="J389" s="4"/>
      <c r="K389" s="13"/>
      <c r="N389" s="4"/>
      <c r="O389" s="4"/>
    </row>
    <row r="390">
      <c r="A390" s="4"/>
      <c r="B390" s="4"/>
      <c r="C390" s="4"/>
      <c r="D390" s="4"/>
      <c r="E390" s="4"/>
      <c r="F390" s="4"/>
      <c r="G390" s="4"/>
      <c r="H390" s="4"/>
      <c r="I390" s="4"/>
      <c r="J390" s="4"/>
      <c r="O390" s="4"/>
    </row>
    <row r="391">
      <c r="A391" s="4"/>
      <c r="B391" s="4"/>
      <c r="C391" s="4"/>
      <c r="D391" s="4"/>
      <c r="E391" s="4"/>
      <c r="F391" s="4"/>
      <c r="G391" s="4"/>
      <c r="H391" s="4"/>
      <c r="I391" s="4"/>
      <c r="J391" s="4"/>
      <c r="O391" s="4"/>
    </row>
    <row r="392">
      <c r="A392" s="4"/>
      <c r="B392" s="4"/>
      <c r="C392" s="4"/>
      <c r="D392" s="4"/>
      <c r="E392" s="4"/>
      <c r="F392" s="4"/>
      <c r="G392" s="4"/>
      <c r="H392" s="4"/>
      <c r="I392" s="4"/>
      <c r="J392" s="4"/>
      <c r="K392" s="13"/>
      <c r="M392" s="4"/>
      <c r="N392" s="4"/>
      <c r="O392" s="4"/>
    </row>
    <row r="393">
      <c r="A393" s="4"/>
      <c r="B393" s="4"/>
      <c r="C393" s="4"/>
      <c r="D393" s="4"/>
      <c r="E393" s="4"/>
      <c r="F393" s="4"/>
      <c r="G393" s="4"/>
      <c r="H393" s="4"/>
      <c r="I393" s="4"/>
      <c r="J393" s="4"/>
      <c r="N393" s="4"/>
      <c r="O393" s="4"/>
    </row>
    <row r="394">
      <c r="A394" s="4"/>
      <c r="B394" s="4"/>
      <c r="C394" s="4"/>
      <c r="F394" s="4"/>
      <c r="G394" s="4"/>
      <c r="H394" s="4"/>
      <c r="I394" s="4"/>
      <c r="J394" s="4"/>
      <c r="K394" s="13"/>
      <c r="N394" s="4"/>
      <c r="O394" s="4"/>
    </row>
    <row r="395">
      <c r="A395" s="4"/>
      <c r="B395" s="4"/>
      <c r="C395" s="4"/>
      <c r="F395" s="4"/>
      <c r="G395" s="4"/>
      <c r="H395" s="4"/>
      <c r="I395" s="4"/>
      <c r="J395" s="4"/>
      <c r="M395" s="4"/>
      <c r="O395" s="4"/>
    </row>
    <row r="396">
      <c r="A396" s="4"/>
      <c r="B396" s="4"/>
      <c r="C396" s="4"/>
      <c r="F396" s="4"/>
      <c r="G396" s="4"/>
      <c r="H396" s="4"/>
      <c r="I396" s="4"/>
      <c r="J396" s="4"/>
      <c r="N396" s="4"/>
      <c r="O396" s="4"/>
    </row>
    <row r="397">
      <c r="A397" s="4"/>
      <c r="B397" s="4"/>
      <c r="C397" s="4"/>
      <c r="F397" s="4"/>
      <c r="G397" s="4"/>
      <c r="H397" s="4"/>
      <c r="I397" s="4"/>
      <c r="J397" s="4"/>
      <c r="K397" s="13"/>
      <c r="N397" s="4"/>
      <c r="O397" s="4"/>
    </row>
    <row r="398">
      <c r="A398" s="4"/>
      <c r="B398" s="4"/>
      <c r="C398" s="4"/>
      <c r="F398" s="4"/>
      <c r="G398" s="4"/>
      <c r="H398" s="4"/>
      <c r="I398" s="4"/>
      <c r="J398" s="4"/>
      <c r="N398" s="4"/>
      <c r="O398" s="4"/>
    </row>
    <row r="399">
      <c r="A399" s="4"/>
      <c r="B399" s="4"/>
      <c r="C399" s="4"/>
      <c r="D399" s="4"/>
      <c r="E399" s="4"/>
      <c r="F399" s="4"/>
      <c r="G399" s="4"/>
      <c r="H399" s="4"/>
      <c r="I399" s="4"/>
      <c r="J399" s="4"/>
      <c r="O399" s="4"/>
    </row>
    <row r="400">
      <c r="A400" s="4"/>
      <c r="B400" s="4"/>
      <c r="C400" s="4"/>
      <c r="D400" s="4"/>
      <c r="E400" s="4"/>
      <c r="F400" s="4"/>
      <c r="G400" s="4"/>
      <c r="H400" s="4"/>
      <c r="I400" s="4"/>
      <c r="J400" s="4"/>
      <c r="O400" s="4"/>
    </row>
    <row r="401">
      <c r="A401" s="4"/>
      <c r="B401" s="4"/>
      <c r="C401" s="4"/>
      <c r="D401" s="4"/>
      <c r="E401" s="4"/>
      <c r="F401" s="4"/>
      <c r="G401" s="4"/>
      <c r="H401" s="4"/>
      <c r="I401" s="4"/>
      <c r="J401" s="4"/>
      <c r="O401" s="4"/>
    </row>
    <row r="402">
      <c r="A402" s="4"/>
      <c r="B402" s="4"/>
      <c r="C402" s="4"/>
      <c r="F402" s="4"/>
      <c r="G402" s="4"/>
      <c r="H402" s="4"/>
      <c r="I402" s="4"/>
      <c r="J402" s="4"/>
      <c r="O402" s="4"/>
    </row>
    <row r="403">
      <c r="A403" s="4"/>
      <c r="B403" s="4"/>
      <c r="C403" s="4"/>
      <c r="F403" s="4"/>
      <c r="G403" s="4"/>
      <c r="H403" s="4"/>
      <c r="I403" s="4"/>
      <c r="J403" s="4"/>
      <c r="L403" s="4"/>
      <c r="N403" s="4"/>
      <c r="O403" s="4"/>
    </row>
    <row r="404">
      <c r="A404" s="4"/>
      <c r="B404" s="4"/>
      <c r="C404" s="4"/>
      <c r="F404" s="4"/>
      <c r="G404" s="4"/>
      <c r="H404" s="4"/>
      <c r="I404" s="4"/>
      <c r="J404" s="4"/>
      <c r="K404" s="13"/>
      <c r="L404" s="4"/>
      <c r="N404" s="4"/>
      <c r="O404" s="4"/>
    </row>
    <row r="405">
      <c r="A405" s="4"/>
      <c r="B405" s="4"/>
      <c r="C405" s="4"/>
      <c r="F405" s="4"/>
      <c r="G405" s="4"/>
      <c r="H405" s="4"/>
      <c r="I405" s="4"/>
      <c r="J405" s="4"/>
      <c r="M405" s="4"/>
      <c r="O405" s="4"/>
    </row>
    <row r="406">
      <c r="A406" s="4"/>
      <c r="B406" s="4"/>
      <c r="C406" s="4"/>
      <c r="F406" s="4"/>
      <c r="G406" s="4"/>
      <c r="H406" s="4"/>
      <c r="I406" s="4"/>
      <c r="J406" s="4"/>
      <c r="K406" s="13"/>
      <c r="N406" s="4"/>
      <c r="O406" s="4"/>
    </row>
    <row r="407">
      <c r="A407" s="4"/>
      <c r="B407" s="4"/>
      <c r="C407" s="4"/>
      <c r="F407" s="4"/>
      <c r="G407" s="4"/>
      <c r="H407" s="4"/>
      <c r="I407" s="4"/>
      <c r="J407" s="4"/>
      <c r="O407" s="4"/>
    </row>
    <row r="408">
      <c r="A408" s="4"/>
      <c r="B408" s="4"/>
      <c r="C408" s="4"/>
      <c r="F408" s="4"/>
      <c r="G408" s="4"/>
      <c r="H408" s="4"/>
      <c r="I408" s="4"/>
      <c r="J408" s="4"/>
      <c r="K408" s="13"/>
      <c r="N408" s="4"/>
      <c r="O408" s="4"/>
    </row>
    <row r="409">
      <c r="A409" s="4"/>
      <c r="B409" s="4"/>
      <c r="C409" s="4"/>
      <c r="F409" s="4"/>
      <c r="G409" s="4"/>
      <c r="H409" s="4"/>
      <c r="I409" s="4"/>
      <c r="J409" s="4"/>
      <c r="K409" s="13"/>
      <c r="N409" s="4"/>
      <c r="O409" s="4"/>
    </row>
    <row r="410">
      <c r="A410" s="4"/>
      <c r="B410" s="4"/>
      <c r="C410" s="4"/>
      <c r="F410" s="4"/>
      <c r="G410" s="4"/>
      <c r="H410" s="4"/>
      <c r="I410" s="4"/>
      <c r="J410" s="4"/>
      <c r="K410" s="13"/>
      <c r="L410" s="4"/>
      <c r="N410" s="4"/>
      <c r="O410" s="4"/>
    </row>
    <row r="411">
      <c r="A411" s="4"/>
      <c r="B411" s="4"/>
      <c r="C411" s="4"/>
      <c r="F411" s="4"/>
      <c r="G411" s="4"/>
      <c r="H411" s="4"/>
      <c r="I411" s="4"/>
      <c r="J411" s="4"/>
      <c r="K411" s="13"/>
      <c r="N411" s="4"/>
      <c r="O411" s="4"/>
    </row>
    <row r="412">
      <c r="A412" s="4"/>
      <c r="B412" s="4"/>
      <c r="C412" s="4"/>
      <c r="F412" s="4"/>
      <c r="G412" s="4"/>
      <c r="H412" s="4"/>
      <c r="I412" s="4"/>
      <c r="J412" s="4"/>
      <c r="K412" s="13"/>
      <c r="N412" s="4"/>
      <c r="O412" s="4"/>
    </row>
    <row r="413">
      <c r="A413" s="4"/>
      <c r="B413" s="4"/>
      <c r="C413" s="4"/>
      <c r="F413" s="4"/>
      <c r="G413" s="4"/>
      <c r="H413" s="4"/>
      <c r="I413" s="4"/>
      <c r="J413" s="4"/>
      <c r="K413" s="13"/>
      <c r="N413" s="4"/>
      <c r="O413" s="4"/>
    </row>
    <row r="414">
      <c r="A414" s="4"/>
      <c r="B414" s="4"/>
      <c r="C414" s="4"/>
      <c r="F414" s="4"/>
      <c r="G414" s="4"/>
      <c r="H414" s="4"/>
      <c r="I414" s="4"/>
      <c r="J414" s="4"/>
      <c r="K414" s="13"/>
      <c r="N414" s="4"/>
      <c r="O414" s="4"/>
    </row>
    <row r="415">
      <c r="A415" s="4"/>
      <c r="B415" s="4"/>
      <c r="C415" s="4"/>
      <c r="F415" s="4"/>
      <c r="G415" s="4"/>
      <c r="H415" s="4"/>
      <c r="I415" s="4"/>
      <c r="J415" s="4"/>
      <c r="O415" s="4"/>
    </row>
    <row r="416">
      <c r="A416" s="4"/>
      <c r="B416" s="4"/>
      <c r="C416" s="4"/>
      <c r="D416" s="4"/>
      <c r="E416" s="4"/>
      <c r="F416" s="4"/>
      <c r="G416" s="4"/>
      <c r="H416" s="4"/>
      <c r="I416" s="4"/>
      <c r="J416" s="4"/>
      <c r="M416" s="4"/>
      <c r="O416" s="4"/>
    </row>
    <row r="417">
      <c r="A417" s="4"/>
      <c r="B417" s="4"/>
      <c r="C417" s="4"/>
      <c r="F417" s="4"/>
      <c r="G417" s="4"/>
      <c r="H417" s="4"/>
      <c r="I417" s="4"/>
      <c r="J417" s="4"/>
      <c r="K417" s="13"/>
      <c r="M417" s="4"/>
      <c r="N417" s="4"/>
      <c r="O417" s="4"/>
    </row>
    <row r="418">
      <c r="A418" s="4"/>
      <c r="B418" s="4"/>
      <c r="C418" s="4"/>
      <c r="D418" s="4"/>
      <c r="E418" s="4"/>
      <c r="F418" s="4"/>
      <c r="G418" s="4"/>
      <c r="H418" s="4"/>
      <c r="I418" s="4"/>
      <c r="J418" s="4"/>
      <c r="K418" s="13"/>
      <c r="N418" s="4"/>
      <c r="O418" s="4"/>
    </row>
    <row r="419">
      <c r="A419" s="4"/>
      <c r="B419" s="4"/>
      <c r="C419" s="4"/>
      <c r="D419" s="4"/>
      <c r="E419" s="4"/>
      <c r="F419" s="4"/>
      <c r="G419" s="4"/>
      <c r="H419" s="4"/>
      <c r="I419" s="4"/>
      <c r="J419" s="4"/>
      <c r="M419" s="4"/>
      <c r="O419" s="4"/>
    </row>
    <row r="420">
      <c r="A420" s="4"/>
      <c r="B420" s="4"/>
      <c r="C420" s="4"/>
      <c r="D420" s="4"/>
      <c r="E420" s="4"/>
      <c r="F420" s="4"/>
      <c r="G420" s="4"/>
      <c r="H420" s="4"/>
      <c r="I420" s="4"/>
      <c r="J420" s="4"/>
      <c r="K420" s="13"/>
      <c r="N420" s="4"/>
      <c r="O420" s="4"/>
    </row>
    <row r="421">
      <c r="A421" s="4"/>
      <c r="B421" s="4"/>
      <c r="C421" s="4"/>
      <c r="D421" s="4"/>
      <c r="E421" s="4"/>
      <c r="F421" s="4"/>
      <c r="G421" s="4"/>
      <c r="H421" s="4"/>
      <c r="I421" s="4"/>
      <c r="J421" s="4"/>
      <c r="K421" s="13"/>
      <c r="N421" s="4"/>
      <c r="O421" s="4"/>
    </row>
    <row r="422">
      <c r="A422" s="4"/>
      <c r="B422" s="4"/>
      <c r="C422" s="4"/>
      <c r="D422" s="4"/>
      <c r="E422" s="4"/>
      <c r="F422" s="4"/>
      <c r="G422" s="4"/>
      <c r="H422" s="4"/>
      <c r="I422" s="4"/>
      <c r="J422" s="4"/>
      <c r="O422" s="4"/>
    </row>
    <row r="423">
      <c r="A423" s="4"/>
      <c r="B423" s="4"/>
      <c r="C423" s="4"/>
      <c r="F423" s="4"/>
      <c r="G423" s="4"/>
      <c r="H423" s="4"/>
      <c r="I423" s="4"/>
      <c r="J423" s="4"/>
      <c r="N423" s="4"/>
      <c r="O423" s="4"/>
    </row>
    <row r="424">
      <c r="A424" s="4"/>
      <c r="B424" s="4"/>
      <c r="C424" s="4"/>
      <c r="F424" s="4"/>
      <c r="G424" s="4"/>
      <c r="H424" s="4"/>
      <c r="I424" s="4"/>
      <c r="J424" s="4"/>
      <c r="K424" s="13"/>
      <c r="N424" s="4"/>
      <c r="O424" s="4"/>
    </row>
    <row r="425">
      <c r="A425" s="4"/>
      <c r="B425" s="4"/>
      <c r="C425" s="4"/>
      <c r="F425" s="4"/>
      <c r="G425" s="4"/>
      <c r="H425" s="4"/>
      <c r="I425" s="4"/>
      <c r="J425" s="4"/>
      <c r="K425" s="13"/>
      <c r="M425" s="4"/>
      <c r="N425" s="4"/>
      <c r="O425" s="4"/>
    </row>
    <row r="426">
      <c r="A426" s="4"/>
      <c r="B426" s="4"/>
      <c r="C426" s="4"/>
      <c r="D426" s="4"/>
      <c r="E426" s="4"/>
      <c r="F426" s="4"/>
      <c r="G426" s="4"/>
      <c r="H426" s="4"/>
      <c r="I426" s="4"/>
      <c r="J426" s="4"/>
      <c r="K426" s="13"/>
      <c r="N426" s="4"/>
      <c r="O426" s="4"/>
    </row>
    <row r="427">
      <c r="A427" s="4"/>
      <c r="B427" s="4"/>
      <c r="C427" s="4"/>
      <c r="D427" s="4"/>
      <c r="E427" s="4"/>
      <c r="F427" s="4"/>
      <c r="G427" s="4"/>
      <c r="H427" s="4"/>
      <c r="I427" s="4"/>
      <c r="J427" s="4"/>
      <c r="K427" s="13"/>
      <c r="N427" s="4"/>
      <c r="O427" s="4"/>
    </row>
    <row r="428">
      <c r="A428" s="4"/>
      <c r="B428" s="4"/>
      <c r="C428" s="4"/>
      <c r="D428" s="4"/>
      <c r="E428" s="4"/>
      <c r="F428" s="4"/>
      <c r="G428" s="4"/>
      <c r="H428" s="4"/>
      <c r="I428" s="4"/>
      <c r="J428" s="4"/>
      <c r="N428" s="4"/>
      <c r="O428" s="4"/>
    </row>
    <row r="429">
      <c r="A429" s="4"/>
      <c r="B429" s="4"/>
      <c r="C429" s="4"/>
      <c r="F429" s="4"/>
      <c r="G429" s="4"/>
      <c r="H429" s="4"/>
      <c r="I429" s="4"/>
      <c r="J429" s="4"/>
      <c r="K429" s="13"/>
      <c r="L429" s="4"/>
      <c r="N429" s="4"/>
      <c r="O429" s="4"/>
    </row>
    <row r="430">
      <c r="A430" s="4"/>
      <c r="B430" s="4"/>
      <c r="C430" s="4"/>
      <c r="F430" s="4"/>
      <c r="G430" s="4"/>
      <c r="H430" s="4"/>
      <c r="I430" s="4"/>
      <c r="J430" s="4"/>
      <c r="K430" s="13"/>
      <c r="N430" s="4"/>
      <c r="O430" s="4"/>
    </row>
    <row r="431">
      <c r="A431" s="4"/>
      <c r="B431" s="4"/>
      <c r="C431" s="4"/>
      <c r="F431" s="4"/>
      <c r="G431" s="4"/>
      <c r="H431" s="4"/>
      <c r="I431" s="4"/>
      <c r="J431" s="4"/>
      <c r="N431" s="4"/>
      <c r="O431" s="4"/>
    </row>
    <row r="432">
      <c r="A432" s="4"/>
      <c r="B432" s="4"/>
      <c r="C432" s="4"/>
      <c r="F432" s="4"/>
      <c r="G432" s="4"/>
      <c r="H432" s="4"/>
      <c r="I432" s="4"/>
      <c r="J432" s="4"/>
      <c r="K432" s="13"/>
      <c r="N432" s="4"/>
      <c r="O432" s="4"/>
    </row>
    <row r="433">
      <c r="A433" s="4"/>
      <c r="B433" s="4"/>
      <c r="C433" s="4"/>
      <c r="F433" s="4"/>
      <c r="G433" s="4"/>
      <c r="H433" s="4"/>
      <c r="I433" s="4"/>
      <c r="J433" s="4"/>
      <c r="K433" s="13"/>
      <c r="N433" s="4"/>
      <c r="O433" s="4"/>
    </row>
    <row r="434">
      <c r="A434" s="4"/>
      <c r="B434" s="4"/>
      <c r="C434" s="4"/>
      <c r="F434" s="4"/>
      <c r="G434" s="4"/>
      <c r="H434" s="4"/>
      <c r="I434" s="4"/>
      <c r="J434" s="4"/>
      <c r="K434" s="13"/>
      <c r="M434" s="4"/>
      <c r="N434" s="4"/>
      <c r="O434" s="4"/>
    </row>
    <row r="435">
      <c r="A435" s="4"/>
      <c r="B435" s="4"/>
      <c r="C435" s="4"/>
      <c r="F435" s="4"/>
      <c r="G435" s="4"/>
      <c r="H435" s="4"/>
      <c r="I435" s="4"/>
      <c r="J435" s="4"/>
      <c r="O435" s="4"/>
    </row>
    <row r="436">
      <c r="A436" s="4"/>
      <c r="B436" s="4"/>
      <c r="C436" s="4"/>
      <c r="E436" s="4"/>
      <c r="F436" s="4"/>
      <c r="G436" s="4"/>
      <c r="H436" s="4"/>
      <c r="I436" s="4"/>
      <c r="J436" s="4"/>
      <c r="O436" s="4"/>
    </row>
    <row r="437">
      <c r="A437" s="4"/>
      <c r="B437" s="4"/>
      <c r="C437" s="4"/>
      <c r="E437" s="4"/>
      <c r="F437" s="4"/>
      <c r="G437" s="4"/>
      <c r="H437" s="4"/>
      <c r="I437" s="4"/>
      <c r="J437" s="4"/>
      <c r="N437" s="4"/>
      <c r="O437" s="4"/>
    </row>
    <row r="438">
      <c r="A438" s="4"/>
      <c r="B438" s="4"/>
      <c r="C438" s="4"/>
      <c r="F438" s="4"/>
      <c r="G438" s="4"/>
      <c r="H438" s="4"/>
      <c r="I438" s="4"/>
      <c r="J438" s="4"/>
      <c r="K438" s="13"/>
      <c r="L438" s="4"/>
      <c r="N438" s="4"/>
      <c r="O438" s="4"/>
    </row>
    <row r="439">
      <c r="A439" s="4"/>
      <c r="B439" s="4"/>
      <c r="C439" s="4"/>
      <c r="F439" s="4"/>
      <c r="G439" s="4"/>
      <c r="H439" s="4"/>
      <c r="I439" s="4"/>
      <c r="J439" s="4"/>
      <c r="K439" s="13"/>
      <c r="M439" s="4"/>
      <c r="N439" s="4"/>
      <c r="O439" s="4"/>
    </row>
    <row r="440">
      <c r="A440" s="4"/>
      <c r="B440" s="4"/>
      <c r="C440" s="4"/>
      <c r="F440" s="4"/>
      <c r="G440" s="4"/>
      <c r="H440" s="4"/>
      <c r="I440" s="4"/>
      <c r="J440" s="4"/>
      <c r="N440" s="4"/>
      <c r="O440" s="4"/>
    </row>
    <row r="441">
      <c r="A441" s="4"/>
      <c r="B441" s="4"/>
      <c r="C441" s="4"/>
      <c r="D441" s="4"/>
      <c r="E441" s="4"/>
      <c r="F441" s="4"/>
      <c r="G441" s="4"/>
      <c r="H441" s="4"/>
      <c r="I441" s="4"/>
      <c r="J441" s="4"/>
      <c r="M441" s="4"/>
      <c r="O441" s="4"/>
    </row>
    <row r="442">
      <c r="A442" s="4"/>
      <c r="B442" s="4"/>
      <c r="C442" s="4"/>
      <c r="F442" s="4"/>
      <c r="G442" s="4"/>
      <c r="H442" s="4"/>
      <c r="I442" s="4"/>
      <c r="J442" s="4"/>
      <c r="K442" s="13"/>
      <c r="N442" s="4"/>
      <c r="O442" s="4"/>
    </row>
    <row r="443">
      <c r="A443" s="4"/>
      <c r="B443" s="4"/>
      <c r="C443" s="4"/>
      <c r="F443" s="4"/>
      <c r="G443" s="4"/>
      <c r="H443" s="4"/>
      <c r="I443" s="4"/>
      <c r="J443" s="4"/>
      <c r="K443" s="13"/>
      <c r="M443" s="4"/>
      <c r="N443" s="4"/>
      <c r="O443" s="4"/>
    </row>
    <row r="444">
      <c r="A444" s="4"/>
      <c r="B444" s="4"/>
      <c r="C444" s="4"/>
      <c r="D444" s="4"/>
      <c r="E444" s="4"/>
      <c r="F444" s="4"/>
      <c r="G444" s="4"/>
      <c r="H444" s="4"/>
      <c r="I444" s="4"/>
      <c r="J444" s="4"/>
      <c r="K444" s="13"/>
      <c r="N444" s="4"/>
      <c r="O444" s="4"/>
    </row>
    <row r="445">
      <c r="A445" s="4"/>
      <c r="B445" s="4"/>
      <c r="C445" s="4"/>
      <c r="F445" s="4"/>
      <c r="G445" s="4"/>
      <c r="H445" s="4"/>
      <c r="I445" s="4"/>
      <c r="J445" s="4"/>
      <c r="K445" s="13"/>
      <c r="N445" s="4"/>
      <c r="O445" s="4"/>
    </row>
    <row r="446">
      <c r="A446" s="4"/>
      <c r="B446" s="4"/>
      <c r="C446" s="4"/>
      <c r="F446" s="4"/>
      <c r="G446" s="4"/>
      <c r="H446" s="4"/>
      <c r="I446" s="4"/>
      <c r="J446" s="4"/>
      <c r="N446" s="4"/>
      <c r="O446" s="4"/>
    </row>
    <row r="447">
      <c r="A447" s="4"/>
      <c r="B447" s="4"/>
      <c r="C447" s="4"/>
      <c r="D447" s="4"/>
      <c r="E447" s="4"/>
      <c r="F447" s="4"/>
      <c r="G447" s="4"/>
      <c r="H447" s="4"/>
      <c r="I447" s="4"/>
      <c r="J447" s="4"/>
      <c r="O447" s="4"/>
    </row>
    <row r="448">
      <c r="A448" s="4"/>
      <c r="B448" s="4"/>
      <c r="C448" s="4"/>
      <c r="D448" s="4"/>
      <c r="E448" s="4"/>
      <c r="F448" s="4"/>
      <c r="G448" s="4"/>
      <c r="H448" s="4"/>
      <c r="I448" s="4"/>
      <c r="J448" s="4"/>
      <c r="K448" s="13"/>
      <c r="N448" s="4"/>
      <c r="O448" s="4"/>
    </row>
    <row r="449">
      <c r="A449" s="4"/>
      <c r="B449" s="4"/>
      <c r="C449" s="4"/>
      <c r="D449" s="4"/>
      <c r="E449" s="4"/>
      <c r="F449" s="4"/>
      <c r="G449" s="4"/>
      <c r="H449" s="4"/>
      <c r="I449" s="4"/>
      <c r="J449" s="4"/>
      <c r="K449" s="13"/>
      <c r="M449" s="4"/>
      <c r="N449" s="4"/>
      <c r="O449" s="4"/>
    </row>
    <row r="450">
      <c r="A450" s="4"/>
      <c r="B450" s="4"/>
      <c r="C450" s="4"/>
      <c r="D450" s="4"/>
      <c r="E450" s="4"/>
      <c r="F450" s="4"/>
      <c r="G450" s="4"/>
      <c r="H450" s="4"/>
      <c r="I450" s="4"/>
      <c r="J450" s="4"/>
      <c r="K450" s="13"/>
      <c r="N450" s="4"/>
      <c r="O450" s="4"/>
    </row>
    <row r="451">
      <c r="A451" s="4"/>
      <c r="B451" s="4"/>
      <c r="C451" s="4"/>
      <c r="F451" s="4"/>
      <c r="G451" s="4"/>
      <c r="H451" s="4"/>
      <c r="I451" s="4"/>
      <c r="J451" s="4"/>
      <c r="K451" s="13"/>
      <c r="N451" s="4"/>
      <c r="O451" s="4"/>
    </row>
    <row r="452">
      <c r="A452" s="4"/>
      <c r="B452" s="4"/>
      <c r="C452" s="4"/>
      <c r="F452" s="4"/>
      <c r="G452" s="4"/>
      <c r="H452" s="4"/>
      <c r="I452" s="4"/>
      <c r="J452" s="4"/>
      <c r="K452" s="13"/>
      <c r="N452" s="4"/>
      <c r="O452" s="4"/>
    </row>
    <row r="453">
      <c r="A453" s="4"/>
      <c r="B453" s="4"/>
      <c r="C453" s="4"/>
      <c r="F453" s="4"/>
      <c r="G453" s="4"/>
      <c r="H453" s="4"/>
      <c r="I453" s="4"/>
      <c r="J453" s="4"/>
      <c r="O453" s="4"/>
    </row>
    <row r="454">
      <c r="A454" s="4"/>
      <c r="B454" s="4"/>
      <c r="C454" s="4"/>
      <c r="D454" s="4"/>
      <c r="E454" s="4"/>
      <c r="F454" s="4"/>
      <c r="G454" s="4"/>
      <c r="H454" s="4"/>
      <c r="I454" s="4"/>
      <c r="J454" s="4"/>
      <c r="K454" s="13"/>
      <c r="N454" s="4"/>
      <c r="O454" s="4"/>
    </row>
    <row r="455">
      <c r="A455" s="4"/>
      <c r="B455" s="4"/>
      <c r="C455" s="4"/>
      <c r="D455" s="4"/>
      <c r="E455" s="4"/>
      <c r="F455" s="4"/>
      <c r="G455" s="4"/>
      <c r="H455" s="4"/>
      <c r="I455" s="4"/>
      <c r="J455" s="4"/>
      <c r="K455" s="13"/>
      <c r="M455" s="4"/>
      <c r="N455" s="4"/>
      <c r="O455" s="4"/>
    </row>
    <row r="456">
      <c r="A456" s="4"/>
      <c r="B456" s="4"/>
      <c r="C456" s="4"/>
      <c r="E456" s="4"/>
      <c r="F456" s="4"/>
      <c r="G456" s="4"/>
      <c r="H456" s="4"/>
      <c r="I456" s="4"/>
      <c r="J456" s="4"/>
      <c r="K456" s="13"/>
      <c r="O456" s="4"/>
    </row>
    <row r="457">
      <c r="A457" s="4"/>
      <c r="B457" s="4"/>
      <c r="C457" s="4"/>
      <c r="E457" s="4"/>
      <c r="F457" s="4"/>
      <c r="G457" s="4"/>
      <c r="H457" s="4"/>
      <c r="I457" s="4"/>
      <c r="J457" s="4"/>
      <c r="N457" s="4"/>
      <c r="O457" s="4"/>
    </row>
    <row r="458">
      <c r="A458" s="4"/>
      <c r="B458" s="4"/>
      <c r="C458" s="4"/>
      <c r="F458" s="4"/>
      <c r="G458" s="4"/>
      <c r="I458" s="4"/>
      <c r="J458" s="4"/>
      <c r="K458" s="13"/>
      <c r="O458" s="4"/>
    </row>
    <row r="459">
      <c r="A459" s="4"/>
      <c r="B459" s="4"/>
      <c r="C459" s="4"/>
      <c r="F459" s="4"/>
      <c r="G459" s="4"/>
      <c r="H459" s="4"/>
      <c r="I459" s="4"/>
      <c r="J459" s="4"/>
      <c r="O459" s="4"/>
    </row>
    <row r="460">
      <c r="A460" s="4"/>
      <c r="B460" s="4"/>
      <c r="C460" s="4"/>
      <c r="F460" s="4"/>
      <c r="G460" s="4"/>
      <c r="H460" s="4"/>
      <c r="I460" s="4"/>
      <c r="J460" s="4"/>
      <c r="N460" s="4"/>
      <c r="O460" s="4"/>
    </row>
    <row r="461">
      <c r="A461" s="4"/>
      <c r="B461" s="4"/>
      <c r="C461" s="4"/>
      <c r="F461" s="4"/>
      <c r="G461" s="4"/>
      <c r="H461" s="4"/>
      <c r="I461" s="4"/>
      <c r="J461" s="4"/>
      <c r="K461" s="13"/>
      <c r="N461" s="4"/>
      <c r="O461" s="4"/>
    </row>
    <row r="462">
      <c r="A462" s="4"/>
      <c r="B462" s="4"/>
      <c r="C462" s="4"/>
      <c r="F462" s="4"/>
      <c r="G462" s="4"/>
      <c r="H462" s="4"/>
      <c r="I462" s="4"/>
      <c r="J462" s="4"/>
      <c r="M462" s="4"/>
      <c r="N462" s="4"/>
      <c r="O462" s="4"/>
    </row>
    <row r="463">
      <c r="A463" s="4"/>
      <c r="B463" s="4"/>
      <c r="C463" s="4"/>
      <c r="F463" s="4"/>
      <c r="G463" s="4"/>
      <c r="H463" s="4"/>
      <c r="I463" s="4"/>
      <c r="J463" s="4"/>
      <c r="K463" s="13"/>
      <c r="L463" s="4"/>
      <c r="N463" s="4"/>
      <c r="O463" s="4"/>
    </row>
    <row r="464">
      <c r="A464" s="4"/>
      <c r="B464" s="4"/>
      <c r="C464" s="4"/>
      <c r="F464" s="4"/>
      <c r="G464" s="4"/>
      <c r="H464" s="4"/>
      <c r="I464" s="4"/>
      <c r="J464" s="4"/>
      <c r="K464" s="13"/>
      <c r="N464" s="4"/>
      <c r="O464" s="4"/>
    </row>
    <row r="465">
      <c r="A465" s="4"/>
      <c r="B465" s="4"/>
      <c r="C465" s="4"/>
      <c r="F465" s="4"/>
      <c r="G465" s="4"/>
      <c r="H465" s="4"/>
      <c r="I465" s="4"/>
      <c r="J465" s="4"/>
      <c r="K465" s="13"/>
      <c r="N465" s="4"/>
      <c r="O465" s="4"/>
    </row>
    <row r="466">
      <c r="A466" s="4"/>
      <c r="B466" s="4"/>
      <c r="C466" s="4"/>
      <c r="F466" s="4"/>
      <c r="G466" s="4"/>
      <c r="H466" s="4"/>
      <c r="I466" s="4"/>
      <c r="J466" s="4"/>
      <c r="K466" s="13"/>
      <c r="N466" s="4"/>
      <c r="O466" s="4"/>
    </row>
    <row r="467">
      <c r="A467" s="4"/>
      <c r="B467" s="4"/>
      <c r="C467" s="4"/>
      <c r="F467" s="4"/>
      <c r="G467" s="4"/>
      <c r="H467" s="4"/>
      <c r="I467" s="4"/>
      <c r="J467" s="4"/>
      <c r="K467" s="13"/>
      <c r="N467" s="4"/>
      <c r="O467" s="4"/>
    </row>
    <row r="468">
      <c r="A468" s="4"/>
      <c r="B468" s="4"/>
      <c r="C468" s="4"/>
      <c r="F468" s="4"/>
      <c r="G468" s="4"/>
      <c r="I468" s="4"/>
      <c r="J468" s="4"/>
      <c r="O468" s="4"/>
    </row>
    <row r="469">
      <c r="A469" s="4"/>
      <c r="B469" s="4"/>
      <c r="C469" s="4"/>
      <c r="F469" s="4"/>
      <c r="G469" s="4"/>
      <c r="I469" s="4"/>
      <c r="J469" s="4"/>
      <c r="O469" s="4"/>
    </row>
    <row r="470">
      <c r="A470" s="4"/>
      <c r="B470" s="4"/>
      <c r="C470" s="4"/>
      <c r="F470" s="4"/>
      <c r="G470" s="4"/>
      <c r="H470" s="4"/>
      <c r="I470" s="4"/>
      <c r="J470" s="4"/>
      <c r="K470" s="13"/>
      <c r="N470" s="4"/>
      <c r="O470" s="4"/>
    </row>
    <row r="471">
      <c r="A471" s="4"/>
      <c r="B471" s="4"/>
      <c r="C471" s="4"/>
      <c r="F471" s="4"/>
      <c r="G471" s="4"/>
      <c r="H471" s="4"/>
      <c r="I471" s="4"/>
      <c r="J471" s="4"/>
      <c r="O471" s="4"/>
    </row>
    <row r="472">
      <c r="A472" s="4"/>
      <c r="B472" s="4"/>
      <c r="C472" s="4"/>
      <c r="F472" s="4"/>
      <c r="G472" s="4"/>
      <c r="H472" s="4"/>
      <c r="I472" s="4"/>
      <c r="J472" s="4"/>
      <c r="N472" s="4"/>
      <c r="O472" s="4"/>
    </row>
    <row r="473">
      <c r="A473" s="4"/>
      <c r="B473" s="4"/>
      <c r="C473" s="4"/>
      <c r="F473" s="4"/>
      <c r="G473" s="4"/>
      <c r="H473" s="4"/>
      <c r="I473" s="4"/>
      <c r="J473" s="4"/>
      <c r="N473" s="4"/>
      <c r="O473" s="4"/>
    </row>
    <row r="474">
      <c r="A474" s="4"/>
      <c r="B474" s="4"/>
      <c r="C474" s="4"/>
      <c r="F474" s="4"/>
      <c r="G474" s="4"/>
      <c r="H474" s="4"/>
      <c r="I474" s="4"/>
      <c r="J474" s="4"/>
      <c r="K474" s="13"/>
      <c r="N474" s="4"/>
      <c r="O474" s="4"/>
    </row>
    <row r="475">
      <c r="A475" s="4"/>
      <c r="B475" s="4"/>
      <c r="C475" s="4"/>
      <c r="F475" s="4"/>
      <c r="G475" s="4"/>
      <c r="H475" s="4"/>
      <c r="I475" s="4"/>
      <c r="J475" s="4"/>
      <c r="K475" s="13"/>
      <c r="M475" s="4"/>
      <c r="N475" s="4"/>
      <c r="O475" s="4"/>
    </row>
    <row r="476">
      <c r="A476" s="4"/>
      <c r="B476" s="4"/>
      <c r="C476" s="4"/>
      <c r="F476" s="4"/>
      <c r="G476" s="4"/>
      <c r="H476" s="4"/>
      <c r="I476" s="4"/>
      <c r="J476" s="4"/>
      <c r="O476" s="4"/>
    </row>
    <row r="477">
      <c r="A477" s="4"/>
      <c r="B477" s="4"/>
      <c r="C477" s="4"/>
      <c r="F477" s="4"/>
      <c r="G477" s="4"/>
      <c r="I477" s="4"/>
      <c r="J477" s="4"/>
      <c r="O477" s="4"/>
    </row>
    <row r="478">
      <c r="A478" s="4"/>
      <c r="B478" s="4"/>
      <c r="C478" s="4"/>
      <c r="F478" s="4"/>
      <c r="G478" s="4"/>
      <c r="H478" s="4"/>
      <c r="I478" s="4"/>
      <c r="J478" s="4"/>
      <c r="K478" s="13"/>
      <c r="N478" s="4"/>
      <c r="O478" s="4"/>
    </row>
    <row r="479">
      <c r="A479" s="4"/>
      <c r="B479" s="4"/>
      <c r="C479" s="4"/>
      <c r="F479" s="4"/>
      <c r="G479" s="4"/>
      <c r="H479" s="4"/>
      <c r="I479" s="4"/>
      <c r="J479" s="4"/>
      <c r="K479" s="13"/>
      <c r="L479" s="4"/>
      <c r="N479" s="4"/>
      <c r="O479" s="4"/>
    </row>
    <row r="480">
      <c r="A480" s="4"/>
      <c r="B480" s="4"/>
      <c r="C480" s="4"/>
      <c r="F480" s="4"/>
      <c r="G480" s="4"/>
      <c r="I480" s="4"/>
      <c r="J480" s="4"/>
      <c r="O480" s="4"/>
    </row>
    <row r="481">
      <c r="A481" s="4"/>
      <c r="B481" s="4"/>
      <c r="C481" s="4"/>
      <c r="F481" s="4"/>
      <c r="G481" s="4"/>
      <c r="H481" s="4"/>
      <c r="I481" s="4"/>
      <c r="J481" s="4"/>
      <c r="K481" s="13"/>
      <c r="N481" s="4"/>
      <c r="O481" s="4"/>
    </row>
    <row r="482">
      <c r="A482" s="4"/>
      <c r="B482" s="4"/>
      <c r="C482" s="4"/>
      <c r="F482" s="4"/>
      <c r="G482" s="4"/>
      <c r="I482" s="4"/>
      <c r="J482" s="4"/>
      <c r="O482" s="4"/>
    </row>
    <row r="483">
      <c r="A483" s="4"/>
      <c r="B483" s="4"/>
      <c r="C483" s="4"/>
      <c r="F483" s="4"/>
      <c r="G483" s="4"/>
      <c r="H483" s="4"/>
      <c r="I483" s="4"/>
      <c r="J483" s="4"/>
      <c r="O483" s="4"/>
    </row>
    <row r="484">
      <c r="A484" s="4"/>
      <c r="B484" s="4"/>
      <c r="C484" s="4"/>
      <c r="F484" s="4"/>
      <c r="G484" s="4"/>
      <c r="H484" s="4"/>
      <c r="I484" s="4"/>
      <c r="J484" s="4"/>
      <c r="N484" s="4"/>
      <c r="O484" s="4"/>
    </row>
    <row r="485">
      <c r="A485" s="4"/>
      <c r="B485" s="4"/>
      <c r="C485" s="4"/>
      <c r="D485" s="4"/>
      <c r="E485" s="4"/>
      <c r="F485" s="4"/>
      <c r="G485" s="4"/>
      <c r="H485" s="4"/>
      <c r="I485" s="4"/>
      <c r="J485" s="4"/>
      <c r="K485" s="13"/>
      <c r="M485" s="4"/>
      <c r="N485" s="4"/>
      <c r="O485" s="4"/>
    </row>
    <row r="486">
      <c r="A486" s="4"/>
      <c r="B486" s="4"/>
      <c r="C486" s="4"/>
      <c r="D486" s="4"/>
      <c r="E486" s="4"/>
      <c r="F486" s="4"/>
      <c r="G486" s="4"/>
      <c r="H486" s="4"/>
      <c r="I486" s="4"/>
      <c r="J486" s="4"/>
      <c r="O486" s="4"/>
    </row>
    <row r="487">
      <c r="A487" s="4"/>
      <c r="B487" s="4"/>
      <c r="C487" s="4"/>
      <c r="D487" s="4"/>
      <c r="E487" s="4"/>
      <c r="F487" s="4"/>
      <c r="G487" s="4"/>
      <c r="H487" s="4"/>
      <c r="I487" s="4"/>
      <c r="J487" s="4"/>
      <c r="O487" s="4"/>
    </row>
    <row r="488">
      <c r="A488" s="4"/>
      <c r="B488" s="4"/>
      <c r="C488" s="4"/>
      <c r="F488" s="4"/>
      <c r="G488" s="4"/>
      <c r="I488" s="4"/>
      <c r="J488" s="4"/>
      <c r="O488" s="4"/>
    </row>
    <row r="489">
      <c r="A489" s="4"/>
      <c r="B489" s="4"/>
      <c r="C489" s="4"/>
      <c r="D489" s="4"/>
      <c r="E489" s="4"/>
      <c r="F489" s="4"/>
      <c r="G489" s="4"/>
      <c r="H489" s="4"/>
      <c r="I489" s="4"/>
      <c r="J489" s="4"/>
      <c r="O489" s="4"/>
    </row>
    <row r="490">
      <c r="A490" s="4"/>
      <c r="B490" s="4"/>
      <c r="C490" s="4"/>
      <c r="D490" s="4"/>
      <c r="E490" s="4"/>
      <c r="F490" s="4"/>
      <c r="G490" s="4"/>
      <c r="H490" s="4"/>
      <c r="I490" s="4"/>
      <c r="J490" s="4"/>
      <c r="K490" s="13"/>
      <c r="N490" s="4"/>
      <c r="O490" s="4"/>
    </row>
    <row r="491">
      <c r="A491" s="4"/>
      <c r="B491" s="4"/>
      <c r="C491" s="4"/>
      <c r="D491" s="4"/>
      <c r="E491" s="4"/>
      <c r="F491" s="4"/>
      <c r="G491" s="4"/>
      <c r="H491" s="4"/>
      <c r="I491" s="4"/>
      <c r="J491" s="4"/>
      <c r="O491" s="4"/>
    </row>
    <row r="492">
      <c r="A492" s="4"/>
      <c r="B492" s="4"/>
      <c r="C492" s="4"/>
      <c r="D492" s="4"/>
      <c r="E492" s="4"/>
      <c r="F492" s="4"/>
      <c r="G492" s="4"/>
      <c r="H492" s="4"/>
      <c r="I492" s="4"/>
      <c r="J492" s="4"/>
      <c r="O492" s="4"/>
    </row>
    <row r="493">
      <c r="A493" s="4"/>
      <c r="B493" s="4"/>
      <c r="C493" s="4"/>
      <c r="D493" s="4"/>
      <c r="E493" s="4"/>
      <c r="F493" s="4"/>
      <c r="G493" s="4"/>
      <c r="H493" s="4"/>
      <c r="I493" s="4"/>
      <c r="J493" s="4"/>
      <c r="K493" s="13"/>
      <c r="N493" s="4"/>
      <c r="O493" s="4"/>
    </row>
    <row r="494">
      <c r="A494" s="4"/>
      <c r="B494" s="4"/>
      <c r="C494" s="4"/>
      <c r="F494" s="4"/>
      <c r="G494" s="4"/>
      <c r="I494" s="4"/>
      <c r="J494" s="4"/>
      <c r="O494" s="4"/>
    </row>
    <row r="495">
      <c r="A495" s="4"/>
      <c r="B495" s="4"/>
      <c r="C495" s="4"/>
      <c r="F495" s="4"/>
      <c r="G495" s="4"/>
      <c r="H495" s="4"/>
      <c r="I495" s="4"/>
      <c r="J495" s="4"/>
      <c r="K495" s="13"/>
      <c r="N495" s="4"/>
      <c r="O495" s="4"/>
    </row>
    <row r="496">
      <c r="A496" s="4"/>
      <c r="B496" s="4"/>
      <c r="C496" s="4"/>
      <c r="F496" s="4"/>
      <c r="G496" s="4"/>
      <c r="H496" s="4"/>
      <c r="I496" s="4"/>
      <c r="J496" s="4"/>
      <c r="N496" s="4"/>
      <c r="O496" s="4"/>
    </row>
    <row r="497">
      <c r="A497" s="4"/>
      <c r="B497" s="4"/>
      <c r="C497" s="4"/>
      <c r="F497" s="4"/>
      <c r="G497" s="4"/>
      <c r="H497" s="4"/>
      <c r="I497" s="4"/>
      <c r="J497" s="4"/>
      <c r="K497" s="13"/>
      <c r="N497" s="4"/>
      <c r="O497" s="4"/>
    </row>
    <row r="498">
      <c r="A498" s="4"/>
      <c r="B498" s="4"/>
      <c r="C498" s="4"/>
      <c r="F498" s="4"/>
      <c r="G498" s="4"/>
      <c r="H498" s="4"/>
      <c r="I498" s="4"/>
      <c r="J498" s="4"/>
      <c r="K498" s="13"/>
      <c r="N498" s="4"/>
      <c r="O498" s="4"/>
    </row>
    <row r="499">
      <c r="A499" s="4"/>
      <c r="B499" s="4"/>
      <c r="C499" s="4"/>
      <c r="F499" s="4"/>
      <c r="G499" s="4"/>
      <c r="H499" s="4"/>
      <c r="I499" s="4"/>
      <c r="J499" s="4"/>
      <c r="K499" s="13"/>
      <c r="N499" s="4"/>
      <c r="O499" s="4"/>
    </row>
    <row r="500">
      <c r="A500" s="4"/>
      <c r="B500" s="4"/>
      <c r="C500" s="4"/>
      <c r="F500" s="4"/>
      <c r="G500" s="4"/>
      <c r="H500" s="4"/>
      <c r="I500" s="4"/>
      <c r="J500" s="4"/>
      <c r="N500" s="4"/>
      <c r="O500" s="4"/>
    </row>
    <row r="501">
      <c r="A501" s="4"/>
      <c r="B501" s="4"/>
      <c r="C501" s="4"/>
      <c r="F501" s="4"/>
      <c r="G501" s="4"/>
      <c r="H501" s="4"/>
      <c r="I501" s="4"/>
      <c r="J501" s="4"/>
      <c r="K501" s="13"/>
      <c r="N501" s="4"/>
      <c r="O501" s="4"/>
    </row>
    <row r="502">
      <c r="A502" s="4"/>
      <c r="B502" s="4"/>
      <c r="C502" s="4"/>
      <c r="F502" s="4"/>
      <c r="G502" s="4"/>
      <c r="H502" s="4"/>
      <c r="I502" s="4"/>
      <c r="J502" s="4"/>
      <c r="N502" s="4"/>
      <c r="O502" s="4"/>
    </row>
    <row r="503">
      <c r="A503" s="4"/>
      <c r="B503" s="4"/>
      <c r="C503" s="4"/>
      <c r="D503" s="4"/>
      <c r="E503" s="4"/>
      <c r="F503" s="4"/>
      <c r="G503" s="4"/>
      <c r="H503" s="4"/>
      <c r="I503" s="4"/>
      <c r="J503" s="4"/>
      <c r="N503" s="4"/>
      <c r="O503" s="4"/>
    </row>
    <row r="504">
      <c r="A504" s="4"/>
      <c r="B504" s="4"/>
      <c r="C504" s="4"/>
      <c r="D504" s="4"/>
      <c r="E504" s="4"/>
      <c r="F504" s="4"/>
      <c r="G504" s="4"/>
      <c r="H504" s="4"/>
      <c r="I504" s="4"/>
      <c r="J504" s="4"/>
      <c r="K504" s="13"/>
      <c r="M504" s="4"/>
      <c r="N504" s="4"/>
      <c r="O504" s="4"/>
    </row>
    <row r="505">
      <c r="A505" s="4"/>
      <c r="B505" s="4"/>
      <c r="C505" s="4"/>
      <c r="D505" s="4"/>
      <c r="E505" s="4"/>
      <c r="F505" s="4"/>
      <c r="G505" s="4"/>
      <c r="H505" s="4"/>
      <c r="I505" s="4"/>
      <c r="J505" s="4"/>
      <c r="N505" s="4"/>
      <c r="O505" s="4"/>
    </row>
    <row r="506">
      <c r="A506" s="4"/>
      <c r="B506" s="4"/>
      <c r="C506" s="4"/>
      <c r="D506" s="4"/>
      <c r="E506" s="4"/>
      <c r="F506" s="4"/>
      <c r="G506" s="4"/>
      <c r="H506" s="4"/>
      <c r="I506" s="4"/>
      <c r="J506" s="4"/>
      <c r="O506" s="4"/>
    </row>
    <row r="507">
      <c r="A507" s="4"/>
      <c r="B507" s="4"/>
      <c r="C507" s="4"/>
      <c r="D507" s="4"/>
      <c r="E507" s="4"/>
      <c r="F507" s="4"/>
      <c r="G507" s="4"/>
      <c r="H507" s="4"/>
      <c r="I507" s="4"/>
      <c r="J507" s="4"/>
      <c r="O507" s="4"/>
    </row>
    <row r="508">
      <c r="A508" s="4"/>
      <c r="B508" s="4"/>
      <c r="C508" s="4"/>
      <c r="D508" s="4"/>
      <c r="E508" s="4"/>
      <c r="F508" s="4"/>
      <c r="G508" s="4"/>
      <c r="H508" s="4"/>
      <c r="I508" s="4"/>
      <c r="J508" s="4"/>
      <c r="M508" s="4"/>
      <c r="N508" s="4"/>
      <c r="O508" s="4"/>
    </row>
    <row r="509">
      <c r="A509" s="4"/>
      <c r="B509" s="4"/>
      <c r="C509" s="4"/>
      <c r="D509" s="4"/>
      <c r="E509" s="4"/>
      <c r="F509" s="4"/>
      <c r="G509" s="4"/>
      <c r="H509" s="4"/>
      <c r="I509" s="4"/>
      <c r="J509" s="4"/>
      <c r="K509" s="13"/>
      <c r="N509" s="4"/>
      <c r="O509" s="4"/>
    </row>
    <row r="510">
      <c r="A510" s="4"/>
      <c r="B510" s="4"/>
      <c r="C510" s="4"/>
      <c r="D510" s="4"/>
      <c r="E510" s="4"/>
      <c r="F510" s="4"/>
      <c r="G510" s="4"/>
      <c r="H510" s="4"/>
      <c r="I510" s="4"/>
      <c r="J510" s="4"/>
      <c r="O510" s="4"/>
    </row>
    <row r="511">
      <c r="A511" s="4"/>
      <c r="B511" s="4"/>
      <c r="C511" s="4"/>
      <c r="F511" s="4"/>
      <c r="G511" s="4"/>
      <c r="H511" s="4"/>
      <c r="I511" s="4"/>
      <c r="J511" s="4"/>
      <c r="K511" s="13"/>
      <c r="N511" s="4"/>
      <c r="O511" s="4"/>
    </row>
    <row r="512">
      <c r="A512" s="4"/>
      <c r="B512" s="4"/>
      <c r="C512" s="4"/>
      <c r="F512" s="4"/>
      <c r="G512" s="4"/>
      <c r="H512" s="4"/>
      <c r="I512" s="4"/>
      <c r="J512" s="4"/>
      <c r="K512" s="13"/>
      <c r="N512" s="4"/>
      <c r="O512" s="4"/>
    </row>
    <row r="513">
      <c r="A513" s="4"/>
      <c r="B513" s="4"/>
      <c r="C513" s="4"/>
      <c r="F513" s="4"/>
      <c r="G513" s="4"/>
      <c r="H513" s="4"/>
      <c r="I513" s="4"/>
      <c r="J513" s="4"/>
      <c r="N513" s="4"/>
      <c r="O513" s="4"/>
    </row>
    <row r="514">
      <c r="A514" s="4"/>
      <c r="B514" s="4"/>
      <c r="C514" s="4"/>
      <c r="F514" s="4"/>
      <c r="G514" s="4"/>
      <c r="H514" s="4"/>
      <c r="I514" s="4"/>
      <c r="J514" s="4"/>
      <c r="K514" s="13"/>
      <c r="L514" s="4"/>
      <c r="N514" s="4"/>
      <c r="O514" s="4"/>
    </row>
    <row r="515">
      <c r="A515" s="4"/>
      <c r="B515" s="4"/>
      <c r="C515" s="4"/>
      <c r="F515" s="4"/>
      <c r="G515" s="4"/>
      <c r="H515" s="4"/>
      <c r="I515" s="4"/>
      <c r="J515" s="4"/>
      <c r="K515" s="13"/>
      <c r="N515" s="4"/>
      <c r="O515" s="4"/>
    </row>
    <row r="516">
      <c r="A516" s="4"/>
      <c r="B516" s="4"/>
      <c r="C516" s="4"/>
      <c r="D516" s="4"/>
      <c r="E516" s="4"/>
      <c r="F516" s="4"/>
      <c r="G516" s="4"/>
      <c r="H516" s="4"/>
      <c r="I516" s="4"/>
      <c r="J516" s="4"/>
      <c r="K516" s="13"/>
      <c r="M516" s="4"/>
      <c r="N516" s="4"/>
      <c r="O516" s="4"/>
    </row>
    <row r="517">
      <c r="A517" s="4"/>
      <c r="B517" s="4"/>
      <c r="C517" s="4"/>
      <c r="F517" s="4"/>
      <c r="G517" s="4"/>
      <c r="H517" s="4"/>
      <c r="I517" s="4"/>
      <c r="J517" s="4"/>
      <c r="K517" s="13"/>
      <c r="N517" s="4"/>
      <c r="O517" s="4"/>
    </row>
    <row r="518">
      <c r="A518" s="4"/>
      <c r="B518" s="4"/>
      <c r="C518" s="4"/>
      <c r="F518" s="4"/>
      <c r="G518" s="4"/>
      <c r="H518" s="4"/>
      <c r="I518" s="4"/>
      <c r="J518" s="4"/>
      <c r="N518" s="4"/>
      <c r="O518" s="4"/>
    </row>
    <row r="519">
      <c r="A519" s="4"/>
      <c r="B519" s="4"/>
      <c r="C519" s="4"/>
      <c r="F519" s="4"/>
      <c r="G519" s="4"/>
      <c r="H519" s="4"/>
      <c r="I519" s="4"/>
      <c r="J519" s="4"/>
      <c r="K519" s="13"/>
      <c r="N519" s="4"/>
      <c r="O519" s="4"/>
    </row>
    <row r="520">
      <c r="A520" s="4"/>
      <c r="B520" s="4"/>
      <c r="C520" s="4"/>
      <c r="F520" s="4"/>
      <c r="G520" s="4"/>
      <c r="H520" s="4"/>
      <c r="I520" s="4"/>
      <c r="J520" s="4"/>
      <c r="K520" s="13"/>
      <c r="N520" s="4"/>
      <c r="O520" s="4"/>
    </row>
    <row r="521">
      <c r="A521" s="4"/>
      <c r="B521" s="4"/>
      <c r="C521" s="4"/>
      <c r="F521" s="4"/>
      <c r="G521" s="4"/>
      <c r="H521" s="4"/>
      <c r="I521" s="4"/>
      <c r="J521" s="4"/>
      <c r="O521" s="4"/>
    </row>
    <row r="522">
      <c r="A522" s="4"/>
      <c r="B522" s="4"/>
      <c r="C522" s="4"/>
      <c r="F522" s="4"/>
      <c r="G522" s="4"/>
      <c r="H522" s="4"/>
      <c r="I522" s="4"/>
      <c r="J522" s="4"/>
      <c r="K522" s="13"/>
      <c r="M522" s="4"/>
      <c r="N522" s="4"/>
      <c r="O522" s="4"/>
    </row>
    <row r="523">
      <c r="A523" s="4"/>
      <c r="B523" s="4"/>
      <c r="C523" s="4"/>
      <c r="F523" s="4"/>
      <c r="G523" s="4"/>
      <c r="H523" s="4"/>
      <c r="I523" s="4"/>
      <c r="J523" s="4"/>
      <c r="O523" s="4"/>
    </row>
    <row r="524">
      <c r="A524" s="4"/>
      <c r="B524" s="4"/>
      <c r="C524" s="4"/>
      <c r="F524" s="4"/>
      <c r="G524" s="4"/>
      <c r="H524" s="4"/>
      <c r="I524" s="4"/>
      <c r="J524" s="4"/>
      <c r="K524" s="13"/>
      <c r="N524" s="4"/>
      <c r="O524" s="4"/>
    </row>
    <row r="525">
      <c r="A525" s="4"/>
      <c r="B525" s="4"/>
      <c r="C525" s="4"/>
      <c r="E525" s="4"/>
      <c r="F525" s="4"/>
      <c r="G525" s="4"/>
      <c r="H525" s="4"/>
      <c r="I525" s="4"/>
      <c r="J525" s="4"/>
      <c r="N525" s="4"/>
      <c r="O525" s="4"/>
    </row>
    <row r="526">
      <c r="A526" s="4"/>
      <c r="B526" s="4"/>
      <c r="C526" s="4"/>
      <c r="E526" s="4"/>
      <c r="F526" s="4"/>
      <c r="G526" s="4"/>
      <c r="H526" s="4"/>
      <c r="I526" s="4"/>
      <c r="J526" s="4"/>
      <c r="N526" s="4"/>
      <c r="O526" s="4"/>
    </row>
    <row r="527">
      <c r="A527" s="4"/>
      <c r="B527" s="4"/>
      <c r="C527" s="4"/>
      <c r="F527" s="4"/>
      <c r="G527" s="4"/>
      <c r="H527" s="4"/>
      <c r="I527" s="4"/>
      <c r="J527" s="4"/>
      <c r="K527" s="13"/>
      <c r="M527" s="4"/>
      <c r="N527" s="4"/>
      <c r="O527" s="4"/>
    </row>
    <row r="528">
      <c r="A528" s="4"/>
      <c r="B528" s="4"/>
      <c r="C528" s="4"/>
      <c r="F528" s="4"/>
      <c r="G528" s="4"/>
      <c r="H528" s="4"/>
      <c r="I528" s="4"/>
      <c r="J528" s="4"/>
      <c r="K528" s="13"/>
      <c r="N528" s="4"/>
      <c r="O528" s="4"/>
    </row>
    <row r="529">
      <c r="A529" s="4"/>
      <c r="B529" s="4"/>
      <c r="C529" s="4"/>
      <c r="F529" s="4"/>
      <c r="G529" s="4"/>
      <c r="H529" s="4"/>
      <c r="I529" s="4"/>
      <c r="J529" s="4"/>
      <c r="K529" s="13"/>
      <c r="N529" s="4"/>
      <c r="O529" s="4"/>
    </row>
    <row r="530">
      <c r="A530" s="4"/>
      <c r="B530" s="4"/>
      <c r="C530" s="4"/>
      <c r="F530" s="4"/>
      <c r="G530" s="4"/>
      <c r="H530" s="4"/>
      <c r="I530" s="4"/>
      <c r="J530" s="4"/>
      <c r="N530" s="4"/>
      <c r="O530" s="4"/>
    </row>
    <row r="531">
      <c r="A531" s="4"/>
      <c r="B531" s="4"/>
      <c r="C531" s="4"/>
      <c r="F531" s="4"/>
      <c r="G531" s="4"/>
      <c r="H531" s="4"/>
      <c r="I531" s="4"/>
      <c r="J531" s="4"/>
      <c r="O531" s="4"/>
    </row>
    <row r="532">
      <c r="A532" s="4"/>
      <c r="B532" s="4"/>
      <c r="C532" s="4"/>
      <c r="F532" s="4"/>
      <c r="G532" s="4"/>
      <c r="H532" s="4"/>
      <c r="I532" s="4"/>
      <c r="J532" s="4"/>
      <c r="M532" s="4"/>
      <c r="O532" s="4"/>
    </row>
    <row r="533">
      <c r="A533" s="4"/>
      <c r="B533" s="4"/>
      <c r="C533" s="4"/>
      <c r="F533" s="4"/>
      <c r="G533" s="4"/>
      <c r="H533" s="4"/>
      <c r="I533" s="4"/>
      <c r="J533" s="4"/>
      <c r="K533" s="13"/>
      <c r="N533" s="4"/>
      <c r="O533" s="4"/>
    </row>
    <row r="534">
      <c r="A534" s="4"/>
      <c r="B534" s="4"/>
      <c r="C534" s="4"/>
      <c r="F534" s="4"/>
      <c r="G534" s="4"/>
      <c r="H534" s="4"/>
      <c r="I534" s="4"/>
      <c r="J534" s="4"/>
      <c r="M534" s="4"/>
      <c r="O534" s="4"/>
    </row>
    <row r="535">
      <c r="A535" s="4"/>
      <c r="B535" s="4"/>
      <c r="C535" s="4"/>
      <c r="F535" s="4"/>
      <c r="G535" s="4"/>
      <c r="H535" s="4"/>
      <c r="I535" s="4"/>
      <c r="J535" s="4"/>
      <c r="K535" s="13"/>
      <c r="N535" s="4"/>
      <c r="O535" s="4"/>
    </row>
    <row r="536">
      <c r="A536" s="4"/>
      <c r="B536" s="4"/>
      <c r="C536" s="4"/>
      <c r="F536" s="4"/>
      <c r="G536" s="4"/>
      <c r="H536" s="4"/>
      <c r="I536" s="4"/>
      <c r="J536" s="4"/>
      <c r="K536" s="13"/>
      <c r="N536" s="4"/>
      <c r="O536" s="4"/>
    </row>
    <row r="537">
      <c r="A537" s="4"/>
      <c r="B537" s="4"/>
      <c r="C537" s="4"/>
      <c r="F537" s="4"/>
      <c r="G537" s="4"/>
      <c r="H537" s="4"/>
      <c r="I537" s="4"/>
      <c r="J537" s="4"/>
      <c r="K537" s="13"/>
      <c r="N537" s="4"/>
      <c r="O537" s="4"/>
    </row>
    <row r="538">
      <c r="A538" s="4"/>
      <c r="B538" s="4"/>
      <c r="C538" s="4"/>
      <c r="F538" s="4"/>
      <c r="G538" s="4"/>
      <c r="H538" s="4"/>
      <c r="I538" s="4"/>
      <c r="J538" s="4"/>
      <c r="K538" s="13"/>
      <c r="N538" s="4"/>
      <c r="O538" s="4"/>
    </row>
    <row r="539">
      <c r="A539" s="4"/>
      <c r="B539" s="4"/>
      <c r="C539" s="4"/>
      <c r="F539" s="4"/>
      <c r="G539" s="4"/>
      <c r="H539" s="4"/>
      <c r="I539" s="4"/>
      <c r="J539" s="4"/>
      <c r="K539" s="13"/>
      <c r="N539" s="4"/>
      <c r="O539" s="4"/>
    </row>
    <row r="540">
      <c r="A540" s="4"/>
      <c r="B540" s="4"/>
      <c r="C540" s="4"/>
      <c r="F540" s="4"/>
      <c r="G540" s="4"/>
      <c r="H540" s="4"/>
      <c r="I540" s="4"/>
      <c r="J540" s="4"/>
      <c r="K540" s="13"/>
      <c r="N540" s="4"/>
      <c r="O540" s="4"/>
    </row>
    <row r="541">
      <c r="A541" s="4"/>
      <c r="B541" s="4"/>
      <c r="C541" s="4"/>
      <c r="F541" s="4"/>
      <c r="G541" s="4"/>
      <c r="H541" s="4"/>
      <c r="I541" s="4"/>
      <c r="J541" s="4"/>
      <c r="K541" s="13"/>
      <c r="N541" s="4"/>
      <c r="O541" s="4"/>
    </row>
    <row r="542">
      <c r="A542" s="4"/>
      <c r="B542" s="4"/>
      <c r="C542" s="4"/>
      <c r="F542" s="4"/>
      <c r="G542" s="4"/>
      <c r="H542" s="4"/>
      <c r="I542" s="4"/>
      <c r="J542" s="4"/>
      <c r="O542" s="4"/>
    </row>
    <row r="543">
      <c r="A543" s="4"/>
      <c r="B543" s="4"/>
      <c r="C543" s="4"/>
      <c r="D543" s="4"/>
      <c r="E543" s="4"/>
      <c r="F543" s="4"/>
      <c r="G543" s="4"/>
      <c r="H543" s="4"/>
      <c r="I543" s="4"/>
      <c r="J543" s="4"/>
      <c r="O543" s="4"/>
    </row>
    <row r="544">
      <c r="A544" s="4"/>
      <c r="B544" s="4"/>
      <c r="C544" s="4"/>
      <c r="D544" s="4"/>
      <c r="E544" s="4"/>
      <c r="F544" s="4"/>
      <c r="G544" s="4"/>
      <c r="H544" s="4"/>
      <c r="I544" s="4"/>
      <c r="J544" s="4"/>
      <c r="K544" s="13"/>
      <c r="M544" s="4"/>
      <c r="N544" s="4"/>
      <c r="O544" s="4"/>
    </row>
    <row r="545">
      <c r="A545" s="4"/>
      <c r="B545" s="4"/>
      <c r="C545" s="4"/>
      <c r="D545" s="4"/>
      <c r="E545" s="4"/>
      <c r="F545" s="4"/>
      <c r="G545" s="4"/>
      <c r="H545" s="4"/>
      <c r="I545" s="4"/>
      <c r="J545" s="4"/>
      <c r="O545" s="4"/>
    </row>
    <row r="546">
      <c r="A546" s="4"/>
      <c r="B546" s="4"/>
      <c r="C546" s="4"/>
      <c r="D546" s="4"/>
      <c r="E546" s="4"/>
      <c r="F546" s="4"/>
      <c r="G546" s="4"/>
      <c r="H546" s="4"/>
      <c r="I546" s="4"/>
      <c r="J546" s="4"/>
      <c r="O546" s="4"/>
    </row>
    <row r="547">
      <c r="A547" s="4"/>
      <c r="B547" s="4"/>
      <c r="C547" s="4"/>
      <c r="D547" s="4"/>
      <c r="E547" s="4"/>
      <c r="F547" s="4"/>
      <c r="G547" s="4"/>
      <c r="H547" s="4"/>
      <c r="I547" s="4"/>
      <c r="J547" s="4"/>
      <c r="N547" s="4"/>
      <c r="O547" s="4"/>
    </row>
    <row r="548">
      <c r="A548" s="4"/>
      <c r="B548" s="4"/>
      <c r="C548" s="4"/>
      <c r="D548" s="4"/>
      <c r="E548" s="4"/>
      <c r="F548" s="4"/>
      <c r="G548" s="4"/>
      <c r="H548" s="4"/>
      <c r="I548" s="4"/>
      <c r="J548" s="4"/>
      <c r="O548" s="4"/>
    </row>
  </sheetData>
  <autoFilter ref="$H$1:$H$1000"/>
  <hyperlinks>
    <hyperlink r:id="rId2" ref="A1"/>
    <hyperlink r:id="rId3" ref="M1"/>
  </hyperlinks>
  <drawing r:id="rId4"/>
  <legacy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2" width="16.38"/>
    <col customWidth="1" min="3" max="3" width="12.13"/>
    <col customWidth="1" min="4" max="4" width="23.63"/>
    <col customWidth="1" min="5" max="5" width="60.5"/>
  </cols>
  <sheetData>
    <row r="1">
      <c r="A1" s="2" t="s">
        <v>16385</v>
      </c>
      <c r="B1" s="2" t="s">
        <v>16386</v>
      </c>
      <c r="C1" s="2" t="s">
        <v>16388</v>
      </c>
      <c r="D1" s="2" t="s">
        <v>16389</v>
      </c>
      <c r="E1" s="2" t="s">
        <v>16390</v>
      </c>
    </row>
    <row r="2">
      <c r="A2" s="1" t="s">
        <v>16391</v>
      </c>
      <c r="B2" s="1" t="s">
        <v>787</v>
      </c>
      <c r="C2" s="1" t="s">
        <v>16393</v>
      </c>
      <c r="D2" s="1" t="s">
        <v>836</v>
      </c>
      <c r="E2" s="1" t="s">
        <v>837</v>
      </c>
    </row>
    <row r="3">
      <c r="A3" s="1" t="s">
        <v>16394</v>
      </c>
      <c r="B3" s="1" t="s">
        <v>787</v>
      </c>
      <c r="C3" s="1" t="s">
        <v>16393</v>
      </c>
      <c r="D3" s="1" t="s">
        <v>934</v>
      </c>
      <c r="E3" s="1" t="s">
        <v>935</v>
      </c>
    </row>
    <row r="4">
      <c r="A4" s="1" t="s">
        <v>16395</v>
      </c>
      <c r="B4" s="1" t="s">
        <v>886</v>
      </c>
      <c r="C4" s="1" t="s">
        <v>16393</v>
      </c>
      <c r="D4" s="1" t="s">
        <v>1112</v>
      </c>
      <c r="E4" s="1" t="s">
        <v>1114</v>
      </c>
    </row>
    <row r="5">
      <c r="A5" s="1" t="s">
        <v>16396</v>
      </c>
      <c r="B5" s="1" t="s">
        <v>767</v>
      </c>
      <c r="C5" s="1" t="s">
        <v>16393</v>
      </c>
      <c r="D5" s="1" t="s">
        <v>1134</v>
      </c>
      <c r="E5" s="1" t="s">
        <v>1135</v>
      </c>
    </row>
    <row r="6">
      <c r="A6" s="1" t="s">
        <v>16398</v>
      </c>
      <c r="B6" s="1" t="s">
        <v>787</v>
      </c>
      <c r="C6" s="1" t="s">
        <v>16393</v>
      </c>
      <c r="D6" s="1" t="s">
        <v>1381</v>
      </c>
      <c r="E6" s="1" t="s">
        <v>1383</v>
      </c>
    </row>
    <row r="7">
      <c r="A7" s="1" t="s">
        <v>16400</v>
      </c>
      <c r="B7" s="1" t="s">
        <v>787</v>
      </c>
      <c r="C7" s="1" t="s">
        <v>16393</v>
      </c>
      <c r="D7" s="1" t="s">
        <v>1661</v>
      </c>
      <c r="E7" s="1" t="s">
        <v>1662</v>
      </c>
    </row>
    <row r="8">
      <c r="A8" s="1" t="s">
        <v>16401</v>
      </c>
      <c r="B8" s="1" t="s">
        <v>767</v>
      </c>
      <c r="C8" s="1" t="s">
        <v>16393</v>
      </c>
      <c r="D8" s="1" t="s">
        <v>1672</v>
      </c>
      <c r="E8" s="1" t="s">
        <v>1674</v>
      </c>
    </row>
    <row r="9">
      <c r="A9" s="1" t="s">
        <v>16402</v>
      </c>
      <c r="B9" s="1" t="s">
        <v>767</v>
      </c>
      <c r="C9" s="1" t="s">
        <v>16393</v>
      </c>
      <c r="D9" s="1" t="s">
        <v>762</v>
      </c>
      <c r="E9" s="1" t="s">
        <v>765</v>
      </c>
    </row>
    <row r="10">
      <c r="A10" s="1" t="s">
        <v>16404</v>
      </c>
      <c r="B10" s="1" t="s">
        <v>767</v>
      </c>
      <c r="C10" s="1" t="s">
        <v>16393</v>
      </c>
      <c r="D10" s="1" t="s">
        <v>102</v>
      </c>
      <c r="E10" s="1" t="s">
        <v>105</v>
      </c>
    </row>
    <row r="11">
      <c r="A11" s="1" t="s">
        <v>16406</v>
      </c>
      <c r="B11" s="1" t="s">
        <v>767</v>
      </c>
      <c r="C11" s="1" t="s">
        <v>16393</v>
      </c>
      <c r="D11" s="1" t="s">
        <v>1608</v>
      </c>
      <c r="E11" s="1" t="s">
        <v>402</v>
      </c>
    </row>
    <row r="12">
      <c r="A12" s="1" t="s">
        <v>16407</v>
      </c>
      <c r="B12" s="1" t="s">
        <v>767</v>
      </c>
      <c r="C12" s="1" t="s">
        <v>16393</v>
      </c>
      <c r="D12" s="1" t="s">
        <v>1013</v>
      </c>
      <c r="E12" s="1" t="s">
        <v>1014</v>
      </c>
    </row>
    <row r="13">
      <c r="A13" s="1" t="s">
        <v>16408</v>
      </c>
      <c r="B13" s="1" t="s">
        <v>767</v>
      </c>
      <c r="C13" s="1" t="s">
        <v>16393</v>
      </c>
      <c r="D13" s="1" t="s">
        <v>1025</v>
      </c>
      <c r="E13" s="1" t="s">
        <v>1026</v>
      </c>
    </row>
    <row r="14">
      <c r="A14" s="1" t="s">
        <v>16409</v>
      </c>
      <c r="B14" s="1" t="s">
        <v>886</v>
      </c>
      <c r="C14" s="1" t="s">
        <v>16393</v>
      </c>
      <c r="D14" s="1" t="s">
        <v>1413</v>
      </c>
      <c r="E14" s="1" t="s">
        <v>1410</v>
      </c>
    </row>
    <row r="15">
      <c r="A15" s="1" t="s">
        <v>16411</v>
      </c>
      <c r="B15" s="1" t="s">
        <v>886</v>
      </c>
      <c r="C15" s="1" t="s">
        <v>16393</v>
      </c>
      <c r="D15" s="1" t="s">
        <v>1563</v>
      </c>
      <c r="E15" s="1" t="s">
        <v>1566</v>
      </c>
    </row>
    <row r="16">
      <c r="A16" s="1" t="s">
        <v>16413</v>
      </c>
      <c r="B16" s="1" t="s">
        <v>886</v>
      </c>
      <c r="C16" s="1" t="s">
        <v>16393</v>
      </c>
      <c r="D16" s="1" t="s">
        <v>50</v>
      </c>
      <c r="E16" s="1" t="s">
        <v>955</v>
      </c>
    </row>
    <row r="17">
      <c r="A17" s="1" t="s">
        <v>16414</v>
      </c>
      <c r="B17" s="1" t="s">
        <v>886</v>
      </c>
      <c r="C17" s="1" t="s">
        <v>16393</v>
      </c>
      <c r="D17" s="1" t="s">
        <v>1697</v>
      </c>
      <c r="E17" s="1" t="s">
        <v>1698</v>
      </c>
    </row>
    <row r="18">
      <c r="A18" s="1" t="s">
        <v>16416</v>
      </c>
      <c r="B18" s="1" t="s">
        <v>886</v>
      </c>
      <c r="C18" s="1" t="s">
        <v>16393</v>
      </c>
      <c r="D18" s="1" t="s">
        <v>881</v>
      </c>
      <c r="E18" s="1" t="s">
        <v>882</v>
      </c>
    </row>
    <row r="19">
      <c r="A19" s="1" t="s">
        <v>16418</v>
      </c>
      <c r="B19" s="1" t="s">
        <v>767</v>
      </c>
      <c r="C19" s="1" t="s">
        <v>16393</v>
      </c>
      <c r="D19" s="1" t="s">
        <v>1310</v>
      </c>
      <c r="E19" s="1" t="s">
        <v>1311</v>
      </c>
    </row>
    <row r="20">
      <c r="A20" s="1" t="s">
        <v>16419</v>
      </c>
      <c r="B20" s="1" t="s">
        <v>767</v>
      </c>
      <c r="C20" s="1" t="s">
        <v>16393</v>
      </c>
      <c r="D20" s="1" t="s">
        <v>1463</v>
      </c>
      <c r="E20" s="1" t="s">
        <v>1466</v>
      </c>
    </row>
    <row r="21">
      <c r="A21" s="1" t="s">
        <v>16420</v>
      </c>
      <c r="B21" s="1" t="s">
        <v>787</v>
      </c>
      <c r="C21" s="1" t="s">
        <v>16393</v>
      </c>
      <c r="D21" s="1" t="s">
        <v>904</v>
      </c>
      <c r="E21" s="1" t="s">
        <v>539</v>
      </c>
    </row>
    <row r="22">
      <c r="A22" s="1" t="s">
        <v>16422</v>
      </c>
      <c r="B22" s="1" t="s">
        <v>787</v>
      </c>
      <c r="C22" s="1" t="s">
        <v>16393</v>
      </c>
      <c r="D22" s="1" t="s">
        <v>1041</v>
      </c>
      <c r="E22" s="1" t="s">
        <v>1043</v>
      </c>
    </row>
    <row r="23">
      <c r="A23" s="1" t="s">
        <v>16423</v>
      </c>
      <c r="B23" s="1" t="s">
        <v>767</v>
      </c>
      <c r="C23" s="1" t="s">
        <v>16393</v>
      </c>
      <c r="D23" s="1" t="s">
        <v>1439</v>
      </c>
      <c r="E23" s="1" t="s">
        <v>1440</v>
      </c>
    </row>
    <row r="24">
      <c r="A24" s="1" t="s">
        <v>16425</v>
      </c>
      <c r="B24" s="1" t="s">
        <v>886</v>
      </c>
      <c r="C24" s="1" t="s">
        <v>16393</v>
      </c>
      <c r="D24" s="1" t="s">
        <v>1234</v>
      </c>
      <c r="E24" s="1" t="s">
        <v>1235</v>
      </c>
    </row>
    <row r="25">
      <c r="A25" s="1" t="s">
        <v>16426</v>
      </c>
      <c r="B25" s="1" t="s">
        <v>787</v>
      </c>
      <c r="C25" s="1" t="s">
        <v>16393</v>
      </c>
      <c r="D25" s="1" t="s">
        <v>782</v>
      </c>
      <c r="E25" s="1" t="s">
        <v>783</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7" max="7" width="43.13"/>
  </cols>
  <sheetData>
    <row r="1">
      <c r="A1" s="2" t="s">
        <v>15468</v>
      </c>
      <c r="B1" s="2" t="s">
        <v>16461</v>
      </c>
      <c r="C1" s="2" t="s">
        <v>16462</v>
      </c>
      <c r="D1" s="2" t="s">
        <v>16463</v>
      </c>
      <c r="E1" s="2" t="s">
        <v>16464</v>
      </c>
      <c r="F1" s="2" t="s">
        <v>16466</v>
      </c>
      <c r="G1" s="2" t="s">
        <v>16467</v>
      </c>
      <c r="H1" s="2" t="s">
        <v>16468</v>
      </c>
      <c r="I1" s="2" t="s">
        <v>16469</v>
      </c>
      <c r="J1" s="2" t="s">
        <v>16470</v>
      </c>
      <c r="K1" s="2" t="s">
        <v>16472</v>
      </c>
      <c r="L1" s="2" t="s">
        <v>16473</v>
      </c>
      <c r="M1" s="14"/>
      <c r="N1" s="14"/>
      <c r="O1" s="14"/>
      <c r="P1" s="14"/>
      <c r="Q1" s="14"/>
      <c r="R1" s="14"/>
      <c r="S1" s="14"/>
      <c r="T1" s="14"/>
      <c r="U1" s="14"/>
      <c r="V1" s="14"/>
      <c r="W1" s="14"/>
      <c r="X1" s="14"/>
      <c r="Y1" s="14"/>
      <c r="Z1" s="14"/>
      <c r="AA1" s="14"/>
      <c r="AB1" s="14"/>
    </row>
    <row r="2">
      <c r="C2" s="24"/>
      <c r="J2" s="24"/>
    </row>
    <row r="3">
      <c r="C3" s="24"/>
      <c r="J3" s="24"/>
    </row>
    <row r="4">
      <c r="C4" s="24"/>
      <c r="J4" s="24"/>
    </row>
    <row r="5">
      <c r="C5" s="24"/>
      <c r="J5" s="24"/>
    </row>
    <row r="6">
      <c r="C6" s="24"/>
      <c r="J6" s="24"/>
    </row>
    <row r="7">
      <c r="C7" s="24"/>
      <c r="J7" s="24"/>
    </row>
    <row r="8">
      <c r="C8" s="24"/>
      <c r="J8" s="24"/>
    </row>
    <row r="9">
      <c r="C9" s="24"/>
      <c r="J9" s="24"/>
    </row>
    <row r="10">
      <c r="C10" s="24"/>
      <c r="J10" s="24"/>
    </row>
    <row r="11">
      <c r="C11" s="24"/>
      <c r="J11" s="24"/>
    </row>
    <row r="12">
      <c r="C12" s="24"/>
      <c r="J12" s="24"/>
    </row>
    <row r="13">
      <c r="C13" s="24"/>
      <c r="J13" s="24"/>
    </row>
    <row r="14">
      <c r="C14" s="24"/>
      <c r="J14" s="24"/>
    </row>
    <row r="15">
      <c r="C15" s="25"/>
      <c r="J15" s="25"/>
    </row>
    <row r="16">
      <c r="C16" s="8"/>
      <c r="J16" s="8"/>
    </row>
    <row r="17">
      <c r="C17" s="8"/>
      <c r="J17" s="8"/>
    </row>
    <row r="18">
      <c r="C18" s="8"/>
      <c r="J18" s="8"/>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15386</v>
      </c>
      <c r="B1" s="2" t="s">
        <v>16468</v>
      </c>
      <c r="C1" s="2" t="s">
        <v>16552</v>
      </c>
      <c r="D1" s="2" t="s">
        <v>16553</v>
      </c>
      <c r="E1" s="2" t="s">
        <v>16469</v>
      </c>
      <c r="F1" s="2" t="s">
        <v>16470</v>
      </c>
      <c r="G1" s="2" t="s">
        <v>16472</v>
      </c>
      <c r="H1" s="14"/>
      <c r="I1" s="14"/>
      <c r="J1" s="14"/>
      <c r="K1" s="14"/>
      <c r="L1" s="14"/>
      <c r="M1" s="14"/>
      <c r="N1" s="14"/>
      <c r="O1" s="14"/>
      <c r="P1" s="14"/>
      <c r="Q1" s="14"/>
      <c r="R1" s="14"/>
      <c r="S1" s="14"/>
      <c r="T1" s="14"/>
      <c r="U1" s="14"/>
      <c r="V1" s="14"/>
      <c r="W1" s="14"/>
      <c r="X1" s="14"/>
      <c r="Y1" s="14"/>
      <c r="Z1" s="14"/>
    </row>
    <row r="2">
      <c r="C2" s="24"/>
      <c r="F2" s="24"/>
    </row>
    <row r="3">
      <c r="C3" s="24"/>
      <c r="F3" s="24"/>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26.5"/>
    <col customWidth="1" min="3" max="3" width="37.5"/>
  </cols>
  <sheetData>
    <row r="1">
      <c r="A1" s="2" t="s">
        <v>16556</v>
      </c>
      <c r="B1" s="2" t="s">
        <v>16386</v>
      </c>
      <c r="C1" s="2" t="s">
        <v>16557</v>
      </c>
      <c r="D1" s="2" t="s">
        <v>15465</v>
      </c>
      <c r="E1" s="2" t="s">
        <v>1950</v>
      </c>
      <c r="F1" s="14"/>
      <c r="G1" s="14"/>
      <c r="H1" s="14"/>
      <c r="I1" s="14"/>
      <c r="J1" s="14"/>
      <c r="K1" s="14"/>
      <c r="L1" s="14"/>
      <c r="M1" s="14"/>
      <c r="N1" s="14"/>
      <c r="O1" s="14"/>
      <c r="P1" s="14"/>
      <c r="Q1" s="14"/>
      <c r="R1" s="14"/>
      <c r="S1" s="14"/>
      <c r="T1" s="14"/>
      <c r="U1" s="14"/>
      <c r="V1" s="14"/>
      <c r="W1" s="14"/>
      <c r="X1" s="14"/>
    </row>
    <row r="2">
      <c r="E2" s="24"/>
    </row>
    <row r="3">
      <c r="E3" s="26"/>
    </row>
    <row r="4">
      <c r="E4" s="24"/>
    </row>
    <row r="5">
      <c r="E5" s="24"/>
    </row>
    <row r="6">
      <c r="E6" s="24"/>
    </row>
    <row r="7">
      <c r="E7" s="24"/>
    </row>
    <row r="8">
      <c r="E8" s="24"/>
    </row>
    <row r="9">
      <c r="E9" s="24"/>
    </row>
    <row r="10">
      <c r="E10" s="24"/>
    </row>
    <row r="11">
      <c r="E11" s="24"/>
    </row>
    <row r="12">
      <c r="E12" s="24"/>
    </row>
    <row r="13">
      <c r="E13" s="24"/>
    </row>
    <row r="14">
      <c r="E14" s="24"/>
    </row>
    <row r="15">
      <c r="E15" s="24"/>
    </row>
    <row r="16">
      <c r="E16" s="24"/>
    </row>
    <row r="17">
      <c r="E17" s="24"/>
    </row>
    <row r="18">
      <c r="E18" s="24"/>
    </row>
    <row r="19">
      <c r="E19" s="24"/>
    </row>
    <row r="20">
      <c r="E20" s="24"/>
    </row>
    <row r="21">
      <c r="E21" s="24"/>
    </row>
    <row r="22">
      <c r="E22" s="24"/>
    </row>
    <row r="23">
      <c r="E23" s="24"/>
    </row>
    <row r="24">
      <c r="E24" s="24"/>
    </row>
    <row r="25">
      <c r="E25" s="24"/>
    </row>
    <row r="26">
      <c r="E26" s="24"/>
    </row>
    <row r="27">
      <c r="E27" s="24"/>
    </row>
    <row r="28">
      <c r="E28" s="24"/>
    </row>
    <row r="29">
      <c r="E29" s="24"/>
    </row>
    <row r="30">
      <c r="E30" s="24"/>
    </row>
    <row r="31">
      <c r="E31" s="24"/>
    </row>
    <row r="32">
      <c r="E32" s="24"/>
    </row>
    <row r="33">
      <c r="E33" s="24"/>
    </row>
    <row r="34">
      <c r="E34" s="24"/>
    </row>
    <row r="35">
      <c r="E35" s="24"/>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7"/>
      <c r="B2" s="28" t="s">
        <v>16631</v>
      </c>
    </row>
    <row r="3">
      <c r="A3" s="29"/>
      <c r="B3" s="1" t="s">
        <v>16633</v>
      </c>
    </row>
    <row r="4">
      <c r="A4" s="29"/>
      <c r="B4" s="1" t="s">
        <v>16634</v>
      </c>
    </row>
    <row r="5">
      <c r="A5" s="29"/>
    </row>
    <row r="6">
      <c r="A6" s="27"/>
    </row>
    <row r="7">
      <c r="A7" s="29"/>
    </row>
    <row r="8">
      <c r="A8" s="29"/>
    </row>
    <row r="9">
      <c r="A9" s="29"/>
    </row>
    <row r="10">
      <c r="A10" s="29"/>
    </row>
    <row r="11">
      <c r="A11" s="27"/>
    </row>
    <row r="12">
      <c r="A12" s="29"/>
    </row>
    <row r="13">
      <c r="A13" s="29"/>
    </row>
    <row r="14">
      <c r="A14" s="29"/>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3.5"/>
    <col customWidth="1" min="3" max="3" width="41.38"/>
    <col customWidth="1" min="4" max="4" width="49.63"/>
    <col customWidth="1" min="5" max="5" width="43.25"/>
    <col customWidth="1" min="6" max="6" width="15.5"/>
    <col customWidth="1" min="7" max="7" width="43.5"/>
  </cols>
  <sheetData>
    <row r="1">
      <c r="A1" s="2"/>
      <c r="B1" s="2"/>
      <c r="C1" s="30"/>
      <c r="D1" s="30"/>
      <c r="E1" s="17"/>
      <c r="F1" s="31"/>
      <c r="G1" s="14"/>
      <c r="H1" s="14"/>
      <c r="I1" s="14"/>
      <c r="J1" s="14"/>
      <c r="K1" s="14"/>
      <c r="L1" s="14"/>
      <c r="M1" s="14"/>
      <c r="N1" s="14"/>
      <c r="O1" s="14"/>
      <c r="P1" s="14"/>
      <c r="Q1" s="14"/>
      <c r="R1" s="14"/>
      <c r="S1" s="14"/>
      <c r="T1" s="14"/>
      <c r="U1" s="14"/>
      <c r="V1" s="14"/>
      <c r="W1" s="14"/>
      <c r="X1" s="14"/>
      <c r="Y1" s="14"/>
    </row>
    <row r="2">
      <c r="A2" s="2" t="s">
        <v>16556</v>
      </c>
      <c r="B2" s="2" t="s">
        <v>16641</v>
      </c>
      <c r="C2" s="2" t="s">
        <v>16643</v>
      </c>
      <c r="D2" s="30" t="s">
        <v>21</v>
      </c>
      <c r="E2" s="2" t="s">
        <v>722</v>
      </c>
      <c r="F2" s="17" t="s">
        <v>16644</v>
      </c>
      <c r="G2" s="2" t="s">
        <v>16557</v>
      </c>
      <c r="H2" s="14"/>
      <c r="I2" s="14"/>
      <c r="J2" s="14"/>
      <c r="K2" s="14"/>
      <c r="L2" s="14"/>
      <c r="M2" s="14"/>
      <c r="N2" s="14"/>
      <c r="O2" s="14"/>
      <c r="P2" s="14"/>
      <c r="Q2" s="14"/>
      <c r="R2" s="14"/>
      <c r="S2" s="14"/>
      <c r="T2" s="14"/>
      <c r="U2" s="14"/>
      <c r="V2" s="14"/>
      <c r="W2" s="14"/>
      <c r="X2" s="14"/>
      <c r="Y2" s="14"/>
    </row>
    <row r="3">
      <c r="A3" s="12" t="str">
        <f>IFERROR(__xludf.DUMMYFUNCTION("QUERY(
  DNU_ActiveDeployments!A2:P182,
  ""SELECT O, H, A, B, F, I, P
   WHERE H = 'Red' OR H = 'Yellow'
   ORDER BY H ASC"",
  0
)"),"#N/A")</f>
        <v>#N/A</v>
      </c>
      <c r="C3" s="32"/>
      <c r="D3" s="32"/>
      <c r="E3" s="33"/>
      <c r="F3" s="33"/>
    </row>
    <row r="4">
      <c r="C4" s="32"/>
      <c r="D4" s="32"/>
      <c r="E4" s="33"/>
      <c r="F4" s="33"/>
    </row>
    <row r="5">
      <c r="C5" s="32"/>
      <c r="D5" s="32"/>
      <c r="E5" s="33"/>
      <c r="F5" s="33"/>
    </row>
    <row r="6">
      <c r="C6" s="32"/>
      <c r="D6" s="32"/>
      <c r="E6" s="33"/>
      <c r="F6" s="33"/>
    </row>
    <row r="7">
      <c r="C7" s="32"/>
      <c r="D7" s="32"/>
      <c r="E7" s="33"/>
      <c r="F7" s="33"/>
    </row>
    <row r="8">
      <c r="C8" s="32"/>
      <c r="D8" s="32"/>
      <c r="E8" s="33"/>
      <c r="F8" s="33"/>
    </row>
    <row r="9">
      <c r="C9" s="32"/>
      <c r="D9" s="32"/>
      <c r="E9" s="33"/>
      <c r="F9" s="33"/>
    </row>
    <row r="10">
      <c r="C10" s="32"/>
      <c r="D10" s="32"/>
      <c r="E10" s="33"/>
      <c r="F10" s="33"/>
    </row>
    <row r="11">
      <c r="C11" s="32"/>
      <c r="D11" s="32"/>
      <c r="E11" s="33"/>
      <c r="F11" s="33"/>
    </row>
    <row r="12">
      <c r="C12" s="32"/>
      <c r="D12" s="32"/>
      <c r="E12" s="33"/>
      <c r="F12" s="33"/>
    </row>
    <row r="13">
      <c r="C13" s="32"/>
      <c r="D13" s="32"/>
      <c r="E13" s="33"/>
      <c r="F13" s="33"/>
    </row>
    <row r="14">
      <c r="C14" s="32"/>
      <c r="D14" s="32"/>
      <c r="E14" s="33"/>
      <c r="F14" s="33"/>
    </row>
    <row r="15">
      <c r="C15" s="32"/>
      <c r="D15" s="32"/>
      <c r="E15" s="33"/>
      <c r="F15" s="33"/>
    </row>
    <row r="16">
      <c r="C16" s="32"/>
      <c r="D16" s="32"/>
      <c r="E16" s="33"/>
      <c r="F16" s="33"/>
    </row>
    <row r="17">
      <c r="C17" s="32"/>
      <c r="D17" s="32"/>
      <c r="E17" s="33"/>
      <c r="F17" s="33"/>
    </row>
    <row r="18">
      <c r="C18" s="32"/>
      <c r="D18" s="32"/>
      <c r="E18" s="33"/>
      <c r="F18" s="33"/>
    </row>
    <row r="19">
      <c r="C19" s="32"/>
      <c r="D19" s="32"/>
      <c r="E19" s="33"/>
      <c r="F19" s="33"/>
    </row>
    <row r="20">
      <c r="C20" s="32"/>
      <c r="D20" s="32"/>
      <c r="E20" s="33"/>
      <c r="F20" s="33"/>
    </row>
    <row r="21">
      <c r="C21" s="32"/>
      <c r="D21" s="32"/>
      <c r="E21" s="33"/>
      <c r="F21" s="33"/>
    </row>
    <row r="22">
      <c r="C22" s="32"/>
      <c r="D22" s="32"/>
      <c r="E22" s="33"/>
      <c r="F22" s="33"/>
    </row>
    <row r="23">
      <c r="C23" s="32"/>
      <c r="D23" s="32"/>
      <c r="E23" s="33"/>
      <c r="F23" s="33"/>
    </row>
    <row r="24">
      <c r="C24" s="32"/>
      <c r="D24" s="32"/>
      <c r="E24" s="33"/>
      <c r="F24" s="33"/>
    </row>
    <row r="25">
      <c r="C25" s="32"/>
      <c r="D25" s="32"/>
      <c r="E25" s="33"/>
      <c r="F25" s="33"/>
    </row>
    <row r="26">
      <c r="C26" s="32"/>
      <c r="D26" s="32"/>
      <c r="E26" s="33"/>
      <c r="F26" s="33"/>
    </row>
    <row r="27">
      <c r="C27" s="32"/>
      <c r="D27" s="32"/>
      <c r="E27" s="33"/>
      <c r="F27" s="33"/>
    </row>
    <row r="28">
      <c r="C28" s="32"/>
      <c r="D28" s="32"/>
      <c r="E28" s="33"/>
      <c r="F28" s="33"/>
    </row>
    <row r="29">
      <c r="C29" s="32"/>
      <c r="D29" s="32"/>
      <c r="E29" s="33"/>
      <c r="F29" s="33"/>
    </row>
    <row r="30">
      <c r="C30" s="32"/>
      <c r="D30" s="32"/>
      <c r="E30" s="33"/>
      <c r="F30" s="33"/>
    </row>
    <row r="31">
      <c r="C31" s="32"/>
      <c r="D31" s="32"/>
      <c r="E31" s="33"/>
      <c r="F31" s="33"/>
    </row>
    <row r="32">
      <c r="C32" s="32"/>
      <c r="D32" s="32"/>
      <c r="E32" s="33"/>
      <c r="F32" s="33"/>
    </row>
    <row r="33">
      <c r="C33" s="32"/>
      <c r="D33" s="32"/>
      <c r="E33" s="33"/>
      <c r="F33" s="33"/>
    </row>
    <row r="34">
      <c r="C34" s="32"/>
      <c r="D34" s="32"/>
      <c r="E34" s="33"/>
      <c r="F34" s="33"/>
    </row>
    <row r="35">
      <c r="C35" s="32"/>
      <c r="D35" s="32"/>
      <c r="E35" s="33"/>
      <c r="F35" s="33"/>
    </row>
    <row r="36">
      <c r="C36" s="32"/>
      <c r="D36" s="32"/>
      <c r="E36" s="33"/>
      <c r="F36" s="33"/>
    </row>
    <row r="37">
      <c r="C37" s="32"/>
      <c r="D37" s="32"/>
      <c r="E37" s="33"/>
      <c r="F37" s="33"/>
    </row>
    <row r="38">
      <c r="C38" s="32"/>
      <c r="D38" s="32"/>
      <c r="E38" s="33"/>
      <c r="F38" s="33"/>
    </row>
    <row r="39">
      <c r="C39" s="32"/>
      <c r="D39" s="32"/>
      <c r="E39" s="33"/>
      <c r="F39" s="33"/>
    </row>
    <row r="40">
      <c r="C40" s="32"/>
      <c r="D40" s="32"/>
      <c r="E40" s="33"/>
      <c r="F40" s="33"/>
    </row>
    <row r="41">
      <c r="C41" s="32"/>
      <c r="D41" s="32"/>
      <c r="E41" s="33"/>
      <c r="F41" s="33"/>
    </row>
    <row r="42">
      <c r="C42" s="32"/>
      <c r="D42" s="32"/>
      <c r="E42" s="33"/>
      <c r="F42" s="33"/>
    </row>
    <row r="43">
      <c r="C43" s="32"/>
      <c r="D43" s="32"/>
      <c r="E43" s="33"/>
      <c r="F43" s="33"/>
    </row>
    <row r="44">
      <c r="C44" s="32"/>
      <c r="D44" s="32"/>
      <c r="E44" s="33"/>
      <c r="F44" s="33"/>
    </row>
    <row r="45">
      <c r="C45" s="32"/>
      <c r="D45" s="32"/>
      <c r="E45" s="33"/>
      <c r="F45" s="33"/>
    </row>
    <row r="46">
      <c r="C46" s="32"/>
      <c r="D46" s="32"/>
      <c r="E46" s="33"/>
      <c r="F46" s="33"/>
    </row>
    <row r="47">
      <c r="C47" s="32"/>
      <c r="D47" s="32"/>
      <c r="E47" s="33"/>
      <c r="F47" s="33"/>
    </row>
    <row r="48">
      <c r="C48" s="32"/>
      <c r="D48" s="32"/>
      <c r="E48" s="33"/>
      <c r="F48" s="33"/>
    </row>
    <row r="49">
      <c r="C49" s="32"/>
      <c r="D49" s="32"/>
      <c r="E49" s="33"/>
      <c r="F49" s="33"/>
    </row>
    <row r="50">
      <c r="C50" s="32"/>
      <c r="D50" s="32"/>
      <c r="E50" s="33"/>
      <c r="F50" s="33"/>
    </row>
    <row r="51">
      <c r="C51" s="32"/>
      <c r="D51" s="32"/>
      <c r="E51" s="33"/>
      <c r="F51" s="33"/>
    </row>
    <row r="52">
      <c r="C52" s="32"/>
      <c r="D52" s="32"/>
      <c r="E52" s="33"/>
      <c r="F52" s="33"/>
    </row>
    <row r="53">
      <c r="C53" s="32"/>
      <c r="D53" s="32"/>
      <c r="E53" s="33"/>
      <c r="F53" s="33"/>
    </row>
    <row r="54">
      <c r="C54" s="32"/>
      <c r="D54" s="32"/>
      <c r="E54" s="33"/>
      <c r="F54" s="33"/>
    </row>
    <row r="55">
      <c r="C55" s="32"/>
      <c r="D55" s="32"/>
      <c r="E55" s="33"/>
      <c r="F55" s="33"/>
    </row>
    <row r="56">
      <c r="C56" s="32"/>
      <c r="D56" s="32"/>
      <c r="E56" s="33"/>
      <c r="F56" s="33"/>
    </row>
    <row r="57">
      <c r="C57" s="32"/>
      <c r="D57" s="32"/>
      <c r="E57" s="33"/>
      <c r="F57" s="33"/>
    </row>
    <row r="58">
      <c r="C58" s="32"/>
      <c r="D58" s="32"/>
      <c r="E58" s="33"/>
      <c r="F58" s="33"/>
    </row>
    <row r="59">
      <c r="C59" s="32"/>
      <c r="D59" s="32"/>
      <c r="E59" s="33"/>
      <c r="F59" s="33"/>
    </row>
    <row r="60">
      <c r="C60" s="32"/>
      <c r="D60" s="32"/>
      <c r="E60" s="33"/>
      <c r="F60" s="33"/>
    </row>
    <row r="61">
      <c r="C61" s="32"/>
      <c r="D61" s="32"/>
      <c r="E61" s="33"/>
      <c r="F61" s="33"/>
    </row>
    <row r="62">
      <c r="C62" s="32"/>
      <c r="D62" s="32"/>
      <c r="E62" s="33"/>
      <c r="F62" s="33"/>
    </row>
    <row r="63">
      <c r="C63" s="32"/>
      <c r="D63" s="32"/>
      <c r="E63" s="33"/>
      <c r="F63" s="33"/>
    </row>
    <row r="64">
      <c r="C64" s="32"/>
      <c r="D64" s="32"/>
      <c r="E64" s="33"/>
      <c r="F64" s="33"/>
    </row>
    <row r="65">
      <c r="C65" s="32"/>
      <c r="D65" s="32"/>
      <c r="E65" s="33"/>
      <c r="F65" s="33"/>
    </row>
    <row r="66">
      <c r="C66" s="32"/>
      <c r="D66" s="32"/>
      <c r="E66" s="33"/>
      <c r="F66" s="33"/>
    </row>
    <row r="67">
      <c r="C67" s="32"/>
      <c r="D67" s="32"/>
      <c r="E67" s="33"/>
      <c r="F67" s="33"/>
    </row>
    <row r="68">
      <c r="C68" s="32"/>
      <c r="D68" s="32"/>
      <c r="E68" s="33"/>
      <c r="F68" s="33"/>
    </row>
    <row r="69">
      <c r="C69" s="32"/>
      <c r="D69" s="32"/>
      <c r="E69" s="33"/>
      <c r="F69" s="33"/>
    </row>
    <row r="70">
      <c r="C70" s="32"/>
      <c r="D70" s="32"/>
      <c r="E70" s="33"/>
      <c r="F70" s="33"/>
    </row>
    <row r="71">
      <c r="C71" s="32"/>
      <c r="D71" s="32"/>
      <c r="E71" s="33"/>
      <c r="F71" s="33"/>
    </row>
    <row r="72">
      <c r="C72" s="32"/>
      <c r="D72" s="32"/>
      <c r="E72" s="33"/>
      <c r="F72" s="33"/>
    </row>
    <row r="73">
      <c r="C73" s="32"/>
      <c r="D73" s="32"/>
      <c r="E73" s="33"/>
      <c r="F73" s="33"/>
    </row>
    <row r="74">
      <c r="C74" s="32"/>
      <c r="D74" s="32"/>
      <c r="E74" s="33"/>
      <c r="F74" s="33"/>
    </row>
    <row r="75">
      <c r="C75" s="32"/>
      <c r="D75" s="32"/>
      <c r="E75" s="33"/>
      <c r="F75" s="33"/>
    </row>
    <row r="76">
      <c r="C76" s="32"/>
      <c r="D76" s="32"/>
      <c r="E76" s="33"/>
      <c r="F76" s="33"/>
    </row>
    <row r="77">
      <c r="C77" s="32"/>
      <c r="D77" s="32"/>
      <c r="E77" s="33"/>
      <c r="F77" s="33"/>
    </row>
    <row r="78">
      <c r="C78" s="32"/>
      <c r="D78" s="32"/>
      <c r="E78" s="33"/>
      <c r="F78" s="33"/>
    </row>
    <row r="79">
      <c r="C79" s="32"/>
      <c r="D79" s="32"/>
      <c r="E79" s="33"/>
      <c r="F79" s="33"/>
    </row>
    <row r="80">
      <c r="C80" s="32"/>
      <c r="D80" s="32"/>
      <c r="E80" s="33"/>
      <c r="F80" s="33"/>
    </row>
    <row r="81">
      <c r="C81" s="32"/>
      <c r="D81" s="32"/>
      <c r="E81" s="33"/>
      <c r="F81" s="33"/>
    </row>
    <row r="82">
      <c r="C82" s="32"/>
      <c r="D82" s="32"/>
      <c r="E82" s="33"/>
      <c r="F82" s="33"/>
    </row>
    <row r="83">
      <c r="C83" s="32"/>
      <c r="D83" s="32"/>
      <c r="E83" s="33"/>
      <c r="F83" s="33"/>
    </row>
    <row r="84">
      <c r="C84" s="32"/>
      <c r="D84" s="32"/>
      <c r="E84" s="33"/>
      <c r="F84" s="33"/>
    </row>
    <row r="85">
      <c r="C85" s="32"/>
      <c r="D85" s="32"/>
      <c r="E85" s="33"/>
      <c r="F85" s="33"/>
    </row>
    <row r="86">
      <c r="C86" s="32"/>
      <c r="D86" s="32"/>
      <c r="E86" s="33"/>
      <c r="F86" s="33"/>
    </row>
    <row r="87">
      <c r="C87" s="32"/>
      <c r="D87" s="32"/>
      <c r="E87" s="33"/>
      <c r="F87" s="33"/>
    </row>
    <row r="88">
      <c r="C88" s="32"/>
      <c r="D88" s="32"/>
      <c r="E88" s="33"/>
      <c r="F88" s="33"/>
    </row>
    <row r="89">
      <c r="C89" s="32"/>
      <c r="D89" s="32"/>
      <c r="E89" s="33"/>
      <c r="F89" s="33"/>
    </row>
    <row r="90">
      <c r="C90" s="32"/>
      <c r="D90" s="32"/>
      <c r="E90" s="33"/>
      <c r="F90" s="33"/>
    </row>
    <row r="91">
      <c r="C91" s="32"/>
      <c r="D91" s="32"/>
      <c r="E91" s="33"/>
      <c r="F91" s="33"/>
    </row>
    <row r="92">
      <c r="C92" s="32"/>
      <c r="D92" s="32"/>
      <c r="E92" s="33"/>
      <c r="F92" s="33"/>
    </row>
    <row r="93">
      <c r="C93" s="32"/>
      <c r="D93" s="32"/>
      <c r="E93" s="33"/>
      <c r="F93" s="33"/>
    </row>
    <row r="94">
      <c r="C94" s="32"/>
      <c r="D94" s="32"/>
      <c r="E94" s="33"/>
      <c r="F94" s="33"/>
    </row>
    <row r="95">
      <c r="C95" s="32"/>
      <c r="D95" s="32"/>
      <c r="E95" s="33"/>
      <c r="F95" s="33"/>
    </row>
    <row r="96">
      <c r="C96" s="32"/>
      <c r="D96" s="32"/>
      <c r="E96" s="33"/>
      <c r="F96" s="33"/>
    </row>
    <row r="97">
      <c r="C97" s="32"/>
      <c r="D97" s="32"/>
      <c r="E97" s="33"/>
      <c r="F97" s="33"/>
    </row>
    <row r="98">
      <c r="C98" s="32"/>
      <c r="D98" s="32"/>
      <c r="E98" s="33"/>
      <c r="F98" s="33"/>
    </row>
    <row r="99">
      <c r="C99" s="32"/>
      <c r="D99" s="32"/>
      <c r="E99" s="33"/>
      <c r="F99" s="33"/>
    </row>
    <row r="100">
      <c r="C100" s="32"/>
      <c r="D100" s="32"/>
      <c r="E100" s="33"/>
      <c r="F100" s="33"/>
    </row>
    <row r="101">
      <c r="C101" s="32"/>
      <c r="D101" s="32"/>
      <c r="E101" s="33"/>
      <c r="F101" s="33"/>
    </row>
    <row r="102">
      <c r="C102" s="32"/>
      <c r="D102" s="32"/>
      <c r="E102" s="33"/>
      <c r="F102" s="33"/>
    </row>
    <row r="103">
      <c r="C103" s="32"/>
      <c r="D103" s="32"/>
      <c r="E103" s="33"/>
      <c r="F103" s="33"/>
    </row>
    <row r="104">
      <c r="C104" s="32"/>
      <c r="D104" s="32"/>
      <c r="E104" s="33"/>
      <c r="F104" s="33"/>
    </row>
    <row r="105">
      <c r="C105" s="32"/>
      <c r="D105" s="32"/>
      <c r="E105" s="33"/>
      <c r="F105" s="33"/>
    </row>
    <row r="106">
      <c r="C106" s="32"/>
      <c r="D106" s="32"/>
      <c r="E106" s="33"/>
      <c r="F106" s="33"/>
    </row>
    <row r="107">
      <c r="C107" s="32"/>
      <c r="D107" s="32"/>
      <c r="E107" s="33"/>
      <c r="F107" s="33"/>
    </row>
    <row r="108">
      <c r="C108" s="32"/>
      <c r="D108" s="32"/>
      <c r="E108" s="33"/>
      <c r="F108" s="33"/>
    </row>
    <row r="109">
      <c r="C109" s="32"/>
      <c r="D109" s="32"/>
      <c r="E109" s="33"/>
      <c r="F109" s="33"/>
    </row>
    <row r="110">
      <c r="C110" s="32"/>
      <c r="D110" s="32"/>
      <c r="E110" s="33"/>
      <c r="F110" s="33"/>
    </row>
    <row r="111">
      <c r="C111" s="32"/>
      <c r="D111" s="32"/>
      <c r="E111" s="33"/>
      <c r="F111" s="33"/>
    </row>
    <row r="112">
      <c r="C112" s="32"/>
      <c r="D112" s="32"/>
      <c r="E112" s="33"/>
      <c r="F112" s="33"/>
    </row>
    <row r="113">
      <c r="C113" s="32"/>
      <c r="D113" s="32"/>
      <c r="E113" s="33"/>
      <c r="F113" s="33"/>
    </row>
    <row r="114">
      <c r="C114" s="32"/>
      <c r="D114" s="32"/>
      <c r="E114" s="33"/>
      <c r="F114" s="33"/>
    </row>
    <row r="115">
      <c r="C115" s="32"/>
      <c r="D115" s="32"/>
      <c r="E115" s="33"/>
      <c r="F115" s="33"/>
    </row>
    <row r="116">
      <c r="C116" s="32"/>
      <c r="D116" s="32"/>
      <c r="E116" s="33"/>
      <c r="F116" s="33"/>
    </row>
    <row r="117">
      <c r="C117" s="32"/>
      <c r="D117" s="32"/>
      <c r="E117" s="33"/>
      <c r="F117" s="33"/>
    </row>
    <row r="118">
      <c r="C118" s="32"/>
      <c r="D118" s="32"/>
      <c r="E118" s="33"/>
      <c r="F118" s="33"/>
    </row>
    <row r="119">
      <c r="C119" s="32"/>
      <c r="D119" s="32"/>
      <c r="E119" s="33"/>
      <c r="F119" s="33"/>
    </row>
    <row r="120">
      <c r="C120" s="32"/>
      <c r="D120" s="32"/>
      <c r="E120" s="33"/>
      <c r="F120" s="33"/>
    </row>
    <row r="121">
      <c r="C121" s="32"/>
      <c r="D121" s="32"/>
      <c r="E121" s="33"/>
      <c r="F121" s="33"/>
    </row>
    <row r="122">
      <c r="C122" s="32"/>
      <c r="D122" s="32"/>
      <c r="E122" s="33"/>
      <c r="F122" s="33"/>
    </row>
    <row r="123">
      <c r="C123" s="32"/>
      <c r="D123" s="32"/>
      <c r="E123" s="33"/>
      <c r="F123" s="33"/>
    </row>
    <row r="124">
      <c r="C124" s="32"/>
      <c r="D124" s="32"/>
      <c r="E124" s="33"/>
      <c r="F124" s="33"/>
    </row>
    <row r="125">
      <c r="C125" s="32"/>
      <c r="D125" s="32"/>
      <c r="E125" s="33"/>
      <c r="F125" s="33"/>
    </row>
    <row r="126">
      <c r="C126" s="32"/>
      <c r="D126" s="32"/>
      <c r="E126" s="33"/>
      <c r="F126" s="33"/>
    </row>
    <row r="127">
      <c r="C127" s="32"/>
      <c r="D127" s="32"/>
      <c r="E127" s="33"/>
      <c r="F127" s="33"/>
    </row>
    <row r="128">
      <c r="C128" s="32"/>
      <c r="D128" s="32"/>
      <c r="E128" s="33"/>
      <c r="F128" s="33"/>
    </row>
    <row r="129">
      <c r="C129" s="32"/>
      <c r="D129" s="32"/>
      <c r="E129" s="33"/>
      <c r="F129" s="33"/>
    </row>
    <row r="130">
      <c r="C130" s="32"/>
      <c r="D130" s="32"/>
      <c r="E130" s="33"/>
      <c r="F130" s="33"/>
    </row>
    <row r="131">
      <c r="C131" s="32"/>
      <c r="D131" s="32"/>
      <c r="E131" s="33"/>
      <c r="F131" s="33"/>
    </row>
    <row r="132">
      <c r="C132" s="32"/>
      <c r="D132" s="32"/>
      <c r="E132" s="33"/>
      <c r="F132" s="33"/>
    </row>
    <row r="133">
      <c r="C133" s="32"/>
      <c r="D133" s="32"/>
      <c r="E133" s="33"/>
      <c r="F133" s="33"/>
    </row>
    <row r="134">
      <c r="C134" s="32"/>
      <c r="D134" s="32"/>
      <c r="E134" s="33"/>
      <c r="F134" s="33"/>
    </row>
    <row r="135">
      <c r="C135" s="32"/>
      <c r="D135" s="32"/>
      <c r="E135" s="33"/>
      <c r="F135" s="33"/>
    </row>
    <row r="136">
      <c r="C136" s="32"/>
      <c r="D136" s="32"/>
      <c r="E136" s="33"/>
      <c r="F136" s="33"/>
    </row>
    <row r="137">
      <c r="C137" s="32"/>
      <c r="D137" s="32"/>
      <c r="E137" s="33"/>
      <c r="F137" s="33"/>
    </row>
    <row r="138">
      <c r="C138" s="32"/>
      <c r="D138" s="32"/>
      <c r="E138" s="33"/>
      <c r="F138" s="33"/>
    </row>
    <row r="139">
      <c r="C139" s="32"/>
      <c r="D139" s="32"/>
      <c r="E139" s="33"/>
      <c r="F139" s="33"/>
    </row>
    <row r="140">
      <c r="C140" s="32"/>
      <c r="D140" s="32"/>
      <c r="E140" s="33"/>
      <c r="F140" s="33"/>
    </row>
    <row r="141">
      <c r="C141" s="32"/>
      <c r="D141" s="32"/>
      <c r="E141" s="33"/>
      <c r="F141" s="33"/>
    </row>
    <row r="142">
      <c r="C142" s="32"/>
      <c r="D142" s="32"/>
      <c r="E142" s="33"/>
      <c r="F142" s="33"/>
    </row>
    <row r="143">
      <c r="C143" s="32"/>
      <c r="D143" s="32"/>
      <c r="E143" s="33"/>
      <c r="F143" s="33"/>
    </row>
    <row r="144">
      <c r="C144" s="32"/>
      <c r="D144" s="32"/>
      <c r="E144" s="33"/>
      <c r="F144" s="33"/>
    </row>
    <row r="145">
      <c r="C145" s="32"/>
      <c r="D145" s="32"/>
      <c r="E145" s="33"/>
      <c r="F145" s="33"/>
    </row>
    <row r="146">
      <c r="C146" s="32"/>
      <c r="D146" s="32"/>
      <c r="E146" s="33"/>
      <c r="F146" s="33"/>
    </row>
    <row r="147">
      <c r="C147" s="32"/>
      <c r="D147" s="32"/>
      <c r="E147" s="33"/>
      <c r="F147" s="33"/>
    </row>
    <row r="148">
      <c r="C148" s="32"/>
      <c r="D148" s="32"/>
      <c r="E148" s="33"/>
      <c r="F148" s="33"/>
    </row>
    <row r="149">
      <c r="C149" s="32"/>
      <c r="D149" s="32"/>
      <c r="E149" s="33"/>
      <c r="F149" s="33"/>
    </row>
    <row r="150">
      <c r="C150" s="32"/>
      <c r="D150" s="32"/>
      <c r="E150" s="33"/>
      <c r="F150" s="33"/>
    </row>
    <row r="151">
      <c r="C151" s="32"/>
      <c r="D151" s="32"/>
      <c r="E151" s="33"/>
      <c r="F151" s="33"/>
    </row>
    <row r="152">
      <c r="C152" s="32"/>
      <c r="D152" s="32"/>
      <c r="E152" s="33"/>
      <c r="F152" s="33"/>
    </row>
    <row r="153">
      <c r="C153" s="32"/>
      <c r="D153" s="32"/>
      <c r="E153" s="33"/>
      <c r="F153" s="33"/>
    </row>
    <row r="154">
      <c r="C154" s="32"/>
      <c r="D154" s="32"/>
      <c r="E154" s="33"/>
      <c r="F154" s="33"/>
    </row>
    <row r="155">
      <c r="C155" s="32"/>
      <c r="D155" s="32"/>
      <c r="E155" s="33"/>
      <c r="F155" s="33"/>
    </row>
    <row r="156">
      <c r="C156" s="32"/>
      <c r="D156" s="32"/>
      <c r="E156" s="33"/>
      <c r="F156" s="33"/>
    </row>
    <row r="157">
      <c r="C157" s="32"/>
      <c r="D157" s="32"/>
      <c r="E157" s="33"/>
      <c r="F157" s="33"/>
    </row>
    <row r="158">
      <c r="C158" s="32"/>
      <c r="D158" s="32"/>
      <c r="E158" s="33"/>
      <c r="F158" s="33"/>
    </row>
    <row r="159">
      <c r="C159" s="32"/>
      <c r="D159" s="32"/>
      <c r="E159" s="33"/>
      <c r="F159" s="33"/>
    </row>
    <row r="160">
      <c r="C160" s="32"/>
      <c r="D160" s="32"/>
      <c r="E160" s="33"/>
      <c r="F160" s="33"/>
    </row>
    <row r="161">
      <c r="C161" s="32"/>
      <c r="D161" s="32"/>
      <c r="E161" s="33"/>
      <c r="F161" s="33"/>
    </row>
    <row r="162">
      <c r="C162" s="32"/>
      <c r="D162" s="32"/>
      <c r="E162" s="33"/>
      <c r="F162" s="33"/>
    </row>
    <row r="163">
      <c r="C163" s="32"/>
      <c r="D163" s="32"/>
      <c r="E163" s="33"/>
      <c r="F163" s="33"/>
    </row>
    <row r="164">
      <c r="C164" s="32"/>
      <c r="D164" s="32"/>
      <c r="E164" s="33"/>
      <c r="F164" s="33"/>
    </row>
    <row r="165">
      <c r="C165" s="32"/>
      <c r="D165" s="32"/>
      <c r="E165" s="33"/>
      <c r="F165" s="33"/>
    </row>
    <row r="166">
      <c r="C166" s="32"/>
      <c r="D166" s="32"/>
      <c r="E166" s="33"/>
      <c r="F166" s="33"/>
    </row>
    <row r="167">
      <c r="C167" s="32"/>
      <c r="D167" s="32"/>
      <c r="E167" s="33"/>
      <c r="F167" s="33"/>
    </row>
    <row r="168">
      <c r="C168" s="32"/>
      <c r="D168" s="32"/>
      <c r="E168" s="33"/>
      <c r="F168" s="33"/>
    </row>
    <row r="169">
      <c r="C169" s="32"/>
      <c r="D169" s="32"/>
      <c r="E169" s="33"/>
      <c r="F169" s="33"/>
    </row>
    <row r="170">
      <c r="C170" s="32"/>
      <c r="D170" s="32"/>
      <c r="E170" s="33"/>
      <c r="F170" s="33"/>
    </row>
    <row r="171">
      <c r="C171" s="32"/>
      <c r="D171" s="32"/>
      <c r="E171" s="33"/>
      <c r="F171" s="33"/>
    </row>
    <row r="172">
      <c r="C172" s="32"/>
      <c r="D172" s="32"/>
      <c r="E172" s="33"/>
      <c r="F172" s="33"/>
    </row>
    <row r="173">
      <c r="C173" s="32"/>
      <c r="D173" s="32"/>
      <c r="E173" s="33"/>
      <c r="F173" s="33"/>
    </row>
    <row r="174">
      <c r="C174" s="32"/>
      <c r="D174" s="32"/>
      <c r="E174" s="33"/>
      <c r="F174" s="33"/>
    </row>
    <row r="175">
      <c r="C175" s="32"/>
      <c r="D175" s="32"/>
      <c r="E175" s="33"/>
      <c r="F175" s="33"/>
    </row>
    <row r="176">
      <c r="C176" s="32"/>
      <c r="D176" s="32"/>
      <c r="E176" s="33"/>
      <c r="F176" s="33"/>
    </row>
    <row r="177">
      <c r="C177" s="32"/>
      <c r="D177" s="32"/>
      <c r="E177" s="33"/>
      <c r="F177" s="33"/>
    </row>
    <row r="178">
      <c r="C178" s="32"/>
      <c r="D178" s="32"/>
      <c r="E178" s="33"/>
      <c r="F178" s="33"/>
    </row>
    <row r="179">
      <c r="C179" s="32"/>
      <c r="D179" s="32"/>
      <c r="E179" s="33"/>
      <c r="F179" s="33"/>
    </row>
    <row r="180">
      <c r="C180" s="32"/>
      <c r="D180" s="32"/>
      <c r="E180" s="33"/>
      <c r="F180" s="33"/>
    </row>
    <row r="181">
      <c r="C181" s="32"/>
      <c r="D181" s="32"/>
      <c r="E181" s="33"/>
      <c r="F181" s="33"/>
    </row>
    <row r="182">
      <c r="C182" s="32"/>
      <c r="D182" s="32"/>
      <c r="E182" s="33"/>
      <c r="F182" s="33"/>
    </row>
    <row r="183">
      <c r="C183" s="32"/>
      <c r="D183" s="32"/>
      <c r="E183" s="33"/>
      <c r="F183" s="33"/>
    </row>
    <row r="184">
      <c r="C184" s="32"/>
      <c r="D184" s="32"/>
      <c r="E184" s="33"/>
      <c r="F184" s="33"/>
    </row>
    <row r="185">
      <c r="C185" s="32"/>
      <c r="D185" s="32"/>
      <c r="E185" s="33"/>
      <c r="F185" s="33"/>
    </row>
    <row r="186">
      <c r="C186" s="32"/>
      <c r="D186" s="32"/>
      <c r="E186" s="33"/>
      <c r="F186" s="33"/>
    </row>
    <row r="187">
      <c r="C187" s="32"/>
      <c r="D187" s="32"/>
      <c r="E187" s="33"/>
      <c r="F187" s="33"/>
    </row>
    <row r="188">
      <c r="C188" s="32"/>
      <c r="D188" s="32"/>
      <c r="E188" s="33"/>
      <c r="F188" s="33"/>
    </row>
    <row r="189">
      <c r="C189" s="32"/>
      <c r="D189" s="32"/>
      <c r="E189" s="33"/>
      <c r="F189" s="33"/>
    </row>
    <row r="190">
      <c r="C190" s="32"/>
      <c r="D190" s="32"/>
      <c r="E190" s="33"/>
      <c r="F190" s="33"/>
    </row>
    <row r="191">
      <c r="C191" s="32"/>
      <c r="D191" s="32"/>
      <c r="E191" s="33"/>
      <c r="F191" s="33"/>
    </row>
    <row r="192">
      <c r="C192" s="32"/>
      <c r="D192" s="32"/>
      <c r="E192" s="33"/>
      <c r="F192" s="33"/>
    </row>
    <row r="193">
      <c r="C193" s="32"/>
      <c r="D193" s="32"/>
      <c r="E193" s="33"/>
      <c r="F193" s="33"/>
    </row>
    <row r="194">
      <c r="C194" s="32"/>
      <c r="D194" s="32"/>
      <c r="E194" s="33"/>
      <c r="F194" s="33"/>
    </row>
    <row r="195">
      <c r="C195" s="32"/>
      <c r="D195" s="32"/>
      <c r="E195" s="33"/>
      <c r="F195" s="33"/>
    </row>
    <row r="196">
      <c r="C196" s="32"/>
      <c r="D196" s="32"/>
      <c r="E196" s="33"/>
      <c r="F196" s="33"/>
    </row>
    <row r="197">
      <c r="C197" s="32"/>
      <c r="D197" s="32"/>
      <c r="E197" s="33"/>
      <c r="F197" s="33"/>
    </row>
    <row r="198">
      <c r="C198" s="32"/>
      <c r="D198" s="32"/>
      <c r="E198" s="33"/>
      <c r="F198" s="33"/>
    </row>
    <row r="199">
      <c r="C199" s="32"/>
      <c r="D199" s="32"/>
      <c r="E199" s="33"/>
      <c r="F199" s="33"/>
    </row>
    <row r="200">
      <c r="C200" s="32"/>
      <c r="D200" s="32"/>
      <c r="E200" s="33"/>
      <c r="F200" s="33"/>
    </row>
    <row r="201">
      <c r="C201" s="32"/>
      <c r="D201" s="32"/>
      <c r="E201" s="33"/>
      <c r="F201" s="33"/>
    </row>
    <row r="202">
      <c r="C202" s="32"/>
      <c r="D202" s="32"/>
      <c r="E202" s="33"/>
      <c r="F202" s="33"/>
    </row>
    <row r="203">
      <c r="C203" s="32"/>
      <c r="D203" s="32"/>
      <c r="E203" s="33"/>
      <c r="F203" s="33"/>
    </row>
    <row r="204">
      <c r="C204" s="32"/>
      <c r="D204" s="32"/>
      <c r="E204" s="33"/>
      <c r="F204" s="33"/>
    </row>
    <row r="205">
      <c r="C205" s="32"/>
      <c r="D205" s="32"/>
      <c r="E205" s="33"/>
      <c r="F205" s="33"/>
    </row>
    <row r="206">
      <c r="C206" s="32"/>
      <c r="D206" s="32"/>
      <c r="E206" s="33"/>
      <c r="F206" s="33"/>
    </row>
    <row r="207">
      <c r="C207" s="32"/>
      <c r="D207" s="32"/>
      <c r="E207" s="33"/>
      <c r="F207" s="33"/>
    </row>
    <row r="208">
      <c r="C208" s="32"/>
      <c r="D208" s="32"/>
      <c r="E208" s="33"/>
      <c r="F208" s="33"/>
    </row>
    <row r="209">
      <c r="C209" s="32"/>
      <c r="D209" s="32"/>
      <c r="E209" s="33"/>
      <c r="F209" s="33"/>
    </row>
    <row r="210">
      <c r="C210" s="32"/>
      <c r="D210" s="32"/>
      <c r="E210" s="33"/>
      <c r="F210" s="33"/>
    </row>
    <row r="211">
      <c r="C211" s="32"/>
      <c r="D211" s="32"/>
      <c r="E211" s="33"/>
      <c r="F211" s="33"/>
    </row>
    <row r="212">
      <c r="C212" s="32"/>
      <c r="D212" s="32"/>
      <c r="E212" s="33"/>
      <c r="F212" s="33"/>
    </row>
    <row r="213">
      <c r="C213" s="32"/>
      <c r="D213" s="32"/>
      <c r="E213" s="33"/>
      <c r="F213" s="33"/>
    </row>
    <row r="214">
      <c r="C214" s="32"/>
      <c r="D214" s="32"/>
      <c r="E214" s="33"/>
      <c r="F214" s="33"/>
    </row>
    <row r="215">
      <c r="C215" s="32"/>
      <c r="D215" s="32"/>
      <c r="E215" s="33"/>
      <c r="F215" s="33"/>
    </row>
    <row r="216">
      <c r="C216" s="32"/>
      <c r="D216" s="32"/>
      <c r="E216" s="33"/>
      <c r="F216" s="33"/>
    </row>
    <row r="217">
      <c r="C217" s="32"/>
      <c r="D217" s="32"/>
      <c r="E217" s="33"/>
      <c r="F217" s="33"/>
    </row>
    <row r="218">
      <c r="C218" s="32"/>
      <c r="D218" s="32"/>
      <c r="E218" s="33"/>
      <c r="F218" s="33"/>
    </row>
    <row r="219">
      <c r="C219" s="32"/>
      <c r="D219" s="32"/>
      <c r="E219" s="33"/>
      <c r="F219" s="33"/>
    </row>
    <row r="220">
      <c r="C220" s="32"/>
      <c r="D220" s="32"/>
      <c r="E220" s="33"/>
      <c r="F220" s="33"/>
    </row>
    <row r="221">
      <c r="C221" s="32"/>
      <c r="D221" s="32"/>
      <c r="E221" s="33"/>
      <c r="F221" s="33"/>
    </row>
    <row r="222">
      <c r="C222" s="32"/>
      <c r="D222" s="32"/>
      <c r="E222" s="33"/>
      <c r="F222" s="33"/>
    </row>
    <row r="223">
      <c r="C223" s="32"/>
      <c r="D223" s="32"/>
      <c r="E223" s="33"/>
      <c r="F223" s="33"/>
    </row>
    <row r="224">
      <c r="C224" s="32"/>
      <c r="D224" s="32"/>
      <c r="E224" s="33"/>
      <c r="F224" s="33"/>
    </row>
    <row r="225">
      <c r="C225" s="32"/>
      <c r="D225" s="32"/>
      <c r="E225" s="33"/>
      <c r="F225" s="33"/>
    </row>
    <row r="226">
      <c r="C226" s="32"/>
      <c r="D226" s="32"/>
      <c r="E226" s="33"/>
      <c r="F226" s="33"/>
    </row>
    <row r="227">
      <c r="C227" s="32"/>
      <c r="D227" s="32"/>
      <c r="E227" s="33"/>
      <c r="F227" s="33"/>
    </row>
    <row r="228">
      <c r="C228" s="32"/>
      <c r="D228" s="32"/>
      <c r="E228" s="33"/>
      <c r="F228" s="33"/>
    </row>
    <row r="229">
      <c r="C229" s="32"/>
      <c r="D229" s="32"/>
      <c r="E229" s="33"/>
      <c r="F229" s="33"/>
    </row>
    <row r="230">
      <c r="C230" s="32"/>
      <c r="D230" s="32"/>
      <c r="E230" s="33"/>
      <c r="F230" s="33"/>
    </row>
    <row r="231">
      <c r="C231" s="32"/>
      <c r="D231" s="32"/>
      <c r="E231" s="33"/>
      <c r="F231" s="33"/>
    </row>
    <row r="232">
      <c r="C232" s="32"/>
      <c r="D232" s="32"/>
      <c r="E232" s="33"/>
      <c r="F232" s="33"/>
    </row>
    <row r="233">
      <c r="C233" s="32"/>
      <c r="D233" s="32"/>
      <c r="E233" s="33"/>
      <c r="F233" s="33"/>
    </row>
    <row r="234">
      <c r="C234" s="32"/>
      <c r="D234" s="32"/>
      <c r="E234" s="33"/>
      <c r="F234" s="33"/>
    </row>
    <row r="235">
      <c r="C235" s="32"/>
      <c r="D235" s="32"/>
      <c r="E235" s="33"/>
      <c r="F235" s="33"/>
    </row>
    <row r="236">
      <c r="C236" s="32"/>
      <c r="D236" s="32"/>
      <c r="E236" s="33"/>
      <c r="F236" s="33"/>
    </row>
    <row r="237">
      <c r="C237" s="32"/>
      <c r="D237" s="32"/>
      <c r="E237" s="33"/>
      <c r="F237" s="33"/>
    </row>
    <row r="238">
      <c r="C238" s="32"/>
      <c r="D238" s="32"/>
      <c r="E238" s="33"/>
      <c r="F238" s="33"/>
    </row>
    <row r="239">
      <c r="C239" s="32"/>
      <c r="D239" s="32"/>
      <c r="E239" s="33"/>
      <c r="F239" s="33"/>
    </row>
    <row r="240">
      <c r="C240" s="32"/>
      <c r="D240" s="32"/>
      <c r="E240" s="33"/>
      <c r="F240" s="33"/>
    </row>
    <row r="241">
      <c r="C241" s="32"/>
      <c r="D241" s="32"/>
      <c r="E241" s="33"/>
      <c r="F241" s="33"/>
    </row>
    <row r="242">
      <c r="C242" s="32"/>
      <c r="D242" s="32"/>
      <c r="E242" s="33"/>
      <c r="F242" s="33"/>
    </row>
    <row r="243">
      <c r="C243" s="32"/>
      <c r="D243" s="32"/>
      <c r="E243" s="33"/>
      <c r="F243" s="33"/>
    </row>
    <row r="244">
      <c r="C244" s="32"/>
      <c r="D244" s="32"/>
      <c r="E244" s="33"/>
      <c r="F244" s="33"/>
    </row>
    <row r="245">
      <c r="C245" s="32"/>
      <c r="D245" s="32"/>
      <c r="E245" s="33"/>
      <c r="F245" s="33"/>
    </row>
    <row r="246">
      <c r="C246" s="32"/>
      <c r="D246" s="32"/>
      <c r="E246" s="33"/>
      <c r="F246" s="33"/>
    </row>
    <row r="247">
      <c r="C247" s="32"/>
      <c r="D247" s="32"/>
      <c r="E247" s="33"/>
      <c r="F247" s="33"/>
    </row>
    <row r="248">
      <c r="C248" s="32"/>
      <c r="D248" s="32"/>
      <c r="E248" s="33"/>
      <c r="F248" s="33"/>
    </row>
    <row r="249">
      <c r="C249" s="32"/>
      <c r="D249" s="32"/>
      <c r="E249" s="33"/>
      <c r="F249" s="33"/>
    </row>
    <row r="250">
      <c r="C250" s="32"/>
      <c r="D250" s="32"/>
      <c r="E250" s="33"/>
      <c r="F250" s="33"/>
    </row>
    <row r="251">
      <c r="C251" s="32"/>
      <c r="D251" s="32"/>
      <c r="E251" s="33"/>
      <c r="F251" s="33"/>
    </row>
    <row r="252">
      <c r="C252" s="32"/>
      <c r="D252" s="32"/>
      <c r="E252" s="33"/>
      <c r="F252" s="33"/>
    </row>
    <row r="253">
      <c r="C253" s="32"/>
      <c r="D253" s="32"/>
      <c r="E253" s="33"/>
      <c r="F253" s="33"/>
    </row>
    <row r="254">
      <c r="C254" s="32"/>
      <c r="D254" s="32"/>
      <c r="E254" s="33"/>
      <c r="F254" s="33"/>
    </row>
    <row r="255">
      <c r="C255" s="32"/>
      <c r="D255" s="32"/>
      <c r="E255" s="33"/>
      <c r="F255" s="33"/>
    </row>
    <row r="256">
      <c r="C256" s="32"/>
      <c r="D256" s="32"/>
      <c r="E256" s="33"/>
      <c r="F256" s="33"/>
    </row>
    <row r="257">
      <c r="C257" s="32"/>
      <c r="D257" s="32"/>
      <c r="E257" s="33"/>
      <c r="F257" s="33"/>
    </row>
    <row r="258">
      <c r="C258" s="32"/>
      <c r="D258" s="32"/>
      <c r="E258" s="33"/>
      <c r="F258" s="33"/>
    </row>
    <row r="259">
      <c r="C259" s="32"/>
      <c r="D259" s="32"/>
      <c r="E259" s="33"/>
      <c r="F259" s="33"/>
    </row>
    <row r="260">
      <c r="C260" s="32"/>
      <c r="D260" s="32"/>
      <c r="E260" s="33"/>
      <c r="F260" s="33"/>
    </row>
    <row r="261">
      <c r="C261" s="32"/>
      <c r="D261" s="32"/>
      <c r="E261" s="33"/>
      <c r="F261" s="33"/>
    </row>
    <row r="262">
      <c r="C262" s="32"/>
      <c r="D262" s="32"/>
      <c r="E262" s="33"/>
      <c r="F262" s="33"/>
    </row>
    <row r="263">
      <c r="C263" s="32"/>
      <c r="D263" s="32"/>
      <c r="E263" s="33"/>
      <c r="F263" s="33"/>
    </row>
    <row r="264">
      <c r="C264" s="32"/>
      <c r="D264" s="32"/>
      <c r="E264" s="33"/>
      <c r="F264" s="33"/>
    </row>
    <row r="265">
      <c r="C265" s="32"/>
      <c r="D265" s="32"/>
      <c r="E265" s="33"/>
      <c r="F265" s="33"/>
    </row>
    <row r="266">
      <c r="C266" s="32"/>
      <c r="D266" s="32"/>
      <c r="E266" s="33"/>
      <c r="F266" s="33"/>
    </row>
    <row r="267">
      <c r="C267" s="32"/>
      <c r="D267" s="32"/>
      <c r="E267" s="33"/>
      <c r="F267" s="33"/>
    </row>
    <row r="268">
      <c r="C268" s="32"/>
      <c r="D268" s="32"/>
      <c r="E268" s="33"/>
      <c r="F268" s="33"/>
    </row>
    <row r="269">
      <c r="C269" s="32"/>
      <c r="D269" s="32"/>
      <c r="E269" s="33"/>
      <c r="F269" s="33"/>
    </row>
    <row r="270">
      <c r="C270" s="32"/>
      <c r="D270" s="32"/>
      <c r="E270" s="33"/>
      <c r="F270" s="33"/>
    </row>
    <row r="271">
      <c r="C271" s="32"/>
      <c r="D271" s="32"/>
      <c r="E271" s="33"/>
      <c r="F271" s="33"/>
    </row>
    <row r="272">
      <c r="C272" s="32"/>
      <c r="D272" s="32"/>
      <c r="E272" s="33"/>
      <c r="F272" s="33"/>
    </row>
    <row r="273">
      <c r="C273" s="32"/>
      <c r="D273" s="32"/>
      <c r="E273" s="33"/>
      <c r="F273" s="33"/>
    </row>
    <row r="274">
      <c r="C274" s="32"/>
      <c r="D274" s="32"/>
      <c r="E274" s="33"/>
      <c r="F274" s="33"/>
    </row>
    <row r="275">
      <c r="C275" s="32"/>
      <c r="D275" s="32"/>
      <c r="E275" s="33"/>
      <c r="F275" s="33"/>
    </row>
    <row r="276">
      <c r="C276" s="32"/>
      <c r="D276" s="32"/>
      <c r="E276" s="33"/>
      <c r="F276" s="33"/>
    </row>
    <row r="277">
      <c r="C277" s="32"/>
      <c r="D277" s="32"/>
      <c r="E277" s="33"/>
      <c r="F277" s="33"/>
    </row>
    <row r="278">
      <c r="C278" s="32"/>
      <c r="D278" s="32"/>
      <c r="E278" s="33"/>
      <c r="F278" s="33"/>
    </row>
    <row r="279">
      <c r="C279" s="32"/>
      <c r="D279" s="32"/>
      <c r="E279" s="33"/>
      <c r="F279" s="33"/>
    </row>
    <row r="280">
      <c r="C280" s="32"/>
      <c r="D280" s="32"/>
      <c r="E280" s="33"/>
      <c r="F280" s="33"/>
    </row>
    <row r="281">
      <c r="C281" s="32"/>
      <c r="D281" s="32"/>
      <c r="E281" s="33"/>
      <c r="F281" s="33"/>
    </row>
    <row r="282">
      <c r="C282" s="32"/>
      <c r="D282" s="32"/>
      <c r="E282" s="33"/>
      <c r="F282" s="33"/>
    </row>
    <row r="283">
      <c r="C283" s="32"/>
      <c r="D283" s="32"/>
      <c r="E283" s="33"/>
      <c r="F283" s="33"/>
    </row>
    <row r="284">
      <c r="C284" s="32"/>
      <c r="D284" s="32"/>
      <c r="E284" s="33"/>
      <c r="F284" s="33"/>
    </row>
    <row r="285">
      <c r="C285" s="32"/>
      <c r="D285" s="32"/>
      <c r="E285" s="33"/>
      <c r="F285" s="33"/>
    </row>
    <row r="286">
      <c r="C286" s="32"/>
      <c r="D286" s="32"/>
      <c r="E286" s="33"/>
      <c r="F286" s="33"/>
    </row>
    <row r="287">
      <c r="C287" s="32"/>
      <c r="D287" s="32"/>
      <c r="E287" s="33"/>
      <c r="F287" s="33"/>
    </row>
    <row r="288">
      <c r="C288" s="32"/>
      <c r="D288" s="32"/>
      <c r="E288" s="33"/>
      <c r="F288" s="33"/>
    </row>
    <row r="289">
      <c r="C289" s="32"/>
      <c r="D289" s="32"/>
      <c r="E289" s="33"/>
      <c r="F289" s="33"/>
    </row>
    <row r="290">
      <c r="C290" s="32"/>
      <c r="D290" s="32"/>
      <c r="E290" s="33"/>
      <c r="F290" s="33"/>
    </row>
    <row r="291">
      <c r="C291" s="32"/>
      <c r="D291" s="32"/>
      <c r="E291" s="33"/>
      <c r="F291" s="33"/>
    </row>
    <row r="292">
      <c r="C292" s="32"/>
      <c r="D292" s="32"/>
      <c r="E292" s="33"/>
      <c r="F292" s="33"/>
    </row>
    <row r="293">
      <c r="C293" s="32"/>
      <c r="D293" s="32"/>
      <c r="E293" s="33"/>
      <c r="F293" s="33"/>
    </row>
    <row r="294">
      <c r="C294" s="32"/>
      <c r="D294" s="32"/>
      <c r="E294" s="33"/>
      <c r="F294" s="33"/>
    </row>
    <row r="295">
      <c r="C295" s="32"/>
      <c r="D295" s="32"/>
      <c r="E295" s="33"/>
      <c r="F295" s="33"/>
    </row>
    <row r="296">
      <c r="C296" s="32"/>
      <c r="D296" s="32"/>
      <c r="E296" s="33"/>
      <c r="F296" s="33"/>
    </row>
    <row r="297">
      <c r="C297" s="32"/>
      <c r="D297" s="32"/>
      <c r="E297" s="33"/>
      <c r="F297" s="33"/>
    </row>
    <row r="298">
      <c r="C298" s="32"/>
      <c r="D298" s="32"/>
      <c r="E298" s="33"/>
      <c r="F298" s="33"/>
    </row>
    <row r="299">
      <c r="C299" s="32"/>
      <c r="D299" s="32"/>
      <c r="E299" s="33"/>
      <c r="F299" s="33"/>
    </row>
    <row r="300">
      <c r="C300" s="32"/>
      <c r="D300" s="32"/>
      <c r="E300" s="33"/>
      <c r="F300" s="33"/>
    </row>
    <row r="301">
      <c r="C301" s="32"/>
      <c r="D301" s="32"/>
      <c r="E301" s="33"/>
      <c r="F301" s="33"/>
    </row>
    <row r="302">
      <c r="C302" s="32"/>
      <c r="D302" s="32"/>
      <c r="E302" s="33"/>
      <c r="F302" s="33"/>
    </row>
    <row r="303">
      <c r="C303" s="32"/>
      <c r="D303" s="32"/>
      <c r="E303" s="33"/>
      <c r="F303" s="33"/>
    </row>
    <row r="304">
      <c r="C304" s="32"/>
      <c r="D304" s="32"/>
      <c r="E304" s="33"/>
      <c r="F304" s="33"/>
    </row>
    <row r="305">
      <c r="C305" s="32"/>
      <c r="D305" s="32"/>
      <c r="E305" s="33"/>
      <c r="F305" s="33"/>
    </row>
    <row r="306">
      <c r="C306" s="32"/>
      <c r="D306" s="32"/>
      <c r="E306" s="33"/>
      <c r="F306" s="33"/>
    </row>
    <row r="307">
      <c r="C307" s="32"/>
      <c r="D307" s="32"/>
      <c r="E307" s="33"/>
      <c r="F307" s="33"/>
    </row>
    <row r="308">
      <c r="C308" s="32"/>
      <c r="D308" s="32"/>
      <c r="E308" s="33"/>
      <c r="F308" s="33"/>
    </row>
    <row r="309">
      <c r="C309" s="32"/>
      <c r="D309" s="32"/>
      <c r="E309" s="33"/>
      <c r="F309" s="33"/>
    </row>
    <row r="310">
      <c r="C310" s="32"/>
      <c r="D310" s="32"/>
      <c r="E310" s="33"/>
      <c r="F310" s="33"/>
    </row>
    <row r="311">
      <c r="C311" s="32"/>
      <c r="D311" s="32"/>
      <c r="E311" s="33"/>
      <c r="F311" s="33"/>
    </row>
    <row r="312">
      <c r="C312" s="32"/>
      <c r="D312" s="32"/>
      <c r="E312" s="33"/>
      <c r="F312" s="33"/>
    </row>
    <row r="313">
      <c r="C313" s="32"/>
      <c r="D313" s="32"/>
      <c r="E313" s="33"/>
      <c r="F313" s="33"/>
    </row>
    <row r="314">
      <c r="C314" s="32"/>
      <c r="D314" s="32"/>
      <c r="E314" s="33"/>
      <c r="F314" s="33"/>
    </row>
    <row r="315">
      <c r="C315" s="32"/>
      <c r="D315" s="32"/>
      <c r="E315" s="33"/>
      <c r="F315" s="33"/>
    </row>
    <row r="316">
      <c r="C316" s="32"/>
      <c r="D316" s="32"/>
      <c r="E316" s="33"/>
      <c r="F316" s="33"/>
    </row>
    <row r="317">
      <c r="C317" s="32"/>
      <c r="D317" s="32"/>
      <c r="E317" s="33"/>
      <c r="F317" s="33"/>
    </row>
    <row r="318">
      <c r="C318" s="32"/>
      <c r="D318" s="32"/>
      <c r="E318" s="33"/>
      <c r="F318" s="33"/>
    </row>
    <row r="319">
      <c r="C319" s="32"/>
      <c r="D319" s="32"/>
      <c r="E319" s="33"/>
      <c r="F319" s="33"/>
    </row>
    <row r="320">
      <c r="C320" s="32"/>
      <c r="D320" s="32"/>
      <c r="E320" s="33"/>
      <c r="F320" s="33"/>
    </row>
    <row r="321">
      <c r="C321" s="32"/>
      <c r="D321" s="32"/>
      <c r="E321" s="33"/>
      <c r="F321" s="33"/>
    </row>
    <row r="322">
      <c r="C322" s="32"/>
      <c r="D322" s="32"/>
      <c r="E322" s="33"/>
      <c r="F322" s="33"/>
    </row>
    <row r="323">
      <c r="C323" s="32"/>
      <c r="D323" s="32"/>
      <c r="E323" s="33"/>
      <c r="F323" s="33"/>
    </row>
    <row r="324">
      <c r="C324" s="32"/>
      <c r="D324" s="32"/>
      <c r="E324" s="33"/>
      <c r="F324" s="33"/>
    </row>
    <row r="325">
      <c r="C325" s="32"/>
      <c r="D325" s="32"/>
      <c r="E325" s="33"/>
      <c r="F325" s="33"/>
    </row>
    <row r="326">
      <c r="C326" s="32"/>
      <c r="D326" s="32"/>
      <c r="E326" s="33"/>
      <c r="F326" s="33"/>
    </row>
    <row r="327">
      <c r="C327" s="32"/>
      <c r="D327" s="32"/>
      <c r="E327" s="33"/>
      <c r="F327" s="33"/>
    </row>
    <row r="328">
      <c r="C328" s="32"/>
      <c r="D328" s="32"/>
      <c r="E328" s="33"/>
      <c r="F328" s="33"/>
    </row>
    <row r="329">
      <c r="C329" s="32"/>
      <c r="D329" s="32"/>
      <c r="E329" s="33"/>
      <c r="F329" s="33"/>
    </row>
    <row r="330">
      <c r="C330" s="32"/>
      <c r="D330" s="32"/>
      <c r="E330" s="33"/>
      <c r="F330" s="33"/>
    </row>
    <row r="331">
      <c r="C331" s="32"/>
      <c r="D331" s="32"/>
      <c r="E331" s="33"/>
      <c r="F331" s="33"/>
    </row>
    <row r="332">
      <c r="C332" s="32"/>
      <c r="D332" s="32"/>
      <c r="E332" s="33"/>
      <c r="F332" s="33"/>
    </row>
    <row r="333">
      <c r="C333" s="32"/>
      <c r="D333" s="32"/>
      <c r="E333" s="33"/>
      <c r="F333" s="33"/>
    </row>
    <row r="334">
      <c r="C334" s="32"/>
      <c r="D334" s="32"/>
      <c r="E334" s="33"/>
      <c r="F334" s="33"/>
    </row>
    <row r="335">
      <c r="C335" s="32"/>
      <c r="D335" s="32"/>
      <c r="E335" s="33"/>
      <c r="F335" s="33"/>
    </row>
    <row r="336">
      <c r="C336" s="32"/>
      <c r="D336" s="32"/>
      <c r="E336" s="33"/>
      <c r="F336" s="33"/>
    </row>
    <row r="337">
      <c r="C337" s="32"/>
      <c r="D337" s="32"/>
      <c r="E337" s="33"/>
      <c r="F337" s="33"/>
    </row>
    <row r="338">
      <c r="C338" s="32"/>
      <c r="D338" s="32"/>
      <c r="E338" s="33"/>
      <c r="F338" s="33"/>
    </row>
    <row r="339">
      <c r="C339" s="32"/>
      <c r="D339" s="32"/>
      <c r="E339" s="33"/>
      <c r="F339" s="33"/>
    </row>
    <row r="340">
      <c r="C340" s="32"/>
      <c r="D340" s="32"/>
      <c r="E340" s="33"/>
      <c r="F340" s="33"/>
    </row>
    <row r="341">
      <c r="C341" s="32"/>
      <c r="D341" s="32"/>
      <c r="E341" s="33"/>
      <c r="F341" s="33"/>
    </row>
    <row r="342">
      <c r="C342" s="32"/>
      <c r="D342" s="32"/>
      <c r="E342" s="33"/>
      <c r="F342" s="33"/>
    </row>
    <row r="343">
      <c r="C343" s="32"/>
      <c r="D343" s="32"/>
      <c r="E343" s="33"/>
      <c r="F343" s="33"/>
    </row>
    <row r="344">
      <c r="C344" s="32"/>
      <c r="D344" s="32"/>
      <c r="E344" s="33"/>
      <c r="F344" s="33"/>
    </row>
    <row r="345">
      <c r="C345" s="32"/>
      <c r="D345" s="32"/>
      <c r="E345" s="33"/>
      <c r="F345" s="33"/>
    </row>
    <row r="346">
      <c r="C346" s="32"/>
      <c r="D346" s="32"/>
      <c r="E346" s="33"/>
      <c r="F346" s="33"/>
    </row>
    <row r="347">
      <c r="C347" s="32"/>
      <c r="D347" s="32"/>
      <c r="E347" s="33"/>
      <c r="F347" s="33"/>
    </row>
    <row r="348">
      <c r="C348" s="32"/>
      <c r="D348" s="32"/>
      <c r="E348" s="33"/>
      <c r="F348" s="33"/>
    </row>
    <row r="349">
      <c r="C349" s="32"/>
      <c r="D349" s="32"/>
      <c r="E349" s="33"/>
      <c r="F349" s="33"/>
    </row>
    <row r="350">
      <c r="C350" s="32"/>
      <c r="D350" s="32"/>
      <c r="E350" s="33"/>
      <c r="F350" s="33"/>
    </row>
    <row r="351">
      <c r="C351" s="32"/>
      <c r="D351" s="32"/>
      <c r="E351" s="33"/>
      <c r="F351" s="33"/>
    </row>
    <row r="352">
      <c r="C352" s="32"/>
      <c r="D352" s="32"/>
      <c r="E352" s="33"/>
      <c r="F352" s="33"/>
    </row>
    <row r="353">
      <c r="C353" s="32"/>
      <c r="D353" s="32"/>
      <c r="E353" s="33"/>
      <c r="F353" s="33"/>
    </row>
    <row r="354">
      <c r="C354" s="32"/>
      <c r="D354" s="32"/>
      <c r="E354" s="33"/>
      <c r="F354" s="33"/>
    </row>
    <row r="355">
      <c r="C355" s="32"/>
      <c r="D355" s="32"/>
      <c r="E355" s="33"/>
      <c r="F355" s="33"/>
    </row>
    <row r="356">
      <c r="C356" s="32"/>
      <c r="D356" s="32"/>
      <c r="E356" s="33"/>
      <c r="F356" s="33"/>
    </row>
    <row r="357">
      <c r="C357" s="32"/>
      <c r="D357" s="32"/>
      <c r="E357" s="33"/>
      <c r="F357" s="33"/>
    </row>
    <row r="358">
      <c r="C358" s="32"/>
      <c r="D358" s="32"/>
      <c r="E358" s="33"/>
      <c r="F358" s="33"/>
    </row>
    <row r="359">
      <c r="C359" s="32"/>
      <c r="D359" s="32"/>
      <c r="E359" s="33"/>
      <c r="F359" s="33"/>
    </row>
    <row r="360">
      <c r="C360" s="32"/>
      <c r="D360" s="32"/>
      <c r="E360" s="33"/>
      <c r="F360" s="33"/>
    </row>
    <row r="361">
      <c r="C361" s="32"/>
      <c r="D361" s="32"/>
      <c r="E361" s="33"/>
      <c r="F361" s="33"/>
    </row>
    <row r="362">
      <c r="C362" s="32"/>
      <c r="D362" s="32"/>
      <c r="E362" s="33"/>
      <c r="F362" s="33"/>
    </row>
    <row r="363">
      <c r="C363" s="32"/>
      <c r="D363" s="32"/>
      <c r="E363" s="33"/>
      <c r="F363" s="33"/>
    </row>
    <row r="364">
      <c r="C364" s="32"/>
      <c r="D364" s="32"/>
      <c r="E364" s="33"/>
      <c r="F364" s="33"/>
    </row>
    <row r="365">
      <c r="C365" s="32"/>
      <c r="D365" s="32"/>
      <c r="E365" s="33"/>
      <c r="F365" s="33"/>
    </row>
    <row r="366">
      <c r="C366" s="32"/>
      <c r="D366" s="32"/>
      <c r="E366" s="33"/>
      <c r="F366" s="33"/>
    </row>
    <row r="367">
      <c r="C367" s="32"/>
      <c r="D367" s="32"/>
      <c r="E367" s="33"/>
      <c r="F367" s="33"/>
    </row>
    <row r="368">
      <c r="C368" s="32"/>
      <c r="D368" s="32"/>
      <c r="E368" s="33"/>
      <c r="F368" s="33"/>
    </row>
    <row r="369">
      <c r="C369" s="32"/>
      <c r="D369" s="32"/>
      <c r="E369" s="33"/>
      <c r="F369" s="33"/>
    </row>
    <row r="370">
      <c r="C370" s="32"/>
      <c r="D370" s="32"/>
      <c r="E370" s="33"/>
      <c r="F370" s="33"/>
    </row>
    <row r="371">
      <c r="C371" s="32"/>
      <c r="D371" s="32"/>
      <c r="E371" s="33"/>
      <c r="F371" s="33"/>
    </row>
    <row r="372">
      <c r="C372" s="32"/>
      <c r="D372" s="32"/>
      <c r="E372" s="33"/>
      <c r="F372" s="33"/>
    </row>
    <row r="373">
      <c r="C373" s="32"/>
      <c r="D373" s="32"/>
      <c r="E373" s="33"/>
      <c r="F373" s="33"/>
    </row>
    <row r="374">
      <c r="C374" s="32"/>
      <c r="D374" s="32"/>
      <c r="E374" s="33"/>
      <c r="F374" s="33"/>
    </row>
    <row r="375">
      <c r="C375" s="32"/>
      <c r="D375" s="32"/>
      <c r="E375" s="33"/>
      <c r="F375" s="33"/>
    </row>
    <row r="376">
      <c r="C376" s="32"/>
      <c r="D376" s="32"/>
      <c r="E376" s="33"/>
      <c r="F376" s="33"/>
    </row>
    <row r="377">
      <c r="C377" s="32"/>
      <c r="D377" s="32"/>
      <c r="E377" s="33"/>
      <c r="F377" s="33"/>
    </row>
    <row r="378">
      <c r="C378" s="32"/>
      <c r="D378" s="32"/>
      <c r="E378" s="33"/>
      <c r="F378" s="33"/>
    </row>
    <row r="379">
      <c r="C379" s="32"/>
      <c r="D379" s="32"/>
      <c r="E379" s="33"/>
      <c r="F379" s="33"/>
    </row>
    <row r="380">
      <c r="C380" s="32"/>
      <c r="D380" s="32"/>
      <c r="E380" s="33"/>
      <c r="F380" s="33"/>
    </row>
    <row r="381">
      <c r="C381" s="32"/>
      <c r="D381" s="32"/>
      <c r="E381" s="33"/>
      <c r="F381" s="33"/>
    </row>
    <row r="382">
      <c r="C382" s="32"/>
      <c r="D382" s="32"/>
      <c r="E382" s="33"/>
      <c r="F382" s="33"/>
    </row>
    <row r="383">
      <c r="C383" s="32"/>
      <c r="D383" s="32"/>
      <c r="E383" s="33"/>
      <c r="F383" s="33"/>
    </row>
    <row r="384">
      <c r="C384" s="32"/>
      <c r="D384" s="32"/>
      <c r="E384" s="33"/>
      <c r="F384" s="33"/>
    </row>
    <row r="385">
      <c r="C385" s="32"/>
      <c r="D385" s="32"/>
      <c r="E385" s="33"/>
      <c r="F385" s="33"/>
    </row>
    <row r="386">
      <c r="C386" s="32"/>
      <c r="D386" s="32"/>
      <c r="E386" s="33"/>
      <c r="F386" s="33"/>
    </row>
    <row r="387">
      <c r="C387" s="32"/>
      <c r="D387" s="32"/>
      <c r="E387" s="33"/>
      <c r="F387" s="33"/>
    </row>
    <row r="388">
      <c r="C388" s="32"/>
      <c r="D388" s="32"/>
      <c r="E388" s="33"/>
      <c r="F388" s="33"/>
    </row>
    <row r="389">
      <c r="C389" s="32"/>
      <c r="D389" s="32"/>
      <c r="E389" s="33"/>
      <c r="F389" s="33"/>
    </row>
    <row r="390">
      <c r="C390" s="32"/>
      <c r="D390" s="32"/>
      <c r="E390" s="33"/>
      <c r="F390" s="33"/>
    </row>
    <row r="391">
      <c r="C391" s="32"/>
      <c r="D391" s="32"/>
      <c r="E391" s="33"/>
      <c r="F391" s="33"/>
    </row>
    <row r="392">
      <c r="C392" s="32"/>
      <c r="D392" s="32"/>
      <c r="E392" s="33"/>
      <c r="F392" s="33"/>
    </row>
    <row r="393">
      <c r="C393" s="32"/>
      <c r="D393" s="32"/>
      <c r="E393" s="33"/>
      <c r="F393" s="33"/>
    </row>
    <row r="394">
      <c r="C394" s="32"/>
      <c r="D394" s="32"/>
      <c r="E394" s="33"/>
      <c r="F394" s="33"/>
    </row>
    <row r="395">
      <c r="C395" s="32"/>
      <c r="D395" s="32"/>
      <c r="E395" s="33"/>
      <c r="F395" s="33"/>
    </row>
    <row r="396">
      <c r="C396" s="32"/>
      <c r="D396" s="32"/>
      <c r="E396" s="33"/>
      <c r="F396" s="33"/>
    </row>
    <row r="397">
      <c r="C397" s="32"/>
      <c r="D397" s="32"/>
      <c r="E397" s="33"/>
      <c r="F397" s="33"/>
    </row>
    <row r="398">
      <c r="C398" s="32"/>
      <c r="D398" s="32"/>
      <c r="E398" s="33"/>
      <c r="F398" s="33"/>
    </row>
    <row r="399">
      <c r="C399" s="32"/>
      <c r="D399" s="32"/>
      <c r="E399" s="33"/>
      <c r="F399" s="33"/>
    </row>
    <row r="400">
      <c r="C400" s="32"/>
      <c r="D400" s="32"/>
      <c r="E400" s="33"/>
      <c r="F400" s="33"/>
    </row>
    <row r="401">
      <c r="C401" s="32"/>
      <c r="D401" s="32"/>
      <c r="E401" s="33"/>
      <c r="F401" s="33"/>
    </row>
    <row r="402">
      <c r="C402" s="32"/>
      <c r="D402" s="32"/>
      <c r="E402" s="33"/>
      <c r="F402" s="33"/>
    </row>
    <row r="403">
      <c r="C403" s="32"/>
      <c r="D403" s="32"/>
      <c r="E403" s="33"/>
      <c r="F403" s="33"/>
    </row>
    <row r="404">
      <c r="C404" s="32"/>
      <c r="D404" s="32"/>
      <c r="E404" s="33"/>
      <c r="F404" s="33"/>
    </row>
    <row r="405">
      <c r="C405" s="32"/>
      <c r="D405" s="32"/>
      <c r="E405" s="33"/>
      <c r="F405" s="33"/>
    </row>
    <row r="406">
      <c r="C406" s="32"/>
      <c r="D406" s="32"/>
      <c r="E406" s="33"/>
      <c r="F406" s="33"/>
    </row>
    <row r="407">
      <c r="C407" s="32"/>
      <c r="D407" s="32"/>
      <c r="E407" s="33"/>
      <c r="F407" s="33"/>
    </row>
    <row r="408">
      <c r="C408" s="32"/>
      <c r="D408" s="32"/>
      <c r="E408" s="33"/>
      <c r="F408" s="33"/>
    </row>
    <row r="409">
      <c r="C409" s="32"/>
      <c r="D409" s="32"/>
      <c r="E409" s="33"/>
      <c r="F409" s="33"/>
    </row>
    <row r="410">
      <c r="C410" s="32"/>
      <c r="D410" s="32"/>
      <c r="E410" s="33"/>
      <c r="F410" s="33"/>
    </row>
    <row r="411">
      <c r="C411" s="32"/>
      <c r="D411" s="32"/>
      <c r="E411" s="33"/>
      <c r="F411" s="33"/>
    </row>
    <row r="412">
      <c r="C412" s="32"/>
      <c r="D412" s="32"/>
      <c r="E412" s="33"/>
      <c r="F412" s="33"/>
    </row>
    <row r="413">
      <c r="C413" s="32"/>
      <c r="D413" s="32"/>
      <c r="E413" s="33"/>
      <c r="F413" s="33"/>
    </row>
    <row r="414">
      <c r="C414" s="32"/>
      <c r="D414" s="32"/>
      <c r="E414" s="33"/>
      <c r="F414" s="33"/>
    </row>
    <row r="415">
      <c r="C415" s="32"/>
      <c r="D415" s="32"/>
      <c r="E415" s="33"/>
      <c r="F415" s="33"/>
    </row>
    <row r="416">
      <c r="C416" s="32"/>
      <c r="D416" s="32"/>
      <c r="E416" s="33"/>
      <c r="F416" s="33"/>
    </row>
    <row r="417">
      <c r="C417" s="32"/>
      <c r="D417" s="32"/>
      <c r="E417" s="33"/>
      <c r="F417" s="33"/>
    </row>
    <row r="418">
      <c r="C418" s="32"/>
      <c r="D418" s="32"/>
      <c r="E418" s="33"/>
      <c r="F418" s="33"/>
    </row>
    <row r="419">
      <c r="C419" s="32"/>
      <c r="D419" s="32"/>
      <c r="E419" s="33"/>
      <c r="F419" s="33"/>
    </row>
    <row r="420">
      <c r="C420" s="32"/>
      <c r="D420" s="32"/>
      <c r="E420" s="33"/>
      <c r="F420" s="33"/>
    </row>
    <row r="421">
      <c r="C421" s="32"/>
      <c r="D421" s="32"/>
      <c r="E421" s="33"/>
      <c r="F421" s="33"/>
    </row>
    <row r="422">
      <c r="C422" s="32"/>
      <c r="D422" s="32"/>
      <c r="E422" s="33"/>
      <c r="F422" s="33"/>
    </row>
    <row r="423">
      <c r="C423" s="32"/>
      <c r="D423" s="32"/>
      <c r="E423" s="33"/>
      <c r="F423" s="33"/>
    </row>
    <row r="424">
      <c r="C424" s="32"/>
      <c r="D424" s="32"/>
      <c r="E424" s="33"/>
      <c r="F424" s="33"/>
    </row>
    <row r="425">
      <c r="C425" s="32"/>
      <c r="D425" s="32"/>
      <c r="E425" s="33"/>
      <c r="F425" s="33"/>
    </row>
    <row r="426">
      <c r="C426" s="32"/>
      <c r="D426" s="32"/>
      <c r="E426" s="33"/>
      <c r="F426" s="33"/>
    </row>
    <row r="427">
      <c r="C427" s="32"/>
      <c r="D427" s="32"/>
      <c r="E427" s="33"/>
      <c r="F427" s="33"/>
    </row>
    <row r="428">
      <c r="C428" s="32"/>
      <c r="D428" s="32"/>
      <c r="E428" s="33"/>
      <c r="F428" s="33"/>
    </row>
    <row r="429">
      <c r="C429" s="32"/>
      <c r="D429" s="32"/>
      <c r="E429" s="33"/>
      <c r="F429" s="33"/>
    </row>
    <row r="430">
      <c r="C430" s="32"/>
      <c r="D430" s="32"/>
      <c r="E430" s="33"/>
      <c r="F430" s="33"/>
    </row>
    <row r="431">
      <c r="C431" s="32"/>
      <c r="D431" s="32"/>
      <c r="E431" s="33"/>
      <c r="F431" s="33"/>
    </row>
    <row r="432">
      <c r="C432" s="32"/>
      <c r="D432" s="32"/>
      <c r="E432" s="33"/>
      <c r="F432" s="33"/>
    </row>
    <row r="433">
      <c r="C433" s="32"/>
      <c r="D433" s="32"/>
      <c r="E433" s="33"/>
      <c r="F433" s="33"/>
    </row>
    <row r="434">
      <c r="C434" s="32"/>
      <c r="D434" s="32"/>
      <c r="E434" s="33"/>
      <c r="F434" s="33"/>
    </row>
    <row r="435">
      <c r="C435" s="32"/>
      <c r="D435" s="32"/>
      <c r="E435" s="33"/>
      <c r="F435" s="33"/>
    </row>
    <row r="436">
      <c r="C436" s="32"/>
      <c r="D436" s="32"/>
      <c r="E436" s="33"/>
      <c r="F436" s="33"/>
    </row>
    <row r="437">
      <c r="C437" s="32"/>
      <c r="D437" s="32"/>
      <c r="E437" s="33"/>
      <c r="F437" s="33"/>
    </row>
    <row r="438">
      <c r="C438" s="32"/>
      <c r="D438" s="32"/>
      <c r="E438" s="33"/>
      <c r="F438" s="33"/>
    </row>
    <row r="439">
      <c r="C439" s="32"/>
      <c r="D439" s="32"/>
      <c r="E439" s="33"/>
      <c r="F439" s="33"/>
    </row>
    <row r="440">
      <c r="C440" s="32"/>
      <c r="D440" s="32"/>
      <c r="E440" s="33"/>
      <c r="F440" s="33"/>
    </row>
    <row r="441">
      <c r="C441" s="32"/>
      <c r="D441" s="32"/>
      <c r="E441" s="33"/>
      <c r="F441" s="33"/>
    </row>
    <row r="442">
      <c r="C442" s="32"/>
      <c r="D442" s="32"/>
      <c r="E442" s="33"/>
      <c r="F442" s="33"/>
    </row>
    <row r="443">
      <c r="C443" s="32"/>
      <c r="D443" s="32"/>
      <c r="E443" s="33"/>
      <c r="F443" s="33"/>
    </row>
    <row r="444">
      <c r="C444" s="32"/>
      <c r="D444" s="32"/>
      <c r="E444" s="33"/>
      <c r="F444" s="33"/>
    </row>
    <row r="445">
      <c r="C445" s="32"/>
      <c r="D445" s="32"/>
      <c r="E445" s="33"/>
      <c r="F445" s="33"/>
    </row>
    <row r="446">
      <c r="C446" s="32"/>
      <c r="D446" s="32"/>
      <c r="E446" s="33"/>
      <c r="F446" s="33"/>
    </row>
    <row r="447">
      <c r="C447" s="32"/>
      <c r="D447" s="32"/>
      <c r="E447" s="33"/>
      <c r="F447" s="33"/>
    </row>
    <row r="448">
      <c r="C448" s="32"/>
      <c r="D448" s="32"/>
      <c r="E448" s="33"/>
      <c r="F448" s="33"/>
    </row>
    <row r="449">
      <c r="C449" s="32"/>
      <c r="D449" s="32"/>
      <c r="E449" s="33"/>
      <c r="F449" s="33"/>
    </row>
    <row r="450">
      <c r="C450" s="32"/>
      <c r="D450" s="32"/>
      <c r="E450" s="33"/>
      <c r="F450" s="33"/>
    </row>
    <row r="451">
      <c r="C451" s="32"/>
      <c r="D451" s="32"/>
      <c r="E451" s="33"/>
      <c r="F451" s="33"/>
    </row>
    <row r="452">
      <c r="C452" s="32"/>
      <c r="D452" s="32"/>
      <c r="E452" s="33"/>
      <c r="F452" s="33"/>
    </row>
    <row r="453">
      <c r="C453" s="32"/>
      <c r="D453" s="32"/>
      <c r="E453" s="33"/>
      <c r="F453" s="33"/>
    </row>
    <row r="454">
      <c r="C454" s="32"/>
      <c r="D454" s="32"/>
      <c r="E454" s="33"/>
      <c r="F454" s="33"/>
    </row>
    <row r="455">
      <c r="C455" s="32"/>
      <c r="D455" s="32"/>
      <c r="E455" s="33"/>
      <c r="F455" s="33"/>
    </row>
    <row r="456">
      <c r="C456" s="32"/>
      <c r="D456" s="32"/>
      <c r="E456" s="33"/>
      <c r="F456" s="33"/>
    </row>
    <row r="457">
      <c r="C457" s="32"/>
      <c r="D457" s="32"/>
      <c r="E457" s="33"/>
      <c r="F457" s="33"/>
    </row>
    <row r="458">
      <c r="C458" s="32"/>
      <c r="D458" s="32"/>
      <c r="E458" s="33"/>
      <c r="F458" s="33"/>
    </row>
    <row r="459">
      <c r="C459" s="32"/>
      <c r="D459" s="32"/>
      <c r="E459" s="33"/>
      <c r="F459" s="33"/>
    </row>
    <row r="460">
      <c r="C460" s="32"/>
      <c r="D460" s="32"/>
      <c r="E460" s="33"/>
      <c r="F460" s="33"/>
    </row>
    <row r="461">
      <c r="C461" s="32"/>
      <c r="D461" s="32"/>
      <c r="E461" s="33"/>
      <c r="F461" s="33"/>
    </row>
    <row r="462">
      <c r="C462" s="32"/>
      <c r="D462" s="32"/>
      <c r="E462" s="33"/>
      <c r="F462" s="33"/>
    </row>
    <row r="463">
      <c r="C463" s="32"/>
      <c r="D463" s="32"/>
      <c r="E463" s="33"/>
      <c r="F463" s="33"/>
    </row>
    <row r="464">
      <c r="C464" s="32"/>
      <c r="D464" s="32"/>
      <c r="E464" s="33"/>
      <c r="F464" s="33"/>
    </row>
    <row r="465">
      <c r="C465" s="32"/>
      <c r="D465" s="32"/>
      <c r="E465" s="33"/>
      <c r="F465" s="33"/>
    </row>
    <row r="466">
      <c r="C466" s="32"/>
      <c r="D466" s="32"/>
      <c r="E466" s="33"/>
      <c r="F466" s="33"/>
    </row>
    <row r="467">
      <c r="C467" s="32"/>
      <c r="D467" s="32"/>
      <c r="E467" s="33"/>
      <c r="F467" s="33"/>
    </row>
    <row r="468">
      <c r="C468" s="32"/>
      <c r="D468" s="32"/>
      <c r="E468" s="33"/>
      <c r="F468" s="33"/>
    </row>
    <row r="469">
      <c r="C469" s="32"/>
      <c r="D469" s="32"/>
      <c r="E469" s="33"/>
      <c r="F469" s="33"/>
    </row>
    <row r="470">
      <c r="C470" s="32"/>
      <c r="D470" s="32"/>
      <c r="E470" s="33"/>
      <c r="F470" s="33"/>
    </row>
    <row r="471">
      <c r="C471" s="32"/>
      <c r="D471" s="32"/>
      <c r="E471" s="33"/>
      <c r="F471" s="33"/>
    </row>
    <row r="472">
      <c r="C472" s="32"/>
      <c r="D472" s="32"/>
      <c r="E472" s="33"/>
      <c r="F472" s="33"/>
    </row>
    <row r="473">
      <c r="C473" s="32"/>
      <c r="D473" s="32"/>
      <c r="E473" s="33"/>
      <c r="F473" s="33"/>
    </row>
    <row r="474">
      <c r="C474" s="32"/>
      <c r="D474" s="32"/>
      <c r="E474" s="33"/>
      <c r="F474" s="33"/>
    </row>
    <row r="475">
      <c r="C475" s="32"/>
      <c r="D475" s="32"/>
      <c r="E475" s="33"/>
      <c r="F475" s="33"/>
    </row>
    <row r="476">
      <c r="C476" s="32"/>
      <c r="D476" s="32"/>
      <c r="E476" s="33"/>
      <c r="F476" s="33"/>
    </row>
    <row r="477">
      <c r="C477" s="32"/>
      <c r="D477" s="32"/>
      <c r="E477" s="33"/>
      <c r="F477" s="33"/>
    </row>
    <row r="478">
      <c r="C478" s="32"/>
      <c r="D478" s="32"/>
      <c r="E478" s="33"/>
      <c r="F478" s="33"/>
    </row>
    <row r="479">
      <c r="C479" s="32"/>
      <c r="D479" s="32"/>
      <c r="E479" s="33"/>
      <c r="F479" s="33"/>
    </row>
    <row r="480">
      <c r="C480" s="32"/>
      <c r="D480" s="32"/>
      <c r="E480" s="33"/>
      <c r="F480" s="33"/>
    </row>
    <row r="481">
      <c r="C481" s="32"/>
      <c r="D481" s="32"/>
      <c r="E481" s="33"/>
      <c r="F481" s="33"/>
    </row>
    <row r="482">
      <c r="C482" s="32"/>
      <c r="D482" s="32"/>
      <c r="E482" s="33"/>
      <c r="F482" s="33"/>
    </row>
    <row r="483">
      <c r="C483" s="32"/>
      <c r="D483" s="32"/>
      <c r="E483" s="33"/>
      <c r="F483" s="33"/>
    </row>
    <row r="484">
      <c r="C484" s="32"/>
      <c r="D484" s="32"/>
      <c r="E484" s="33"/>
      <c r="F484" s="33"/>
    </row>
    <row r="485">
      <c r="C485" s="32"/>
      <c r="D485" s="32"/>
      <c r="E485" s="33"/>
      <c r="F485" s="33"/>
    </row>
    <row r="486">
      <c r="C486" s="32"/>
      <c r="D486" s="32"/>
      <c r="E486" s="33"/>
      <c r="F486" s="33"/>
    </row>
    <row r="487">
      <c r="C487" s="32"/>
      <c r="D487" s="32"/>
      <c r="E487" s="33"/>
      <c r="F487" s="33"/>
    </row>
    <row r="488">
      <c r="C488" s="32"/>
      <c r="D488" s="32"/>
      <c r="E488" s="33"/>
      <c r="F488" s="33"/>
    </row>
    <row r="489">
      <c r="C489" s="32"/>
      <c r="D489" s="32"/>
      <c r="E489" s="33"/>
      <c r="F489" s="33"/>
    </row>
    <row r="490">
      <c r="C490" s="32"/>
      <c r="D490" s="32"/>
      <c r="E490" s="33"/>
      <c r="F490" s="33"/>
    </row>
    <row r="491">
      <c r="C491" s="32"/>
      <c r="D491" s="32"/>
      <c r="E491" s="33"/>
      <c r="F491" s="33"/>
    </row>
    <row r="492">
      <c r="C492" s="32"/>
      <c r="D492" s="32"/>
      <c r="E492" s="33"/>
      <c r="F492" s="33"/>
    </row>
    <row r="493">
      <c r="C493" s="32"/>
      <c r="D493" s="32"/>
      <c r="E493" s="33"/>
      <c r="F493" s="33"/>
    </row>
    <row r="494">
      <c r="C494" s="32"/>
      <c r="D494" s="32"/>
      <c r="E494" s="33"/>
      <c r="F494" s="33"/>
    </row>
    <row r="495">
      <c r="C495" s="32"/>
      <c r="D495" s="32"/>
      <c r="E495" s="33"/>
      <c r="F495" s="33"/>
    </row>
    <row r="496">
      <c r="C496" s="32"/>
      <c r="D496" s="32"/>
      <c r="E496" s="33"/>
      <c r="F496" s="33"/>
    </row>
    <row r="497">
      <c r="C497" s="32"/>
      <c r="D497" s="32"/>
      <c r="E497" s="33"/>
      <c r="F497" s="33"/>
    </row>
    <row r="498">
      <c r="C498" s="32"/>
      <c r="D498" s="32"/>
      <c r="E498" s="33"/>
      <c r="F498" s="33"/>
    </row>
    <row r="499">
      <c r="C499" s="32"/>
      <c r="D499" s="32"/>
      <c r="E499" s="33"/>
      <c r="F499" s="33"/>
    </row>
    <row r="500">
      <c r="C500" s="32"/>
      <c r="D500" s="32"/>
      <c r="E500" s="33"/>
      <c r="F500" s="33"/>
    </row>
    <row r="501">
      <c r="C501" s="32"/>
      <c r="D501" s="32"/>
      <c r="E501" s="33"/>
      <c r="F501" s="33"/>
    </row>
    <row r="502">
      <c r="C502" s="32"/>
      <c r="D502" s="32"/>
      <c r="E502" s="33"/>
      <c r="F502" s="33"/>
    </row>
    <row r="503">
      <c r="C503" s="32"/>
      <c r="D503" s="32"/>
      <c r="E503" s="33"/>
      <c r="F503" s="33"/>
    </row>
    <row r="504">
      <c r="C504" s="32"/>
      <c r="D504" s="32"/>
      <c r="E504" s="33"/>
      <c r="F504" s="33"/>
    </row>
    <row r="505">
      <c r="C505" s="32"/>
      <c r="D505" s="32"/>
      <c r="E505" s="33"/>
      <c r="F505" s="33"/>
    </row>
    <row r="506">
      <c r="C506" s="32"/>
      <c r="D506" s="32"/>
      <c r="E506" s="33"/>
      <c r="F506" s="33"/>
    </row>
    <row r="507">
      <c r="C507" s="32"/>
      <c r="D507" s="32"/>
      <c r="E507" s="33"/>
      <c r="F507" s="33"/>
    </row>
    <row r="508">
      <c r="C508" s="32"/>
      <c r="D508" s="32"/>
      <c r="E508" s="33"/>
      <c r="F508" s="33"/>
    </row>
    <row r="509">
      <c r="C509" s="32"/>
      <c r="D509" s="32"/>
      <c r="E509" s="33"/>
      <c r="F509" s="33"/>
    </row>
    <row r="510">
      <c r="C510" s="32"/>
      <c r="D510" s="32"/>
      <c r="E510" s="33"/>
      <c r="F510" s="33"/>
    </row>
    <row r="511">
      <c r="C511" s="32"/>
      <c r="D511" s="32"/>
      <c r="E511" s="33"/>
      <c r="F511" s="33"/>
    </row>
    <row r="512">
      <c r="C512" s="32"/>
      <c r="D512" s="32"/>
      <c r="E512" s="33"/>
      <c r="F512" s="33"/>
    </row>
    <row r="513">
      <c r="C513" s="32"/>
      <c r="D513" s="32"/>
      <c r="E513" s="33"/>
      <c r="F513" s="33"/>
    </row>
    <row r="514">
      <c r="C514" s="32"/>
      <c r="D514" s="32"/>
      <c r="E514" s="33"/>
      <c r="F514" s="33"/>
    </row>
    <row r="515">
      <c r="C515" s="32"/>
      <c r="D515" s="32"/>
      <c r="E515" s="33"/>
      <c r="F515" s="33"/>
    </row>
    <row r="516">
      <c r="C516" s="32"/>
      <c r="D516" s="32"/>
      <c r="E516" s="33"/>
      <c r="F516" s="33"/>
    </row>
    <row r="517">
      <c r="C517" s="32"/>
      <c r="D517" s="32"/>
      <c r="E517" s="33"/>
      <c r="F517" s="33"/>
    </row>
    <row r="518">
      <c r="C518" s="32"/>
      <c r="D518" s="32"/>
      <c r="E518" s="33"/>
      <c r="F518" s="33"/>
    </row>
    <row r="519">
      <c r="C519" s="32"/>
      <c r="D519" s="32"/>
      <c r="E519" s="33"/>
      <c r="F519" s="33"/>
    </row>
    <row r="520">
      <c r="C520" s="32"/>
      <c r="D520" s="32"/>
      <c r="E520" s="33"/>
      <c r="F520" s="33"/>
    </row>
    <row r="521">
      <c r="C521" s="32"/>
      <c r="D521" s="32"/>
      <c r="E521" s="33"/>
      <c r="F521" s="33"/>
    </row>
    <row r="522">
      <c r="C522" s="32"/>
      <c r="D522" s="32"/>
      <c r="E522" s="33"/>
      <c r="F522" s="33"/>
    </row>
    <row r="523">
      <c r="C523" s="32"/>
      <c r="D523" s="32"/>
      <c r="E523" s="33"/>
      <c r="F523" s="33"/>
    </row>
    <row r="524">
      <c r="C524" s="32"/>
      <c r="D524" s="32"/>
      <c r="E524" s="33"/>
      <c r="F524" s="33"/>
    </row>
    <row r="525">
      <c r="C525" s="32"/>
      <c r="D525" s="32"/>
      <c r="E525" s="33"/>
      <c r="F525" s="33"/>
    </row>
    <row r="526">
      <c r="C526" s="32"/>
      <c r="D526" s="32"/>
      <c r="E526" s="33"/>
      <c r="F526" s="33"/>
    </row>
    <row r="527">
      <c r="C527" s="32"/>
      <c r="D527" s="32"/>
      <c r="E527" s="33"/>
      <c r="F527" s="33"/>
    </row>
    <row r="528">
      <c r="C528" s="32"/>
      <c r="D528" s="32"/>
      <c r="E528" s="33"/>
      <c r="F528" s="33"/>
    </row>
    <row r="529">
      <c r="C529" s="32"/>
      <c r="D529" s="32"/>
      <c r="E529" s="33"/>
      <c r="F529" s="33"/>
    </row>
    <row r="530">
      <c r="C530" s="32"/>
      <c r="D530" s="32"/>
      <c r="E530" s="33"/>
      <c r="F530" s="33"/>
    </row>
    <row r="531">
      <c r="C531" s="32"/>
      <c r="D531" s="32"/>
      <c r="E531" s="33"/>
      <c r="F531" s="33"/>
    </row>
    <row r="532">
      <c r="C532" s="32"/>
      <c r="D532" s="32"/>
      <c r="E532" s="33"/>
      <c r="F532" s="33"/>
    </row>
    <row r="533">
      <c r="C533" s="32"/>
      <c r="D533" s="32"/>
      <c r="E533" s="33"/>
      <c r="F533" s="33"/>
    </row>
    <row r="534">
      <c r="C534" s="32"/>
      <c r="D534" s="32"/>
      <c r="E534" s="33"/>
      <c r="F534" s="33"/>
    </row>
    <row r="535">
      <c r="C535" s="32"/>
      <c r="D535" s="32"/>
      <c r="E535" s="33"/>
      <c r="F535" s="33"/>
    </row>
    <row r="536">
      <c r="C536" s="32"/>
      <c r="D536" s="32"/>
      <c r="E536" s="33"/>
      <c r="F536" s="33"/>
    </row>
    <row r="537">
      <c r="C537" s="32"/>
      <c r="D537" s="32"/>
      <c r="E537" s="33"/>
      <c r="F537" s="33"/>
    </row>
    <row r="538">
      <c r="C538" s="32"/>
      <c r="D538" s="32"/>
      <c r="E538" s="33"/>
      <c r="F538" s="33"/>
    </row>
    <row r="539">
      <c r="C539" s="32"/>
      <c r="D539" s="32"/>
      <c r="E539" s="33"/>
      <c r="F539" s="33"/>
    </row>
    <row r="540">
      <c r="C540" s="32"/>
      <c r="D540" s="32"/>
      <c r="E540" s="33"/>
      <c r="F540" s="33"/>
    </row>
    <row r="541">
      <c r="C541" s="32"/>
      <c r="D541" s="32"/>
      <c r="E541" s="33"/>
      <c r="F541" s="33"/>
    </row>
    <row r="542">
      <c r="C542" s="32"/>
      <c r="D542" s="32"/>
      <c r="E542" s="33"/>
      <c r="F542" s="33"/>
    </row>
    <row r="543">
      <c r="C543" s="32"/>
      <c r="D543" s="32"/>
      <c r="E543" s="33"/>
      <c r="F543" s="33"/>
    </row>
    <row r="544">
      <c r="C544" s="32"/>
      <c r="D544" s="32"/>
      <c r="E544" s="33"/>
      <c r="F544" s="33"/>
    </row>
    <row r="545">
      <c r="C545" s="32"/>
      <c r="D545" s="32"/>
      <c r="E545" s="33"/>
      <c r="F545" s="33"/>
    </row>
    <row r="546">
      <c r="C546" s="32"/>
      <c r="D546" s="32"/>
      <c r="E546" s="33"/>
      <c r="F546" s="33"/>
    </row>
    <row r="547">
      <c r="C547" s="32"/>
      <c r="D547" s="32"/>
      <c r="E547" s="33"/>
      <c r="F547" s="33"/>
    </row>
    <row r="548">
      <c r="C548" s="32"/>
      <c r="D548" s="32"/>
      <c r="E548" s="33"/>
      <c r="F548" s="33"/>
    </row>
    <row r="549">
      <c r="C549" s="32"/>
      <c r="D549" s="32"/>
      <c r="E549" s="33"/>
      <c r="F549" s="33"/>
    </row>
    <row r="550">
      <c r="C550" s="32"/>
      <c r="D550" s="32"/>
      <c r="E550" s="33"/>
      <c r="F550" s="33"/>
    </row>
    <row r="551">
      <c r="C551" s="32"/>
      <c r="D551" s="32"/>
      <c r="E551" s="33"/>
      <c r="F551" s="33"/>
    </row>
    <row r="552">
      <c r="C552" s="32"/>
      <c r="D552" s="32"/>
      <c r="E552" s="33"/>
      <c r="F552" s="33"/>
    </row>
    <row r="553">
      <c r="C553" s="32"/>
      <c r="D553" s="32"/>
      <c r="E553" s="33"/>
      <c r="F553" s="33"/>
    </row>
    <row r="554">
      <c r="C554" s="32"/>
      <c r="D554" s="32"/>
      <c r="E554" s="33"/>
      <c r="F554" s="33"/>
    </row>
    <row r="555">
      <c r="C555" s="32"/>
      <c r="D555" s="32"/>
      <c r="E555" s="33"/>
      <c r="F555" s="33"/>
    </row>
    <row r="556">
      <c r="C556" s="32"/>
      <c r="D556" s="32"/>
      <c r="E556" s="33"/>
      <c r="F556" s="33"/>
    </row>
    <row r="557">
      <c r="C557" s="32"/>
      <c r="D557" s="32"/>
      <c r="E557" s="33"/>
      <c r="F557" s="33"/>
    </row>
    <row r="558">
      <c r="C558" s="32"/>
      <c r="D558" s="32"/>
      <c r="E558" s="33"/>
      <c r="F558" s="33"/>
    </row>
    <row r="559">
      <c r="C559" s="32"/>
      <c r="D559" s="32"/>
      <c r="E559" s="33"/>
      <c r="F559" s="33"/>
    </row>
    <row r="560">
      <c r="C560" s="32"/>
      <c r="D560" s="32"/>
      <c r="E560" s="33"/>
      <c r="F560" s="33"/>
    </row>
    <row r="561">
      <c r="C561" s="32"/>
      <c r="D561" s="32"/>
      <c r="E561" s="33"/>
      <c r="F561" s="33"/>
    </row>
    <row r="562">
      <c r="C562" s="32"/>
      <c r="D562" s="32"/>
      <c r="E562" s="33"/>
      <c r="F562" s="33"/>
    </row>
    <row r="563">
      <c r="C563" s="32"/>
      <c r="D563" s="32"/>
      <c r="E563" s="33"/>
      <c r="F563" s="33"/>
    </row>
    <row r="564">
      <c r="C564" s="32"/>
      <c r="D564" s="32"/>
      <c r="E564" s="33"/>
      <c r="F564" s="33"/>
    </row>
    <row r="565">
      <c r="C565" s="32"/>
      <c r="D565" s="32"/>
      <c r="E565" s="33"/>
      <c r="F565" s="33"/>
    </row>
    <row r="566">
      <c r="C566" s="32"/>
      <c r="D566" s="32"/>
      <c r="E566" s="33"/>
      <c r="F566" s="33"/>
    </row>
    <row r="567">
      <c r="C567" s="32"/>
      <c r="D567" s="32"/>
      <c r="E567" s="33"/>
      <c r="F567" s="33"/>
    </row>
    <row r="568">
      <c r="C568" s="32"/>
      <c r="D568" s="32"/>
      <c r="E568" s="33"/>
      <c r="F568" s="33"/>
    </row>
    <row r="569">
      <c r="C569" s="32"/>
      <c r="D569" s="32"/>
      <c r="E569" s="33"/>
      <c r="F569" s="33"/>
    </row>
    <row r="570">
      <c r="C570" s="32"/>
      <c r="D570" s="32"/>
      <c r="E570" s="33"/>
      <c r="F570" s="33"/>
    </row>
    <row r="571">
      <c r="C571" s="32"/>
      <c r="D571" s="32"/>
      <c r="E571" s="33"/>
      <c r="F571" s="33"/>
    </row>
    <row r="572">
      <c r="C572" s="32"/>
      <c r="D572" s="32"/>
      <c r="E572" s="33"/>
      <c r="F572" s="33"/>
    </row>
    <row r="573">
      <c r="C573" s="32"/>
      <c r="D573" s="32"/>
      <c r="E573" s="33"/>
      <c r="F573" s="33"/>
    </row>
    <row r="574">
      <c r="C574" s="32"/>
      <c r="D574" s="32"/>
      <c r="E574" s="33"/>
      <c r="F574" s="33"/>
    </row>
    <row r="575">
      <c r="C575" s="32"/>
      <c r="D575" s="32"/>
      <c r="E575" s="33"/>
      <c r="F575" s="33"/>
    </row>
    <row r="576">
      <c r="C576" s="32"/>
      <c r="D576" s="32"/>
      <c r="E576" s="33"/>
      <c r="F576" s="33"/>
    </row>
    <row r="577">
      <c r="C577" s="32"/>
      <c r="D577" s="32"/>
      <c r="E577" s="33"/>
      <c r="F577" s="33"/>
    </row>
    <row r="578">
      <c r="C578" s="32"/>
      <c r="D578" s="32"/>
      <c r="E578" s="33"/>
      <c r="F578" s="33"/>
    </row>
    <row r="579">
      <c r="C579" s="32"/>
      <c r="D579" s="32"/>
      <c r="E579" s="33"/>
      <c r="F579" s="33"/>
    </row>
    <row r="580">
      <c r="C580" s="32"/>
      <c r="D580" s="32"/>
      <c r="E580" s="33"/>
      <c r="F580" s="33"/>
    </row>
    <row r="581">
      <c r="C581" s="32"/>
      <c r="D581" s="32"/>
      <c r="E581" s="33"/>
      <c r="F581" s="33"/>
    </row>
    <row r="582">
      <c r="C582" s="32"/>
      <c r="D582" s="32"/>
      <c r="E582" s="33"/>
      <c r="F582" s="33"/>
    </row>
    <row r="583">
      <c r="C583" s="32"/>
      <c r="D583" s="32"/>
      <c r="E583" s="33"/>
      <c r="F583" s="33"/>
    </row>
    <row r="584">
      <c r="C584" s="32"/>
      <c r="D584" s="32"/>
      <c r="E584" s="33"/>
      <c r="F584" s="33"/>
    </row>
    <row r="585">
      <c r="C585" s="32"/>
      <c r="D585" s="32"/>
      <c r="E585" s="33"/>
      <c r="F585" s="33"/>
    </row>
    <row r="586">
      <c r="C586" s="32"/>
      <c r="D586" s="32"/>
      <c r="E586" s="33"/>
      <c r="F586" s="33"/>
    </row>
    <row r="587">
      <c r="C587" s="32"/>
      <c r="D587" s="32"/>
      <c r="E587" s="33"/>
      <c r="F587" s="33"/>
    </row>
    <row r="588">
      <c r="C588" s="32"/>
      <c r="D588" s="32"/>
      <c r="E588" s="33"/>
      <c r="F588" s="33"/>
    </row>
    <row r="589">
      <c r="C589" s="32"/>
      <c r="D589" s="32"/>
      <c r="E589" s="33"/>
      <c r="F589" s="33"/>
    </row>
    <row r="590">
      <c r="C590" s="32"/>
      <c r="D590" s="32"/>
      <c r="E590" s="33"/>
      <c r="F590" s="33"/>
    </row>
    <row r="591">
      <c r="C591" s="32"/>
      <c r="D591" s="32"/>
      <c r="E591" s="33"/>
      <c r="F591" s="33"/>
    </row>
    <row r="592">
      <c r="C592" s="32"/>
      <c r="D592" s="32"/>
      <c r="E592" s="33"/>
      <c r="F592" s="33"/>
    </row>
    <row r="593">
      <c r="C593" s="32"/>
      <c r="D593" s="32"/>
      <c r="E593" s="33"/>
      <c r="F593" s="33"/>
    </row>
    <row r="594">
      <c r="C594" s="32"/>
      <c r="D594" s="32"/>
      <c r="E594" s="33"/>
      <c r="F594" s="33"/>
    </row>
    <row r="595">
      <c r="C595" s="32"/>
      <c r="D595" s="32"/>
      <c r="E595" s="33"/>
      <c r="F595" s="33"/>
    </row>
    <row r="596">
      <c r="C596" s="32"/>
      <c r="D596" s="32"/>
      <c r="E596" s="33"/>
      <c r="F596" s="33"/>
    </row>
    <row r="597">
      <c r="C597" s="32"/>
      <c r="D597" s="32"/>
      <c r="E597" s="33"/>
      <c r="F597" s="33"/>
    </row>
    <row r="598">
      <c r="C598" s="32"/>
      <c r="D598" s="32"/>
      <c r="E598" s="33"/>
      <c r="F598" s="33"/>
    </row>
    <row r="599">
      <c r="C599" s="32"/>
      <c r="D599" s="32"/>
      <c r="E599" s="33"/>
      <c r="F599" s="33"/>
    </row>
    <row r="600">
      <c r="C600" s="32"/>
      <c r="D600" s="32"/>
      <c r="E600" s="33"/>
      <c r="F600" s="33"/>
    </row>
    <row r="601">
      <c r="C601" s="32"/>
      <c r="D601" s="32"/>
      <c r="E601" s="33"/>
      <c r="F601" s="33"/>
    </row>
    <row r="602">
      <c r="C602" s="32"/>
      <c r="D602" s="32"/>
      <c r="E602" s="33"/>
      <c r="F602" s="33"/>
    </row>
    <row r="603">
      <c r="C603" s="32"/>
      <c r="D603" s="32"/>
      <c r="E603" s="33"/>
      <c r="F603" s="33"/>
    </row>
    <row r="604">
      <c r="C604" s="32"/>
      <c r="D604" s="32"/>
      <c r="E604" s="33"/>
      <c r="F604" s="33"/>
    </row>
    <row r="605">
      <c r="C605" s="32"/>
      <c r="D605" s="32"/>
      <c r="E605" s="33"/>
      <c r="F605" s="33"/>
    </row>
    <row r="606">
      <c r="C606" s="32"/>
      <c r="D606" s="32"/>
      <c r="E606" s="33"/>
      <c r="F606" s="33"/>
    </row>
    <row r="607">
      <c r="C607" s="32"/>
      <c r="D607" s="32"/>
      <c r="E607" s="33"/>
      <c r="F607" s="33"/>
    </row>
    <row r="608">
      <c r="C608" s="32"/>
      <c r="D608" s="32"/>
      <c r="E608" s="33"/>
      <c r="F608" s="33"/>
    </row>
    <row r="609">
      <c r="C609" s="32"/>
      <c r="D609" s="32"/>
      <c r="E609" s="33"/>
      <c r="F609" s="33"/>
    </row>
    <row r="610">
      <c r="C610" s="32"/>
      <c r="D610" s="32"/>
      <c r="E610" s="33"/>
      <c r="F610" s="33"/>
    </row>
    <row r="611">
      <c r="C611" s="32"/>
      <c r="D611" s="32"/>
      <c r="E611" s="33"/>
      <c r="F611" s="33"/>
    </row>
    <row r="612">
      <c r="C612" s="32"/>
      <c r="D612" s="32"/>
      <c r="E612" s="33"/>
      <c r="F612" s="33"/>
    </row>
    <row r="613">
      <c r="C613" s="32"/>
      <c r="D613" s="32"/>
      <c r="E613" s="33"/>
      <c r="F613" s="33"/>
    </row>
    <row r="614">
      <c r="C614" s="32"/>
      <c r="D614" s="32"/>
      <c r="E614" s="33"/>
      <c r="F614" s="33"/>
    </row>
    <row r="615">
      <c r="C615" s="32"/>
      <c r="D615" s="32"/>
      <c r="E615" s="33"/>
      <c r="F615" s="33"/>
    </row>
    <row r="616">
      <c r="C616" s="32"/>
      <c r="D616" s="32"/>
      <c r="E616" s="33"/>
      <c r="F616" s="33"/>
    </row>
    <row r="617">
      <c r="C617" s="32"/>
      <c r="D617" s="32"/>
      <c r="E617" s="33"/>
      <c r="F617" s="33"/>
    </row>
    <row r="618">
      <c r="C618" s="32"/>
      <c r="D618" s="32"/>
      <c r="E618" s="33"/>
      <c r="F618" s="33"/>
    </row>
    <row r="619">
      <c r="C619" s="32"/>
      <c r="D619" s="32"/>
      <c r="E619" s="33"/>
      <c r="F619" s="33"/>
    </row>
    <row r="620">
      <c r="C620" s="32"/>
      <c r="D620" s="32"/>
      <c r="E620" s="33"/>
      <c r="F620" s="33"/>
    </row>
    <row r="621">
      <c r="C621" s="32"/>
      <c r="D621" s="32"/>
      <c r="E621" s="33"/>
      <c r="F621" s="33"/>
    </row>
    <row r="622">
      <c r="C622" s="32"/>
      <c r="D622" s="32"/>
      <c r="E622" s="33"/>
      <c r="F622" s="33"/>
    </row>
    <row r="623">
      <c r="C623" s="32"/>
      <c r="D623" s="32"/>
      <c r="E623" s="33"/>
      <c r="F623" s="33"/>
    </row>
    <row r="624">
      <c r="C624" s="32"/>
      <c r="D624" s="32"/>
      <c r="E624" s="33"/>
      <c r="F624" s="33"/>
    </row>
    <row r="625">
      <c r="C625" s="32"/>
      <c r="D625" s="32"/>
      <c r="E625" s="33"/>
      <c r="F625" s="33"/>
    </row>
    <row r="626">
      <c r="C626" s="32"/>
      <c r="D626" s="32"/>
      <c r="E626" s="33"/>
      <c r="F626" s="33"/>
    </row>
    <row r="627">
      <c r="C627" s="32"/>
      <c r="D627" s="32"/>
      <c r="E627" s="33"/>
      <c r="F627" s="33"/>
    </row>
    <row r="628">
      <c r="C628" s="32"/>
      <c r="D628" s="32"/>
      <c r="E628" s="33"/>
      <c r="F628" s="33"/>
    </row>
    <row r="629">
      <c r="C629" s="32"/>
      <c r="D629" s="32"/>
      <c r="E629" s="33"/>
      <c r="F629" s="33"/>
    </row>
    <row r="630">
      <c r="C630" s="32"/>
      <c r="D630" s="32"/>
      <c r="E630" s="33"/>
      <c r="F630" s="33"/>
    </row>
    <row r="631">
      <c r="C631" s="32"/>
      <c r="D631" s="32"/>
      <c r="E631" s="33"/>
      <c r="F631" s="33"/>
    </row>
    <row r="632">
      <c r="C632" s="32"/>
      <c r="D632" s="32"/>
      <c r="E632" s="33"/>
      <c r="F632" s="33"/>
    </row>
    <row r="633">
      <c r="C633" s="32"/>
      <c r="D633" s="32"/>
      <c r="E633" s="33"/>
      <c r="F633" s="33"/>
    </row>
    <row r="634">
      <c r="C634" s="32"/>
      <c r="D634" s="32"/>
      <c r="E634" s="33"/>
      <c r="F634" s="33"/>
    </row>
    <row r="635">
      <c r="C635" s="32"/>
      <c r="D635" s="32"/>
      <c r="E635" s="33"/>
      <c r="F635" s="33"/>
    </row>
    <row r="636">
      <c r="C636" s="32"/>
      <c r="D636" s="32"/>
      <c r="E636" s="33"/>
      <c r="F636" s="33"/>
    </row>
    <row r="637">
      <c r="C637" s="32"/>
      <c r="D637" s="32"/>
      <c r="E637" s="33"/>
      <c r="F637" s="33"/>
    </row>
    <row r="638">
      <c r="C638" s="32"/>
      <c r="D638" s="32"/>
      <c r="E638" s="33"/>
      <c r="F638" s="33"/>
    </row>
    <row r="639">
      <c r="C639" s="32"/>
      <c r="D639" s="32"/>
      <c r="E639" s="33"/>
      <c r="F639" s="33"/>
    </row>
    <row r="640">
      <c r="C640" s="32"/>
      <c r="D640" s="32"/>
      <c r="E640" s="33"/>
      <c r="F640" s="33"/>
    </row>
    <row r="641">
      <c r="C641" s="32"/>
      <c r="D641" s="32"/>
      <c r="E641" s="33"/>
      <c r="F641" s="33"/>
    </row>
    <row r="642">
      <c r="C642" s="32"/>
      <c r="D642" s="32"/>
      <c r="E642" s="33"/>
      <c r="F642" s="33"/>
    </row>
    <row r="643">
      <c r="C643" s="32"/>
      <c r="D643" s="32"/>
      <c r="E643" s="33"/>
      <c r="F643" s="33"/>
    </row>
    <row r="644">
      <c r="C644" s="32"/>
      <c r="D644" s="32"/>
      <c r="E644" s="33"/>
      <c r="F644" s="33"/>
    </row>
    <row r="645">
      <c r="C645" s="32"/>
      <c r="D645" s="32"/>
      <c r="E645" s="33"/>
      <c r="F645" s="33"/>
    </row>
    <row r="646">
      <c r="C646" s="32"/>
      <c r="D646" s="32"/>
      <c r="E646" s="33"/>
      <c r="F646" s="33"/>
    </row>
    <row r="647">
      <c r="C647" s="32"/>
      <c r="D647" s="32"/>
      <c r="E647" s="33"/>
      <c r="F647" s="33"/>
    </row>
    <row r="648">
      <c r="C648" s="32"/>
      <c r="D648" s="32"/>
      <c r="E648" s="33"/>
      <c r="F648" s="33"/>
    </row>
    <row r="649">
      <c r="C649" s="32"/>
      <c r="D649" s="32"/>
      <c r="E649" s="33"/>
      <c r="F649" s="33"/>
    </row>
    <row r="650">
      <c r="C650" s="32"/>
      <c r="D650" s="32"/>
      <c r="E650" s="33"/>
      <c r="F650" s="33"/>
    </row>
    <row r="651">
      <c r="C651" s="32"/>
      <c r="D651" s="32"/>
      <c r="E651" s="33"/>
      <c r="F651" s="33"/>
    </row>
    <row r="652">
      <c r="C652" s="32"/>
      <c r="D652" s="32"/>
      <c r="E652" s="33"/>
      <c r="F652" s="33"/>
    </row>
    <row r="653">
      <c r="C653" s="32"/>
      <c r="D653" s="32"/>
      <c r="E653" s="33"/>
      <c r="F653" s="33"/>
    </row>
    <row r="654">
      <c r="C654" s="32"/>
      <c r="D654" s="32"/>
      <c r="E654" s="33"/>
      <c r="F654" s="33"/>
    </row>
    <row r="655">
      <c r="C655" s="32"/>
      <c r="D655" s="32"/>
      <c r="E655" s="33"/>
      <c r="F655" s="33"/>
    </row>
    <row r="656">
      <c r="C656" s="32"/>
      <c r="D656" s="32"/>
      <c r="E656" s="33"/>
      <c r="F656" s="33"/>
    </row>
    <row r="657">
      <c r="C657" s="32"/>
      <c r="D657" s="32"/>
      <c r="E657" s="33"/>
      <c r="F657" s="33"/>
    </row>
    <row r="658">
      <c r="C658" s="32"/>
      <c r="D658" s="32"/>
      <c r="E658" s="33"/>
      <c r="F658" s="33"/>
    </row>
    <row r="659">
      <c r="C659" s="32"/>
      <c r="D659" s="32"/>
      <c r="E659" s="33"/>
      <c r="F659" s="33"/>
    </row>
    <row r="660">
      <c r="C660" s="32"/>
      <c r="D660" s="32"/>
      <c r="E660" s="33"/>
      <c r="F660" s="33"/>
    </row>
    <row r="661">
      <c r="C661" s="32"/>
      <c r="D661" s="32"/>
      <c r="E661" s="33"/>
      <c r="F661" s="33"/>
    </row>
    <row r="662">
      <c r="C662" s="32"/>
      <c r="D662" s="32"/>
      <c r="E662" s="33"/>
      <c r="F662" s="33"/>
    </row>
    <row r="663">
      <c r="C663" s="32"/>
      <c r="D663" s="32"/>
      <c r="E663" s="33"/>
      <c r="F663" s="33"/>
    </row>
    <row r="664">
      <c r="C664" s="32"/>
      <c r="D664" s="32"/>
      <c r="E664" s="33"/>
      <c r="F664" s="33"/>
    </row>
    <row r="665">
      <c r="C665" s="32"/>
      <c r="D665" s="32"/>
      <c r="E665" s="33"/>
      <c r="F665" s="33"/>
    </row>
    <row r="666">
      <c r="C666" s="32"/>
      <c r="D666" s="32"/>
      <c r="E666" s="33"/>
      <c r="F666" s="33"/>
    </row>
    <row r="667">
      <c r="C667" s="32"/>
      <c r="D667" s="32"/>
      <c r="E667" s="33"/>
      <c r="F667" s="33"/>
    </row>
    <row r="668">
      <c r="C668" s="32"/>
      <c r="D668" s="32"/>
      <c r="E668" s="33"/>
      <c r="F668" s="33"/>
    </row>
    <row r="669">
      <c r="C669" s="32"/>
      <c r="D669" s="32"/>
      <c r="E669" s="33"/>
      <c r="F669" s="33"/>
    </row>
    <row r="670">
      <c r="C670" s="32"/>
      <c r="D670" s="32"/>
      <c r="E670" s="33"/>
      <c r="F670" s="33"/>
    </row>
    <row r="671">
      <c r="C671" s="32"/>
      <c r="D671" s="32"/>
      <c r="E671" s="33"/>
      <c r="F671" s="33"/>
    </row>
    <row r="672">
      <c r="C672" s="32"/>
      <c r="D672" s="32"/>
      <c r="E672" s="33"/>
      <c r="F672" s="33"/>
    </row>
    <row r="673">
      <c r="C673" s="32"/>
      <c r="D673" s="32"/>
      <c r="E673" s="33"/>
      <c r="F673" s="33"/>
    </row>
    <row r="674">
      <c r="C674" s="32"/>
      <c r="D674" s="32"/>
      <c r="E674" s="33"/>
      <c r="F674" s="33"/>
    </row>
    <row r="675">
      <c r="C675" s="32"/>
      <c r="D675" s="32"/>
      <c r="E675" s="33"/>
      <c r="F675" s="33"/>
    </row>
    <row r="676">
      <c r="C676" s="32"/>
      <c r="D676" s="32"/>
      <c r="E676" s="33"/>
      <c r="F676" s="33"/>
    </row>
    <row r="677">
      <c r="C677" s="32"/>
      <c r="D677" s="32"/>
      <c r="E677" s="33"/>
      <c r="F677" s="33"/>
    </row>
    <row r="678">
      <c r="C678" s="32"/>
      <c r="D678" s="32"/>
      <c r="E678" s="33"/>
      <c r="F678" s="33"/>
    </row>
    <row r="679">
      <c r="C679" s="32"/>
      <c r="D679" s="32"/>
      <c r="E679" s="33"/>
      <c r="F679" s="33"/>
    </row>
    <row r="680">
      <c r="C680" s="32"/>
      <c r="D680" s="32"/>
      <c r="E680" s="33"/>
      <c r="F680" s="33"/>
    </row>
    <row r="681">
      <c r="C681" s="32"/>
      <c r="D681" s="32"/>
      <c r="E681" s="33"/>
      <c r="F681" s="33"/>
    </row>
    <row r="682">
      <c r="C682" s="32"/>
      <c r="D682" s="32"/>
      <c r="E682" s="33"/>
      <c r="F682" s="33"/>
    </row>
    <row r="683">
      <c r="C683" s="32"/>
      <c r="D683" s="32"/>
      <c r="E683" s="33"/>
      <c r="F683" s="33"/>
    </row>
    <row r="684">
      <c r="C684" s="32"/>
      <c r="D684" s="32"/>
      <c r="E684" s="33"/>
      <c r="F684" s="33"/>
    </row>
    <row r="685">
      <c r="C685" s="32"/>
      <c r="D685" s="32"/>
      <c r="E685" s="33"/>
      <c r="F685" s="33"/>
    </row>
    <row r="686">
      <c r="C686" s="32"/>
      <c r="D686" s="32"/>
      <c r="E686" s="33"/>
      <c r="F686" s="33"/>
    </row>
    <row r="687">
      <c r="C687" s="32"/>
      <c r="D687" s="32"/>
      <c r="E687" s="33"/>
      <c r="F687" s="33"/>
    </row>
    <row r="688">
      <c r="C688" s="32"/>
      <c r="D688" s="32"/>
      <c r="E688" s="33"/>
      <c r="F688" s="33"/>
    </row>
    <row r="689">
      <c r="C689" s="32"/>
      <c r="D689" s="32"/>
      <c r="E689" s="33"/>
      <c r="F689" s="33"/>
    </row>
    <row r="690">
      <c r="C690" s="32"/>
      <c r="D690" s="32"/>
      <c r="E690" s="33"/>
      <c r="F690" s="33"/>
    </row>
    <row r="691">
      <c r="C691" s="32"/>
      <c r="D691" s="32"/>
      <c r="E691" s="33"/>
      <c r="F691" s="33"/>
    </row>
    <row r="692">
      <c r="C692" s="32"/>
      <c r="D692" s="32"/>
      <c r="E692" s="33"/>
      <c r="F692" s="33"/>
    </row>
    <row r="693">
      <c r="C693" s="32"/>
      <c r="D693" s="32"/>
      <c r="E693" s="33"/>
      <c r="F693" s="33"/>
    </row>
    <row r="694">
      <c r="C694" s="32"/>
      <c r="D694" s="32"/>
      <c r="E694" s="33"/>
      <c r="F694" s="33"/>
    </row>
    <row r="695">
      <c r="C695" s="32"/>
      <c r="D695" s="32"/>
      <c r="E695" s="33"/>
      <c r="F695" s="33"/>
    </row>
    <row r="696">
      <c r="C696" s="32"/>
      <c r="D696" s="32"/>
      <c r="E696" s="33"/>
      <c r="F696" s="33"/>
    </row>
    <row r="697">
      <c r="C697" s="32"/>
      <c r="D697" s="32"/>
      <c r="E697" s="33"/>
      <c r="F697" s="33"/>
    </row>
    <row r="698">
      <c r="C698" s="32"/>
      <c r="D698" s="32"/>
      <c r="E698" s="33"/>
      <c r="F698" s="33"/>
    </row>
    <row r="699">
      <c r="C699" s="32"/>
      <c r="D699" s="32"/>
      <c r="E699" s="33"/>
      <c r="F699" s="33"/>
    </row>
    <row r="700">
      <c r="C700" s="32"/>
      <c r="D700" s="32"/>
      <c r="E700" s="33"/>
      <c r="F700" s="33"/>
    </row>
    <row r="701">
      <c r="C701" s="32"/>
      <c r="D701" s="32"/>
      <c r="E701" s="33"/>
      <c r="F701" s="33"/>
    </row>
    <row r="702">
      <c r="C702" s="32"/>
      <c r="D702" s="32"/>
      <c r="E702" s="33"/>
      <c r="F702" s="33"/>
    </row>
    <row r="703">
      <c r="C703" s="32"/>
      <c r="D703" s="32"/>
      <c r="E703" s="33"/>
      <c r="F703" s="33"/>
    </row>
    <row r="704">
      <c r="C704" s="32"/>
      <c r="D704" s="32"/>
      <c r="E704" s="33"/>
      <c r="F704" s="33"/>
    </row>
    <row r="705">
      <c r="C705" s="32"/>
      <c r="D705" s="32"/>
      <c r="E705" s="33"/>
      <c r="F705" s="33"/>
    </row>
    <row r="706">
      <c r="C706" s="32"/>
      <c r="D706" s="32"/>
      <c r="E706" s="33"/>
      <c r="F706" s="33"/>
    </row>
    <row r="707">
      <c r="C707" s="32"/>
      <c r="D707" s="32"/>
      <c r="E707" s="33"/>
      <c r="F707" s="33"/>
    </row>
    <row r="708">
      <c r="C708" s="32"/>
      <c r="D708" s="32"/>
      <c r="E708" s="33"/>
      <c r="F708" s="33"/>
    </row>
    <row r="709">
      <c r="C709" s="32"/>
      <c r="D709" s="32"/>
      <c r="E709" s="33"/>
      <c r="F709" s="33"/>
    </row>
    <row r="710">
      <c r="C710" s="32"/>
      <c r="D710" s="32"/>
      <c r="E710" s="33"/>
      <c r="F710" s="33"/>
    </row>
    <row r="711">
      <c r="C711" s="32"/>
      <c r="D711" s="32"/>
      <c r="E711" s="33"/>
      <c r="F711" s="33"/>
    </row>
    <row r="712">
      <c r="C712" s="32"/>
      <c r="D712" s="32"/>
      <c r="E712" s="33"/>
      <c r="F712" s="33"/>
    </row>
    <row r="713">
      <c r="C713" s="32"/>
      <c r="D713" s="32"/>
      <c r="E713" s="33"/>
      <c r="F713" s="33"/>
    </row>
    <row r="714">
      <c r="C714" s="32"/>
      <c r="D714" s="32"/>
      <c r="E714" s="33"/>
      <c r="F714" s="33"/>
    </row>
    <row r="715">
      <c r="C715" s="32"/>
      <c r="D715" s="32"/>
      <c r="E715" s="33"/>
      <c r="F715" s="33"/>
    </row>
    <row r="716">
      <c r="C716" s="32"/>
      <c r="D716" s="32"/>
      <c r="E716" s="33"/>
      <c r="F716" s="33"/>
    </row>
    <row r="717">
      <c r="C717" s="32"/>
      <c r="D717" s="32"/>
      <c r="E717" s="33"/>
      <c r="F717" s="33"/>
    </row>
    <row r="718">
      <c r="C718" s="32"/>
      <c r="D718" s="32"/>
      <c r="E718" s="33"/>
      <c r="F718" s="33"/>
    </row>
    <row r="719">
      <c r="C719" s="32"/>
      <c r="D719" s="32"/>
      <c r="E719" s="33"/>
      <c r="F719" s="33"/>
    </row>
    <row r="720">
      <c r="C720" s="32"/>
      <c r="D720" s="32"/>
      <c r="E720" s="33"/>
      <c r="F720" s="33"/>
    </row>
    <row r="721">
      <c r="C721" s="32"/>
      <c r="D721" s="32"/>
      <c r="E721" s="33"/>
      <c r="F721" s="33"/>
    </row>
    <row r="722">
      <c r="C722" s="32"/>
      <c r="D722" s="32"/>
      <c r="E722" s="33"/>
      <c r="F722" s="33"/>
    </row>
    <row r="723">
      <c r="C723" s="32"/>
      <c r="D723" s="32"/>
      <c r="E723" s="33"/>
      <c r="F723" s="33"/>
    </row>
    <row r="724">
      <c r="C724" s="32"/>
      <c r="D724" s="32"/>
      <c r="E724" s="33"/>
      <c r="F724" s="33"/>
    </row>
    <row r="725">
      <c r="C725" s="32"/>
      <c r="D725" s="32"/>
      <c r="E725" s="33"/>
      <c r="F725" s="33"/>
    </row>
    <row r="726">
      <c r="C726" s="32"/>
      <c r="D726" s="32"/>
      <c r="E726" s="33"/>
      <c r="F726" s="33"/>
    </row>
    <row r="727">
      <c r="C727" s="32"/>
      <c r="D727" s="32"/>
      <c r="E727" s="33"/>
      <c r="F727" s="33"/>
    </row>
    <row r="728">
      <c r="C728" s="32"/>
      <c r="D728" s="32"/>
      <c r="E728" s="33"/>
      <c r="F728" s="33"/>
    </row>
    <row r="729">
      <c r="C729" s="32"/>
      <c r="D729" s="32"/>
      <c r="E729" s="33"/>
      <c r="F729" s="33"/>
    </row>
    <row r="730">
      <c r="C730" s="32"/>
      <c r="D730" s="32"/>
      <c r="E730" s="33"/>
      <c r="F730" s="33"/>
    </row>
    <row r="731">
      <c r="C731" s="32"/>
      <c r="D731" s="32"/>
      <c r="E731" s="33"/>
      <c r="F731" s="33"/>
    </row>
    <row r="732">
      <c r="C732" s="32"/>
      <c r="D732" s="32"/>
      <c r="E732" s="33"/>
      <c r="F732" s="33"/>
    </row>
    <row r="733">
      <c r="C733" s="32"/>
      <c r="D733" s="32"/>
      <c r="E733" s="33"/>
      <c r="F733" s="33"/>
    </row>
    <row r="734">
      <c r="C734" s="32"/>
      <c r="D734" s="32"/>
      <c r="E734" s="33"/>
      <c r="F734" s="33"/>
    </row>
    <row r="735">
      <c r="C735" s="32"/>
      <c r="D735" s="32"/>
      <c r="E735" s="33"/>
      <c r="F735" s="33"/>
    </row>
    <row r="736">
      <c r="C736" s="32"/>
      <c r="D736" s="32"/>
      <c r="E736" s="33"/>
      <c r="F736" s="33"/>
    </row>
    <row r="737">
      <c r="C737" s="32"/>
      <c r="D737" s="32"/>
      <c r="E737" s="33"/>
      <c r="F737" s="33"/>
    </row>
    <row r="738">
      <c r="C738" s="32"/>
      <c r="D738" s="32"/>
      <c r="E738" s="33"/>
      <c r="F738" s="33"/>
    </row>
    <row r="739">
      <c r="C739" s="32"/>
      <c r="D739" s="32"/>
      <c r="E739" s="33"/>
      <c r="F739" s="33"/>
    </row>
    <row r="740">
      <c r="C740" s="32"/>
      <c r="D740" s="32"/>
      <c r="E740" s="33"/>
      <c r="F740" s="33"/>
    </row>
    <row r="741">
      <c r="C741" s="32"/>
      <c r="D741" s="32"/>
      <c r="E741" s="33"/>
      <c r="F741" s="33"/>
    </row>
    <row r="742">
      <c r="C742" s="32"/>
      <c r="D742" s="32"/>
      <c r="E742" s="33"/>
      <c r="F742" s="33"/>
    </row>
    <row r="743">
      <c r="C743" s="32"/>
      <c r="D743" s="32"/>
      <c r="E743" s="33"/>
      <c r="F743" s="33"/>
    </row>
    <row r="744">
      <c r="C744" s="32"/>
      <c r="D744" s="32"/>
      <c r="E744" s="33"/>
      <c r="F744" s="33"/>
    </row>
    <row r="745">
      <c r="C745" s="32"/>
      <c r="D745" s="32"/>
      <c r="E745" s="33"/>
      <c r="F745" s="33"/>
    </row>
    <row r="746">
      <c r="C746" s="32"/>
      <c r="D746" s="32"/>
      <c r="E746" s="33"/>
      <c r="F746" s="33"/>
    </row>
    <row r="747">
      <c r="C747" s="32"/>
      <c r="D747" s="32"/>
      <c r="E747" s="33"/>
      <c r="F747" s="33"/>
    </row>
    <row r="748">
      <c r="C748" s="32"/>
      <c r="D748" s="32"/>
      <c r="E748" s="33"/>
      <c r="F748" s="33"/>
    </row>
    <row r="749">
      <c r="C749" s="32"/>
      <c r="D749" s="32"/>
      <c r="E749" s="33"/>
      <c r="F749" s="33"/>
    </row>
    <row r="750">
      <c r="C750" s="32"/>
      <c r="D750" s="32"/>
      <c r="E750" s="33"/>
      <c r="F750" s="33"/>
    </row>
    <row r="751">
      <c r="C751" s="32"/>
      <c r="D751" s="32"/>
      <c r="E751" s="33"/>
      <c r="F751" s="33"/>
    </row>
    <row r="752">
      <c r="C752" s="32"/>
      <c r="D752" s="32"/>
      <c r="E752" s="33"/>
      <c r="F752" s="33"/>
    </row>
    <row r="753">
      <c r="C753" s="32"/>
      <c r="D753" s="32"/>
      <c r="E753" s="33"/>
      <c r="F753" s="33"/>
    </row>
    <row r="754">
      <c r="C754" s="32"/>
      <c r="D754" s="32"/>
      <c r="E754" s="33"/>
      <c r="F754" s="33"/>
    </row>
    <row r="755">
      <c r="C755" s="32"/>
      <c r="D755" s="32"/>
      <c r="E755" s="33"/>
      <c r="F755" s="33"/>
    </row>
    <row r="756">
      <c r="C756" s="32"/>
      <c r="D756" s="32"/>
      <c r="E756" s="33"/>
      <c r="F756" s="33"/>
    </row>
    <row r="757">
      <c r="C757" s="32"/>
      <c r="D757" s="32"/>
      <c r="E757" s="33"/>
      <c r="F757" s="33"/>
    </row>
    <row r="758">
      <c r="C758" s="32"/>
      <c r="D758" s="32"/>
      <c r="E758" s="33"/>
      <c r="F758" s="33"/>
    </row>
    <row r="759">
      <c r="C759" s="32"/>
      <c r="D759" s="32"/>
      <c r="E759" s="33"/>
      <c r="F759" s="33"/>
    </row>
    <row r="760">
      <c r="C760" s="32"/>
      <c r="D760" s="32"/>
      <c r="E760" s="33"/>
      <c r="F760" s="33"/>
    </row>
    <row r="761">
      <c r="C761" s="32"/>
      <c r="D761" s="32"/>
      <c r="E761" s="33"/>
      <c r="F761" s="33"/>
    </row>
    <row r="762">
      <c r="C762" s="32"/>
      <c r="D762" s="32"/>
      <c r="E762" s="33"/>
      <c r="F762" s="33"/>
    </row>
    <row r="763">
      <c r="C763" s="32"/>
      <c r="D763" s="32"/>
      <c r="E763" s="33"/>
      <c r="F763" s="33"/>
    </row>
    <row r="764">
      <c r="C764" s="32"/>
      <c r="D764" s="32"/>
      <c r="E764" s="33"/>
      <c r="F764" s="33"/>
    </row>
    <row r="765">
      <c r="C765" s="32"/>
      <c r="D765" s="32"/>
      <c r="E765" s="33"/>
      <c r="F765" s="33"/>
    </row>
    <row r="766">
      <c r="C766" s="32"/>
      <c r="D766" s="32"/>
      <c r="E766" s="33"/>
      <c r="F766" s="33"/>
    </row>
    <row r="767">
      <c r="C767" s="32"/>
      <c r="D767" s="32"/>
      <c r="E767" s="33"/>
      <c r="F767" s="33"/>
    </row>
    <row r="768">
      <c r="C768" s="32"/>
      <c r="D768" s="32"/>
      <c r="E768" s="33"/>
      <c r="F768" s="33"/>
    </row>
    <row r="769">
      <c r="C769" s="32"/>
      <c r="D769" s="32"/>
      <c r="E769" s="33"/>
      <c r="F769" s="33"/>
    </row>
    <row r="770">
      <c r="C770" s="32"/>
      <c r="D770" s="32"/>
      <c r="E770" s="33"/>
      <c r="F770" s="33"/>
    </row>
    <row r="771">
      <c r="C771" s="32"/>
      <c r="D771" s="32"/>
      <c r="E771" s="33"/>
      <c r="F771" s="33"/>
    </row>
    <row r="772">
      <c r="C772" s="32"/>
      <c r="D772" s="32"/>
      <c r="E772" s="33"/>
      <c r="F772" s="33"/>
    </row>
    <row r="773">
      <c r="C773" s="32"/>
      <c r="D773" s="32"/>
      <c r="E773" s="33"/>
      <c r="F773" s="33"/>
    </row>
    <row r="774">
      <c r="C774" s="32"/>
      <c r="D774" s="32"/>
      <c r="E774" s="33"/>
      <c r="F774" s="33"/>
    </row>
    <row r="775">
      <c r="C775" s="32"/>
      <c r="D775" s="32"/>
      <c r="E775" s="33"/>
      <c r="F775" s="33"/>
    </row>
    <row r="776">
      <c r="C776" s="32"/>
      <c r="D776" s="32"/>
      <c r="E776" s="33"/>
      <c r="F776" s="33"/>
    </row>
    <row r="777">
      <c r="C777" s="32"/>
      <c r="D777" s="32"/>
      <c r="E777" s="33"/>
      <c r="F777" s="33"/>
    </row>
    <row r="778">
      <c r="C778" s="32"/>
      <c r="D778" s="32"/>
      <c r="E778" s="33"/>
      <c r="F778" s="33"/>
    </row>
    <row r="779">
      <c r="C779" s="32"/>
      <c r="D779" s="32"/>
      <c r="E779" s="33"/>
      <c r="F779" s="33"/>
    </row>
    <row r="780">
      <c r="C780" s="32"/>
      <c r="D780" s="32"/>
      <c r="E780" s="33"/>
      <c r="F780" s="33"/>
    </row>
    <row r="781">
      <c r="C781" s="32"/>
      <c r="D781" s="32"/>
      <c r="E781" s="33"/>
      <c r="F781" s="33"/>
    </row>
    <row r="782">
      <c r="C782" s="32"/>
      <c r="D782" s="32"/>
      <c r="E782" s="33"/>
      <c r="F782" s="33"/>
    </row>
    <row r="783">
      <c r="C783" s="32"/>
      <c r="D783" s="32"/>
      <c r="E783" s="33"/>
      <c r="F783" s="33"/>
    </row>
    <row r="784">
      <c r="C784" s="32"/>
      <c r="D784" s="32"/>
      <c r="E784" s="33"/>
      <c r="F784" s="33"/>
    </row>
    <row r="785">
      <c r="C785" s="32"/>
      <c r="D785" s="32"/>
      <c r="E785" s="33"/>
      <c r="F785" s="33"/>
    </row>
    <row r="786">
      <c r="C786" s="32"/>
      <c r="D786" s="32"/>
      <c r="E786" s="33"/>
      <c r="F786" s="33"/>
    </row>
    <row r="787">
      <c r="C787" s="32"/>
      <c r="D787" s="32"/>
      <c r="E787" s="33"/>
      <c r="F787" s="33"/>
    </row>
    <row r="788">
      <c r="C788" s="32"/>
      <c r="D788" s="32"/>
      <c r="E788" s="33"/>
      <c r="F788" s="33"/>
    </row>
    <row r="789">
      <c r="C789" s="32"/>
      <c r="D789" s="32"/>
      <c r="E789" s="33"/>
      <c r="F789" s="33"/>
    </row>
    <row r="790">
      <c r="C790" s="32"/>
      <c r="D790" s="32"/>
      <c r="E790" s="33"/>
      <c r="F790" s="33"/>
    </row>
    <row r="791">
      <c r="C791" s="32"/>
      <c r="D791" s="32"/>
      <c r="E791" s="33"/>
      <c r="F791" s="33"/>
    </row>
    <row r="792">
      <c r="C792" s="32"/>
      <c r="D792" s="32"/>
      <c r="E792" s="33"/>
      <c r="F792" s="33"/>
    </row>
    <row r="793">
      <c r="C793" s="32"/>
      <c r="D793" s="32"/>
      <c r="E793" s="33"/>
      <c r="F793" s="33"/>
    </row>
    <row r="794">
      <c r="C794" s="32"/>
      <c r="D794" s="32"/>
      <c r="E794" s="33"/>
      <c r="F794" s="33"/>
    </row>
    <row r="795">
      <c r="C795" s="32"/>
      <c r="D795" s="32"/>
      <c r="E795" s="33"/>
      <c r="F795" s="33"/>
    </row>
    <row r="796">
      <c r="C796" s="32"/>
      <c r="D796" s="32"/>
      <c r="E796" s="33"/>
      <c r="F796" s="33"/>
    </row>
    <row r="797">
      <c r="C797" s="32"/>
      <c r="D797" s="32"/>
      <c r="E797" s="33"/>
      <c r="F797" s="33"/>
    </row>
    <row r="798">
      <c r="C798" s="32"/>
      <c r="D798" s="32"/>
      <c r="E798" s="33"/>
      <c r="F798" s="33"/>
    </row>
    <row r="799">
      <c r="C799" s="32"/>
      <c r="D799" s="32"/>
      <c r="E799" s="33"/>
      <c r="F799" s="33"/>
    </row>
    <row r="800">
      <c r="C800" s="32"/>
      <c r="D800" s="32"/>
      <c r="E800" s="33"/>
      <c r="F800" s="33"/>
    </row>
    <row r="801">
      <c r="C801" s="32"/>
      <c r="D801" s="32"/>
      <c r="E801" s="33"/>
      <c r="F801" s="33"/>
    </row>
    <row r="802">
      <c r="C802" s="32"/>
      <c r="D802" s="32"/>
      <c r="E802" s="33"/>
      <c r="F802" s="33"/>
    </row>
    <row r="803">
      <c r="C803" s="32"/>
      <c r="D803" s="32"/>
      <c r="E803" s="33"/>
      <c r="F803" s="33"/>
    </row>
    <row r="804">
      <c r="C804" s="32"/>
      <c r="D804" s="32"/>
      <c r="E804" s="33"/>
      <c r="F804" s="33"/>
    </row>
    <row r="805">
      <c r="C805" s="32"/>
      <c r="D805" s="32"/>
      <c r="E805" s="33"/>
      <c r="F805" s="33"/>
    </row>
    <row r="806">
      <c r="C806" s="32"/>
      <c r="D806" s="32"/>
      <c r="E806" s="33"/>
      <c r="F806" s="33"/>
    </row>
    <row r="807">
      <c r="C807" s="32"/>
      <c r="D807" s="32"/>
      <c r="E807" s="33"/>
      <c r="F807" s="33"/>
    </row>
    <row r="808">
      <c r="C808" s="32"/>
      <c r="D808" s="32"/>
      <c r="E808" s="33"/>
      <c r="F808" s="33"/>
    </row>
    <row r="809">
      <c r="C809" s="32"/>
      <c r="D809" s="32"/>
      <c r="E809" s="33"/>
      <c r="F809" s="33"/>
    </row>
    <row r="810">
      <c r="C810" s="32"/>
      <c r="D810" s="32"/>
      <c r="E810" s="33"/>
      <c r="F810" s="33"/>
    </row>
    <row r="811">
      <c r="C811" s="32"/>
      <c r="D811" s="32"/>
      <c r="E811" s="33"/>
      <c r="F811" s="33"/>
    </row>
    <row r="812">
      <c r="C812" s="32"/>
      <c r="D812" s="32"/>
      <c r="E812" s="33"/>
      <c r="F812" s="33"/>
    </row>
    <row r="813">
      <c r="C813" s="32"/>
      <c r="D813" s="32"/>
      <c r="E813" s="33"/>
      <c r="F813" s="33"/>
    </row>
    <row r="814">
      <c r="C814" s="32"/>
      <c r="D814" s="32"/>
      <c r="E814" s="33"/>
      <c r="F814" s="33"/>
    </row>
    <row r="815">
      <c r="C815" s="32"/>
      <c r="D815" s="32"/>
      <c r="E815" s="33"/>
      <c r="F815" s="33"/>
    </row>
    <row r="816">
      <c r="C816" s="32"/>
      <c r="D816" s="32"/>
      <c r="E816" s="33"/>
      <c r="F816" s="33"/>
    </row>
    <row r="817">
      <c r="C817" s="32"/>
      <c r="D817" s="32"/>
      <c r="E817" s="33"/>
      <c r="F817" s="33"/>
    </row>
    <row r="818">
      <c r="C818" s="32"/>
      <c r="D818" s="32"/>
      <c r="E818" s="33"/>
      <c r="F818" s="33"/>
    </row>
    <row r="819">
      <c r="C819" s="32"/>
      <c r="D819" s="32"/>
      <c r="E819" s="33"/>
      <c r="F819" s="33"/>
    </row>
    <row r="820">
      <c r="C820" s="32"/>
      <c r="D820" s="32"/>
      <c r="E820" s="33"/>
      <c r="F820" s="33"/>
    </row>
    <row r="821">
      <c r="C821" s="32"/>
      <c r="D821" s="32"/>
      <c r="E821" s="33"/>
      <c r="F821" s="33"/>
    </row>
    <row r="822">
      <c r="C822" s="32"/>
      <c r="D822" s="32"/>
      <c r="E822" s="33"/>
      <c r="F822" s="33"/>
    </row>
    <row r="823">
      <c r="C823" s="32"/>
      <c r="D823" s="32"/>
      <c r="E823" s="33"/>
      <c r="F823" s="33"/>
    </row>
    <row r="824">
      <c r="C824" s="32"/>
      <c r="D824" s="32"/>
      <c r="E824" s="33"/>
      <c r="F824" s="33"/>
    </row>
    <row r="825">
      <c r="C825" s="32"/>
      <c r="D825" s="32"/>
      <c r="E825" s="33"/>
      <c r="F825" s="33"/>
    </row>
    <row r="826">
      <c r="C826" s="32"/>
      <c r="D826" s="32"/>
      <c r="E826" s="33"/>
      <c r="F826" s="33"/>
    </row>
    <row r="827">
      <c r="C827" s="32"/>
      <c r="D827" s="32"/>
      <c r="E827" s="33"/>
      <c r="F827" s="33"/>
    </row>
    <row r="828">
      <c r="C828" s="32"/>
      <c r="D828" s="32"/>
      <c r="E828" s="33"/>
      <c r="F828" s="33"/>
    </row>
    <row r="829">
      <c r="C829" s="32"/>
      <c r="D829" s="32"/>
      <c r="E829" s="33"/>
      <c r="F829" s="33"/>
    </row>
    <row r="830">
      <c r="C830" s="32"/>
      <c r="D830" s="32"/>
      <c r="E830" s="33"/>
      <c r="F830" s="33"/>
    </row>
    <row r="831">
      <c r="C831" s="32"/>
      <c r="D831" s="32"/>
      <c r="E831" s="33"/>
      <c r="F831" s="33"/>
    </row>
    <row r="832">
      <c r="C832" s="32"/>
      <c r="D832" s="32"/>
      <c r="E832" s="33"/>
      <c r="F832" s="33"/>
    </row>
    <row r="833">
      <c r="C833" s="32"/>
      <c r="D833" s="32"/>
      <c r="E833" s="33"/>
      <c r="F833" s="33"/>
    </row>
    <row r="834">
      <c r="C834" s="32"/>
      <c r="D834" s="32"/>
      <c r="E834" s="33"/>
      <c r="F834" s="33"/>
    </row>
    <row r="835">
      <c r="C835" s="32"/>
      <c r="D835" s="32"/>
      <c r="E835" s="33"/>
      <c r="F835" s="33"/>
    </row>
    <row r="836">
      <c r="C836" s="32"/>
      <c r="D836" s="32"/>
      <c r="E836" s="33"/>
      <c r="F836" s="33"/>
    </row>
    <row r="837">
      <c r="C837" s="32"/>
      <c r="D837" s="32"/>
      <c r="E837" s="33"/>
      <c r="F837" s="33"/>
    </row>
    <row r="838">
      <c r="C838" s="32"/>
      <c r="D838" s="32"/>
      <c r="E838" s="33"/>
      <c r="F838" s="33"/>
    </row>
    <row r="839">
      <c r="C839" s="32"/>
      <c r="D839" s="32"/>
      <c r="E839" s="33"/>
      <c r="F839" s="33"/>
    </row>
    <row r="840">
      <c r="C840" s="32"/>
      <c r="D840" s="32"/>
      <c r="E840" s="33"/>
      <c r="F840" s="33"/>
    </row>
    <row r="841">
      <c r="C841" s="32"/>
      <c r="D841" s="32"/>
      <c r="E841" s="33"/>
      <c r="F841" s="33"/>
    </row>
    <row r="842">
      <c r="C842" s="32"/>
      <c r="D842" s="32"/>
      <c r="E842" s="33"/>
      <c r="F842" s="33"/>
    </row>
    <row r="843">
      <c r="C843" s="32"/>
      <c r="D843" s="32"/>
      <c r="E843" s="33"/>
      <c r="F843" s="33"/>
    </row>
    <row r="844">
      <c r="C844" s="32"/>
      <c r="D844" s="32"/>
      <c r="E844" s="33"/>
      <c r="F844" s="33"/>
    </row>
    <row r="845">
      <c r="C845" s="32"/>
      <c r="D845" s="32"/>
      <c r="E845" s="33"/>
      <c r="F845" s="33"/>
    </row>
    <row r="846">
      <c r="C846" s="32"/>
      <c r="D846" s="32"/>
      <c r="E846" s="33"/>
      <c r="F846" s="33"/>
    </row>
    <row r="847">
      <c r="C847" s="32"/>
      <c r="D847" s="32"/>
      <c r="E847" s="33"/>
      <c r="F847" s="33"/>
    </row>
    <row r="848">
      <c r="C848" s="32"/>
      <c r="D848" s="32"/>
      <c r="E848" s="33"/>
      <c r="F848" s="33"/>
    </row>
    <row r="849">
      <c r="C849" s="32"/>
      <c r="D849" s="32"/>
      <c r="E849" s="33"/>
      <c r="F849" s="33"/>
    </row>
    <row r="850">
      <c r="C850" s="32"/>
      <c r="D850" s="32"/>
      <c r="E850" s="33"/>
      <c r="F850" s="33"/>
    </row>
    <row r="851">
      <c r="C851" s="32"/>
      <c r="D851" s="32"/>
      <c r="E851" s="33"/>
      <c r="F851" s="33"/>
    </row>
    <row r="852">
      <c r="C852" s="32"/>
      <c r="D852" s="32"/>
      <c r="E852" s="33"/>
      <c r="F852" s="33"/>
    </row>
    <row r="853">
      <c r="C853" s="32"/>
      <c r="D853" s="32"/>
      <c r="E853" s="33"/>
      <c r="F853" s="33"/>
    </row>
    <row r="854">
      <c r="C854" s="32"/>
      <c r="D854" s="32"/>
      <c r="E854" s="33"/>
      <c r="F854" s="33"/>
    </row>
    <row r="855">
      <c r="C855" s="32"/>
      <c r="D855" s="32"/>
      <c r="E855" s="33"/>
      <c r="F855" s="33"/>
    </row>
    <row r="856">
      <c r="C856" s="32"/>
      <c r="D856" s="32"/>
      <c r="E856" s="33"/>
      <c r="F856" s="33"/>
    </row>
    <row r="857">
      <c r="C857" s="32"/>
      <c r="D857" s="32"/>
      <c r="E857" s="33"/>
      <c r="F857" s="33"/>
    </row>
    <row r="858">
      <c r="C858" s="32"/>
      <c r="D858" s="32"/>
      <c r="E858" s="33"/>
      <c r="F858" s="33"/>
    </row>
    <row r="859">
      <c r="C859" s="32"/>
      <c r="D859" s="32"/>
      <c r="E859" s="33"/>
      <c r="F859" s="33"/>
    </row>
    <row r="860">
      <c r="C860" s="32"/>
      <c r="D860" s="32"/>
      <c r="E860" s="33"/>
      <c r="F860" s="33"/>
    </row>
    <row r="861">
      <c r="C861" s="32"/>
      <c r="D861" s="32"/>
      <c r="E861" s="33"/>
      <c r="F861" s="33"/>
    </row>
    <row r="862">
      <c r="C862" s="32"/>
      <c r="D862" s="32"/>
      <c r="E862" s="33"/>
      <c r="F862" s="33"/>
    </row>
    <row r="863">
      <c r="C863" s="32"/>
      <c r="D863" s="32"/>
      <c r="E863" s="33"/>
      <c r="F863" s="33"/>
    </row>
    <row r="864">
      <c r="C864" s="32"/>
      <c r="D864" s="32"/>
      <c r="E864" s="33"/>
      <c r="F864" s="33"/>
    </row>
    <row r="865">
      <c r="C865" s="32"/>
      <c r="D865" s="32"/>
      <c r="E865" s="33"/>
      <c r="F865" s="33"/>
    </row>
    <row r="866">
      <c r="C866" s="32"/>
      <c r="D866" s="32"/>
      <c r="E866" s="33"/>
      <c r="F866" s="33"/>
    </row>
    <row r="867">
      <c r="C867" s="32"/>
      <c r="D867" s="32"/>
      <c r="E867" s="33"/>
      <c r="F867" s="33"/>
    </row>
    <row r="868">
      <c r="C868" s="32"/>
      <c r="D868" s="32"/>
      <c r="E868" s="33"/>
      <c r="F868" s="33"/>
    </row>
    <row r="869">
      <c r="C869" s="32"/>
      <c r="D869" s="32"/>
      <c r="E869" s="33"/>
      <c r="F869" s="33"/>
    </row>
    <row r="870">
      <c r="C870" s="32"/>
      <c r="D870" s="32"/>
      <c r="E870" s="33"/>
      <c r="F870" s="33"/>
    </row>
    <row r="871">
      <c r="C871" s="32"/>
      <c r="D871" s="32"/>
      <c r="E871" s="33"/>
      <c r="F871" s="33"/>
    </row>
    <row r="872">
      <c r="C872" s="32"/>
      <c r="D872" s="32"/>
      <c r="E872" s="33"/>
      <c r="F872" s="33"/>
    </row>
    <row r="873">
      <c r="C873" s="32"/>
      <c r="D873" s="32"/>
      <c r="E873" s="33"/>
      <c r="F873" s="33"/>
    </row>
    <row r="874">
      <c r="C874" s="32"/>
      <c r="D874" s="32"/>
      <c r="E874" s="33"/>
      <c r="F874" s="33"/>
    </row>
    <row r="875">
      <c r="C875" s="32"/>
      <c r="D875" s="32"/>
      <c r="E875" s="33"/>
      <c r="F875" s="33"/>
    </row>
    <row r="876">
      <c r="C876" s="32"/>
      <c r="D876" s="32"/>
      <c r="E876" s="33"/>
      <c r="F876" s="33"/>
    </row>
    <row r="877">
      <c r="C877" s="32"/>
      <c r="D877" s="32"/>
      <c r="E877" s="33"/>
      <c r="F877" s="33"/>
    </row>
    <row r="878">
      <c r="C878" s="32"/>
      <c r="D878" s="32"/>
      <c r="E878" s="33"/>
      <c r="F878" s="33"/>
    </row>
    <row r="879">
      <c r="C879" s="32"/>
      <c r="D879" s="32"/>
      <c r="E879" s="33"/>
      <c r="F879" s="33"/>
    </row>
    <row r="880">
      <c r="C880" s="32"/>
      <c r="D880" s="32"/>
      <c r="E880" s="33"/>
      <c r="F880" s="33"/>
    </row>
    <row r="881">
      <c r="C881" s="32"/>
      <c r="D881" s="32"/>
      <c r="E881" s="33"/>
      <c r="F881" s="33"/>
    </row>
    <row r="882">
      <c r="C882" s="32"/>
      <c r="D882" s="32"/>
      <c r="E882" s="33"/>
      <c r="F882" s="33"/>
    </row>
    <row r="883">
      <c r="C883" s="32"/>
      <c r="D883" s="32"/>
      <c r="E883" s="33"/>
      <c r="F883" s="33"/>
    </row>
    <row r="884">
      <c r="C884" s="32"/>
      <c r="D884" s="32"/>
      <c r="E884" s="33"/>
      <c r="F884" s="33"/>
    </row>
    <row r="885">
      <c r="C885" s="32"/>
      <c r="D885" s="32"/>
      <c r="E885" s="33"/>
      <c r="F885" s="33"/>
    </row>
    <row r="886">
      <c r="C886" s="32"/>
      <c r="D886" s="32"/>
      <c r="E886" s="33"/>
      <c r="F886" s="33"/>
    </row>
    <row r="887">
      <c r="C887" s="32"/>
      <c r="D887" s="32"/>
      <c r="E887" s="33"/>
      <c r="F887" s="33"/>
    </row>
    <row r="888">
      <c r="C888" s="32"/>
      <c r="D888" s="32"/>
      <c r="E888" s="33"/>
      <c r="F888" s="33"/>
    </row>
    <row r="889">
      <c r="C889" s="32"/>
      <c r="D889" s="32"/>
      <c r="E889" s="33"/>
      <c r="F889" s="33"/>
    </row>
    <row r="890">
      <c r="C890" s="32"/>
      <c r="D890" s="32"/>
      <c r="E890" s="33"/>
      <c r="F890" s="33"/>
    </row>
    <row r="891">
      <c r="C891" s="32"/>
      <c r="D891" s="32"/>
      <c r="E891" s="33"/>
      <c r="F891" s="33"/>
    </row>
    <row r="892">
      <c r="C892" s="32"/>
      <c r="D892" s="32"/>
      <c r="E892" s="33"/>
      <c r="F892" s="33"/>
    </row>
    <row r="893">
      <c r="C893" s="32"/>
      <c r="D893" s="32"/>
      <c r="E893" s="33"/>
      <c r="F893" s="33"/>
    </row>
    <row r="894">
      <c r="C894" s="32"/>
      <c r="D894" s="32"/>
      <c r="E894" s="33"/>
      <c r="F894" s="33"/>
    </row>
    <row r="895">
      <c r="C895" s="32"/>
      <c r="D895" s="32"/>
      <c r="E895" s="33"/>
      <c r="F895" s="33"/>
    </row>
    <row r="896">
      <c r="C896" s="32"/>
      <c r="D896" s="32"/>
      <c r="E896" s="33"/>
      <c r="F896" s="33"/>
    </row>
    <row r="897">
      <c r="C897" s="32"/>
      <c r="D897" s="32"/>
      <c r="E897" s="33"/>
      <c r="F897" s="33"/>
    </row>
    <row r="898">
      <c r="C898" s="32"/>
      <c r="D898" s="32"/>
      <c r="E898" s="33"/>
      <c r="F898" s="33"/>
    </row>
    <row r="899">
      <c r="C899" s="32"/>
      <c r="D899" s="32"/>
      <c r="E899" s="33"/>
      <c r="F899" s="33"/>
    </row>
    <row r="900">
      <c r="C900" s="32"/>
      <c r="D900" s="32"/>
      <c r="E900" s="33"/>
      <c r="F900" s="33"/>
    </row>
    <row r="901">
      <c r="C901" s="32"/>
      <c r="D901" s="32"/>
      <c r="E901" s="33"/>
      <c r="F901" s="33"/>
    </row>
    <row r="902">
      <c r="C902" s="32"/>
      <c r="D902" s="32"/>
      <c r="E902" s="33"/>
      <c r="F902" s="33"/>
    </row>
    <row r="903">
      <c r="C903" s="32"/>
      <c r="D903" s="32"/>
      <c r="E903" s="33"/>
      <c r="F903" s="33"/>
    </row>
    <row r="904">
      <c r="C904" s="32"/>
      <c r="D904" s="32"/>
      <c r="E904" s="33"/>
      <c r="F904" s="33"/>
    </row>
    <row r="905">
      <c r="C905" s="32"/>
      <c r="D905" s="32"/>
      <c r="E905" s="33"/>
      <c r="F905" s="33"/>
    </row>
    <row r="906">
      <c r="C906" s="32"/>
      <c r="D906" s="32"/>
      <c r="E906" s="33"/>
      <c r="F906" s="33"/>
    </row>
    <row r="907">
      <c r="C907" s="32"/>
      <c r="D907" s="32"/>
      <c r="E907" s="33"/>
      <c r="F907" s="33"/>
    </row>
    <row r="908">
      <c r="C908" s="32"/>
      <c r="D908" s="32"/>
      <c r="E908" s="33"/>
      <c r="F908" s="33"/>
    </row>
    <row r="909">
      <c r="C909" s="32"/>
      <c r="D909" s="32"/>
      <c r="E909" s="33"/>
      <c r="F909" s="33"/>
    </row>
    <row r="910">
      <c r="C910" s="32"/>
      <c r="D910" s="32"/>
      <c r="E910" s="33"/>
      <c r="F910" s="33"/>
    </row>
    <row r="911">
      <c r="C911" s="32"/>
      <c r="D911" s="32"/>
      <c r="E911" s="33"/>
      <c r="F911" s="33"/>
    </row>
    <row r="912">
      <c r="C912" s="32"/>
      <c r="D912" s="32"/>
      <c r="E912" s="33"/>
      <c r="F912" s="33"/>
    </row>
    <row r="913">
      <c r="C913" s="32"/>
      <c r="D913" s="32"/>
      <c r="E913" s="33"/>
      <c r="F913" s="33"/>
    </row>
    <row r="914">
      <c r="C914" s="32"/>
      <c r="D914" s="32"/>
      <c r="E914" s="33"/>
      <c r="F914" s="33"/>
    </row>
    <row r="915">
      <c r="C915" s="32"/>
      <c r="D915" s="32"/>
      <c r="E915" s="33"/>
      <c r="F915" s="33"/>
    </row>
    <row r="916">
      <c r="C916" s="32"/>
      <c r="D916" s="32"/>
      <c r="E916" s="33"/>
      <c r="F916" s="33"/>
    </row>
    <row r="917">
      <c r="C917" s="32"/>
      <c r="D917" s="32"/>
      <c r="E917" s="33"/>
      <c r="F917" s="33"/>
    </row>
    <row r="918">
      <c r="C918" s="32"/>
      <c r="D918" s="32"/>
      <c r="E918" s="33"/>
      <c r="F918" s="33"/>
    </row>
    <row r="919">
      <c r="C919" s="32"/>
      <c r="D919" s="32"/>
      <c r="E919" s="33"/>
      <c r="F919" s="33"/>
    </row>
    <row r="920">
      <c r="C920" s="32"/>
      <c r="D920" s="32"/>
      <c r="E920" s="33"/>
      <c r="F920" s="33"/>
    </row>
    <row r="921">
      <c r="C921" s="32"/>
      <c r="D921" s="32"/>
      <c r="E921" s="33"/>
      <c r="F921" s="33"/>
    </row>
    <row r="922">
      <c r="C922" s="32"/>
      <c r="D922" s="32"/>
      <c r="E922" s="33"/>
      <c r="F922" s="33"/>
    </row>
    <row r="923">
      <c r="C923" s="32"/>
      <c r="D923" s="32"/>
      <c r="E923" s="33"/>
      <c r="F923" s="33"/>
    </row>
    <row r="924">
      <c r="C924" s="32"/>
      <c r="D924" s="32"/>
      <c r="E924" s="33"/>
      <c r="F924" s="33"/>
    </row>
    <row r="925">
      <c r="C925" s="32"/>
      <c r="D925" s="32"/>
      <c r="E925" s="33"/>
      <c r="F925" s="33"/>
    </row>
    <row r="926">
      <c r="C926" s="32"/>
      <c r="D926" s="32"/>
      <c r="E926" s="33"/>
      <c r="F926" s="33"/>
    </row>
    <row r="927">
      <c r="C927" s="32"/>
      <c r="D927" s="32"/>
      <c r="E927" s="33"/>
      <c r="F927" s="33"/>
    </row>
    <row r="928">
      <c r="C928" s="32"/>
      <c r="D928" s="32"/>
      <c r="E928" s="33"/>
      <c r="F928" s="33"/>
    </row>
    <row r="929">
      <c r="C929" s="32"/>
      <c r="D929" s="32"/>
      <c r="E929" s="33"/>
      <c r="F929" s="33"/>
    </row>
    <row r="930">
      <c r="C930" s="32"/>
      <c r="D930" s="32"/>
      <c r="E930" s="33"/>
      <c r="F930" s="33"/>
    </row>
    <row r="931">
      <c r="C931" s="32"/>
      <c r="D931" s="32"/>
      <c r="E931" s="33"/>
      <c r="F931" s="33"/>
    </row>
    <row r="932">
      <c r="C932" s="32"/>
      <c r="D932" s="32"/>
      <c r="E932" s="33"/>
      <c r="F932" s="33"/>
    </row>
    <row r="933">
      <c r="C933" s="32"/>
      <c r="D933" s="32"/>
      <c r="E933" s="33"/>
      <c r="F933" s="33"/>
    </row>
    <row r="934">
      <c r="C934" s="32"/>
      <c r="D934" s="32"/>
      <c r="E934" s="33"/>
      <c r="F934" s="33"/>
    </row>
    <row r="935">
      <c r="C935" s="32"/>
      <c r="D935" s="32"/>
      <c r="E935" s="33"/>
      <c r="F935" s="33"/>
    </row>
    <row r="936">
      <c r="C936" s="32"/>
      <c r="D936" s="32"/>
      <c r="E936" s="33"/>
      <c r="F936" s="33"/>
    </row>
    <row r="937">
      <c r="C937" s="32"/>
      <c r="D937" s="32"/>
      <c r="E937" s="33"/>
      <c r="F937" s="33"/>
    </row>
    <row r="938">
      <c r="C938" s="32"/>
      <c r="D938" s="32"/>
      <c r="E938" s="33"/>
      <c r="F938" s="33"/>
    </row>
    <row r="939">
      <c r="C939" s="32"/>
      <c r="D939" s="32"/>
      <c r="E939" s="33"/>
      <c r="F939" s="33"/>
    </row>
    <row r="940">
      <c r="C940" s="32"/>
      <c r="D940" s="32"/>
      <c r="E940" s="33"/>
      <c r="F940" s="33"/>
    </row>
    <row r="941">
      <c r="C941" s="32"/>
      <c r="D941" s="32"/>
      <c r="E941" s="33"/>
      <c r="F941" s="33"/>
    </row>
    <row r="942">
      <c r="C942" s="32"/>
      <c r="D942" s="32"/>
      <c r="E942" s="33"/>
      <c r="F942" s="33"/>
    </row>
    <row r="943">
      <c r="C943" s="32"/>
      <c r="D943" s="32"/>
      <c r="E943" s="33"/>
      <c r="F943" s="33"/>
    </row>
    <row r="944">
      <c r="C944" s="32"/>
      <c r="D944" s="32"/>
      <c r="E944" s="33"/>
      <c r="F944" s="33"/>
    </row>
    <row r="945">
      <c r="C945" s="32"/>
      <c r="D945" s="32"/>
      <c r="E945" s="33"/>
      <c r="F945" s="33"/>
    </row>
    <row r="946">
      <c r="C946" s="32"/>
      <c r="D946" s="32"/>
      <c r="E946" s="33"/>
      <c r="F946" s="33"/>
    </row>
    <row r="947">
      <c r="C947" s="32"/>
      <c r="D947" s="32"/>
      <c r="E947" s="33"/>
      <c r="F947" s="33"/>
    </row>
    <row r="948">
      <c r="C948" s="32"/>
      <c r="D948" s="32"/>
      <c r="E948" s="33"/>
      <c r="F948" s="33"/>
    </row>
    <row r="949">
      <c r="C949" s="32"/>
      <c r="D949" s="32"/>
      <c r="E949" s="33"/>
      <c r="F949" s="33"/>
    </row>
    <row r="950">
      <c r="C950" s="32"/>
      <c r="D950" s="32"/>
      <c r="E950" s="33"/>
      <c r="F950" s="33"/>
    </row>
    <row r="951">
      <c r="C951" s="32"/>
      <c r="D951" s="32"/>
      <c r="E951" s="33"/>
      <c r="F951" s="33"/>
    </row>
    <row r="952">
      <c r="C952" s="32"/>
      <c r="D952" s="32"/>
      <c r="E952" s="33"/>
      <c r="F952" s="33"/>
    </row>
    <row r="953">
      <c r="C953" s="32"/>
      <c r="D953" s="32"/>
      <c r="E953" s="33"/>
      <c r="F953" s="33"/>
    </row>
    <row r="954">
      <c r="C954" s="32"/>
      <c r="D954" s="32"/>
      <c r="E954" s="33"/>
      <c r="F954" s="33"/>
    </row>
    <row r="955">
      <c r="C955" s="32"/>
      <c r="D955" s="32"/>
      <c r="E955" s="33"/>
      <c r="F955" s="33"/>
    </row>
    <row r="956">
      <c r="C956" s="32"/>
      <c r="D956" s="32"/>
      <c r="E956" s="33"/>
      <c r="F956" s="33"/>
    </row>
    <row r="957">
      <c r="C957" s="32"/>
      <c r="D957" s="32"/>
      <c r="E957" s="33"/>
      <c r="F957" s="33"/>
    </row>
    <row r="958">
      <c r="C958" s="32"/>
      <c r="D958" s="32"/>
      <c r="E958" s="33"/>
      <c r="F958" s="33"/>
    </row>
    <row r="959">
      <c r="C959" s="32"/>
      <c r="D959" s="32"/>
      <c r="E959" s="33"/>
      <c r="F959" s="33"/>
    </row>
    <row r="960">
      <c r="C960" s="32"/>
      <c r="D960" s="32"/>
      <c r="E960" s="33"/>
      <c r="F960" s="33"/>
    </row>
    <row r="961">
      <c r="C961" s="32"/>
      <c r="D961" s="32"/>
      <c r="E961" s="33"/>
      <c r="F961" s="33"/>
    </row>
    <row r="962">
      <c r="C962" s="32"/>
      <c r="D962" s="32"/>
      <c r="E962" s="33"/>
      <c r="F962" s="33"/>
    </row>
    <row r="963">
      <c r="C963" s="32"/>
      <c r="D963" s="32"/>
      <c r="E963" s="33"/>
      <c r="F963" s="33"/>
    </row>
    <row r="964">
      <c r="C964" s="32"/>
      <c r="D964" s="32"/>
      <c r="E964" s="33"/>
      <c r="F964" s="33"/>
    </row>
    <row r="965">
      <c r="C965" s="32"/>
      <c r="D965" s="32"/>
      <c r="E965" s="33"/>
      <c r="F965" s="33"/>
    </row>
    <row r="966">
      <c r="C966" s="32"/>
      <c r="D966" s="32"/>
      <c r="E966" s="33"/>
      <c r="F966" s="33"/>
    </row>
    <row r="967">
      <c r="C967" s="32"/>
      <c r="D967" s="32"/>
      <c r="E967" s="33"/>
      <c r="F967" s="33"/>
    </row>
    <row r="968">
      <c r="C968" s="32"/>
      <c r="D968" s="32"/>
      <c r="E968" s="33"/>
      <c r="F968" s="33"/>
    </row>
    <row r="969">
      <c r="C969" s="32"/>
      <c r="D969" s="32"/>
      <c r="E969" s="33"/>
      <c r="F969" s="33"/>
    </row>
    <row r="970">
      <c r="C970" s="32"/>
      <c r="D970" s="32"/>
      <c r="E970" s="33"/>
      <c r="F970" s="33"/>
    </row>
    <row r="971">
      <c r="C971" s="32"/>
      <c r="D971" s="32"/>
      <c r="E971" s="33"/>
      <c r="F971" s="33"/>
    </row>
    <row r="972">
      <c r="C972" s="32"/>
      <c r="D972" s="32"/>
      <c r="E972" s="33"/>
      <c r="F972" s="33"/>
    </row>
    <row r="973">
      <c r="C973" s="32"/>
      <c r="D973" s="32"/>
      <c r="E973" s="33"/>
      <c r="F973" s="33"/>
    </row>
    <row r="974">
      <c r="C974" s="32"/>
      <c r="D974" s="32"/>
      <c r="E974" s="33"/>
      <c r="F974" s="33"/>
    </row>
    <row r="975">
      <c r="C975" s="32"/>
      <c r="D975" s="32"/>
      <c r="E975" s="33"/>
      <c r="F975" s="33"/>
    </row>
    <row r="976">
      <c r="C976" s="32"/>
      <c r="D976" s="32"/>
      <c r="E976" s="33"/>
      <c r="F976" s="33"/>
    </row>
    <row r="977">
      <c r="C977" s="32"/>
      <c r="D977" s="32"/>
      <c r="E977" s="33"/>
      <c r="F977" s="33"/>
    </row>
    <row r="978">
      <c r="C978" s="32"/>
      <c r="D978" s="32"/>
      <c r="E978" s="33"/>
      <c r="F978" s="33"/>
    </row>
    <row r="979">
      <c r="C979" s="32"/>
      <c r="D979" s="32"/>
      <c r="E979" s="33"/>
      <c r="F979" s="33"/>
    </row>
    <row r="980">
      <c r="C980" s="32"/>
      <c r="D980" s="32"/>
      <c r="E980" s="33"/>
      <c r="F980" s="33"/>
    </row>
    <row r="981">
      <c r="C981" s="32"/>
      <c r="D981" s="32"/>
      <c r="E981" s="33"/>
      <c r="F981" s="33"/>
    </row>
    <row r="982">
      <c r="C982" s="32"/>
      <c r="D982" s="32"/>
      <c r="E982" s="33"/>
      <c r="F982" s="33"/>
    </row>
    <row r="983">
      <c r="C983" s="32"/>
      <c r="D983" s="32"/>
      <c r="E983" s="33"/>
      <c r="F983" s="33"/>
    </row>
    <row r="984">
      <c r="C984" s="32"/>
      <c r="D984" s="32"/>
      <c r="E984" s="33"/>
      <c r="F984" s="33"/>
    </row>
    <row r="985">
      <c r="C985" s="32"/>
      <c r="D985" s="32"/>
      <c r="E985" s="33"/>
      <c r="F985" s="33"/>
    </row>
    <row r="986">
      <c r="C986" s="32"/>
      <c r="D986" s="32"/>
      <c r="E986" s="33"/>
      <c r="F986" s="33"/>
    </row>
    <row r="987">
      <c r="C987" s="32"/>
      <c r="D987" s="32"/>
      <c r="E987" s="33"/>
      <c r="F987" s="33"/>
    </row>
    <row r="988">
      <c r="C988" s="32"/>
      <c r="D988" s="32"/>
      <c r="E988" s="33"/>
      <c r="F988" s="33"/>
    </row>
    <row r="989">
      <c r="C989" s="32"/>
      <c r="D989" s="32"/>
      <c r="E989" s="33"/>
      <c r="F989" s="33"/>
    </row>
    <row r="990">
      <c r="C990" s="32"/>
      <c r="D990" s="32"/>
      <c r="E990" s="33"/>
      <c r="F990" s="33"/>
    </row>
    <row r="991">
      <c r="C991" s="32"/>
      <c r="D991" s="32"/>
      <c r="E991" s="33"/>
      <c r="F991" s="33"/>
    </row>
    <row r="992">
      <c r="C992" s="32"/>
      <c r="D992" s="32"/>
      <c r="E992" s="33"/>
      <c r="F992" s="33"/>
    </row>
    <row r="993">
      <c r="C993" s="32"/>
      <c r="D993" s="32"/>
      <c r="E993" s="33"/>
      <c r="F993" s="33"/>
    </row>
    <row r="994">
      <c r="C994" s="32"/>
      <c r="D994" s="32"/>
      <c r="E994" s="33"/>
      <c r="F994" s="33"/>
    </row>
    <row r="995">
      <c r="C995" s="32"/>
      <c r="D995" s="32"/>
      <c r="E995" s="33"/>
      <c r="F995" s="33"/>
    </row>
    <row r="996">
      <c r="C996" s="32"/>
      <c r="D996" s="32"/>
      <c r="E996" s="33"/>
      <c r="F996" s="33"/>
    </row>
    <row r="997">
      <c r="C997" s="32"/>
      <c r="D997" s="32"/>
      <c r="E997" s="33"/>
      <c r="F997" s="33"/>
    </row>
    <row r="998">
      <c r="C998" s="32"/>
      <c r="D998" s="32"/>
      <c r="E998" s="33"/>
      <c r="F998" s="33"/>
    </row>
    <row r="999">
      <c r="C999" s="32"/>
      <c r="D999" s="32"/>
      <c r="E999" s="33"/>
      <c r="F999" s="33"/>
    </row>
    <row r="1000">
      <c r="C1000" s="32"/>
      <c r="D1000" s="32"/>
      <c r="E1000" s="33"/>
      <c r="F1000" s="33"/>
    </row>
    <row r="1001">
      <c r="C1001" s="32"/>
      <c r="D1001" s="32"/>
      <c r="E1001" s="33"/>
      <c r="F1001" s="33"/>
    </row>
    <row r="1002">
      <c r="C1002" s="32"/>
      <c r="D1002" s="32"/>
      <c r="E1002" s="33"/>
      <c r="F1002" s="33"/>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13"/>
    <col customWidth="1" min="2" max="2" width="18.5"/>
    <col customWidth="1" min="3" max="3" width="23.25"/>
    <col customWidth="1" min="4" max="4" width="32.13"/>
    <col customWidth="1" min="5" max="5" width="20.5"/>
    <col customWidth="1" min="6" max="6" width="20.75"/>
    <col customWidth="1" min="8" max="8" width="22.38"/>
    <col customWidth="1" min="9" max="9" width="19.88"/>
    <col customWidth="1" min="10" max="10" width="23.88"/>
  </cols>
  <sheetData>
    <row r="1">
      <c r="B1" s="33"/>
      <c r="C1" s="33"/>
      <c r="D1" s="33"/>
      <c r="E1" s="33"/>
      <c r="H1" s="33"/>
    </row>
    <row r="2">
      <c r="A2" s="2" t="s">
        <v>16664</v>
      </c>
      <c r="B2" s="17" t="s">
        <v>16665</v>
      </c>
      <c r="C2" s="17" t="s">
        <v>16666</v>
      </c>
      <c r="D2" s="2" t="s">
        <v>16668</v>
      </c>
      <c r="E2" s="2" t="s">
        <v>16669</v>
      </c>
      <c r="F2" s="2" t="s">
        <v>16670</v>
      </c>
      <c r="G2" s="2" t="s">
        <v>16671</v>
      </c>
      <c r="H2" s="17" t="s">
        <v>16673</v>
      </c>
      <c r="I2" s="2" t="s">
        <v>16674</v>
      </c>
      <c r="J2" s="2" t="s">
        <v>16675</v>
      </c>
      <c r="K2" s="2" t="s">
        <v>16676</v>
      </c>
      <c r="L2" s="2" t="s">
        <v>16677</v>
      </c>
      <c r="M2" s="14"/>
    </row>
    <row r="3">
      <c r="A3" s="34" t="s">
        <v>131</v>
      </c>
      <c r="B3" s="35">
        <v>237.0</v>
      </c>
      <c r="C3" s="36">
        <v>0.983402489626556</v>
      </c>
      <c r="D3" s="1" t="s">
        <v>16680</v>
      </c>
      <c r="E3" s="37">
        <v>226.0</v>
      </c>
      <c r="F3" s="38">
        <v>0.9535864978902954</v>
      </c>
      <c r="G3" s="39">
        <f t="shared" ref="G3:G5" si="1">IFERROR(
  IF(E3=0, 
     0,
     (B3 - E3) / E3
  ),
  0
)</f>
        <v>0.04867256637</v>
      </c>
      <c r="H3" s="40" t="str">
        <f t="shared" ref="H3:H5" si="2">IF(
  G3="",
  "",
  IF(
    G3&gt;0,
    "▲ "&amp;TEXT(G3, "+0.0%"),
    IF(
      G3&lt;0,
      "▼ "&amp;TEXT(G3, "+0.0%"),
      "● 0.0%"
    )
  )
)</f>
        <v>▲ +4.9%</v>
      </c>
      <c r="I3" s="10">
        <v>1255.0</v>
      </c>
      <c r="J3" s="10">
        <v>1018.0</v>
      </c>
      <c r="K3" s="39">
        <f>IFERROR(__xludf.DUMMYFUNCTION("LET(
  status, $A3,
  yearNow, YEAR(TODAY()),
  dates, FILTER(
    HealthReportSnapshots!$A$2:$A952,
    HealthReportSnapshots!$B$2:$B952 = status,
    YEAR(HealthReportSnapshots!$A$2:$A952) = yearNow
  ),
  pcts, FILTER(
    HealthReportSnapshots!$D$2:$D"&amp;"952,
    HealthReportSnapshots!$B$2:$B952 = status,
    YEAR(HealthReportSnapshots!$A$2:$A952) = yearNow
  ),
  firstPct, IFERROR(
    INDEX(pcts, MATCH(MIN(dates), dates, 0)),
    """"
  ),
  lastPct, IFERROR(
    INDEX(pcts, MATCH(MAX(dates), dates, 0))"&amp;",
    """"
  ),
  IFERROR(
    IF(firstPct = """", """",
      IF(firstPct = 0, 0, (lastPct - firstPct) / firstPct)
    ),
    0
  )
)"),0.07947583932662561)</f>
        <v>0.07947583933</v>
      </c>
      <c r="L3" s="41" t="str">
        <f t="shared" ref="L3:L5" si="3">IF(
  K3="",
  "",
  IF(
    K3&gt;0,
    "▲ "&amp;TEXT(K3, "+0.0%"),
    IF(
      K3&lt;0,
      "▼ "&amp;TEXT(K3, "+0.0%"),
      "● 0.0%"
    )
  )
)</f>
        <v>▲ +7.9%</v>
      </c>
    </row>
    <row r="4">
      <c r="A4" s="42" t="s">
        <v>472</v>
      </c>
      <c r="B4" s="35">
        <v>1.0</v>
      </c>
      <c r="C4" s="36">
        <v>0.004149377593360996</v>
      </c>
      <c r="D4" s="1" t="s">
        <v>16700</v>
      </c>
      <c r="E4" s="37">
        <v>6.0</v>
      </c>
      <c r="F4" s="38">
        <v>0.02531645569620253</v>
      </c>
      <c r="G4" s="39">
        <f t="shared" si="1"/>
        <v>-0.8333333333</v>
      </c>
      <c r="H4" s="40" t="str">
        <f t="shared" si="2"/>
        <v>▼ -+83.3%</v>
      </c>
      <c r="I4" s="10">
        <v>55.0</v>
      </c>
      <c r="J4" s="10">
        <v>54.0</v>
      </c>
      <c r="K4" s="39">
        <f>IFERROR(__xludf.DUMMYFUNCTION("LET(
  status, $A4,
  yearNow, YEAR(TODAY()),
  dates, FILTER(
    HealthReportSnapshots!$A$2:$A952,
    HealthReportSnapshots!$B$2:$B952 = status,
    YEAR(HealthReportSnapshots!$A$2:$A952) = yearNow
  ),
  pcts, FILTER(
    HealthReportSnapshots!$D$2:$D"&amp;"952,
    HealthReportSnapshots!$B$2:$B952 = status,
    YEAR(HealthReportSnapshots!$A$2:$A952) = yearNow
  ),
  firstPct, IFERROR(
    INDEX(pcts, MATCH(MIN(dates), dates, 0)),
    """"
  ),
  lastPct, IFERROR(
    INDEX(pcts, MATCH(MAX(dates), dates, 0))"&amp;",
    """"
  ),
  IFERROR(
    IF(firstPct = """", """",
      IF(firstPct = 0, 0, (lastPct - firstPct) / firstPct)
    ),
    0
  )
)"),-0.8847395112955279)</f>
        <v>-0.8847395113</v>
      </c>
      <c r="L4" s="41" t="str">
        <f t="shared" si="3"/>
        <v>▼ -+88.5%</v>
      </c>
    </row>
    <row r="5">
      <c r="A5" s="43" t="s">
        <v>365</v>
      </c>
      <c r="B5" s="35">
        <v>3.0</v>
      </c>
      <c r="C5" s="36">
        <v>0.012448132780082987</v>
      </c>
      <c r="D5" s="1" t="s">
        <v>16706</v>
      </c>
      <c r="E5" s="37">
        <v>5.0</v>
      </c>
      <c r="F5" s="38">
        <v>0.02109704641350211</v>
      </c>
      <c r="G5" s="39">
        <f t="shared" si="1"/>
        <v>-0.4</v>
      </c>
      <c r="H5" s="40" t="str">
        <f t="shared" si="2"/>
        <v>▼ -+40.0%</v>
      </c>
      <c r="I5" s="10">
        <v>47.0</v>
      </c>
      <c r="J5" s="10">
        <v>44.0</v>
      </c>
      <c r="K5" s="39">
        <f>IFERROR(__xludf.DUMMYFUNCTION("LET(
  status, $A5,
  yearNow, YEAR(TODAY()),
  dates, FILTER(
    HealthReportSnapshots!$A$2:$A952,
    HealthReportSnapshots!$B$2:$B952 = status,
    YEAR(HealthReportSnapshots!$A$2:$A952) = yearNow
  ),
  pcts, FILTER(
    HealthReportSnapshots!$D$2:$D"&amp;"952,
    HealthReportSnapshots!$B$2:$B952 = status,
    YEAR(HealthReportSnapshots!$A$2:$A952) = yearNow
  ),
  firstPct, IFERROR(
    INDEX(pcts, MATCH(MIN(dates), dates, 0)),
    """"
  ),
  lastPct, IFERROR(
    INDEX(pcts, MATCH(MAX(dates), dates, 0))"&amp;",
    """"
  ),
  IFERROR(
    IF(firstPct = """", """",
      IF(firstPct = 0, 0, (lastPct - firstPct) / firstPct)
    ),
    0
  )
)"),-0.7651295701871135)</f>
        <v>-0.7651295702</v>
      </c>
      <c r="L5" s="41" t="str">
        <f t="shared" si="3"/>
        <v>▼ -+76.5%</v>
      </c>
    </row>
    <row r="6">
      <c r="B6" s="33"/>
      <c r="C6" s="33"/>
      <c r="D6" s="33"/>
      <c r="E6" s="33"/>
      <c r="H6" s="33"/>
    </row>
    <row r="7">
      <c r="B7" s="33"/>
      <c r="C7" s="33"/>
      <c r="D7" s="33"/>
      <c r="E7" s="33"/>
      <c r="H7" s="33"/>
    </row>
    <row r="8">
      <c r="A8" s="14" t="str">
        <f>IFERROR(__xludf.DUMMYFUNCTION("QUERY(DNU_ActiveDeployments!A2:C200, 
  ""SELECT C, COUNT(C), COUNT(C) / 178 
   WHERE C IS NOT NULL 
   GROUP BY C 
   ORDER BY COUNT(C) DESC
   LABEL C 'Services Approach', COUNT(C) 'Total Count', COUNT(C) / 178 'Percentage of the Total' 
   FORMAT COUN"&amp;"T(C) / 178 '0.00%'"")"),"Services Approach")</f>
        <v>Services Approach</v>
      </c>
      <c r="B8" s="31" t="str">
        <f>IFERROR(__xludf.DUMMYFUNCTION("""COMPUTED_VALUE"""),"Total Count")</f>
        <v>Total Count</v>
      </c>
      <c r="C8" s="31" t="str">
        <f>IFERROR(__xludf.DUMMYFUNCTION("""COMPUTED_VALUE"""),"Percentage of the Total")</f>
        <v>Percentage of the Total</v>
      </c>
      <c r="D8" s="17"/>
      <c r="H8" s="33"/>
    </row>
    <row r="9">
      <c r="A9" s="14" t="str">
        <f>IFERROR(__xludf.DUMMYFUNCTION("""COMPUTED_VALUE"""),"Local Government ME")</f>
        <v>Local Government ME</v>
      </c>
      <c r="B9" s="31">
        <f>IFERROR(__xludf.DUMMYFUNCTION("""COMPUTED_VALUE"""),111.0)</f>
        <v>111</v>
      </c>
      <c r="C9" s="44">
        <f>IFERROR(__xludf.DUMMYFUNCTION("""COMPUTED_VALUE"""),0.6235955056179775)</f>
        <v>0.6235955056</v>
      </c>
      <c r="D9" s="31"/>
      <c r="H9" s="33"/>
    </row>
    <row r="10">
      <c r="A10" s="14" t="str">
        <f>IFERROR(__xludf.DUMMYFUNCTION("""COMPUTED_VALUE"""),"Local Government LE")</f>
        <v>Local Government LE</v>
      </c>
      <c r="B10" s="31">
        <f>IFERROR(__xludf.DUMMYFUNCTION("""COMPUTED_VALUE"""),66.0)</f>
        <v>66</v>
      </c>
      <c r="C10" s="44">
        <f>IFERROR(__xludf.DUMMYFUNCTION("""COMPUTED_VALUE"""),0.3707865168539326)</f>
        <v>0.3707865169</v>
      </c>
      <c r="D10" s="31"/>
      <c r="H10" s="33"/>
    </row>
    <row r="11">
      <c r="A11" s="14"/>
      <c r="B11" s="31"/>
      <c r="C11" s="31"/>
      <c r="D11" s="31"/>
      <c r="H11" s="33"/>
    </row>
    <row r="12">
      <c r="A12" s="14"/>
      <c r="B12" s="31"/>
      <c r="C12" s="31"/>
      <c r="D12" s="31"/>
      <c r="H12" s="33"/>
    </row>
    <row r="13">
      <c r="A13" s="14"/>
      <c r="B13" s="31"/>
      <c r="C13" s="31"/>
      <c r="D13" s="31"/>
      <c r="H13" s="33"/>
    </row>
    <row r="14">
      <c r="B14" s="33"/>
      <c r="C14" s="33"/>
      <c r="D14" s="33"/>
      <c r="E14" s="33"/>
      <c r="H14" s="33"/>
    </row>
    <row r="15">
      <c r="B15" s="33"/>
      <c r="C15" s="33"/>
      <c r="D15" s="33"/>
      <c r="E15" s="33"/>
      <c r="H15" s="33"/>
    </row>
    <row r="16">
      <c r="A16" s="14" t="str">
        <f>IFERROR(__xludf.DUMMYFUNCTION("QUERY(DNU_ActiveDeployments!A2:P200, 
  ""SELECT F, COUNT(F), COUNT(F) / 178 
   WHERE F IS NOT NULL 
   GROUP BY F 
   ORDER BY COUNT(F) DESC
   LABEL F 'Priming Partner', COUNT(F) 'Total Count', COUNT(F) / 178 'Percentage of the Total' 
   FORMAT COUNT("&amp;"F) / 178 '0.00%'"")
"),"Priming Partner")</f>
        <v>Priming Partner</v>
      </c>
      <c r="B16" s="31" t="str">
        <f>IFERROR(__xludf.DUMMYFUNCTION("""COMPUTED_VALUE"""),"Total Count")</f>
        <v>Total Count</v>
      </c>
      <c r="C16" s="31" t="str">
        <f>IFERROR(__xludf.DUMMYFUNCTION("""COMPUTED_VALUE"""),"Percentage of the Total")</f>
        <v>Percentage of the Total</v>
      </c>
      <c r="D16" s="17"/>
      <c r="H16" s="33"/>
    </row>
    <row r="17">
      <c r="A17" s="45" t="str">
        <f>IFERROR(__xludf.DUMMYFUNCTION("""COMPUTED_VALUE"""),"Specialized-Initial Deployment-Adaptive Planning")</f>
        <v>Specialized-Initial Deployment-Adaptive Planning</v>
      </c>
      <c r="B17" s="31">
        <f>IFERROR(__xludf.DUMMYFUNCTION("""COMPUTED_VALUE"""),3.0)</f>
        <v>3</v>
      </c>
      <c r="C17" s="44">
        <f>IFERROR(__xludf.DUMMYFUNCTION("""COMPUTED_VALUE"""),0.016853932584269662)</f>
        <v>0.01685393258</v>
      </c>
      <c r="D17" s="31"/>
      <c r="H17" s="33"/>
    </row>
    <row r="18">
      <c r="A18" s="45" t="str">
        <f>IFERROR(__xludf.DUMMYFUNCTION("""COMPUTED_VALUE"""),"Subsequent-Customer Led: C360 Update")</f>
        <v>Subsequent-Customer Led: C360 Update</v>
      </c>
      <c r="B18" s="31">
        <f>IFERROR(__xludf.DUMMYFUNCTION("""COMPUTED_VALUE"""),3.0)</f>
        <v>3</v>
      </c>
      <c r="C18" s="44">
        <f>IFERROR(__xludf.DUMMYFUNCTION("""COMPUTED_VALUE"""),0.016853932584269662)</f>
        <v>0.01685393258</v>
      </c>
      <c r="D18" s="31"/>
      <c r="H18" s="33"/>
    </row>
    <row r="19">
      <c r="A19" s="45" t="str">
        <f>IFERROR(__xludf.DUMMYFUNCTION("""COMPUTED_VALUE"""),"Subsequent-Phase X: FINS")</f>
        <v>Subsequent-Phase X: FINS</v>
      </c>
      <c r="B19" s="31">
        <f>IFERROR(__xludf.DUMMYFUNCTION("""COMPUTED_VALUE"""),2.0)</f>
        <v>2</v>
      </c>
      <c r="C19" s="44">
        <f>IFERROR(__xludf.DUMMYFUNCTION("""COMPUTED_VALUE"""),0.011235955056179775)</f>
        <v>0.01123595506</v>
      </c>
      <c r="D19" s="31"/>
      <c r="H19" s="33"/>
    </row>
    <row r="20">
      <c r="A20" s="45" t="str">
        <f>IFERROR(__xludf.DUMMYFUNCTION("""COMPUTED_VALUE"""),"Subsequent-Phase X: HCM")</f>
        <v>Subsequent-Phase X: HCM</v>
      </c>
      <c r="B20" s="31">
        <f>IFERROR(__xludf.DUMMYFUNCTION("""COMPUTED_VALUE"""),2.0)</f>
        <v>2</v>
      </c>
      <c r="C20" s="44">
        <f>IFERROR(__xludf.DUMMYFUNCTION("""COMPUTED_VALUE"""),0.011235955056179775)</f>
        <v>0.01123595506</v>
      </c>
      <c r="D20" s="31"/>
      <c r="H20" s="33"/>
    </row>
    <row r="21">
      <c r="A21" s="45" t="str">
        <f>IFERROR(__xludf.DUMMYFUNCTION("""COMPUTED_VALUE"""),"Initial Deployment - Launch - LDPJRNY, LDPBEN, LDPUSP, LDPHCM, LDPHLP, etc.")</f>
        <v>Initial Deployment - Launch - LDPJRNY, LDPBEN, LDPUSP, LDPHCM, LDPHLP, etc.</v>
      </c>
      <c r="B21" s="31">
        <f>IFERROR(__xludf.DUMMYFUNCTION("""COMPUTED_VALUE"""),1.0)</f>
        <v>1</v>
      </c>
      <c r="C21" s="44">
        <f>IFERROR(__xludf.DUMMYFUNCTION("""COMPUTED_VALUE"""),0.0056179775280898875)</f>
        <v>0.005617977528</v>
      </c>
      <c r="D21" s="31"/>
      <c r="H21" s="33"/>
    </row>
    <row r="22">
      <c r="A22" s="45" t="str">
        <f>IFERROR(__xludf.DUMMYFUNCTION("""COMPUTED_VALUE"""),"Initial Deployment- Your Way - CHCM, TLO, CCB, USP, LRN, MCNF, REC, FIN, GM, etc")</f>
        <v>Initial Deployment- Your Way - CHCM, TLO, CCB, USP, LRN, MCNF, REC, FIN, GM, etc</v>
      </c>
      <c r="B22" s="31">
        <f>IFERROR(__xludf.DUMMYFUNCTION("""COMPUTED_VALUE"""),1.0)</f>
        <v>1</v>
      </c>
      <c r="C22" s="44">
        <f>IFERROR(__xludf.DUMMYFUNCTION("""COMPUTED_VALUE"""),0.0056179775280898875)</f>
        <v>0.005617977528</v>
      </c>
      <c r="D22" s="31"/>
      <c r="H22" s="33"/>
    </row>
    <row r="23">
      <c r="A23" s="45" t="str">
        <f>IFERROR(__xludf.DUMMYFUNCTION("""COMPUTED_VALUE"""),"Initial Deployment-Launch Flex- CHCM")</f>
        <v>Initial Deployment-Launch Flex- CHCM</v>
      </c>
      <c r="B23" s="31">
        <f>IFERROR(__xludf.DUMMYFUNCTION("""COMPUTED_VALUE"""),1.0)</f>
        <v>1</v>
      </c>
      <c r="C23" s="44">
        <f>IFERROR(__xludf.DUMMYFUNCTION("""COMPUTED_VALUE"""),0.0056179775280898875)</f>
        <v>0.005617977528</v>
      </c>
      <c r="D23" s="31"/>
      <c r="H23" s="33"/>
    </row>
    <row r="24">
      <c r="A24" s="45" t="str">
        <f>IFERROR(__xludf.DUMMYFUNCTION("""COMPUTED_VALUE"""),"Initial Deployment-Launch LDPAM, LDPHCM, LDPCCB, LDPBEN, LDPUSP, LDPLRN, etc")</f>
        <v>Initial Deployment-Launch LDPAM, LDPHCM, LDPCCB, LDPBEN, LDPUSP, LDPLRN, etc</v>
      </c>
      <c r="B24" s="31">
        <f>IFERROR(__xludf.DUMMYFUNCTION("""COMPUTED_VALUE"""),1.0)</f>
        <v>1</v>
      </c>
      <c r="C24" s="44">
        <f>IFERROR(__xludf.DUMMYFUNCTION("""COMPUTED_VALUE"""),0.0056179775280898875)</f>
        <v>0.005617977528</v>
      </c>
      <c r="D24" s="31"/>
      <c r="H24" s="33"/>
    </row>
    <row r="25">
      <c r="A25" s="45" t="str">
        <f>IFERROR(__xludf.DUMMYFUNCTION("""COMPUTED_VALUE"""),"Initial Deployment-Launch LDPCCLRN, LDPREC, LDPMSG, LDPAM, etc")</f>
        <v>Initial Deployment-Launch LDPCCLRN, LDPREC, LDPMSG, LDPAM, etc</v>
      </c>
      <c r="B25" s="31">
        <f>IFERROR(__xludf.DUMMYFUNCTION("""COMPUTED_VALUE"""),1.0)</f>
        <v>1</v>
      </c>
      <c r="C25" s="44">
        <f>IFERROR(__xludf.DUMMYFUNCTION("""COMPUTED_VALUE"""),0.0056179775280898875)</f>
        <v>0.005617977528</v>
      </c>
      <c r="D25" s="31"/>
      <c r="H25" s="33"/>
    </row>
    <row r="26">
      <c r="A26" s="45" t="str">
        <f>IFERROR(__xludf.DUMMYFUNCTION("""COMPUTED_VALUE"""),"Initial Deployment-Launch LDPMSG, LDPACM, LDPTLO, LDPGM, etc")</f>
        <v>Initial Deployment-Launch LDPMSG, LDPACM, LDPTLO, LDPGM, etc</v>
      </c>
      <c r="B26" s="31">
        <f>IFERROR(__xludf.DUMMYFUNCTION("""COMPUTED_VALUE"""),1.0)</f>
        <v>1</v>
      </c>
      <c r="C26" s="44">
        <f>IFERROR(__xludf.DUMMYFUNCTION("""COMPUTED_VALUE"""),0.0056179775280898875)</f>
        <v>0.005617977528</v>
      </c>
      <c r="D26" s="31"/>
      <c r="H26" s="33"/>
    </row>
    <row r="27">
      <c r="A27" s="45" t="str">
        <f>IFERROR(__xludf.DUMMYFUNCTION("""COMPUTED_VALUE"""),"Initial Deployment-Launch- CHCM, TLO, CCB CLM, WSP, PLNF, PRA etc.")</f>
        <v>Initial Deployment-Launch- CHCM, TLO, CCB CLM, WSP, PLNF, PRA etc.</v>
      </c>
      <c r="B27" s="31">
        <f>IFERROR(__xludf.DUMMYFUNCTION("""COMPUTED_VALUE"""),1.0)</f>
        <v>1</v>
      </c>
      <c r="C27" s="44">
        <f>IFERROR(__xludf.DUMMYFUNCTION("""COMPUTED_VALUE"""),0.0056179775280898875)</f>
        <v>0.005617977528</v>
      </c>
      <c r="D27" s="31"/>
      <c r="H27" s="33"/>
    </row>
    <row r="28">
      <c r="A28" s="45" t="str">
        <f>IFERROR(__xludf.DUMMYFUNCTION("""COMPUTED_VALUE"""),"Initial Deployment-Launch- LDPFIN, LDPPLNF, LDPPRA, LDPPRJT, LDPTLO,etc")</f>
        <v>Initial Deployment-Launch- LDPFIN, LDPPLNF, LDPPRA, LDPPRJT, LDPTLO,etc</v>
      </c>
      <c r="B28" s="31">
        <f>IFERROR(__xludf.DUMMYFUNCTION("""COMPUTED_VALUE"""),1.0)</f>
        <v>1</v>
      </c>
      <c r="C28" s="44">
        <f>IFERROR(__xludf.DUMMYFUNCTION("""COMPUTED_VALUE"""),0.0056179775280898875)</f>
        <v>0.005617977528</v>
      </c>
      <c r="D28" s="31"/>
      <c r="H28" s="33"/>
    </row>
    <row r="29">
      <c r="A29" s="45" t="str">
        <f>IFERROR(__xludf.DUMMYFUNCTION("""COMPUTED_VALUE"""),"Initial Deployment-Launch-CHCM, TLO, HLP, JRNY, EMPVCE, CCB, CCTPP, etc.")</f>
        <v>Initial Deployment-Launch-CHCM, TLO, HLP, JRNY, EMPVCE, CCB, CCTPP, etc.</v>
      </c>
      <c r="B29" s="31">
        <f>IFERROR(__xludf.DUMMYFUNCTION("""COMPUTED_VALUE"""),1.0)</f>
        <v>1</v>
      </c>
      <c r="C29" s="44">
        <f>IFERROR(__xludf.DUMMYFUNCTION("""COMPUTED_VALUE"""),0.0056179775280898875)</f>
        <v>0.005617977528</v>
      </c>
      <c r="D29" s="31"/>
      <c r="H29" s="33"/>
    </row>
    <row r="30">
      <c r="A30" s="45" t="str">
        <f>IFERROR(__xludf.DUMMYFUNCTION("""COMPUTED_VALUE"""),"Initial Deployment-Launch-CHCM, TLO, USP, LRN, MCNF, REC, etc")</f>
        <v>Initial Deployment-Launch-CHCM, TLO, USP, LRN, MCNF, REC, etc</v>
      </c>
      <c r="B30" s="31">
        <f>IFERROR(__xludf.DUMMYFUNCTION("""COMPUTED_VALUE"""),1.0)</f>
        <v>1</v>
      </c>
      <c r="C30" s="44">
        <f>IFERROR(__xludf.DUMMYFUNCTION("""COMPUTED_VALUE"""),0.0056179775280898875)</f>
        <v>0.005617977528</v>
      </c>
      <c r="D30" s="31"/>
      <c r="H30" s="33"/>
    </row>
    <row r="31">
      <c r="A31" s="45" t="str">
        <f>IFERROR(__xludf.DUMMYFUNCTION("""COMPUTED_VALUE"""),"Initial Deployment-Launch-CHCM,USP, LRN,CCLRN, REC, MSG, FIN, PLNF,etc")</f>
        <v>Initial Deployment-Launch-CHCM,USP, LRN,CCLRN, REC, MSG, FIN, PLNF,etc</v>
      </c>
      <c r="B31" s="31">
        <f>IFERROR(__xludf.DUMMYFUNCTION("""COMPUTED_VALUE"""),1.0)</f>
        <v>1</v>
      </c>
      <c r="C31" s="44">
        <f>IFERROR(__xludf.DUMMYFUNCTION("""COMPUTED_VALUE"""),0.0056179775280898875)</f>
        <v>0.005617977528</v>
      </c>
      <c r="D31" s="31"/>
      <c r="H31" s="33"/>
    </row>
    <row r="32">
      <c r="A32" s="45" t="str">
        <f>IFERROR(__xludf.DUMMYFUNCTION("""COMPUTED_VALUE"""),"Initial Deployment-Launch-HCM &amp; FIN")</f>
        <v>Initial Deployment-Launch-HCM &amp; FIN</v>
      </c>
      <c r="B32" s="31">
        <f>IFERROR(__xludf.DUMMYFUNCTION("""COMPUTED_VALUE"""),1.0)</f>
        <v>1</v>
      </c>
      <c r="C32" s="44">
        <f>IFERROR(__xludf.DUMMYFUNCTION("""COMPUTED_VALUE"""),0.0056179775280898875)</f>
        <v>0.005617977528</v>
      </c>
      <c r="D32" s="31"/>
      <c r="H32" s="33"/>
    </row>
    <row r="33">
      <c r="A33" s="45" t="str">
        <f>IFERROR(__xludf.DUMMYFUNCTION("""COMPUTED_VALUE"""),"Initial Deployment-Launch-LDPAM, LDPEXP, LDPPRO, LDPINV, LDPUSP, LDPLRN, etc")</f>
        <v>Initial Deployment-Launch-LDPAM, LDPEXP, LDPPRO, LDPINV, LDPUSP, LDPLRN, etc</v>
      </c>
      <c r="B33" s="31">
        <f>IFERROR(__xludf.DUMMYFUNCTION("""COMPUTED_VALUE"""),1.0)</f>
        <v>1</v>
      </c>
      <c r="C33" s="44">
        <f>IFERROR(__xludf.DUMMYFUNCTION("""COMPUTED_VALUE"""),0.0056179775280898875)</f>
        <v>0.005617977528</v>
      </c>
      <c r="D33" s="31"/>
      <c r="H33" s="33"/>
    </row>
    <row r="34">
      <c r="A34" s="45" t="str">
        <f>IFERROR(__xludf.DUMMYFUNCTION("""COMPUTED_VALUE"""),"Initial Deployment-Launch-LDPAM, TC, AK, LOD, LDPHCM, LDPBEN,etc.")</f>
        <v>Initial Deployment-Launch-LDPAM, TC, AK, LOD, LDPHCM, LDPBEN,etc.</v>
      </c>
      <c r="B34" s="31">
        <f>IFERROR(__xludf.DUMMYFUNCTION("""COMPUTED_VALUE"""),1.0)</f>
        <v>1</v>
      </c>
      <c r="C34" s="44">
        <f>IFERROR(__xludf.DUMMYFUNCTION("""COMPUTED_VALUE"""),0.0056179775280898875)</f>
        <v>0.005617977528</v>
      </c>
      <c r="D34" s="31"/>
      <c r="H34" s="33"/>
    </row>
    <row r="35">
      <c r="A35" s="12" t="str">
        <f>IFERROR(__xludf.DUMMYFUNCTION("""COMPUTED_VALUE"""),"Initial Deployment-Launch-LDPAM, WSP, LDPHCM, LDPUSP,etc")</f>
        <v>Initial Deployment-Launch-LDPAM, WSP, LDPHCM, LDPUSP,etc</v>
      </c>
      <c r="B35" s="33">
        <f>IFERROR(__xludf.DUMMYFUNCTION("""COMPUTED_VALUE"""),1.0)</f>
        <v>1</v>
      </c>
      <c r="C35" s="46">
        <f>IFERROR(__xludf.DUMMYFUNCTION("""COMPUTED_VALUE"""),0.0056179775280898875)</f>
        <v>0.005617977528</v>
      </c>
      <c r="D35" s="31"/>
      <c r="E35" s="31">
        <f t="shared" ref="E35:E54" si="4">B35</f>
        <v>1</v>
      </c>
      <c r="H35" s="33"/>
    </row>
    <row r="36">
      <c r="A36" s="12" t="str">
        <f>IFERROR(__xludf.DUMMYFUNCTION("""COMPUTED_VALUE"""),"Initial Deployment-Launch-LDPBEN, LDPUSP, LDPLRN, LDPCCLRN, LDPREC, etc.")</f>
        <v>Initial Deployment-Launch-LDPBEN, LDPUSP, LDPLRN, LDPCCLRN, LDPREC, etc.</v>
      </c>
      <c r="B36" s="33">
        <f>IFERROR(__xludf.DUMMYFUNCTION("""COMPUTED_VALUE"""),1.0)</f>
        <v>1</v>
      </c>
      <c r="C36" s="46">
        <f>IFERROR(__xludf.DUMMYFUNCTION("""COMPUTED_VALUE"""),0.0056179775280898875)</f>
        <v>0.005617977528</v>
      </c>
      <c r="D36" s="31"/>
      <c r="E36" s="31">
        <f t="shared" si="4"/>
        <v>1</v>
      </c>
      <c r="H36" s="33"/>
    </row>
    <row r="37">
      <c r="A37" s="12" t="str">
        <f>IFERROR(__xludf.DUMMYFUNCTION("""COMPUTED_VALUE"""),"Initial Deployment-Launch-LDPBEN, LDPUSP, LDPLRN, LDPHCM, etc.")</f>
        <v>Initial Deployment-Launch-LDPBEN, LDPUSP, LDPLRN, LDPHCM, etc.</v>
      </c>
      <c r="B37" s="33">
        <f>IFERROR(__xludf.DUMMYFUNCTION("""COMPUTED_VALUE"""),1.0)</f>
        <v>1</v>
      </c>
      <c r="C37" s="46">
        <f>IFERROR(__xludf.DUMMYFUNCTION("""COMPUTED_VALUE"""),0.0056179775280898875)</f>
        <v>0.005617977528</v>
      </c>
      <c r="D37" s="31"/>
      <c r="E37" s="31">
        <f t="shared" si="4"/>
        <v>1</v>
      </c>
      <c r="H37" s="33"/>
    </row>
    <row r="38">
      <c r="A38" s="12" t="str">
        <f>IFERROR(__xludf.DUMMYFUNCTION("""COMPUTED_VALUE"""),"Initial Deployment-Launch-LDPCCLRN, LDPREC, LDPCE, LDPMSG, LDPHCM, etc")</f>
        <v>Initial Deployment-Launch-LDPCCLRN, LDPREC, LDPCE, LDPMSG, LDPHCM, etc</v>
      </c>
      <c r="B38" s="33">
        <f>IFERROR(__xludf.DUMMYFUNCTION("""COMPUTED_VALUE"""),1.0)</f>
        <v>1</v>
      </c>
      <c r="C38" s="46">
        <f>IFERROR(__xludf.DUMMYFUNCTION("""COMPUTED_VALUE"""),0.0056179775280898875)</f>
        <v>0.005617977528</v>
      </c>
      <c r="D38" s="31"/>
      <c r="E38" s="31">
        <f t="shared" si="4"/>
        <v>1</v>
      </c>
      <c r="H38" s="33"/>
    </row>
    <row r="39">
      <c r="A39" s="12" t="str">
        <f>IFERROR(__xludf.DUMMYFUNCTION("""COMPUTED_VALUE"""),"Initial Deployment-Launch-LDPEXP, LDPPRO, LDPCLM, XTND, LDPHCM,etc")</f>
        <v>Initial Deployment-Launch-LDPEXP, LDPPRO, LDPCLM, XTND, LDPHCM,etc</v>
      </c>
      <c r="B39" s="33">
        <f>IFERROR(__xludf.DUMMYFUNCTION("""COMPUTED_VALUE"""),1.0)</f>
        <v>1</v>
      </c>
      <c r="C39" s="46">
        <f>IFERROR(__xludf.DUMMYFUNCTION("""COMPUTED_VALUE"""),0.0056179775280898875)</f>
        <v>0.005617977528</v>
      </c>
      <c r="D39" s="31"/>
      <c r="E39" s="31">
        <f t="shared" si="4"/>
        <v>1</v>
      </c>
      <c r="H39" s="33"/>
    </row>
    <row r="40">
      <c r="A40" s="12" t="str">
        <f>IFERROR(__xludf.DUMMYFUNCTION("""COMPUTED_VALUE"""),"Initial Deployment-Launch-LDPFIN, LDPGM, LDPPLNF, LDPPRA, etc.")</f>
        <v>Initial Deployment-Launch-LDPFIN, LDPGM, LDPPLNF, LDPPRA, etc.</v>
      </c>
      <c r="B40" s="33">
        <f>IFERROR(__xludf.DUMMYFUNCTION("""COMPUTED_VALUE"""),1.0)</f>
        <v>1</v>
      </c>
      <c r="C40" s="46">
        <f>IFERROR(__xludf.DUMMYFUNCTION("""COMPUTED_VALUE"""),0.0056179775280898875)</f>
        <v>0.005617977528</v>
      </c>
      <c r="D40" s="31"/>
      <c r="E40" s="31">
        <f t="shared" si="4"/>
        <v>1</v>
      </c>
      <c r="H40" s="33"/>
    </row>
    <row r="41">
      <c r="A41" s="12" t="str">
        <f>IFERROR(__xludf.DUMMYFUNCTION("""COMPUTED_VALUE"""),"Initial Deployment-Launch-LDPFIN, LDPLRN, LDPCCLRN, LDPREC, LDPHCM, etc.")</f>
        <v>Initial Deployment-Launch-LDPFIN, LDPLRN, LDPCCLRN, LDPREC, LDPHCM, etc.</v>
      </c>
      <c r="B41" s="33">
        <f>IFERROR(__xludf.DUMMYFUNCTION("""COMPUTED_VALUE"""),1.0)</f>
        <v>1</v>
      </c>
      <c r="C41" s="46">
        <f>IFERROR(__xludf.DUMMYFUNCTION("""COMPUTED_VALUE"""),0.0056179775280898875)</f>
        <v>0.005617977528</v>
      </c>
      <c r="D41" s="31"/>
      <c r="E41" s="31">
        <f t="shared" si="4"/>
        <v>1</v>
      </c>
      <c r="H41" s="33"/>
    </row>
    <row r="42">
      <c r="A42" s="12" t="str">
        <f>IFERROR(__xludf.DUMMYFUNCTION("""COMPUTED_VALUE"""),"Initial Deployment-Launch-LDPFIN, LDPPLNF, LDPHCM, LDPHLP, LDPCE, etc.")</f>
        <v>Initial Deployment-Launch-LDPFIN, LDPPLNF, LDPHCM, LDPHLP, LDPCE, etc.</v>
      </c>
      <c r="B42" s="33">
        <f>IFERROR(__xludf.DUMMYFUNCTION("""COMPUTED_VALUE"""),1.0)</f>
        <v>1</v>
      </c>
      <c r="C42" s="46">
        <f>IFERROR(__xludf.DUMMYFUNCTION("""COMPUTED_VALUE"""),0.0056179775280898875)</f>
        <v>0.005617977528</v>
      </c>
      <c r="D42" s="31"/>
      <c r="E42" s="31">
        <f t="shared" si="4"/>
        <v>1</v>
      </c>
      <c r="H42" s="33"/>
    </row>
    <row r="43">
      <c r="A43" s="12" t="str">
        <f>IFERROR(__xludf.DUMMYFUNCTION("""COMPUTED_VALUE"""),"Initial Deployment-Launch-LDPFIN, LDPPRA, LDPEXP, LDPPRO etc.")</f>
        <v>Initial Deployment-Launch-LDPFIN, LDPPRA, LDPEXP, LDPPRO etc.</v>
      </c>
      <c r="B43" s="33">
        <f>IFERROR(__xludf.DUMMYFUNCTION("""COMPUTED_VALUE"""),1.0)</f>
        <v>1</v>
      </c>
      <c r="C43" s="46">
        <f>IFERROR(__xludf.DUMMYFUNCTION("""COMPUTED_VALUE"""),0.0056179775280898875)</f>
        <v>0.005617977528</v>
      </c>
      <c r="D43" s="31"/>
      <c r="E43" s="31">
        <f t="shared" si="4"/>
        <v>1</v>
      </c>
      <c r="H43" s="33"/>
    </row>
    <row r="44">
      <c r="A44" s="12" t="str">
        <f>IFERROR(__xludf.DUMMYFUNCTION("""COMPUTED_VALUE"""),"Initial Deployment-Launch-LDPFIN, LDPPRA, LDPPRJT, LDPTT, LDPBEN, LDPUSP,etc")</f>
        <v>Initial Deployment-Launch-LDPFIN, LDPPRA, LDPPRJT, LDPTT, LDPBEN, LDPUSP,etc</v>
      </c>
      <c r="B44" s="33">
        <f>IFERROR(__xludf.DUMMYFUNCTION("""COMPUTED_VALUE"""),1.0)</f>
        <v>1</v>
      </c>
      <c r="C44" s="46">
        <f>IFERROR(__xludf.DUMMYFUNCTION("""COMPUTED_VALUE"""),0.0056179775280898875)</f>
        <v>0.005617977528</v>
      </c>
      <c r="D44" s="31"/>
      <c r="E44" s="31">
        <f t="shared" si="4"/>
        <v>1</v>
      </c>
      <c r="H44" s="33"/>
    </row>
    <row r="45">
      <c r="A45" s="12" t="str">
        <f>IFERROR(__xludf.DUMMYFUNCTION("""COMPUTED_VALUE"""),"Initial Deployment-Launch-LDPGM, LDPFIN, LDPPLNF, LDPPRJT, LDPPRO, WSP, TC")</f>
        <v>Initial Deployment-Launch-LDPGM, LDPFIN, LDPPLNF, LDPPRJT, LDPPRO, WSP, TC</v>
      </c>
      <c r="B45" s="33">
        <f>IFERROR(__xludf.DUMMYFUNCTION("""COMPUTED_VALUE"""),1.0)</f>
        <v>1</v>
      </c>
      <c r="C45" s="46">
        <f>IFERROR(__xludf.DUMMYFUNCTION("""COMPUTED_VALUE"""),0.0056179775280898875)</f>
        <v>0.005617977528</v>
      </c>
      <c r="D45" s="31"/>
      <c r="E45" s="31">
        <f t="shared" si="4"/>
        <v>1</v>
      </c>
      <c r="H45" s="33"/>
    </row>
    <row r="46">
      <c r="A46" s="12" t="str">
        <f>IFERROR(__xludf.DUMMYFUNCTION("""COMPUTED_VALUE"""),"Initial Deployment-Launch-LDPHCM, LDPBEN, LDPUSP, LDPLRN, etc.")</f>
        <v>Initial Deployment-Launch-LDPHCM, LDPBEN, LDPUSP, LDPLRN, etc.</v>
      </c>
      <c r="B46" s="33">
        <f>IFERROR(__xludf.DUMMYFUNCTION("""COMPUTED_VALUE"""),1.0)</f>
        <v>1</v>
      </c>
      <c r="C46" s="46">
        <f>IFERROR(__xludf.DUMMYFUNCTION("""COMPUTED_VALUE"""),0.0056179775280898875)</f>
        <v>0.005617977528</v>
      </c>
      <c r="D46" s="31"/>
      <c r="E46" s="31">
        <f t="shared" si="4"/>
        <v>1</v>
      </c>
      <c r="H46" s="33"/>
    </row>
    <row r="47">
      <c r="A47" s="12" t="str">
        <f>IFERROR(__xludf.DUMMYFUNCTION("""COMPUTED_VALUE"""),"Initial Deployment-Launch-LDPHCM, LDPCCB, LDPBEN, LDPPRO, LDPINV, etc.")</f>
        <v>Initial Deployment-Launch-LDPHCM, LDPCCB, LDPBEN, LDPPRO, LDPINV, etc.</v>
      </c>
      <c r="B47" s="33">
        <f>IFERROR(__xludf.DUMMYFUNCTION("""COMPUTED_VALUE"""),1.0)</f>
        <v>1</v>
      </c>
      <c r="C47" s="46">
        <f>IFERROR(__xludf.DUMMYFUNCTION("""COMPUTED_VALUE"""),0.0056179775280898875)</f>
        <v>0.005617977528</v>
      </c>
      <c r="D47" s="31"/>
      <c r="E47" s="31">
        <f t="shared" si="4"/>
        <v>1</v>
      </c>
      <c r="H47" s="33"/>
    </row>
    <row r="48">
      <c r="A48" s="12" t="str">
        <f>IFERROR(__xludf.DUMMYFUNCTION("""COMPUTED_VALUE"""),"Initial Deployment-Launch-LDPHCM, LDPCCB, LDPBEN, LDPREC, LDPTLO, etc")</f>
        <v>Initial Deployment-Launch-LDPHCM, LDPCCB, LDPBEN, LDPREC, LDPTLO, etc</v>
      </c>
      <c r="B48" s="33">
        <f>IFERROR(__xludf.DUMMYFUNCTION("""COMPUTED_VALUE"""),1.0)</f>
        <v>1</v>
      </c>
      <c r="C48" s="46">
        <f>IFERROR(__xludf.DUMMYFUNCTION("""COMPUTED_VALUE"""),0.0056179775280898875)</f>
        <v>0.005617977528</v>
      </c>
      <c r="D48" s="31"/>
      <c r="E48" s="31">
        <f t="shared" si="4"/>
        <v>1</v>
      </c>
      <c r="H48" s="33"/>
    </row>
    <row r="49">
      <c r="A49" s="12" t="str">
        <f>IFERROR(__xludf.DUMMYFUNCTION("""COMPUTED_VALUE"""),"Initial Deployment-Launch-LDPHCM, LDPCCB, LDPBEN, LDPUSP, LDPFIN, etc.")</f>
        <v>Initial Deployment-Launch-LDPHCM, LDPCCB, LDPBEN, LDPUSP, LDPFIN, etc.</v>
      </c>
      <c r="B49" s="33">
        <f>IFERROR(__xludf.DUMMYFUNCTION("""COMPUTED_VALUE"""),1.0)</f>
        <v>1</v>
      </c>
      <c r="C49" s="46">
        <f>IFERROR(__xludf.DUMMYFUNCTION("""COMPUTED_VALUE"""),0.0056179775280898875)</f>
        <v>0.005617977528</v>
      </c>
      <c r="D49" s="31"/>
      <c r="E49" s="31">
        <f t="shared" si="4"/>
        <v>1</v>
      </c>
      <c r="H49" s="33"/>
    </row>
    <row r="50">
      <c r="A50" s="12" t="str">
        <f>IFERROR(__xludf.DUMMYFUNCTION("""COMPUTED_VALUE"""),"Initial Deployment-Launch-LDPHCM, LDPCCB, LDPBEN, LDPUSP, LDPLRN, LDPFIN, etc.")</f>
        <v>Initial Deployment-Launch-LDPHCM, LDPCCB, LDPBEN, LDPUSP, LDPLRN, LDPFIN, etc.</v>
      </c>
      <c r="B50" s="33">
        <f>IFERROR(__xludf.DUMMYFUNCTION("""COMPUTED_VALUE"""),1.0)</f>
        <v>1</v>
      </c>
      <c r="C50" s="46">
        <f>IFERROR(__xludf.DUMMYFUNCTION("""COMPUTED_VALUE"""),0.0056179775280898875)</f>
        <v>0.005617977528</v>
      </c>
      <c r="D50" s="31"/>
      <c r="E50" s="31">
        <f t="shared" si="4"/>
        <v>1</v>
      </c>
      <c r="H50" s="33"/>
    </row>
    <row r="51">
      <c r="A51" s="12" t="str">
        <f>IFERROR(__xludf.DUMMYFUNCTION("""COMPUTED_VALUE"""),"Initial Deployment-Launch-LDPHCM, LDPCCB, LDPBEN, LDPUSP, LDPLRN, etc.")</f>
        <v>Initial Deployment-Launch-LDPHCM, LDPCCB, LDPBEN, LDPUSP, LDPLRN, etc.</v>
      </c>
      <c r="B51" s="33">
        <f>IFERROR(__xludf.DUMMYFUNCTION("""COMPUTED_VALUE"""),1.0)</f>
        <v>1</v>
      </c>
      <c r="C51" s="46">
        <f>IFERROR(__xludf.DUMMYFUNCTION("""COMPUTED_VALUE"""),0.0056179775280898875)</f>
        <v>0.005617977528</v>
      </c>
      <c r="D51" s="31"/>
      <c r="E51" s="31">
        <f t="shared" si="4"/>
        <v>1</v>
      </c>
      <c r="H51" s="33"/>
    </row>
    <row r="52">
      <c r="A52" s="12" t="str">
        <f>IFERROR(__xludf.DUMMYFUNCTION("""COMPUTED_VALUE"""),"Initial Deployment-Launch-LDPHCM, LDPCCB, LDPBEN, LDPUSP, etc")</f>
        <v>Initial Deployment-Launch-LDPHCM, LDPCCB, LDPBEN, LDPUSP, etc</v>
      </c>
      <c r="B52" s="33">
        <f>IFERROR(__xludf.DUMMYFUNCTION("""COMPUTED_VALUE"""),1.0)</f>
        <v>1</v>
      </c>
      <c r="C52" s="46">
        <f>IFERROR(__xludf.DUMMYFUNCTION("""COMPUTED_VALUE"""),0.0056179775280898875)</f>
        <v>0.005617977528</v>
      </c>
      <c r="D52" s="31"/>
      <c r="E52" s="31">
        <f t="shared" si="4"/>
        <v>1</v>
      </c>
      <c r="H52" s="33"/>
    </row>
    <row r="53">
      <c r="A53" s="12" t="str">
        <f>IFERROR(__xludf.DUMMYFUNCTION("""COMPUTED_VALUE"""),"Initial Deployment-Launch-LDPHCM, LDPCCB, LDPBEN, LDPUSP, etc.")</f>
        <v>Initial Deployment-Launch-LDPHCM, LDPCCB, LDPBEN, LDPUSP, etc.</v>
      </c>
      <c r="B53" s="33">
        <f>IFERROR(__xludf.DUMMYFUNCTION("""COMPUTED_VALUE"""),1.0)</f>
        <v>1</v>
      </c>
      <c r="C53" s="46">
        <f>IFERROR(__xludf.DUMMYFUNCTION("""COMPUTED_VALUE"""),0.0056179775280898875)</f>
        <v>0.005617977528</v>
      </c>
      <c r="D53" s="31"/>
      <c r="E53" s="31">
        <f t="shared" si="4"/>
        <v>1</v>
      </c>
      <c r="H53" s="33"/>
    </row>
    <row r="54">
      <c r="A54" s="12" t="str">
        <f>IFERROR(__xludf.DUMMYFUNCTION("""COMPUTED_VALUE"""),"Initial Deployment-Launch-LDPHCM, LDPCCB, LDPBEN, etc.")</f>
        <v>Initial Deployment-Launch-LDPHCM, LDPCCB, LDPBEN, etc.</v>
      </c>
      <c r="B54" s="33">
        <f>IFERROR(__xludf.DUMMYFUNCTION("""COMPUTED_VALUE"""),1.0)</f>
        <v>1</v>
      </c>
      <c r="C54" s="46">
        <f>IFERROR(__xludf.DUMMYFUNCTION("""COMPUTED_VALUE"""),0.0056179775280898875)</f>
        <v>0.005617977528</v>
      </c>
      <c r="D54" s="31"/>
      <c r="E54" s="31">
        <f t="shared" si="4"/>
        <v>1</v>
      </c>
      <c r="H54" s="33"/>
    </row>
    <row r="55">
      <c r="A55" s="12" t="str">
        <f>IFERROR(__xludf.DUMMYFUNCTION("""COMPUTED_VALUE"""),"Initial Deployment-Launch-LDPHCM, LDPCCB, LDPUSP, LDPPRA, LDPTT, etc")</f>
        <v>Initial Deployment-Launch-LDPHCM, LDPCCB, LDPUSP, LDPPRA, LDPTT, etc</v>
      </c>
      <c r="B55" s="33">
        <f>IFERROR(__xludf.DUMMYFUNCTION("""COMPUTED_VALUE"""),1.0)</f>
        <v>1</v>
      </c>
      <c r="C55" s="46">
        <f>IFERROR(__xludf.DUMMYFUNCTION("""COMPUTED_VALUE"""),0.0056179775280898875)</f>
        <v>0.005617977528</v>
      </c>
      <c r="D55" s="33"/>
      <c r="E55" s="33"/>
      <c r="H55" s="33"/>
    </row>
    <row r="56">
      <c r="A56" s="12" t="str">
        <f>IFERROR(__xludf.DUMMYFUNCTION("""COMPUTED_VALUE"""),"Initial Deployment-Launch-LDPHCM, LDPHLP, LDPBEN, LDPUSP, etc.")</f>
        <v>Initial Deployment-Launch-LDPHCM, LDPHLP, LDPBEN, LDPUSP, etc.</v>
      </c>
      <c r="B56" s="33">
        <f>IFERROR(__xludf.DUMMYFUNCTION("""COMPUTED_VALUE"""),1.0)</f>
        <v>1</v>
      </c>
      <c r="C56" s="46">
        <f>IFERROR(__xludf.DUMMYFUNCTION("""COMPUTED_VALUE"""),0.0056179775280898875)</f>
        <v>0.005617977528</v>
      </c>
      <c r="D56" s="33"/>
      <c r="E56" s="33"/>
      <c r="H56" s="33"/>
    </row>
    <row r="57">
      <c r="A57" s="12" t="str">
        <f>IFERROR(__xludf.DUMMYFUNCTION("""COMPUTED_VALUE"""),"Initial Deployment-Launch-LDPHCM, LDPHLP, LDPCCB, LDPBEN, LDPUSP, LDPLRN, etc.")</f>
        <v>Initial Deployment-Launch-LDPHCM, LDPHLP, LDPCCB, LDPBEN, LDPUSP, LDPLRN, etc.</v>
      </c>
      <c r="B57" s="33">
        <f>IFERROR(__xludf.DUMMYFUNCTION("""COMPUTED_VALUE"""),1.0)</f>
        <v>1</v>
      </c>
      <c r="C57" s="46">
        <f>IFERROR(__xludf.DUMMYFUNCTION("""COMPUTED_VALUE"""),0.0056179775280898875)</f>
        <v>0.005617977528</v>
      </c>
      <c r="D57" s="33"/>
      <c r="E57" s="33"/>
      <c r="H57" s="33"/>
    </row>
    <row r="58">
      <c r="A58" s="12" t="str">
        <f>IFERROR(__xludf.DUMMYFUNCTION("""COMPUTED_VALUE"""),"Initial Deployment-Launch-LDPHCM, LDPHLP, LDPCCB, LDPBEN, LDPUSP, etc.")</f>
        <v>Initial Deployment-Launch-LDPHCM, LDPHLP, LDPCCB, LDPBEN, LDPUSP, etc.</v>
      </c>
      <c r="B58" s="33">
        <f>IFERROR(__xludf.DUMMYFUNCTION("""COMPUTED_VALUE"""),1.0)</f>
        <v>1</v>
      </c>
      <c r="C58" s="46">
        <f>IFERROR(__xludf.DUMMYFUNCTION("""COMPUTED_VALUE"""),0.0056179775280898875)</f>
        <v>0.005617977528</v>
      </c>
      <c r="D58" s="33"/>
      <c r="E58" s="33"/>
      <c r="H58" s="33"/>
    </row>
    <row r="59">
      <c r="A59" s="12" t="str">
        <f>IFERROR(__xludf.DUMMYFUNCTION("""COMPUTED_VALUE"""),"Initial Deployment-Launch-LDPHCM, LDPHLP, LDPGM, LDPFIN, etc.")</f>
        <v>Initial Deployment-Launch-LDPHCM, LDPHLP, LDPGM, LDPFIN, etc.</v>
      </c>
      <c r="B59" s="33">
        <f>IFERROR(__xludf.DUMMYFUNCTION("""COMPUTED_VALUE"""),1.0)</f>
        <v>1</v>
      </c>
      <c r="C59" s="46">
        <f>IFERROR(__xludf.DUMMYFUNCTION("""COMPUTED_VALUE"""),0.0056179775280898875)</f>
        <v>0.005617977528</v>
      </c>
      <c r="D59" s="33"/>
      <c r="E59" s="33"/>
      <c r="H59" s="33"/>
    </row>
    <row r="60">
      <c r="A60" s="12" t="str">
        <f>IFERROR(__xludf.DUMMYFUNCTION("""COMPUTED_VALUE"""),"Initial Deployment-Launch-LDPHCM, LDPHLP, LDPJRNY, LDPCCB, LDPBEN, etc.")</f>
        <v>Initial Deployment-Launch-LDPHCM, LDPHLP, LDPJRNY, LDPCCB, LDPBEN, etc.</v>
      </c>
      <c r="B60" s="33">
        <f>IFERROR(__xludf.DUMMYFUNCTION("""COMPUTED_VALUE"""),1.0)</f>
        <v>1</v>
      </c>
      <c r="C60" s="46">
        <f>IFERROR(__xludf.DUMMYFUNCTION("""COMPUTED_VALUE"""),0.0056179775280898875)</f>
        <v>0.005617977528</v>
      </c>
      <c r="D60" s="33"/>
      <c r="E60" s="33"/>
      <c r="H60" s="33"/>
    </row>
    <row r="61">
      <c r="A61" s="12" t="str">
        <f>IFERROR(__xludf.DUMMYFUNCTION("""COMPUTED_VALUE"""),"Initial Deployment-Launch-LDPHCM, LDPJRNY, LDPCCB, LDPBEN, LDPUSP, etc")</f>
        <v>Initial Deployment-Launch-LDPHCM, LDPJRNY, LDPCCB, LDPBEN, LDPUSP, etc</v>
      </c>
      <c r="B61" s="33">
        <f>IFERROR(__xludf.DUMMYFUNCTION("""COMPUTED_VALUE"""),1.0)</f>
        <v>1</v>
      </c>
      <c r="C61" s="46">
        <f>IFERROR(__xludf.DUMMYFUNCTION("""COMPUTED_VALUE"""),0.0056179775280898875)</f>
        <v>0.005617977528</v>
      </c>
      <c r="D61" s="33"/>
      <c r="E61" s="33"/>
      <c r="H61" s="33"/>
    </row>
    <row r="62">
      <c r="A62" s="12" t="str">
        <f>IFERROR(__xludf.DUMMYFUNCTION("""COMPUTED_VALUE"""),"Initial Deployment-Launch-LDPHCM, LDPREC, LDPPRA, LDPPRJT, LDPFIN, LDPGM, etc.")</f>
        <v>Initial Deployment-Launch-LDPHCM, LDPREC, LDPPRA, LDPPRJT, LDPFIN, LDPGM, etc.</v>
      </c>
      <c r="B62" s="33">
        <f>IFERROR(__xludf.DUMMYFUNCTION("""COMPUTED_VALUE"""),1.0)</f>
        <v>1</v>
      </c>
      <c r="C62" s="46">
        <f>IFERROR(__xludf.DUMMYFUNCTION("""COMPUTED_VALUE"""),0.0056179775280898875)</f>
        <v>0.005617977528</v>
      </c>
      <c r="D62" s="33"/>
      <c r="E62" s="33"/>
      <c r="H62" s="33"/>
    </row>
    <row r="63">
      <c r="A63" s="12" t="str">
        <f>IFERROR(__xludf.DUMMYFUNCTION("""COMPUTED_VALUE"""),"Initial Deployment-Launch-LDPMSG, LDPTLO, LDPFIN, LDPGM, LDPEXP, LDPPRO, etc.")</f>
        <v>Initial Deployment-Launch-LDPMSG, LDPTLO, LDPFIN, LDPGM, LDPEXP, LDPPRO, etc.</v>
      </c>
      <c r="B63" s="33">
        <f>IFERROR(__xludf.DUMMYFUNCTION("""COMPUTED_VALUE"""),1.0)</f>
        <v>1</v>
      </c>
      <c r="C63" s="46">
        <f>IFERROR(__xludf.DUMMYFUNCTION("""COMPUTED_VALUE"""),0.0056179775280898875)</f>
        <v>0.005617977528</v>
      </c>
      <c r="D63" s="33"/>
      <c r="E63" s="33"/>
      <c r="H63" s="33"/>
    </row>
    <row r="64">
      <c r="A64" s="12" t="str">
        <f>IFERROR(__xludf.DUMMYFUNCTION("""COMPUTED_VALUE"""),"Initial Deployment-Launch-LDPMSG, LDPTLO, LDPFIN, LDPPRA, etc.")</f>
        <v>Initial Deployment-Launch-LDPMSG, LDPTLO, LDPFIN, LDPPRA, etc.</v>
      </c>
      <c r="B64" s="33">
        <f>IFERROR(__xludf.DUMMYFUNCTION("""COMPUTED_VALUE"""),1.0)</f>
        <v>1</v>
      </c>
      <c r="C64" s="46">
        <f>IFERROR(__xludf.DUMMYFUNCTION("""COMPUTED_VALUE"""),0.0056179775280898875)</f>
        <v>0.005617977528</v>
      </c>
      <c r="D64" s="33"/>
      <c r="E64" s="33"/>
      <c r="H64" s="33"/>
    </row>
    <row r="65">
      <c r="A65" s="12" t="str">
        <f>IFERROR(__xludf.DUMMYFUNCTION("""COMPUTED_VALUE"""),"Initial Deployment-Launch-LDPPLNF, LDPPRA, LDPPRJT, LDPCLM, TC, WSP, LDPUSP etc.")</f>
        <v>Initial Deployment-Launch-LDPPLNF, LDPPRA, LDPPRJT, LDPCLM, TC, WSP, LDPUSP etc.</v>
      </c>
      <c r="B65" s="33">
        <f>IFERROR(__xludf.DUMMYFUNCTION("""COMPUTED_VALUE"""),1.0)</f>
        <v>1</v>
      </c>
      <c r="C65" s="46">
        <f>IFERROR(__xludf.DUMMYFUNCTION("""COMPUTED_VALUE"""),0.0056179775280898875)</f>
        <v>0.005617977528</v>
      </c>
      <c r="D65" s="33"/>
      <c r="E65" s="33"/>
      <c r="H65" s="33"/>
    </row>
    <row r="66">
      <c r="A66" s="12" t="str">
        <f>IFERROR(__xludf.DUMMYFUNCTION("""COMPUTED_VALUE"""),"Initial Deployment-Launch-LDPPRJT, LDPTHUB, LDPEXP, LDPREC, etc")</f>
        <v>Initial Deployment-Launch-LDPPRJT, LDPTHUB, LDPEXP, LDPREC, etc</v>
      </c>
      <c r="B66" s="33">
        <f>IFERROR(__xludf.DUMMYFUNCTION("""COMPUTED_VALUE"""),1.0)</f>
        <v>1</v>
      </c>
      <c r="C66" s="46">
        <f>IFERROR(__xludf.DUMMYFUNCTION("""COMPUTED_VALUE"""),0.0056179775280898875)</f>
        <v>0.005617977528</v>
      </c>
      <c r="D66" s="33"/>
      <c r="E66" s="33"/>
      <c r="H66" s="33"/>
    </row>
    <row r="67">
      <c r="A67" s="12" t="str">
        <f>IFERROR(__xludf.DUMMYFUNCTION("""COMPUTED_VALUE"""),"Initial Deployment-Launch-LDPPRO, LDPSRCESS, LDPSRCINT, LDPSRCSM etc.")</f>
        <v>Initial Deployment-Launch-LDPPRO, LDPSRCESS, LDPSRCINT, LDPSRCSM etc.</v>
      </c>
      <c r="B67" s="33">
        <f>IFERROR(__xludf.DUMMYFUNCTION("""COMPUTED_VALUE"""),1.0)</f>
        <v>1</v>
      </c>
      <c r="C67" s="46">
        <f>IFERROR(__xludf.DUMMYFUNCTION("""COMPUTED_VALUE"""),0.0056179775280898875)</f>
        <v>0.005617977528</v>
      </c>
      <c r="D67" s="33"/>
      <c r="E67" s="33"/>
      <c r="H67" s="33"/>
    </row>
    <row r="68">
      <c r="A68" s="12" t="str">
        <f>IFERROR(__xludf.DUMMYFUNCTION("""COMPUTED_VALUE"""),"Initial Deployment-Launch-LDPREC, LDPTLO, LDPACC, LDPAM, etc")</f>
        <v>Initial Deployment-Launch-LDPREC, LDPTLO, LDPACC, LDPAM, etc</v>
      </c>
      <c r="B68" s="33">
        <f>IFERROR(__xludf.DUMMYFUNCTION("""COMPUTED_VALUE"""),1.0)</f>
        <v>1</v>
      </c>
      <c r="C68" s="46">
        <f>IFERROR(__xludf.DUMMYFUNCTION("""COMPUTED_VALUE"""),0.0056179775280898875)</f>
        <v>0.005617977528</v>
      </c>
      <c r="D68" s="33"/>
      <c r="E68" s="33"/>
      <c r="H68" s="33"/>
    </row>
    <row r="69">
      <c r="A69" s="12" t="str">
        <f>IFERROR(__xludf.DUMMYFUNCTION("""COMPUTED_VALUE"""),"Initial Deployment-Launch-LDPREC, LDPTLO, LDPTT, LDPAM, LDPSC, etc.")</f>
        <v>Initial Deployment-Launch-LDPREC, LDPTLO, LDPTT, LDPAM, LDPSC, etc.</v>
      </c>
      <c r="B69" s="33">
        <f>IFERROR(__xludf.DUMMYFUNCTION("""COMPUTED_VALUE"""),1.0)</f>
        <v>1</v>
      </c>
      <c r="C69" s="46">
        <f>IFERROR(__xludf.DUMMYFUNCTION("""COMPUTED_VALUE"""),0.0056179775280898875)</f>
        <v>0.005617977528</v>
      </c>
      <c r="D69" s="33"/>
      <c r="E69" s="33"/>
      <c r="H69" s="33"/>
    </row>
    <row r="70">
      <c r="A70" s="12" t="str">
        <f>IFERROR(__xludf.DUMMYFUNCTION("""COMPUTED_VALUE"""),"Initial Deployment-Launch-LDPSRCEXP, LDPCLM, XTND, WSP, TC, LDPHCM, LDPHLP,")</f>
        <v>Initial Deployment-Launch-LDPSRCEXP, LDPCLM, XTND, WSP, TC, LDPHCM, LDPHLP,</v>
      </c>
      <c r="B70" s="33">
        <f>IFERROR(__xludf.DUMMYFUNCTION("""COMPUTED_VALUE"""),1.0)</f>
        <v>1</v>
      </c>
      <c r="C70" s="46">
        <f>IFERROR(__xludf.DUMMYFUNCTION("""COMPUTED_VALUE"""),0.0056179775280898875)</f>
        <v>0.005617977528</v>
      </c>
      <c r="D70" s="33"/>
      <c r="E70" s="33"/>
      <c r="H70" s="33"/>
    </row>
    <row r="71">
      <c r="A71" s="12" t="str">
        <f>IFERROR(__xludf.DUMMYFUNCTION("""COMPUTED_VALUE"""),"Initial Deployment-Launch-LDPTT, LDPAM, LDPEXP, LDPPRO, TC, WSP, etc.")</f>
        <v>Initial Deployment-Launch-LDPTT, LDPAM, LDPEXP, LDPPRO, TC, WSP, etc.</v>
      </c>
      <c r="B71" s="33">
        <f>IFERROR(__xludf.DUMMYFUNCTION("""COMPUTED_VALUE"""),1.0)</f>
        <v>1</v>
      </c>
      <c r="C71" s="46">
        <f>IFERROR(__xludf.DUMMYFUNCTION("""COMPUTED_VALUE"""),0.0056179775280898875)</f>
        <v>0.005617977528</v>
      </c>
      <c r="D71" s="33"/>
      <c r="E71" s="33"/>
      <c r="H71" s="33"/>
    </row>
    <row r="72">
      <c r="A72" s="12" t="str">
        <f>IFERROR(__xludf.DUMMYFUNCTION("""COMPUTED_VALUE"""),"Initial Deployment-Launch-MCNF, LDPREC, LDPMSG, LDPTLO, LDPBEN etc.")</f>
        <v>Initial Deployment-Launch-MCNF, LDPREC, LDPMSG, LDPTLO, LDPBEN etc.</v>
      </c>
      <c r="B72" s="33">
        <f>IFERROR(__xludf.DUMMYFUNCTION("""COMPUTED_VALUE"""),1.0)</f>
        <v>1</v>
      </c>
      <c r="C72" s="46">
        <f>IFERROR(__xludf.DUMMYFUNCTION("""COMPUTED_VALUE"""),0.0056179775280898875)</f>
        <v>0.005617977528</v>
      </c>
      <c r="D72" s="33"/>
      <c r="E72" s="33"/>
      <c r="H72" s="33"/>
    </row>
    <row r="73">
      <c r="A73" s="12" t="str">
        <f>IFERROR(__xludf.DUMMYFUNCTION("""COMPUTED_VALUE"""),"Initial Deployment-Launch-SRCEXP, PRO, XTND, CLMB, LRNSNA, CHCM,etc")</f>
        <v>Initial Deployment-Launch-SRCEXP, PRO, XTND, CLMB, LRNSNA, CHCM,etc</v>
      </c>
      <c r="B73" s="33">
        <f>IFERROR(__xludf.DUMMYFUNCTION("""COMPUTED_VALUE"""),1.0)</f>
        <v>1</v>
      </c>
      <c r="C73" s="46">
        <f>IFERROR(__xludf.DUMMYFUNCTION("""COMPUTED_VALUE"""),0.0056179775280898875)</f>
        <v>0.005617977528</v>
      </c>
      <c r="D73" s="33"/>
      <c r="E73" s="33"/>
      <c r="H73" s="33"/>
    </row>
    <row r="74">
      <c r="A74" s="12" t="str">
        <f>IFERROR(__xludf.DUMMYFUNCTION("""COMPUTED_VALUE"""),"Initial Deployment-Launch: HCM, FIN")</f>
        <v>Initial Deployment-Launch: HCM, FIN</v>
      </c>
      <c r="B74" s="33">
        <f>IFERROR(__xludf.DUMMYFUNCTION("""COMPUTED_VALUE"""),1.0)</f>
        <v>1</v>
      </c>
      <c r="C74" s="46">
        <f>IFERROR(__xludf.DUMMYFUNCTION("""COMPUTED_VALUE"""),0.0056179775280898875)</f>
        <v>0.005617977528</v>
      </c>
      <c r="D74" s="33"/>
      <c r="E74" s="33"/>
      <c r="H74" s="33"/>
    </row>
    <row r="75">
      <c r="A75" s="12" t="str">
        <f>IFERROR(__xludf.DUMMYFUNCTION("""COMPUTED_VALUE"""),"Initial Deployment-Your Way - HCM, TLO, CCB, USP, LRN, FIN, etc")</f>
        <v>Initial Deployment-Your Way - HCM, TLO, CCB, USP, LRN, FIN, etc</v>
      </c>
      <c r="B75" s="33">
        <f>IFERROR(__xludf.DUMMYFUNCTION("""COMPUTED_VALUE"""),1.0)</f>
        <v>1</v>
      </c>
      <c r="C75" s="46">
        <f>IFERROR(__xludf.DUMMYFUNCTION("""COMPUTED_VALUE"""),0.0056179775280898875)</f>
        <v>0.005617977528</v>
      </c>
      <c r="D75" s="33"/>
      <c r="E75" s="33"/>
      <c r="H75" s="33"/>
    </row>
    <row r="76">
      <c r="A76" s="12" t="str">
        <f>IFERROR(__xludf.DUMMYFUNCTION("""COMPUTED_VALUE"""),"Initial Deployment-Your Way CCB, USP, PRA, PRJT, CHCM, etc")</f>
        <v>Initial Deployment-Your Way CCB, USP, PRA, PRJT, CHCM, etc</v>
      </c>
      <c r="B76" s="33">
        <f>IFERROR(__xludf.DUMMYFUNCTION("""COMPUTED_VALUE"""),1.0)</f>
        <v>1</v>
      </c>
      <c r="C76" s="46">
        <f>IFERROR(__xludf.DUMMYFUNCTION("""COMPUTED_VALUE"""),0.0056179775280898875)</f>
        <v>0.005617977528</v>
      </c>
      <c r="D76" s="33"/>
      <c r="E76" s="33"/>
      <c r="H76" s="33"/>
    </row>
    <row r="77">
      <c r="A77" s="12" t="str">
        <f>IFERROR(__xludf.DUMMYFUNCTION("""COMPUTED_VALUE"""),"Initial Deployment-Your Way- CHCM, TLO, JRNY, CCB, USP, SRCEXP, etc.")</f>
        <v>Initial Deployment-Your Way- CHCM, TLO, JRNY, CCB, USP, SRCEXP, etc.</v>
      </c>
      <c r="B77" s="33">
        <f>IFERROR(__xludf.DUMMYFUNCTION("""COMPUTED_VALUE"""),1.0)</f>
        <v>1</v>
      </c>
      <c r="C77" s="46">
        <f>IFERROR(__xludf.DUMMYFUNCTION("""COMPUTED_VALUE"""),0.0056179775280898875)</f>
        <v>0.005617977528</v>
      </c>
      <c r="D77" s="33"/>
      <c r="E77" s="33"/>
      <c r="H77" s="33"/>
    </row>
    <row r="78">
      <c r="A78" s="12" t="str">
        <f>IFERROR(__xludf.DUMMYFUNCTION("""COMPUTED_VALUE"""),"Initial Deployment-Your Way- FIN, GM, PRA, PRJT, EXP, PRO, etc.")</f>
        <v>Initial Deployment-Your Way- FIN, GM, PRA, PRJT, EXP, PRO, etc.</v>
      </c>
      <c r="B78" s="33">
        <f>IFERROR(__xludf.DUMMYFUNCTION("""COMPUTED_VALUE"""),1.0)</f>
        <v>1</v>
      </c>
      <c r="C78" s="46">
        <f>IFERROR(__xludf.DUMMYFUNCTION("""COMPUTED_VALUE"""),0.0056179775280898875)</f>
        <v>0.005617977528</v>
      </c>
      <c r="D78" s="33"/>
      <c r="E78" s="33"/>
      <c r="H78" s="33"/>
    </row>
    <row r="79">
      <c r="A79" s="12" t="str">
        <f>IFERROR(__xludf.DUMMYFUNCTION("""COMPUTED_VALUE"""),"Initial Deployment-Your Way-CCB, GPC, LRN, CCLRN, REC, CE, CHCM, etc")</f>
        <v>Initial Deployment-Your Way-CCB, GPC, LRN, CCLRN, REC, CE, CHCM, etc</v>
      </c>
      <c r="B79" s="33">
        <f>IFERROR(__xludf.DUMMYFUNCTION("""COMPUTED_VALUE"""),1.0)</f>
        <v>1</v>
      </c>
      <c r="C79" s="46">
        <f>IFERROR(__xludf.DUMMYFUNCTION("""COMPUTED_VALUE"""),0.0056179775280898875)</f>
        <v>0.005617977528</v>
      </c>
      <c r="D79" s="33"/>
      <c r="E79" s="33"/>
      <c r="H79" s="33"/>
    </row>
    <row r="80">
      <c r="A80" s="12" t="str">
        <f>IFERROR(__xludf.DUMMYFUNCTION("""COMPUTED_VALUE"""),"Initial Deployment-Your Way-CCB, USP, LRN, EXP, PRO, INV, CCLRN, REC,")</f>
        <v>Initial Deployment-Your Way-CCB, USP, LRN, EXP, PRO, INV, CCLRN, REC,</v>
      </c>
      <c r="B80" s="33">
        <f>IFERROR(__xludf.DUMMYFUNCTION("""COMPUTED_VALUE"""),1.0)</f>
        <v>1</v>
      </c>
      <c r="C80" s="46">
        <f>IFERROR(__xludf.DUMMYFUNCTION("""COMPUTED_VALUE"""),0.0056179775280898875)</f>
        <v>0.005617977528</v>
      </c>
      <c r="D80" s="33"/>
      <c r="E80" s="33"/>
      <c r="H80" s="33"/>
    </row>
    <row r="81">
      <c r="A81" s="12" t="str">
        <f>IFERROR(__xludf.DUMMYFUNCTION("""COMPUTED_VALUE"""),"Initial Deployment-Your Way-CCB, USP, LRN, MCNF, PLNF, PRA, TT, etc")</f>
        <v>Initial Deployment-Your Way-CCB, USP, LRN, MCNF, PLNF, PRA, TT, etc</v>
      </c>
      <c r="B81" s="33">
        <f>IFERROR(__xludf.DUMMYFUNCTION("""COMPUTED_VALUE"""),1.0)</f>
        <v>1</v>
      </c>
      <c r="C81" s="46">
        <f>IFERROR(__xludf.DUMMYFUNCTION("""COMPUTED_VALUE"""),0.0056179775280898875)</f>
        <v>0.005617977528</v>
      </c>
      <c r="D81" s="33"/>
      <c r="E81" s="33"/>
      <c r="H81" s="33"/>
    </row>
    <row r="82">
      <c r="A82" s="12" t="str">
        <f>IFERROR(__xludf.DUMMYFUNCTION("""COMPUTED_VALUE"""),"Initial Deployment-Your Way-CHCM, CCB, GPC, PLNF")</f>
        <v>Initial Deployment-Your Way-CHCM, CCB, GPC, PLNF</v>
      </c>
      <c r="B82" s="33">
        <f>IFERROR(__xludf.DUMMYFUNCTION("""COMPUTED_VALUE"""),1.0)</f>
        <v>1</v>
      </c>
      <c r="C82" s="46">
        <f>IFERROR(__xludf.DUMMYFUNCTION("""COMPUTED_VALUE"""),0.0056179775280898875)</f>
        <v>0.005617977528</v>
      </c>
      <c r="D82" s="33"/>
      <c r="E82" s="33"/>
      <c r="H82" s="33"/>
    </row>
    <row r="83">
      <c r="A83" s="12" t="str">
        <f>IFERROR(__xludf.DUMMYFUNCTION("""COMPUTED_VALUE"""),"Initial Deployment-Your Way-CHCM, CCB, USP, REC, etc")</f>
        <v>Initial Deployment-Your Way-CHCM, CCB, USP, REC, etc</v>
      </c>
      <c r="B83" s="33">
        <f>IFERROR(__xludf.DUMMYFUNCTION("""COMPUTED_VALUE"""),1.0)</f>
        <v>1</v>
      </c>
      <c r="C83" s="46">
        <f>IFERROR(__xludf.DUMMYFUNCTION("""COMPUTED_VALUE"""),0.0056179775280898875)</f>
        <v>0.005617977528</v>
      </c>
      <c r="D83" s="33"/>
      <c r="E83" s="33"/>
      <c r="H83" s="33"/>
    </row>
    <row r="84">
      <c r="A84" s="12" t="str">
        <f>IFERROR(__xludf.DUMMYFUNCTION("""COMPUTED_VALUE"""),"Initial Deployment-Your Way-CHCM, GPC, FIN, GM, PLNF, PRA, etc")</f>
        <v>Initial Deployment-Your Way-CHCM, GPC, FIN, GM, PLNF, PRA, etc</v>
      </c>
      <c r="B84" s="33">
        <f>IFERROR(__xludf.DUMMYFUNCTION("""COMPUTED_VALUE"""),1.0)</f>
        <v>1</v>
      </c>
      <c r="C84" s="46">
        <f>IFERROR(__xludf.DUMMYFUNCTION("""COMPUTED_VALUE"""),0.0056179775280898875)</f>
        <v>0.005617977528</v>
      </c>
      <c r="D84" s="33"/>
      <c r="E84" s="33"/>
      <c r="H84" s="33"/>
    </row>
    <row r="85">
      <c r="A85" s="12" t="str">
        <f>IFERROR(__xludf.DUMMYFUNCTION("""COMPUTED_VALUE"""),"Initial Deployment-Your Way-CHCM, TLO, CCB, LRN, GPC, etc.")</f>
        <v>Initial Deployment-Your Way-CHCM, TLO, CCB, LRN, GPC, etc.</v>
      </c>
      <c r="B85" s="33">
        <f>IFERROR(__xludf.DUMMYFUNCTION("""COMPUTED_VALUE"""),1.0)</f>
        <v>1</v>
      </c>
      <c r="C85" s="46">
        <f>IFERROR(__xludf.DUMMYFUNCTION("""COMPUTED_VALUE"""),0.0056179775280898875)</f>
        <v>0.005617977528</v>
      </c>
      <c r="D85" s="33"/>
      <c r="E85" s="33"/>
      <c r="H85" s="33"/>
    </row>
    <row r="86">
      <c r="A86" s="12" t="str">
        <f>IFERROR(__xludf.DUMMYFUNCTION("""COMPUTED_VALUE"""),"Initial Deployment-Your Way-CHCM, TLO, CCB, LRN, MCNF, etc.")</f>
        <v>Initial Deployment-Your Way-CHCM, TLO, CCB, LRN, MCNF, etc.</v>
      </c>
      <c r="B86" s="33">
        <f>IFERROR(__xludf.DUMMYFUNCTION("""COMPUTED_VALUE"""),1.0)</f>
        <v>1</v>
      </c>
      <c r="C86" s="46">
        <f>IFERROR(__xludf.DUMMYFUNCTION("""COMPUTED_VALUE"""),0.0056179775280898875)</f>
        <v>0.005617977528</v>
      </c>
      <c r="D86" s="33"/>
      <c r="E86" s="33"/>
      <c r="H86" s="33"/>
    </row>
    <row r="87">
      <c r="A87" s="12" t="str">
        <f>IFERROR(__xludf.DUMMYFUNCTION("""COMPUTED_VALUE"""),"Initial Deployment-Your Way-CHCM, TLO, CCB, REC, FIN, GM, USP, PLNF, PRJT, etc.")</f>
        <v>Initial Deployment-Your Way-CHCM, TLO, CCB, REC, FIN, GM, USP, PLNF, PRJT, etc.</v>
      </c>
      <c r="B87" s="33">
        <f>IFERROR(__xludf.DUMMYFUNCTION("""COMPUTED_VALUE"""),1.0)</f>
        <v>1</v>
      </c>
      <c r="C87" s="46">
        <f>IFERROR(__xludf.DUMMYFUNCTION("""COMPUTED_VALUE"""),0.0056179775280898875)</f>
        <v>0.005617977528</v>
      </c>
      <c r="D87" s="33"/>
      <c r="E87" s="33"/>
      <c r="H87" s="33"/>
    </row>
    <row r="88">
      <c r="A88" s="12" t="str">
        <f>IFERROR(__xludf.DUMMYFUNCTION("""COMPUTED_VALUE"""),"Initial Deployment-Your Way-CHCM, TLO, CCB, USP, FIN, GM, PRA, PRJT, TT, SC, etc")</f>
        <v>Initial Deployment-Your Way-CHCM, TLO, CCB, USP, FIN, GM, PRA, PRJT, TT, SC, etc</v>
      </c>
      <c r="B88" s="33">
        <f>IFERROR(__xludf.DUMMYFUNCTION("""COMPUTED_VALUE"""),1.0)</f>
        <v>1</v>
      </c>
      <c r="C88" s="46">
        <f>IFERROR(__xludf.DUMMYFUNCTION("""COMPUTED_VALUE"""),0.0056179775280898875)</f>
        <v>0.005617977528</v>
      </c>
      <c r="D88" s="33"/>
      <c r="E88" s="33"/>
      <c r="H88" s="33"/>
    </row>
    <row r="89">
      <c r="A89" s="12" t="str">
        <f>IFERROR(__xludf.DUMMYFUNCTION("""COMPUTED_VALUE"""),"Initial Deployment-Your Way-CHCM, TLO, CCB, USP, LRN, MCNF, CCLRN, etc.")</f>
        <v>Initial Deployment-Your Way-CHCM, TLO, CCB, USP, LRN, MCNF, CCLRN, etc.</v>
      </c>
      <c r="B89" s="33">
        <f>IFERROR(__xludf.DUMMYFUNCTION("""COMPUTED_VALUE"""),1.0)</f>
        <v>1</v>
      </c>
      <c r="C89" s="46">
        <f>IFERROR(__xludf.DUMMYFUNCTION("""COMPUTED_VALUE"""),0.0056179775280898875)</f>
        <v>0.005617977528</v>
      </c>
      <c r="D89" s="33"/>
      <c r="E89" s="33"/>
      <c r="H89" s="33"/>
    </row>
    <row r="90">
      <c r="A90" s="12" t="str">
        <f>IFERROR(__xludf.DUMMYFUNCTION("""COMPUTED_VALUE"""),"Initial Deployment-Your Way-CHCM, TLO, CCB, USP, LRN, MCNF, REC, FIN, GM, etc.")</f>
        <v>Initial Deployment-Your Way-CHCM, TLO, CCB, USP, LRN, MCNF, REC, FIN, GM, etc.</v>
      </c>
      <c r="B90" s="33">
        <f>IFERROR(__xludf.DUMMYFUNCTION("""COMPUTED_VALUE"""),1.0)</f>
        <v>1</v>
      </c>
      <c r="C90" s="46">
        <f>IFERROR(__xludf.DUMMYFUNCTION("""COMPUTED_VALUE"""),0.0056179775280898875)</f>
        <v>0.005617977528</v>
      </c>
      <c r="D90" s="33"/>
      <c r="E90" s="33"/>
      <c r="H90" s="33"/>
    </row>
    <row r="91">
      <c r="A91" s="12" t="str">
        <f>IFERROR(__xludf.DUMMYFUNCTION("""COMPUTED_VALUE"""),"Initial Deployment-Your Way-CHCM, TLO, CCB, USP, LRN, MCNF, REC, FIN, etc.")</f>
        <v>Initial Deployment-Your Way-CHCM, TLO, CCB, USP, LRN, MCNF, REC, FIN, etc.</v>
      </c>
      <c r="B91" s="33">
        <f>IFERROR(__xludf.DUMMYFUNCTION("""COMPUTED_VALUE"""),1.0)</f>
        <v>1</v>
      </c>
      <c r="C91" s="46">
        <f>IFERROR(__xludf.DUMMYFUNCTION("""COMPUTED_VALUE"""),0.0056179775280898875)</f>
        <v>0.005617977528</v>
      </c>
      <c r="D91" s="33"/>
      <c r="E91" s="33"/>
      <c r="H91" s="33"/>
    </row>
    <row r="92">
      <c r="A92" s="12" t="str">
        <f>IFERROR(__xludf.DUMMYFUNCTION("""COMPUTED_VALUE"""),"Initial Deployment-Your Way-CHCM, TLO, CCB, USP, PRA, TT, etc.")</f>
        <v>Initial Deployment-Your Way-CHCM, TLO, CCB, USP, PRA, TT, etc.</v>
      </c>
      <c r="B92" s="33">
        <f>IFERROR(__xludf.DUMMYFUNCTION("""COMPUTED_VALUE"""),1.0)</f>
        <v>1</v>
      </c>
      <c r="C92" s="46">
        <f>IFERROR(__xludf.DUMMYFUNCTION("""COMPUTED_VALUE"""),0.0056179775280898875)</f>
        <v>0.005617977528</v>
      </c>
      <c r="D92" s="33"/>
      <c r="E92" s="33"/>
      <c r="H92" s="33"/>
    </row>
    <row r="93">
      <c r="A93" s="12" t="str">
        <f>IFERROR(__xludf.DUMMYFUNCTION("""COMPUTED_VALUE"""),"Initial Deployment-Your Way-CHCM, TLO, CCB, USP, REC, CE, MSG, FIN, PLNF, etc.")</f>
        <v>Initial Deployment-Your Way-CHCM, TLO, CCB, USP, REC, CE, MSG, FIN, PLNF, etc.</v>
      </c>
      <c r="B93" s="33">
        <f>IFERROR(__xludf.DUMMYFUNCTION("""COMPUTED_VALUE"""),1.0)</f>
        <v>1</v>
      </c>
      <c r="C93" s="46">
        <f>IFERROR(__xludf.DUMMYFUNCTION("""COMPUTED_VALUE"""),0.0056179775280898875)</f>
        <v>0.005617977528</v>
      </c>
      <c r="D93" s="33"/>
      <c r="E93" s="33"/>
      <c r="H93" s="33"/>
    </row>
    <row r="94">
      <c r="A94" s="12" t="str">
        <f>IFERROR(__xludf.DUMMYFUNCTION("""COMPUTED_VALUE"""),"Initial Deployment-Your Way-CHCM, TLO, CCB, USP, REC, FIN, GM, PRA, etc.")</f>
        <v>Initial Deployment-Your Way-CHCM, TLO, CCB, USP, REC, FIN, GM, PRA, etc.</v>
      </c>
      <c r="B94" s="33">
        <f>IFERROR(__xludf.DUMMYFUNCTION("""COMPUTED_VALUE"""),1.0)</f>
        <v>1</v>
      </c>
      <c r="C94" s="46">
        <f>IFERROR(__xludf.DUMMYFUNCTION("""COMPUTED_VALUE"""),0.0056179775280898875)</f>
        <v>0.005617977528</v>
      </c>
      <c r="D94" s="33"/>
      <c r="E94" s="33"/>
      <c r="H94" s="33"/>
    </row>
    <row r="95">
      <c r="A95" s="12" t="str">
        <f>IFERROR(__xludf.DUMMYFUNCTION("""COMPUTED_VALUE"""),"Initial Deployment-Your Way-CHCM, TLO, GPC,etc.")</f>
        <v>Initial Deployment-Your Way-CHCM, TLO, GPC,etc.</v>
      </c>
      <c r="B95" s="33">
        <f>IFERROR(__xludf.DUMMYFUNCTION("""COMPUTED_VALUE"""),1.0)</f>
        <v>1</v>
      </c>
      <c r="C95" s="46">
        <f>IFERROR(__xludf.DUMMYFUNCTION("""COMPUTED_VALUE"""),0.0056179775280898875)</f>
        <v>0.005617977528</v>
      </c>
      <c r="D95" s="33"/>
      <c r="E95" s="33"/>
      <c r="H95" s="33"/>
    </row>
    <row r="96">
      <c r="A96" s="12" t="str">
        <f>IFERROR(__xludf.DUMMYFUNCTION("""COMPUTED_VALUE"""),"Initial Deployment-Your Way-CHCM, TLO, HLP, CCB, USP, LRN, MCNF, etc")</f>
        <v>Initial Deployment-Your Way-CHCM, TLO, HLP, CCB, USP, LRN, MCNF, etc</v>
      </c>
      <c r="B96" s="33">
        <f>IFERROR(__xludf.DUMMYFUNCTION("""COMPUTED_VALUE"""),1.0)</f>
        <v>1</v>
      </c>
      <c r="C96" s="46">
        <f>IFERROR(__xludf.DUMMYFUNCTION("""COMPUTED_VALUE"""),0.0056179775280898875)</f>
        <v>0.005617977528</v>
      </c>
      <c r="D96" s="33"/>
      <c r="E96" s="33"/>
      <c r="H96" s="33"/>
    </row>
    <row r="97">
      <c r="A97" s="12" t="str">
        <f>IFERROR(__xludf.DUMMYFUNCTION("""COMPUTED_VALUE"""),"Initial Deployment-Your Way-CHCM, TLO, HLP, CCB, USP, LRN, etc.")</f>
        <v>Initial Deployment-Your Way-CHCM, TLO, HLP, CCB, USP, LRN, etc.</v>
      </c>
      <c r="B97" s="33">
        <f>IFERROR(__xludf.DUMMYFUNCTION("""COMPUTED_VALUE"""),1.0)</f>
        <v>1</v>
      </c>
      <c r="C97" s="46">
        <f>IFERROR(__xludf.DUMMYFUNCTION("""COMPUTED_VALUE"""),0.0056179775280898875)</f>
        <v>0.005617977528</v>
      </c>
      <c r="D97" s="33"/>
      <c r="E97" s="33"/>
      <c r="H97" s="33"/>
    </row>
    <row r="98">
      <c r="A98" s="12" t="str">
        <f>IFERROR(__xludf.DUMMYFUNCTION("""COMPUTED_VALUE"""),"Initial Deployment-Your Way-CHCM, TLO, HLP, CCB, etc")</f>
        <v>Initial Deployment-Your Way-CHCM, TLO, HLP, CCB, etc</v>
      </c>
      <c r="B98" s="33">
        <f>IFERROR(__xludf.DUMMYFUNCTION("""COMPUTED_VALUE"""),1.0)</f>
        <v>1</v>
      </c>
      <c r="C98" s="46">
        <f>IFERROR(__xludf.DUMMYFUNCTION("""COMPUTED_VALUE"""),0.0056179775280898875)</f>
        <v>0.005617977528</v>
      </c>
      <c r="D98" s="33"/>
      <c r="E98" s="33"/>
      <c r="H98" s="33"/>
    </row>
    <row r="99">
      <c r="A99" s="12" t="str">
        <f>IFERROR(__xludf.DUMMYFUNCTION("""COMPUTED_VALUE"""),"Initial Deployment-Your Way-CHCM, TLO, HLP, EMPVCE, CCB, etc.")</f>
        <v>Initial Deployment-Your Way-CHCM, TLO, HLP, EMPVCE, CCB, etc.</v>
      </c>
      <c r="B99" s="33">
        <f>IFERROR(__xludf.DUMMYFUNCTION("""COMPUTED_VALUE"""),1.0)</f>
        <v>1</v>
      </c>
      <c r="C99" s="46">
        <f>IFERROR(__xludf.DUMMYFUNCTION("""COMPUTED_VALUE"""),0.0056179775280898875)</f>
        <v>0.005617977528</v>
      </c>
      <c r="D99" s="33"/>
      <c r="E99" s="33"/>
      <c r="H99" s="33"/>
    </row>
    <row r="100">
      <c r="A100" s="12" t="str">
        <f>IFERROR(__xludf.DUMMYFUNCTION("""COMPUTED_VALUE"""),"Initial Deployment-Your Way-CHCM, TLO, HLP, GPC, REC, etc.")</f>
        <v>Initial Deployment-Your Way-CHCM, TLO, HLP, GPC, REC, etc.</v>
      </c>
      <c r="B100" s="33">
        <f>IFERROR(__xludf.DUMMYFUNCTION("""COMPUTED_VALUE"""),1.0)</f>
        <v>1</v>
      </c>
      <c r="C100" s="46">
        <f>IFERROR(__xludf.DUMMYFUNCTION("""COMPUTED_VALUE"""),0.0056179775280898875)</f>
        <v>0.005617977528</v>
      </c>
      <c r="D100" s="33"/>
      <c r="E100" s="33"/>
      <c r="H100" s="33"/>
    </row>
    <row r="101">
      <c r="A101" s="12" t="str">
        <f>IFERROR(__xludf.DUMMYFUNCTION("""COMPUTED_VALUE"""),"Initial Deployment-Your Way-CHCM, TLO, HLP, JRNY, CCB, USP, LRN, MCNF, etc.")</f>
        <v>Initial Deployment-Your Way-CHCM, TLO, HLP, JRNY, CCB, USP, LRN, MCNF, etc.</v>
      </c>
      <c r="B101" s="33">
        <f>IFERROR(__xludf.DUMMYFUNCTION("""COMPUTED_VALUE"""),1.0)</f>
        <v>1</v>
      </c>
      <c r="C101" s="46">
        <f>IFERROR(__xludf.DUMMYFUNCTION("""COMPUTED_VALUE"""),0.0056179775280898875)</f>
        <v>0.005617977528</v>
      </c>
      <c r="D101" s="33"/>
      <c r="E101" s="33"/>
      <c r="H101" s="33"/>
    </row>
    <row r="102">
      <c r="A102" s="12" t="str">
        <f>IFERROR(__xludf.DUMMYFUNCTION("""COMPUTED_VALUE"""),"Initial Deployment-Your Way-CHCM, TLO, HLP, JRNY, CCB, USP, REC, FIN, PLNF, etc.")</f>
        <v>Initial Deployment-Your Way-CHCM, TLO, HLP, JRNY, CCB, USP, REC, FIN, PLNF, etc.</v>
      </c>
      <c r="B102" s="33">
        <f>IFERROR(__xludf.DUMMYFUNCTION("""COMPUTED_VALUE"""),1.0)</f>
        <v>1</v>
      </c>
      <c r="C102" s="46">
        <f>IFERROR(__xludf.DUMMYFUNCTION("""COMPUTED_VALUE"""),0.0056179775280898875)</f>
        <v>0.005617977528</v>
      </c>
      <c r="D102" s="33"/>
      <c r="E102" s="33"/>
      <c r="H102" s="33"/>
    </row>
    <row r="103">
      <c r="A103" s="12" t="str">
        <f>IFERROR(__xludf.DUMMYFUNCTION("""COMPUTED_VALUE"""),"Initial Deployment-Your Way-CHCM, TLO, HLP, JRNY, EMPVCE, CCB, USP, LRN, etc.")</f>
        <v>Initial Deployment-Your Way-CHCM, TLO, HLP, JRNY, EMPVCE, CCB, USP, LRN, etc.</v>
      </c>
      <c r="B103" s="33">
        <f>IFERROR(__xludf.DUMMYFUNCTION("""COMPUTED_VALUE"""),1.0)</f>
        <v>1</v>
      </c>
      <c r="C103" s="46">
        <f>IFERROR(__xludf.DUMMYFUNCTION("""COMPUTED_VALUE"""),0.0056179775280898875)</f>
        <v>0.005617977528</v>
      </c>
      <c r="D103" s="33"/>
      <c r="E103" s="33"/>
      <c r="H103" s="33"/>
    </row>
    <row r="104">
      <c r="A104" s="12" t="str">
        <f>IFERROR(__xludf.DUMMYFUNCTION("""COMPUTED_VALUE"""),"Initial Deployment-Your Way-CHCM, TLO, HLP, JRNY, EMPVCE, CCB, USP, etc")</f>
        <v>Initial Deployment-Your Way-CHCM, TLO, HLP, JRNY, EMPVCE, CCB, USP, etc</v>
      </c>
      <c r="B104" s="33">
        <f>IFERROR(__xludf.DUMMYFUNCTION("""COMPUTED_VALUE"""),1.0)</f>
        <v>1</v>
      </c>
      <c r="C104" s="46">
        <f>IFERROR(__xludf.DUMMYFUNCTION("""COMPUTED_VALUE"""),0.0056179775280898875)</f>
        <v>0.005617977528</v>
      </c>
      <c r="D104" s="33"/>
      <c r="E104" s="33"/>
      <c r="H104" s="33"/>
    </row>
    <row r="105">
      <c r="A105" s="12" t="str">
        <f>IFERROR(__xludf.DUMMYFUNCTION("""COMPUTED_VALUE"""),"Initial Deployment-Your Way-CHCM, TLO, HLP, JRNY, EMPVCE, CCB, etc.")</f>
        <v>Initial Deployment-Your Way-CHCM, TLO, HLP, JRNY, EMPVCE, CCB, etc.</v>
      </c>
      <c r="B105" s="33">
        <f>IFERROR(__xludf.DUMMYFUNCTION("""COMPUTED_VALUE"""),1.0)</f>
        <v>1</v>
      </c>
      <c r="C105" s="46">
        <f>IFERROR(__xludf.DUMMYFUNCTION("""COMPUTED_VALUE"""),0.0056179775280898875)</f>
        <v>0.005617977528</v>
      </c>
      <c r="D105" s="33"/>
      <c r="E105" s="33"/>
      <c r="H105" s="33"/>
    </row>
    <row r="106">
      <c r="A106" s="12" t="str">
        <f>IFERROR(__xludf.DUMMYFUNCTION("""COMPUTED_VALUE"""),"Initial Deployment-Your Way-CHCM, TLO, HLP,etc")</f>
        <v>Initial Deployment-Your Way-CHCM, TLO, HLP,etc</v>
      </c>
      <c r="B106" s="33">
        <f>IFERROR(__xludf.DUMMYFUNCTION("""COMPUTED_VALUE"""),1.0)</f>
        <v>1</v>
      </c>
      <c r="C106" s="46">
        <f>IFERROR(__xludf.DUMMYFUNCTION("""COMPUTED_VALUE"""),0.0056179775280898875)</f>
        <v>0.005617977528</v>
      </c>
      <c r="D106" s="33"/>
      <c r="E106" s="33"/>
      <c r="H106" s="33"/>
    </row>
    <row r="107">
      <c r="A107" s="12" t="str">
        <f>IFERROR(__xludf.DUMMYFUNCTION("""COMPUTED_VALUE"""),"Initial Deployment-Your Way-CHCM, TLO, JRNY, CCB, USP, LRN, MCNF etc.")</f>
        <v>Initial Deployment-Your Way-CHCM, TLO, JRNY, CCB, USP, LRN, MCNF etc.</v>
      </c>
      <c r="B107" s="33">
        <f>IFERROR(__xludf.DUMMYFUNCTION("""COMPUTED_VALUE"""),1.0)</f>
        <v>1</v>
      </c>
      <c r="C107" s="46">
        <f>IFERROR(__xludf.DUMMYFUNCTION("""COMPUTED_VALUE"""),0.0056179775280898875)</f>
        <v>0.005617977528</v>
      </c>
      <c r="D107" s="33"/>
      <c r="E107" s="33"/>
      <c r="H107" s="33"/>
    </row>
    <row r="108">
      <c r="A108" s="12" t="str">
        <f>IFERROR(__xludf.DUMMYFUNCTION("""COMPUTED_VALUE"""),"Initial Deployment-Your Way-CHCM, TLO, JRNY, CCB, USP, LRN, etc")</f>
        <v>Initial Deployment-Your Way-CHCM, TLO, JRNY, CCB, USP, LRN, etc</v>
      </c>
      <c r="B108" s="33">
        <f>IFERROR(__xludf.DUMMYFUNCTION("""COMPUTED_VALUE"""),1.0)</f>
        <v>1</v>
      </c>
      <c r="C108" s="46">
        <f>IFERROR(__xludf.DUMMYFUNCTION("""COMPUTED_VALUE"""),0.0056179775280898875)</f>
        <v>0.005617977528</v>
      </c>
      <c r="D108" s="33"/>
      <c r="E108" s="33"/>
      <c r="H108" s="33"/>
    </row>
    <row r="109">
      <c r="A109" s="12" t="str">
        <f>IFERROR(__xludf.DUMMYFUNCTION("""COMPUTED_VALUE"""),"Initial Deployment-Your Way-CHCM, TLO, PRA, PRJT, TT, WSP, TC")</f>
        <v>Initial Deployment-Your Way-CHCM, TLO, PRA, PRJT, TT, WSP, TC</v>
      </c>
      <c r="B109" s="33">
        <f>IFERROR(__xludf.DUMMYFUNCTION("""COMPUTED_VALUE"""),1.0)</f>
        <v>1</v>
      </c>
      <c r="C109" s="46">
        <f>IFERROR(__xludf.DUMMYFUNCTION("""COMPUTED_VALUE"""),0.0056179775280898875)</f>
        <v>0.005617977528</v>
      </c>
      <c r="D109" s="33"/>
      <c r="E109" s="33"/>
      <c r="H109" s="33"/>
    </row>
    <row r="110">
      <c r="A110" s="12" t="str">
        <f>IFERROR(__xludf.DUMMYFUNCTION("""COMPUTED_VALUE"""),"Initial Deployment-Your Way-CHCM,TLO,HLP,GPC,etc")</f>
        <v>Initial Deployment-Your Way-CHCM,TLO,HLP,GPC,etc</v>
      </c>
      <c r="B110" s="33">
        <f>IFERROR(__xludf.DUMMYFUNCTION("""COMPUTED_VALUE"""),1.0)</f>
        <v>1</v>
      </c>
      <c r="C110" s="46">
        <f>IFERROR(__xludf.DUMMYFUNCTION("""COMPUTED_VALUE"""),0.0056179775280898875)</f>
        <v>0.005617977528</v>
      </c>
      <c r="D110" s="33"/>
      <c r="E110" s="33"/>
      <c r="H110" s="33"/>
    </row>
    <row r="111">
      <c r="A111" s="12" t="str">
        <f>IFERROR(__xludf.DUMMYFUNCTION("""COMPUTED_VALUE"""),"Initial Deployment-Your Way-FIN, CHCM, TLO, SRCEXP, CLM, etc.")</f>
        <v>Initial Deployment-Your Way-FIN, CHCM, TLO, SRCEXP, CLM, etc.</v>
      </c>
      <c r="B111" s="33">
        <f>IFERROR(__xludf.DUMMYFUNCTION("""COMPUTED_VALUE"""),1.0)</f>
        <v>1</v>
      </c>
      <c r="C111" s="46">
        <f>IFERROR(__xludf.DUMMYFUNCTION("""COMPUTED_VALUE"""),0.0056179775280898875)</f>
        <v>0.005617977528</v>
      </c>
      <c r="D111" s="33"/>
      <c r="E111" s="33"/>
      <c r="H111" s="33"/>
    </row>
    <row r="112">
      <c r="A112" s="12" t="str">
        <f>IFERROR(__xludf.DUMMYFUNCTION("""COMPUTED_VALUE"""),"Initial Deployment-Your Way-FIN, GM, PLNF, PRA, PRJT, etc.")</f>
        <v>Initial Deployment-Your Way-FIN, GM, PLNF, PRA, PRJT, etc.</v>
      </c>
      <c r="B112" s="33">
        <f>IFERROR(__xludf.DUMMYFUNCTION("""COMPUTED_VALUE"""),1.0)</f>
        <v>1</v>
      </c>
      <c r="C112" s="46">
        <f>IFERROR(__xludf.DUMMYFUNCTION("""COMPUTED_VALUE"""),0.0056179775280898875)</f>
        <v>0.005617977528</v>
      </c>
      <c r="D112" s="33"/>
      <c r="E112" s="33"/>
      <c r="H112" s="33"/>
    </row>
    <row r="113">
      <c r="A113" s="12" t="str">
        <f>IFERROR(__xludf.DUMMYFUNCTION("""COMPUTED_VALUE"""),"Initial Deployment-Your Way-FIN, PLNF, CHCM, TLO, USP, LRN, etc.")</f>
        <v>Initial Deployment-Your Way-FIN, PLNF, CHCM, TLO, USP, LRN, etc.</v>
      </c>
      <c r="B113" s="33">
        <f>IFERROR(__xludf.DUMMYFUNCTION("""COMPUTED_VALUE"""),1.0)</f>
        <v>1</v>
      </c>
      <c r="C113" s="46">
        <f>IFERROR(__xludf.DUMMYFUNCTION("""COMPUTED_VALUE"""),0.0056179775280898875)</f>
        <v>0.005617977528</v>
      </c>
      <c r="D113" s="33"/>
      <c r="E113" s="33"/>
      <c r="H113" s="33"/>
    </row>
    <row r="114">
      <c r="A114" s="12" t="str">
        <f>IFERROR(__xludf.DUMMYFUNCTION("""COMPUTED_VALUE"""),"Initial Deployment-Your Way-FIN, PLNF, PRA, PRJT, EXP, INV, etc")</f>
        <v>Initial Deployment-Your Way-FIN, PLNF, PRA, PRJT, EXP, INV, etc</v>
      </c>
      <c r="B114" s="33">
        <f>IFERROR(__xludf.DUMMYFUNCTION("""COMPUTED_VALUE"""),1.0)</f>
        <v>1</v>
      </c>
      <c r="C114" s="46">
        <f>IFERROR(__xludf.DUMMYFUNCTION("""COMPUTED_VALUE"""),0.0056179775280898875)</f>
        <v>0.005617977528</v>
      </c>
      <c r="D114" s="33"/>
      <c r="E114" s="33"/>
      <c r="H114" s="33"/>
    </row>
    <row r="115">
      <c r="A115" s="12" t="str">
        <f>IFERROR(__xludf.DUMMYFUNCTION("""COMPUTED_VALUE"""),"Initial Deployment-Your Way-HCM, FIN, USP, LRN, TT, etc")</f>
        <v>Initial Deployment-Your Way-HCM, FIN, USP, LRN, TT, etc</v>
      </c>
      <c r="B115" s="33">
        <f>IFERROR(__xludf.DUMMYFUNCTION("""COMPUTED_VALUE"""),1.0)</f>
        <v>1</v>
      </c>
      <c r="C115" s="46">
        <f>IFERROR(__xludf.DUMMYFUNCTION("""COMPUTED_VALUE"""),0.0056179775280898875)</f>
        <v>0.005617977528</v>
      </c>
      <c r="D115" s="33"/>
      <c r="E115" s="33"/>
      <c r="H115" s="33"/>
    </row>
    <row r="116">
      <c r="A116" s="12" t="str">
        <f>IFERROR(__xludf.DUMMYFUNCTION("""COMPUTED_VALUE"""),"Initial Deployment-Your Way-HCM, TLO, CCB, USP, LRN,REC, FIN, etc")</f>
        <v>Initial Deployment-Your Way-HCM, TLO, CCB, USP, LRN,REC, FIN, etc</v>
      </c>
      <c r="B116" s="33">
        <f>IFERROR(__xludf.DUMMYFUNCTION("""COMPUTED_VALUE"""),1.0)</f>
        <v>1</v>
      </c>
      <c r="C116" s="46">
        <f>IFERROR(__xludf.DUMMYFUNCTION("""COMPUTED_VALUE"""),0.0056179775280898875)</f>
        <v>0.005617977528</v>
      </c>
      <c r="D116" s="33"/>
      <c r="E116" s="33"/>
      <c r="H116" s="33"/>
    </row>
    <row r="117">
      <c r="A117" s="12" t="str">
        <f>IFERROR(__xludf.DUMMYFUNCTION("""COMPUTED_VALUE"""),"Initial Deployment-Your Way-HLP, JRNY, EMPVCE, CHCM, TLO, CCB, etc.")</f>
        <v>Initial Deployment-Your Way-HLP, JRNY, EMPVCE, CHCM, TLO, CCB, etc.</v>
      </c>
      <c r="B117" s="33">
        <f>IFERROR(__xludf.DUMMYFUNCTION("""COMPUTED_VALUE"""),1.0)</f>
        <v>1</v>
      </c>
      <c r="C117" s="46">
        <f>IFERROR(__xludf.DUMMYFUNCTION("""COMPUTED_VALUE"""),0.0056179775280898875)</f>
        <v>0.005617977528</v>
      </c>
      <c r="D117" s="33"/>
      <c r="E117" s="33"/>
      <c r="H117" s="33"/>
    </row>
    <row r="118">
      <c r="A118" s="12" t="str">
        <f>IFERROR(__xludf.DUMMYFUNCTION("""COMPUTED_VALUE"""),"Initial Deployment-Your Way-HLP, LRN, REC, PRA, etc")</f>
        <v>Initial Deployment-Your Way-HLP, LRN, REC, PRA, etc</v>
      </c>
      <c r="B118" s="33">
        <f>IFERROR(__xludf.DUMMYFUNCTION("""COMPUTED_VALUE"""),1.0)</f>
        <v>1</v>
      </c>
      <c r="C118" s="46">
        <f>IFERROR(__xludf.DUMMYFUNCTION("""COMPUTED_VALUE"""),0.0056179775280898875)</f>
        <v>0.005617977528</v>
      </c>
      <c r="D118" s="33"/>
      <c r="E118" s="33"/>
      <c r="H118" s="33"/>
    </row>
    <row r="119">
      <c r="A119" s="12" t="str">
        <f>IFERROR(__xludf.DUMMYFUNCTION("""COMPUTED_VALUE"""),"Initial Deployment-Your Way-LRN, MCNF, CCLRN, REC, CHCM, TLO etc.")</f>
        <v>Initial Deployment-Your Way-LRN, MCNF, CCLRN, REC, CHCM, TLO etc.</v>
      </c>
      <c r="B119" s="33">
        <f>IFERROR(__xludf.DUMMYFUNCTION("""COMPUTED_VALUE"""),1.0)</f>
        <v>1</v>
      </c>
      <c r="C119" s="46">
        <f>IFERROR(__xludf.DUMMYFUNCTION("""COMPUTED_VALUE"""),0.0056179775280898875)</f>
        <v>0.005617977528</v>
      </c>
      <c r="D119" s="33"/>
      <c r="E119" s="33"/>
      <c r="H119" s="33"/>
    </row>
    <row r="120">
      <c r="A120" s="12" t="str">
        <f>IFERROR(__xludf.DUMMYFUNCTION("""COMPUTED_VALUE"""),"Initial Deployment-Your Way-MSG, PPLA, PRA, TT, WSP, GPC, MCNF, etc.")</f>
        <v>Initial Deployment-Your Way-MSG, PPLA, PRA, TT, WSP, GPC, MCNF, etc.</v>
      </c>
      <c r="B120" s="33">
        <f>IFERROR(__xludf.DUMMYFUNCTION("""COMPUTED_VALUE"""),1.0)</f>
        <v>1</v>
      </c>
      <c r="C120" s="46">
        <f>IFERROR(__xludf.DUMMYFUNCTION("""COMPUTED_VALUE"""),0.0056179775280898875)</f>
        <v>0.005617977528</v>
      </c>
      <c r="D120" s="33"/>
      <c r="E120" s="33"/>
      <c r="H120" s="33"/>
    </row>
    <row r="121">
      <c r="A121" s="12" t="str">
        <f>IFERROR(__xludf.DUMMYFUNCTION("""COMPUTED_VALUE"""),"Initial Deployment-Your Way-PRO, SRC, SCLO, TT, SC, EXP, CHCM, CCB, USP, etc.")</f>
        <v>Initial Deployment-Your Way-PRO, SRC, SCLO, TT, SC, EXP, CHCM, CCB, USP, etc.</v>
      </c>
      <c r="B121" s="33">
        <f>IFERROR(__xludf.DUMMYFUNCTION("""COMPUTED_VALUE"""),1.0)</f>
        <v>1</v>
      </c>
      <c r="C121" s="46">
        <f>IFERROR(__xludf.DUMMYFUNCTION("""COMPUTED_VALUE"""),0.0056179775280898875)</f>
        <v>0.005617977528</v>
      </c>
      <c r="D121" s="33"/>
      <c r="E121" s="33"/>
      <c r="H121" s="33"/>
    </row>
    <row r="122">
      <c r="A122" s="12" t="str">
        <f>IFERROR(__xludf.DUMMYFUNCTION("""COMPUTED_VALUE"""),"Initial Deployment-Your Way-TT, SC, SCLO, XTND, WSP, CHCM, GPC, REC, PLNF")</f>
        <v>Initial Deployment-Your Way-TT, SC, SCLO, XTND, WSP, CHCM, GPC, REC, PLNF</v>
      </c>
      <c r="B122" s="33">
        <f>IFERROR(__xludf.DUMMYFUNCTION("""COMPUTED_VALUE"""),1.0)</f>
        <v>1</v>
      </c>
      <c r="C122" s="46">
        <f>IFERROR(__xludf.DUMMYFUNCTION("""COMPUTED_VALUE"""),0.0056179775280898875)</f>
        <v>0.005617977528</v>
      </c>
      <c r="D122" s="33"/>
      <c r="E122" s="33"/>
      <c r="H122" s="33"/>
    </row>
    <row r="123">
      <c r="A123" s="12" t="str">
        <f>IFERROR(__xludf.DUMMYFUNCTION("""COMPUTED_VALUE"""),"Initial Deployment-Your Way: CHCM, LRN, CCTPP, CCB")</f>
        <v>Initial Deployment-Your Way: CHCM, LRN, CCTPP, CCB</v>
      </c>
      <c r="B123" s="33">
        <f>IFERROR(__xludf.DUMMYFUNCTION("""COMPUTED_VALUE"""),1.0)</f>
        <v>1</v>
      </c>
      <c r="C123" s="46">
        <f>IFERROR(__xludf.DUMMYFUNCTION("""COMPUTED_VALUE"""),0.0056179775280898875)</f>
        <v>0.005617977528</v>
      </c>
      <c r="D123" s="33"/>
      <c r="E123" s="33"/>
      <c r="H123" s="33"/>
    </row>
    <row r="124">
      <c r="A124" s="12" t="str">
        <f>IFERROR(__xludf.DUMMYFUNCTION("""COMPUTED_VALUE"""),"Initial Deployment-Your Way: CHCM, TLO, CCTPP, LRN, REC, PRJT, TT")</f>
        <v>Initial Deployment-Your Way: CHCM, TLO, CCTPP, LRN, REC, PRJT, TT</v>
      </c>
      <c r="B124" s="33">
        <f>IFERROR(__xludf.DUMMYFUNCTION("""COMPUTED_VALUE"""),1.0)</f>
        <v>1</v>
      </c>
      <c r="C124" s="46">
        <f>IFERROR(__xludf.DUMMYFUNCTION("""COMPUTED_VALUE"""),0.0056179775280898875)</f>
        <v>0.005617977528</v>
      </c>
      <c r="D124" s="33"/>
      <c r="E124" s="33"/>
      <c r="H124" s="33"/>
    </row>
    <row r="125">
      <c r="A125" s="12" t="str">
        <f>IFERROR(__xludf.DUMMYFUNCTION("""COMPUTED_VALUE"""),"Initial Deployment-Your Way: CHCM, TLO, HLP, CCB, USP, LRN,")</f>
        <v>Initial Deployment-Your Way: CHCM, TLO, HLP, CCB, USP, LRN,</v>
      </c>
      <c r="B125" s="33">
        <f>IFERROR(__xludf.DUMMYFUNCTION("""COMPUTED_VALUE"""),1.0)</f>
        <v>1</v>
      </c>
      <c r="C125" s="46">
        <f>IFERROR(__xludf.DUMMYFUNCTION("""COMPUTED_VALUE"""),0.0056179775280898875)</f>
        <v>0.005617977528</v>
      </c>
      <c r="D125" s="33"/>
      <c r="E125" s="33"/>
      <c r="H125" s="33"/>
    </row>
    <row r="126">
      <c r="A126" s="12" t="str">
        <f>IFERROR(__xludf.DUMMYFUNCTION("""COMPUTED_VALUE"""),"Initial Deployment-Your Way: CHCM, TLO, HLP, CCB, USP, LRN, REC, FIN, etc.,")</f>
        <v>Initial Deployment-Your Way: CHCM, TLO, HLP, CCB, USP, LRN, REC, FIN, etc.,</v>
      </c>
      <c r="B126" s="33">
        <f>IFERROR(__xludf.DUMMYFUNCTION("""COMPUTED_VALUE"""),1.0)</f>
        <v>1</v>
      </c>
      <c r="C126" s="46">
        <f>IFERROR(__xludf.DUMMYFUNCTION("""COMPUTED_VALUE"""),0.0056179775280898875)</f>
        <v>0.005617977528</v>
      </c>
      <c r="D126" s="33"/>
      <c r="E126" s="33"/>
      <c r="H126" s="33"/>
    </row>
    <row r="127">
      <c r="A127" s="12" t="str">
        <f>IFERROR(__xludf.DUMMYFUNCTION("""COMPUTED_VALUE"""),"Initial Deployment-Your Way: CHCM, TLO, HLP, CCTPP, REC, PRA")</f>
        <v>Initial Deployment-Your Way: CHCM, TLO, HLP, CCTPP, REC, PRA</v>
      </c>
      <c r="B127" s="33">
        <f>IFERROR(__xludf.DUMMYFUNCTION("""COMPUTED_VALUE"""),1.0)</f>
        <v>1</v>
      </c>
      <c r="C127" s="46">
        <f>IFERROR(__xludf.DUMMYFUNCTION("""COMPUTED_VALUE"""),0.0056179775280898875)</f>
        <v>0.005617977528</v>
      </c>
      <c r="D127" s="33"/>
      <c r="E127" s="33"/>
      <c r="H127" s="33"/>
    </row>
    <row r="128">
      <c r="A128" s="12" t="str">
        <f>IFERROR(__xludf.DUMMYFUNCTION("""COMPUTED_VALUE"""),"Initial Deployment-Your Way: CHCM, USP, LRN, REC, GM, PRJT, PRO, INV, TLO, etc.")</f>
        <v>Initial Deployment-Your Way: CHCM, USP, LRN, REC, GM, PRJT, PRO, INV, TLO, etc.</v>
      </c>
      <c r="B128" s="33">
        <f>IFERROR(__xludf.DUMMYFUNCTION("""COMPUTED_VALUE"""),1.0)</f>
        <v>1</v>
      </c>
      <c r="C128" s="46">
        <f>IFERROR(__xludf.DUMMYFUNCTION("""COMPUTED_VALUE"""),0.0056179775280898875)</f>
        <v>0.005617977528</v>
      </c>
      <c r="D128" s="33"/>
      <c r="E128" s="33"/>
      <c r="H128" s="33"/>
    </row>
    <row r="129">
      <c r="A129" s="12" t="str">
        <f>IFERROR(__xludf.DUMMYFUNCTION("""COMPUTED_VALUE"""),"Initial Deployment-Your Way: FIN, EXP, INV, PRO, GM, PRJT, PRA, PLN")</f>
        <v>Initial Deployment-Your Way: FIN, EXP, INV, PRO, GM, PRJT, PRA, PLN</v>
      </c>
      <c r="B129" s="33">
        <f>IFERROR(__xludf.DUMMYFUNCTION("""COMPUTED_VALUE"""),1.0)</f>
        <v>1</v>
      </c>
      <c r="C129" s="46">
        <f>IFERROR(__xludf.DUMMYFUNCTION("""COMPUTED_VALUE"""),0.0056179775280898875)</f>
        <v>0.005617977528</v>
      </c>
      <c r="D129" s="33"/>
      <c r="E129" s="33"/>
      <c r="H129" s="33"/>
    </row>
    <row r="130">
      <c r="A130" s="12" t="str">
        <f>IFERROR(__xludf.DUMMYFUNCTION("""COMPUTED_VALUE"""),"Initial Deployment-Your Way: FIN, GM, PRJT, PB, etc.")</f>
        <v>Initial Deployment-Your Way: FIN, GM, PRJT, PB, etc.</v>
      </c>
      <c r="B130" s="33">
        <f>IFERROR(__xludf.DUMMYFUNCTION("""COMPUTED_VALUE"""),1.0)</f>
        <v>1</v>
      </c>
      <c r="C130" s="46">
        <f>IFERROR(__xludf.DUMMYFUNCTION("""COMPUTED_VALUE"""),0.0056179775280898875)</f>
        <v>0.005617977528</v>
      </c>
      <c r="D130" s="33"/>
      <c r="E130" s="33"/>
      <c r="H130" s="33"/>
    </row>
    <row r="131">
      <c r="A131" s="12" t="str">
        <f>IFERROR(__xludf.DUMMYFUNCTION("""COMPUTED_VALUE"""),"Initial Deployment-Your Way: HCM, TLO, CCB, USP, LRN, REC, FIN, etc.")</f>
        <v>Initial Deployment-Your Way: HCM, TLO, CCB, USP, LRN, REC, FIN, etc.</v>
      </c>
      <c r="B131" s="33">
        <f>IFERROR(__xludf.DUMMYFUNCTION("""COMPUTED_VALUE"""),1.0)</f>
        <v>1</v>
      </c>
      <c r="C131" s="46">
        <f>IFERROR(__xludf.DUMMYFUNCTION("""COMPUTED_VALUE"""),0.0056179775280898875)</f>
        <v>0.005617977528</v>
      </c>
      <c r="D131" s="33"/>
      <c r="E131" s="33"/>
      <c r="H131" s="33"/>
    </row>
    <row r="132">
      <c r="A132" s="12" t="str">
        <f>IFERROR(__xludf.DUMMYFUNCTION("""COMPUTED_VALUE"""),"Initial Deployment-Your Way:FIN, GM, PLNF, PLNW, PRA, PRJT, PB, etc.")</f>
        <v>Initial Deployment-Your Way:FIN, GM, PLNF, PLNW, PRA, PRJT, PB, etc.</v>
      </c>
      <c r="B132" s="33">
        <f>IFERROR(__xludf.DUMMYFUNCTION("""COMPUTED_VALUE"""),1.0)</f>
        <v>1</v>
      </c>
      <c r="C132" s="46">
        <f>IFERROR(__xludf.DUMMYFUNCTION("""COMPUTED_VALUE"""),0.0056179775280898875)</f>
        <v>0.005617977528</v>
      </c>
      <c r="D132" s="33"/>
      <c r="E132" s="33"/>
      <c r="H132" s="33"/>
    </row>
    <row r="133">
      <c r="A133" s="12" t="str">
        <f>IFERROR(__xludf.DUMMYFUNCTION("""COMPUTED_VALUE"""),"Initial Deployment-Your Way; CHCM, TLO, HLP, CCB, USP, LRN, REC, FIN, etc.")</f>
        <v>Initial Deployment-Your Way; CHCM, TLO, HLP, CCB, USP, LRN, REC, FIN, etc.</v>
      </c>
      <c r="B133" s="33">
        <f>IFERROR(__xludf.DUMMYFUNCTION("""COMPUTED_VALUE"""),1.0)</f>
        <v>1</v>
      </c>
      <c r="C133" s="46">
        <f>IFERROR(__xludf.DUMMYFUNCTION("""COMPUTED_VALUE"""),0.0056179775280898875)</f>
        <v>0.005617977528</v>
      </c>
      <c r="D133" s="33"/>
      <c r="E133" s="33"/>
      <c r="H133" s="33"/>
    </row>
    <row r="134">
      <c r="A134" s="12" t="str">
        <f>IFERROR(__xludf.DUMMYFUNCTION("""COMPUTED_VALUE"""),"Initial Deployment-Your WayCHCM, CCB, USP, REC, TT, WS")</f>
        <v>Initial Deployment-Your WayCHCM, CCB, USP, REC, TT, WS</v>
      </c>
      <c r="B134" s="33">
        <f>IFERROR(__xludf.DUMMYFUNCTION("""COMPUTED_VALUE"""),1.0)</f>
        <v>1</v>
      </c>
      <c r="C134" s="46">
        <f>IFERROR(__xludf.DUMMYFUNCTION("""COMPUTED_VALUE"""),0.0056179775280898875)</f>
        <v>0.005617977528</v>
      </c>
      <c r="D134" s="33"/>
      <c r="E134" s="33"/>
      <c r="H134" s="33"/>
    </row>
    <row r="135">
      <c r="A135" s="12" t="str">
        <f>IFERROR(__xludf.DUMMYFUNCTION("""COMPUTED_VALUE"""),"Intial Deployment-Your Way- WSP, SRCEXP, XTND, CHCM, TLO, CCB, USP, etc")</f>
        <v>Intial Deployment-Your Way- WSP, SRCEXP, XTND, CHCM, TLO, CCB, USP, etc</v>
      </c>
      <c r="B135" s="33">
        <f>IFERROR(__xludf.DUMMYFUNCTION("""COMPUTED_VALUE"""),1.0)</f>
        <v>1</v>
      </c>
      <c r="C135" s="46">
        <f>IFERROR(__xludf.DUMMYFUNCTION("""COMPUTED_VALUE"""),0.0056179775280898875)</f>
        <v>0.005617977528</v>
      </c>
      <c r="D135" s="33"/>
      <c r="E135" s="33"/>
      <c r="H135" s="33"/>
    </row>
    <row r="136">
      <c r="A136" s="12" t="str">
        <f>IFERROR(__xludf.DUMMYFUNCTION("""COMPUTED_VALUE"""),"Intial Deployment-Your Way-LRNXE, CCLRN, REC, SRC, PRO, XTND, TC, WSP,etc")</f>
        <v>Intial Deployment-Your Way-LRNXE, CCLRN, REC, SRC, PRO, XTND, TC, WSP,etc</v>
      </c>
      <c r="B136" s="33">
        <f>IFERROR(__xludf.DUMMYFUNCTION("""COMPUTED_VALUE"""),1.0)</f>
        <v>1</v>
      </c>
      <c r="C136" s="46">
        <f>IFERROR(__xludf.DUMMYFUNCTION("""COMPUTED_VALUE"""),0.0056179775280898875)</f>
        <v>0.005617977528</v>
      </c>
      <c r="D136" s="33"/>
      <c r="E136" s="33"/>
      <c r="H136" s="33"/>
    </row>
    <row r="137">
      <c r="A137" s="12" t="str">
        <f>IFERROR(__xludf.DUMMYFUNCTION("""COMPUTED_VALUE"""),"New Deployment-Your Way-CHCM, TLO, CCB, USP, LRN, CCLRN, REC, FIN, etc.")</f>
        <v>New Deployment-Your Way-CHCM, TLO, CCB, USP, LRN, CCLRN, REC, FIN, etc.</v>
      </c>
      <c r="B137" s="33">
        <f>IFERROR(__xludf.DUMMYFUNCTION("""COMPUTED_VALUE"""),1.0)</f>
        <v>1</v>
      </c>
      <c r="C137" s="46">
        <f>IFERROR(__xludf.DUMMYFUNCTION("""COMPUTED_VALUE"""),0.0056179775280898875)</f>
        <v>0.005617977528</v>
      </c>
      <c r="D137" s="33"/>
      <c r="E137" s="33"/>
      <c r="H137" s="33"/>
    </row>
    <row r="138">
      <c r="A138" s="12" t="str">
        <f>IFERROR(__xludf.DUMMYFUNCTION("""COMPUTED_VALUE"""),"Subsequent - Phase X - Adaptive Planning")</f>
        <v>Subsequent - Phase X - Adaptive Planning</v>
      </c>
      <c r="B138" s="33">
        <f>IFERROR(__xludf.DUMMYFUNCTION("""COMPUTED_VALUE"""),1.0)</f>
        <v>1</v>
      </c>
      <c r="C138" s="46">
        <f>IFERROR(__xludf.DUMMYFUNCTION("""COMPUTED_VALUE"""),0.0056179775280898875)</f>
        <v>0.005617977528</v>
      </c>
      <c r="D138" s="33"/>
      <c r="E138" s="33"/>
      <c r="H138" s="33"/>
    </row>
    <row r="139">
      <c r="A139" s="12" t="str">
        <f>IFERROR(__xludf.DUMMYFUNCTION("""COMPUTED_VALUE"""),"Subsequent - Phase X - Financials")</f>
        <v>Subsequent - Phase X - Financials</v>
      </c>
      <c r="B139" s="33">
        <f>IFERROR(__xludf.DUMMYFUNCTION("""COMPUTED_VALUE"""),1.0)</f>
        <v>1</v>
      </c>
      <c r="C139" s="46">
        <f>IFERROR(__xludf.DUMMYFUNCTION("""COMPUTED_VALUE"""),0.0056179775280898875)</f>
        <v>0.005617977528</v>
      </c>
      <c r="D139" s="33"/>
      <c r="E139" s="33"/>
      <c r="H139" s="33"/>
    </row>
    <row r="140">
      <c r="A140" s="12" t="str">
        <f>IFERROR(__xludf.DUMMYFUNCTION("""COMPUTED_VALUE"""),"Subsequent - Phase X - Integrations &amp; Extend")</f>
        <v>Subsequent - Phase X - Integrations &amp; Extend</v>
      </c>
      <c r="B140" s="33">
        <f>IFERROR(__xludf.DUMMYFUNCTION("""COMPUTED_VALUE"""),1.0)</f>
        <v>1</v>
      </c>
      <c r="C140" s="46">
        <f>IFERROR(__xludf.DUMMYFUNCTION("""COMPUTED_VALUE"""),0.0056179775280898875)</f>
        <v>0.005617977528</v>
      </c>
      <c r="D140" s="33"/>
      <c r="E140" s="33"/>
      <c r="H140" s="33"/>
    </row>
    <row r="141">
      <c r="A141" s="12" t="str">
        <f>IFERROR(__xludf.DUMMYFUNCTION("""COMPUTED_VALUE"""),"Subsequent - Phase X - Phase 2")</f>
        <v>Subsequent - Phase X - Phase 2</v>
      </c>
      <c r="B141" s="33">
        <f>IFERROR(__xludf.DUMMYFUNCTION("""COMPUTED_VALUE"""),1.0)</f>
        <v>1</v>
      </c>
      <c r="C141" s="46">
        <f>IFERROR(__xludf.DUMMYFUNCTION("""COMPUTED_VALUE"""),0.0056179775280898875)</f>
        <v>0.005617977528</v>
      </c>
      <c r="D141" s="33"/>
      <c r="E141" s="33"/>
      <c r="H141" s="33"/>
    </row>
    <row r="142">
      <c r="A142" s="12" t="str">
        <f>IFERROR(__xludf.DUMMYFUNCTION("""COMPUTED_VALUE"""),"Subsequent - Phase X - Projects Add-on")</f>
        <v>Subsequent - Phase X - Projects Add-on</v>
      </c>
      <c r="B142" s="33">
        <f>IFERROR(__xludf.DUMMYFUNCTION("""COMPUTED_VALUE"""),1.0)</f>
        <v>1</v>
      </c>
      <c r="C142" s="46">
        <f>IFERROR(__xludf.DUMMYFUNCTION("""COMPUTED_VALUE"""),0.0056179775280898875)</f>
        <v>0.005617977528</v>
      </c>
      <c r="D142" s="33"/>
      <c r="E142" s="33"/>
      <c r="H142" s="33"/>
    </row>
    <row r="143">
      <c r="A143" s="12" t="str">
        <f>IFERROR(__xludf.DUMMYFUNCTION("""COMPUTED_VALUE"""),"Subsequent - Phase X - Strategic Sourcing")</f>
        <v>Subsequent - Phase X - Strategic Sourcing</v>
      </c>
      <c r="B143" s="33">
        <f>IFERROR(__xludf.DUMMYFUNCTION("""COMPUTED_VALUE"""),1.0)</f>
        <v>1</v>
      </c>
      <c r="C143" s="46">
        <f>IFERROR(__xludf.DUMMYFUNCTION("""COMPUTED_VALUE"""),0.0056179775280898875)</f>
        <v>0.005617977528</v>
      </c>
      <c r="D143" s="33"/>
      <c r="E143" s="33"/>
      <c r="H143" s="33"/>
    </row>
    <row r="144">
      <c r="A144" s="12" t="str">
        <f>IFERROR(__xludf.DUMMYFUNCTION("""COMPUTED_VALUE"""),"Subsequent - Phase X- Phase 2: HCM")</f>
        <v>Subsequent - Phase X- Phase 2: HCM</v>
      </c>
      <c r="B144" s="33">
        <f>IFERROR(__xludf.DUMMYFUNCTION("""COMPUTED_VALUE"""),1.0)</f>
        <v>1</v>
      </c>
      <c r="C144" s="46">
        <f>IFERROR(__xludf.DUMMYFUNCTION("""COMPUTED_VALUE"""),0.0056179775280898875)</f>
        <v>0.005617977528</v>
      </c>
      <c r="D144" s="33"/>
      <c r="E144" s="33"/>
      <c r="H144" s="33"/>
    </row>
    <row r="145">
      <c r="A145" s="12" t="str">
        <f>IFERROR(__xludf.DUMMYFUNCTION("""COMPUTED_VALUE"""),"Subsequent - Phase X: HCM, PAY, BN")</f>
        <v>Subsequent - Phase X: HCM, PAY, BN</v>
      </c>
      <c r="B145" s="33">
        <f>IFERROR(__xludf.DUMMYFUNCTION("""COMPUTED_VALUE"""),1.0)</f>
        <v>1</v>
      </c>
      <c r="C145" s="46">
        <f>IFERROR(__xludf.DUMMYFUNCTION("""COMPUTED_VALUE"""),0.0056179775280898875)</f>
        <v>0.005617977528</v>
      </c>
      <c r="D145" s="33"/>
      <c r="E145" s="33"/>
      <c r="H145" s="33"/>
    </row>
    <row r="146">
      <c r="A146" s="12" t="str">
        <f>IFERROR(__xludf.DUMMYFUNCTION("""COMPUTED_VALUE"""),"Subsequent -Phase X-Prism Analytics Essentials")</f>
        <v>Subsequent -Phase X-Prism Analytics Essentials</v>
      </c>
      <c r="B146" s="33">
        <f>IFERROR(__xludf.DUMMYFUNCTION("""COMPUTED_VALUE"""),1.0)</f>
        <v>1</v>
      </c>
      <c r="C146" s="46">
        <f>IFERROR(__xludf.DUMMYFUNCTION("""COMPUTED_VALUE"""),0.0056179775280898875)</f>
        <v>0.005617977528</v>
      </c>
      <c r="D146" s="33"/>
      <c r="E146" s="33"/>
      <c r="H146" s="33"/>
    </row>
    <row r="147">
      <c r="A147" s="12" t="str">
        <f>IFERROR(__xludf.DUMMYFUNCTION("""COMPUTED_VALUE"""),"Subsequent- Phase X- Adaptive Analytics, Prism Analytics, and People Analytics")</f>
        <v>Subsequent- Phase X- Adaptive Analytics, Prism Analytics, and People Analytics</v>
      </c>
      <c r="B147" s="33">
        <f>IFERROR(__xludf.DUMMYFUNCTION("""COMPUTED_VALUE"""),1.0)</f>
        <v>1</v>
      </c>
      <c r="C147" s="46">
        <f>IFERROR(__xludf.DUMMYFUNCTION("""COMPUTED_VALUE"""),0.0056179775280898875)</f>
        <v>0.005617977528</v>
      </c>
      <c r="D147" s="33"/>
      <c r="E147" s="33"/>
      <c r="H147" s="33"/>
    </row>
    <row r="148">
      <c r="A148" s="12" t="str">
        <f>IFERROR(__xludf.DUMMYFUNCTION("""COMPUTED_VALUE"""),"Subsequent- Phase X- Learning")</f>
        <v>Subsequent- Phase X- Learning</v>
      </c>
      <c r="B148" s="33">
        <f>IFERROR(__xludf.DUMMYFUNCTION("""COMPUTED_VALUE"""),1.0)</f>
        <v>1</v>
      </c>
      <c r="C148" s="46">
        <f>IFERROR(__xludf.DUMMYFUNCTION("""COMPUTED_VALUE"""),0.0056179775280898875)</f>
        <v>0.005617977528</v>
      </c>
      <c r="D148" s="33"/>
      <c r="E148" s="33"/>
      <c r="H148" s="33"/>
    </row>
    <row r="149">
      <c r="A149" s="12" t="str">
        <f>IFERROR(__xludf.DUMMYFUNCTION("""COMPUTED_VALUE"""),"Subsequent- Phase X- Payroll Implementation")</f>
        <v>Subsequent- Phase X- Payroll Implementation</v>
      </c>
      <c r="B149" s="33">
        <f>IFERROR(__xludf.DUMMYFUNCTION("""COMPUTED_VALUE"""),1.0)</f>
        <v>1</v>
      </c>
      <c r="C149" s="46">
        <f>IFERROR(__xludf.DUMMYFUNCTION("""COMPUTED_VALUE"""),0.0056179775280898875)</f>
        <v>0.005617977528</v>
      </c>
      <c r="D149" s="33"/>
      <c r="E149" s="33"/>
      <c r="H149" s="33"/>
    </row>
    <row r="150">
      <c r="A150" s="12" t="str">
        <f>IFERROR(__xludf.DUMMYFUNCTION("""COMPUTED_VALUE"""),"Subsequent- Phase X- Phase 2: Core Financials")</f>
        <v>Subsequent- Phase X- Phase 2: Core Financials</v>
      </c>
      <c r="B150" s="33">
        <f>IFERROR(__xludf.DUMMYFUNCTION("""COMPUTED_VALUE"""),1.0)</f>
        <v>1</v>
      </c>
      <c r="C150" s="46">
        <f>IFERROR(__xludf.DUMMYFUNCTION("""COMPUTED_VALUE"""),0.0056179775280898875)</f>
        <v>0.005617977528</v>
      </c>
      <c r="D150" s="33"/>
      <c r="E150" s="33"/>
      <c r="H150" s="33"/>
    </row>
    <row r="151">
      <c r="A151" s="12" t="str">
        <f>IFERROR(__xludf.DUMMYFUNCTION("""COMPUTED_VALUE"""),"Subsequent- Phase X- Phase 2: HCM")</f>
        <v>Subsequent- Phase X- Phase 2: HCM</v>
      </c>
      <c r="B151" s="33">
        <f>IFERROR(__xludf.DUMMYFUNCTION("""COMPUTED_VALUE"""),1.0)</f>
        <v>1</v>
      </c>
      <c r="C151" s="46">
        <f>IFERROR(__xludf.DUMMYFUNCTION("""COMPUTED_VALUE"""),0.0056179775280898875)</f>
        <v>0.005617977528</v>
      </c>
      <c r="D151" s="33"/>
      <c r="E151" s="33"/>
      <c r="H151" s="33"/>
    </row>
    <row r="152">
      <c r="A152" s="12" t="str">
        <f>IFERROR(__xludf.DUMMYFUNCTION("""COMPUTED_VALUE"""),"Subsequent- Phase X- Prism")</f>
        <v>Subsequent- Phase X- Prism</v>
      </c>
      <c r="B152" s="33">
        <f>IFERROR(__xludf.DUMMYFUNCTION("""COMPUTED_VALUE"""),1.0)</f>
        <v>1</v>
      </c>
      <c r="C152" s="46">
        <f>IFERROR(__xludf.DUMMYFUNCTION("""COMPUTED_VALUE"""),0.0056179775280898875)</f>
        <v>0.005617977528</v>
      </c>
      <c r="D152" s="33"/>
      <c r="E152" s="33"/>
      <c r="H152" s="33"/>
    </row>
    <row r="153">
      <c r="A153" s="12" t="str">
        <f>IFERROR(__xludf.DUMMYFUNCTION("""COMPUTED_VALUE"""),"Subsequent- Phase X: Core HR, Recruiting, Onboarding, Prism")</f>
        <v>Subsequent- Phase X: Core HR, Recruiting, Onboarding, Prism</v>
      </c>
      <c r="B153" s="33">
        <f>IFERROR(__xludf.DUMMYFUNCTION("""COMPUTED_VALUE"""),1.0)</f>
        <v>1</v>
      </c>
      <c r="C153" s="46">
        <f>IFERROR(__xludf.DUMMYFUNCTION("""COMPUTED_VALUE"""),0.0056179775280898875)</f>
        <v>0.005617977528</v>
      </c>
      <c r="D153" s="33"/>
      <c r="E153" s="33"/>
      <c r="H153" s="33"/>
    </row>
    <row r="154">
      <c r="A154" s="12" t="str">
        <f>IFERROR(__xludf.DUMMYFUNCTION("""COMPUTED_VALUE"""),"Subsequent-Phase X - Adaptive Planning")</f>
        <v>Subsequent-Phase X - Adaptive Planning</v>
      </c>
      <c r="B154" s="33">
        <f>IFERROR(__xludf.DUMMYFUNCTION("""COMPUTED_VALUE"""),1.0)</f>
        <v>1</v>
      </c>
      <c r="C154" s="46">
        <f>IFERROR(__xludf.DUMMYFUNCTION("""COMPUTED_VALUE"""),0.0056179775280898875)</f>
        <v>0.005617977528</v>
      </c>
      <c r="D154" s="33"/>
      <c r="E154" s="33"/>
      <c r="H154" s="33"/>
    </row>
    <row r="155">
      <c r="A155" s="12" t="str">
        <f>IFERROR(__xludf.DUMMYFUNCTION("""COMPUTED_VALUE"""),"Subsequent-Phase X-Financials")</f>
        <v>Subsequent-Phase X-Financials</v>
      </c>
      <c r="B155" s="33">
        <f>IFERROR(__xludf.DUMMYFUNCTION("""COMPUTED_VALUE"""),1.0)</f>
        <v>1</v>
      </c>
      <c r="C155" s="46">
        <f>IFERROR(__xludf.DUMMYFUNCTION("""COMPUTED_VALUE"""),0.0056179775280898875)</f>
        <v>0.005617977528</v>
      </c>
      <c r="D155" s="33"/>
      <c r="E155" s="33"/>
      <c r="H155" s="33"/>
    </row>
    <row r="156">
      <c r="A156" s="12" t="str">
        <f>IFERROR(__xludf.DUMMYFUNCTION("""COMPUTED_VALUE"""),"Subsequent-Phase X-HCM")</f>
        <v>Subsequent-Phase X-HCM</v>
      </c>
      <c r="B156" s="33">
        <f>IFERROR(__xludf.DUMMYFUNCTION("""COMPUTED_VALUE"""),1.0)</f>
        <v>1</v>
      </c>
      <c r="C156" s="46">
        <f>IFERROR(__xludf.DUMMYFUNCTION("""COMPUTED_VALUE"""),0.0056179775280898875)</f>
        <v>0.005617977528</v>
      </c>
      <c r="D156" s="33"/>
      <c r="E156" s="33"/>
      <c r="H156" s="33"/>
    </row>
    <row r="157">
      <c r="A157" s="12" t="str">
        <f>IFERROR(__xludf.DUMMYFUNCTION("""COMPUTED_VALUE"""),"Subsequent-Phase X-HCM/Payroll")</f>
        <v>Subsequent-Phase X-HCM/Payroll</v>
      </c>
      <c r="B157" s="33">
        <f>IFERROR(__xludf.DUMMYFUNCTION("""COMPUTED_VALUE"""),1.0)</f>
        <v>1</v>
      </c>
      <c r="C157" s="46">
        <f>IFERROR(__xludf.DUMMYFUNCTION("""COMPUTED_VALUE"""),0.0056179775280898875)</f>
        <v>0.005617977528</v>
      </c>
      <c r="D157" s="33"/>
      <c r="E157" s="33"/>
      <c r="H157" s="33"/>
    </row>
    <row r="158">
      <c r="A158" s="12" t="str">
        <f>IFERROR(__xludf.DUMMYFUNCTION("""COMPUTED_VALUE"""),"Subsequent-Phase X-Workforce planning and People Analytics")</f>
        <v>Subsequent-Phase X-Workforce planning and People Analytics</v>
      </c>
      <c r="B158" s="33">
        <f>IFERROR(__xludf.DUMMYFUNCTION("""COMPUTED_VALUE"""),1.0)</f>
        <v>1</v>
      </c>
      <c r="C158" s="46">
        <f>IFERROR(__xludf.DUMMYFUNCTION("""COMPUTED_VALUE"""),0.0056179775280898875)</f>
        <v>0.005617977528</v>
      </c>
      <c r="D158" s="33"/>
      <c r="E158" s="33"/>
      <c r="H158" s="33"/>
    </row>
    <row r="159">
      <c r="A159" s="12" t="str">
        <f>IFERROR(__xludf.DUMMYFUNCTION("""COMPUTED_VALUE"""),"Subsequent-Phase X-Your Way: Adaptive Planning")</f>
        <v>Subsequent-Phase X-Your Way: Adaptive Planning</v>
      </c>
      <c r="B159" s="33">
        <f>IFERROR(__xludf.DUMMYFUNCTION("""COMPUTED_VALUE"""),1.0)</f>
        <v>1</v>
      </c>
      <c r="C159" s="46">
        <f>IFERROR(__xludf.DUMMYFUNCTION("""COMPUTED_VALUE"""),0.0056179775280898875)</f>
        <v>0.005617977528</v>
      </c>
      <c r="D159" s="33"/>
      <c r="E159" s="33"/>
      <c r="H159" s="33"/>
    </row>
    <row r="160">
      <c r="A160" s="12" t="str">
        <f>IFERROR(__xludf.DUMMYFUNCTION("""COMPUTED_VALUE"""),"Subsequent-Phase X-Your Way: Expenses")</f>
        <v>Subsequent-Phase X-Your Way: Expenses</v>
      </c>
      <c r="B160" s="33">
        <f>IFERROR(__xludf.DUMMYFUNCTION("""COMPUTED_VALUE"""),1.0)</f>
        <v>1</v>
      </c>
      <c r="C160" s="46">
        <f>IFERROR(__xludf.DUMMYFUNCTION("""COMPUTED_VALUE"""),0.0056179775280898875)</f>
        <v>0.005617977528</v>
      </c>
      <c r="D160" s="33"/>
      <c r="E160" s="33"/>
      <c r="H160" s="33"/>
    </row>
    <row r="161">
      <c r="A161" s="12" t="str">
        <f>IFERROR(__xludf.DUMMYFUNCTION("""COMPUTED_VALUE"""),"Subsequent-Phase X-Your Way: Extend")</f>
        <v>Subsequent-Phase X-Your Way: Extend</v>
      </c>
      <c r="B161" s="33">
        <f>IFERROR(__xludf.DUMMYFUNCTION("""COMPUTED_VALUE"""),1.0)</f>
        <v>1</v>
      </c>
      <c r="C161" s="46">
        <f>IFERROR(__xludf.DUMMYFUNCTION("""COMPUTED_VALUE"""),0.0056179775280898875)</f>
        <v>0.005617977528</v>
      </c>
      <c r="D161" s="33"/>
      <c r="E161" s="33"/>
      <c r="H161" s="33"/>
    </row>
    <row r="162">
      <c r="A162" s="12" t="str">
        <f>IFERROR(__xludf.DUMMYFUNCTION("""COMPUTED_VALUE"""),"Subsequent-Phase X-Your Way: Payroll and Time Tracking")</f>
        <v>Subsequent-Phase X-Your Way: Payroll and Time Tracking</v>
      </c>
      <c r="B162" s="33">
        <f>IFERROR(__xludf.DUMMYFUNCTION("""COMPUTED_VALUE"""),1.0)</f>
        <v>1</v>
      </c>
      <c r="C162" s="46">
        <f>IFERROR(__xludf.DUMMYFUNCTION("""COMPUTED_VALUE"""),0.0056179775280898875)</f>
        <v>0.005617977528</v>
      </c>
      <c r="D162" s="33"/>
      <c r="E162" s="33"/>
      <c r="H162" s="33"/>
    </row>
    <row r="163">
      <c r="A163" s="12" t="str">
        <f>IFERROR(__xludf.DUMMYFUNCTION("""COMPUTED_VALUE"""),"Subsequent-Phase X: ADV, PE, PRISM, PA, PK, SS")</f>
        <v>Subsequent-Phase X: ADV, PE, PRISM, PA, PK, SS</v>
      </c>
      <c r="B163" s="33">
        <f>IFERROR(__xludf.DUMMYFUNCTION("""COMPUTED_VALUE"""),1.0)</f>
        <v>1</v>
      </c>
      <c r="C163" s="46">
        <f>IFERROR(__xludf.DUMMYFUNCTION("""COMPUTED_VALUE"""),0.0056179775280898875)</f>
        <v>0.005617977528</v>
      </c>
      <c r="D163" s="33"/>
      <c r="E163" s="33"/>
      <c r="H163" s="33"/>
    </row>
    <row r="164">
      <c r="A164" s="12" t="str">
        <f>IFERROR(__xludf.DUMMYFUNCTION("""COMPUTED_VALUE"""),"Subsequent-Phase X: Adaptive Planning")</f>
        <v>Subsequent-Phase X: Adaptive Planning</v>
      </c>
      <c r="B164" s="33">
        <f>IFERROR(__xludf.DUMMYFUNCTION("""COMPUTED_VALUE"""),1.0)</f>
        <v>1</v>
      </c>
      <c r="C164" s="46">
        <f>IFERROR(__xludf.DUMMYFUNCTION("""COMPUTED_VALUE"""),0.0056179775280898875)</f>
        <v>0.005617977528</v>
      </c>
      <c r="D164" s="33"/>
      <c r="E164" s="33"/>
      <c r="H164" s="33"/>
    </row>
    <row r="165">
      <c r="A165" s="12" t="str">
        <f>IFERROR(__xludf.DUMMYFUNCTION("""COMPUTED_VALUE"""),"Subsequent-Phase X: Expense, Integrations")</f>
        <v>Subsequent-Phase X: Expense, Integrations</v>
      </c>
      <c r="B165" s="33">
        <f>IFERROR(__xludf.DUMMYFUNCTION("""COMPUTED_VALUE"""),1.0)</f>
        <v>1</v>
      </c>
      <c r="C165" s="46">
        <f>IFERROR(__xludf.DUMMYFUNCTION("""COMPUTED_VALUE"""),0.0056179775280898875)</f>
        <v>0.005617977528</v>
      </c>
      <c r="D165" s="33"/>
      <c r="E165" s="33"/>
      <c r="H165" s="33"/>
    </row>
    <row r="166">
      <c r="A166" s="12" t="str">
        <f>IFERROR(__xludf.DUMMYFUNCTION("""COMPUTED_VALUE"""),"Subsequent-Phase X: FIN")</f>
        <v>Subsequent-Phase X: FIN</v>
      </c>
      <c r="B166" s="33">
        <f>IFERROR(__xludf.DUMMYFUNCTION("""COMPUTED_VALUE"""),1.0)</f>
        <v>1</v>
      </c>
      <c r="C166" s="46">
        <f>IFERROR(__xludf.DUMMYFUNCTION("""COMPUTED_VALUE"""),0.0056179775280898875)</f>
        <v>0.005617977528</v>
      </c>
      <c r="D166" s="33"/>
      <c r="E166" s="33"/>
      <c r="H166" s="33"/>
    </row>
    <row r="167">
      <c r="A167" s="12" t="str">
        <f>IFERROR(__xludf.DUMMYFUNCTION("""COMPUTED_VALUE"""),"Subsequent-Phase X: Financial Management Extend and Optimize - Expense")</f>
        <v>Subsequent-Phase X: Financial Management Extend and Optimize - Expense</v>
      </c>
      <c r="B167" s="33">
        <f>IFERROR(__xludf.DUMMYFUNCTION("""COMPUTED_VALUE"""),1.0)</f>
        <v>1</v>
      </c>
      <c r="C167" s="46">
        <f>IFERROR(__xludf.DUMMYFUNCTION("""COMPUTED_VALUE"""),0.0056179775280898875)</f>
        <v>0.005617977528</v>
      </c>
      <c r="D167" s="33"/>
      <c r="E167" s="33"/>
      <c r="H167" s="33"/>
    </row>
    <row r="168">
      <c r="A168" s="12" t="str">
        <f>IFERROR(__xludf.DUMMYFUNCTION("""COMPUTED_VALUE"""),"Subsequent-Phase X: HCM (Talent, People Analytics, Learning)")</f>
        <v>Subsequent-Phase X: HCM (Talent, People Analytics, Learning)</v>
      </c>
      <c r="B168" s="33">
        <f>IFERROR(__xludf.DUMMYFUNCTION("""COMPUTED_VALUE"""),1.0)</f>
        <v>1</v>
      </c>
      <c r="C168" s="46">
        <f>IFERROR(__xludf.DUMMYFUNCTION("""COMPUTED_VALUE"""),0.0056179775280898875)</f>
        <v>0.005617977528</v>
      </c>
      <c r="D168" s="33"/>
      <c r="E168" s="33"/>
      <c r="H168" s="33"/>
    </row>
    <row r="169">
      <c r="A169" s="12" t="str">
        <f>IFERROR(__xludf.DUMMYFUNCTION("""COMPUTED_VALUE"""),"Subsequent-Phase X: HCM Suite")</f>
        <v>Subsequent-Phase X: HCM Suite</v>
      </c>
      <c r="B169" s="33">
        <f>IFERROR(__xludf.DUMMYFUNCTION("""COMPUTED_VALUE"""),1.0)</f>
        <v>1</v>
      </c>
      <c r="C169" s="46">
        <f>IFERROR(__xludf.DUMMYFUNCTION("""COMPUTED_VALUE"""),0.0056179775280898875)</f>
        <v>0.005617977528</v>
      </c>
      <c r="D169" s="33"/>
      <c r="E169" s="33"/>
      <c r="H169" s="33"/>
    </row>
    <row r="170">
      <c r="A170" s="12" t="str">
        <f>IFERROR(__xludf.DUMMYFUNCTION("""COMPUTED_VALUE"""),"Subsequent-Phase X: HCM, PAY, TT, ABS. FIN, EXP, etc.")</f>
        <v>Subsequent-Phase X: HCM, PAY, TT, ABS. FIN, EXP, etc.</v>
      </c>
      <c r="B170" s="33">
        <f>IFERROR(__xludf.DUMMYFUNCTION("""COMPUTED_VALUE"""),1.0)</f>
        <v>1</v>
      </c>
      <c r="C170" s="46">
        <f>IFERROR(__xludf.DUMMYFUNCTION("""COMPUTED_VALUE"""),0.0056179775280898875)</f>
        <v>0.005617977528</v>
      </c>
      <c r="D170" s="33"/>
      <c r="E170" s="33"/>
      <c r="H170" s="33"/>
    </row>
    <row r="171">
      <c r="A171" s="12" t="str">
        <f>IFERROR(__xludf.DUMMYFUNCTION("""COMPUTED_VALUE"""),"Subsequent-Phase X: HCM, Pay, Absence, Benefits, Time Tracking")</f>
        <v>Subsequent-Phase X: HCM, Pay, Absence, Benefits, Time Tracking</v>
      </c>
      <c r="B171" s="33">
        <f>IFERROR(__xludf.DUMMYFUNCTION("""COMPUTED_VALUE"""),1.0)</f>
        <v>1</v>
      </c>
      <c r="C171" s="46">
        <f>IFERROR(__xludf.DUMMYFUNCTION("""COMPUTED_VALUE"""),0.0056179775280898875)</f>
        <v>0.005617977528</v>
      </c>
      <c r="D171" s="33"/>
      <c r="E171" s="33"/>
      <c r="H171" s="33"/>
    </row>
    <row r="172">
      <c r="A172" s="12" t="str">
        <f>IFERROR(__xludf.DUMMYFUNCTION("""COMPUTED_VALUE"""),"Subsequent-Phase X: HCM/PATT")</f>
        <v>Subsequent-Phase X: HCM/PATT</v>
      </c>
      <c r="B172" s="33">
        <f>IFERROR(__xludf.DUMMYFUNCTION("""COMPUTED_VALUE"""),1.0)</f>
        <v>1</v>
      </c>
      <c r="C172" s="46">
        <f>IFERROR(__xludf.DUMMYFUNCTION("""COMPUTED_VALUE"""),0.0056179775280898875)</f>
        <v>0.005617977528</v>
      </c>
      <c r="D172" s="33"/>
      <c r="E172" s="33"/>
      <c r="H172" s="33"/>
    </row>
    <row r="173">
      <c r="A173" s="12" t="str">
        <f>IFERROR(__xludf.DUMMYFUNCTION("""COMPUTED_VALUE"""),"Subsequent-Phase X: HCM/PAY AMS")</f>
        <v>Subsequent-Phase X: HCM/PAY AMS</v>
      </c>
      <c r="B173" s="33">
        <f>IFERROR(__xludf.DUMMYFUNCTION("""COMPUTED_VALUE"""),1.0)</f>
        <v>1</v>
      </c>
      <c r="C173" s="46">
        <f>IFERROR(__xludf.DUMMYFUNCTION("""COMPUTED_VALUE"""),0.0056179775280898875)</f>
        <v>0.005617977528</v>
      </c>
      <c r="D173" s="33"/>
      <c r="E173" s="33"/>
      <c r="H173" s="33"/>
    </row>
    <row r="174">
      <c r="A174" s="12" t="str">
        <f>IFERROR(__xludf.DUMMYFUNCTION("""COMPUTED_VALUE"""),"Subsequent-Phase X: Learning")</f>
        <v>Subsequent-Phase X: Learning</v>
      </c>
      <c r="B174" s="33">
        <f>IFERROR(__xludf.DUMMYFUNCTION("""COMPUTED_VALUE"""),1.0)</f>
        <v>1</v>
      </c>
      <c r="C174" s="46">
        <f>IFERROR(__xludf.DUMMYFUNCTION("""COMPUTED_VALUE"""),0.0056179775280898875)</f>
        <v>0.005617977528</v>
      </c>
      <c r="D174" s="33"/>
      <c r="E174" s="33"/>
      <c r="H174" s="33"/>
    </row>
    <row r="175">
      <c r="A175" s="12" t="str">
        <f>IFERROR(__xludf.DUMMYFUNCTION("""COMPUTED_VALUE"""),"Subsequent-Phase X: MCP3/TRCA (Extend)")</f>
        <v>Subsequent-Phase X: MCP3/TRCA (Extend)</v>
      </c>
      <c r="B175" s="33">
        <f>IFERROR(__xludf.DUMMYFUNCTION("""COMPUTED_VALUE"""),1.0)</f>
        <v>1</v>
      </c>
      <c r="C175" s="46">
        <f>IFERROR(__xludf.DUMMYFUNCTION("""COMPUTED_VALUE"""),0.0056179775280898875)</f>
        <v>0.005617977528</v>
      </c>
      <c r="D175" s="33"/>
      <c r="E175" s="33"/>
      <c r="H175" s="33"/>
    </row>
    <row r="176">
      <c r="A176" s="12" t="str">
        <f>IFERROR(__xludf.DUMMYFUNCTION("""COMPUTED_VALUE"""),"Subsequent-Phase X: REC, LRNG, PRISM, INV.")</f>
        <v>Subsequent-Phase X: REC, LRNG, PRISM, INV.</v>
      </c>
      <c r="B176" s="33">
        <f>IFERROR(__xludf.DUMMYFUNCTION("""COMPUTED_VALUE"""),1.0)</f>
        <v>1</v>
      </c>
      <c r="C176" s="46">
        <f>IFERROR(__xludf.DUMMYFUNCTION("""COMPUTED_VALUE"""),0.0056179775280898875)</f>
        <v>0.005617977528</v>
      </c>
      <c r="D176" s="33"/>
      <c r="E176" s="33"/>
      <c r="H176" s="33"/>
    </row>
    <row r="177">
      <c r="A177" s="12" t="str">
        <f>IFERROR(__xludf.DUMMYFUNCTION("""COMPUTED_VALUE"""),"Subsequent-Phase X: Recruiting")</f>
        <v>Subsequent-Phase X: Recruiting</v>
      </c>
      <c r="B177" s="33">
        <f>IFERROR(__xludf.DUMMYFUNCTION("""COMPUTED_VALUE"""),1.0)</f>
        <v>1</v>
      </c>
      <c r="C177" s="46">
        <f>IFERROR(__xludf.DUMMYFUNCTION("""COMPUTED_VALUE"""),0.0056179775280898875)</f>
        <v>0.005617977528</v>
      </c>
      <c r="D177" s="33"/>
      <c r="E177" s="33"/>
      <c r="H177" s="33"/>
    </row>
    <row r="178">
      <c r="A178" s="12" t="str">
        <f>IFERROR(__xludf.DUMMYFUNCTION("""COMPUTED_VALUE"""),"Subsequent-Phase X: Talent, Learning, Recruiting, and Workforce Planning")</f>
        <v>Subsequent-Phase X: Talent, Learning, Recruiting, and Workforce Planning</v>
      </c>
      <c r="B178" s="33">
        <f>IFERROR(__xludf.DUMMYFUNCTION("""COMPUTED_VALUE"""),1.0)</f>
        <v>1</v>
      </c>
      <c r="C178" s="46">
        <f>IFERROR(__xludf.DUMMYFUNCTION("""COMPUTED_VALUE"""),0.0056179775280898875)</f>
        <v>0.005617977528</v>
      </c>
      <c r="D178" s="33"/>
      <c r="E178" s="33"/>
      <c r="H178" s="33"/>
    </row>
    <row r="179">
      <c r="A179" s="12" t="str">
        <f>IFERROR(__xludf.DUMMYFUNCTION("""COMPUTED_VALUE"""),"Subsequent-Phase X: Time Tracking")</f>
        <v>Subsequent-Phase X: Time Tracking</v>
      </c>
      <c r="B179" s="33">
        <f>IFERROR(__xludf.DUMMYFUNCTION("""COMPUTED_VALUE"""),1.0)</f>
        <v>1</v>
      </c>
      <c r="C179" s="46">
        <f>IFERROR(__xludf.DUMMYFUNCTION("""COMPUTED_VALUE"""),0.0056179775280898875)</f>
        <v>0.005617977528</v>
      </c>
      <c r="D179" s="33"/>
      <c r="E179" s="33"/>
      <c r="H179" s="33"/>
    </row>
    <row r="180">
      <c r="A180" s="12" t="str">
        <f>IFERROR(__xludf.DUMMYFUNCTION("""COMPUTED_VALUE"""),"Subsequent-Phase X: VNDLY")</f>
        <v>Subsequent-Phase X: VNDLY</v>
      </c>
      <c r="B180" s="33">
        <f>IFERROR(__xludf.DUMMYFUNCTION("""COMPUTED_VALUE"""),1.0)</f>
        <v>1</v>
      </c>
      <c r="C180" s="46">
        <f>IFERROR(__xludf.DUMMYFUNCTION("""COMPUTED_VALUE"""),0.0056179775280898875)</f>
        <v>0.005617977528</v>
      </c>
      <c r="D180" s="33"/>
      <c r="E180" s="33"/>
      <c r="H180" s="33"/>
    </row>
    <row r="181">
      <c r="A181" s="12" t="str">
        <f>IFERROR(__xludf.DUMMYFUNCTION("""COMPUTED_VALUE"""),"Subsequent-Phase X: Your Way: Grants Implementation")</f>
        <v>Subsequent-Phase X: Your Way: Grants Implementation</v>
      </c>
      <c r="B181" s="33">
        <f>IFERROR(__xludf.DUMMYFUNCTION("""COMPUTED_VALUE"""),1.0)</f>
        <v>1</v>
      </c>
      <c r="C181" s="46">
        <f>IFERROR(__xludf.DUMMYFUNCTION("""COMPUTED_VALUE"""),0.0056179775280898875)</f>
        <v>0.005617977528</v>
      </c>
      <c r="D181" s="33"/>
      <c r="E181" s="33"/>
      <c r="H181" s="33"/>
    </row>
    <row r="182">
      <c r="A182" s="12" t="str">
        <f>IFERROR(__xludf.DUMMYFUNCTION("""COMPUTED_VALUE"""),"Subsequent-Phase-X: FIN")</f>
        <v>Subsequent-Phase-X: FIN</v>
      </c>
      <c r="B182" s="33">
        <f>IFERROR(__xludf.DUMMYFUNCTION("""COMPUTED_VALUE"""),1.0)</f>
        <v>1</v>
      </c>
      <c r="C182" s="46">
        <f>IFERROR(__xludf.DUMMYFUNCTION("""COMPUTED_VALUE"""),0.0056179775280898875)</f>
        <v>0.005617977528</v>
      </c>
      <c r="D182" s="33"/>
      <c r="E182" s="33"/>
      <c r="H182" s="33"/>
    </row>
    <row r="183">
      <c r="A183" s="12" t="str">
        <f>IFERROR(__xludf.DUMMYFUNCTION("""COMPUTED_VALUE"""),"Subsequent-Phase-X: FIN for Sourcing")</f>
        <v>Subsequent-Phase-X: FIN for Sourcing</v>
      </c>
      <c r="B183" s="33">
        <f>IFERROR(__xludf.DUMMYFUNCTION("""COMPUTED_VALUE"""),1.0)</f>
        <v>1</v>
      </c>
      <c r="C183" s="46">
        <f>IFERROR(__xludf.DUMMYFUNCTION("""COMPUTED_VALUE"""),0.0056179775280898875)</f>
        <v>0.005617977528</v>
      </c>
      <c r="D183" s="33"/>
      <c r="E183" s="33"/>
      <c r="H183" s="33"/>
    </row>
    <row r="184">
      <c r="A184" s="12" t="str">
        <f>IFERROR(__xludf.DUMMYFUNCTION("""COMPUTED_VALUE"""),"Subsequent-PhaseX-HCM")</f>
        <v>Subsequent-PhaseX-HCM</v>
      </c>
      <c r="B184" s="33">
        <f>IFERROR(__xludf.DUMMYFUNCTION("""COMPUTED_VALUE"""),1.0)</f>
        <v>1</v>
      </c>
      <c r="C184" s="46">
        <f>IFERROR(__xludf.DUMMYFUNCTION("""COMPUTED_VALUE"""),0.0056179775280898875)</f>
        <v>0.005617977528</v>
      </c>
      <c r="D184" s="33"/>
      <c r="E184" s="33"/>
      <c r="H184" s="33"/>
    </row>
    <row r="185">
      <c r="A185" s="12" t="str">
        <f>IFERROR(__xludf.DUMMYFUNCTION("""COMPUTED_VALUE"""),"Subsequent-PhaseX-Strategic Sourcing")</f>
        <v>Subsequent-PhaseX-Strategic Sourcing</v>
      </c>
      <c r="B185" s="33">
        <f>IFERROR(__xludf.DUMMYFUNCTION("""COMPUTED_VALUE"""),1.0)</f>
        <v>1</v>
      </c>
      <c r="C185" s="46">
        <f>IFERROR(__xludf.DUMMYFUNCTION("""COMPUTED_VALUE"""),0.0056179775280898875)</f>
        <v>0.005617977528</v>
      </c>
      <c r="D185" s="33"/>
      <c r="E185" s="33"/>
      <c r="H185" s="33"/>
    </row>
    <row r="186">
      <c r="A186" s="12" t="str">
        <f>IFERROR(__xludf.DUMMYFUNCTION("""COMPUTED_VALUE"""),"Subsequent-PhaseX: FIN")</f>
        <v>Subsequent-PhaseX: FIN</v>
      </c>
      <c r="B186" s="33">
        <f>IFERROR(__xludf.DUMMYFUNCTION("""COMPUTED_VALUE"""),1.0)</f>
        <v>1</v>
      </c>
      <c r="C186" s="46">
        <f>IFERROR(__xludf.DUMMYFUNCTION("""COMPUTED_VALUE"""),0.0056179775280898875)</f>
        <v>0.005617977528</v>
      </c>
      <c r="D186" s="33"/>
      <c r="E186" s="33"/>
      <c r="H186" s="33"/>
    </row>
    <row r="187">
      <c r="A187" s="12" t="str">
        <f>IFERROR(__xludf.DUMMYFUNCTION("""COMPUTED_VALUE"""),"Subsequent–Phase X: Expenses")</f>
        <v>Subsequent–Phase X: Expenses</v>
      </c>
      <c r="B187" s="33">
        <f>IFERROR(__xludf.DUMMYFUNCTION("""COMPUTED_VALUE"""),1.0)</f>
        <v>1</v>
      </c>
      <c r="C187" s="46">
        <f>IFERROR(__xludf.DUMMYFUNCTION("""COMPUTED_VALUE"""),0.0056179775280898875)</f>
        <v>0.005617977528</v>
      </c>
      <c r="D187" s="33"/>
      <c r="E187" s="33"/>
      <c r="H187" s="33"/>
    </row>
    <row r="188">
      <c r="B188" s="33"/>
      <c r="C188" s="33"/>
      <c r="D188" s="33"/>
      <c r="E188" s="33"/>
      <c r="H188" s="33"/>
    </row>
    <row r="189">
      <c r="B189" s="33"/>
      <c r="C189" s="33"/>
      <c r="D189" s="33"/>
      <c r="E189" s="33"/>
      <c r="H189" s="33"/>
    </row>
    <row r="190">
      <c r="B190" s="33"/>
      <c r="C190" s="33"/>
      <c r="D190" s="33"/>
      <c r="E190" s="33"/>
      <c r="H190" s="33"/>
    </row>
    <row r="191">
      <c r="B191" s="33"/>
      <c r="C191" s="33"/>
      <c r="D191" s="33"/>
      <c r="E191" s="33"/>
      <c r="H191" s="33"/>
    </row>
    <row r="192">
      <c r="B192" s="33"/>
      <c r="C192" s="33"/>
      <c r="D192" s="33"/>
      <c r="E192" s="33"/>
      <c r="H192" s="33"/>
    </row>
    <row r="193">
      <c r="B193" s="33"/>
      <c r="C193" s="33"/>
      <c r="D193" s="33"/>
      <c r="E193" s="33"/>
      <c r="H193" s="33"/>
    </row>
    <row r="194">
      <c r="B194" s="33"/>
      <c r="C194" s="33"/>
      <c r="D194" s="33"/>
      <c r="E194" s="33"/>
      <c r="H194" s="33"/>
    </row>
    <row r="195">
      <c r="B195" s="33"/>
      <c r="C195" s="33"/>
      <c r="D195" s="33"/>
      <c r="E195" s="33"/>
      <c r="H195" s="33"/>
    </row>
    <row r="196">
      <c r="B196" s="33"/>
      <c r="C196" s="33"/>
      <c r="D196" s="33"/>
      <c r="E196" s="33"/>
      <c r="H196" s="33"/>
    </row>
    <row r="197">
      <c r="B197" s="33"/>
      <c r="C197" s="33"/>
      <c r="D197" s="33"/>
      <c r="E197" s="33"/>
      <c r="H197" s="33"/>
    </row>
    <row r="198">
      <c r="B198" s="33"/>
      <c r="C198" s="33"/>
      <c r="D198" s="33"/>
      <c r="E198" s="33"/>
      <c r="H198" s="33"/>
    </row>
    <row r="199">
      <c r="B199" s="33"/>
      <c r="C199" s="33"/>
      <c r="D199" s="33"/>
      <c r="E199" s="33"/>
      <c r="H199" s="33"/>
    </row>
    <row r="200">
      <c r="B200" s="33"/>
      <c r="C200" s="33"/>
      <c r="D200" s="33"/>
      <c r="E200" s="33"/>
      <c r="H200" s="33"/>
    </row>
    <row r="201">
      <c r="B201" s="33"/>
      <c r="C201" s="33"/>
      <c r="D201" s="33"/>
      <c r="E201" s="33"/>
      <c r="H201" s="33"/>
    </row>
    <row r="202">
      <c r="B202" s="33"/>
      <c r="C202" s="33"/>
      <c r="D202" s="33"/>
      <c r="E202" s="33"/>
      <c r="H202" s="33"/>
    </row>
    <row r="203">
      <c r="B203" s="33"/>
      <c r="C203" s="33"/>
      <c r="D203" s="33"/>
      <c r="E203" s="33"/>
      <c r="H203" s="33"/>
    </row>
    <row r="204">
      <c r="B204" s="33"/>
      <c r="C204" s="33"/>
      <c r="D204" s="33"/>
      <c r="E204" s="33"/>
      <c r="H204" s="33"/>
    </row>
    <row r="205">
      <c r="B205" s="33"/>
      <c r="C205" s="33"/>
      <c r="D205" s="33"/>
      <c r="E205" s="33"/>
      <c r="H205" s="33"/>
    </row>
    <row r="206">
      <c r="B206" s="33"/>
      <c r="C206" s="33"/>
      <c r="D206" s="33"/>
      <c r="E206" s="33"/>
      <c r="H206" s="33"/>
    </row>
    <row r="207">
      <c r="B207" s="33"/>
      <c r="C207" s="33"/>
      <c r="D207" s="33"/>
      <c r="E207" s="33"/>
      <c r="H207" s="33"/>
    </row>
    <row r="208">
      <c r="B208" s="33"/>
      <c r="C208" s="33"/>
      <c r="D208" s="33"/>
      <c r="E208" s="33"/>
      <c r="H208" s="33"/>
    </row>
    <row r="209">
      <c r="B209" s="33"/>
      <c r="C209" s="33"/>
      <c r="D209" s="33"/>
      <c r="E209" s="33"/>
      <c r="H209" s="33"/>
    </row>
    <row r="210">
      <c r="B210" s="33"/>
      <c r="C210" s="33"/>
      <c r="D210" s="33"/>
      <c r="E210" s="33"/>
      <c r="H210" s="33"/>
    </row>
    <row r="211">
      <c r="B211" s="33"/>
      <c r="C211" s="33"/>
      <c r="D211" s="33"/>
      <c r="E211" s="33"/>
      <c r="H211" s="33"/>
    </row>
    <row r="212">
      <c r="B212" s="33"/>
      <c r="C212" s="33"/>
      <c r="D212" s="33"/>
      <c r="E212" s="33"/>
      <c r="H212" s="33"/>
    </row>
    <row r="213">
      <c r="B213" s="33"/>
      <c r="C213" s="33"/>
      <c r="D213" s="33"/>
      <c r="E213" s="33"/>
      <c r="H213" s="33"/>
    </row>
    <row r="214">
      <c r="B214" s="33"/>
      <c r="C214" s="33"/>
      <c r="D214" s="33"/>
      <c r="E214" s="33"/>
      <c r="H214" s="33"/>
    </row>
    <row r="215">
      <c r="B215" s="33"/>
      <c r="C215" s="33"/>
      <c r="D215" s="33"/>
      <c r="E215" s="33"/>
      <c r="H215" s="33"/>
    </row>
    <row r="216">
      <c r="B216" s="33"/>
      <c r="C216" s="33"/>
      <c r="D216" s="33"/>
      <c r="E216" s="33"/>
      <c r="H216" s="33"/>
    </row>
    <row r="217">
      <c r="B217" s="33"/>
      <c r="C217" s="33"/>
      <c r="D217" s="33"/>
      <c r="E217" s="33"/>
      <c r="H217" s="33"/>
    </row>
    <row r="218">
      <c r="B218" s="33"/>
      <c r="C218" s="33"/>
      <c r="D218" s="33"/>
      <c r="E218" s="33"/>
      <c r="H218" s="33"/>
    </row>
    <row r="219">
      <c r="B219" s="33"/>
      <c r="C219" s="33"/>
      <c r="D219" s="33"/>
      <c r="E219" s="33"/>
      <c r="H219" s="33"/>
    </row>
    <row r="220">
      <c r="B220" s="33"/>
      <c r="C220" s="33"/>
      <c r="D220" s="33"/>
      <c r="E220" s="33"/>
      <c r="H220" s="33"/>
    </row>
    <row r="221">
      <c r="B221" s="33"/>
      <c r="C221" s="33"/>
      <c r="D221" s="33"/>
      <c r="E221" s="33"/>
      <c r="H221" s="33"/>
    </row>
    <row r="222">
      <c r="B222" s="33"/>
      <c r="C222" s="33"/>
      <c r="D222" s="33"/>
      <c r="E222" s="33"/>
      <c r="H222" s="33"/>
    </row>
    <row r="223">
      <c r="B223" s="33"/>
      <c r="C223" s="33"/>
      <c r="D223" s="33"/>
      <c r="E223" s="33"/>
      <c r="H223" s="33"/>
    </row>
    <row r="224">
      <c r="B224" s="33"/>
      <c r="C224" s="33"/>
      <c r="D224" s="33"/>
      <c r="E224" s="33"/>
      <c r="H224" s="33"/>
    </row>
    <row r="225">
      <c r="B225" s="33"/>
      <c r="C225" s="33"/>
      <c r="D225" s="33"/>
      <c r="E225" s="33"/>
      <c r="H225" s="33"/>
    </row>
    <row r="226">
      <c r="B226" s="33"/>
      <c r="C226" s="33"/>
      <c r="D226" s="33"/>
      <c r="E226" s="33"/>
      <c r="H226" s="33"/>
    </row>
    <row r="227">
      <c r="B227" s="33"/>
      <c r="C227" s="33"/>
      <c r="D227" s="33"/>
      <c r="E227" s="33"/>
      <c r="H227" s="33"/>
    </row>
    <row r="228">
      <c r="B228" s="33"/>
      <c r="C228" s="33"/>
      <c r="D228" s="33"/>
      <c r="E228" s="33"/>
      <c r="H228" s="33"/>
    </row>
    <row r="229">
      <c r="B229" s="33"/>
      <c r="C229" s="33"/>
      <c r="D229" s="33"/>
      <c r="E229" s="33"/>
      <c r="H229" s="33"/>
    </row>
    <row r="230">
      <c r="B230" s="33"/>
      <c r="C230" s="33"/>
      <c r="D230" s="33"/>
      <c r="E230" s="33"/>
      <c r="H230" s="33"/>
    </row>
    <row r="231">
      <c r="B231" s="33"/>
      <c r="C231" s="33"/>
      <c r="D231" s="33"/>
      <c r="E231" s="33"/>
      <c r="H231" s="33"/>
    </row>
    <row r="232">
      <c r="B232" s="33"/>
      <c r="C232" s="33"/>
      <c r="D232" s="33"/>
      <c r="E232" s="33"/>
      <c r="H232" s="33"/>
    </row>
    <row r="233">
      <c r="B233" s="33"/>
      <c r="C233" s="33"/>
      <c r="D233" s="33"/>
      <c r="E233" s="33"/>
      <c r="H233" s="33"/>
    </row>
    <row r="234">
      <c r="B234" s="33"/>
      <c r="C234" s="33"/>
      <c r="D234" s="33"/>
      <c r="E234" s="33"/>
      <c r="H234" s="33"/>
    </row>
    <row r="235">
      <c r="B235" s="33"/>
      <c r="C235" s="33"/>
      <c r="D235" s="33"/>
      <c r="E235" s="33"/>
      <c r="H235" s="33"/>
    </row>
    <row r="236">
      <c r="B236" s="33"/>
      <c r="C236" s="33"/>
      <c r="D236" s="33"/>
      <c r="E236" s="33"/>
      <c r="H236" s="33"/>
    </row>
    <row r="237">
      <c r="B237" s="33"/>
      <c r="C237" s="33"/>
      <c r="D237" s="33"/>
      <c r="E237" s="33"/>
      <c r="H237" s="33"/>
    </row>
    <row r="238">
      <c r="B238" s="33"/>
      <c r="C238" s="33"/>
      <c r="D238" s="33"/>
      <c r="E238" s="33"/>
      <c r="H238" s="33"/>
    </row>
    <row r="239">
      <c r="B239" s="33"/>
      <c r="C239" s="33"/>
      <c r="D239" s="33"/>
      <c r="E239" s="33"/>
      <c r="H239" s="33"/>
    </row>
    <row r="240">
      <c r="B240" s="33"/>
      <c r="C240" s="33"/>
      <c r="D240" s="33"/>
      <c r="E240" s="33"/>
      <c r="H240" s="33"/>
    </row>
    <row r="241">
      <c r="B241" s="33"/>
      <c r="C241" s="33"/>
      <c r="D241" s="33"/>
      <c r="E241" s="33"/>
      <c r="H241" s="33"/>
    </row>
    <row r="242">
      <c r="B242" s="33"/>
      <c r="C242" s="33"/>
      <c r="D242" s="33"/>
      <c r="E242" s="33"/>
      <c r="H242" s="33"/>
    </row>
    <row r="243">
      <c r="B243" s="33"/>
      <c r="C243" s="33"/>
      <c r="D243" s="33"/>
      <c r="E243" s="33"/>
      <c r="H243" s="33"/>
    </row>
    <row r="244">
      <c r="B244" s="33"/>
      <c r="C244" s="33"/>
      <c r="D244" s="33"/>
      <c r="E244" s="33"/>
      <c r="H244" s="33"/>
    </row>
    <row r="245">
      <c r="B245" s="33"/>
      <c r="C245" s="33"/>
      <c r="D245" s="33"/>
      <c r="E245" s="33"/>
      <c r="H245" s="33"/>
    </row>
    <row r="246">
      <c r="B246" s="33"/>
      <c r="C246" s="33"/>
      <c r="D246" s="33"/>
      <c r="E246" s="33"/>
      <c r="H246" s="33"/>
    </row>
    <row r="247">
      <c r="B247" s="33"/>
      <c r="C247" s="33"/>
      <c r="D247" s="33"/>
      <c r="E247" s="33"/>
      <c r="H247" s="33"/>
    </row>
    <row r="248">
      <c r="B248" s="33"/>
      <c r="C248" s="33"/>
      <c r="D248" s="33"/>
      <c r="E248" s="33"/>
      <c r="H248" s="33"/>
    </row>
    <row r="249">
      <c r="B249" s="33"/>
      <c r="C249" s="33"/>
      <c r="D249" s="33"/>
      <c r="E249" s="33"/>
      <c r="H249" s="33"/>
    </row>
    <row r="250">
      <c r="B250" s="33"/>
      <c r="C250" s="33"/>
      <c r="D250" s="33"/>
      <c r="E250" s="33"/>
      <c r="H250" s="33"/>
    </row>
    <row r="251">
      <c r="B251" s="33"/>
      <c r="C251" s="33"/>
      <c r="D251" s="33"/>
      <c r="E251" s="33"/>
      <c r="H251" s="33"/>
    </row>
    <row r="252">
      <c r="B252" s="33"/>
      <c r="C252" s="33"/>
      <c r="D252" s="33"/>
      <c r="E252" s="33"/>
      <c r="H252" s="33"/>
    </row>
    <row r="253">
      <c r="B253" s="33"/>
      <c r="C253" s="33"/>
      <c r="D253" s="33"/>
      <c r="E253" s="33"/>
      <c r="H253" s="33"/>
    </row>
    <row r="254">
      <c r="B254" s="33"/>
      <c r="C254" s="33"/>
      <c r="D254" s="33"/>
      <c r="E254" s="33"/>
      <c r="H254" s="33"/>
    </row>
    <row r="255">
      <c r="B255" s="33"/>
      <c r="C255" s="33"/>
      <c r="D255" s="33"/>
      <c r="E255" s="33"/>
      <c r="H255" s="33"/>
    </row>
    <row r="256">
      <c r="B256" s="33"/>
      <c r="C256" s="33"/>
      <c r="D256" s="33"/>
      <c r="E256" s="33"/>
      <c r="H256" s="33"/>
    </row>
    <row r="257">
      <c r="B257" s="33"/>
      <c r="C257" s="33"/>
      <c r="D257" s="33"/>
      <c r="E257" s="33"/>
      <c r="H257" s="33"/>
    </row>
    <row r="258">
      <c r="B258" s="33"/>
      <c r="C258" s="33"/>
      <c r="D258" s="33"/>
      <c r="E258" s="33"/>
      <c r="H258" s="33"/>
    </row>
    <row r="259">
      <c r="B259" s="33"/>
      <c r="C259" s="33"/>
      <c r="D259" s="33"/>
      <c r="E259" s="33"/>
      <c r="H259" s="33"/>
    </row>
    <row r="260">
      <c r="B260" s="33"/>
      <c r="C260" s="33"/>
      <c r="D260" s="33"/>
      <c r="E260" s="33"/>
      <c r="H260" s="33"/>
    </row>
    <row r="261">
      <c r="B261" s="33"/>
      <c r="C261" s="33"/>
      <c r="D261" s="33"/>
      <c r="E261" s="33"/>
      <c r="H261" s="33"/>
    </row>
    <row r="262">
      <c r="B262" s="33"/>
      <c r="C262" s="33"/>
      <c r="D262" s="33"/>
      <c r="E262" s="33"/>
      <c r="H262" s="33"/>
    </row>
    <row r="263">
      <c r="B263" s="33"/>
      <c r="C263" s="33"/>
      <c r="D263" s="33"/>
      <c r="E263" s="33"/>
      <c r="H263" s="33"/>
    </row>
    <row r="264">
      <c r="B264" s="33"/>
      <c r="C264" s="33"/>
      <c r="D264" s="33"/>
      <c r="E264" s="33"/>
      <c r="H264" s="33"/>
    </row>
    <row r="265">
      <c r="B265" s="33"/>
      <c r="C265" s="33"/>
      <c r="D265" s="33"/>
      <c r="E265" s="33"/>
      <c r="H265" s="33"/>
    </row>
    <row r="266">
      <c r="B266" s="33"/>
      <c r="C266" s="33"/>
      <c r="D266" s="33"/>
      <c r="E266" s="33"/>
      <c r="H266" s="33"/>
    </row>
    <row r="267">
      <c r="B267" s="33"/>
      <c r="C267" s="33"/>
      <c r="D267" s="33"/>
      <c r="E267" s="33"/>
      <c r="H267" s="33"/>
    </row>
    <row r="268">
      <c r="B268" s="33"/>
      <c r="C268" s="33"/>
      <c r="D268" s="33"/>
      <c r="E268" s="33"/>
      <c r="H268" s="33"/>
    </row>
    <row r="269">
      <c r="B269" s="33"/>
      <c r="C269" s="33"/>
      <c r="D269" s="33"/>
      <c r="E269" s="33"/>
      <c r="H269" s="33"/>
    </row>
    <row r="270">
      <c r="B270" s="33"/>
      <c r="C270" s="33"/>
      <c r="D270" s="33"/>
      <c r="E270" s="33"/>
      <c r="H270" s="33"/>
    </row>
    <row r="271">
      <c r="B271" s="33"/>
      <c r="C271" s="33"/>
      <c r="D271" s="33"/>
      <c r="E271" s="33"/>
      <c r="H271" s="33"/>
    </row>
    <row r="272">
      <c r="B272" s="33"/>
      <c r="C272" s="33"/>
      <c r="D272" s="33"/>
      <c r="E272" s="33"/>
      <c r="H272" s="33"/>
    </row>
    <row r="273">
      <c r="B273" s="33"/>
      <c r="C273" s="33"/>
      <c r="D273" s="33"/>
      <c r="E273" s="33"/>
      <c r="H273" s="33"/>
    </row>
    <row r="274">
      <c r="B274" s="33"/>
      <c r="C274" s="33"/>
      <c r="D274" s="33"/>
      <c r="E274" s="33"/>
      <c r="H274" s="33"/>
    </row>
    <row r="275">
      <c r="B275" s="33"/>
      <c r="C275" s="33"/>
      <c r="D275" s="33"/>
      <c r="E275" s="33"/>
      <c r="H275" s="33"/>
    </row>
    <row r="276">
      <c r="B276" s="33"/>
      <c r="C276" s="33"/>
      <c r="D276" s="33"/>
      <c r="E276" s="33"/>
      <c r="H276" s="33"/>
    </row>
    <row r="277">
      <c r="B277" s="33"/>
      <c r="C277" s="33"/>
      <c r="D277" s="33"/>
      <c r="E277" s="33"/>
      <c r="H277" s="33"/>
    </row>
    <row r="278">
      <c r="B278" s="33"/>
      <c r="C278" s="33"/>
      <c r="D278" s="33"/>
      <c r="E278" s="33"/>
      <c r="H278" s="33"/>
    </row>
    <row r="279">
      <c r="B279" s="33"/>
      <c r="C279" s="33"/>
      <c r="D279" s="33"/>
      <c r="E279" s="33"/>
      <c r="H279" s="33"/>
    </row>
    <row r="280">
      <c r="B280" s="33"/>
      <c r="C280" s="33"/>
      <c r="D280" s="33"/>
      <c r="E280" s="33"/>
      <c r="H280" s="33"/>
    </row>
    <row r="281">
      <c r="B281" s="33"/>
      <c r="C281" s="33"/>
      <c r="D281" s="33"/>
      <c r="E281" s="33"/>
      <c r="H281" s="33"/>
    </row>
    <row r="282">
      <c r="B282" s="33"/>
      <c r="C282" s="33"/>
      <c r="D282" s="33"/>
      <c r="E282" s="33"/>
      <c r="H282" s="33"/>
    </row>
    <row r="283">
      <c r="B283" s="33"/>
      <c r="C283" s="33"/>
      <c r="D283" s="33"/>
      <c r="E283" s="33"/>
      <c r="H283" s="33"/>
    </row>
    <row r="284">
      <c r="B284" s="33"/>
      <c r="C284" s="33"/>
      <c r="D284" s="33"/>
      <c r="E284" s="33"/>
      <c r="H284" s="33"/>
    </row>
    <row r="285">
      <c r="B285" s="33"/>
      <c r="C285" s="33"/>
      <c r="D285" s="33"/>
      <c r="E285" s="33"/>
      <c r="H285" s="33"/>
    </row>
    <row r="286">
      <c r="B286" s="33"/>
      <c r="C286" s="33"/>
      <c r="D286" s="33"/>
      <c r="E286" s="33"/>
      <c r="H286" s="33"/>
    </row>
    <row r="287">
      <c r="B287" s="33"/>
      <c r="C287" s="33"/>
      <c r="D287" s="33"/>
      <c r="E287" s="33"/>
      <c r="H287" s="33"/>
    </row>
    <row r="288">
      <c r="B288" s="33"/>
      <c r="C288" s="33"/>
      <c r="D288" s="33"/>
      <c r="E288" s="33"/>
      <c r="H288" s="33"/>
    </row>
    <row r="289">
      <c r="B289" s="33"/>
      <c r="C289" s="33"/>
      <c r="D289" s="33"/>
      <c r="E289" s="33"/>
      <c r="H289" s="33"/>
    </row>
    <row r="290">
      <c r="B290" s="33"/>
      <c r="C290" s="33"/>
      <c r="D290" s="33"/>
      <c r="E290" s="33"/>
      <c r="H290" s="33"/>
    </row>
    <row r="291">
      <c r="B291" s="33"/>
      <c r="C291" s="33"/>
      <c r="D291" s="33"/>
      <c r="E291" s="33"/>
      <c r="H291" s="33"/>
    </row>
    <row r="292">
      <c r="B292" s="33"/>
      <c r="C292" s="33"/>
      <c r="D292" s="33"/>
      <c r="E292" s="33"/>
      <c r="H292" s="33"/>
    </row>
    <row r="293">
      <c r="B293" s="33"/>
      <c r="C293" s="33"/>
      <c r="D293" s="33"/>
      <c r="E293" s="33"/>
      <c r="H293" s="33"/>
    </row>
    <row r="294">
      <c r="B294" s="33"/>
      <c r="C294" s="33"/>
      <c r="D294" s="33"/>
      <c r="E294" s="33"/>
      <c r="H294" s="33"/>
    </row>
    <row r="295">
      <c r="B295" s="33"/>
      <c r="C295" s="33"/>
      <c r="D295" s="33"/>
      <c r="E295" s="33"/>
      <c r="H295" s="33"/>
    </row>
    <row r="296">
      <c r="B296" s="33"/>
      <c r="C296" s="33"/>
      <c r="D296" s="33"/>
      <c r="E296" s="33"/>
      <c r="H296" s="33"/>
    </row>
    <row r="297">
      <c r="B297" s="33"/>
      <c r="C297" s="33"/>
      <c r="D297" s="33"/>
      <c r="E297" s="33"/>
      <c r="H297" s="33"/>
    </row>
    <row r="298">
      <c r="B298" s="33"/>
      <c r="C298" s="33"/>
      <c r="D298" s="33"/>
      <c r="E298" s="33"/>
      <c r="H298" s="33"/>
    </row>
    <row r="299">
      <c r="B299" s="33"/>
      <c r="C299" s="33"/>
      <c r="D299" s="33"/>
      <c r="E299" s="33"/>
      <c r="H299" s="33"/>
    </row>
    <row r="300">
      <c r="B300" s="33"/>
      <c r="C300" s="33"/>
      <c r="D300" s="33"/>
      <c r="E300" s="33"/>
      <c r="H300" s="33"/>
    </row>
    <row r="301">
      <c r="B301" s="33"/>
      <c r="C301" s="33"/>
      <c r="D301" s="33"/>
      <c r="E301" s="33"/>
      <c r="H301" s="33"/>
    </row>
    <row r="302">
      <c r="B302" s="33"/>
      <c r="C302" s="33"/>
      <c r="D302" s="33"/>
      <c r="E302" s="33"/>
      <c r="H302" s="33"/>
    </row>
    <row r="303">
      <c r="B303" s="33"/>
      <c r="C303" s="33"/>
      <c r="D303" s="33"/>
      <c r="E303" s="33"/>
      <c r="H303" s="33"/>
    </row>
    <row r="304">
      <c r="B304" s="33"/>
      <c r="C304" s="33"/>
      <c r="D304" s="33"/>
      <c r="E304" s="33"/>
      <c r="H304" s="33"/>
    </row>
    <row r="305">
      <c r="B305" s="33"/>
      <c r="C305" s="33"/>
      <c r="D305" s="33"/>
      <c r="E305" s="33"/>
      <c r="H305" s="33"/>
    </row>
    <row r="306">
      <c r="B306" s="33"/>
      <c r="C306" s="33"/>
      <c r="D306" s="33"/>
      <c r="E306" s="33"/>
      <c r="H306" s="33"/>
    </row>
    <row r="307">
      <c r="B307" s="33"/>
      <c r="C307" s="33"/>
      <c r="D307" s="33"/>
      <c r="E307" s="33"/>
      <c r="H307" s="33"/>
    </row>
    <row r="308">
      <c r="B308" s="33"/>
      <c r="C308" s="33"/>
      <c r="D308" s="33"/>
      <c r="E308" s="33"/>
      <c r="H308" s="33"/>
    </row>
    <row r="309">
      <c r="B309" s="33"/>
      <c r="C309" s="33"/>
      <c r="D309" s="33"/>
      <c r="E309" s="33"/>
      <c r="H309" s="33"/>
    </row>
    <row r="310">
      <c r="B310" s="33"/>
      <c r="C310" s="33"/>
      <c r="D310" s="33"/>
      <c r="E310" s="33"/>
      <c r="H310" s="33"/>
    </row>
    <row r="311">
      <c r="B311" s="33"/>
      <c r="C311" s="33"/>
      <c r="D311" s="33"/>
      <c r="E311" s="33"/>
      <c r="H311" s="33"/>
    </row>
    <row r="312">
      <c r="B312" s="33"/>
      <c r="C312" s="33"/>
      <c r="D312" s="33"/>
      <c r="E312" s="33"/>
      <c r="H312" s="33"/>
    </row>
    <row r="313">
      <c r="B313" s="33"/>
      <c r="C313" s="33"/>
      <c r="D313" s="33"/>
      <c r="E313" s="33"/>
      <c r="H313" s="33"/>
    </row>
    <row r="314">
      <c r="B314" s="33"/>
      <c r="C314" s="33"/>
      <c r="D314" s="33"/>
      <c r="E314" s="33"/>
      <c r="H314" s="33"/>
    </row>
    <row r="315">
      <c r="B315" s="33"/>
      <c r="C315" s="33"/>
      <c r="D315" s="33"/>
      <c r="E315" s="33"/>
      <c r="H315" s="33"/>
    </row>
    <row r="316">
      <c r="B316" s="33"/>
      <c r="C316" s="33"/>
      <c r="D316" s="33"/>
      <c r="E316" s="33"/>
      <c r="H316" s="33"/>
    </row>
    <row r="317">
      <c r="B317" s="33"/>
      <c r="C317" s="33"/>
      <c r="D317" s="33"/>
      <c r="E317" s="33"/>
      <c r="H317" s="33"/>
    </row>
    <row r="318">
      <c r="B318" s="33"/>
      <c r="C318" s="33"/>
      <c r="D318" s="33"/>
      <c r="E318" s="33"/>
      <c r="H318" s="33"/>
    </row>
    <row r="319">
      <c r="B319" s="33"/>
      <c r="C319" s="33"/>
      <c r="D319" s="33"/>
      <c r="E319" s="33"/>
      <c r="H319" s="33"/>
    </row>
    <row r="320">
      <c r="B320" s="33"/>
      <c r="C320" s="33"/>
      <c r="D320" s="33"/>
      <c r="E320" s="33"/>
      <c r="H320" s="33"/>
    </row>
    <row r="321">
      <c r="B321" s="33"/>
      <c r="C321" s="33"/>
      <c r="D321" s="33"/>
      <c r="E321" s="33"/>
      <c r="H321" s="33"/>
    </row>
    <row r="322">
      <c r="B322" s="33"/>
      <c r="C322" s="33"/>
      <c r="D322" s="33"/>
      <c r="E322" s="33"/>
      <c r="H322" s="33"/>
    </row>
    <row r="323">
      <c r="B323" s="33"/>
      <c r="C323" s="33"/>
      <c r="D323" s="33"/>
      <c r="E323" s="33"/>
      <c r="H323" s="33"/>
    </row>
    <row r="324">
      <c r="B324" s="33"/>
      <c r="C324" s="33"/>
      <c r="D324" s="33"/>
      <c r="E324" s="33"/>
      <c r="H324" s="33"/>
    </row>
    <row r="325">
      <c r="B325" s="33"/>
      <c r="C325" s="33"/>
      <c r="D325" s="33"/>
      <c r="E325" s="33"/>
      <c r="H325" s="33"/>
    </row>
    <row r="326">
      <c r="B326" s="33"/>
      <c r="C326" s="33"/>
      <c r="D326" s="33"/>
      <c r="E326" s="33"/>
      <c r="H326" s="33"/>
    </row>
    <row r="327">
      <c r="B327" s="33"/>
      <c r="C327" s="33"/>
      <c r="D327" s="33"/>
      <c r="E327" s="33"/>
      <c r="H327" s="33"/>
    </row>
    <row r="328">
      <c r="B328" s="33"/>
      <c r="C328" s="33"/>
      <c r="D328" s="33"/>
      <c r="E328" s="33"/>
      <c r="H328" s="33"/>
    </row>
    <row r="329">
      <c r="B329" s="33"/>
      <c r="C329" s="33"/>
      <c r="D329" s="33"/>
      <c r="E329" s="33"/>
      <c r="H329" s="33"/>
    </row>
    <row r="330">
      <c r="B330" s="33"/>
      <c r="C330" s="33"/>
      <c r="D330" s="33"/>
      <c r="E330" s="33"/>
      <c r="H330" s="33"/>
    </row>
    <row r="331">
      <c r="B331" s="33"/>
      <c r="C331" s="33"/>
      <c r="D331" s="33"/>
      <c r="E331" s="33"/>
      <c r="H331" s="33"/>
    </row>
    <row r="332">
      <c r="B332" s="33"/>
      <c r="C332" s="33"/>
      <c r="D332" s="33"/>
      <c r="E332" s="33"/>
      <c r="H332" s="33"/>
    </row>
    <row r="333">
      <c r="B333" s="33"/>
      <c r="C333" s="33"/>
      <c r="D333" s="33"/>
      <c r="E333" s="33"/>
      <c r="H333" s="33"/>
    </row>
    <row r="334">
      <c r="B334" s="33"/>
      <c r="C334" s="33"/>
      <c r="D334" s="33"/>
      <c r="E334" s="33"/>
      <c r="H334" s="33"/>
    </row>
    <row r="335">
      <c r="B335" s="33"/>
      <c r="C335" s="33"/>
      <c r="D335" s="33"/>
      <c r="E335" s="33"/>
      <c r="H335" s="33"/>
    </row>
    <row r="336">
      <c r="B336" s="33"/>
      <c r="C336" s="33"/>
      <c r="D336" s="33"/>
      <c r="E336" s="33"/>
      <c r="H336" s="33"/>
    </row>
    <row r="337">
      <c r="B337" s="33"/>
      <c r="C337" s="33"/>
      <c r="D337" s="33"/>
      <c r="E337" s="33"/>
      <c r="H337" s="33"/>
    </row>
    <row r="338">
      <c r="B338" s="33"/>
      <c r="C338" s="33"/>
      <c r="D338" s="33"/>
      <c r="E338" s="33"/>
      <c r="H338" s="33"/>
    </row>
    <row r="339">
      <c r="B339" s="33"/>
      <c r="C339" s="33"/>
      <c r="D339" s="33"/>
      <c r="E339" s="33"/>
      <c r="H339" s="33"/>
    </row>
    <row r="340">
      <c r="B340" s="33"/>
      <c r="C340" s="33"/>
      <c r="D340" s="33"/>
      <c r="E340" s="33"/>
      <c r="H340" s="33"/>
    </row>
    <row r="341">
      <c r="B341" s="33"/>
      <c r="C341" s="33"/>
      <c r="D341" s="33"/>
      <c r="E341" s="33"/>
      <c r="H341" s="33"/>
    </row>
    <row r="342">
      <c r="B342" s="33"/>
      <c r="C342" s="33"/>
      <c r="D342" s="33"/>
      <c r="E342" s="33"/>
      <c r="H342" s="33"/>
    </row>
    <row r="343">
      <c r="B343" s="33"/>
      <c r="C343" s="33"/>
      <c r="D343" s="33"/>
      <c r="E343" s="33"/>
      <c r="H343" s="33"/>
    </row>
    <row r="344">
      <c r="B344" s="33"/>
      <c r="C344" s="33"/>
      <c r="D344" s="33"/>
      <c r="E344" s="33"/>
      <c r="H344" s="33"/>
    </row>
    <row r="345">
      <c r="B345" s="33"/>
      <c r="C345" s="33"/>
      <c r="D345" s="33"/>
      <c r="E345" s="33"/>
      <c r="H345" s="33"/>
    </row>
    <row r="346">
      <c r="B346" s="33"/>
      <c r="C346" s="33"/>
      <c r="D346" s="33"/>
      <c r="E346" s="33"/>
      <c r="H346" s="33"/>
    </row>
    <row r="347">
      <c r="B347" s="33"/>
      <c r="C347" s="33"/>
      <c r="D347" s="33"/>
      <c r="E347" s="33"/>
      <c r="H347" s="33"/>
    </row>
    <row r="348">
      <c r="B348" s="33"/>
      <c r="C348" s="33"/>
      <c r="D348" s="33"/>
      <c r="E348" s="33"/>
      <c r="H348" s="33"/>
    </row>
    <row r="349">
      <c r="B349" s="33"/>
      <c r="C349" s="33"/>
      <c r="D349" s="33"/>
      <c r="E349" s="33"/>
      <c r="H349" s="33"/>
    </row>
    <row r="350">
      <c r="B350" s="33"/>
      <c r="C350" s="33"/>
      <c r="D350" s="33"/>
      <c r="E350" s="33"/>
      <c r="H350" s="33"/>
    </row>
    <row r="351">
      <c r="B351" s="33"/>
      <c r="C351" s="33"/>
      <c r="D351" s="33"/>
      <c r="E351" s="33"/>
      <c r="H351" s="33"/>
    </row>
    <row r="352">
      <c r="B352" s="33"/>
      <c r="C352" s="33"/>
      <c r="D352" s="33"/>
      <c r="E352" s="33"/>
      <c r="H352" s="33"/>
    </row>
    <row r="353">
      <c r="B353" s="33"/>
      <c r="C353" s="33"/>
      <c r="D353" s="33"/>
      <c r="E353" s="33"/>
      <c r="H353" s="33"/>
    </row>
    <row r="354">
      <c r="B354" s="33"/>
      <c r="C354" s="33"/>
      <c r="D354" s="33"/>
      <c r="E354" s="33"/>
      <c r="H354" s="33"/>
    </row>
    <row r="355">
      <c r="B355" s="33"/>
      <c r="C355" s="33"/>
      <c r="D355" s="33"/>
      <c r="E355" s="33"/>
      <c r="H355" s="33"/>
    </row>
    <row r="356">
      <c r="B356" s="33"/>
      <c r="C356" s="33"/>
      <c r="D356" s="33"/>
      <c r="E356" s="33"/>
      <c r="H356" s="33"/>
    </row>
    <row r="357">
      <c r="B357" s="33"/>
      <c r="C357" s="33"/>
      <c r="D357" s="33"/>
      <c r="E357" s="33"/>
      <c r="H357" s="33"/>
    </row>
    <row r="358">
      <c r="B358" s="33"/>
      <c r="C358" s="33"/>
      <c r="D358" s="33"/>
      <c r="E358" s="33"/>
      <c r="H358" s="33"/>
    </row>
    <row r="359">
      <c r="B359" s="33"/>
      <c r="C359" s="33"/>
      <c r="D359" s="33"/>
      <c r="E359" s="33"/>
      <c r="H359" s="33"/>
    </row>
    <row r="360">
      <c r="B360" s="33"/>
      <c r="C360" s="33"/>
      <c r="D360" s="33"/>
      <c r="E360" s="33"/>
      <c r="H360" s="33"/>
    </row>
    <row r="361">
      <c r="B361" s="33"/>
      <c r="C361" s="33"/>
      <c r="D361" s="33"/>
      <c r="E361" s="33"/>
      <c r="H361" s="33"/>
    </row>
    <row r="362">
      <c r="B362" s="33"/>
      <c r="C362" s="33"/>
      <c r="D362" s="33"/>
      <c r="E362" s="33"/>
      <c r="H362" s="33"/>
    </row>
    <row r="363">
      <c r="B363" s="33"/>
      <c r="C363" s="33"/>
      <c r="D363" s="33"/>
      <c r="E363" s="33"/>
      <c r="H363" s="33"/>
    </row>
    <row r="364">
      <c r="B364" s="33"/>
      <c r="C364" s="33"/>
      <c r="D364" s="33"/>
      <c r="E364" s="33"/>
      <c r="H364" s="33"/>
    </row>
    <row r="365">
      <c r="B365" s="33"/>
      <c r="C365" s="33"/>
      <c r="D365" s="33"/>
      <c r="E365" s="33"/>
      <c r="H365" s="33"/>
    </row>
    <row r="366">
      <c r="B366" s="33"/>
      <c r="C366" s="33"/>
      <c r="D366" s="33"/>
      <c r="E366" s="33"/>
      <c r="H366" s="33"/>
    </row>
    <row r="367">
      <c r="B367" s="33"/>
      <c r="C367" s="33"/>
      <c r="D367" s="33"/>
      <c r="E367" s="33"/>
      <c r="H367" s="33"/>
    </row>
    <row r="368">
      <c r="B368" s="33"/>
      <c r="C368" s="33"/>
      <c r="D368" s="33"/>
      <c r="E368" s="33"/>
      <c r="H368" s="33"/>
    </row>
    <row r="369">
      <c r="B369" s="33"/>
      <c r="C369" s="33"/>
      <c r="D369" s="33"/>
      <c r="E369" s="33"/>
      <c r="H369" s="33"/>
    </row>
    <row r="370">
      <c r="B370" s="33"/>
      <c r="C370" s="33"/>
      <c r="D370" s="33"/>
      <c r="E370" s="33"/>
      <c r="H370" s="33"/>
    </row>
    <row r="371">
      <c r="B371" s="33"/>
      <c r="C371" s="33"/>
      <c r="D371" s="33"/>
      <c r="E371" s="33"/>
      <c r="H371" s="33"/>
    </row>
    <row r="372">
      <c r="B372" s="33"/>
      <c r="C372" s="33"/>
      <c r="D372" s="33"/>
      <c r="E372" s="33"/>
      <c r="H372" s="33"/>
    </row>
    <row r="373">
      <c r="B373" s="33"/>
      <c r="C373" s="33"/>
      <c r="D373" s="33"/>
      <c r="E373" s="33"/>
      <c r="H373" s="33"/>
    </row>
    <row r="374">
      <c r="B374" s="33"/>
      <c r="C374" s="33"/>
      <c r="D374" s="33"/>
      <c r="E374" s="33"/>
      <c r="H374" s="33"/>
    </row>
    <row r="375">
      <c r="B375" s="33"/>
      <c r="C375" s="33"/>
      <c r="D375" s="33"/>
      <c r="E375" s="33"/>
      <c r="H375" s="33"/>
    </row>
    <row r="376">
      <c r="B376" s="33"/>
      <c r="C376" s="33"/>
      <c r="D376" s="33"/>
      <c r="E376" s="33"/>
      <c r="H376" s="33"/>
    </row>
    <row r="377">
      <c r="B377" s="33"/>
      <c r="C377" s="33"/>
      <c r="D377" s="33"/>
      <c r="E377" s="33"/>
      <c r="H377" s="33"/>
    </row>
    <row r="378">
      <c r="B378" s="33"/>
      <c r="C378" s="33"/>
      <c r="D378" s="33"/>
      <c r="E378" s="33"/>
      <c r="H378" s="33"/>
    </row>
    <row r="379">
      <c r="B379" s="33"/>
      <c r="C379" s="33"/>
      <c r="D379" s="33"/>
      <c r="E379" s="33"/>
      <c r="H379" s="33"/>
    </row>
    <row r="380">
      <c r="B380" s="33"/>
      <c r="C380" s="33"/>
      <c r="D380" s="33"/>
      <c r="E380" s="33"/>
      <c r="H380" s="33"/>
    </row>
    <row r="381">
      <c r="B381" s="33"/>
      <c r="C381" s="33"/>
      <c r="D381" s="33"/>
      <c r="E381" s="33"/>
      <c r="H381" s="33"/>
    </row>
    <row r="382">
      <c r="B382" s="33"/>
      <c r="C382" s="33"/>
      <c r="D382" s="33"/>
      <c r="E382" s="33"/>
      <c r="H382" s="33"/>
    </row>
    <row r="383">
      <c r="B383" s="33"/>
      <c r="C383" s="33"/>
      <c r="D383" s="33"/>
      <c r="E383" s="33"/>
      <c r="H383" s="33"/>
    </row>
    <row r="384">
      <c r="B384" s="33"/>
      <c r="C384" s="33"/>
      <c r="D384" s="33"/>
      <c r="E384" s="33"/>
      <c r="H384" s="33"/>
    </row>
    <row r="385">
      <c r="B385" s="33"/>
      <c r="C385" s="33"/>
      <c r="D385" s="33"/>
      <c r="E385" s="33"/>
      <c r="H385" s="33"/>
    </row>
    <row r="386">
      <c r="B386" s="33"/>
      <c r="C386" s="33"/>
      <c r="D386" s="33"/>
      <c r="E386" s="33"/>
      <c r="H386" s="33"/>
    </row>
    <row r="387">
      <c r="B387" s="33"/>
      <c r="C387" s="33"/>
      <c r="D387" s="33"/>
      <c r="E387" s="33"/>
      <c r="H387" s="33"/>
    </row>
    <row r="388">
      <c r="B388" s="33"/>
      <c r="C388" s="33"/>
      <c r="D388" s="33"/>
      <c r="E388" s="33"/>
      <c r="H388" s="33"/>
    </row>
    <row r="389">
      <c r="B389" s="33"/>
      <c r="C389" s="33"/>
      <c r="D389" s="33"/>
      <c r="E389" s="33"/>
      <c r="H389" s="33"/>
    </row>
    <row r="390">
      <c r="B390" s="33"/>
      <c r="C390" s="33"/>
      <c r="D390" s="33"/>
      <c r="E390" s="33"/>
      <c r="H390" s="33"/>
    </row>
    <row r="391">
      <c r="B391" s="33"/>
      <c r="C391" s="33"/>
      <c r="D391" s="33"/>
      <c r="E391" s="33"/>
      <c r="H391" s="33"/>
    </row>
    <row r="392">
      <c r="B392" s="33"/>
      <c r="C392" s="33"/>
      <c r="D392" s="33"/>
      <c r="E392" s="33"/>
      <c r="H392" s="33"/>
    </row>
    <row r="393">
      <c r="B393" s="33"/>
      <c r="C393" s="33"/>
      <c r="D393" s="33"/>
      <c r="E393" s="33"/>
      <c r="H393" s="33"/>
    </row>
    <row r="394">
      <c r="B394" s="33"/>
      <c r="C394" s="33"/>
      <c r="D394" s="33"/>
      <c r="E394" s="33"/>
      <c r="H394" s="33"/>
    </row>
    <row r="395">
      <c r="B395" s="33"/>
      <c r="C395" s="33"/>
      <c r="D395" s="33"/>
      <c r="E395" s="33"/>
      <c r="H395" s="33"/>
    </row>
    <row r="396">
      <c r="B396" s="33"/>
      <c r="C396" s="33"/>
      <c r="D396" s="33"/>
      <c r="E396" s="33"/>
      <c r="H396" s="33"/>
    </row>
    <row r="397">
      <c r="B397" s="33"/>
      <c r="C397" s="33"/>
      <c r="D397" s="33"/>
      <c r="E397" s="33"/>
      <c r="H397" s="33"/>
    </row>
    <row r="398">
      <c r="B398" s="33"/>
      <c r="C398" s="33"/>
      <c r="D398" s="33"/>
      <c r="E398" s="33"/>
      <c r="H398" s="33"/>
    </row>
    <row r="399">
      <c r="B399" s="33"/>
      <c r="C399" s="33"/>
      <c r="D399" s="33"/>
      <c r="E399" s="33"/>
      <c r="H399" s="33"/>
    </row>
    <row r="400">
      <c r="B400" s="33"/>
      <c r="C400" s="33"/>
      <c r="D400" s="33"/>
      <c r="E400" s="33"/>
      <c r="H400" s="33"/>
    </row>
    <row r="401">
      <c r="B401" s="33"/>
      <c r="C401" s="33"/>
      <c r="D401" s="33"/>
      <c r="E401" s="33"/>
      <c r="H401" s="33"/>
    </row>
    <row r="402">
      <c r="B402" s="33"/>
      <c r="C402" s="33"/>
      <c r="D402" s="33"/>
      <c r="E402" s="33"/>
      <c r="H402" s="33"/>
    </row>
    <row r="403">
      <c r="B403" s="33"/>
      <c r="C403" s="33"/>
      <c r="D403" s="33"/>
      <c r="E403" s="33"/>
      <c r="H403" s="33"/>
    </row>
    <row r="404">
      <c r="B404" s="33"/>
      <c r="C404" s="33"/>
      <c r="D404" s="33"/>
      <c r="E404" s="33"/>
      <c r="H404" s="33"/>
    </row>
    <row r="405">
      <c r="B405" s="33"/>
      <c r="C405" s="33"/>
      <c r="D405" s="33"/>
      <c r="E405" s="33"/>
      <c r="H405" s="33"/>
    </row>
    <row r="406">
      <c r="B406" s="33"/>
      <c r="C406" s="33"/>
      <c r="D406" s="33"/>
      <c r="E406" s="33"/>
      <c r="H406" s="33"/>
    </row>
    <row r="407">
      <c r="B407" s="33"/>
      <c r="C407" s="33"/>
      <c r="D407" s="33"/>
      <c r="E407" s="33"/>
      <c r="H407" s="33"/>
    </row>
    <row r="408">
      <c r="B408" s="33"/>
      <c r="C408" s="33"/>
      <c r="D408" s="33"/>
      <c r="E408" s="33"/>
      <c r="H408" s="33"/>
    </row>
    <row r="409">
      <c r="B409" s="33"/>
      <c r="C409" s="33"/>
      <c r="D409" s="33"/>
      <c r="E409" s="33"/>
      <c r="H409" s="33"/>
    </row>
    <row r="410">
      <c r="B410" s="33"/>
      <c r="C410" s="33"/>
      <c r="D410" s="33"/>
      <c r="E410" s="33"/>
      <c r="H410" s="33"/>
    </row>
    <row r="411">
      <c r="B411" s="33"/>
      <c r="C411" s="33"/>
      <c r="D411" s="33"/>
      <c r="E411" s="33"/>
      <c r="H411" s="33"/>
    </row>
    <row r="412">
      <c r="B412" s="33"/>
      <c r="C412" s="33"/>
      <c r="D412" s="33"/>
      <c r="E412" s="33"/>
      <c r="H412" s="33"/>
    </row>
    <row r="413">
      <c r="B413" s="33"/>
      <c r="C413" s="33"/>
      <c r="D413" s="33"/>
      <c r="E413" s="33"/>
      <c r="H413" s="33"/>
    </row>
    <row r="414">
      <c r="B414" s="33"/>
      <c r="C414" s="33"/>
      <c r="D414" s="33"/>
      <c r="E414" s="33"/>
      <c r="H414" s="33"/>
    </row>
    <row r="415">
      <c r="B415" s="33"/>
      <c r="C415" s="33"/>
      <c r="D415" s="33"/>
      <c r="E415" s="33"/>
      <c r="H415" s="33"/>
    </row>
    <row r="416">
      <c r="B416" s="33"/>
      <c r="C416" s="33"/>
      <c r="D416" s="33"/>
      <c r="E416" s="33"/>
      <c r="H416" s="33"/>
    </row>
    <row r="417">
      <c r="B417" s="33"/>
      <c r="C417" s="33"/>
      <c r="D417" s="33"/>
      <c r="E417" s="33"/>
      <c r="H417" s="33"/>
    </row>
    <row r="418">
      <c r="B418" s="33"/>
      <c r="C418" s="33"/>
      <c r="D418" s="33"/>
      <c r="E418" s="33"/>
      <c r="H418" s="33"/>
    </row>
    <row r="419">
      <c r="B419" s="33"/>
      <c r="C419" s="33"/>
      <c r="D419" s="33"/>
      <c r="E419" s="33"/>
      <c r="H419" s="33"/>
    </row>
    <row r="420">
      <c r="B420" s="33"/>
      <c r="C420" s="33"/>
      <c r="D420" s="33"/>
      <c r="E420" s="33"/>
      <c r="H420" s="33"/>
    </row>
    <row r="421">
      <c r="B421" s="33"/>
      <c r="C421" s="33"/>
      <c r="D421" s="33"/>
      <c r="E421" s="33"/>
      <c r="H421" s="33"/>
    </row>
    <row r="422">
      <c r="B422" s="33"/>
      <c r="C422" s="33"/>
      <c r="D422" s="33"/>
      <c r="E422" s="33"/>
      <c r="H422" s="33"/>
    </row>
    <row r="423">
      <c r="B423" s="33"/>
      <c r="C423" s="33"/>
      <c r="D423" s="33"/>
      <c r="E423" s="33"/>
      <c r="H423" s="33"/>
    </row>
    <row r="424">
      <c r="B424" s="33"/>
      <c r="C424" s="33"/>
      <c r="D424" s="33"/>
      <c r="E424" s="33"/>
      <c r="H424" s="33"/>
    </row>
    <row r="425">
      <c r="B425" s="33"/>
      <c r="C425" s="33"/>
      <c r="D425" s="33"/>
      <c r="E425" s="33"/>
      <c r="H425" s="33"/>
    </row>
    <row r="426">
      <c r="B426" s="33"/>
      <c r="C426" s="33"/>
      <c r="D426" s="33"/>
      <c r="E426" s="33"/>
      <c r="H426" s="33"/>
    </row>
    <row r="427">
      <c r="B427" s="33"/>
      <c r="C427" s="33"/>
      <c r="D427" s="33"/>
      <c r="E427" s="33"/>
      <c r="H427" s="33"/>
    </row>
    <row r="428">
      <c r="B428" s="33"/>
      <c r="C428" s="33"/>
      <c r="D428" s="33"/>
      <c r="E428" s="33"/>
      <c r="H428" s="33"/>
    </row>
    <row r="429">
      <c r="B429" s="33"/>
      <c r="C429" s="33"/>
      <c r="D429" s="33"/>
      <c r="E429" s="33"/>
      <c r="H429" s="33"/>
    </row>
    <row r="430">
      <c r="B430" s="33"/>
      <c r="C430" s="33"/>
      <c r="D430" s="33"/>
      <c r="E430" s="33"/>
      <c r="H430" s="33"/>
    </row>
    <row r="431">
      <c r="B431" s="33"/>
      <c r="C431" s="33"/>
      <c r="D431" s="33"/>
      <c r="E431" s="33"/>
      <c r="H431" s="33"/>
    </row>
    <row r="432">
      <c r="B432" s="33"/>
      <c r="C432" s="33"/>
      <c r="D432" s="33"/>
      <c r="E432" s="33"/>
      <c r="H432" s="33"/>
    </row>
    <row r="433">
      <c r="B433" s="33"/>
      <c r="C433" s="33"/>
      <c r="D433" s="33"/>
      <c r="E433" s="33"/>
      <c r="H433" s="33"/>
    </row>
    <row r="434">
      <c r="B434" s="33"/>
      <c r="C434" s="33"/>
      <c r="D434" s="33"/>
      <c r="E434" s="33"/>
      <c r="H434" s="33"/>
    </row>
    <row r="435">
      <c r="B435" s="33"/>
      <c r="C435" s="33"/>
      <c r="D435" s="33"/>
      <c r="E435" s="33"/>
      <c r="H435" s="33"/>
    </row>
    <row r="436">
      <c r="B436" s="33"/>
      <c r="C436" s="33"/>
      <c r="D436" s="33"/>
      <c r="E436" s="33"/>
      <c r="H436" s="33"/>
    </row>
    <row r="437">
      <c r="B437" s="33"/>
      <c r="C437" s="33"/>
      <c r="D437" s="33"/>
      <c r="E437" s="33"/>
      <c r="H437" s="33"/>
    </row>
    <row r="438">
      <c r="B438" s="33"/>
      <c r="C438" s="33"/>
      <c r="D438" s="33"/>
      <c r="E438" s="33"/>
      <c r="H438" s="33"/>
    </row>
    <row r="439">
      <c r="B439" s="33"/>
      <c r="C439" s="33"/>
      <c r="D439" s="33"/>
      <c r="E439" s="33"/>
      <c r="H439" s="33"/>
    </row>
    <row r="440">
      <c r="B440" s="33"/>
      <c r="C440" s="33"/>
      <c r="D440" s="33"/>
      <c r="E440" s="33"/>
      <c r="H440" s="33"/>
    </row>
    <row r="441">
      <c r="B441" s="33"/>
      <c r="C441" s="33"/>
      <c r="D441" s="33"/>
      <c r="E441" s="33"/>
      <c r="H441" s="33"/>
    </row>
    <row r="442">
      <c r="B442" s="33"/>
      <c r="C442" s="33"/>
      <c r="D442" s="33"/>
      <c r="E442" s="33"/>
      <c r="H442" s="33"/>
    </row>
    <row r="443">
      <c r="B443" s="33"/>
      <c r="C443" s="33"/>
      <c r="D443" s="33"/>
      <c r="E443" s="33"/>
      <c r="H443" s="33"/>
    </row>
    <row r="444">
      <c r="B444" s="33"/>
      <c r="C444" s="33"/>
      <c r="D444" s="33"/>
      <c r="E444" s="33"/>
      <c r="H444" s="33"/>
    </row>
    <row r="445">
      <c r="B445" s="33"/>
      <c r="C445" s="33"/>
      <c r="D445" s="33"/>
      <c r="E445" s="33"/>
      <c r="H445" s="33"/>
    </row>
    <row r="446">
      <c r="B446" s="33"/>
      <c r="C446" s="33"/>
      <c r="D446" s="33"/>
      <c r="E446" s="33"/>
      <c r="H446" s="33"/>
    </row>
    <row r="447">
      <c r="B447" s="33"/>
      <c r="C447" s="33"/>
      <c r="D447" s="33"/>
      <c r="E447" s="33"/>
      <c r="H447" s="33"/>
    </row>
    <row r="448">
      <c r="B448" s="33"/>
      <c r="C448" s="33"/>
      <c r="D448" s="33"/>
      <c r="E448" s="33"/>
      <c r="H448" s="33"/>
    </row>
    <row r="449">
      <c r="B449" s="33"/>
      <c r="C449" s="33"/>
      <c r="D449" s="33"/>
      <c r="E449" s="33"/>
      <c r="H449" s="33"/>
    </row>
    <row r="450">
      <c r="B450" s="33"/>
      <c r="C450" s="33"/>
      <c r="D450" s="33"/>
      <c r="E450" s="33"/>
      <c r="H450" s="33"/>
    </row>
    <row r="451">
      <c r="B451" s="33"/>
      <c r="C451" s="33"/>
      <c r="D451" s="33"/>
      <c r="E451" s="33"/>
      <c r="H451" s="33"/>
    </row>
    <row r="452">
      <c r="B452" s="33"/>
      <c r="C452" s="33"/>
      <c r="D452" s="33"/>
      <c r="E452" s="33"/>
      <c r="H452" s="33"/>
    </row>
    <row r="453">
      <c r="B453" s="33"/>
      <c r="C453" s="33"/>
      <c r="D453" s="33"/>
      <c r="E453" s="33"/>
      <c r="H453" s="33"/>
    </row>
    <row r="454">
      <c r="B454" s="33"/>
      <c r="C454" s="33"/>
      <c r="D454" s="33"/>
      <c r="E454" s="33"/>
      <c r="H454" s="33"/>
    </row>
    <row r="455">
      <c r="B455" s="33"/>
      <c r="C455" s="33"/>
      <c r="D455" s="33"/>
      <c r="E455" s="33"/>
      <c r="H455" s="33"/>
    </row>
    <row r="456">
      <c r="B456" s="33"/>
      <c r="C456" s="33"/>
      <c r="D456" s="33"/>
      <c r="E456" s="33"/>
      <c r="H456" s="33"/>
    </row>
    <row r="457">
      <c r="B457" s="33"/>
      <c r="C457" s="33"/>
      <c r="D457" s="33"/>
      <c r="E457" s="33"/>
      <c r="H457" s="33"/>
    </row>
    <row r="458">
      <c r="B458" s="33"/>
      <c r="C458" s="33"/>
      <c r="D458" s="33"/>
      <c r="E458" s="33"/>
      <c r="H458" s="33"/>
    </row>
    <row r="459">
      <c r="B459" s="33"/>
      <c r="C459" s="33"/>
      <c r="D459" s="33"/>
      <c r="E459" s="33"/>
      <c r="H459" s="33"/>
    </row>
    <row r="460">
      <c r="B460" s="33"/>
      <c r="C460" s="33"/>
      <c r="D460" s="33"/>
      <c r="E460" s="33"/>
      <c r="H460" s="33"/>
    </row>
    <row r="461">
      <c r="B461" s="33"/>
      <c r="C461" s="33"/>
      <c r="D461" s="33"/>
      <c r="E461" s="33"/>
      <c r="H461" s="33"/>
    </row>
    <row r="462">
      <c r="B462" s="33"/>
      <c r="C462" s="33"/>
      <c r="D462" s="33"/>
      <c r="E462" s="33"/>
      <c r="H462" s="33"/>
    </row>
    <row r="463">
      <c r="B463" s="33"/>
      <c r="C463" s="33"/>
      <c r="D463" s="33"/>
      <c r="E463" s="33"/>
      <c r="H463" s="33"/>
    </row>
    <row r="464">
      <c r="B464" s="33"/>
      <c r="C464" s="33"/>
      <c r="D464" s="33"/>
      <c r="E464" s="33"/>
      <c r="H464" s="33"/>
    </row>
    <row r="465">
      <c r="B465" s="33"/>
      <c r="C465" s="33"/>
      <c r="D465" s="33"/>
      <c r="E465" s="33"/>
      <c r="H465" s="33"/>
    </row>
    <row r="466">
      <c r="B466" s="33"/>
      <c r="C466" s="33"/>
      <c r="D466" s="33"/>
      <c r="E466" s="33"/>
      <c r="H466" s="33"/>
    </row>
    <row r="467">
      <c r="B467" s="33"/>
      <c r="C467" s="33"/>
      <c r="D467" s="33"/>
      <c r="E467" s="33"/>
      <c r="H467" s="33"/>
    </row>
    <row r="468">
      <c r="B468" s="33"/>
      <c r="C468" s="33"/>
      <c r="D468" s="33"/>
      <c r="E468" s="33"/>
      <c r="H468" s="33"/>
    </row>
    <row r="469">
      <c r="B469" s="33"/>
      <c r="C469" s="33"/>
      <c r="D469" s="33"/>
      <c r="E469" s="33"/>
      <c r="H469" s="33"/>
    </row>
    <row r="470">
      <c r="B470" s="33"/>
      <c r="C470" s="33"/>
      <c r="D470" s="33"/>
      <c r="E470" s="33"/>
      <c r="H470" s="33"/>
    </row>
    <row r="471">
      <c r="B471" s="33"/>
      <c r="C471" s="33"/>
      <c r="D471" s="33"/>
      <c r="E471" s="33"/>
      <c r="H471" s="33"/>
    </row>
    <row r="472">
      <c r="B472" s="33"/>
      <c r="C472" s="33"/>
      <c r="D472" s="33"/>
      <c r="E472" s="33"/>
      <c r="H472" s="33"/>
    </row>
    <row r="473">
      <c r="B473" s="33"/>
      <c r="C473" s="33"/>
      <c r="D473" s="33"/>
      <c r="E473" s="33"/>
      <c r="H473" s="33"/>
    </row>
    <row r="474">
      <c r="B474" s="33"/>
      <c r="C474" s="33"/>
      <c r="D474" s="33"/>
      <c r="E474" s="33"/>
      <c r="H474" s="33"/>
    </row>
    <row r="475">
      <c r="B475" s="33"/>
      <c r="C475" s="33"/>
      <c r="D475" s="33"/>
      <c r="E475" s="33"/>
      <c r="H475" s="33"/>
    </row>
    <row r="476">
      <c r="B476" s="33"/>
      <c r="C476" s="33"/>
      <c r="D476" s="33"/>
      <c r="E476" s="33"/>
      <c r="H476" s="33"/>
    </row>
    <row r="477">
      <c r="B477" s="33"/>
      <c r="C477" s="33"/>
      <c r="D477" s="33"/>
      <c r="E477" s="33"/>
      <c r="H477" s="33"/>
    </row>
    <row r="478">
      <c r="B478" s="33"/>
      <c r="C478" s="33"/>
      <c r="D478" s="33"/>
      <c r="E478" s="33"/>
      <c r="H478" s="33"/>
    </row>
    <row r="479">
      <c r="B479" s="33"/>
      <c r="C479" s="33"/>
      <c r="D479" s="33"/>
      <c r="E479" s="33"/>
      <c r="H479" s="33"/>
    </row>
    <row r="480">
      <c r="B480" s="33"/>
      <c r="C480" s="33"/>
      <c r="D480" s="33"/>
      <c r="E480" s="33"/>
      <c r="H480" s="33"/>
    </row>
    <row r="481">
      <c r="B481" s="33"/>
      <c r="C481" s="33"/>
      <c r="D481" s="33"/>
      <c r="E481" s="33"/>
      <c r="H481" s="33"/>
    </row>
    <row r="482">
      <c r="B482" s="33"/>
      <c r="C482" s="33"/>
      <c r="D482" s="33"/>
      <c r="E482" s="33"/>
      <c r="H482" s="33"/>
    </row>
    <row r="483">
      <c r="B483" s="33"/>
      <c r="C483" s="33"/>
      <c r="D483" s="33"/>
      <c r="E483" s="33"/>
      <c r="H483" s="33"/>
    </row>
    <row r="484">
      <c r="B484" s="33"/>
      <c r="C484" s="33"/>
      <c r="D484" s="33"/>
      <c r="E484" s="33"/>
      <c r="H484" s="33"/>
    </row>
    <row r="485">
      <c r="B485" s="33"/>
      <c r="C485" s="33"/>
      <c r="D485" s="33"/>
      <c r="E485" s="33"/>
      <c r="H485" s="33"/>
    </row>
    <row r="486">
      <c r="B486" s="33"/>
      <c r="C486" s="33"/>
      <c r="D486" s="33"/>
      <c r="E486" s="33"/>
      <c r="H486" s="33"/>
    </row>
    <row r="487">
      <c r="B487" s="33"/>
      <c r="C487" s="33"/>
      <c r="D487" s="33"/>
      <c r="E487" s="33"/>
      <c r="H487" s="33"/>
    </row>
    <row r="488">
      <c r="B488" s="33"/>
      <c r="C488" s="33"/>
      <c r="D488" s="33"/>
      <c r="E488" s="33"/>
      <c r="H488" s="33"/>
    </row>
    <row r="489">
      <c r="B489" s="33"/>
      <c r="C489" s="33"/>
      <c r="D489" s="33"/>
      <c r="E489" s="33"/>
      <c r="H489" s="33"/>
    </row>
    <row r="490">
      <c r="B490" s="33"/>
      <c r="C490" s="33"/>
      <c r="D490" s="33"/>
      <c r="E490" s="33"/>
      <c r="H490" s="33"/>
    </row>
    <row r="491">
      <c r="B491" s="33"/>
      <c r="C491" s="33"/>
      <c r="D491" s="33"/>
      <c r="E491" s="33"/>
      <c r="H491" s="33"/>
    </row>
    <row r="492">
      <c r="B492" s="33"/>
      <c r="C492" s="33"/>
      <c r="D492" s="33"/>
      <c r="E492" s="33"/>
      <c r="H492" s="33"/>
    </row>
    <row r="493">
      <c r="B493" s="33"/>
      <c r="C493" s="33"/>
      <c r="D493" s="33"/>
      <c r="E493" s="33"/>
      <c r="H493" s="33"/>
    </row>
    <row r="494">
      <c r="B494" s="33"/>
      <c r="C494" s="33"/>
      <c r="D494" s="33"/>
      <c r="E494" s="33"/>
      <c r="H494" s="33"/>
    </row>
    <row r="495">
      <c r="B495" s="33"/>
      <c r="C495" s="33"/>
      <c r="D495" s="33"/>
      <c r="E495" s="33"/>
      <c r="H495" s="33"/>
    </row>
    <row r="496">
      <c r="B496" s="33"/>
      <c r="C496" s="33"/>
      <c r="D496" s="33"/>
      <c r="E496" s="33"/>
      <c r="H496" s="33"/>
    </row>
    <row r="497">
      <c r="B497" s="33"/>
      <c r="C497" s="33"/>
      <c r="D497" s="33"/>
      <c r="E497" s="33"/>
      <c r="H497" s="33"/>
    </row>
    <row r="498">
      <c r="B498" s="33"/>
      <c r="C498" s="33"/>
      <c r="D498" s="33"/>
      <c r="E498" s="33"/>
      <c r="H498" s="33"/>
    </row>
    <row r="499">
      <c r="B499" s="33"/>
      <c r="C499" s="33"/>
      <c r="D499" s="33"/>
      <c r="E499" s="33"/>
      <c r="H499" s="33"/>
    </row>
    <row r="500">
      <c r="B500" s="33"/>
      <c r="C500" s="33"/>
      <c r="D500" s="33"/>
      <c r="E500" s="33"/>
      <c r="H500" s="33"/>
    </row>
    <row r="501">
      <c r="B501" s="33"/>
      <c r="C501" s="33"/>
      <c r="D501" s="33"/>
      <c r="E501" s="33"/>
      <c r="H501" s="33"/>
    </row>
    <row r="502">
      <c r="B502" s="33"/>
      <c r="C502" s="33"/>
      <c r="D502" s="33"/>
      <c r="E502" s="33"/>
      <c r="H502" s="33"/>
    </row>
    <row r="503">
      <c r="B503" s="33"/>
      <c r="C503" s="33"/>
      <c r="D503" s="33"/>
      <c r="E503" s="33"/>
      <c r="H503" s="33"/>
    </row>
    <row r="504">
      <c r="B504" s="33"/>
      <c r="C504" s="33"/>
      <c r="D504" s="33"/>
      <c r="E504" s="33"/>
      <c r="H504" s="33"/>
    </row>
    <row r="505">
      <c r="B505" s="33"/>
      <c r="C505" s="33"/>
      <c r="D505" s="33"/>
      <c r="E505" s="33"/>
      <c r="H505" s="33"/>
    </row>
    <row r="506">
      <c r="B506" s="33"/>
      <c r="C506" s="33"/>
      <c r="D506" s="33"/>
      <c r="E506" s="33"/>
      <c r="H506" s="33"/>
    </row>
    <row r="507">
      <c r="B507" s="33"/>
      <c r="C507" s="33"/>
      <c r="D507" s="33"/>
      <c r="E507" s="33"/>
      <c r="H507" s="33"/>
    </row>
    <row r="508">
      <c r="B508" s="33"/>
      <c r="C508" s="33"/>
      <c r="D508" s="33"/>
      <c r="E508" s="33"/>
      <c r="H508" s="33"/>
    </row>
    <row r="509">
      <c r="B509" s="33"/>
      <c r="C509" s="33"/>
      <c r="D509" s="33"/>
      <c r="E509" s="33"/>
      <c r="H509" s="33"/>
    </row>
    <row r="510">
      <c r="B510" s="33"/>
      <c r="C510" s="33"/>
      <c r="D510" s="33"/>
      <c r="E510" s="33"/>
      <c r="H510" s="33"/>
    </row>
    <row r="511">
      <c r="B511" s="33"/>
      <c r="C511" s="33"/>
      <c r="D511" s="33"/>
      <c r="E511" s="33"/>
      <c r="H511" s="33"/>
    </row>
    <row r="512">
      <c r="B512" s="33"/>
      <c r="C512" s="33"/>
      <c r="D512" s="33"/>
      <c r="E512" s="33"/>
      <c r="H512" s="33"/>
    </row>
    <row r="513">
      <c r="B513" s="33"/>
      <c r="C513" s="33"/>
      <c r="D513" s="33"/>
      <c r="E513" s="33"/>
      <c r="H513" s="33"/>
    </row>
    <row r="514">
      <c r="B514" s="33"/>
      <c r="C514" s="33"/>
      <c r="D514" s="33"/>
      <c r="E514" s="33"/>
      <c r="H514" s="33"/>
    </row>
    <row r="515">
      <c r="B515" s="33"/>
      <c r="C515" s="33"/>
      <c r="D515" s="33"/>
      <c r="E515" s="33"/>
      <c r="H515" s="33"/>
    </row>
    <row r="516">
      <c r="B516" s="33"/>
      <c r="C516" s="33"/>
      <c r="D516" s="33"/>
      <c r="E516" s="33"/>
      <c r="H516" s="33"/>
    </row>
    <row r="517">
      <c r="B517" s="33"/>
      <c r="C517" s="33"/>
      <c r="D517" s="33"/>
      <c r="E517" s="33"/>
      <c r="H517" s="33"/>
    </row>
    <row r="518">
      <c r="B518" s="33"/>
      <c r="C518" s="33"/>
      <c r="D518" s="33"/>
      <c r="E518" s="33"/>
      <c r="H518" s="33"/>
    </row>
    <row r="519">
      <c r="B519" s="33"/>
      <c r="C519" s="33"/>
      <c r="D519" s="33"/>
      <c r="E519" s="33"/>
      <c r="H519" s="33"/>
    </row>
    <row r="520">
      <c r="B520" s="33"/>
      <c r="C520" s="33"/>
      <c r="D520" s="33"/>
      <c r="E520" s="33"/>
      <c r="H520" s="33"/>
    </row>
    <row r="521">
      <c r="B521" s="33"/>
      <c r="C521" s="33"/>
      <c r="D521" s="33"/>
      <c r="E521" s="33"/>
      <c r="H521" s="33"/>
    </row>
    <row r="522">
      <c r="B522" s="33"/>
      <c r="C522" s="33"/>
      <c r="D522" s="33"/>
      <c r="E522" s="33"/>
      <c r="H522" s="33"/>
    </row>
    <row r="523">
      <c r="B523" s="33"/>
      <c r="C523" s="33"/>
      <c r="D523" s="33"/>
      <c r="E523" s="33"/>
      <c r="H523" s="33"/>
    </row>
    <row r="524">
      <c r="B524" s="33"/>
      <c r="C524" s="33"/>
      <c r="D524" s="33"/>
      <c r="E524" s="33"/>
      <c r="H524" s="33"/>
    </row>
    <row r="525">
      <c r="B525" s="33"/>
      <c r="C525" s="33"/>
      <c r="D525" s="33"/>
      <c r="E525" s="33"/>
      <c r="H525" s="33"/>
    </row>
    <row r="526">
      <c r="B526" s="33"/>
      <c r="C526" s="33"/>
      <c r="D526" s="33"/>
      <c r="E526" s="33"/>
      <c r="H526" s="33"/>
    </row>
    <row r="527">
      <c r="B527" s="33"/>
      <c r="C527" s="33"/>
      <c r="D527" s="33"/>
      <c r="E527" s="33"/>
      <c r="H527" s="33"/>
    </row>
    <row r="528">
      <c r="B528" s="33"/>
      <c r="C528" s="33"/>
      <c r="D528" s="33"/>
      <c r="E528" s="33"/>
      <c r="H528" s="33"/>
    </row>
    <row r="529">
      <c r="B529" s="33"/>
      <c r="C529" s="33"/>
      <c r="D529" s="33"/>
      <c r="E529" s="33"/>
      <c r="H529" s="33"/>
    </row>
    <row r="530">
      <c r="B530" s="33"/>
      <c r="C530" s="33"/>
      <c r="D530" s="33"/>
      <c r="E530" s="33"/>
      <c r="H530" s="33"/>
    </row>
    <row r="531">
      <c r="B531" s="33"/>
      <c r="C531" s="33"/>
      <c r="D531" s="33"/>
      <c r="E531" s="33"/>
      <c r="H531" s="33"/>
    </row>
    <row r="532">
      <c r="B532" s="33"/>
      <c r="C532" s="33"/>
      <c r="D532" s="33"/>
      <c r="E532" s="33"/>
      <c r="H532" s="33"/>
    </row>
    <row r="533">
      <c r="B533" s="33"/>
      <c r="C533" s="33"/>
      <c r="D533" s="33"/>
      <c r="E533" s="33"/>
      <c r="H533" s="33"/>
    </row>
    <row r="534">
      <c r="B534" s="33"/>
      <c r="C534" s="33"/>
      <c r="D534" s="33"/>
      <c r="E534" s="33"/>
      <c r="H534" s="33"/>
    </row>
    <row r="535">
      <c r="B535" s="33"/>
      <c r="C535" s="33"/>
      <c r="D535" s="33"/>
      <c r="E535" s="33"/>
      <c r="H535" s="33"/>
    </row>
    <row r="536">
      <c r="B536" s="33"/>
      <c r="C536" s="33"/>
      <c r="D536" s="33"/>
      <c r="E536" s="33"/>
      <c r="H536" s="33"/>
    </row>
    <row r="537">
      <c r="B537" s="33"/>
      <c r="C537" s="33"/>
      <c r="D537" s="33"/>
      <c r="E537" s="33"/>
      <c r="H537" s="33"/>
    </row>
    <row r="538">
      <c r="B538" s="33"/>
      <c r="C538" s="33"/>
      <c r="D538" s="33"/>
      <c r="E538" s="33"/>
      <c r="H538" s="33"/>
    </row>
    <row r="539">
      <c r="B539" s="33"/>
      <c r="C539" s="33"/>
      <c r="D539" s="33"/>
      <c r="E539" s="33"/>
      <c r="H539" s="33"/>
    </row>
    <row r="540">
      <c r="B540" s="33"/>
      <c r="C540" s="33"/>
      <c r="D540" s="33"/>
      <c r="E540" s="33"/>
      <c r="H540" s="33"/>
    </row>
    <row r="541">
      <c r="B541" s="33"/>
      <c r="C541" s="33"/>
      <c r="D541" s="33"/>
      <c r="E541" s="33"/>
      <c r="H541" s="33"/>
    </row>
    <row r="542">
      <c r="B542" s="33"/>
      <c r="C542" s="33"/>
      <c r="D542" s="33"/>
      <c r="E542" s="33"/>
      <c r="H542" s="33"/>
    </row>
    <row r="543">
      <c r="B543" s="33"/>
      <c r="C543" s="33"/>
      <c r="D543" s="33"/>
      <c r="E543" s="33"/>
      <c r="H543" s="33"/>
    </row>
    <row r="544">
      <c r="B544" s="33"/>
      <c r="C544" s="33"/>
      <c r="D544" s="33"/>
      <c r="E544" s="33"/>
      <c r="H544" s="33"/>
    </row>
    <row r="545">
      <c r="B545" s="33"/>
      <c r="C545" s="33"/>
      <c r="D545" s="33"/>
      <c r="E545" s="33"/>
      <c r="H545" s="33"/>
    </row>
    <row r="546">
      <c r="B546" s="33"/>
      <c r="C546" s="33"/>
      <c r="D546" s="33"/>
      <c r="E546" s="33"/>
      <c r="H546" s="33"/>
    </row>
    <row r="547">
      <c r="B547" s="33"/>
      <c r="C547" s="33"/>
      <c r="D547" s="33"/>
      <c r="E547" s="33"/>
      <c r="H547" s="33"/>
    </row>
    <row r="548">
      <c r="B548" s="33"/>
      <c r="C548" s="33"/>
      <c r="D548" s="33"/>
      <c r="E548" s="33"/>
      <c r="H548" s="33"/>
    </row>
    <row r="549">
      <c r="B549" s="33"/>
      <c r="C549" s="33"/>
      <c r="D549" s="33"/>
      <c r="E549" s="33"/>
      <c r="H549" s="33"/>
    </row>
    <row r="550">
      <c r="B550" s="33"/>
      <c r="C550" s="33"/>
      <c r="D550" s="33"/>
      <c r="E550" s="33"/>
      <c r="H550" s="33"/>
    </row>
    <row r="551">
      <c r="B551" s="33"/>
      <c r="C551" s="33"/>
      <c r="D551" s="33"/>
      <c r="E551" s="33"/>
      <c r="H551" s="33"/>
    </row>
    <row r="552">
      <c r="B552" s="33"/>
      <c r="C552" s="33"/>
      <c r="D552" s="33"/>
      <c r="E552" s="33"/>
      <c r="H552" s="33"/>
    </row>
    <row r="553">
      <c r="B553" s="33"/>
      <c r="C553" s="33"/>
      <c r="D553" s="33"/>
      <c r="E553" s="33"/>
      <c r="H553" s="33"/>
    </row>
    <row r="554">
      <c r="B554" s="33"/>
      <c r="C554" s="33"/>
      <c r="D554" s="33"/>
      <c r="E554" s="33"/>
      <c r="H554" s="33"/>
    </row>
    <row r="555">
      <c r="B555" s="33"/>
      <c r="C555" s="33"/>
      <c r="D555" s="33"/>
      <c r="E555" s="33"/>
      <c r="H555" s="33"/>
    </row>
    <row r="556">
      <c r="B556" s="33"/>
      <c r="C556" s="33"/>
      <c r="D556" s="33"/>
      <c r="E556" s="33"/>
      <c r="H556" s="33"/>
    </row>
    <row r="557">
      <c r="B557" s="33"/>
      <c r="C557" s="33"/>
      <c r="D557" s="33"/>
      <c r="E557" s="33"/>
      <c r="H557" s="33"/>
    </row>
    <row r="558">
      <c r="B558" s="33"/>
      <c r="C558" s="33"/>
      <c r="D558" s="33"/>
      <c r="E558" s="33"/>
      <c r="H558" s="33"/>
    </row>
    <row r="559">
      <c r="B559" s="33"/>
      <c r="C559" s="33"/>
      <c r="D559" s="33"/>
      <c r="E559" s="33"/>
      <c r="H559" s="33"/>
    </row>
    <row r="560">
      <c r="B560" s="33"/>
      <c r="C560" s="33"/>
      <c r="D560" s="33"/>
      <c r="E560" s="33"/>
      <c r="H560" s="33"/>
    </row>
    <row r="561">
      <c r="B561" s="33"/>
      <c r="C561" s="33"/>
      <c r="D561" s="33"/>
      <c r="E561" s="33"/>
      <c r="H561" s="33"/>
    </row>
    <row r="562">
      <c r="B562" s="33"/>
      <c r="C562" s="33"/>
      <c r="D562" s="33"/>
      <c r="E562" s="33"/>
      <c r="H562" s="33"/>
    </row>
    <row r="563">
      <c r="B563" s="33"/>
      <c r="C563" s="33"/>
      <c r="D563" s="33"/>
      <c r="E563" s="33"/>
      <c r="H563" s="33"/>
    </row>
    <row r="564">
      <c r="B564" s="33"/>
      <c r="C564" s="33"/>
      <c r="D564" s="33"/>
      <c r="E564" s="33"/>
      <c r="H564" s="33"/>
    </row>
    <row r="565">
      <c r="B565" s="33"/>
      <c r="C565" s="33"/>
      <c r="D565" s="33"/>
      <c r="E565" s="33"/>
      <c r="H565" s="33"/>
    </row>
    <row r="566">
      <c r="B566" s="33"/>
      <c r="C566" s="33"/>
      <c r="D566" s="33"/>
      <c r="E566" s="33"/>
      <c r="H566" s="33"/>
    </row>
    <row r="567">
      <c r="B567" s="33"/>
      <c r="C567" s="33"/>
      <c r="D567" s="33"/>
      <c r="E567" s="33"/>
      <c r="H567" s="33"/>
    </row>
    <row r="568">
      <c r="B568" s="33"/>
      <c r="C568" s="33"/>
      <c r="D568" s="33"/>
      <c r="E568" s="33"/>
      <c r="H568" s="33"/>
    </row>
    <row r="569">
      <c r="B569" s="33"/>
      <c r="C569" s="33"/>
      <c r="D569" s="33"/>
      <c r="E569" s="33"/>
      <c r="H569" s="33"/>
    </row>
    <row r="570">
      <c r="B570" s="33"/>
      <c r="C570" s="33"/>
      <c r="D570" s="33"/>
      <c r="E570" s="33"/>
      <c r="H570" s="33"/>
    </row>
    <row r="571">
      <c r="B571" s="33"/>
      <c r="C571" s="33"/>
      <c r="D571" s="33"/>
      <c r="E571" s="33"/>
      <c r="H571" s="33"/>
    </row>
    <row r="572">
      <c r="B572" s="33"/>
      <c r="C572" s="33"/>
      <c r="D572" s="33"/>
      <c r="E572" s="33"/>
      <c r="H572" s="33"/>
    </row>
    <row r="573">
      <c r="B573" s="33"/>
      <c r="C573" s="33"/>
      <c r="D573" s="33"/>
      <c r="E573" s="33"/>
      <c r="H573" s="33"/>
    </row>
    <row r="574">
      <c r="B574" s="33"/>
      <c r="C574" s="33"/>
      <c r="D574" s="33"/>
      <c r="E574" s="33"/>
      <c r="H574" s="33"/>
    </row>
    <row r="575">
      <c r="B575" s="33"/>
      <c r="C575" s="33"/>
      <c r="D575" s="33"/>
      <c r="E575" s="33"/>
      <c r="H575" s="33"/>
    </row>
    <row r="576">
      <c r="B576" s="33"/>
      <c r="C576" s="33"/>
      <c r="D576" s="33"/>
      <c r="E576" s="33"/>
      <c r="H576" s="33"/>
    </row>
    <row r="577">
      <c r="B577" s="33"/>
      <c r="C577" s="33"/>
      <c r="D577" s="33"/>
      <c r="E577" s="33"/>
      <c r="H577" s="33"/>
    </row>
    <row r="578">
      <c r="B578" s="33"/>
      <c r="C578" s="33"/>
      <c r="D578" s="33"/>
      <c r="E578" s="33"/>
      <c r="H578" s="33"/>
    </row>
    <row r="579">
      <c r="B579" s="33"/>
      <c r="C579" s="33"/>
      <c r="D579" s="33"/>
      <c r="E579" s="33"/>
      <c r="H579" s="33"/>
    </row>
    <row r="580">
      <c r="B580" s="33"/>
      <c r="C580" s="33"/>
      <c r="D580" s="33"/>
      <c r="E580" s="33"/>
      <c r="H580" s="33"/>
    </row>
    <row r="581">
      <c r="B581" s="33"/>
      <c r="C581" s="33"/>
      <c r="D581" s="33"/>
      <c r="E581" s="33"/>
      <c r="H581" s="33"/>
    </row>
    <row r="582">
      <c r="B582" s="33"/>
      <c r="C582" s="33"/>
      <c r="D582" s="33"/>
      <c r="E582" s="33"/>
      <c r="H582" s="33"/>
    </row>
    <row r="583">
      <c r="B583" s="33"/>
      <c r="C583" s="33"/>
      <c r="D583" s="33"/>
      <c r="E583" s="33"/>
      <c r="H583" s="33"/>
    </row>
    <row r="584">
      <c r="B584" s="33"/>
      <c r="C584" s="33"/>
      <c r="D584" s="33"/>
      <c r="E584" s="33"/>
      <c r="H584" s="33"/>
    </row>
    <row r="585">
      <c r="B585" s="33"/>
      <c r="C585" s="33"/>
      <c r="D585" s="33"/>
      <c r="E585" s="33"/>
      <c r="H585" s="33"/>
    </row>
    <row r="586">
      <c r="B586" s="33"/>
      <c r="C586" s="33"/>
      <c r="D586" s="33"/>
      <c r="E586" s="33"/>
      <c r="H586" s="33"/>
    </row>
    <row r="587">
      <c r="B587" s="33"/>
      <c r="C587" s="33"/>
      <c r="D587" s="33"/>
      <c r="E587" s="33"/>
      <c r="H587" s="33"/>
    </row>
    <row r="588">
      <c r="B588" s="33"/>
      <c r="C588" s="33"/>
      <c r="D588" s="33"/>
      <c r="E588" s="33"/>
      <c r="H588" s="33"/>
    </row>
    <row r="589">
      <c r="B589" s="33"/>
      <c r="C589" s="33"/>
      <c r="D589" s="33"/>
      <c r="E589" s="33"/>
      <c r="H589" s="33"/>
    </row>
    <row r="590">
      <c r="B590" s="33"/>
      <c r="C590" s="33"/>
      <c r="D590" s="33"/>
      <c r="E590" s="33"/>
      <c r="H590" s="33"/>
    </row>
    <row r="591">
      <c r="B591" s="33"/>
      <c r="C591" s="33"/>
      <c r="D591" s="33"/>
      <c r="E591" s="33"/>
      <c r="H591" s="33"/>
    </row>
    <row r="592">
      <c r="B592" s="33"/>
      <c r="C592" s="33"/>
      <c r="D592" s="33"/>
      <c r="E592" s="33"/>
      <c r="H592" s="33"/>
    </row>
    <row r="593">
      <c r="B593" s="33"/>
      <c r="C593" s="33"/>
      <c r="D593" s="33"/>
      <c r="E593" s="33"/>
      <c r="H593" s="33"/>
    </row>
    <row r="594">
      <c r="B594" s="33"/>
      <c r="C594" s="33"/>
      <c r="D594" s="33"/>
      <c r="E594" s="33"/>
      <c r="H594" s="33"/>
    </row>
    <row r="595">
      <c r="B595" s="33"/>
      <c r="C595" s="33"/>
      <c r="D595" s="33"/>
      <c r="E595" s="33"/>
      <c r="H595" s="33"/>
    </row>
    <row r="596">
      <c r="B596" s="33"/>
      <c r="C596" s="33"/>
      <c r="D596" s="33"/>
      <c r="E596" s="33"/>
      <c r="H596" s="33"/>
    </row>
    <row r="597">
      <c r="B597" s="33"/>
      <c r="C597" s="33"/>
      <c r="D597" s="33"/>
      <c r="E597" s="33"/>
      <c r="H597" s="33"/>
    </row>
    <row r="598">
      <c r="B598" s="33"/>
      <c r="C598" s="33"/>
      <c r="D598" s="33"/>
      <c r="E598" s="33"/>
      <c r="H598" s="33"/>
    </row>
    <row r="599">
      <c r="B599" s="33"/>
      <c r="C599" s="33"/>
      <c r="D599" s="33"/>
      <c r="E599" s="33"/>
      <c r="H599" s="33"/>
    </row>
    <row r="600">
      <c r="B600" s="33"/>
      <c r="C600" s="33"/>
      <c r="D600" s="33"/>
      <c r="E600" s="33"/>
      <c r="H600" s="33"/>
    </row>
    <row r="601">
      <c r="B601" s="33"/>
      <c r="C601" s="33"/>
      <c r="D601" s="33"/>
      <c r="E601" s="33"/>
      <c r="H601" s="33"/>
    </row>
    <row r="602">
      <c r="B602" s="33"/>
      <c r="C602" s="33"/>
      <c r="D602" s="33"/>
      <c r="E602" s="33"/>
      <c r="H602" s="33"/>
    </row>
    <row r="603">
      <c r="B603" s="33"/>
      <c r="C603" s="33"/>
      <c r="D603" s="33"/>
      <c r="E603" s="33"/>
      <c r="H603" s="33"/>
    </row>
    <row r="604">
      <c r="B604" s="33"/>
      <c r="C604" s="33"/>
      <c r="D604" s="33"/>
      <c r="E604" s="33"/>
      <c r="H604" s="33"/>
    </row>
    <row r="605">
      <c r="B605" s="33"/>
      <c r="C605" s="33"/>
      <c r="D605" s="33"/>
      <c r="E605" s="33"/>
      <c r="H605" s="33"/>
    </row>
    <row r="606">
      <c r="B606" s="33"/>
      <c r="C606" s="33"/>
      <c r="D606" s="33"/>
      <c r="E606" s="33"/>
      <c r="H606" s="33"/>
    </row>
    <row r="607">
      <c r="B607" s="33"/>
      <c r="C607" s="33"/>
      <c r="D607" s="33"/>
      <c r="E607" s="33"/>
      <c r="H607" s="33"/>
    </row>
    <row r="608">
      <c r="B608" s="33"/>
      <c r="C608" s="33"/>
      <c r="D608" s="33"/>
      <c r="E608" s="33"/>
      <c r="H608" s="33"/>
    </row>
    <row r="609">
      <c r="B609" s="33"/>
      <c r="C609" s="33"/>
      <c r="D609" s="33"/>
      <c r="E609" s="33"/>
      <c r="H609" s="33"/>
    </row>
    <row r="610">
      <c r="B610" s="33"/>
      <c r="C610" s="33"/>
      <c r="D610" s="33"/>
      <c r="E610" s="33"/>
      <c r="H610" s="33"/>
    </row>
    <row r="611">
      <c r="B611" s="33"/>
      <c r="C611" s="33"/>
      <c r="D611" s="33"/>
      <c r="E611" s="33"/>
      <c r="H611" s="33"/>
    </row>
    <row r="612">
      <c r="B612" s="33"/>
      <c r="C612" s="33"/>
      <c r="D612" s="33"/>
      <c r="E612" s="33"/>
      <c r="H612" s="33"/>
    </row>
    <row r="613">
      <c r="B613" s="33"/>
      <c r="C613" s="33"/>
      <c r="D613" s="33"/>
      <c r="E613" s="33"/>
      <c r="H613" s="33"/>
    </row>
    <row r="614">
      <c r="B614" s="33"/>
      <c r="C614" s="33"/>
      <c r="D614" s="33"/>
      <c r="E614" s="33"/>
      <c r="H614" s="33"/>
    </row>
    <row r="615">
      <c r="B615" s="33"/>
      <c r="C615" s="33"/>
      <c r="D615" s="33"/>
      <c r="E615" s="33"/>
      <c r="H615" s="33"/>
    </row>
    <row r="616">
      <c r="B616" s="33"/>
      <c r="C616" s="33"/>
      <c r="D616" s="33"/>
      <c r="E616" s="33"/>
      <c r="H616" s="33"/>
    </row>
    <row r="617">
      <c r="B617" s="33"/>
      <c r="C617" s="33"/>
      <c r="D617" s="33"/>
      <c r="E617" s="33"/>
      <c r="H617" s="33"/>
    </row>
    <row r="618">
      <c r="B618" s="33"/>
      <c r="C618" s="33"/>
      <c r="D618" s="33"/>
      <c r="E618" s="33"/>
      <c r="H618" s="33"/>
    </row>
    <row r="619">
      <c r="B619" s="33"/>
      <c r="C619" s="33"/>
      <c r="D619" s="33"/>
      <c r="E619" s="33"/>
      <c r="H619" s="33"/>
    </row>
    <row r="620">
      <c r="B620" s="33"/>
      <c r="C620" s="33"/>
      <c r="D620" s="33"/>
      <c r="E620" s="33"/>
      <c r="H620" s="33"/>
    </row>
    <row r="621">
      <c r="B621" s="33"/>
      <c r="C621" s="33"/>
      <c r="D621" s="33"/>
      <c r="E621" s="33"/>
      <c r="H621" s="33"/>
    </row>
    <row r="622">
      <c r="B622" s="33"/>
      <c r="C622" s="33"/>
      <c r="D622" s="33"/>
      <c r="E622" s="33"/>
      <c r="H622" s="33"/>
    </row>
    <row r="623">
      <c r="B623" s="33"/>
      <c r="C623" s="33"/>
      <c r="D623" s="33"/>
      <c r="E623" s="33"/>
      <c r="H623" s="33"/>
    </row>
    <row r="624">
      <c r="B624" s="33"/>
      <c r="C624" s="33"/>
      <c r="D624" s="33"/>
      <c r="E624" s="33"/>
      <c r="H624" s="33"/>
    </row>
    <row r="625">
      <c r="B625" s="33"/>
      <c r="C625" s="33"/>
      <c r="D625" s="33"/>
      <c r="E625" s="33"/>
      <c r="H625" s="33"/>
    </row>
    <row r="626">
      <c r="B626" s="33"/>
      <c r="C626" s="33"/>
      <c r="D626" s="33"/>
      <c r="E626" s="33"/>
      <c r="H626" s="33"/>
    </row>
    <row r="627">
      <c r="B627" s="33"/>
      <c r="C627" s="33"/>
      <c r="D627" s="33"/>
      <c r="E627" s="33"/>
      <c r="H627" s="33"/>
    </row>
    <row r="628">
      <c r="B628" s="33"/>
      <c r="C628" s="33"/>
      <c r="D628" s="33"/>
      <c r="E628" s="33"/>
      <c r="H628" s="33"/>
    </row>
    <row r="629">
      <c r="B629" s="33"/>
      <c r="C629" s="33"/>
      <c r="D629" s="33"/>
      <c r="E629" s="33"/>
      <c r="H629" s="33"/>
    </row>
    <row r="630">
      <c r="B630" s="33"/>
      <c r="C630" s="33"/>
      <c r="D630" s="33"/>
      <c r="E630" s="33"/>
      <c r="H630" s="33"/>
    </row>
    <row r="631">
      <c r="B631" s="33"/>
      <c r="C631" s="33"/>
      <c r="D631" s="33"/>
      <c r="E631" s="33"/>
      <c r="H631" s="33"/>
    </row>
    <row r="632">
      <c r="B632" s="33"/>
      <c r="C632" s="33"/>
      <c r="D632" s="33"/>
      <c r="E632" s="33"/>
      <c r="H632" s="33"/>
    </row>
    <row r="633">
      <c r="B633" s="33"/>
      <c r="C633" s="33"/>
      <c r="D633" s="33"/>
      <c r="E633" s="33"/>
      <c r="H633" s="33"/>
    </row>
    <row r="634">
      <c r="B634" s="33"/>
      <c r="C634" s="33"/>
      <c r="D634" s="33"/>
      <c r="E634" s="33"/>
      <c r="H634" s="33"/>
    </row>
    <row r="635">
      <c r="B635" s="33"/>
      <c r="C635" s="33"/>
      <c r="D635" s="33"/>
      <c r="E635" s="33"/>
      <c r="H635" s="33"/>
    </row>
    <row r="636">
      <c r="B636" s="33"/>
      <c r="C636" s="33"/>
      <c r="D636" s="33"/>
      <c r="E636" s="33"/>
      <c r="H636" s="33"/>
    </row>
    <row r="637">
      <c r="B637" s="33"/>
      <c r="C637" s="33"/>
      <c r="D637" s="33"/>
      <c r="E637" s="33"/>
      <c r="H637" s="33"/>
    </row>
    <row r="638">
      <c r="B638" s="33"/>
      <c r="C638" s="33"/>
      <c r="D638" s="33"/>
      <c r="E638" s="33"/>
      <c r="H638" s="33"/>
    </row>
    <row r="639">
      <c r="B639" s="33"/>
      <c r="C639" s="33"/>
      <c r="D639" s="33"/>
      <c r="E639" s="33"/>
      <c r="H639" s="33"/>
    </row>
    <row r="640">
      <c r="B640" s="33"/>
      <c r="C640" s="33"/>
      <c r="D640" s="33"/>
      <c r="E640" s="33"/>
      <c r="H640" s="33"/>
    </row>
    <row r="641">
      <c r="B641" s="33"/>
      <c r="C641" s="33"/>
      <c r="D641" s="33"/>
      <c r="E641" s="33"/>
      <c r="H641" s="33"/>
    </row>
    <row r="642">
      <c r="B642" s="33"/>
      <c r="C642" s="33"/>
      <c r="D642" s="33"/>
      <c r="E642" s="33"/>
      <c r="H642" s="33"/>
    </row>
    <row r="643">
      <c r="B643" s="33"/>
      <c r="C643" s="33"/>
      <c r="D643" s="33"/>
      <c r="E643" s="33"/>
      <c r="H643" s="33"/>
    </row>
    <row r="644">
      <c r="B644" s="33"/>
      <c r="C644" s="33"/>
      <c r="D644" s="33"/>
      <c r="E644" s="33"/>
      <c r="H644" s="33"/>
    </row>
    <row r="645">
      <c r="B645" s="33"/>
      <c r="C645" s="33"/>
      <c r="D645" s="33"/>
      <c r="E645" s="33"/>
      <c r="H645" s="33"/>
    </row>
    <row r="646">
      <c r="B646" s="33"/>
      <c r="C646" s="33"/>
      <c r="D646" s="33"/>
      <c r="E646" s="33"/>
      <c r="H646" s="33"/>
    </row>
    <row r="647">
      <c r="B647" s="33"/>
      <c r="C647" s="33"/>
      <c r="D647" s="33"/>
      <c r="E647" s="33"/>
      <c r="H647" s="33"/>
    </row>
    <row r="648">
      <c r="B648" s="33"/>
      <c r="C648" s="33"/>
      <c r="D648" s="33"/>
      <c r="E648" s="33"/>
      <c r="H648" s="33"/>
    </row>
    <row r="649">
      <c r="B649" s="33"/>
      <c r="C649" s="33"/>
      <c r="D649" s="33"/>
      <c r="E649" s="33"/>
      <c r="H649" s="33"/>
    </row>
    <row r="650">
      <c r="B650" s="33"/>
      <c r="C650" s="33"/>
      <c r="D650" s="33"/>
      <c r="E650" s="33"/>
      <c r="H650" s="33"/>
    </row>
    <row r="651">
      <c r="B651" s="33"/>
      <c r="C651" s="33"/>
      <c r="D651" s="33"/>
      <c r="E651" s="33"/>
      <c r="H651" s="33"/>
    </row>
    <row r="652">
      <c r="B652" s="33"/>
      <c r="C652" s="33"/>
      <c r="D652" s="33"/>
      <c r="E652" s="33"/>
      <c r="H652" s="33"/>
    </row>
    <row r="653">
      <c r="B653" s="33"/>
      <c r="C653" s="33"/>
      <c r="D653" s="33"/>
      <c r="E653" s="33"/>
      <c r="H653" s="33"/>
    </row>
    <row r="654">
      <c r="B654" s="33"/>
      <c r="C654" s="33"/>
      <c r="D654" s="33"/>
      <c r="E654" s="33"/>
      <c r="H654" s="33"/>
    </row>
    <row r="655">
      <c r="B655" s="33"/>
      <c r="C655" s="33"/>
      <c r="D655" s="33"/>
      <c r="E655" s="33"/>
      <c r="H655" s="33"/>
    </row>
    <row r="656">
      <c r="B656" s="33"/>
      <c r="C656" s="33"/>
      <c r="D656" s="33"/>
      <c r="E656" s="33"/>
      <c r="H656" s="33"/>
    </row>
    <row r="657">
      <c r="B657" s="33"/>
      <c r="C657" s="33"/>
      <c r="D657" s="33"/>
      <c r="E657" s="33"/>
      <c r="H657" s="33"/>
    </row>
    <row r="658">
      <c r="B658" s="33"/>
      <c r="C658" s="33"/>
      <c r="D658" s="33"/>
      <c r="E658" s="33"/>
      <c r="H658" s="33"/>
    </row>
    <row r="659">
      <c r="B659" s="33"/>
      <c r="C659" s="33"/>
      <c r="D659" s="33"/>
      <c r="E659" s="33"/>
      <c r="H659" s="33"/>
    </row>
    <row r="660">
      <c r="B660" s="33"/>
      <c r="C660" s="33"/>
      <c r="D660" s="33"/>
      <c r="E660" s="33"/>
      <c r="H660" s="33"/>
    </row>
    <row r="661">
      <c r="B661" s="33"/>
      <c r="C661" s="33"/>
      <c r="D661" s="33"/>
      <c r="E661" s="33"/>
      <c r="H661" s="33"/>
    </row>
    <row r="662">
      <c r="B662" s="33"/>
      <c r="C662" s="33"/>
      <c r="D662" s="33"/>
      <c r="E662" s="33"/>
      <c r="H662" s="33"/>
    </row>
    <row r="663">
      <c r="B663" s="33"/>
      <c r="C663" s="33"/>
      <c r="D663" s="33"/>
      <c r="E663" s="33"/>
      <c r="H663" s="33"/>
    </row>
    <row r="664">
      <c r="B664" s="33"/>
      <c r="C664" s="33"/>
      <c r="D664" s="33"/>
      <c r="E664" s="33"/>
      <c r="H664" s="33"/>
    </row>
    <row r="665">
      <c r="B665" s="33"/>
      <c r="C665" s="33"/>
      <c r="D665" s="33"/>
      <c r="E665" s="33"/>
      <c r="H665" s="33"/>
    </row>
    <row r="666">
      <c r="B666" s="33"/>
      <c r="C666" s="33"/>
      <c r="D666" s="33"/>
      <c r="E666" s="33"/>
      <c r="H666" s="33"/>
    </row>
    <row r="667">
      <c r="B667" s="33"/>
      <c r="C667" s="33"/>
      <c r="D667" s="33"/>
      <c r="E667" s="33"/>
      <c r="H667" s="33"/>
    </row>
    <row r="668">
      <c r="B668" s="33"/>
      <c r="C668" s="33"/>
      <c r="D668" s="33"/>
      <c r="E668" s="33"/>
      <c r="H668" s="33"/>
    </row>
    <row r="669">
      <c r="B669" s="33"/>
      <c r="C669" s="33"/>
      <c r="D669" s="33"/>
      <c r="E669" s="33"/>
      <c r="H669" s="33"/>
    </row>
    <row r="670">
      <c r="B670" s="33"/>
      <c r="C670" s="33"/>
      <c r="D670" s="33"/>
      <c r="E670" s="33"/>
      <c r="H670" s="33"/>
    </row>
    <row r="671">
      <c r="B671" s="33"/>
      <c r="C671" s="33"/>
      <c r="D671" s="33"/>
      <c r="E671" s="33"/>
      <c r="H671" s="33"/>
    </row>
    <row r="672">
      <c r="B672" s="33"/>
      <c r="C672" s="33"/>
      <c r="D672" s="33"/>
      <c r="E672" s="33"/>
      <c r="H672" s="33"/>
    </row>
    <row r="673">
      <c r="B673" s="33"/>
      <c r="C673" s="33"/>
      <c r="D673" s="33"/>
      <c r="E673" s="33"/>
      <c r="H673" s="33"/>
    </row>
    <row r="674">
      <c r="B674" s="33"/>
      <c r="C674" s="33"/>
      <c r="D674" s="33"/>
      <c r="E674" s="33"/>
      <c r="H674" s="33"/>
    </row>
    <row r="675">
      <c r="B675" s="33"/>
      <c r="C675" s="33"/>
      <c r="D675" s="33"/>
      <c r="E675" s="33"/>
      <c r="H675" s="33"/>
    </row>
    <row r="676">
      <c r="B676" s="33"/>
      <c r="C676" s="33"/>
      <c r="D676" s="33"/>
      <c r="E676" s="33"/>
      <c r="H676" s="33"/>
    </row>
    <row r="677">
      <c r="B677" s="33"/>
      <c r="C677" s="33"/>
      <c r="D677" s="33"/>
      <c r="E677" s="33"/>
      <c r="H677" s="33"/>
    </row>
    <row r="678">
      <c r="B678" s="33"/>
      <c r="C678" s="33"/>
      <c r="D678" s="33"/>
      <c r="E678" s="33"/>
      <c r="H678" s="33"/>
    </row>
    <row r="679">
      <c r="B679" s="33"/>
      <c r="C679" s="33"/>
      <c r="D679" s="33"/>
      <c r="E679" s="33"/>
      <c r="H679" s="33"/>
    </row>
    <row r="680">
      <c r="B680" s="33"/>
      <c r="C680" s="33"/>
      <c r="D680" s="33"/>
      <c r="E680" s="33"/>
      <c r="H680" s="33"/>
    </row>
    <row r="681">
      <c r="B681" s="33"/>
      <c r="C681" s="33"/>
      <c r="D681" s="33"/>
      <c r="E681" s="33"/>
      <c r="H681" s="33"/>
    </row>
    <row r="682">
      <c r="B682" s="33"/>
      <c r="C682" s="33"/>
      <c r="D682" s="33"/>
      <c r="E682" s="33"/>
      <c r="H682" s="33"/>
    </row>
    <row r="683">
      <c r="B683" s="33"/>
      <c r="C683" s="33"/>
      <c r="D683" s="33"/>
      <c r="E683" s="33"/>
      <c r="H683" s="33"/>
    </row>
    <row r="684">
      <c r="B684" s="33"/>
      <c r="C684" s="33"/>
      <c r="D684" s="33"/>
      <c r="E684" s="33"/>
      <c r="H684" s="33"/>
    </row>
    <row r="685">
      <c r="B685" s="33"/>
      <c r="C685" s="33"/>
      <c r="D685" s="33"/>
      <c r="E685" s="33"/>
      <c r="H685" s="33"/>
    </row>
    <row r="686">
      <c r="B686" s="33"/>
      <c r="C686" s="33"/>
      <c r="D686" s="33"/>
      <c r="E686" s="33"/>
      <c r="H686" s="33"/>
    </row>
    <row r="687">
      <c r="B687" s="33"/>
      <c r="C687" s="33"/>
      <c r="D687" s="33"/>
      <c r="E687" s="33"/>
      <c r="H687" s="33"/>
    </row>
    <row r="688">
      <c r="B688" s="33"/>
      <c r="C688" s="33"/>
      <c r="D688" s="33"/>
      <c r="E688" s="33"/>
      <c r="H688" s="33"/>
    </row>
    <row r="689">
      <c r="B689" s="33"/>
      <c r="C689" s="33"/>
      <c r="D689" s="33"/>
      <c r="E689" s="33"/>
      <c r="H689" s="33"/>
    </row>
    <row r="690">
      <c r="B690" s="33"/>
      <c r="C690" s="33"/>
      <c r="D690" s="33"/>
      <c r="E690" s="33"/>
      <c r="H690" s="33"/>
    </row>
    <row r="691">
      <c r="B691" s="33"/>
      <c r="C691" s="33"/>
      <c r="D691" s="33"/>
      <c r="E691" s="33"/>
      <c r="H691" s="33"/>
    </row>
    <row r="692">
      <c r="B692" s="33"/>
      <c r="C692" s="33"/>
      <c r="D692" s="33"/>
      <c r="E692" s="33"/>
      <c r="H692" s="33"/>
    </row>
    <row r="693">
      <c r="B693" s="33"/>
      <c r="C693" s="33"/>
      <c r="D693" s="33"/>
      <c r="E693" s="33"/>
      <c r="H693" s="33"/>
    </row>
    <row r="694">
      <c r="B694" s="33"/>
      <c r="C694" s="33"/>
      <c r="D694" s="33"/>
      <c r="E694" s="33"/>
      <c r="H694" s="33"/>
    </row>
    <row r="695">
      <c r="B695" s="33"/>
      <c r="C695" s="33"/>
      <c r="D695" s="33"/>
      <c r="E695" s="33"/>
      <c r="H695" s="33"/>
    </row>
    <row r="696">
      <c r="B696" s="33"/>
      <c r="C696" s="33"/>
      <c r="D696" s="33"/>
      <c r="E696" s="33"/>
      <c r="H696" s="33"/>
    </row>
    <row r="697">
      <c r="B697" s="33"/>
      <c r="C697" s="33"/>
      <c r="D697" s="33"/>
      <c r="E697" s="33"/>
      <c r="H697" s="33"/>
    </row>
    <row r="698">
      <c r="B698" s="33"/>
      <c r="C698" s="33"/>
      <c r="D698" s="33"/>
      <c r="E698" s="33"/>
      <c r="H698" s="33"/>
    </row>
    <row r="699">
      <c r="B699" s="33"/>
      <c r="C699" s="33"/>
      <c r="D699" s="33"/>
      <c r="E699" s="33"/>
      <c r="H699" s="33"/>
    </row>
    <row r="700">
      <c r="B700" s="33"/>
      <c r="C700" s="33"/>
      <c r="D700" s="33"/>
      <c r="E700" s="33"/>
      <c r="H700" s="33"/>
    </row>
    <row r="701">
      <c r="B701" s="33"/>
      <c r="C701" s="33"/>
      <c r="D701" s="33"/>
      <c r="E701" s="33"/>
      <c r="H701" s="33"/>
    </row>
    <row r="702">
      <c r="B702" s="33"/>
      <c r="C702" s="33"/>
      <c r="D702" s="33"/>
      <c r="E702" s="33"/>
      <c r="H702" s="33"/>
    </row>
    <row r="703">
      <c r="B703" s="33"/>
      <c r="C703" s="33"/>
      <c r="D703" s="33"/>
      <c r="E703" s="33"/>
      <c r="H703" s="33"/>
    </row>
    <row r="704">
      <c r="B704" s="33"/>
      <c r="C704" s="33"/>
      <c r="D704" s="33"/>
      <c r="E704" s="33"/>
      <c r="H704" s="33"/>
    </row>
    <row r="705">
      <c r="B705" s="33"/>
      <c r="C705" s="33"/>
      <c r="D705" s="33"/>
      <c r="E705" s="33"/>
      <c r="H705" s="33"/>
    </row>
    <row r="706">
      <c r="B706" s="33"/>
      <c r="C706" s="33"/>
      <c r="D706" s="33"/>
      <c r="E706" s="33"/>
      <c r="H706" s="33"/>
    </row>
    <row r="707">
      <c r="B707" s="33"/>
      <c r="C707" s="33"/>
      <c r="D707" s="33"/>
      <c r="E707" s="33"/>
      <c r="H707" s="33"/>
    </row>
    <row r="708">
      <c r="B708" s="33"/>
      <c r="C708" s="33"/>
      <c r="D708" s="33"/>
      <c r="E708" s="33"/>
      <c r="H708" s="33"/>
    </row>
    <row r="709">
      <c r="B709" s="33"/>
      <c r="C709" s="33"/>
      <c r="D709" s="33"/>
      <c r="E709" s="33"/>
      <c r="H709" s="33"/>
    </row>
    <row r="710">
      <c r="B710" s="33"/>
      <c r="C710" s="33"/>
      <c r="D710" s="33"/>
      <c r="E710" s="33"/>
      <c r="H710" s="33"/>
    </row>
    <row r="711">
      <c r="B711" s="33"/>
      <c r="C711" s="33"/>
      <c r="D711" s="33"/>
      <c r="E711" s="33"/>
      <c r="H711" s="33"/>
    </row>
    <row r="712">
      <c r="B712" s="33"/>
      <c r="C712" s="33"/>
      <c r="D712" s="33"/>
      <c r="E712" s="33"/>
      <c r="H712" s="33"/>
    </row>
    <row r="713">
      <c r="B713" s="33"/>
      <c r="C713" s="33"/>
      <c r="D713" s="33"/>
      <c r="E713" s="33"/>
      <c r="H713" s="33"/>
    </row>
    <row r="714">
      <c r="B714" s="33"/>
      <c r="C714" s="33"/>
      <c r="D714" s="33"/>
      <c r="E714" s="33"/>
      <c r="H714" s="33"/>
    </row>
    <row r="715">
      <c r="B715" s="33"/>
      <c r="C715" s="33"/>
      <c r="D715" s="33"/>
      <c r="E715" s="33"/>
      <c r="H715" s="33"/>
    </row>
    <row r="716">
      <c r="B716" s="33"/>
      <c r="C716" s="33"/>
      <c r="D716" s="33"/>
      <c r="E716" s="33"/>
      <c r="H716" s="33"/>
    </row>
    <row r="717">
      <c r="B717" s="33"/>
      <c r="C717" s="33"/>
      <c r="D717" s="33"/>
      <c r="E717" s="33"/>
      <c r="H717" s="33"/>
    </row>
    <row r="718">
      <c r="B718" s="33"/>
      <c r="C718" s="33"/>
      <c r="D718" s="33"/>
      <c r="E718" s="33"/>
      <c r="H718" s="33"/>
    </row>
    <row r="719">
      <c r="B719" s="33"/>
      <c r="C719" s="33"/>
      <c r="D719" s="33"/>
      <c r="E719" s="33"/>
      <c r="H719" s="33"/>
    </row>
    <row r="720">
      <c r="B720" s="33"/>
      <c r="C720" s="33"/>
      <c r="D720" s="33"/>
      <c r="E720" s="33"/>
      <c r="H720" s="33"/>
    </row>
    <row r="721">
      <c r="B721" s="33"/>
      <c r="C721" s="33"/>
      <c r="D721" s="33"/>
      <c r="E721" s="33"/>
      <c r="H721" s="33"/>
    </row>
    <row r="722">
      <c r="B722" s="33"/>
      <c r="C722" s="33"/>
      <c r="D722" s="33"/>
      <c r="E722" s="33"/>
      <c r="H722" s="33"/>
    </row>
    <row r="723">
      <c r="B723" s="33"/>
      <c r="C723" s="33"/>
      <c r="D723" s="33"/>
      <c r="E723" s="33"/>
      <c r="H723" s="33"/>
    </row>
    <row r="724">
      <c r="B724" s="33"/>
      <c r="C724" s="33"/>
      <c r="D724" s="33"/>
      <c r="E724" s="33"/>
      <c r="H724" s="33"/>
    </row>
    <row r="725">
      <c r="B725" s="33"/>
      <c r="C725" s="33"/>
      <c r="D725" s="33"/>
      <c r="E725" s="33"/>
      <c r="H725" s="33"/>
    </row>
    <row r="726">
      <c r="B726" s="33"/>
      <c r="C726" s="33"/>
      <c r="D726" s="33"/>
      <c r="E726" s="33"/>
      <c r="H726" s="33"/>
    </row>
    <row r="727">
      <c r="B727" s="33"/>
      <c r="C727" s="33"/>
      <c r="D727" s="33"/>
      <c r="E727" s="33"/>
      <c r="H727" s="33"/>
    </row>
    <row r="728">
      <c r="B728" s="33"/>
      <c r="C728" s="33"/>
      <c r="D728" s="33"/>
      <c r="E728" s="33"/>
      <c r="H728" s="33"/>
    </row>
    <row r="729">
      <c r="B729" s="33"/>
      <c r="C729" s="33"/>
      <c r="D729" s="33"/>
      <c r="E729" s="33"/>
      <c r="H729" s="33"/>
    </row>
    <row r="730">
      <c r="B730" s="33"/>
      <c r="C730" s="33"/>
      <c r="D730" s="33"/>
      <c r="E730" s="33"/>
      <c r="H730" s="33"/>
    </row>
    <row r="731">
      <c r="B731" s="33"/>
      <c r="C731" s="33"/>
      <c r="D731" s="33"/>
      <c r="E731" s="33"/>
      <c r="H731" s="33"/>
    </row>
    <row r="732">
      <c r="B732" s="33"/>
      <c r="C732" s="33"/>
      <c r="D732" s="33"/>
      <c r="E732" s="33"/>
      <c r="H732" s="33"/>
    </row>
    <row r="733">
      <c r="B733" s="33"/>
      <c r="C733" s="33"/>
      <c r="D733" s="33"/>
      <c r="E733" s="33"/>
      <c r="H733" s="33"/>
    </row>
    <row r="734">
      <c r="B734" s="33"/>
      <c r="C734" s="33"/>
      <c r="D734" s="33"/>
      <c r="E734" s="33"/>
      <c r="H734" s="33"/>
    </row>
    <row r="735">
      <c r="B735" s="33"/>
      <c r="C735" s="33"/>
      <c r="D735" s="33"/>
      <c r="E735" s="33"/>
      <c r="H735" s="33"/>
    </row>
    <row r="736">
      <c r="B736" s="33"/>
      <c r="C736" s="33"/>
      <c r="D736" s="33"/>
      <c r="E736" s="33"/>
      <c r="H736" s="33"/>
    </row>
    <row r="737">
      <c r="B737" s="33"/>
      <c r="C737" s="33"/>
      <c r="D737" s="33"/>
      <c r="E737" s="33"/>
      <c r="H737" s="33"/>
    </row>
    <row r="738">
      <c r="B738" s="33"/>
      <c r="C738" s="33"/>
      <c r="D738" s="33"/>
      <c r="E738" s="33"/>
      <c r="H738" s="33"/>
    </row>
    <row r="739">
      <c r="B739" s="33"/>
      <c r="C739" s="33"/>
      <c r="D739" s="33"/>
      <c r="E739" s="33"/>
      <c r="H739" s="33"/>
    </row>
    <row r="740">
      <c r="B740" s="33"/>
      <c r="C740" s="33"/>
      <c r="D740" s="33"/>
      <c r="E740" s="33"/>
      <c r="H740" s="33"/>
    </row>
    <row r="741">
      <c r="B741" s="33"/>
      <c r="C741" s="33"/>
      <c r="D741" s="33"/>
      <c r="E741" s="33"/>
      <c r="H741" s="33"/>
    </row>
    <row r="742">
      <c r="B742" s="33"/>
      <c r="C742" s="33"/>
      <c r="D742" s="33"/>
      <c r="E742" s="33"/>
      <c r="H742" s="33"/>
    </row>
    <row r="743">
      <c r="B743" s="33"/>
      <c r="C743" s="33"/>
      <c r="D743" s="33"/>
      <c r="E743" s="33"/>
      <c r="H743" s="33"/>
    </row>
    <row r="744">
      <c r="B744" s="33"/>
      <c r="C744" s="33"/>
      <c r="D744" s="33"/>
      <c r="E744" s="33"/>
      <c r="H744" s="33"/>
    </row>
    <row r="745">
      <c r="B745" s="33"/>
      <c r="C745" s="33"/>
      <c r="D745" s="33"/>
      <c r="E745" s="33"/>
      <c r="H745" s="33"/>
    </row>
    <row r="746">
      <c r="B746" s="33"/>
      <c r="C746" s="33"/>
      <c r="D746" s="33"/>
      <c r="E746" s="33"/>
      <c r="H746" s="33"/>
    </row>
    <row r="747">
      <c r="B747" s="33"/>
      <c r="C747" s="33"/>
      <c r="D747" s="33"/>
      <c r="E747" s="33"/>
      <c r="H747" s="33"/>
    </row>
    <row r="748">
      <c r="B748" s="33"/>
      <c r="C748" s="33"/>
      <c r="D748" s="33"/>
      <c r="E748" s="33"/>
      <c r="H748" s="33"/>
    </row>
    <row r="749">
      <c r="B749" s="33"/>
      <c r="C749" s="33"/>
      <c r="D749" s="33"/>
      <c r="E749" s="33"/>
      <c r="H749" s="33"/>
    </row>
    <row r="750">
      <c r="B750" s="33"/>
      <c r="C750" s="33"/>
      <c r="D750" s="33"/>
      <c r="E750" s="33"/>
      <c r="H750" s="33"/>
    </row>
    <row r="751">
      <c r="B751" s="33"/>
      <c r="C751" s="33"/>
      <c r="D751" s="33"/>
      <c r="E751" s="33"/>
      <c r="H751" s="33"/>
    </row>
    <row r="752">
      <c r="B752" s="33"/>
      <c r="C752" s="33"/>
      <c r="D752" s="33"/>
      <c r="E752" s="33"/>
      <c r="H752" s="33"/>
    </row>
    <row r="753">
      <c r="B753" s="33"/>
      <c r="C753" s="33"/>
      <c r="D753" s="33"/>
      <c r="E753" s="33"/>
      <c r="H753" s="33"/>
    </row>
    <row r="754">
      <c r="B754" s="33"/>
      <c r="C754" s="33"/>
      <c r="D754" s="33"/>
      <c r="E754" s="33"/>
      <c r="H754" s="33"/>
    </row>
    <row r="755">
      <c r="B755" s="33"/>
      <c r="C755" s="33"/>
      <c r="D755" s="33"/>
      <c r="E755" s="33"/>
      <c r="H755" s="33"/>
    </row>
    <row r="756">
      <c r="B756" s="33"/>
      <c r="C756" s="33"/>
      <c r="D756" s="33"/>
      <c r="E756" s="33"/>
      <c r="H756" s="33"/>
    </row>
    <row r="757">
      <c r="B757" s="33"/>
      <c r="C757" s="33"/>
      <c r="D757" s="33"/>
      <c r="E757" s="33"/>
      <c r="H757" s="33"/>
    </row>
    <row r="758">
      <c r="B758" s="33"/>
      <c r="C758" s="33"/>
      <c r="D758" s="33"/>
      <c r="E758" s="33"/>
      <c r="H758" s="33"/>
    </row>
    <row r="759">
      <c r="B759" s="33"/>
      <c r="C759" s="33"/>
      <c r="D759" s="33"/>
      <c r="E759" s="33"/>
      <c r="H759" s="33"/>
    </row>
    <row r="760">
      <c r="B760" s="33"/>
      <c r="C760" s="33"/>
      <c r="D760" s="33"/>
      <c r="E760" s="33"/>
      <c r="H760" s="33"/>
    </row>
    <row r="761">
      <c r="B761" s="33"/>
      <c r="C761" s="33"/>
      <c r="D761" s="33"/>
      <c r="E761" s="33"/>
      <c r="H761" s="33"/>
    </row>
    <row r="762">
      <c r="B762" s="33"/>
      <c r="C762" s="33"/>
      <c r="D762" s="33"/>
      <c r="E762" s="33"/>
      <c r="H762" s="33"/>
    </row>
    <row r="763">
      <c r="B763" s="33"/>
      <c r="C763" s="33"/>
      <c r="D763" s="33"/>
      <c r="E763" s="33"/>
      <c r="H763" s="33"/>
    </row>
    <row r="764">
      <c r="B764" s="33"/>
      <c r="C764" s="33"/>
      <c r="D764" s="33"/>
      <c r="E764" s="33"/>
      <c r="H764" s="33"/>
    </row>
    <row r="765">
      <c r="B765" s="33"/>
      <c r="C765" s="33"/>
      <c r="D765" s="33"/>
      <c r="E765" s="33"/>
      <c r="H765" s="33"/>
    </row>
    <row r="766">
      <c r="B766" s="33"/>
      <c r="C766" s="33"/>
      <c r="D766" s="33"/>
      <c r="E766" s="33"/>
      <c r="H766" s="33"/>
    </row>
    <row r="767">
      <c r="B767" s="33"/>
      <c r="C767" s="33"/>
      <c r="D767" s="33"/>
      <c r="E767" s="33"/>
      <c r="H767" s="33"/>
    </row>
    <row r="768">
      <c r="B768" s="33"/>
      <c r="C768" s="33"/>
      <c r="D768" s="33"/>
      <c r="E768" s="33"/>
      <c r="H768" s="33"/>
    </row>
    <row r="769">
      <c r="B769" s="33"/>
      <c r="C769" s="33"/>
      <c r="D769" s="33"/>
      <c r="E769" s="33"/>
      <c r="H769" s="33"/>
    </row>
    <row r="770">
      <c r="B770" s="33"/>
      <c r="C770" s="33"/>
      <c r="D770" s="33"/>
      <c r="E770" s="33"/>
      <c r="H770" s="33"/>
    </row>
    <row r="771">
      <c r="B771" s="33"/>
      <c r="C771" s="33"/>
      <c r="D771" s="33"/>
      <c r="E771" s="33"/>
      <c r="H771" s="33"/>
    </row>
    <row r="772">
      <c r="B772" s="33"/>
      <c r="C772" s="33"/>
      <c r="D772" s="33"/>
      <c r="E772" s="33"/>
      <c r="H772" s="33"/>
    </row>
    <row r="773">
      <c r="B773" s="33"/>
      <c r="C773" s="33"/>
      <c r="D773" s="33"/>
      <c r="E773" s="33"/>
      <c r="H773" s="33"/>
    </row>
    <row r="774">
      <c r="B774" s="33"/>
      <c r="C774" s="33"/>
      <c r="D774" s="33"/>
      <c r="E774" s="33"/>
      <c r="H774" s="33"/>
    </row>
    <row r="775">
      <c r="B775" s="33"/>
      <c r="C775" s="33"/>
      <c r="D775" s="33"/>
      <c r="E775" s="33"/>
      <c r="H775" s="33"/>
    </row>
    <row r="776">
      <c r="B776" s="33"/>
      <c r="C776" s="33"/>
      <c r="D776" s="33"/>
      <c r="E776" s="33"/>
      <c r="H776" s="33"/>
    </row>
    <row r="777">
      <c r="B777" s="33"/>
      <c r="C777" s="33"/>
      <c r="D777" s="33"/>
      <c r="E777" s="33"/>
      <c r="H777" s="33"/>
    </row>
    <row r="778">
      <c r="B778" s="33"/>
      <c r="C778" s="33"/>
      <c r="D778" s="33"/>
      <c r="E778" s="33"/>
      <c r="H778" s="33"/>
    </row>
    <row r="779">
      <c r="B779" s="33"/>
      <c r="C779" s="33"/>
      <c r="D779" s="33"/>
      <c r="E779" s="33"/>
      <c r="H779" s="33"/>
    </row>
    <row r="780">
      <c r="B780" s="33"/>
      <c r="C780" s="33"/>
      <c r="D780" s="33"/>
      <c r="E780" s="33"/>
      <c r="H780" s="33"/>
    </row>
    <row r="781">
      <c r="B781" s="33"/>
      <c r="C781" s="33"/>
      <c r="D781" s="33"/>
      <c r="E781" s="33"/>
      <c r="H781" s="33"/>
    </row>
    <row r="782">
      <c r="B782" s="33"/>
      <c r="C782" s="33"/>
      <c r="D782" s="33"/>
      <c r="E782" s="33"/>
      <c r="H782" s="33"/>
    </row>
    <row r="783">
      <c r="B783" s="33"/>
      <c r="C783" s="33"/>
      <c r="D783" s="33"/>
      <c r="E783" s="33"/>
      <c r="H783" s="33"/>
    </row>
    <row r="784">
      <c r="B784" s="33"/>
      <c r="C784" s="33"/>
      <c r="D784" s="33"/>
      <c r="E784" s="33"/>
      <c r="H784" s="33"/>
    </row>
    <row r="785">
      <c r="B785" s="33"/>
      <c r="C785" s="33"/>
      <c r="D785" s="33"/>
      <c r="E785" s="33"/>
      <c r="H785" s="33"/>
    </row>
    <row r="786">
      <c r="B786" s="33"/>
      <c r="C786" s="33"/>
      <c r="D786" s="33"/>
      <c r="E786" s="33"/>
      <c r="H786" s="33"/>
    </row>
    <row r="787">
      <c r="B787" s="33"/>
      <c r="C787" s="33"/>
      <c r="D787" s="33"/>
      <c r="E787" s="33"/>
      <c r="H787" s="33"/>
    </row>
    <row r="788">
      <c r="B788" s="33"/>
      <c r="C788" s="33"/>
      <c r="D788" s="33"/>
      <c r="E788" s="33"/>
      <c r="H788" s="33"/>
    </row>
    <row r="789">
      <c r="B789" s="33"/>
      <c r="C789" s="33"/>
      <c r="D789" s="33"/>
      <c r="E789" s="33"/>
      <c r="H789" s="33"/>
    </row>
    <row r="790">
      <c r="B790" s="33"/>
      <c r="C790" s="33"/>
      <c r="D790" s="33"/>
      <c r="E790" s="33"/>
      <c r="H790" s="33"/>
    </row>
    <row r="791">
      <c r="B791" s="33"/>
      <c r="C791" s="33"/>
      <c r="D791" s="33"/>
      <c r="E791" s="33"/>
      <c r="H791" s="33"/>
    </row>
    <row r="792">
      <c r="B792" s="33"/>
      <c r="C792" s="33"/>
      <c r="D792" s="33"/>
      <c r="E792" s="33"/>
      <c r="H792" s="33"/>
    </row>
    <row r="793">
      <c r="B793" s="33"/>
      <c r="C793" s="33"/>
      <c r="D793" s="33"/>
      <c r="E793" s="33"/>
      <c r="H793" s="33"/>
    </row>
    <row r="794">
      <c r="B794" s="33"/>
      <c r="C794" s="33"/>
      <c r="D794" s="33"/>
      <c r="E794" s="33"/>
      <c r="H794" s="33"/>
    </row>
    <row r="795">
      <c r="B795" s="33"/>
      <c r="C795" s="33"/>
      <c r="D795" s="33"/>
      <c r="E795" s="33"/>
      <c r="H795" s="33"/>
    </row>
    <row r="796">
      <c r="B796" s="33"/>
      <c r="C796" s="33"/>
      <c r="D796" s="33"/>
      <c r="E796" s="33"/>
      <c r="H796" s="33"/>
    </row>
    <row r="797">
      <c r="B797" s="33"/>
      <c r="C797" s="33"/>
      <c r="D797" s="33"/>
      <c r="E797" s="33"/>
      <c r="H797" s="33"/>
    </row>
    <row r="798">
      <c r="B798" s="33"/>
      <c r="C798" s="33"/>
      <c r="D798" s="33"/>
      <c r="E798" s="33"/>
      <c r="H798" s="33"/>
    </row>
    <row r="799">
      <c r="B799" s="33"/>
      <c r="C799" s="33"/>
      <c r="D799" s="33"/>
      <c r="E799" s="33"/>
      <c r="H799" s="33"/>
    </row>
    <row r="800">
      <c r="B800" s="33"/>
      <c r="C800" s="33"/>
      <c r="D800" s="33"/>
      <c r="E800" s="33"/>
      <c r="H800" s="33"/>
    </row>
    <row r="801">
      <c r="B801" s="33"/>
      <c r="C801" s="33"/>
      <c r="D801" s="33"/>
      <c r="E801" s="33"/>
      <c r="H801" s="33"/>
    </row>
    <row r="802">
      <c r="B802" s="33"/>
      <c r="C802" s="33"/>
      <c r="D802" s="33"/>
      <c r="E802" s="33"/>
      <c r="H802" s="33"/>
    </row>
    <row r="803">
      <c r="B803" s="33"/>
      <c r="C803" s="33"/>
      <c r="D803" s="33"/>
      <c r="E803" s="33"/>
      <c r="H803" s="33"/>
    </row>
    <row r="804">
      <c r="B804" s="33"/>
      <c r="C804" s="33"/>
      <c r="D804" s="33"/>
      <c r="E804" s="33"/>
      <c r="H804" s="33"/>
    </row>
    <row r="805">
      <c r="B805" s="33"/>
      <c r="C805" s="33"/>
      <c r="D805" s="33"/>
      <c r="E805" s="33"/>
      <c r="H805" s="33"/>
    </row>
    <row r="806">
      <c r="B806" s="33"/>
      <c r="C806" s="33"/>
      <c r="D806" s="33"/>
      <c r="E806" s="33"/>
      <c r="H806" s="33"/>
    </row>
    <row r="807">
      <c r="B807" s="33"/>
      <c r="C807" s="33"/>
      <c r="D807" s="33"/>
      <c r="E807" s="33"/>
      <c r="H807" s="33"/>
    </row>
    <row r="808">
      <c r="B808" s="33"/>
      <c r="C808" s="33"/>
      <c r="D808" s="33"/>
      <c r="E808" s="33"/>
      <c r="H808" s="33"/>
    </row>
    <row r="809">
      <c r="B809" s="33"/>
      <c r="C809" s="33"/>
      <c r="D809" s="33"/>
      <c r="E809" s="33"/>
      <c r="H809" s="33"/>
    </row>
    <row r="810">
      <c r="B810" s="33"/>
      <c r="C810" s="33"/>
      <c r="D810" s="33"/>
      <c r="E810" s="33"/>
      <c r="H810" s="33"/>
    </row>
    <row r="811">
      <c r="B811" s="33"/>
      <c r="C811" s="33"/>
      <c r="D811" s="33"/>
      <c r="E811" s="33"/>
      <c r="H811" s="33"/>
    </row>
    <row r="812">
      <c r="B812" s="33"/>
      <c r="C812" s="33"/>
      <c r="D812" s="33"/>
      <c r="E812" s="33"/>
      <c r="H812" s="33"/>
    </row>
    <row r="813">
      <c r="B813" s="33"/>
      <c r="C813" s="33"/>
      <c r="D813" s="33"/>
      <c r="E813" s="33"/>
      <c r="H813" s="33"/>
    </row>
    <row r="814">
      <c r="B814" s="33"/>
      <c r="C814" s="33"/>
      <c r="D814" s="33"/>
      <c r="E814" s="33"/>
      <c r="H814" s="33"/>
    </row>
    <row r="815">
      <c r="B815" s="33"/>
      <c r="C815" s="33"/>
      <c r="D815" s="33"/>
      <c r="E815" s="33"/>
      <c r="H815" s="33"/>
    </row>
    <row r="816">
      <c r="B816" s="33"/>
      <c r="C816" s="33"/>
      <c r="D816" s="33"/>
      <c r="E816" s="33"/>
      <c r="H816" s="33"/>
    </row>
    <row r="817">
      <c r="B817" s="33"/>
      <c r="C817" s="33"/>
      <c r="D817" s="33"/>
      <c r="E817" s="33"/>
      <c r="H817" s="33"/>
    </row>
    <row r="818">
      <c r="B818" s="33"/>
      <c r="C818" s="33"/>
      <c r="D818" s="33"/>
      <c r="E818" s="33"/>
      <c r="H818" s="33"/>
    </row>
    <row r="819">
      <c r="B819" s="33"/>
      <c r="C819" s="33"/>
      <c r="D819" s="33"/>
      <c r="E819" s="33"/>
      <c r="H819" s="33"/>
    </row>
    <row r="820">
      <c r="B820" s="33"/>
      <c r="C820" s="33"/>
      <c r="D820" s="33"/>
      <c r="E820" s="33"/>
      <c r="H820" s="33"/>
    </row>
    <row r="821">
      <c r="B821" s="33"/>
      <c r="C821" s="33"/>
      <c r="D821" s="33"/>
      <c r="E821" s="33"/>
      <c r="H821" s="33"/>
    </row>
    <row r="822">
      <c r="B822" s="33"/>
      <c r="C822" s="33"/>
      <c r="D822" s="33"/>
      <c r="E822" s="33"/>
      <c r="H822" s="33"/>
    </row>
    <row r="823">
      <c r="B823" s="33"/>
      <c r="C823" s="33"/>
      <c r="D823" s="33"/>
      <c r="E823" s="33"/>
      <c r="H823" s="33"/>
    </row>
    <row r="824">
      <c r="B824" s="33"/>
      <c r="C824" s="33"/>
      <c r="D824" s="33"/>
      <c r="E824" s="33"/>
      <c r="H824" s="33"/>
    </row>
    <row r="825">
      <c r="B825" s="33"/>
      <c r="C825" s="33"/>
      <c r="D825" s="33"/>
      <c r="E825" s="33"/>
      <c r="H825" s="33"/>
    </row>
    <row r="826">
      <c r="B826" s="33"/>
      <c r="C826" s="33"/>
      <c r="D826" s="33"/>
      <c r="E826" s="33"/>
      <c r="H826" s="33"/>
    </row>
    <row r="827">
      <c r="B827" s="33"/>
      <c r="C827" s="33"/>
      <c r="D827" s="33"/>
      <c r="E827" s="33"/>
      <c r="H827" s="33"/>
    </row>
    <row r="828">
      <c r="B828" s="33"/>
      <c r="C828" s="33"/>
      <c r="D828" s="33"/>
      <c r="E828" s="33"/>
      <c r="H828" s="33"/>
    </row>
    <row r="829">
      <c r="B829" s="33"/>
      <c r="C829" s="33"/>
      <c r="D829" s="33"/>
      <c r="E829" s="33"/>
      <c r="H829" s="33"/>
    </row>
    <row r="830">
      <c r="B830" s="33"/>
      <c r="C830" s="33"/>
      <c r="D830" s="33"/>
      <c r="E830" s="33"/>
      <c r="H830" s="33"/>
    </row>
    <row r="831">
      <c r="B831" s="33"/>
      <c r="C831" s="33"/>
      <c r="D831" s="33"/>
      <c r="E831" s="33"/>
      <c r="H831" s="33"/>
    </row>
    <row r="832">
      <c r="B832" s="33"/>
      <c r="C832" s="33"/>
      <c r="D832" s="33"/>
      <c r="E832" s="33"/>
      <c r="H832" s="33"/>
    </row>
    <row r="833">
      <c r="B833" s="33"/>
      <c r="C833" s="33"/>
      <c r="D833" s="33"/>
      <c r="E833" s="33"/>
      <c r="H833" s="33"/>
    </row>
    <row r="834">
      <c r="B834" s="33"/>
      <c r="C834" s="33"/>
      <c r="D834" s="33"/>
      <c r="E834" s="33"/>
      <c r="H834" s="33"/>
    </row>
    <row r="835">
      <c r="B835" s="33"/>
      <c r="C835" s="33"/>
      <c r="D835" s="33"/>
      <c r="E835" s="33"/>
      <c r="H835" s="33"/>
    </row>
    <row r="836">
      <c r="B836" s="33"/>
      <c r="C836" s="33"/>
      <c r="D836" s="33"/>
      <c r="E836" s="33"/>
      <c r="H836" s="33"/>
    </row>
    <row r="837">
      <c r="B837" s="33"/>
      <c r="C837" s="33"/>
      <c r="D837" s="33"/>
      <c r="E837" s="33"/>
      <c r="H837" s="33"/>
    </row>
    <row r="838">
      <c r="B838" s="33"/>
      <c r="C838" s="33"/>
      <c r="D838" s="33"/>
      <c r="E838" s="33"/>
      <c r="H838" s="33"/>
    </row>
    <row r="839">
      <c r="B839" s="33"/>
      <c r="C839" s="33"/>
      <c r="D839" s="33"/>
      <c r="E839" s="33"/>
      <c r="H839" s="33"/>
    </row>
    <row r="840">
      <c r="B840" s="33"/>
      <c r="C840" s="33"/>
      <c r="D840" s="33"/>
      <c r="E840" s="33"/>
      <c r="H840" s="33"/>
    </row>
    <row r="841">
      <c r="B841" s="33"/>
      <c r="C841" s="33"/>
      <c r="D841" s="33"/>
      <c r="E841" s="33"/>
      <c r="H841" s="33"/>
    </row>
    <row r="842">
      <c r="B842" s="33"/>
      <c r="C842" s="33"/>
      <c r="D842" s="33"/>
      <c r="E842" s="33"/>
      <c r="H842" s="33"/>
    </row>
    <row r="843">
      <c r="B843" s="33"/>
      <c r="C843" s="33"/>
      <c r="D843" s="33"/>
      <c r="E843" s="33"/>
      <c r="H843" s="33"/>
    </row>
    <row r="844">
      <c r="B844" s="33"/>
      <c r="C844" s="33"/>
      <c r="D844" s="33"/>
      <c r="E844" s="33"/>
      <c r="H844" s="33"/>
    </row>
    <row r="845">
      <c r="B845" s="33"/>
      <c r="C845" s="33"/>
      <c r="D845" s="33"/>
      <c r="E845" s="33"/>
      <c r="H845" s="33"/>
    </row>
    <row r="846">
      <c r="B846" s="33"/>
      <c r="C846" s="33"/>
      <c r="D846" s="33"/>
      <c r="E846" s="33"/>
      <c r="H846" s="33"/>
    </row>
    <row r="847">
      <c r="B847" s="33"/>
      <c r="C847" s="33"/>
      <c r="D847" s="33"/>
      <c r="E847" s="33"/>
      <c r="H847" s="33"/>
    </row>
    <row r="848">
      <c r="B848" s="33"/>
      <c r="C848" s="33"/>
      <c r="D848" s="33"/>
      <c r="E848" s="33"/>
      <c r="H848" s="33"/>
    </row>
    <row r="849">
      <c r="B849" s="33"/>
      <c r="C849" s="33"/>
      <c r="D849" s="33"/>
      <c r="E849" s="33"/>
      <c r="H849" s="33"/>
    </row>
    <row r="850">
      <c r="B850" s="33"/>
      <c r="C850" s="33"/>
      <c r="D850" s="33"/>
      <c r="E850" s="33"/>
      <c r="H850" s="33"/>
    </row>
    <row r="851">
      <c r="B851" s="33"/>
      <c r="C851" s="33"/>
      <c r="D851" s="33"/>
      <c r="E851" s="33"/>
      <c r="H851" s="33"/>
    </row>
    <row r="852">
      <c r="B852" s="33"/>
      <c r="C852" s="33"/>
      <c r="D852" s="33"/>
      <c r="E852" s="33"/>
      <c r="H852" s="33"/>
    </row>
    <row r="853">
      <c r="B853" s="33"/>
      <c r="C853" s="33"/>
      <c r="D853" s="33"/>
      <c r="E853" s="33"/>
      <c r="H853" s="33"/>
    </row>
    <row r="854">
      <c r="B854" s="33"/>
      <c r="C854" s="33"/>
      <c r="D854" s="33"/>
      <c r="E854" s="33"/>
      <c r="H854" s="33"/>
    </row>
    <row r="855">
      <c r="B855" s="33"/>
      <c r="C855" s="33"/>
      <c r="D855" s="33"/>
      <c r="E855" s="33"/>
      <c r="H855" s="33"/>
    </row>
    <row r="856">
      <c r="B856" s="33"/>
      <c r="C856" s="33"/>
      <c r="D856" s="33"/>
      <c r="E856" s="33"/>
      <c r="H856" s="33"/>
    </row>
    <row r="857">
      <c r="B857" s="33"/>
      <c r="C857" s="33"/>
      <c r="D857" s="33"/>
      <c r="E857" s="33"/>
      <c r="H857" s="33"/>
    </row>
    <row r="858">
      <c r="B858" s="33"/>
      <c r="C858" s="33"/>
      <c r="D858" s="33"/>
      <c r="E858" s="33"/>
      <c r="H858" s="33"/>
    </row>
    <row r="859">
      <c r="B859" s="33"/>
      <c r="C859" s="33"/>
      <c r="D859" s="33"/>
      <c r="E859" s="33"/>
      <c r="H859" s="33"/>
    </row>
    <row r="860">
      <c r="B860" s="33"/>
      <c r="C860" s="33"/>
      <c r="D860" s="33"/>
      <c r="E860" s="33"/>
      <c r="H860" s="33"/>
    </row>
    <row r="861">
      <c r="B861" s="33"/>
      <c r="C861" s="33"/>
      <c r="D861" s="33"/>
      <c r="E861" s="33"/>
      <c r="H861" s="33"/>
    </row>
    <row r="862">
      <c r="B862" s="33"/>
      <c r="C862" s="33"/>
      <c r="D862" s="33"/>
      <c r="E862" s="33"/>
      <c r="H862" s="33"/>
    </row>
    <row r="863">
      <c r="B863" s="33"/>
      <c r="C863" s="33"/>
      <c r="D863" s="33"/>
      <c r="E863" s="33"/>
      <c r="H863" s="33"/>
    </row>
    <row r="864">
      <c r="B864" s="33"/>
      <c r="C864" s="33"/>
      <c r="D864" s="33"/>
      <c r="E864" s="33"/>
      <c r="H864" s="33"/>
    </row>
    <row r="865">
      <c r="B865" s="33"/>
      <c r="C865" s="33"/>
      <c r="D865" s="33"/>
      <c r="E865" s="33"/>
      <c r="H865" s="33"/>
    </row>
    <row r="866">
      <c r="B866" s="33"/>
      <c r="C866" s="33"/>
      <c r="D866" s="33"/>
      <c r="E866" s="33"/>
      <c r="H866" s="33"/>
    </row>
    <row r="867">
      <c r="B867" s="33"/>
      <c r="C867" s="33"/>
      <c r="D867" s="33"/>
      <c r="E867" s="33"/>
      <c r="H867" s="33"/>
    </row>
    <row r="868">
      <c r="B868" s="33"/>
      <c r="C868" s="33"/>
      <c r="D868" s="33"/>
      <c r="E868" s="33"/>
      <c r="H868" s="33"/>
    </row>
    <row r="869">
      <c r="B869" s="33"/>
      <c r="C869" s="33"/>
      <c r="D869" s="33"/>
      <c r="E869" s="33"/>
      <c r="H869" s="33"/>
    </row>
    <row r="870">
      <c r="B870" s="33"/>
      <c r="C870" s="33"/>
      <c r="D870" s="33"/>
      <c r="E870" s="33"/>
      <c r="H870" s="33"/>
    </row>
    <row r="871">
      <c r="B871" s="33"/>
      <c r="C871" s="33"/>
      <c r="D871" s="33"/>
      <c r="E871" s="33"/>
      <c r="H871" s="33"/>
    </row>
    <row r="872">
      <c r="B872" s="33"/>
      <c r="C872" s="33"/>
      <c r="D872" s="33"/>
      <c r="E872" s="33"/>
      <c r="H872" s="33"/>
    </row>
    <row r="873">
      <c r="B873" s="33"/>
      <c r="C873" s="33"/>
      <c r="D873" s="33"/>
      <c r="E873" s="33"/>
      <c r="H873" s="33"/>
    </row>
    <row r="874">
      <c r="B874" s="33"/>
      <c r="C874" s="33"/>
      <c r="D874" s="33"/>
      <c r="E874" s="33"/>
      <c r="H874" s="33"/>
    </row>
    <row r="875">
      <c r="B875" s="33"/>
      <c r="C875" s="33"/>
      <c r="D875" s="33"/>
      <c r="E875" s="33"/>
      <c r="H875" s="33"/>
    </row>
    <row r="876">
      <c r="B876" s="33"/>
      <c r="C876" s="33"/>
      <c r="D876" s="33"/>
      <c r="E876" s="33"/>
      <c r="H876" s="33"/>
    </row>
    <row r="877">
      <c r="B877" s="33"/>
      <c r="C877" s="33"/>
      <c r="D877" s="33"/>
      <c r="E877" s="33"/>
      <c r="H877" s="33"/>
    </row>
    <row r="878">
      <c r="B878" s="33"/>
      <c r="C878" s="33"/>
      <c r="D878" s="33"/>
      <c r="E878" s="33"/>
      <c r="H878" s="33"/>
    </row>
    <row r="879">
      <c r="B879" s="33"/>
      <c r="C879" s="33"/>
      <c r="D879" s="33"/>
      <c r="E879" s="33"/>
      <c r="H879" s="33"/>
    </row>
    <row r="880">
      <c r="B880" s="33"/>
      <c r="C880" s="33"/>
      <c r="D880" s="33"/>
      <c r="E880" s="33"/>
      <c r="H880" s="33"/>
    </row>
    <row r="881">
      <c r="B881" s="33"/>
      <c r="C881" s="33"/>
      <c r="D881" s="33"/>
      <c r="E881" s="33"/>
      <c r="H881" s="33"/>
    </row>
    <row r="882">
      <c r="B882" s="33"/>
      <c r="C882" s="33"/>
      <c r="D882" s="33"/>
      <c r="E882" s="33"/>
      <c r="H882" s="33"/>
    </row>
    <row r="883">
      <c r="B883" s="33"/>
      <c r="C883" s="33"/>
      <c r="D883" s="33"/>
      <c r="E883" s="33"/>
      <c r="H883" s="33"/>
    </row>
    <row r="884">
      <c r="B884" s="33"/>
      <c r="C884" s="33"/>
      <c r="D884" s="33"/>
      <c r="E884" s="33"/>
      <c r="H884" s="33"/>
    </row>
    <row r="885">
      <c r="B885" s="33"/>
      <c r="C885" s="33"/>
      <c r="D885" s="33"/>
      <c r="E885" s="33"/>
      <c r="H885" s="33"/>
    </row>
    <row r="886">
      <c r="B886" s="33"/>
      <c r="C886" s="33"/>
      <c r="D886" s="33"/>
      <c r="E886" s="33"/>
      <c r="H886" s="33"/>
    </row>
    <row r="887">
      <c r="B887" s="33"/>
      <c r="C887" s="33"/>
      <c r="D887" s="33"/>
      <c r="E887" s="33"/>
      <c r="H887" s="33"/>
    </row>
    <row r="888">
      <c r="B888" s="33"/>
      <c r="C888" s="33"/>
      <c r="D888" s="33"/>
      <c r="E888" s="33"/>
      <c r="H888" s="33"/>
    </row>
    <row r="889">
      <c r="B889" s="33"/>
      <c r="C889" s="33"/>
      <c r="D889" s="33"/>
      <c r="E889" s="33"/>
      <c r="H889" s="33"/>
    </row>
    <row r="890">
      <c r="B890" s="33"/>
      <c r="C890" s="33"/>
      <c r="D890" s="33"/>
      <c r="E890" s="33"/>
      <c r="H890" s="33"/>
    </row>
    <row r="891">
      <c r="B891" s="33"/>
      <c r="C891" s="33"/>
      <c r="D891" s="33"/>
      <c r="E891" s="33"/>
      <c r="H891" s="33"/>
    </row>
    <row r="892">
      <c r="B892" s="33"/>
      <c r="C892" s="33"/>
      <c r="D892" s="33"/>
      <c r="E892" s="33"/>
      <c r="H892" s="33"/>
    </row>
    <row r="893">
      <c r="B893" s="33"/>
      <c r="C893" s="33"/>
      <c r="D893" s="33"/>
      <c r="E893" s="33"/>
      <c r="H893" s="33"/>
    </row>
    <row r="894">
      <c r="B894" s="33"/>
      <c r="C894" s="33"/>
      <c r="D894" s="33"/>
      <c r="E894" s="33"/>
      <c r="H894" s="33"/>
    </row>
    <row r="895">
      <c r="B895" s="33"/>
      <c r="C895" s="33"/>
      <c r="D895" s="33"/>
      <c r="E895" s="33"/>
      <c r="H895" s="33"/>
    </row>
    <row r="896">
      <c r="B896" s="33"/>
      <c r="C896" s="33"/>
      <c r="D896" s="33"/>
      <c r="E896" s="33"/>
      <c r="H896" s="33"/>
    </row>
    <row r="897">
      <c r="B897" s="33"/>
      <c r="C897" s="33"/>
      <c r="D897" s="33"/>
      <c r="E897" s="33"/>
      <c r="H897" s="33"/>
    </row>
    <row r="898">
      <c r="B898" s="33"/>
      <c r="C898" s="33"/>
      <c r="D898" s="33"/>
      <c r="E898" s="33"/>
      <c r="H898" s="33"/>
    </row>
    <row r="899">
      <c r="B899" s="33"/>
      <c r="C899" s="33"/>
      <c r="D899" s="33"/>
      <c r="E899" s="33"/>
      <c r="H899" s="33"/>
    </row>
    <row r="900">
      <c r="B900" s="33"/>
      <c r="C900" s="33"/>
      <c r="D900" s="33"/>
      <c r="E900" s="33"/>
      <c r="H900" s="33"/>
    </row>
    <row r="901">
      <c r="B901" s="33"/>
      <c r="C901" s="33"/>
      <c r="D901" s="33"/>
      <c r="E901" s="33"/>
      <c r="H901" s="33"/>
    </row>
    <row r="902">
      <c r="B902" s="33"/>
      <c r="C902" s="33"/>
      <c r="D902" s="33"/>
      <c r="E902" s="33"/>
      <c r="H902" s="33"/>
    </row>
    <row r="903">
      <c r="B903" s="33"/>
      <c r="C903" s="33"/>
      <c r="D903" s="33"/>
      <c r="E903" s="33"/>
      <c r="H903" s="33"/>
    </row>
    <row r="904">
      <c r="B904" s="33"/>
      <c r="C904" s="33"/>
      <c r="D904" s="33"/>
      <c r="E904" s="33"/>
      <c r="H904" s="33"/>
    </row>
    <row r="905">
      <c r="B905" s="33"/>
      <c r="C905" s="33"/>
      <c r="D905" s="33"/>
      <c r="E905" s="33"/>
      <c r="H905" s="33"/>
    </row>
    <row r="906">
      <c r="B906" s="33"/>
      <c r="C906" s="33"/>
      <c r="D906" s="33"/>
      <c r="E906" s="33"/>
      <c r="H906" s="33"/>
    </row>
    <row r="907">
      <c r="B907" s="33"/>
      <c r="C907" s="33"/>
      <c r="D907" s="33"/>
      <c r="E907" s="33"/>
      <c r="H907" s="33"/>
    </row>
    <row r="908">
      <c r="B908" s="33"/>
      <c r="C908" s="33"/>
      <c r="D908" s="33"/>
      <c r="E908" s="33"/>
      <c r="H908" s="33"/>
    </row>
    <row r="909">
      <c r="B909" s="33"/>
      <c r="C909" s="33"/>
      <c r="D909" s="33"/>
      <c r="E909" s="33"/>
      <c r="H909" s="33"/>
    </row>
    <row r="910">
      <c r="B910" s="33"/>
      <c r="C910" s="33"/>
      <c r="D910" s="33"/>
      <c r="E910" s="33"/>
      <c r="H910" s="33"/>
    </row>
    <row r="911">
      <c r="B911" s="33"/>
      <c r="C911" s="33"/>
      <c r="D911" s="33"/>
      <c r="E911" s="33"/>
      <c r="H911" s="33"/>
    </row>
    <row r="912">
      <c r="B912" s="33"/>
      <c r="C912" s="33"/>
      <c r="D912" s="33"/>
      <c r="E912" s="33"/>
      <c r="H912" s="33"/>
    </row>
    <row r="913">
      <c r="B913" s="33"/>
      <c r="C913" s="33"/>
      <c r="D913" s="33"/>
      <c r="E913" s="33"/>
      <c r="H913" s="33"/>
    </row>
    <row r="914">
      <c r="B914" s="33"/>
      <c r="C914" s="33"/>
      <c r="D914" s="33"/>
      <c r="E914" s="33"/>
      <c r="H914" s="33"/>
    </row>
    <row r="915">
      <c r="B915" s="33"/>
      <c r="C915" s="33"/>
      <c r="D915" s="33"/>
      <c r="E915" s="33"/>
      <c r="H915" s="33"/>
    </row>
    <row r="916">
      <c r="B916" s="33"/>
      <c r="C916" s="33"/>
      <c r="D916" s="33"/>
      <c r="E916" s="33"/>
      <c r="H916" s="33"/>
    </row>
    <row r="917">
      <c r="B917" s="33"/>
      <c r="C917" s="33"/>
      <c r="D917" s="33"/>
      <c r="E917" s="33"/>
      <c r="H917" s="33"/>
    </row>
    <row r="918">
      <c r="B918" s="33"/>
      <c r="C918" s="33"/>
      <c r="D918" s="33"/>
      <c r="E918" s="33"/>
      <c r="H918" s="33"/>
    </row>
    <row r="919">
      <c r="B919" s="33"/>
      <c r="C919" s="33"/>
      <c r="D919" s="33"/>
      <c r="E919" s="33"/>
      <c r="H919" s="33"/>
    </row>
    <row r="920">
      <c r="B920" s="33"/>
      <c r="C920" s="33"/>
      <c r="D920" s="33"/>
      <c r="E920" s="33"/>
      <c r="H920" s="33"/>
    </row>
    <row r="921">
      <c r="B921" s="33"/>
      <c r="C921" s="33"/>
      <c r="D921" s="33"/>
      <c r="E921" s="33"/>
      <c r="H921" s="33"/>
    </row>
    <row r="922">
      <c r="B922" s="33"/>
      <c r="C922" s="33"/>
      <c r="D922" s="33"/>
      <c r="E922" s="33"/>
      <c r="H922" s="33"/>
    </row>
    <row r="923">
      <c r="B923" s="33"/>
      <c r="C923" s="33"/>
      <c r="D923" s="33"/>
      <c r="E923" s="33"/>
      <c r="H923" s="33"/>
    </row>
    <row r="924">
      <c r="B924" s="33"/>
      <c r="C924" s="33"/>
      <c r="D924" s="33"/>
      <c r="E924" s="33"/>
      <c r="H924" s="33"/>
    </row>
    <row r="925">
      <c r="B925" s="33"/>
      <c r="C925" s="33"/>
      <c r="D925" s="33"/>
      <c r="E925" s="33"/>
      <c r="H925" s="33"/>
    </row>
    <row r="926">
      <c r="B926" s="33"/>
      <c r="C926" s="33"/>
      <c r="D926" s="33"/>
      <c r="E926" s="33"/>
      <c r="H926" s="33"/>
    </row>
    <row r="927">
      <c r="B927" s="33"/>
      <c r="C927" s="33"/>
      <c r="D927" s="33"/>
      <c r="E927" s="33"/>
      <c r="H927" s="33"/>
    </row>
    <row r="928">
      <c r="B928" s="33"/>
      <c r="C928" s="33"/>
      <c r="D928" s="33"/>
      <c r="E928" s="33"/>
      <c r="H928" s="33"/>
    </row>
    <row r="929">
      <c r="B929" s="33"/>
      <c r="C929" s="33"/>
      <c r="D929" s="33"/>
      <c r="E929" s="33"/>
      <c r="H929" s="33"/>
    </row>
    <row r="930">
      <c r="B930" s="33"/>
      <c r="C930" s="33"/>
      <c r="D930" s="33"/>
      <c r="E930" s="33"/>
      <c r="H930" s="33"/>
    </row>
    <row r="931">
      <c r="B931" s="33"/>
      <c r="C931" s="33"/>
      <c r="D931" s="33"/>
      <c r="E931" s="33"/>
      <c r="H931" s="33"/>
    </row>
    <row r="932">
      <c r="B932" s="33"/>
      <c r="C932" s="33"/>
      <c r="D932" s="33"/>
      <c r="E932" s="33"/>
      <c r="H932" s="33"/>
    </row>
    <row r="933">
      <c r="B933" s="33"/>
      <c r="C933" s="33"/>
      <c r="D933" s="33"/>
      <c r="E933" s="33"/>
      <c r="H933" s="33"/>
    </row>
    <row r="934">
      <c r="B934" s="33"/>
      <c r="C934" s="33"/>
      <c r="D934" s="33"/>
      <c r="E934" s="33"/>
      <c r="H934" s="33"/>
    </row>
    <row r="935">
      <c r="B935" s="33"/>
      <c r="C935" s="33"/>
      <c r="D935" s="33"/>
      <c r="E935" s="33"/>
      <c r="H935" s="33"/>
    </row>
    <row r="936">
      <c r="B936" s="33"/>
      <c r="C936" s="33"/>
      <c r="D936" s="33"/>
      <c r="E936" s="33"/>
      <c r="H936" s="33"/>
    </row>
    <row r="937">
      <c r="B937" s="33"/>
      <c r="C937" s="33"/>
      <c r="D937" s="33"/>
      <c r="E937" s="33"/>
      <c r="H937" s="33"/>
    </row>
    <row r="938">
      <c r="B938" s="33"/>
      <c r="C938" s="33"/>
      <c r="D938" s="33"/>
      <c r="E938" s="33"/>
      <c r="H938" s="33"/>
    </row>
    <row r="939">
      <c r="B939" s="33"/>
      <c r="C939" s="33"/>
      <c r="D939" s="33"/>
      <c r="E939" s="33"/>
      <c r="H939" s="33"/>
    </row>
    <row r="940">
      <c r="B940" s="33"/>
      <c r="C940" s="33"/>
      <c r="D940" s="33"/>
      <c r="E940" s="33"/>
      <c r="H940" s="33"/>
    </row>
    <row r="941">
      <c r="B941" s="33"/>
      <c r="C941" s="33"/>
      <c r="D941" s="33"/>
      <c r="E941" s="33"/>
      <c r="H941" s="33"/>
    </row>
    <row r="942">
      <c r="B942" s="33"/>
      <c r="C942" s="33"/>
      <c r="D942" s="33"/>
      <c r="E942" s="33"/>
      <c r="H942" s="33"/>
    </row>
    <row r="943">
      <c r="B943" s="33"/>
      <c r="C943" s="33"/>
      <c r="D943" s="33"/>
      <c r="E943" s="33"/>
      <c r="H943" s="33"/>
    </row>
    <row r="944">
      <c r="B944" s="33"/>
      <c r="C944" s="33"/>
      <c r="D944" s="33"/>
      <c r="E944" s="33"/>
      <c r="H944" s="33"/>
    </row>
    <row r="945">
      <c r="B945" s="33"/>
      <c r="C945" s="33"/>
      <c r="D945" s="33"/>
      <c r="E945" s="33"/>
      <c r="H945" s="33"/>
    </row>
    <row r="946">
      <c r="B946" s="33"/>
      <c r="C946" s="33"/>
      <c r="D946" s="33"/>
      <c r="E946" s="33"/>
      <c r="H946" s="33"/>
    </row>
    <row r="947">
      <c r="B947" s="33"/>
      <c r="C947" s="33"/>
      <c r="D947" s="33"/>
      <c r="E947" s="33"/>
      <c r="H947" s="33"/>
    </row>
    <row r="948">
      <c r="B948" s="33"/>
      <c r="C948" s="33"/>
      <c r="D948" s="33"/>
      <c r="E948" s="33"/>
      <c r="H948" s="33"/>
    </row>
    <row r="949">
      <c r="B949" s="33"/>
      <c r="C949" s="33"/>
      <c r="D949" s="33"/>
      <c r="E949" s="33"/>
      <c r="H949" s="33"/>
    </row>
    <row r="950">
      <c r="B950" s="33"/>
      <c r="C950" s="33"/>
      <c r="D950" s="33"/>
      <c r="E950" s="33"/>
      <c r="H950" s="33"/>
    </row>
    <row r="951">
      <c r="B951" s="33"/>
      <c r="C951" s="33"/>
      <c r="D951" s="33"/>
      <c r="E951" s="33"/>
      <c r="H951" s="33"/>
    </row>
    <row r="952">
      <c r="B952" s="33"/>
      <c r="C952" s="33"/>
      <c r="D952" s="33"/>
      <c r="E952" s="33"/>
      <c r="H952" s="33"/>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s>
  <sheetData>
    <row r="1">
      <c r="A1" s="47" t="s">
        <v>16999</v>
      </c>
      <c r="B1" s="2" t="s">
        <v>17001</v>
      </c>
      <c r="C1" s="2" t="s">
        <v>17002</v>
      </c>
      <c r="D1" s="2" t="s">
        <v>17003</v>
      </c>
      <c r="E1" s="14"/>
      <c r="F1" s="14"/>
      <c r="G1" s="14"/>
      <c r="H1" s="14"/>
      <c r="I1" s="14"/>
      <c r="J1" s="14"/>
      <c r="K1" s="14"/>
      <c r="L1" s="14"/>
      <c r="M1" s="14"/>
      <c r="N1" s="14"/>
      <c r="O1" s="14"/>
      <c r="P1" s="14"/>
      <c r="Q1" s="14"/>
      <c r="R1" s="14"/>
      <c r="S1" s="14"/>
      <c r="T1" s="14"/>
      <c r="U1" s="14"/>
      <c r="V1" s="14"/>
      <c r="W1" s="14"/>
      <c r="X1" s="14"/>
      <c r="Y1" s="14"/>
      <c r="Z1" s="14"/>
    </row>
    <row r="2">
      <c r="A2" s="6">
        <v>46082.0</v>
      </c>
      <c r="B2" s="1" t="s">
        <v>131</v>
      </c>
      <c r="C2" s="1">
        <v>164.0</v>
      </c>
      <c r="D2" s="1">
        <v>0.911</v>
      </c>
    </row>
    <row r="3">
      <c r="A3" s="6">
        <v>46082.0</v>
      </c>
      <c r="B3" s="1" t="s">
        <v>472</v>
      </c>
      <c r="C3" s="1">
        <v>7.0</v>
      </c>
      <c r="D3" s="1">
        <v>0.036</v>
      </c>
    </row>
    <row r="4">
      <c r="A4" s="6">
        <v>46082.0</v>
      </c>
      <c r="B4" s="1" t="s">
        <v>365</v>
      </c>
      <c r="C4" s="1">
        <v>9.0</v>
      </c>
      <c r="D4" s="1">
        <v>0.053</v>
      </c>
    </row>
    <row r="5">
      <c r="A5" s="6">
        <v>46082.0</v>
      </c>
      <c r="B5" s="1" t="s">
        <v>17008</v>
      </c>
      <c r="C5" s="1">
        <v>180.0</v>
      </c>
      <c r="D5" s="1"/>
    </row>
    <row r="6">
      <c r="A6" s="6">
        <v>46113.0</v>
      </c>
      <c r="B6" s="1" t="s">
        <v>131</v>
      </c>
      <c r="C6" s="1">
        <v>161.0</v>
      </c>
      <c r="D6" s="1">
        <v>0.9045</v>
      </c>
    </row>
    <row r="7">
      <c r="A7" s="6">
        <v>46113.0</v>
      </c>
      <c r="B7" s="1" t="s">
        <v>472</v>
      </c>
      <c r="C7" s="1">
        <v>10.0</v>
      </c>
      <c r="D7" s="1">
        <v>0.0506</v>
      </c>
    </row>
    <row r="8">
      <c r="A8" s="6">
        <v>46113.0</v>
      </c>
      <c r="B8" s="1" t="s">
        <v>365</v>
      </c>
      <c r="C8" s="1">
        <v>5.0</v>
      </c>
      <c r="D8" s="1">
        <v>0.0449</v>
      </c>
    </row>
    <row r="9">
      <c r="A9" s="6">
        <v>46113.0</v>
      </c>
      <c r="B9" s="1" t="s">
        <v>17008</v>
      </c>
      <c r="C9" s="1">
        <v>174.0</v>
      </c>
      <c r="D9" s="10">
        <v>1.0</v>
      </c>
    </row>
    <row r="10">
      <c r="A10" s="48">
        <v>46143.0</v>
      </c>
      <c r="B10" s="1" t="s">
        <v>131</v>
      </c>
      <c r="C10" s="10">
        <v>157.0</v>
      </c>
      <c r="D10" s="10">
        <v>0.8971428571428571</v>
      </c>
    </row>
    <row r="11">
      <c r="A11" s="48">
        <v>46143.0</v>
      </c>
      <c r="B11" s="1" t="s">
        <v>472</v>
      </c>
      <c r="C11" s="10">
        <v>9.0</v>
      </c>
      <c r="D11" s="10">
        <v>0.05142857142857143</v>
      </c>
    </row>
    <row r="12">
      <c r="A12" s="48">
        <v>46143.0</v>
      </c>
      <c r="B12" s="1" t="s">
        <v>365</v>
      </c>
      <c r="C12" s="10">
        <v>9.0</v>
      </c>
      <c r="D12" s="10">
        <v>0.05142857142857143</v>
      </c>
    </row>
    <row r="13">
      <c r="A13" s="48">
        <v>46143.0</v>
      </c>
      <c r="B13" s="1" t="s">
        <v>17008</v>
      </c>
      <c r="C13" s="10">
        <v>175.0</v>
      </c>
      <c r="D13" s="10">
        <v>1.0</v>
      </c>
    </row>
    <row r="14">
      <c r="A14" s="48">
        <v>46174.0</v>
      </c>
      <c r="B14" s="1" t="s">
        <v>131</v>
      </c>
      <c r="C14" s="10">
        <v>156.0</v>
      </c>
      <c r="D14" s="10">
        <v>0.9017341040462428</v>
      </c>
    </row>
    <row r="15">
      <c r="A15" s="48">
        <v>46174.0</v>
      </c>
      <c r="B15" s="1" t="s">
        <v>472</v>
      </c>
      <c r="C15" s="10">
        <v>10.0</v>
      </c>
      <c r="D15" s="10">
        <v>0.057803468208092484</v>
      </c>
    </row>
    <row r="16">
      <c r="A16" s="48">
        <v>46174.0</v>
      </c>
      <c r="B16" s="1" t="s">
        <v>365</v>
      </c>
      <c r="C16" s="10">
        <v>7.0</v>
      </c>
      <c r="D16" s="10">
        <v>0.04046242774566474</v>
      </c>
    </row>
    <row r="17">
      <c r="A17" s="48">
        <v>46174.0</v>
      </c>
      <c r="B17" s="1" t="s">
        <v>17008</v>
      </c>
      <c r="C17" s="10">
        <v>173.0</v>
      </c>
      <c r="D17" s="10">
        <v>1.0</v>
      </c>
    </row>
    <row r="18">
      <c r="A18" s="48">
        <v>46204.0</v>
      </c>
      <c r="B18" s="1" t="s">
        <v>131</v>
      </c>
      <c r="C18" s="10">
        <v>154.0</v>
      </c>
      <c r="D18" s="10">
        <v>0.88</v>
      </c>
    </row>
    <row r="19">
      <c r="A19" s="48">
        <v>46204.0</v>
      </c>
      <c r="B19" s="1" t="s">
        <v>472</v>
      </c>
      <c r="C19" s="10">
        <v>12.0</v>
      </c>
      <c r="D19" s="10">
        <v>0.06857142857142857</v>
      </c>
    </row>
    <row r="20">
      <c r="A20" s="48">
        <v>46204.0</v>
      </c>
      <c r="B20" s="1" t="s">
        <v>365</v>
      </c>
      <c r="C20" s="10">
        <v>9.0</v>
      </c>
      <c r="D20" s="10">
        <v>0.05142857142857143</v>
      </c>
    </row>
    <row r="21">
      <c r="A21" s="48">
        <v>46204.0</v>
      </c>
      <c r="B21" s="1" t="s">
        <v>17008</v>
      </c>
      <c r="C21" s="10">
        <v>175.0</v>
      </c>
      <c r="D21" s="10">
        <v>1.0</v>
      </c>
    </row>
    <row r="22">
      <c r="A22" s="48">
        <v>46235.0</v>
      </c>
      <c r="B22" s="1" t="s">
        <v>131</v>
      </c>
      <c r="C22" s="10">
        <v>226.0</v>
      </c>
      <c r="D22" s="10">
        <v>0.9535864978902954</v>
      </c>
    </row>
    <row r="23">
      <c r="A23" s="48">
        <v>46235.0</v>
      </c>
      <c r="B23" s="1" t="s">
        <v>472</v>
      </c>
      <c r="C23" s="10">
        <v>6.0</v>
      </c>
      <c r="D23" s="10">
        <v>0.02531645569620253</v>
      </c>
    </row>
    <row r="24">
      <c r="A24" s="48">
        <v>46235.0</v>
      </c>
      <c r="B24" s="1" t="s">
        <v>365</v>
      </c>
      <c r="C24" s="10">
        <v>5.0</v>
      </c>
      <c r="D24" s="10">
        <v>0.02109704641350211</v>
      </c>
    </row>
    <row r="25">
      <c r="A25" s="48">
        <v>46235.0</v>
      </c>
      <c r="B25" s="1" t="s">
        <v>17008</v>
      </c>
      <c r="C25" s="10">
        <v>237.0</v>
      </c>
      <c r="D25" s="10">
        <v>1.0</v>
      </c>
    </row>
    <row r="26">
      <c r="A26" s="48">
        <v>46266.0</v>
      </c>
      <c r="B26" s="1" t="s">
        <v>131</v>
      </c>
      <c r="C26" s="10">
        <v>237.0</v>
      </c>
      <c r="D26" s="10">
        <v>0.983402489626556</v>
      </c>
    </row>
    <row r="27">
      <c r="A27" s="48">
        <v>46266.0</v>
      </c>
      <c r="B27" s="1" t="s">
        <v>472</v>
      </c>
      <c r="C27" s="10">
        <v>1.0</v>
      </c>
      <c r="D27" s="10">
        <v>0.004149377593360996</v>
      </c>
    </row>
    <row r="28">
      <c r="A28" s="48">
        <v>46266.0</v>
      </c>
      <c r="B28" s="1" t="s">
        <v>365</v>
      </c>
      <c r="C28" s="10">
        <v>3.0</v>
      </c>
      <c r="D28" s="10">
        <v>0.012448132780082987</v>
      </c>
    </row>
    <row r="29">
      <c r="A29" s="48">
        <v>46266.0</v>
      </c>
      <c r="B29" s="1" t="s">
        <v>17008</v>
      </c>
      <c r="C29" s="10">
        <v>241.0</v>
      </c>
      <c r="D29" s="10">
        <v>1.0</v>
      </c>
    </row>
    <row r="30">
      <c r="A30" s="49"/>
    </row>
    <row r="31">
      <c r="A31" s="49"/>
    </row>
    <row r="32">
      <c r="A32" s="49"/>
    </row>
    <row r="33">
      <c r="A33" s="49"/>
    </row>
    <row r="34">
      <c r="A34" s="49"/>
    </row>
    <row r="35">
      <c r="A35" s="49"/>
    </row>
    <row r="36">
      <c r="A36" s="49"/>
    </row>
    <row r="37">
      <c r="A37" s="49"/>
    </row>
    <row r="38">
      <c r="A38" s="49"/>
    </row>
    <row r="39">
      <c r="A39" s="49"/>
    </row>
    <row r="40">
      <c r="A40" s="49"/>
    </row>
    <row r="41">
      <c r="A41" s="49"/>
    </row>
    <row r="42">
      <c r="A42" s="49"/>
    </row>
    <row r="43">
      <c r="A43" s="49"/>
    </row>
    <row r="44">
      <c r="A44" s="49"/>
    </row>
    <row r="45">
      <c r="A45" s="49"/>
    </row>
    <row r="46">
      <c r="A46" s="49"/>
    </row>
    <row r="47">
      <c r="A47" s="49"/>
    </row>
    <row r="48">
      <c r="A48" s="49"/>
    </row>
    <row r="49">
      <c r="A49" s="49"/>
    </row>
    <row r="50">
      <c r="A50" s="49"/>
    </row>
    <row r="51">
      <c r="A51" s="49"/>
    </row>
    <row r="52">
      <c r="A52" s="49"/>
    </row>
    <row r="53">
      <c r="A53" s="49"/>
    </row>
    <row r="54">
      <c r="A54" s="49"/>
    </row>
    <row r="55">
      <c r="A55" s="49"/>
    </row>
    <row r="56">
      <c r="A56" s="49"/>
    </row>
    <row r="57">
      <c r="A57" s="49"/>
    </row>
    <row r="58">
      <c r="A58" s="49"/>
    </row>
    <row r="59">
      <c r="A59" s="49"/>
    </row>
    <row r="60">
      <c r="A60" s="49"/>
    </row>
    <row r="61">
      <c r="A61" s="49"/>
    </row>
    <row r="62">
      <c r="A62" s="49"/>
    </row>
    <row r="63">
      <c r="A63" s="49"/>
    </row>
    <row r="64">
      <c r="A64" s="49"/>
    </row>
    <row r="65">
      <c r="A65" s="49"/>
    </row>
    <row r="66">
      <c r="A66" s="49"/>
    </row>
    <row r="67">
      <c r="A67" s="49"/>
    </row>
    <row r="68">
      <c r="A68" s="49"/>
    </row>
    <row r="69">
      <c r="A69" s="49"/>
    </row>
    <row r="70">
      <c r="A70" s="49"/>
    </row>
    <row r="71">
      <c r="A71" s="49"/>
    </row>
    <row r="72">
      <c r="A72" s="49"/>
    </row>
    <row r="73">
      <c r="A73" s="49"/>
    </row>
    <row r="74">
      <c r="A74" s="49"/>
    </row>
    <row r="75">
      <c r="A75" s="49"/>
    </row>
    <row r="76">
      <c r="A76" s="49"/>
    </row>
    <row r="77">
      <c r="A77" s="49"/>
    </row>
    <row r="78">
      <c r="A78" s="49"/>
    </row>
    <row r="79">
      <c r="A79" s="49"/>
    </row>
    <row r="80">
      <c r="A80" s="49"/>
    </row>
    <row r="81">
      <c r="A81" s="49"/>
    </row>
    <row r="82">
      <c r="A82" s="49"/>
    </row>
    <row r="83">
      <c r="A83" s="49"/>
    </row>
    <row r="84">
      <c r="A84" s="49"/>
    </row>
    <row r="85">
      <c r="A85" s="49"/>
    </row>
    <row r="86">
      <c r="A86" s="49"/>
    </row>
    <row r="87">
      <c r="A87" s="49"/>
    </row>
    <row r="88">
      <c r="A88" s="49"/>
    </row>
    <row r="89">
      <c r="A89" s="49"/>
    </row>
    <row r="90">
      <c r="A90" s="49"/>
    </row>
    <row r="91">
      <c r="A91" s="49"/>
    </row>
    <row r="92">
      <c r="A92" s="49"/>
    </row>
    <row r="93">
      <c r="A93" s="49"/>
    </row>
    <row r="94">
      <c r="A94" s="49"/>
    </row>
    <row r="95">
      <c r="A95" s="49"/>
    </row>
    <row r="96">
      <c r="A96" s="49"/>
    </row>
    <row r="97">
      <c r="A97" s="49"/>
    </row>
    <row r="98">
      <c r="A98" s="49"/>
    </row>
    <row r="99">
      <c r="A99" s="49"/>
    </row>
    <row r="100">
      <c r="A100" s="49"/>
    </row>
    <row r="101">
      <c r="A101" s="49"/>
    </row>
    <row r="102">
      <c r="A102" s="49"/>
    </row>
    <row r="103">
      <c r="A103" s="49"/>
    </row>
    <row r="104">
      <c r="A104" s="49"/>
    </row>
    <row r="105">
      <c r="A105" s="49"/>
    </row>
    <row r="106">
      <c r="A106" s="49"/>
    </row>
    <row r="107">
      <c r="A107" s="49"/>
    </row>
    <row r="108">
      <c r="A108" s="49"/>
    </row>
    <row r="109">
      <c r="A109" s="49"/>
    </row>
    <row r="110">
      <c r="A110" s="49"/>
    </row>
    <row r="111">
      <c r="A111" s="49"/>
    </row>
    <row r="112">
      <c r="A112" s="49"/>
    </row>
    <row r="113">
      <c r="A113" s="49"/>
    </row>
    <row r="114">
      <c r="A114" s="49"/>
    </row>
    <row r="115">
      <c r="A115" s="49"/>
    </row>
    <row r="116">
      <c r="A116" s="49"/>
    </row>
    <row r="117">
      <c r="A117" s="49"/>
    </row>
    <row r="118">
      <c r="A118" s="49"/>
    </row>
    <row r="119">
      <c r="A119" s="49"/>
    </row>
    <row r="120">
      <c r="A120" s="49"/>
    </row>
    <row r="121">
      <c r="A121" s="49"/>
    </row>
    <row r="122">
      <c r="A122" s="49"/>
    </row>
    <row r="123">
      <c r="A123" s="49"/>
    </row>
    <row r="124">
      <c r="A124" s="49"/>
    </row>
    <row r="125">
      <c r="A125" s="49"/>
    </row>
    <row r="126">
      <c r="A126" s="49"/>
    </row>
    <row r="127">
      <c r="A127" s="49"/>
    </row>
    <row r="128">
      <c r="A128" s="49"/>
    </row>
    <row r="129">
      <c r="A129" s="49"/>
    </row>
    <row r="130">
      <c r="A130" s="49"/>
    </row>
    <row r="131">
      <c r="A131" s="49"/>
    </row>
    <row r="132">
      <c r="A132" s="49"/>
    </row>
    <row r="133">
      <c r="A133" s="49"/>
    </row>
    <row r="134">
      <c r="A134" s="49"/>
    </row>
    <row r="135">
      <c r="A135" s="49"/>
    </row>
    <row r="136">
      <c r="A136" s="49"/>
    </row>
    <row r="137">
      <c r="A137" s="49"/>
    </row>
    <row r="138">
      <c r="A138" s="49"/>
    </row>
    <row r="139">
      <c r="A139" s="49"/>
    </row>
    <row r="140">
      <c r="A140" s="49"/>
    </row>
    <row r="141">
      <c r="A141" s="49"/>
    </row>
    <row r="142">
      <c r="A142" s="49"/>
    </row>
    <row r="143">
      <c r="A143" s="49"/>
    </row>
    <row r="144">
      <c r="A144" s="49"/>
    </row>
    <row r="145">
      <c r="A145" s="49"/>
    </row>
    <row r="146">
      <c r="A146" s="49"/>
    </row>
    <row r="147">
      <c r="A147" s="49"/>
    </row>
    <row r="148">
      <c r="A148" s="49"/>
    </row>
    <row r="149">
      <c r="A149" s="49"/>
    </row>
    <row r="150">
      <c r="A150" s="49"/>
    </row>
    <row r="151">
      <c r="A151" s="49"/>
    </row>
    <row r="152">
      <c r="A152" s="49"/>
    </row>
    <row r="153">
      <c r="A153" s="49"/>
    </row>
    <row r="154">
      <c r="A154" s="49"/>
    </row>
    <row r="155">
      <c r="A155" s="49"/>
    </row>
    <row r="156">
      <c r="A156" s="49"/>
    </row>
    <row r="157">
      <c r="A157" s="49"/>
    </row>
    <row r="158">
      <c r="A158" s="49"/>
    </row>
    <row r="159">
      <c r="A159" s="49"/>
    </row>
    <row r="160">
      <c r="A160" s="49"/>
    </row>
    <row r="161">
      <c r="A161" s="49"/>
    </row>
    <row r="162">
      <c r="A162" s="49"/>
    </row>
    <row r="163">
      <c r="A163" s="49"/>
    </row>
    <row r="164">
      <c r="A164" s="49"/>
    </row>
    <row r="165">
      <c r="A165" s="49"/>
    </row>
    <row r="166">
      <c r="A166" s="49"/>
    </row>
    <row r="167">
      <c r="A167" s="49"/>
    </row>
    <row r="168">
      <c r="A168" s="49"/>
    </row>
    <row r="169">
      <c r="A169" s="49"/>
    </row>
    <row r="170">
      <c r="A170" s="49"/>
    </row>
    <row r="171">
      <c r="A171" s="49"/>
    </row>
    <row r="172">
      <c r="A172" s="49"/>
    </row>
    <row r="173">
      <c r="A173" s="49"/>
    </row>
    <row r="174">
      <c r="A174" s="49"/>
    </row>
    <row r="175">
      <c r="A175" s="49"/>
    </row>
    <row r="176">
      <c r="A176" s="49"/>
    </row>
    <row r="177">
      <c r="A177" s="49"/>
    </row>
    <row r="178">
      <c r="A178" s="49"/>
    </row>
    <row r="179">
      <c r="A179" s="49"/>
    </row>
    <row r="180">
      <c r="A180" s="49"/>
    </row>
    <row r="181">
      <c r="A181" s="49"/>
    </row>
    <row r="182">
      <c r="A182" s="49"/>
    </row>
    <row r="183">
      <c r="A183" s="49"/>
    </row>
    <row r="184">
      <c r="A184" s="49"/>
    </row>
    <row r="185">
      <c r="A185" s="49"/>
    </row>
    <row r="186">
      <c r="A186" s="49"/>
    </row>
    <row r="187">
      <c r="A187" s="49"/>
    </row>
    <row r="188">
      <c r="A188" s="49"/>
    </row>
    <row r="189">
      <c r="A189" s="49"/>
    </row>
    <row r="190">
      <c r="A190" s="49"/>
    </row>
    <row r="191">
      <c r="A191" s="49"/>
    </row>
    <row r="192">
      <c r="A192" s="49"/>
    </row>
    <row r="193">
      <c r="A193" s="49"/>
    </row>
    <row r="194">
      <c r="A194" s="49"/>
    </row>
    <row r="195">
      <c r="A195" s="49"/>
    </row>
    <row r="196">
      <c r="A196" s="49"/>
    </row>
    <row r="197">
      <c r="A197" s="49"/>
    </row>
    <row r="198">
      <c r="A198" s="49"/>
    </row>
    <row r="199">
      <c r="A199" s="49"/>
    </row>
    <row r="200">
      <c r="A200" s="49"/>
    </row>
    <row r="201">
      <c r="A201" s="49"/>
    </row>
    <row r="202">
      <c r="A202" s="49"/>
    </row>
    <row r="203">
      <c r="A203" s="49"/>
    </row>
    <row r="204">
      <c r="A204" s="49"/>
    </row>
    <row r="205">
      <c r="A205" s="49"/>
    </row>
    <row r="206">
      <c r="A206" s="49"/>
    </row>
    <row r="207">
      <c r="A207" s="49"/>
    </row>
    <row r="208">
      <c r="A208" s="49"/>
    </row>
    <row r="209">
      <c r="A209" s="49"/>
    </row>
    <row r="210">
      <c r="A210" s="49"/>
    </row>
    <row r="211">
      <c r="A211" s="49"/>
    </row>
    <row r="212">
      <c r="A212" s="49"/>
    </row>
    <row r="213">
      <c r="A213" s="49"/>
    </row>
    <row r="214">
      <c r="A214" s="49"/>
    </row>
    <row r="215">
      <c r="A215" s="49"/>
    </row>
    <row r="216">
      <c r="A216" s="49"/>
    </row>
    <row r="217">
      <c r="A217" s="49"/>
    </row>
    <row r="218">
      <c r="A218" s="49"/>
    </row>
    <row r="219">
      <c r="A219" s="49"/>
    </row>
    <row r="220">
      <c r="A220" s="49"/>
    </row>
    <row r="221">
      <c r="A221" s="49"/>
    </row>
    <row r="222">
      <c r="A222" s="49"/>
    </row>
    <row r="223">
      <c r="A223" s="49"/>
    </row>
    <row r="224">
      <c r="A224" s="49"/>
    </row>
    <row r="225">
      <c r="A225" s="49"/>
    </row>
    <row r="226">
      <c r="A226" s="49"/>
    </row>
    <row r="227">
      <c r="A227" s="49"/>
    </row>
    <row r="228">
      <c r="A228" s="49"/>
    </row>
    <row r="229">
      <c r="A229" s="49"/>
    </row>
    <row r="230">
      <c r="A230" s="49"/>
    </row>
    <row r="231">
      <c r="A231" s="49"/>
    </row>
    <row r="232">
      <c r="A232" s="49"/>
    </row>
    <row r="233">
      <c r="A233" s="49"/>
    </row>
    <row r="234">
      <c r="A234" s="49"/>
    </row>
    <row r="235">
      <c r="A235" s="49"/>
    </row>
    <row r="236">
      <c r="A236" s="49"/>
    </row>
    <row r="237">
      <c r="A237" s="49"/>
    </row>
    <row r="238">
      <c r="A238" s="49"/>
    </row>
    <row r="239">
      <c r="A239" s="49"/>
    </row>
    <row r="240">
      <c r="A240" s="49"/>
    </row>
    <row r="241">
      <c r="A241" s="49"/>
    </row>
    <row r="242">
      <c r="A242" s="49"/>
    </row>
    <row r="243">
      <c r="A243" s="49"/>
    </row>
    <row r="244">
      <c r="A244" s="49"/>
    </row>
    <row r="245">
      <c r="A245" s="49"/>
    </row>
    <row r="246">
      <c r="A246" s="49"/>
    </row>
    <row r="247">
      <c r="A247" s="49"/>
    </row>
    <row r="248">
      <c r="A248" s="49"/>
    </row>
    <row r="249">
      <c r="A249" s="49"/>
    </row>
    <row r="250">
      <c r="A250" s="49"/>
    </row>
    <row r="251">
      <c r="A251" s="49"/>
    </row>
    <row r="252">
      <c r="A252" s="49"/>
    </row>
    <row r="253">
      <c r="A253" s="49"/>
    </row>
    <row r="254">
      <c r="A254" s="49"/>
    </row>
    <row r="255">
      <c r="A255" s="49"/>
    </row>
    <row r="256">
      <c r="A256" s="49"/>
    </row>
    <row r="257">
      <c r="A257" s="49"/>
    </row>
    <row r="258">
      <c r="A258" s="49"/>
    </row>
    <row r="259">
      <c r="A259" s="49"/>
    </row>
    <row r="260">
      <c r="A260" s="49"/>
    </row>
    <row r="261">
      <c r="A261" s="49"/>
    </row>
    <row r="262">
      <c r="A262" s="49"/>
    </row>
    <row r="263">
      <c r="A263" s="49"/>
    </row>
    <row r="264">
      <c r="A264" s="49"/>
    </row>
    <row r="265">
      <c r="A265" s="49"/>
    </row>
    <row r="266">
      <c r="A266" s="49"/>
    </row>
    <row r="267">
      <c r="A267" s="49"/>
    </row>
    <row r="268">
      <c r="A268" s="49"/>
    </row>
    <row r="269">
      <c r="A269" s="49"/>
    </row>
    <row r="270">
      <c r="A270" s="49"/>
    </row>
    <row r="271">
      <c r="A271" s="49"/>
    </row>
    <row r="272">
      <c r="A272" s="49"/>
    </row>
    <row r="273">
      <c r="A273" s="49"/>
    </row>
    <row r="274">
      <c r="A274" s="49"/>
    </row>
    <row r="275">
      <c r="A275" s="49"/>
    </row>
    <row r="276">
      <c r="A276" s="49"/>
    </row>
    <row r="277">
      <c r="A277" s="49"/>
    </row>
    <row r="278">
      <c r="A278" s="49"/>
    </row>
    <row r="279">
      <c r="A279" s="49"/>
    </row>
    <row r="280">
      <c r="A280" s="49"/>
    </row>
    <row r="281">
      <c r="A281" s="49"/>
    </row>
    <row r="282">
      <c r="A282" s="49"/>
    </row>
    <row r="283">
      <c r="A283" s="49"/>
    </row>
    <row r="284">
      <c r="A284" s="49"/>
    </row>
    <row r="285">
      <c r="A285" s="49"/>
    </row>
    <row r="286">
      <c r="A286" s="49"/>
    </row>
    <row r="287">
      <c r="A287" s="49"/>
    </row>
    <row r="288">
      <c r="A288" s="49"/>
    </row>
    <row r="289">
      <c r="A289" s="49"/>
    </row>
    <row r="290">
      <c r="A290" s="49"/>
    </row>
    <row r="291">
      <c r="A291" s="49"/>
    </row>
    <row r="292">
      <c r="A292" s="49"/>
    </row>
    <row r="293">
      <c r="A293" s="49"/>
    </row>
    <row r="294">
      <c r="A294" s="49"/>
    </row>
    <row r="295">
      <c r="A295" s="49"/>
    </row>
    <row r="296">
      <c r="A296" s="49"/>
    </row>
    <row r="297">
      <c r="A297" s="49"/>
    </row>
    <row r="298">
      <c r="A298" s="49"/>
    </row>
    <row r="299">
      <c r="A299" s="49"/>
    </row>
    <row r="300">
      <c r="A300" s="49"/>
    </row>
    <row r="301">
      <c r="A301" s="49"/>
    </row>
    <row r="302">
      <c r="A302" s="49"/>
    </row>
    <row r="303">
      <c r="A303" s="49"/>
    </row>
    <row r="304">
      <c r="A304" s="49"/>
    </row>
    <row r="305">
      <c r="A305" s="49"/>
    </row>
    <row r="306">
      <c r="A306" s="49"/>
    </row>
    <row r="307">
      <c r="A307" s="49"/>
    </row>
    <row r="308">
      <c r="A308" s="49"/>
    </row>
    <row r="309">
      <c r="A309" s="49"/>
    </row>
    <row r="310">
      <c r="A310" s="49"/>
    </row>
    <row r="311">
      <c r="A311" s="49"/>
    </row>
    <row r="312">
      <c r="A312" s="49"/>
    </row>
    <row r="313">
      <c r="A313" s="49"/>
    </row>
    <row r="314">
      <c r="A314" s="49"/>
    </row>
    <row r="315">
      <c r="A315" s="49"/>
    </row>
    <row r="316">
      <c r="A316" s="49"/>
    </row>
    <row r="317">
      <c r="A317" s="49"/>
    </row>
    <row r="318">
      <c r="A318" s="49"/>
    </row>
    <row r="319">
      <c r="A319" s="49"/>
    </row>
    <row r="320">
      <c r="A320" s="49"/>
    </row>
    <row r="321">
      <c r="A321" s="49"/>
    </row>
    <row r="322">
      <c r="A322" s="49"/>
    </row>
    <row r="323">
      <c r="A323" s="49"/>
    </row>
    <row r="324">
      <c r="A324" s="49"/>
    </row>
    <row r="325">
      <c r="A325" s="49"/>
    </row>
    <row r="326">
      <c r="A326" s="49"/>
    </row>
    <row r="327">
      <c r="A327" s="49"/>
    </row>
    <row r="328">
      <c r="A328" s="49"/>
    </row>
    <row r="329">
      <c r="A329" s="49"/>
    </row>
    <row r="330">
      <c r="A330" s="49"/>
    </row>
    <row r="331">
      <c r="A331" s="49"/>
    </row>
    <row r="332">
      <c r="A332" s="49"/>
    </row>
    <row r="333">
      <c r="A333" s="49"/>
    </row>
    <row r="334">
      <c r="A334" s="49"/>
    </row>
    <row r="335">
      <c r="A335" s="49"/>
    </row>
    <row r="336">
      <c r="A336" s="49"/>
    </row>
    <row r="337">
      <c r="A337" s="49"/>
    </row>
    <row r="338">
      <c r="A338" s="49"/>
    </row>
    <row r="339">
      <c r="A339" s="49"/>
    </row>
    <row r="340">
      <c r="A340" s="49"/>
    </row>
    <row r="341">
      <c r="A341" s="49"/>
    </row>
    <row r="342">
      <c r="A342" s="49"/>
    </row>
    <row r="343">
      <c r="A343" s="49"/>
    </row>
    <row r="344">
      <c r="A344" s="49"/>
    </row>
    <row r="345">
      <c r="A345" s="49"/>
    </row>
    <row r="346">
      <c r="A346" s="49"/>
    </row>
    <row r="347">
      <c r="A347" s="49"/>
    </row>
    <row r="348">
      <c r="A348" s="49"/>
    </row>
    <row r="349">
      <c r="A349" s="49"/>
    </row>
    <row r="350">
      <c r="A350" s="49"/>
    </row>
    <row r="351">
      <c r="A351" s="49"/>
    </row>
    <row r="352">
      <c r="A352" s="49"/>
    </row>
    <row r="353">
      <c r="A353" s="49"/>
    </row>
    <row r="354">
      <c r="A354" s="49"/>
    </row>
    <row r="355">
      <c r="A355" s="49"/>
    </row>
    <row r="356">
      <c r="A356" s="49"/>
    </row>
    <row r="357">
      <c r="A357" s="49"/>
    </row>
    <row r="358">
      <c r="A358" s="49"/>
    </row>
    <row r="359">
      <c r="A359" s="49"/>
    </row>
    <row r="360">
      <c r="A360" s="49"/>
    </row>
    <row r="361">
      <c r="A361" s="49"/>
    </row>
    <row r="362">
      <c r="A362" s="49"/>
    </row>
    <row r="363">
      <c r="A363" s="49"/>
    </row>
    <row r="364">
      <c r="A364" s="49"/>
    </row>
    <row r="365">
      <c r="A365" s="49"/>
    </row>
    <row r="366">
      <c r="A366" s="49"/>
    </row>
    <row r="367">
      <c r="A367" s="49"/>
    </row>
    <row r="368">
      <c r="A368" s="49"/>
    </row>
    <row r="369">
      <c r="A369" s="49"/>
    </row>
    <row r="370">
      <c r="A370" s="49"/>
    </row>
    <row r="371">
      <c r="A371" s="49"/>
    </row>
    <row r="372">
      <c r="A372" s="49"/>
    </row>
    <row r="373">
      <c r="A373" s="49"/>
    </row>
    <row r="374">
      <c r="A374" s="49"/>
    </row>
    <row r="375">
      <c r="A375" s="49"/>
    </row>
    <row r="376">
      <c r="A376" s="49"/>
    </row>
    <row r="377">
      <c r="A377" s="49"/>
    </row>
    <row r="378">
      <c r="A378" s="49"/>
    </row>
    <row r="379">
      <c r="A379" s="49"/>
    </row>
    <row r="380">
      <c r="A380" s="49"/>
    </row>
    <row r="381">
      <c r="A381" s="49"/>
    </row>
    <row r="382">
      <c r="A382" s="49"/>
    </row>
    <row r="383">
      <c r="A383" s="49"/>
    </row>
    <row r="384">
      <c r="A384" s="49"/>
    </row>
    <row r="385">
      <c r="A385" s="49"/>
    </row>
    <row r="386">
      <c r="A386" s="49"/>
    </row>
    <row r="387">
      <c r="A387" s="49"/>
    </row>
    <row r="388">
      <c r="A388" s="49"/>
    </row>
    <row r="389">
      <c r="A389" s="49"/>
    </row>
    <row r="390">
      <c r="A390" s="49"/>
    </row>
    <row r="391">
      <c r="A391" s="49"/>
    </row>
    <row r="392">
      <c r="A392" s="49"/>
    </row>
    <row r="393">
      <c r="A393" s="49"/>
    </row>
    <row r="394">
      <c r="A394" s="49"/>
    </row>
    <row r="395">
      <c r="A395" s="49"/>
    </row>
    <row r="396">
      <c r="A396" s="49"/>
    </row>
    <row r="397">
      <c r="A397" s="49"/>
    </row>
    <row r="398">
      <c r="A398" s="49"/>
    </row>
    <row r="399">
      <c r="A399" s="49"/>
    </row>
    <row r="400">
      <c r="A400" s="49"/>
    </row>
    <row r="401">
      <c r="A401" s="49"/>
    </row>
    <row r="402">
      <c r="A402" s="49"/>
    </row>
    <row r="403">
      <c r="A403" s="49"/>
    </row>
    <row r="404">
      <c r="A404" s="49"/>
    </row>
    <row r="405">
      <c r="A405" s="49"/>
    </row>
    <row r="406">
      <c r="A406" s="49"/>
    </row>
    <row r="407">
      <c r="A407" s="49"/>
    </row>
    <row r="408">
      <c r="A408" s="49"/>
    </row>
    <row r="409">
      <c r="A409" s="49"/>
    </row>
    <row r="410">
      <c r="A410" s="49"/>
    </row>
    <row r="411">
      <c r="A411" s="49"/>
    </row>
    <row r="412">
      <c r="A412" s="49"/>
    </row>
    <row r="413">
      <c r="A413" s="49"/>
    </row>
    <row r="414">
      <c r="A414" s="49"/>
    </row>
    <row r="415">
      <c r="A415" s="49"/>
    </row>
    <row r="416">
      <c r="A416" s="49"/>
    </row>
    <row r="417">
      <c r="A417" s="49"/>
    </row>
    <row r="418">
      <c r="A418" s="49"/>
    </row>
    <row r="419">
      <c r="A419" s="49"/>
    </row>
    <row r="420">
      <c r="A420" s="49"/>
    </row>
    <row r="421">
      <c r="A421" s="49"/>
    </row>
    <row r="422">
      <c r="A422" s="49"/>
    </row>
    <row r="423">
      <c r="A423" s="49"/>
    </row>
    <row r="424">
      <c r="A424" s="49"/>
    </row>
    <row r="425">
      <c r="A425" s="49"/>
    </row>
    <row r="426">
      <c r="A426" s="49"/>
    </row>
    <row r="427">
      <c r="A427" s="49"/>
    </row>
    <row r="428">
      <c r="A428" s="49"/>
    </row>
    <row r="429">
      <c r="A429" s="49"/>
    </row>
    <row r="430">
      <c r="A430" s="49"/>
    </row>
    <row r="431">
      <c r="A431" s="49"/>
    </row>
    <row r="432">
      <c r="A432" s="49"/>
    </row>
    <row r="433">
      <c r="A433" s="49"/>
    </row>
    <row r="434">
      <c r="A434" s="49"/>
    </row>
    <row r="435">
      <c r="A435" s="49"/>
    </row>
    <row r="436">
      <c r="A436" s="49"/>
    </row>
    <row r="437">
      <c r="A437" s="49"/>
    </row>
    <row r="438">
      <c r="A438" s="49"/>
    </row>
    <row r="439">
      <c r="A439" s="49"/>
    </row>
    <row r="440">
      <c r="A440" s="49"/>
    </row>
    <row r="441">
      <c r="A441" s="49"/>
    </row>
    <row r="442">
      <c r="A442" s="49"/>
    </row>
    <row r="443">
      <c r="A443" s="49"/>
    </row>
    <row r="444">
      <c r="A444" s="49"/>
    </row>
    <row r="445">
      <c r="A445" s="49"/>
    </row>
    <row r="446">
      <c r="A446" s="49"/>
    </row>
    <row r="447">
      <c r="A447" s="49"/>
    </row>
    <row r="448">
      <c r="A448" s="49"/>
    </row>
    <row r="449">
      <c r="A449" s="49"/>
    </row>
    <row r="450">
      <c r="A450" s="49"/>
    </row>
    <row r="451">
      <c r="A451" s="49"/>
    </row>
    <row r="452">
      <c r="A452" s="49"/>
    </row>
    <row r="453">
      <c r="A453" s="49"/>
    </row>
    <row r="454">
      <c r="A454" s="49"/>
    </row>
    <row r="455">
      <c r="A455" s="49"/>
    </row>
    <row r="456">
      <c r="A456" s="49"/>
    </row>
    <row r="457">
      <c r="A457" s="49"/>
    </row>
    <row r="458">
      <c r="A458" s="49"/>
    </row>
    <row r="459">
      <c r="A459" s="49"/>
    </row>
    <row r="460">
      <c r="A460" s="49"/>
    </row>
    <row r="461">
      <c r="A461" s="49"/>
    </row>
    <row r="462">
      <c r="A462" s="49"/>
    </row>
    <row r="463">
      <c r="A463" s="49"/>
    </row>
    <row r="464">
      <c r="A464" s="49"/>
    </row>
    <row r="465">
      <c r="A465" s="49"/>
    </row>
    <row r="466">
      <c r="A466" s="49"/>
    </row>
    <row r="467">
      <c r="A467" s="49"/>
    </row>
    <row r="468">
      <c r="A468" s="49"/>
    </row>
    <row r="469">
      <c r="A469" s="49"/>
    </row>
    <row r="470">
      <c r="A470" s="49"/>
    </row>
    <row r="471">
      <c r="A471" s="49"/>
    </row>
    <row r="472">
      <c r="A472" s="49"/>
    </row>
    <row r="473">
      <c r="A473" s="49"/>
    </row>
    <row r="474">
      <c r="A474" s="49"/>
    </row>
    <row r="475">
      <c r="A475" s="49"/>
    </row>
    <row r="476">
      <c r="A476" s="49"/>
    </row>
    <row r="477">
      <c r="A477" s="49"/>
    </row>
    <row r="478">
      <c r="A478" s="49"/>
    </row>
    <row r="479">
      <c r="A479" s="49"/>
    </row>
    <row r="480">
      <c r="A480" s="49"/>
    </row>
    <row r="481">
      <c r="A481" s="49"/>
    </row>
    <row r="482">
      <c r="A482" s="49"/>
    </row>
    <row r="483">
      <c r="A483" s="49"/>
    </row>
    <row r="484">
      <c r="A484" s="49"/>
    </row>
    <row r="485">
      <c r="A485" s="49"/>
    </row>
    <row r="486">
      <c r="A486" s="49"/>
    </row>
    <row r="487">
      <c r="A487" s="49"/>
    </row>
    <row r="488">
      <c r="A488" s="49"/>
    </row>
    <row r="489">
      <c r="A489" s="49"/>
    </row>
    <row r="490">
      <c r="A490" s="49"/>
    </row>
    <row r="491">
      <c r="A491" s="49"/>
    </row>
    <row r="492">
      <c r="A492" s="49"/>
    </row>
    <row r="493">
      <c r="A493" s="49"/>
    </row>
    <row r="494">
      <c r="A494" s="49"/>
    </row>
    <row r="495">
      <c r="A495" s="49"/>
    </row>
    <row r="496">
      <c r="A496" s="49"/>
    </row>
    <row r="497">
      <c r="A497" s="49"/>
    </row>
    <row r="498">
      <c r="A498" s="49"/>
    </row>
    <row r="499">
      <c r="A499" s="49"/>
    </row>
    <row r="500">
      <c r="A500" s="49"/>
    </row>
    <row r="501">
      <c r="A501" s="49"/>
    </row>
    <row r="502">
      <c r="A502" s="49"/>
    </row>
    <row r="503">
      <c r="A503" s="49"/>
    </row>
    <row r="504">
      <c r="A504" s="49"/>
    </row>
    <row r="505">
      <c r="A505" s="49"/>
    </row>
    <row r="506">
      <c r="A506" s="49"/>
    </row>
    <row r="507">
      <c r="A507" s="49"/>
    </row>
    <row r="508">
      <c r="A508" s="49"/>
    </row>
    <row r="509">
      <c r="A509" s="49"/>
    </row>
    <row r="510">
      <c r="A510" s="49"/>
    </row>
    <row r="511">
      <c r="A511" s="49"/>
    </row>
    <row r="512">
      <c r="A512" s="49"/>
    </row>
    <row r="513">
      <c r="A513" s="49"/>
    </row>
    <row r="514">
      <c r="A514" s="49"/>
    </row>
    <row r="515">
      <c r="A515" s="49"/>
    </row>
    <row r="516">
      <c r="A516" s="49"/>
    </row>
    <row r="517">
      <c r="A517" s="49"/>
    </row>
    <row r="518">
      <c r="A518" s="49"/>
    </row>
    <row r="519">
      <c r="A519" s="49"/>
    </row>
    <row r="520">
      <c r="A520" s="49"/>
    </row>
    <row r="521">
      <c r="A521" s="49"/>
    </row>
    <row r="522">
      <c r="A522" s="49"/>
    </row>
    <row r="523">
      <c r="A523" s="49"/>
    </row>
    <row r="524">
      <c r="A524" s="49"/>
    </row>
    <row r="525">
      <c r="A525" s="49"/>
    </row>
    <row r="526">
      <c r="A526" s="49"/>
    </row>
    <row r="527">
      <c r="A527" s="49"/>
    </row>
    <row r="528">
      <c r="A528" s="49"/>
    </row>
    <row r="529">
      <c r="A529" s="49"/>
    </row>
    <row r="530">
      <c r="A530" s="49"/>
    </row>
    <row r="531">
      <c r="A531" s="49"/>
    </row>
    <row r="532">
      <c r="A532" s="49"/>
    </row>
    <row r="533">
      <c r="A533" s="49"/>
    </row>
    <row r="534">
      <c r="A534" s="49"/>
    </row>
    <row r="535">
      <c r="A535" s="49"/>
    </row>
    <row r="536">
      <c r="A536" s="49"/>
    </row>
    <row r="537">
      <c r="A537" s="49"/>
    </row>
    <row r="538">
      <c r="A538" s="49"/>
    </row>
    <row r="539">
      <c r="A539" s="49"/>
    </row>
    <row r="540">
      <c r="A540" s="49"/>
    </row>
    <row r="541">
      <c r="A541" s="49"/>
    </row>
    <row r="542">
      <c r="A542" s="49"/>
    </row>
    <row r="543">
      <c r="A543" s="49"/>
    </row>
    <row r="544">
      <c r="A544" s="49"/>
    </row>
    <row r="545">
      <c r="A545" s="49"/>
    </row>
    <row r="546">
      <c r="A546" s="49"/>
    </row>
    <row r="547">
      <c r="A547" s="49"/>
    </row>
    <row r="548">
      <c r="A548" s="49"/>
    </row>
    <row r="549">
      <c r="A549" s="49"/>
    </row>
    <row r="550">
      <c r="A550" s="49"/>
    </row>
    <row r="551">
      <c r="A551" s="49"/>
    </row>
    <row r="552">
      <c r="A552" s="49"/>
    </row>
    <row r="553">
      <c r="A553" s="49"/>
    </row>
    <row r="554">
      <c r="A554" s="49"/>
    </row>
    <row r="555">
      <c r="A555" s="49"/>
    </row>
    <row r="556">
      <c r="A556" s="49"/>
    </row>
    <row r="557">
      <c r="A557" s="49"/>
    </row>
    <row r="558">
      <c r="A558" s="49"/>
    </row>
    <row r="559">
      <c r="A559" s="49"/>
    </row>
    <row r="560">
      <c r="A560" s="49"/>
    </row>
    <row r="561">
      <c r="A561" s="49"/>
    </row>
    <row r="562">
      <c r="A562" s="49"/>
    </row>
    <row r="563">
      <c r="A563" s="49"/>
    </row>
    <row r="564">
      <c r="A564" s="49"/>
    </row>
    <row r="565">
      <c r="A565" s="49"/>
    </row>
    <row r="566">
      <c r="A566" s="49"/>
    </row>
    <row r="567">
      <c r="A567" s="49"/>
    </row>
    <row r="568">
      <c r="A568" s="49"/>
    </row>
    <row r="569">
      <c r="A569" s="49"/>
    </row>
    <row r="570">
      <c r="A570" s="49"/>
    </row>
    <row r="571">
      <c r="A571" s="49"/>
    </row>
    <row r="572">
      <c r="A572" s="49"/>
    </row>
    <row r="573">
      <c r="A573" s="49"/>
    </row>
    <row r="574">
      <c r="A574" s="49"/>
    </row>
    <row r="575">
      <c r="A575" s="49"/>
    </row>
    <row r="576">
      <c r="A576" s="49"/>
    </row>
    <row r="577">
      <c r="A577" s="49"/>
    </row>
    <row r="578">
      <c r="A578" s="49"/>
    </row>
    <row r="579">
      <c r="A579" s="49"/>
    </row>
    <row r="580">
      <c r="A580" s="49"/>
    </row>
    <row r="581">
      <c r="A581" s="49"/>
    </row>
    <row r="582">
      <c r="A582" s="49"/>
    </row>
    <row r="583">
      <c r="A583" s="49"/>
    </row>
    <row r="584">
      <c r="A584" s="49"/>
    </row>
    <row r="585">
      <c r="A585" s="49"/>
    </row>
    <row r="586">
      <c r="A586" s="49"/>
    </row>
    <row r="587">
      <c r="A587" s="49"/>
    </row>
    <row r="588">
      <c r="A588" s="49"/>
    </row>
    <row r="589">
      <c r="A589" s="49"/>
    </row>
    <row r="590">
      <c r="A590" s="49"/>
    </row>
    <row r="591">
      <c r="A591" s="49"/>
    </row>
    <row r="592">
      <c r="A592" s="49"/>
    </row>
    <row r="593">
      <c r="A593" s="49"/>
    </row>
    <row r="594">
      <c r="A594" s="49"/>
    </row>
    <row r="595">
      <c r="A595" s="49"/>
    </row>
    <row r="596">
      <c r="A596" s="49"/>
    </row>
    <row r="597">
      <c r="A597" s="49"/>
    </row>
    <row r="598">
      <c r="A598" s="49"/>
    </row>
    <row r="599">
      <c r="A599" s="49"/>
    </row>
    <row r="600">
      <c r="A600" s="49"/>
    </row>
    <row r="601">
      <c r="A601" s="49"/>
    </row>
    <row r="602">
      <c r="A602" s="49"/>
    </row>
    <row r="603">
      <c r="A603" s="49"/>
    </row>
    <row r="604">
      <c r="A604" s="49"/>
    </row>
    <row r="605">
      <c r="A605" s="49"/>
    </row>
    <row r="606">
      <c r="A606" s="49"/>
    </row>
    <row r="607">
      <c r="A607" s="49"/>
    </row>
    <row r="608">
      <c r="A608" s="49"/>
    </row>
    <row r="609">
      <c r="A609" s="49"/>
    </row>
    <row r="610">
      <c r="A610" s="49"/>
    </row>
    <row r="611">
      <c r="A611" s="49"/>
    </row>
    <row r="612">
      <c r="A612" s="49"/>
    </row>
    <row r="613">
      <c r="A613" s="49"/>
    </row>
    <row r="614">
      <c r="A614" s="49"/>
    </row>
    <row r="615">
      <c r="A615" s="49"/>
    </row>
    <row r="616">
      <c r="A616" s="49"/>
    </row>
    <row r="617">
      <c r="A617" s="49"/>
    </row>
    <row r="618">
      <c r="A618" s="49"/>
    </row>
    <row r="619">
      <c r="A619" s="49"/>
    </row>
    <row r="620">
      <c r="A620" s="49"/>
    </row>
    <row r="621">
      <c r="A621" s="49"/>
    </row>
    <row r="622">
      <c r="A622" s="49"/>
    </row>
    <row r="623">
      <c r="A623" s="49"/>
    </row>
    <row r="624">
      <c r="A624" s="49"/>
    </row>
    <row r="625">
      <c r="A625" s="49"/>
    </row>
    <row r="626">
      <c r="A626" s="49"/>
    </row>
    <row r="627">
      <c r="A627" s="49"/>
    </row>
    <row r="628">
      <c r="A628" s="49"/>
    </row>
    <row r="629">
      <c r="A629" s="49"/>
    </row>
    <row r="630">
      <c r="A630" s="49"/>
    </row>
    <row r="631">
      <c r="A631" s="49"/>
    </row>
    <row r="632">
      <c r="A632" s="49"/>
    </row>
    <row r="633">
      <c r="A633" s="49"/>
    </row>
    <row r="634">
      <c r="A634" s="49"/>
    </row>
    <row r="635">
      <c r="A635" s="49"/>
    </row>
    <row r="636">
      <c r="A636" s="49"/>
    </row>
    <row r="637">
      <c r="A637" s="49"/>
    </row>
    <row r="638">
      <c r="A638" s="49"/>
    </row>
    <row r="639">
      <c r="A639" s="49"/>
    </row>
    <row r="640">
      <c r="A640" s="49"/>
    </row>
    <row r="641">
      <c r="A641" s="49"/>
    </row>
    <row r="642">
      <c r="A642" s="49"/>
    </row>
    <row r="643">
      <c r="A643" s="49"/>
    </row>
    <row r="644">
      <c r="A644" s="49"/>
    </row>
    <row r="645">
      <c r="A645" s="49"/>
    </row>
    <row r="646">
      <c r="A646" s="49"/>
    </row>
    <row r="647">
      <c r="A647" s="49"/>
    </row>
    <row r="648">
      <c r="A648" s="49"/>
    </row>
    <row r="649">
      <c r="A649" s="49"/>
    </row>
    <row r="650">
      <c r="A650" s="49"/>
    </row>
    <row r="651">
      <c r="A651" s="49"/>
    </row>
    <row r="652">
      <c r="A652" s="49"/>
    </row>
    <row r="653">
      <c r="A653" s="49"/>
    </row>
    <row r="654">
      <c r="A654" s="49"/>
    </row>
    <row r="655">
      <c r="A655" s="49"/>
    </row>
    <row r="656">
      <c r="A656" s="49"/>
    </row>
    <row r="657">
      <c r="A657" s="49"/>
    </row>
    <row r="658">
      <c r="A658" s="49"/>
    </row>
    <row r="659">
      <c r="A659" s="49"/>
    </row>
    <row r="660">
      <c r="A660" s="49"/>
    </row>
    <row r="661">
      <c r="A661" s="49"/>
    </row>
    <row r="662">
      <c r="A662" s="49"/>
    </row>
    <row r="663">
      <c r="A663" s="49"/>
    </row>
    <row r="664">
      <c r="A664" s="49"/>
    </row>
    <row r="665">
      <c r="A665" s="49"/>
    </row>
    <row r="666">
      <c r="A666" s="49"/>
    </row>
    <row r="667">
      <c r="A667" s="49"/>
    </row>
    <row r="668">
      <c r="A668" s="49"/>
    </row>
    <row r="669">
      <c r="A669" s="49"/>
    </row>
    <row r="670">
      <c r="A670" s="49"/>
    </row>
    <row r="671">
      <c r="A671" s="49"/>
    </row>
    <row r="672">
      <c r="A672" s="49"/>
    </row>
    <row r="673">
      <c r="A673" s="49"/>
    </row>
    <row r="674">
      <c r="A674" s="49"/>
    </row>
    <row r="675">
      <c r="A675" s="49"/>
    </row>
    <row r="676">
      <c r="A676" s="49"/>
    </row>
    <row r="677">
      <c r="A677" s="49"/>
    </row>
    <row r="678">
      <c r="A678" s="49"/>
    </row>
    <row r="679">
      <c r="A679" s="49"/>
    </row>
    <row r="680">
      <c r="A680" s="49"/>
    </row>
    <row r="681">
      <c r="A681" s="49"/>
    </row>
    <row r="682">
      <c r="A682" s="49"/>
    </row>
    <row r="683">
      <c r="A683" s="49"/>
    </row>
    <row r="684">
      <c r="A684" s="49"/>
    </row>
    <row r="685">
      <c r="A685" s="49"/>
    </row>
    <row r="686">
      <c r="A686" s="49"/>
    </row>
    <row r="687">
      <c r="A687" s="49"/>
    </row>
    <row r="688">
      <c r="A688" s="49"/>
    </row>
    <row r="689">
      <c r="A689" s="49"/>
    </row>
    <row r="690">
      <c r="A690" s="49"/>
    </row>
    <row r="691">
      <c r="A691" s="49"/>
    </row>
    <row r="692">
      <c r="A692" s="49"/>
    </row>
    <row r="693">
      <c r="A693" s="49"/>
    </row>
    <row r="694">
      <c r="A694" s="49"/>
    </row>
    <row r="695">
      <c r="A695" s="49"/>
    </row>
    <row r="696">
      <c r="A696" s="49"/>
    </row>
    <row r="697">
      <c r="A697" s="49"/>
    </row>
    <row r="698">
      <c r="A698" s="49"/>
    </row>
    <row r="699">
      <c r="A699" s="49"/>
    </row>
    <row r="700">
      <c r="A700" s="49"/>
    </row>
    <row r="701">
      <c r="A701" s="49"/>
    </row>
    <row r="702">
      <c r="A702" s="49"/>
    </row>
    <row r="703">
      <c r="A703" s="49"/>
    </row>
    <row r="704">
      <c r="A704" s="49"/>
    </row>
    <row r="705">
      <c r="A705" s="49"/>
    </row>
    <row r="706">
      <c r="A706" s="49"/>
    </row>
    <row r="707">
      <c r="A707" s="49"/>
    </row>
    <row r="708">
      <c r="A708" s="49"/>
    </row>
    <row r="709">
      <c r="A709" s="49"/>
    </row>
    <row r="710">
      <c r="A710" s="49"/>
    </row>
    <row r="711">
      <c r="A711" s="49"/>
    </row>
    <row r="712">
      <c r="A712" s="49"/>
    </row>
    <row r="713">
      <c r="A713" s="49"/>
    </row>
    <row r="714">
      <c r="A714" s="49"/>
    </row>
    <row r="715">
      <c r="A715" s="49"/>
    </row>
    <row r="716">
      <c r="A716" s="49"/>
    </row>
    <row r="717">
      <c r="A717" s="49"/>
    </row>
    <row r="718">
      <c r="A718" s="49"/>
    </row>
    <row r="719">
      <c r="A719" s="49"/>
    </row>
    <row r="720">
      <c r="A720" s="49"/>
    </row>
    <row r="721">
      <c r="A721" s="49"/>
    </row>
    <row r="722">
      <c r="A722" s="49"/>
    </row>
    <row r="723">
      <c r="A723" s="49"/>
    </row>
    <row r="724">
      <c r="A724" s="49"/>
    </row>
    <row r="725">
      <c r="A725" s="49"/>
    </row>
    <row r="726">
      <c r="A726" s="49"/>
    </row>
    <row r="727">
      <c r="A727" s="49"/>
    </row>
    <row r="728">
      <c r="A728" s="49"/>
    </row>
    <row r="729">
      <c r="A729" s="49"/>
    </row>
    <row r="730">
      <c r="A730" s="49"/>
    </row>
    <row r="731">
      <c r="A731" s="49"/>
    </row>
    <row r="732">
      <c r="A732" s="49"/>
    </row>
    <row r="733">
      <c r="A733" s="49"/>
    </row>
    <row r="734">
      <c r="A734" s="49"/>
    </row>
    <row r="735">
      <c r="A735" s="49"/>
    </row>
    <row r="736">
      <c r="A736" s="49"/>
    </row>
    <row r="737">
      <c r="A737" s="49"/>
    </row>
    <row r="738">
      <c r="A738" s="49"/>
    </row>
    <row r="739">
      <c r="A739" s="49"/>
    </row>
    <row r="740">
      <c r="A740" s="49"/>
    </row>
    <row r="741">
      <c r="A741" s="49"/>
    </row>
    <row r="742">
      <c r="A742" s="49"/>
    </row>
    <row r="743">
      <c r="A743" s="49"/>
    </row>
    <row r="744">
      <c r="A744" s="49"/>
    </row>
    <row r="745">
      <c r="A745" s="49"/>
    </row>
    <row r="746">
      <c r="A746" s="49"/>
    </row>
    <row r="747">
      <c r="A747" s="49"/>
    </row>
    <row r="748">
      <c r="A748" s="49"/>
    </row>
    <row r="749">
      <c r="A749" s="49"/>
    </row>
    <row r="750">
      <c r="A750" s="49"/>
    </row>
    <row r="751">
      <c r="A751" s="49"/>
    </row>
    <row r="752">
      <c r="A752" s="49"/>
    </row>
    <row r="753">
      <c r="A753" s="49"/>
    </row>
    <row r="754">
      <c r="A754" s="49"/>
    </row>
    <row r="755">
      <c r="A755" s="49"/>
    </row>
    <row r="756">
      <c r="A756" s="49"/>
    </row>
    <row r="757">
      <c r="A757" s="49"/>
    </row>
    <row r="758">
      <c r="A758" s="49"/>
    </row>
    <row r="759">
      <c r="A759" s="49"/>
    </row>
    <row r="760">
      <c r="A760" s="49"/>
    </row>
    <row r="761">
      <c r="A761" s="49"/>
    </row>
    <row r="762">
      <c r="A762" s="49"/>
    </row>
    <row r="763">
      <c r="A763" s="49"/>
    </row>
    <row r="764">
      <c r="A764" s="49"/>
    </row>
    <row r="765">
      <c r="A765" s="49"/>
    </row>
    <row r="766">
      <c r="A766" s="49"/>
    </row>
    <row r="767">
      <c r="A767" s="49"/>
    </row>
    <row r="768">
      <c r="A768" s="49"/>
    </row>
    <row r="769">
      <c r="A769" s="49"/>
    </row>
    <row r="770">
      <c r="A770" s="49"/>
    </row>
    <row r="771">
      <c r="A771" s="49"/>
    </row>
    <row r="772">
      <c r="A772" s="49"/>
    </row>
    <row r="773">
      <c r="A773" s="49"/>
    </row>
    <row r="774">
      <c r="A774" s="49"/>
    </row>
    <row r="775">
      <c r="A775" s="49"/>
    </row>
    <row r="776">
      <c r="A776" s="49"/>
    </row>
    <row r="777">
      <c r="A777" s="49"/>
    </row>
    <row r="778">
      <c r="A778" s="49"/>
    </row>
    <row r="779">
      <c r="A779" s="49"/>
    </row>
    <row r="780">
      <c r="A780" s="49"/>
    </row>
    <row r="781">
      <c r="A781" s="49"/>
    </row>
    <row r="782">
      <c r="A782" s="49"/>
    </row>
    <row r="783">
      <c r="A783" s="49"/>
    </row>
    <row r="784">
      <c r="A784" s="49"/>
    </row>
    <row r="785">
      <c r="A785" s="49"/>
    </row>
    <row r="786">
      <c r="A786" s="49"/>
    </row>
    <row r="787">
      <c r="A787" s="49"/>
    </row>
    <row r="788">
      <c r="A788" s="49"/>
    </row>
    <row r="789">
      <c r="A789" s="49"/>
    </row>
    <row r="790">
      <c r="A790" s="49"/>
    </row>
    <row r="791">
      <c r="A791" s="49"/>
    </row>
    <row r="792">
      <c r="A792" s="49"/>
    </row>
    <row r="793">
      <c r="A793" s="49"/>
    </row>
    <row r="794">
      <c r="A794" s="49"/>
    </row>
    <row r="795">
      <c r="A795" s="49"/>
    </row>
    <row r="796">
      <c r="A796" s="49"/>
    </row>
    <row r="797">
      <c r="A797" s="49"/>
    </row>
    <row r="798">
      <c r="A798" s="49"/>
    </row>
    <row r="799">
      <c r="A799" s="49"/>
    </row>
    <row r="800">
      <c r="A800" s="49"/>
    </row>
    <row r="801">
      <c r="A801" s="49"/>
    </row>
    <row r="802">
      <c r="A802" s="49"/>
    </row>
    <row r="803">
      <c r="A803" s="49"/>
    </row>
    <row r="804">
      <c r="A804" s="49"/>
    </row>
    <row r="805">
      <c r="A805" s="49"/>
    </row>
    <row r="806">
      <c r="A806" s="49"/>
    </row>
    <row r="807">
      <c r="A807" s="49"/>
    </row>
    <row r="808">
      <c r="A808" s="49"/>
    </row>
    <row r="809">
      <c r="A809" s="49"/>
    </row>
    <row r="810">
      <c r="A810" s="49"/>
    </row>
    <row r="811">
      <c r="A811" s="49"/>
    </row>
    <row r="812">
      <c r="A812" s="49"/>
    </row>
    <row r="813">
      <c r="A813" s="49"/>
    </row>
    <row r="814">
      <c r="A814" s="49"/>
    </row>
    <row r="815">
      <c r="A815" s="49"/>
    </row>
    <row r="816">
      <c r="A816" s="49"/>
    </row>
    <row r="817">
      <c r="A817" s="49"/>
    </row>
    <row r="818">
      <c r="A818" s="49"/>
    </row>
    <row r="819">
      <c r="A819" s="49"/>
    </row>
    <row r="820">
      <c r="A820" s="49"/>
    </row>
    <row r="821">
      <c r="A821" s="49"/>
    </row>
    <row r="822">
      <c r="A822" s="49"/>
    </row>
    <row r="823">
      <c r="A823" s="49"/>
    </row>
    <row r="824">
      <c r="A824" s="49"/>
    </row>
    <row r="825">
      <c r="A825" s="49"/>
    </row>
    <row r="826">
      <c r="A826" s="49"/>
    </row>
    <row r="827">
      <c r="A827" s="49"/>
    </row>
    <row r="828">
      <c r="A828" s="49"/>
    </row>
    <row r="829">
      <c r="A829" s="49"/>
    </row>
    <row r="830">
      <c r="A830" s="49"/>
    </row>
    <row r="831">
      <c r="A831" s="49"/>
    </row>
    <row r="832">
      <c r="A832" s="49"/>
    </row>
    <row r="833">
      <c r="A833" s="49"/>
    </row>
    <row r="834">
      <c r="A834" s="49"/>
    </row>
    <row r="835">
      <c r="A835" s="49"/>
    </row>
    <row r="836">
      <c r="A836" s="49"/>
    </row>
    <row r="837">
      <c r="A837" s="49"/>
    </row>
    <row r="838">
      <c r="A838" s="49"/>
    </row>
    <row r="839">
      <c r="A839" s="49"/>
    </row>
    <row r="840">
      <c r="A840" s="49"/>
    </row>
    <row r="841">
      <c r="A841" s="49"/>
    </row>
    <row r="842">
      <c r="A842" s="49"/>
    </row>
    <row r="843">
      <c r="A843" s="49"/>
    </row>
    <row r="844">
      <c r="A844" s="49"/>
    </row>
    <row r="845">
      <c r="A845" s="49"/>
    </row>
    <row r="846">
      <c r="A846" s="49"/>
    </row>
    <row r="847">
      <c r="A847" s="49"/>
    </row>
    <row r="848">
      <c r="A848" s="49"/>
    </row>
    <row r="849">
      <c r="A849" s="49"/>
    </row>
    <row r="850">
      <c r="A850" s="49"/>
    </row>
    <row r="851">
      <c r="A851" s="49"/>
    </row>
    <row r="852">
      <c r="A852" s="49"/>
    </row>
    <row r="853">
      <c r="A853" s="49"/>
    </row>
    <row r="854">
      <c r="A854" s="49"/>
    </row>
    <row r="855">
      <c r="A855" s="49"/>
    </row>
    <row r="856">
      <c r="A856" s="49"/>
    </row>
    <row r="857">
      <c r="A857" s="49"/>
    </row>
    <row r="858">
      <c r="A858" s="49"/>
    </row>
    <row r="859">
      <c r="A859" s="49"/>
    </row>
    <row r="860">
      <c r="A860" s="49"/>
    </row>
    <row r="861">
      <c r="A861" s="49"/>
    </row>
    <row r="862">
      <c r="A862" s="49"/>
    </row>
    <row r="863">
      <c r="A863" s="49"/>
    </row>
    <row r="864">
      <c r="A864" s="49"/>
    </row>
    <row r="865">
      <c r="A865" s="49"/>
    </row>
    <row r="866">
      <c r="A866" s="49"/>
    </row>
    <row r="867">
      <c r="A867" s="49"/>
    </row>
    <row r="868">
      <c r="A868" s="49"/>
    </row>
    <row r="869">
      <c r="A869" s="49"/>
    </row>
    <row r="870">
      <c r="A870" s="49"/>
    </row>
    <row r="871">
      <c r="A871" s="49"/>
    </row>
    <row r="872">
      <c r="A872" s="49"/>
    </row>
    <row r="873">
      <c r="A873" s="49"/>
    </row>
    <row r="874">
      <c r="A874" s="49"/>
    </row>
    <row r="875">
      <c r="A875" s="49"/>
    </row>
    <row r="876">
      <c r="A876" s="49"/>
    </row>
    <row r="877">
      <c r="A877" s="49"/>
    </row>
    <row r="878">
      <c r="A878" s="49"/>
    </row>
    <row r="879">
      <c r="A879" s="49"/>
    </row>
    <row r="880">
      <c r="A880" s="49"/>
    </row>
    <row r="881">
      <c r="A881" s="49"/>
    </row>
    <row r="882">
      <c r="A882" s="49"/>
    </row>
    <row r="883">
      <c r="A883" s="49"/>
    </row>
    <row r="884">
      <c r="A884" s="49"/>
    </row>
    <row r="885">
      <c r="A885" s="49"/>
    </row>
    <row r="886">
      <c r="A886" s="49"/>
    </row>
    <row r="887">
      <c r="A887" s="49"/>
    </row>
    <row r="888">
      <c r="A888" s="49"/>
    </row>
    <row r="889">
      <c r="A889" s="49"/>
    </row>
    <row r="890">
      <c r="A890" s="49"/>
    </row>
    <row r="891">
      <c r="A891" s="49"/>
    </row>
    <row r="892">
      <c r="A892" s="49"/>
    </row>
    <row r="893">
      <c r="A893" s="49"/>
    </row>
    <row r="894">
      <c r="A894" s="49"/>
    </row>
    <row r="895">
      <c r="A895" s="49"/>
    </row>
    <row r="896">
      <c r="A896" s="49"/>
    </row>
    <row r="897">
      <c r="A897" s="49"/>
    </row>
    <row r="898">
      <c r="A898" s="49"/>
    </row>
    <row r="899">
      <c r="A899" s="49"/>
    </row>
    <row r="900">
      <c r="A900" s="49"/>
    </row>
    <row r="901">
      <c r="A901" s="49"/>
    </row>
    <row r="902">
      <c r="A902" s="49"/>
    </row>
    <row r="903">
      <c r="A903" s="49"/>
    </row>
    <row r="904">
      <c r="A904" s="49"/>
    </row>
    <row r="905">
      <c r="A905" s="49"/>
    </row>
    <row r="906">
      <c r="A906" s="49"/>
    </row>
    <row r="907">
      <c r="A907" s="49"/>
    </row>
    <row r="908">
      <c r="A908" s="49"/>
    </row>
    <row r="909">
      <c r="A909" s="49"/>
    </row>
    <row r="910">
      <c r="A910" s="49"/>
    </row>
    <row r="911">
      <c r="A911" s="49"/>
    </row>
    <row r="912">
      <c r="A912" s="49"/>
    </row>
    <row r="913">
      <c r="A913" s="49"/>
    </row>
    <row r="914">
      <c r="A914" s="49"/>
    </row>
    <row r="915">
      <c r="A915" s="49"/>
    </row>
    <row r="916">
      <c r="A916" s="49"/>
    </row>
    <row r="917">
      <c r="A917" s="49"/>
    </row>
    <row r="918">
      <c r="A918" s="49"/>
    </row>
    <row r="919">
      <c r="A919" s="49"/>
    </row>
    <row r="920">
      <c r="A920" s="49"/>
    </row>
    <row r="921">
      <c r="A921" s="49"/>
    </row>
    <row r="922">
      <c r="A922" s="49"/>
    </row>
    <row r="923">
      <c r="A923" s="49"/>
    </row>
    <row r="924">
      <c r="A924" s="49"/>
    </row>
    <row r="925">
      <c r="A925" s="49"/>
    </row>
    <row r="926">
      <c r="A926" s="49"/>
    </row>
    <row r="927">
      <c r="A927" s="49"/>
    </row>
    <row r="928">
      <c r="A928" s="49"/>
    </row>
    <row r="929">
      <c r="A929" s="49"/>
    </row>
    <row r="930">
      <c r="A930" s="49"/>
    </row>
    <row r="931">
      <c r="A931" s="49"/>
    </row>
    <row r="932">
      <c r="A932" s="49"/>
    </row>
    <row r="933">
      <c r="A933" s="49"/>
    </row>
    <row r="934">
      <c r="A934" s="49"/>
    </row>
    <row r="935">
      <c r="A935" s="49"/>
    </row>
    <row r="936">
      <c r="A936" s="49"/>
    </row>
    <row r="937">
      <c r="A937" s="49"/>
    </row>
    <row r="938">
      <c r="A938" s="49"/>
    </row>
    <row r="939">
      <c r="A939" s="49"/>
    </row>
    <row r="940">
      <c r="A940" s="49"/>
    </row>
    <row r="941">
      <c r="A941" s="49"/>
    </row>
    <row r="942">
      <c r="A942" s="49"/>
    </row>
    <row r="943">
      <c r="A943" s="49"/>
    </row>
    <row r="944">
      <c r="A944" s="49"/>
    </row>
    <row r="945">
      <c r="A945" s="49"/>
    </row>
    <row r="946">
      <c r="A946" s="49"/>
    </row>
    <row r="947">
      <c r="A947" s="49"/>
    </row>
    <row r="948">
      <c r="A948" s="49"/>
    </row>
    <row r="949">
      <c r="A949" s="49"/>
    </row>
    <row r="950">
      <c r="A950" s="49"/>
    </row>
    <row r="951">
      <c r="A951" s="49"/>
    </row>
    <row r="952">
      <c r="A952" s="49"/>
    </row>
    <row r="953">
      <c r="A953" s="49"/>
    </row>
    <row r="954">
      <c r="A954" s="49"/>
    </row>
    <row r="955">
      <c r="A955" s="49"/>
    </row>
    <row r="956">
      <c r="A956" s="49"/>
    </row>
    <row r="957">
      <c r="A957" s="49"/>
    </row>
    <row r="958">
      <c r="A958" s="49"/>
    </row>
    <row r="959">
      <c r="A959" s="49"/>
    </row>
    <row r="960">
      <c r="A960" s="49"/>
    </row>
    <row r="961">
      <c r="A961" s="49"/>
    </row>
    <row r="962">
      <c r="A962" s="49"/>
    </row>
    <row r="963">
      <c r="A963" s="49"/>
    </row>
    <row r="964">
      <c r="A964" s="49"/>
    </row>
    <row r="965">
      <c r="A965" s="49"/>
    </row>
    <row r="966">
      <c r="A966" s="49"/>
    </row>
    <row r="967">
      <c r="A967" s="49"/>
    </row>
    <row r="968">
      <c r="A968" s="49"/>
    </row>
    <row r="969">
      <c r="A969" s="49"/>
    </row>
    <row r="970">
      <c r="A970" s="49"/>
    </row>
    <row r="971">
      <c r="A971" s="49"/>
    </row>
    <row r="972">
      <c r="A972" s="49"/>
    </row>
    <row r="973">
      <c r="A973" s="49"/>
    </row>
    <row r="974">
      <c r="A974" s="49"/>
    </row>
    <row r="975">
      <c r="A975" s="49"/>
    </row>
    <row r="976">
      <c r="A976" s="49"/>
    </row>
    <row r="977">
      <c r="A977" s="49"/>
    </row>
    <row r="978">
      <c r="A978" s="49"/>
    </row>
    <row r="979">
      <c r="A979" s="49"/>
    </row>
    <row r="980">
      <c r="A980" s="49"/>
    </row>
    <row r="981">
      <c r="A981" s="49"/>
    </row>
    <row r="982">
      <c r="A982" s="49"/>
    </row>
    <row r="983">
      <c r="A983" s="49"/>
    </row>
    <row r="984">
      <c r="A984" s="49"/>
    </row>
    <row r="985">
      <c r="A985" s="49"/>
    </row>
    <row r="986">
      <c r="A986" s="49"/>
    </row>
    <row r="987">
      <c r="A987" s="49"/>
    </row>
    <row r="988">
      <c r="A988" s="49"/>
    </row>
    <row r="989">
      <c r="A989" s="49"/>
    </row>
    <row r="990">
      <c r="A990" s="49"/>
    </row>
    <row r="991">
      <c r="A991" s="49"/>
    </row>
    <row r="992">
      <c r="A992" s="49"/>
    </row>
    <row r="993">
      <c r="A993" s="49"/>
    </row>
    <row r="994">
      <c r="A994" s="49"/>
    </row>
    <row r="995">
      <c r="A995" s="49"/>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13"/>
    <col customWidth="1" min="2" max="2" width="26.75"/>
    <col customWidth="1" min="3" max="3" width="67.5"/>
  </cols>
  <sheetData>
    <row r="1">
      <c r="A1" s="2" t="s">
        <v>17189</v>
      </c>
      <c r="D1" s="33"/>
    </row>
    <row r="2">
      <c r="A2" s="2" t="s">
        <v>17190</v>
      </c>
      <c r="B2" s="2" t="s">
        <v>722</v>
      </c>
      <c r="C2" s="2" t="s">
        <v>21</v>
      </c>
      <c r="D2" s="17" t="s">
        <v>17192</v>
      </c>
    </row>
    <row r="3">
      <c r="A3" s="12" t="str">
        <f>IFERROR(__xludf.DUMMYFUNCTION("UNIQUE(
  QUERY(
    'DNU_Go Lives'!A2:I999,
    ""SELECT Col1, Col5, Col6, Col9 
     WHERE Col9 &gt;= DATE '"" &amp; TEXT(TODAY() - 30, ""yyyy-mm-dd"") &amp; ""' 
       AND Col9 &lt;= DATE '"" &amp; TEXT(TODAY(), ""yyyy-mm-dd"") &amp; ""' 
       AND Col2 = 'State &amp; Local G"&amp;"overnment' OR Col2 = 'Special Districts'
         ORDER BY Col9 ASC"", 
    0
  )
)"),"Ontario International Airport Authority")</f>
        <v>Ontario International Airport Authority</v>
      </c>
      <c r="B3" s="12" t="str">
        <f>IFERROR(__xludf.DUMMYFUNCTION("""COMPUTED_VALUE"""),"Groove Global LLC")</f>
        <v>Groove Global LLC</v>
      </c>
      <c r="C3" s="12" t="str">
        <f>IFERROR(__xludf.DUMMYFUNCTION("""COMPUTED_VALUE"""),"Subsequent- Phase X- Learning")</f>
        <v>Subsequent- Phase X- Learning</v>
      </c>
      <c r="D3" s="50">
        <f>IFERROR(__xludf.DUMMYFUNCTION("""COMPUTED_VALUE"""),46153.0)</f>
        <v>46153</v>
      </c>
    </row>
    <row r="4">
      <c r="A4" s="12" t="str">
        <f>IFERROR(__xludf.DUMMYFUNCTION("""COMPUTED_VALUE"""),"Seneca Gaming Corporation")</f>
        <v>Seneca Gaming Corporation</v>
      </c>
      <c r="B4" s="12" t="str">
        <f>IFERROR(__xludf.DUMMYFUNCTION("""COMPUTED_VALUE"""),"Workday Professional Services")</f>
        <v>Workday Professional Services</v>
      </c>
      <c r="C4" s="12" t="str">
        <f>IFERROR(__xludf.DUMMYFUNCTION("""COMPUTED_VALUE"""),"Initial Deployment-Launch-HCM&amp;PAY")</f>
        <v>Initial Deployment-Launch-HCM&amp;PAY</v>
      </c>
      <c r="D4" s="50">
        <f>IFERROR(__xludf.DUMMYFUNCTION("""COMPUTED_VALUE"""),46171.0)</f>
        <v>46171</v>
      </c>
    </row>
    <row r="5">
      <c r="A5" s="12" t="str">
        <f>IFERROR(__xludf.DUMMYFUNCTION("""COMPUTED_VALUE"""),"Ben Franklin Transit")</f>
        <v>Ben Franklin Transit</v>
      </c>
      <c r="B5" s="12" t="str">
        <f>IFERROR(__xludf.DUMMYFUNCTION("""COMPUTED_VALUE"""),"Avaap USA, LLC")</f>
        <v>Avaap USA, LLC</v>
      </c>
      <c r="C5" s="12" t="str">
        <f>IFERROR(__xludf.DUMMYFUNCTION("""COMPUTED_VALUE"""),"Initial Deployment-Your Way-CHCM, TLO, CCB, REC, FIN, GM, USP, PLNF, PRJT, etc.")</f>
        <v>Initial Deployment-Your Way-CHCM, TLO, CCB, REC, FIN, GM, USP, PLNF, PRJT, etc.</v>
      </c>
      <c r="D5" s="50">
        <f>IFERROR(__xludf.DUMMYFUNCTION("""COMPUTED_VALUE"""),46181.0)</f>
        <v>46181</v>
      </c>
    </row>
    <row r="6">
      <c r="A6" s="12" t="str">
        <f>IFERROR(__xludf.DUMMYFUNCTION("""COMPUTED_VALUE"""),"North Texas Tollway Authority (Precision Task Group, Inc.)")</f>
        <v>North Texas Tollway Authority (Precision Task Group, Inc.)</v>
      </c>
      <c r="B6" s="12" t="str">
        <f>IFERROR(__xludf.DUMMYFUNCTION("""COMPUTED_VALUE"""),"Precision Task Group Inc.")</f>
        <v>Precision Task Group Inc.</v>
      </c>
      <c r="C6" s="12" t="str">
        <f>IFERROR(__xludf.DUMMYFUNCTION("""COMPUTED_VALUE"""),"Initial Deployment-Your Way-CHCM, TLO, HLP, JRNY, EMPVCE, CCB, USP, LRN, etc.")</f>
        <v>Initial Deployment-Your Way-CHCM, TLO, HLP, JRNY, EMPVCE, CCB, USP, LRN, etc.</v>
      </c>
      <c r="D6" s="50">
        <f>IFERROR(__xludf.DUMMYFUNCTION("""COMPUTED_VALUE"""),46188.0)</f>
        <v>46188</v>
      </c>
    </row>
    <row r="7">
      <c r="D7" s="33"/>
    </row>
    <row r="8">
      <c r="D8" s="33"/>
    </row>
    <row r="9">
      <c r="D9" s="33"/>
    </row>
    <row r="10">
      <c r="D10" s="33"/>
    </row>
    <row r="11">
      <c r="D11" s="33"/>
    </row>
    <row r="12">
      <c r="D12" s="33"/>
    </row>
    <row r="13">
      <c r="D13" s="33"/>
    </row>
    <row r="14">
      <c r="D14" s="33"/>
    </row>
    <row r="15">
      <c r="D15" s="33"/>
    </row>
    <row r="16">
      <c r="D16" s="33"/>
    </row>
    <row r="17">
      <c r="D17" s="33"/>
    </row>
    <row r="18">
      <c r="D18" s="33"/>
    </row>
    <row r="19">
      <c r="D19" s="33"/>
    </row>
    <row r="20">
      <c r="D20" s="33"/>
    </row>
    <row r="21">
      <c r="D21" s="33"/>
    </row>
    <row r="22">
      <c r="D22" s="33"/>
    </row>
    <row r="23">
      <c r="D23" s="33"/>
    </row>
    <row r="24">
      <c r="D24" s="33"/>
    </row>
    <row r="25">
      <c r="D25" s="33"/>
    </row>
    <row r="26">
      <c r="D26" s="33"/>
    </row>
    <row r="27">
      <c r="D27" s="33"/>
    </row>
    <row r="28">
      <c r="D28" s="33"/>
    </row>
    <row r="29">
      <c r="D29" s="33"/>
    </row>
    <row r="30">
      <c r="D30" s="33"/>
    </row>
    <row r="31">
      <c r="D31" s="33"/>
    </row>
    <row r="32">
      <c r="D32" s="33"/>
    </row>
    <row r="33">
      <c r="D33" s="33"/>
    </row>
    <row r="34">
      <c r="D34" s="33"/>
    </row>
    <row r="35">
      <c r="D35" s="33"/>
    </row>
    <row r="36">
      <c r="D36" s="33"/>
    </row>
    <row r="37">
      <c r="D37" s="33"/>
    </row>
    <row r="38">
      <c r="D38" s="33"/>
    </row>
    <row r="39">
      <c r="D39" s="33"/>
    </row>
    <row r="40">
      <c r="D40" s="33"/>
    </row>
    <row r="41">
      <c r="D41" s="33"/>
    </row>
    <row r="42">
      <c r="D42" s="33"/>
    </row>
    <row r="43">
      <c r="D43" s="33"/>
    </row>
    <row r="44">
      <c r="D44" s="33"/>
    </row>
    <row r="45">
      <c r="D45" s="33"/>
    </row>
    <row r="46">
      <c r="D46" s="33"/>
    </row>
    <row r="47">
      <c r="D47" s="33"/>
    </row>
    <row r="48">
      <c r="D48" s="33"/>
    </row>
    <row r="49">
      <c r="D49" s="33"/>
    </row>
    <row r="50">
      <c r="D50" s="33"/>
    </row>
    <row r="51">
      <c r="D51" s="33"/>
    </row>
    <row r="52">
      <c r="D52" s="33"/>
    </row>
    <row r="53">
      <c r="D53" s="33"/>
    </row>
    <row r="54">
      <c r="D54" s="33"/>
    </row>
    <row r="55">
      <c r="D55" s="33"/>
    </row>
    <row r="56">
      <c r="D56" s="33"/>
    </row>
    <row r="57">
      <c r="D57" s="33"/>
    </row>
    <row r="58">
      <c r="D58" s="33"/>
    </row>
    <row r="59">
      <c r="D59" s="33"/>
    </row>
    <row r="60">
      <c r="D60" s="33"/>
    </row>
    <row r="61">
      <c r="D61" s="33"/>
    </row>
    <row r="62">
      <c r="D62" s="33"/>
    </row>
    <row r="63">
      <c r="D63" s="33"/>
    </row>
    <row r="64">
      <c r="D64" s="33"/>
    </row>
    <row r="65">
      <c r="D65" s="33"/>
    </row>
    <row r="66">
      <c r="D66" s="33"/>
    </row>
    <row r="67">
      <c r="D67" s="33"/>
    </row>
    <row r="68">
      <c r="D68" s="33"/>
    </row>
    <row r="69">
      <c r="D69" s="33"/>
    </row>
    <row r="70">
      <c r="D70" s="33"/>
    </row>
    <row r="71">
      <c r="D71" s="33"/>
    </row>
    <row r="72">
      <c r="D72" s="33"/>
    </row>
    <row r="73">
      <c r="D73" s="33"/>
    </row>
    <row r="74">
      <c r="D74" s="33"/>
    </row>
    <row r="75">
      <c r="D75" s="33"/>
    </row>
    <row r="76">
      <c r="D76" s="33"/>
    </row>
    <row r="77">
      <c r="D77" s="33"/>
    </row>
    <row r="78">
      <c r="D78" s="33"/>
    </row>
    <row r="79">
      <c r="D79" s="33"/>
    </row>
    <row r="80">
      <c r="D80" s="33"/>
    </row>
    <row r="81">
      <c r="D81" s="33"/>
    </row>
    <row r="82">
      <c r="D82" s="33"/>
    </row>
    <row r="83">
      <c r="D83" s="33"/>
    </row>
    <row r="84">
      <c r="D84" s="33"/>
    </row>
    <row r="85">
      <c r="D85" s="33"/>
    </row>
    <row r="86">
      <c r="D86" s="33"/>
    </row>
    <row r="87">
      <c r="D87" s="33"/>
    </row>
    <row r="88">
      <c r="D88" s="33"/>
    </row>
    <row r="89">
      <c r="D89" s="33"/>
    </row>
    <row r="90">
      <c r="D90" s="33"/>
    </row>
    <row r="91">
      <c r="D91" s="33"/>
    </row>
    <row r="92">
      <c r="D92" s="33"/>
    </row>
    <row r="93">
      <c r="D93" s="33"/>
    </row>
    <row r="94">
      <c r="D94" s="33"/>
    </row>
    <row r="95">
      <c r="D95" s="33"/>
    </row>
    <row r="96">
      <c r="D96" s="33"/>
    </row>
    <row r="97">
      <c r="D97" s="33"/>
    </row>
    <row r="98">
      <c r="D98" s="33"/>
    </row>
    <row r="99">
      <c r="D99" s="33"/>
    </row>
    <row r="100">
      <c r="D100" s="33"/>
    </row>
    <row r="101">
      <c r="D101" s="33"/>
    </row>
    <row r="102">
      <c r="D102" s="33"/>
    </row>
    <row r="103">
      <c r="D103" s="33"/>
    </row>
    <row r="104">
      <c r="D104" s="33"/>
    </row>
    <row r="105">
      <c r="D105" s="33"/>
    </row>
    <row r="106">
      <c r="D106" s="33"/>
    </row>
    <row r="107">
      <c r="D107" s="33"/>
    </row>
    <row r="108">
      <c r="D108" s="33"/>
    </row>
    <row r="109">
      <c r="D109" s="33"/>
    </row>
    <row r="110">
      <c r="D110" s="33"/>
    </row>
    <row r="111">
      <c r="D111" s="33"/>
    </row>
    <row r="112">
      <c r="D112" s="33"/>
    </row>
    <row r="113">
      <c r="D113" s="33"/>
    </row>
    <row r="114">
      <c r="D114" s="33"/>
    </row>
    <row r="115">
      <c r="D115" s="33"/>
    </row>
    <row r="116">
      <c r="D116" s="33"/>
    </row>
    <row r="117">
      <c r="D117" s="33"/>
    </row>
    <row r="118">
      <c r="D118" s="33"/>
    </row>
    <row r="119">
      <c r="D119" s="33"/>
    </row>
    <row r="120">
      <c r="D120" s="33"/>
    </row>
    <row r="121">
      <c r="D121" s="33"/>
    </row>
    <row r="122">
      <c r="D122" s="33"/>
    </row>
    <row r="123">
      <c r="D123" s="33"/>
    </row>
    <row r="124">
      <c r="D124" s="33"/>
    </row>
    <row r="125">
      <c r="D125" s="33"/>
    </row>
    <row r="126">
      <c r="D126" s="33"/>
    </row>
    <row r="127">
      <c r="D127" s="33"/>
    </row>
    <row r="128">
      <c r="D128" s="33"/>
    </row>
    <row r="129">
      <c r="D129" s="33"/>
    </row>
    <row r="130">
      <c r="D130" s="33"/>
    </row>
    <row r="131">
      <c r="D131" s="33"/>
    </row>
    <row r="132">
      <c r="D132" s="33"/>
    </row>
    <row r="133">
      <c r="D133" s="33"/>
    </row>
    <row r="134">
      <c r="D134" s="33"/>
    </row>
    <row r="135">
      <c r="D135" s="33"/>
    </row>
    <row r="136">
      <c r="D136" s="33"/>
    </row>
    <row r="137">
      <c r="D137" s="33"/>
    </row>
    <row r="138">
      <c r="D138" s="33"/>
    </row>
    <row r="139">
      <c r="D139" s="33"/>
    </row>
    <row r="140">
      <c r="D140" s="33"/>
    </row>
    <row r="141">
      <c r="D141" s="33"/>
    </row>
    <row r="142">
      <c r="D142" s="33"/>
    </row>
    <row r="143">
      <c r="D143" s="33"/>
    </row>
    <row r="144">
      <c r="D144" s="33"/>
    </row>
    <row r="145">
      <c r="D145" s="33"/>
    </row>
    <row r="146">
      <c r="D146" s="33"/>
    </row>
    <row r="147">
      <c r="D147" s="33"/>
    </row>
    <row r="148">
      <c r="D148" s="33"/>
    </row>
    <row r="149">
      <c r="D149" s="33"/>
    </row>
    <row r="150">
      <c r="D150" s="33"/>
    </row>
    <row r="151">
      <c r="D151" s="33"/>
    </row>
    <row r="152">
      <c r="D152" s="33"/>
    </row>
    <row r="153">
      <c r="D153" s="33"/>
    </row>
    <row r="154">
      <c r="D154" s="33"/>
    </row>
    <row r="155">
      <c r="D155" s="33"/>
    </row>
    <row r="156">
      <c r="D156" s="33"/>
    </row>
    <row r="157">
      <c r="D157" s="33"/>
    </row>
    <row r="158">
      <c r="D158" s="33"/>
    </row>
    <row r="159">
      <c r="D159" s="33"/>
    </row>
    <row r="160">
      <c r="D160" s="33"/>
    </row>
    <row r="161">
      <c r="D161" s="33"/>
    </row>
    <row r="162">
      <c r="D162" s="33"/>
    </row>
    <row r="163">
      <c r="D163" s="33"/>
    </row>
    <row r="164">
      <c r="D164" s="33"/>
    </row>
    <row r="165">
      <c r="D165" s="33"/>
    </row>
    <row r="166">
      <c r="D166" s="33"/>
    </row>
    <row r="167">
      <c r="D167" s="33"/>
    </row>
    <row r="168">
      <c r="D168" s="33"/>
    </row>
    <row r="169">
      <c r="D169" s="33"/>
    </row>
    <row r="170">
      <c r="D170" s="33"/>
    </row>
    <row r="171">
      <c r="D171" s="33"/>
    </row>
    <row r="172">
      <c r="D172" s="33"/>
    </row>
    <row r="173">
      <c r="D173" s="33"/>
    </row>
    <row r="174">
      <c r="D174" s="33"/>
    </row>
    <row r="175">
      <c r="D175" s="33"/>
    </row>
    <row r="176">
      <c r="D176" s="33"/>
    </row>
    <row r="177">
      <c r="D177" s="33"/>
    </row>
    <row r="178">
      <c r="D178" s="33"/>
    </row>
    <row r="179">
      <c r="D179" s="33"/>
    </row>
    <row r="180">
      <c r="D180" s="33"/>
    </row>
    <row r="181">
      <c r="D181" s="33"/>
    </row>
    <row r="182">
      <c r="D182" s="33"/>
    </row>
    <row r="183">
      <c r="D183" s="33"/>
    </row>
    <row r="184">
      <c r="D184" s="33"/>
    </row>
    <row r="185">
      <c r="D185" s="33"/>
    </row>
    <row r="186">
      <c r="D186" s="33"/>
    </row>
    <row r="187">
      <c r="D187" s="33"/>
    </row>
    <row r="188">
      <c r="D188" s="33"/>
    </row>
    <row r="189">
      <c r="D189" s="33"/>
    </row>
    <row r="190">
      <c r="D190" s="33"/>
    </row>
    <row r="191">
      <c r="D191" s="33"/>
    </row>
    <row r="192">
      <c r="D192" s="33"/>
    </row>
    <row r="193">
      <c r="D193" s="33"/>
    </row>
    <row r="194">
      <c r="D194" s="33"/>
    </row>
    <row r="195">
      <c r="D195" s="33"/>
    </row>
    <row r="196">
      <c r="D196" s="33"/>
    </row>
    <row r="197">
      <c r="D197" s="33"/>
    </row>
    <row r="198">
      <c r="D198" s="33"/>
    </row>
    <row r="199">
      <c r="D199" s="33"/>
    </row>
    <row r="200">
      <c r="D200" s="33"/>
    </row>
    <row r="201">
      <c r="D201" s="33"/>
    </row>
    <row r="202">
      <c r="D202" s="33"/>
    </row>
    <row r="203">
      <c r="D203" s="33"/>
    </row>
    <row r="204">
      <c r="D204" s="33"/>
    </row>
    <row r="205">
      <c r="D205" s="33"/>
    </row>
    <row r="206">
      <c r="D206" s="33"/>
    </row>
    <row r="207">
      <c r="D207" s="33"/>
    </row>
    <row r="208">
      <c r="D208" s="33"/>
    </row>
    <row r="209">
      <c r="D209" s="33"/>
    </row>
    <row r="210">
      <c r="D210" s="33"/>
    </row>
    <row r="211">
      <c r="D211" s="33"/>
    </row>
    <row r="212">
      <c r="D212" s="33"/>
    </row>
    <row r="213">
      <c r="D213" s="33"/>
    </row>
    <row r="214">
      <c r="D214" s="33"/>
    </row>
    <row r="215">
      <c r="D215" s="33"/>
    </row>
    <row r="216">
      <c r="D216" s="33"/>
    </row>
    <row r="217">
      <c r="D217" s="33"/>
    </row>
    <row r="218">
      <c r="D218" s="33"/>
    </row>
    <row r="219">
      <c r="D219" s="33"/>
    </row>
    <row r="220">
      <c r="D220" s="33"/>
    </row>
    <row r="221">
      <c r="D221" s="33"/>
    </row>
    <row r="222">
      <c r="D222" s="33"/>
    </row>
    <row r="223">
      <c r="D223" s="33"/>
    </row>
    <row r="224">
      <c r="D224" s="33"/>
    </row>
    <row r="225">
      <c r="D225" s="33"/>
    </row>
    <row r="226">
      <c r="D226" s="33"/>
    </row>
    <row r="227">
      <c r="D227" s="33"/>
    </row>
    <row r="228">
      <c r="D228" s="33"/>
    </row>
    <row r="229">
      <c r="D229" s="33"/>
    </row>
    <row r="230">
      <c r="D230" s="33"/>
    </row>
    <row r="231">
      <c r="D231" s="33"/>
    </row>
    <row r="232">
      <c r="D232" s="33"/>
    </row>
    <row r="233">
      <c r="D233" s="33"/>
    </row>
    <row r="234">
      <c r="D234" s="33"/>
    </row>
    <row r="235">
      <c r="D235" s="33"/>
    </row>
    <row r="236">
      <c r="D236" s="33"/>
    </row>
    <row r="237">
      <c r="D237" s="33"/>
    </row>
    <row r="238">
      <c r="D238" s="33"/>
    </row>
    <row r="239">
      <c r="D239" s="33"/>
    </row>
    <row r="240">
      <c r="D240" s="33"/>
    </row>
    <row r="241">
      <c r="D241" s="33"/>
    </row>
    <row r="242">
      <c r="D242" s="33"/>
    </row>
    <row r="243">
      <c r="D243" s="33"/>
    </row>
    <row r="244">
      <c r="D244" s="33"/>
    </row>
    <row r="245">
      <c r="D245" s="33"/>
    </row>
    <row r="246">
      <c r="D246" s="33"/>
    </row>
    <row r="247">
      <c r="D247" s="33"/>
    </row>
    <row r="248">
      <c r="D248" s="33"/>
    </row>
    <row r="249">
      <c r="D249" s="33"/>
    </row>
    <row r="250">
      <c r="D250" s="33"/>
    </row>
    <row r="251">
      <c r="D251" s="33"/>
    </row>
    <row r="252">
      <c r="D252" s="33"/>
    </row>
    <row r="253">
      <c r="D253" s="33"/>
    </row>
    <row r="254">
      <c r="D254" s="33"/>
    </row>
    <row r="255">
      <c r="D255" s="33"/>
    </row>
    <row r="256">
      <c r="D256" s="33"/>
    </row>
    <row r="257">
      <c r="D257" s="33"/>
    </row>
    <row r="258">
      <c r="D258" s="33"/>
    </row>
    <row r="259">
      <c r="D259" s="33"/>
    </row>
    <row r="260">
      <c r="D260" s="33"/>
    </row>
    <row r="261">
      <c r="D261" s="33"/>
    </row>
    <row r="262">
      <c r="D262" s="33"/>
    </row>
    <row r="263">
      <c r="D263" s="33"/>
    </row>
    <row r="264">
      <c r="D264" s="33"/>
    </row>
    <row r="265">
      <c r="D265" s="33"/>
    </row>
    <row r="266">
      <c r="D266" s="33"/>
    </row>
    <row r="267">
      <c r="D267" s="33"/>
    </row>
    <row r="268">
      <c r="D268" s="33"/>
    </row>
    <row r="269">
      <c r="D269" s="33"/>
    </row>
    <row r="270">
      <c r="D270" s="33"/>
    </row>
    <row r="271">
      <c r="D271" s="33"/>
    </row>
    <row r="272">
      <c r="D272" s="33"/>
    </row>
    <row r="273">
      <c r="D273" s="33"/>
    </row>
    <row r="274">
      <c r="D274" s="33"/>
    </row>
    <row r="275">
      <c r="D275" s="33"/>
    </row>
    <row r="276">
      <c r="D276" s="33"/>
    </row>
    <row r="277">
      <c r="D277" s="33"/>
    </row>
    <row r="278">
      <c r="D278" s="33"/>
    </row>
    <row r="279">
      <c r="D279" s="33"/>
    </row>
    <row r="280">
      <c r="D280" s="33"/>
    </row>
    <row r="281">
      <c r="D281" s="33"/>
    </row>
    <row r="282">
      <c r="D282" s="33"/>
    </row>
    <row r="283">
      <c r="D283" s="33"/>
    </row>
    <row r="284">
      <c r="D284" s="33"/>
    </row>
    <row r="285">
      <c r="D285" s="33"/>
    </row>
    <row r="286">
      <c r="D286" s="33"/>
    </row>
    <row r="287">
      <c r="D287" s="33"/>
    </row>
    <row r="288">
      <c r="D288" s="33"/>
    </row>
    <row r="289">
      <c r="D289" s="33"/>
    </row>
    <row r="290">
      <c r="D290" s="33"/>
    </row>
    <row r="291">
      <c r="D291" s="33"/>
    </row>
    <row r="292">
      <c r="D292" s="33"/>
    </row>
    <row r="293">
      <c r="D293" s="33"/>
    </row>
    <row r="294">
      <c r="D294" s="33"/>
    </row>
    <row r="295">
      <c r="D295" s="33"/>
    </row>
    <row r="296">
      <c r="D296" s="33"/>
    </row>
    <row r="297">
      <c r="D297" s="33"/>
    </row>
    <row r="298">
      <c r="D298" s="33"/>
    </row>
    <row r="299">
      <c r="D299" s="33"/>
    </row>
    <row r="300">
      <c r="D300" s="33"/>
    </row>
    <row r="301">
      <c r="D301" s="33"/>
    </row>
    <row r="302">
      <c r="D302" s="33"/>
    </row>
    <row r="303">
      <c r="D303" s="33"/>
    </row>
    <row r="304">
      <c r="D304" s="33"/>
    </row>
    <row r="305">
      <c r="D305" s="33"/>
    </row>
    <row r="306">
      <c r="D306" s="33"/>
    </row>
    <row r="307">
      <c r="D307" s="33"/>
    </row>
    <row r="308">
      <c r="D308" s="33"/>
    </row>
    <row r="309">
      <c r="D309" s="33"/>
    </row>
    <row r="310">
      <c r="D310" s="33"/>
    </row>
    <row r="311">
      <c r="D311" s="33"/>
    </row>
    <row r="312">
      <c r="D312" s="33"/>
    </row>
    <row r="313">
      <c r="D313" s="33"/>
    </row>
    <row r="314">
      <c r="D314" s="33"/>
    </row>
    <row r="315">
      <c r="D315" s="33"/>
    </row>
    <row r="316">
      <c r="D316" s="33"/>
    </row>
    <row r="317">
      <c r="D317" s="33"/>
    </row>
    <row r="318">
      <c r="D318" s="33"/>
    </row>
    <row r="319">
      <c r="D319" s="33"/>
    </row>
    <row r="320">
      <c r="D320" s="33"/>
    </row>
    <row r="321">
      <c r="D321" s="33"/>
    </row>
    <row r="322">
      <c r="D322" s="33"/>
    </row>
    <row r="323">
      <c r="D323" s="33"/>
    </row>
    <row r="324">
      <c r="D324" s="33"/>
    </row>
    <row r="325">
      <c r="D325" s="33"/>
    </row>
    <row r="326">
      <c r="D326" s="33"/>
    </row>
    <row r="327">
      <c r="D327" s="33"/>
    </row>
    <row r="328">
      <c r="D328" s="33"/>
    </row>
    <row r="329">
      <c r="D329" s="33"/>
    </row>
    <row r="330">
      <c r="D330" s="33"/>
    </row>
    <row r="331">
      <c r="D331" s="33"/>
    </row>
    <row r="332">
      <c r="D332" s="33"/>
    </row>
    <row r="333">
      <c r="D333" s="33"/>
    </row>
    <row r="334">
      <c r="D334" s="33"/>
    </row>
    <row r="335">
      <c r="D335" s="33"/>
    </row>
    <row r="336">
      <c r="D336" s="33"/>
    </row>
    <row r="337">
      <c r="D337" s="33"/>
    </row>
    <row r="338">
      <c r="D338" s="33"/>
    </row>
    <row r="339">
      <c r="D339" s="33"/>
    </row>
    <row r="340">
      <c r="D340" s="33"/>
    </row>
    <row r="341">
      <c r="D341" s="33"/>
    </row>
    <row r="342">
      <c r="D342" s="33"/>
    </row>
    <row r="343">
      <c r="D343" s="33"/>
    </row>
    <row r="344">
      <c r="D344" s="33"/>
    </row>
    <row r="345">
      <c r="D345" s="33"/>
    </row>
    <row r="346">
      <c r="D346" s="33"/>
    </row>
    <row r="347">
      <c r="D347" s="33"/>
    </row>
    <row r="348">
      <c r="D348" s="33"/>
    </row>
    <row r="349">
      <c r="D349" s="33"/>
    </row>
    <row r="350">
      <c r="D350" s="33"/>
    </row>
    <row r="351">
      <c r="D351" s="33"/>
    </row>
    <row r="352">
      <c r="D352" s="33"/>
    </row>
    <row r="353">
      <c r="D353" s="33"/>
    </row>
    <row r="354">
      <c r="D354" s="33"/>
    </row>
    <row r="355">
      <c r="D355" s="33"/>
    </row>
    <row r="356">
      <c r="D356" s="33"/>
    </row>
    <row r="357">
      <c r="D357" s="33"/>
    </row>
    <row r="358">
      <c r="D358" s="33"/>
    </row>
    <row r="359">
      <c r="D359" s="33"/>
    </row>
    <row r="360">
      <c r="D360" s="33"/>
    </row>
    <row r="361">
      <c r="D361" s="33"/>
    </row>
    <row r="362">
      <c r="D362" s="33"/>
    </row>
    <row r="363">
      <c r="D363" s="33"/>
    </row>
    <row r="364">
      <c r="D364" s="33"/>
    </row>
    <row r="365">
      <c r="D365" s="33"/>
    </row>
    <row r="366">
      <c r="D366" s="33"/>
    </row>
    <row r="367">
      <c r="D367" s="33"/>
    </row>
    <row r="368">
      <c r="D368" s="33"/>
    </row>
    <row r="369">
      <c r="D369" s="33"/>
    </row>
    <row r="370">
      <c r="D370" s="33"/>
    </row>
    <row r="371">
      <c r="D371" s="33"/>
    </row>
    <row r="372">
      <c r="D372" s="33"/>
    </row>
    <row r="373">
      <c r="D373" s="33"/>
    </row>
    <row r="374">
      <c r="D374" s="33"/>
    </row>
    <row r="375">
      <c r="D375" s="33"/>
    </row>
    <row r="376">
      <c r="D376" s="33"/>
    </row>
    <row r="377">
      <c r="D377" s="33"/>
    </row>
    <row r="378">
      <c r="D378" s="33"/>
    </row>
    <row r="379">
      <c r="D379" s="33"/>
    </row>
    <row r="380">
      <c r="D380" s="33"/>
    </row>
    <row r="381">
      <c r="D381" s="33"/>
    </row>
    <row r="382">
      <c r="D382" s="33"/>
    </row>
    <row r="383">
      <c r="D383" s="33"/>
    </row>
    <row r="384">
      <c r="D384" s="33"/>
    </row>
    <row r="385">
      <c r="D385" s="33"/>
    </row>
    <row r="386">
      <c r="D386" s="33"/>
    </row>
    <row r="387">
      <c r="D387" s="33"/>
    </row>
    <row r="388">
      <c r="D388" s="33"/>
    </row>
    <row r="389">
      <c r="D389" s="33"/>
    </row>
    <row r="390">
      <c r="D390" s="33"/>
    </row>
    <row r="391">
      <c r="D391" s="33"/>
    </row>
    <row r="392">
      <c r="D392" s="33"/>
    </row>
    <row r="393">
      <c r="D393" s="33"/>
    </row>
    <row r="394">
      <c r="D394" s="33"/>
    </row>
    <row r="395">
      <c r="D395" s="33"/>
    </row>
    <row r="396">
      <c r="D396" s="33"/>
    </row>
    <row r="397">
      <c r="D397" s="33"/>
    </row>
    <row r="398">
      <c r="D398" s="33"/>
    </row>
    <row r="399">
      <c r="D399" s="33"/>
    </row>
    <row r="400">
      <c r="D400" s="33"/>
    </row>
    <row r="401">
      <c r="D401" s="33"/>
    </row>
    <row r="402">
      <c r="D402" s="33"/>
    </row>
    <row r="403">
      <c r="D403" s="33"/>
    </row>
    <row r="404">
      <c r="D404" s="33"/>
    </row>
    <row r="405">
      <c r="D405" s="33"/>
    </row>
    <row r="406">
      <c r="D406" s="33"/>
    </row>
    <row r="407">
      <c r="D407" s="33"/>
    </row>
    <row r="408">
      <c r="D408" s="33"/>
    </row>
    <row r="409">
      <c r="D409" s="33"/>
    </row>
    <row r="410">
      <c r="D410" s="33"/>
    </row>
    <row r="411">
      <c r="D411" s="33"/>
    </row>
    <row r="412">
      <c r="D412" s="33"/>
    </row>
    <row r="413">
      <c r="D413" s="33"/>
    </row>
    <row r="414">
      <c r="D414" s="33"/>
    </row>
    <row r="415">
      <c r="D415" s="33"/>
    </row>
    <row r="416">
      <c r="D416" s="33"/>
    </row>
    <row r="417">
      <c r="D417" s="33"/>
    </row>
    <row r="418">
      <c r="D418" s="33"/>
    </row>
    <row r="419">
      <c r="D419" s="33"/>
    </row>
    <row r="420">
      <c r="D420" s="33"/>
    </row>
    <row r="421">
      <c r="D421" s="33"/>
    </row>
    <row r="422">
      <c r="D422" s="33"/>
    </row>
    <row r="423">
      <c r="D423" s="33"/>
    </row>
    <row r="424">
      <c r="D424" s="33"/>
    </row>
    <row r="425">
      <c r="D425" s="33"/>
    </row>
    <row r="426">
      <c r="D426" s="33"/>
    </row>
    <row r="427">
      <c r="D427" s="33"/>
    </row>
    <row r="428">
      <c r="D428" s="33"/>
    </row>
    <row r="429">
      <c r="D429" s="33"/>
    </row>
    <row r="430">
      <c r="D430" s="33"/>
    </row>
    <row r="431">
      <c r="D431" s="33"/>
    </row>
    <row r="432">
      <c r="D432" s="33"/>
    </row>
    <row r="433">
      <c r="D433" s="33"/>
    </row>
    <row r="434">
      <c r="D434" s="33"/>
    </row>
    <row r="435">
      <c r="D435" s="33"/>
    </row>
    <row r="436">
      <c r="D436" s="33"/>
    </row>
    <row r="437">
      <c r="D437" s="33"/>
    </row>
    <row r="438">
      <c r="D438" s="33"/>
    </row>
    <row r="439">
      <c r="D439" s="33"/>
    </row>
    <row r="440">
      <c r="D440" s="33"/>
    </row>
    <row r="441">
      <c r="D441" s="33"/>
    </row>
    <row r="442">
      <c r="D442" s="33"/>
    </row>
    <row r="443">
      <c r="D443" s="33"/>
    </row>
    <row r="444">
      <c r="D444" s="33"/>
    </row>
    <row r="445">
      <c r="D445" s="33"/>
    </row>
    <row r="446">
      <c r="D446" s="33"/>
    </row>
    <row r="447">
      <c r="D447" s="33"/>
    </row>
    <row r="448">
      <c r="D448" s="33"/>
    </row>
    <row r="449">
      <c r="D449" s="33"/>
    </row>
    <row r="450">
      <c r="D450" s="33"/>
    </row>
    <row r="451">
      <c r="D451" s="33"/>
    </row>
    <row r="452">
      <c r="D452" s="33"/>
    </row>
    <row r="453">
      <c r="D453" s="33"/>
    </row>
    <row r="454">
      <c r="D454" s="33"/>
    </row>
    <row r="455">
      <c r="D455" s="33"/>
    </row>
    <row r="456">
      <c r="D456" s="33"/>
    </row>
    <row r="457">
      <c r="D457" s="33"/>
    </row>
    <row r="458">
      <c r="D458" s="33"/>
    </row>
    <row r="459">
      <c r="D459" s="33"/>
    </row>
    <row r="460">
      <c r="D460" s="33"/>
    </row>
    <row r="461">
      <c r="D461" s="33"/>
    </row>
    <row r="462">
      <c r="D462" s="33"/>
    </row>
    <row r="463">
      <c r="D463" s="33"/>
    </row>
    <row r="464">
      <c r="D464" s="33"/>
    </row>
    <row r="465">
      <c r="D465" s="33"/>
    </row>
    <row r="466">
      <c r="D466" s="33"/>
    </row>
    <row r="467">
      <c r="D467" s="33"/>
    </row>
    <row r="468">
      <c r="D468" s="33"/>
    </row>
    <row r="469">
      <c r="D469" s="33"/>
    </row>
    <row r="470">
      <c r="D470" s="33"/>
    </row>
    <row r="471">
      <c r="D471" s="33"/>
    </row>
    <row r="472">
      <c r="D472" s="33"/>
    </row>
    <row r="473">
      <c r="D473" s="33"/>
    </row>
    <row r="474">
      <c r="D474" s="33"/>
    </row>
    <row r="475">
      <c r="D475" s="33"/>
    </row>
    <row r="476">
      <c r="D476" s="33"/>
    </row>
    <row r="477">
      <c r="D477" s="33"/>
    </row>
    <row r="478">
      <c r="D478" s="33"/>
    </row>
    <row r="479">
      <c r="D479" s="33"/>
    </row>
    <row r="480">
      <c r="D480" s="33"/>
    </row>
    <row r="481">
      <c r="D481" s="33"/>
    </row>
    <row r="482">
      <c r="D482" s="33"/>
    </row>
    <row r="483">
      <c r="D483" s="33"/>
    </row>
    <row r="484">
      <c r="D484" s="33"/>
    </row>
    <row r="485">
      <c r="D485" s="33"/>
    </row>
    <row r="486">
      <c r="D486" s="33"/>
    </row>
    <row r="487">
      <c r="D487" s="33"/>
    </row>
    <row r="488">
      <c r="D488" s="33"/>
    </row>
    <row r="489">
      <c r="D489" s="33"/>
    </row>
    <row r="490">
      <c r="D490" s="33"/>
    </row>
    <row r="491">
      <c r="D491" s="33"/>
    </row>
    <row r="492">
      <c r="D492" s="33"/>
    </row>
    <row r="493">
      <c r="D493" s="33"/>
    </row>
    <row r="494">
      <c r="D494" s="33"/>
    </row>
    <row r="495">
      <c r="D495" s="33"/>
    </row>
    <row r="496">
      <c r="D496" s="33"/>
    </row>
    <row r="497">
      <c r="D497" s="33"/>
    </row>
    <row r="498">
      <c r="D498" s="33"/>
    </row>
    <row r="499">
      <c r="D499" s="33"/>
    </row>
    <row r="500">
      <c r="D500" s="33"/>
    </row>
    <row r="501">
      <c r="D501" s="33"/>
    </row>
    <row r="502">
      <c r="D502" s="33"/>
    </row>
    <row r="503">
      <c r="D503" s="33"/>
    </row>
    <row r="504">
      <c r="D504" s="33"/>
    </row>
    <row r="505">
      <c r="D505" s="33"/>
    </row>
    <row r="506">
      <c r="D506" s="33"/>
    </row>
    <row r="507">
      <c r="D507" s="33"/>
    </row>
    <row r="508">
      <c r="D508" s="33"/>
    </row>
    <row r="509">
      <c r="D509" s="33"/>
    </row>
    <row r="510">
      <c r="D510" s="33"/>
    </row>
    <row r="511">
      <c r="D511" s="33"/>
    </row>
    <row r="512">
      <c r="D512" s="33"/>
    </row>
    <row r="513">
      <c r="D513" s="33"/>
    </row>
    <row r="514">
      <c r="D514" s="33"/>
    </row>
    <row r="515">
      <c r="D515" s="33"/>
    </row>
    <row r="516">
      <c r="D516" s="33"/>
    </row>
    <row r="517">
      <c r="D517" s="33"/>
    </row>
    <row r="518">
      <c r="D518" s="33"/>
    </row>
    <row r="519">
      <c r="D519" s="33"/>
    </row>
    <row r="520">
      <c r="D520" s="33"/>
    </row>
    <row r="521">
      <c r="D521" s="33"/>
    </row>
    <row r="522">
      <c r="D522" s="33"/>
    </row>
    <row r="523">
      <c r="D523" s="33"/>
    </row>
    <row r="524">
      <c r="D524" s="33"/>
    </row>
    <row r="525">
      <c r="D525" s="33"/>
    </row>
    <row r="526">
      <c r="D526" s="33"/>
    </row>
    <row r="527">
      <c r="D527" s="33"/>
    </row>
    <row r="528">
      <c r="D528" s="33"/>
    </row>
    <row r="529">
      <c r="D529" s="33"/>
    </row>
    <row r="530">
      <c r="D530" s="33"/>
    </row>
    <row r="531">
      <c r="D531" s="33"/>
    </row>
    <row r="532">
      <c r="D532" s="33"/>
    </row>
    <row r="533">
      <c r="D533" s="33"/>
    </row>
    <row r="534">
      <c r="D534" s="33"/>
    </row>
    <row r="535">
      <c r="D535" s="33"/>
    </row>
    <row r="536">
      <c r="D536" s="33"/>
    </row>
    <row r="537">
      <c r="D537" s="33"/>
    </row>
    <row r="538">
      <c r="D538" s="33"/>
    </row>
    <row r="539">
      <c r="D539" s="33"/>
    </row>
    <row r="540">
      <c r="D540" s="33"/>
    </row>
    <row r="541">
      <c r="D541" s="33"/>
    </row>
    <row r="542">
      <c r="D542" s="33"/>
    </row>
    <row r="543">
      <c r="D543" s="33"/>
    </row>
    <row r="544">
      <c r="D544" s="33"/>
    </row>
    <row r="545">
      <c r="D545" s="33"/>
    </row>
    <row r="546">
      <c r="D546" s="33"/>
    </row>
    <row r="547">
      <c r="D547" s="33"/>
    </row>
    <row r="548">
      <c r="D548" s="33"/>
    </row>
    <row r="549">
      <c r="D549" s="33"/>
    </row>
    <row r="550">
      <c r="D550" s="33"/>
    </row>
    <row r="551">
      <c r="D551" s="33"/>
    </row>
    <row r="552">
      <c r="D552" s="33"/>
    </row>
    <row r="553">
      <c r="D553" s="33"/>
    </row>
    <row r="554">
      <c r="D554" s="33"/>
    </row>
    <row r="555">
      <c r="D555" s="33"/>
    </row>
    <row r="556">
      <c r="D556" s="33"/>
    </row>
    <row r="557">
      <c r="D557" s="33"/>
    </row>
    <row r="558">
      <c r="D558" s="33"/>
    </row>
    <row r="559">
      <c r="D559" s="33"/>
    </row>
    <row r="560">
      <c r="D560" s="33"/>
    </row>
    <row r="561">
      <c r="D561" s="33"/>
    </row>
    <row r="562">
      <c r="D562" s="33"/>
    </row>
    <row r="563">
      <c r="D563" s="33"/>
    </row>
    <row r="564">
      <c r="D564" s="33"/>
    </row>
    <row r="565">
      <c r="D565" s="33"/>
    </row>
    <row r="566">
      <c r="D566" s="33"/>
    </row>
    <row r="567">
      <c r="D567" s="33"/>
    </row>
    <row r="568">
      <c r="D568" s="33"/>
    </row>
    <row r="569">
      <c r="D569" s="33"/>
    </row>
    <row r="570">
      <c r="D570" s="33"/>
    </row>
    <row r="571">
      <c r="D571" s="33"/>
    </row>
    <row r="572">
      <c r="D572" s="33"/>
    </row>
    <row r="573">
      <c r="D573" s="33"/>
    </row>
    <row r="574">
      <c r="D574" s="33"/>
    </row>
    <row r="575">
      <c r="D575" s="33"/>
    </row>
    <row r="576">
      <c r="D576" s="33"/>
    </row>
    <row r="577">
      <c r="D577" s="33"/>
    </row>
    <row r="578">
      <c r="D578" s="33"/>
    </row>
    <row r="579">
      <c r="D579" s="33"/>
    </row>
    <row r="580">
      <c r="D580" s="33"/>
    </row>
    <row r="581">
      <c r="D581" s="33"/>
    </row>
    <row r="582">
      <c r="D582" s="33"/>
    </row>
    <row r="583">
      <c r="D583" s="33"/>
    </row>
    <row r="584">
      <c r="D584" s="33"/>
    </row>
    <row r="585">
      <c r="D585" s="33"/>
    </row>
    <row r="586">
      <c r="D586" s="33"/>
    </row>
    <row r="587">
      <c r="D587" s="33"/>
    </row>
    <row r="588">
      <c r="D588" s="33"/>
    </row>
    <row r="589">
      <c r="D589" s="33"/>
    </row>
    <row r="590">
      <c r="D590" s="33"/>
    </row>
    <row r="591">
      <c r="D591" s="33"/>
    </row>
    <row r="592">
      <c r="D592" s="33"/>
    </row>
    <row r="593">
      <c r="D593" s="33"/>
    </row>
    <row r="594">
      <c r="D594" s="33"/>
    </row>
    <row r="595">
      <c r="D595" s="33"/>
    </row>
    <row r="596">
      <c r="D596" s="33"/>
    </row>
    <row r="597">
      <c r="D597" s="33"/>
    </row>
    <row r="598">
      <c r="D598" s="33"/>
    </row>
    <row r="599">
      <c r="D599" s="33"/>
    </row>
    <row r="600">
      <c r="D600" s="33"/>
    </row>
    <row r="601">
      <c r="D601" s="33"/>
    </row>
    <row r="602">
      <c r="D602" s="33"/>
    </row>
    <row r="603">
      <c r="D603" s="33"/>
    </row>
    <row r="604">
      <c r="D604" s="33"/>
    </row>
    <row r="605">
      <c r="D605" s="33"/>
    </row>
    <row r="606">
      <c r="D606" s="33"/>
    </row>
    <row r="607">
      <c r="D607" s="33"/>
    </row>
    <row r="608">
      <c r="D608" s="33"/>
    </row>
    <row r="609">
      <c r="D609" s="33"/>
    </row>
    <row r="610">
      <c r="D610" s="33"/>
    </row>
    <row r="611">
      <c r="D611" s="33"/>
    </row>
    <row r="612">
      <c r="D612" s="33"/>
    </row>
    <row r="613">
      <c r="D613" s="33"/>
    </row>
    <row r="614">
      <c r="D614" s="33"/>
    </row>
    <row r="615">
      <c r="D615" s="33"/>
    </row>
    <row r="616">
      <c r="D616" s="33"/>
    </row>
    <row r="617">
      <c r="D617" s="33"/>
    </row>
    <row r="618">
      <c r="D618" s="33"/>
    </row>
    <row r="619">
      <c r="D619" s="33"/>
    </row>
    <row r="620">
      <c r="D620" s="33"/>
    </row>
    <row r="621">
      <c r="D621" s="33"/>
    </row>
    <row r="622">
      <c r="D622" s="33"/>
    </row>
    <row r="623">
      <c r="D623" s="33"/>
    </row>
    <row r="624">
      <c r="D624" s="33"/>
    </row>
    <row r="625">
      <c r="D625" s="33"/>
    </row>
    <row r="626">
      <c r="D626" s="33"/>
    </row>
    <row r="627">
      <c r="D627" s="33"/>
    </row>
    <row r="628">
      <c r="D628" s="33"/>
    </row>
    <row r="629">
      <c r="D629" s="33"/>
    </row>
    <row r="630">
      <c r="D630" s="33"/>
    </row>
    <row r="631">
      <c r="D631" s="33"/>
    </row>
    <row r="632">
      <c r="D632" s="33"/>
    </row>
    <row r="633">
      <c r="D633" s="33"/>
    </row>
    <row r="634">
      <c r="D634" s="33"/>
    </row>
    <row r="635">
      <c r="D635" s="33"/>
    </row>
    <row r="636">
      <c r="D636" s="33"/>
    </row>
    <row r="637">
      <c r="D637" s="33"/>
    </row>
    <row r="638">
      <c r="D638" s="33"/>
    </row>
    <row r="639">
      <c r="D639" s="33"/>
    </row>
    <row r="640">
      <c r="D640" s="33"/>
    </row>
    <row r="641">
      <c r="D641" s="33"/>
    </row>
    <row r="642">
      <c r="D642" s="33"/>
    </row>
    <row r="643">
      <c r="D643" s="33"/>
    </row>
    <row r="644">
      <c r="D644" s="33"/>
    </row>
    <row r="645">
      <c r="D645" s="33"/>
    </row>
    <row r="646">
      <c r="D646" s="33"/>
    </row>
    <row r="647">
      <c r="D647" s="33"/>
    </row>
    <row r="648">
      <c r="D648" s="33"/>
    </row>
    <row r="649">
      <c r="D649" s="33"/>
    </row>
    <row r="650">
      <c r="D650" s="33"/>
    </row>
    <row r="651">
      <c r="D651" s="33"/>
    </row>
    <row r="652">
      <c r="D652" s="33"/>
    </row>
    <row r="653">
      <c r="D653" s="33"/>
    </row>
    <row r="654">
      <c r="D654" s="33"/>
    </row>
    <row r="655">
      <c r="D655" s="33"/>
    </row>
    <row r="656">
      <c r="D656" s="33"/>
    </row>
    <row r="657">
      <c r="D657" s="33"/>
    </row>
    <row r="658">
      <c r="D658" s="33"/>
    </row>
    <row r="659">
      <c r="D659" s="33"/>
    </row>
    <row r="660">
      <c r="D660" s="33"/>
    </row>
    <row r="661">
      <c r="D661" s="33"/>
    </row>
    <row r="662">
      <c r="D662" s="33"/>
    </row>
    <row r="663">
      <c r="D663" s="33"/>
    </row>
    <row r="664">
      <c r="D664" s="33"/>
    </row>
    <row r="665">
      <c r="D665" s="33"/>
    </row>
    <row r="666">
      <c r="D666" s="33"/>
    </row>
    <row r="667">
      <c r="D667" s="33"/>
    </row>
    <row r="668">
      <c r="D668" s="33"/>
    </row>
    <row r="669">
      <c r="D669" s="33"/>
    </row>
    <row r="670">
      <c r="D670" s="33"/>
    </row>
    <row r="671">
      <c r="D671" s="33"/>
    </row>
    <row r="672">
      <c r="D672" s="33"/>
    </row>
    <row r="673">
      <c r="D673" s="33"/>
    </row>
    <row r="674">
      <c r="D674" s="33"/>
    </row>
    <row r="675">
      <c r="D675" s="33"/>
    </row>
    <row r="676">
      <c r="D676" s="33"/>
    </row>
    <row r="677">
      <c r="D677" s="33"/>
    </row>
    <row r="678">
      <c r="D678" s="33"/>
    </row>
    <row r="679">
      <c r="D679" s="33"/>
    </row>
    <row r="680">
      <c r="D680" s="33"/>
    </row>
    <row r="681">
      <c r="D681" s="33"/>
    </row>
    <row r="682">
      <c r="D682" s="33"/>
    </row>
    <row r="683">
      <c r="D683" s="33"/>
    </row>
    <row r="684">
      <c r="D684" s="33"/>
    </row>
    <row r="685">
      <c r="D685" s="33"/>
    </row>
    <row r="686">
      <c r="D686" s="33"/>
    </row>
    <row r="687">
      <c r="D687" s="33"/>
    </row>
    <row r="688">
      <c r="D688" s="33"/>
    </row>
    <row r="689">
      <c r="D689" s="33"/>
    </row>
    <row r="690">
      <c r="D690" s="33"/>
    </row>
    <row r="691">
      <c r="D691" s="33"/>
    </row>
    <row r="692">
      <c r="D692" s="33"/>
    </row>
    <row r="693">
      <c r="D693" s="33"/>
    </row>
    <row r="694">
      <c r="D694" s="33"/>
    </row>
    <row r="695">
      <c r="D695" s="33"/>
    </row>
    <row r="696">
      <c r="D696" s="33"/>
    </row>
    <row r="697">
      <c r="D697" s="33"/>
    </row>
    <row r="698">
      <c r="D698" s="33"/>
    </row>
    <row r="699">
      <c r="D699" s="33"/>
    </row>
    <row r="700">
      <c r="D700" s="33"/>
    </row>
    <row r="701">
      <c r="D701" s="33"/>
    </row>
    <row r="702">
      <c r="D702" s="33"/>
    </row>
    <row r="703">
      <c r="D703" s="33"/>
    </row>
    <row r="704">
      <c r="D704" s="33"/>
    </row>
    <row r="705">
      <c r="D705" s="33"/>
    </row>
    <row r="706">
      <c r="D706" s="33"/>
    </row>
    <row r="707">
      <c r="D707" s="33"/>
    </row>
    <row r="708">
      <c r="D708" s="33"/>
    </row>
    <row r="709">
      <c r="D709" s="33"/>
    </row>
    <row r="710">
      <c r="D710" s="33"/>
    </row>
    <row r="711">
      <c r="D711" s="33"/>
    </row>
    <row r="712">
      <c r="D712" s="33"/>
    </row>
    <row r="713">
      <c r="D713" s="33"/>
    </row>
    <row r="714">
      <c r="D714" s="33"/>
    </row>
    <row r="715">
      <c r="D715" s="33"/>
    </row>
    <row r="716">
      <c r="D716" s="33"/>
    </row>
    <row r="717">
      <c r="D717" s="33"/>
    </row>
    <row r="718">
      <c r="D718" s="33"/>
    </row>
    <row r="719">
      <c r="D719" s="33"/>
    </row>
    <row r="720">
      <c r="D720" s="33"/>
    </row>
    <row r="721">
      <c r="D721" s="33"/>
    </row>
    <row r="722">
      <c r="D722" s="33"/>
    </row>
    <row r="723">
      <c r="D723" s="33"/>
    </row>
    <row r="724">
      <c r="D724" s="33"/>
    </row>
    <row r="725">
      <c r="D725" s="33"/>
    </row>
    <row r="726">
      <c r="D726" s="33"/>
    </row>
    <row r="727">
      <c r="D727" s="33"/>
    </row>
    <row r="728">
      <c r="D728" s="33"/>
    </row>
    <row r="729">
      <c r="D729" s="33"/>
    </row>
    <row r="730">
      <c r="D730" s="33"/>
    </row>
    <row r="731">
      <c r="D731" s="33"/>
    </row>
    <row r="732">
      <c r="D732" s="33"/>
    </row>
    <row r="733">
      <c r="D733" s="33"/>
    </row>
    <row r="734">
      <c r="D734" s="33"/>
    </row>
    <row r="735">
      <c r="D735" s="33"/>
    </row>
    <row r="736">
      <c r="D736" s="33"/>
    </row>
    <row r="737">
      <c r="D737" s="33"/>
    </row>
    <row r="738">
      <c r="D738" s="33"/>
    </row>
    <row r="739">
      <c r="D739" s="33"/>
    </row>
    <row r="740">
      <c r="D740" s="33"/>
    </row>
    <row r="741">
      <c r="D741" s="33"/>
    </row>
    <row r="742">
      <c r="D742" s="33"/>
    </row>
    <row r="743">
      <c r="D743" s="33"/>
    </row>
    <row r="744">
      <c r="D744" s="33"/>
    </row>
    <row r="745">
      <c r="D745" s="33"/>
    </row>
    <row r="746">
      <c r="D746" s="33"/>
    </row>
    <row r="747">
      <c r="D747" s="33"/>
    </row>
    <row r="748">
      <c r="D748" s="33"/>
    </row>
    <row r="749">
      <c r="D749" s="33"/>
    </row>
    <row r="750">
      <c r="D750" s="33"/>
    </row>
    <row r="751">
      <c r="D751" s="33"/>
    </row>
    <row r="752">
      <c r="D752" s="33"/>
    </row>
    <row r="753">
      <c r="D753" s="33"/>
    </row>
    <row r="754">
      <c r="D754" s="33"/>
    </row>
    <row r="755">
      <c r="D755" s="33"/>
    </row>
    <row r="756">
      <c r="D756" s="33"/>
    </row>
    <row r="757">
      <c r="D757" s="33"/>
    </row>
    <row r="758">
      <c r="D758" s="33"/>
    </row>
    <row r="759">
      <c r="D759" s="33"/>
    </row>
    <row r="760">
      <c r="D760" s="33"/>
    </row>
    <row r="761">
      <c r="D761" s="33"/>
    </row>
    <row r="762">
      <c r="D762" s="33"/>
    </row>
    <row r="763">
      <c r="D763" s="33"/>
    </row>
    <row r="764">
      <c r="D764" s="33"/>
    </row>
    <row r="765">
      <c r="D765" s="33"/>
    </row>
    <row r="766">
      <c r="D766" s="33"/>
    </row>
    <row r="767">
      <c r="D767" s="33"/>
    </row>
    <row r="768">
      <c r="D768" s="33"/>
    </row>
    <row r="769">
      <c r="D769" s="33"/>
    </row>
    <row r="770">
      <c r="D770" s="33"/>
    </row>
    <row r="771">
      <c r="D771" s="33"/>
    </row>
    <row r="772">
      <c r="D772" s="33"/>
    </row>
    <row r="773">
      <c r="D773" s="33"/>
    </row>
    <row r="774">
      <c r="D774" s="33"/>
    </row>
    <row r="775">
      <c r="D775" s="33"/>
    </row>
    <row r="776">
      <c r="D776" s="33"/>
    </row>
    <row r="777">
      <c r="D777" s="33"/>
    </row>
    <row r="778">
      <c r="D778" s="33"/>
    </row>
    <row r="779">
      <c r="D779" s="33"/>
    </row>
    <row r="780">
      <c r="D780" s="33"/>
    </row>
    <row r="781">
      <c r="D781" s="33"/>
    </row>
    <row r="782">
      <c r="D782" s="33"/>
    </row>
    <row r="783">
      <c r="D783" s="33"/>
    </row>
    <row r="784">
      <c r="D784" s="33"/>
    </row>
    <row r="785">
      <c r="D785" s="33"/>
    </row>
    <row r="786">
      <c r="D786" s="33"/>
    </row>
    <row r="787">
      <c r="D787" s="33"/>
    </row>
    <row r="788">
      <c r="D788" s="33"/>
    </row>
    <row r="789">
      <c r="D789" s="33"/>
    </row>
    <row r="790">
      <c r="D790" s="33"/>
    </row>
    <row r="791">
      <c r="D791" s="33"/>
    </row>
    <row r="792">
      <c r="D792" s="33"/>
    </row>
    <row r="793">
      <c r="D793" s="33"/>
    </row>
    <row r="794">
      <c r="D794" s="33"/>
    </row>
    <row r="795">
      <c r="D795" s="33"/>
    </row>
    <row r="796">
      <c r="D796" s="33"/>
    </row>
    <row r="797">
      <c r="D797" s="33"/>
    </row>
    <row r="798">
      <c r="D798" s="33"/>
    </row>
    <row r="799">
      <c r="D799" s="33"/>
    </row>
    <row r="800">
      <c r="D800" s="33"/>
    </row>
    <row r="801">
      <c r="D801" s="33"/>
    </row>
    <row r="802">
      <c r="D802" s="33"/>
    </row>
    <row r="803">
      <c r="D803" s="33"/>
    </row>
    <row r="804">
      <c r="D804" s="33"/>
    </row>
    <row r="805">
      <c r="D805" s="33"/>
    </row>
    <row r="806">
      <c r="D806" s="33"/>
    </row>
    <row r="807">
      <c r="D807" s="33"/>
    </row>
    <row r="808">
      <c r="D808" s="33"/>
    </row>
    <row r="809">
      <c r="D809" s="33"/>
    </row>
    <row r="810">
      <c r="D810" s="33"/>
    </row>
    <row r="811">
      <c r="D811" s="33"/>
    </row>
    <row r="812">
      <c r="D812" s="33"/>
    </row>
    <row r="813">
      <c r="D813" s="33"/>
    </row>
    <row r="814">
      <c r="D814" s="33"/>
    </row>
    <row r="815">
      <c r="D815" s="33"/>
    </row>
    <row r="816">
      <c r="D816" s="33"/>
    </row>
    <row r="817">
      <c r="D817" s="33"/>
    </row>
    <row r="818">
      <c r="D818" s="33"/>
    </row>
    <row r="819">
      <c r="D819" s="33"/>
    </row>
    <row r="820">
      <c r="D820" s="33"/>
    </row>
    <row r="821">
      <c r="D821" s="33"/>
    </row>
    <row r="822">
      <c r="D822" s="33"/>
    </row>
    <row r="823">
      <c r="D823" s="33"/>
    </row>
    <row r="824">
      <c r="D824" s="33"/>
    </row>
    <row r="825">
      <c r="D825" s="33"/>
    </row>
    <row r="826">
      <c r="D826" s="33"/>
    </row>
    <row r="827">
      <c r="D827" s="33"/>
    </row>
    <row r="828">
      <c r="D828" s="33"/>
    </row>
    <row r="829">
      <c r="D829" s="33"/>
    </row>
    <row r="830">
      <c r="D830" s="33"/>
    </row>
    <row r="831">
      <c r="D831" s="33"/>
    </row>
    <row r="832">
      <c r="D832" s="33"/>
    </row>
    <row r="833">
      <c r="D833" s="33"/>
    </row>
    <row r="834">
      <c r="D834" s="33"/>
    </row>
    <row r="835">
      <c r="D835" s="33"/>
    </row>
    <row r="836">
      <c r="D836" s="33"/>
    </row>
    <row r="837">
      <c r="D837" s="33"/>
    </row>
    <row r="838">
      <c r="D838" s="33"/>
    </row>
    <row r="839">
      <c r="D839" s="33"/>
    </row>
    <row r="840">
      <c r="D840" s="33"/>
    </row>
    <row r="841">
      <c r="D841" s="33"/>
    </row>
    <row r="842">
      <c r="D842" s="33"/>
    </row>
    <row r="843">
      <c r="D843" s="33"/>
    </row>
    <row r="844">
      <c r="D844" s="33"/>
    </row>
    <row r="845">
      <c r="D845" s="33"/>
    </row>
    <row r="846">
      <c r="D846" s="33"/>
    </row>
    <row r="847">
      <c r="D847" s="33"/>
    </row>
    <row r="848">
      <c r="D848" s="33"/>
    </row>
    <row r="849">
      <c r="D849" s="33"/>
    </row>
    <row r="850">
      <c r="D850" s="33"/>
    </row>
    <row r="851">
      <c r="D851" s="33"/>
    </row>
    <row r="852">
      <c r="D852" s="33"/>
    </row>
    <row r="853">
      <c r="D853" s="33"/>
    </row>
    <row r="854">
      <c r="D854" s="33"/>
    </row>
    <row r="855">
      <c r="D855" s="33"/>
    </row>
    <row r="856">
      <c r="D856" s="33"/>
    </row>
    <row r="857">
      <c r="D857" s="33"/>
    </row>
    <row r="858">
      <c r="D858" s="33"/>
    </row>
    <row r="859">
      <c r="D859" s="33"/>
    </row>
    <row r="860">
      <c r="D860" s="33"/>
    </row>
    <row r="861">
      <c r="D861" s="33"/>
    </row>
    <row r="862">
      <c r="D862" s="33"/>
    </row>
    <row r="863">
      <c r="D863" s="33"/>
    </row>
    <row r="864">
      <c r="D864" s="33"/>
    </row>
    <row r="865">
      <c r="D865" s="33"/>
    </row>
    <row r="866">
      <c r="D866" s="33"/>
    </row>
    <row r="867">
      <c r="D867" s="33"/>
    </row>
    <row r="868">
      <c r="D868" s="33"/>
    </row>
    <row r="869">
      <c r="D869" s="33"/>
    </row>
    <row r="870">
      <c r="D870" s="33"/>
    </row>
    <row r="871">
      <c r="D871" s="33"/>
    </row>
    <row r="872">
      <c r="D872" s="33"/>
    </row>
    <row r="873">
      <c r="D873" s="33"/>
    </row>
    <row r="874">
      <c r="D874" s="33"/>
    </row>
    <row r="875">
      <c r="D875" s="33"/>
    </row>
    <row r="876">
      <c r="D876" s="33"/>
    </row>
    <row r="877">
      <c r="D877" s="33"/>
    </row>
    <row r="878">
      <c r="D878" s="33"/>
    </row>
    <row r="879">
      <c r="D879" s="33"/>
    </row>
    <row r="880">
      <c r="D880" s="33"/>
    </row>
    <row r="881">
      <c r="D881" s="33"/>
    </row>
    <row r="882">
      <c r="D882" s="33"/>
    </row>
    <row r="883">
      <c r="D883" s="33"/>
    </row>
    <row r="884">
      <c r="D884" s="33"/>
    </row>
    <row r="885">
      <c r="D885" s="33"/>
    </row>
    <row r="886">
      <c r="D886" s="33"/>
    </row>
    <row r="887">
      <c r="D887" s="33"/>
    </row>
    <row r="888">
      <c r="D888" s="33"/>
    </row>
    <row r="889">
      <c r="D889" s="33"/>
    </row>
    <row r="890">
      <c r="D890" s="33"/>
    </row>
    <row r="891">
      <c r="D891" s="33"/>
    </row>
    <row r="892">
      <c r="D892" s="33"/>
    </row>
    <row r="893">
      <c r="D893" s="33"/>
    </row>
    <row r="894">
      <c r="D894" s="33"/>
    </row>
    <row r="895">
      <c r="D895" s="33"/>
    </row>
    <row r="896">
      <c r="D896" s="33"/>
    </row>
    <row r="897">
      <c r="D897" s="33"/>
    </row>
    <row r="898">
      <c r="D898" s="33"/>
    </row>
    <row r="899">
      <c r="D899" s="33"/>
    </row>
    <row r="900">
      <c r="D900" s="33"/>
    </row>
    <row r="901">
      <c r="D901" s="33"/>
    </row>
    <row r="902">
      <c r="D902" s="33"/>
    </row>
    <row r="903">
      <c r="D903" s="33"/>
    </row>
    <row r="904">
      <c r="D904" s="33"/>
    </row>
    <row r="905">
      <c r="D905" s="33"/>
    </row>
    <row r="906">
      <c r="D906" s="33"/>
    </row>
    <row r="907">
      <c r="D907" s="33"/>
    </row>
    <row r="908">
      <c r="D908" s="33"/>
    </row>
    <row r="909">
      <c r="D909" s="33"/>
    </row>
    <row r="910">
      <c r="D910" s="33"/>
    </row>
    <row r="911">
      <c r="D911" s="33"/>
    </row>
    <row r="912">
      <c r="D912" s="33"/>
    </row>
    <row r="913">
      <c r="D913" s="33"/>
    </row>
    <row r="914">
      <c r="D914" s="33"/>
    </row>
    <row r="915">
      <c r="D915" s="33"/>
    </row>
    <row r="916">
      <c r="D916" s="33"/>
    </row>
    <row r="917">
      <c r="D917" s="33"/>
    </row>
    <row r="918">
      <c r="D918" s="33"/>
    </row>
    <row r="919">
      <c r="D919" s="33"/>
    </row>
    <row r="920">
      <c r="D920" s="33"/>
    </row>
    <row r="921">
      <c r="D921" s="33"/>
    </row>
    <row r="922">
      <c r="D922" s="33"/>
    </row>
    <row r="923">
      <c r="D923" s="33"/>
    </row>
    <row r="924">
      <c r="D924" s="33"/>
    </row>
    <row r="925">
      <c r="D925" s="33"/>
    </row>
    <row r="926">
      <c r="D926" s="33"/>
    </row>
    <row r="927">
      <c r="D927" s="33"/>
    </row>
    <row r="928">
      <c r="D928" s="33"/>
    </row>
    <row r="929">
      <c r="D929" s="33"/>
    </row>
    <row r="930">
      <c r="D930" s="33"/>
    </row>
    <row r="931">
      <c r="D931" s="33"/>
    </row>
    <row r="932">
      <c r="D932" s="33"/>
    </row>
    <row r="933">
      <c r="D933" s="33"/>
    </row>
    <row r="934">
      <c r="D934" s="33"/>
    </row>
    <row r="935">
      <c r="D935" s="33"/>
    </row>
    <row r="936">
      <c r="D936" s="33"/>
    </row>
    <row r="937">
      <c r="D937" s="33"/>
    </row>
    <row r="938">
      <c r="D938" s="33"/>
    </row>
    <row r="939">
      <c r="D939" s="33"/>
    </row>
    <row r="940">
      <c r="D940" s="33"/>
    </row>
    <row r="941">
      <c r="D941" s="33"/>
    </row>
    <row r="942">
      <c r="D942" s="33"/>
    </row>
    <row r="943">
      <c r="D943" s="33"/>
    </row>
    <row r="944">
      <c r="D944" s="33"/>
    </row>
    <row r="945">
      <c r="D945" s="33"/>
    </row>
    <row r="946">
      <c r="D946" s="33"/>
    </row>
    <row r="947">
      <c r="D947" s="33"/>
    </row>
    <row r="948">
      <c r="D948" s="33"/>
    </row>
    <row r="949">
      <c r="D949" s="33"/>
    </row>
    <row r="950">
      <c r="D950" s="33"/>
    </row>
    <row r="951">
      <c r="D951" s="33"/>
    </row>
    <row r="952">
      <c r="D952" s="33"/>
    </row>
    <row r="953">
      <c r="D953" s="33"/>
    </row>
    <row r="954">
      <c r="D954" s="33"/>
    </row>
    <row r="955">
      <c r="D955" s="33"/>
    </row>
    <row r="956">
      <c r="D956" s="33"/>
    </row>
    <row r="957">
      <c r="D957" s="33"/>
    </row>
    <row r="958">
      <c r="D958" s="33"/>
    </row>
    <row r="959">
      <c r="D959" s="33"/>
    </row>
    <row r="960">
      <c r="D960" s="33"/>
    </row>
    <row r="961">
      <c r="D961" s="33"/>
    </row>
    <row r="962">
      <c r="D962" s="33"/>
    </row>
    <row r="963">
      <c r="D963" s="33"/>
    </row>
    <row r="964">
      <c r="D964" s="33"/>
    </row>
    <row r="965">
      <c r="D965" s="33"/>
    </row>
    <row r="966">
      <c r="D966" s="33"/>
    </row>
    <row r="967">
      <c r="D967" s="33"/>
    </row>
    <row r="968">
      <c r="D968" s="33"/>
    </row>
    <row r="969">
      <c r="D969" s="33"/>
    </row>
    <row r="970">
      <c r="D970" s="33"/>
    </row>
    <row r="971">
      <c r="D971" s="33"/>
    </row>
    <row r="972">
      <c r="D972" s="33"/>
    </row>
    <row r="973">
      <c r="D973" s="33"/>
    </row>
    <row r="974">
      <c r="D974" s="33"/>
    </row>
    <row r="975">
      <c r="D975" s="33"/>
    </row>
    <row r="976">
      <c r="D976" s="33"/>
    </row>
    <row r="977">
      <c r="D977" s="33"/>
    </row>
    <row r="978">
      <c r="D978" s="33"/>
    </row>
    <row r="979">
      <c r="D979" s="33"/>
    </row>
    <row r="980">
      <c r="D980" s="33"/>
    </row>
    <row r="981">
      <c r="D981" s="33"/>
    </row>
    <row r="982">
      <c r="D982" s="33"/>
    </row>
    <row r="983">
      <c r="D983" s="33"/>
    </row>
    <row r="984">
      <c r="D984" s="33"/>
    </row>
    <row r="985">
      <c r="D985" s="33"/>
    </row>
    <row r="986">
      <c r="D986" s="33"/>
    </row>
    <row r="987">
      <c r="D987" s="33"/>
    </row>
    <row r="988">
      <c r="D988" s="33"/>
    </row>
    <row r="989">
      <c r="D989" s="33"/>
    </row>
    <row r="990">
      <c r="D990" s="33"/>
    </row>
    <row r="991">
      <c r="D991" s="33"/>
    </row>
    <row r="992">
      <c r="D992" s="33"/>
    </row>
    <row r="993">
      <c r="D993" s="33"/>
    </row>
    <row r="994">
      <c r="D994" s="33"/>
    </row>
    <row r="995">
      <c r="D995" s="33"/>
    </row>
    <row r="996">
      <c r="D996" s="33"/>
    </row>
    <row r="997">
      <c r="D997" s="33"/>
    </row>
    <row r="998">
      <c r="D998" s="33"/>
    </row>
    <row r="999">
      <c r="D999" s="33"/>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5"/>
    <col customWidth="1" min="2" max="2" width="53.13"/>
    <col customWidth="1" min="3" max="3" width="37.75"/>
  </cols>
  <sheetData>
    <row r="1">
      <c r="A1" s="2" t="s">
        <v>17196</v>
      </c>
      <c r="B1" s="14"/>
      <c r="C1" s="14"/>
      <c r="D1" s="31"/>
      <c r="E1" s="14"/>
      <c r="F1" s="14"/>
      <c r="G1" s="14"/>
      <c r="H1" s="14"/>
      <c r="I1" s="14"/>
      <c r="J1" s="14"/>
      <c r="K1" s="14"/>
      <c r="L1" s="14"/>
      <c r="M1" s="14"/>
      <c r="N1" s="14"/>
      <c r="O1" s="14"/>
      <c r="P1" s="14"/>
      <c r="Q1" s="14"/>
      <c r="R1" s="14"/>
      <c r="S1" s="14"/>
      <c r="T1" s="14"/>
      <c r="U1" s="14"/>
      <c r="V1" s="14"/>
      <c r="W1" s="14"/>
      <c r="X1" s="14"/>
      <c r="Y1" s="14"/>
      <c r="Z1" s="14"/>
    </row>
    <row r="2">
      <c r="A2" s="2" t="s">
        <v>17190</v>
      </c>
      <c r="B2" s="2" t="s">
        <v>21</v>
      </c>
      <c r="C2" s="2" t="s">
        <v>17199</v>
      </c>
      <c r="D2" s="17" t="s">
        <v>17192</v>
      </c>
      <c r="E2" s="14"/>
      <c r="F2" s="14"/>
      <c r="G2" s="14"/>
      <c r="H2" s="14"/>
      <c r="I2" s="14"/>
      <c r="J2" s="14"/>
      <c r="K2" s="14"/>
      <c r="L2" s="14"/>
      <c r="M2" s="14"/>
      <c r="N2" s="14"/>
      <c r="O2" s="14"/>
      <c r="P2" s="14"/>
      <c r="Q2" s="14"/>
      <c r="R2" s="14"/>
      <c r="S2" s="14"/>
      <c r="T2" s="14"/>
      <c r="U2" s="14"/>
      <c r="V2" s="14"/>
      <c r="W2" s="14"/>
      <c r="X2" s="14"/>
      <c r="Y2" s="14"/>
      <c r="Z2" s="14"/>
    </row>
    <row r="3">
      <c r="A3" s="12" t="str">
        <f>IFERROR(__xludf.DUMMYFUNCTION("UNIQUE(
  QUERY(
    DNU_ActiveDeployments!A2:I999,
    ""SELECT Col1, Col2, Col6, Col9 
     WHERE Col9 IS NOT NULL 
       AND Col9 &gt;= DATE '"" &amp; TEXT(TODAY(), ""yyyy-mm-dd"") &amp; ""' 
       AND Col9 &lt;= DATE '"" &amp; TEXT(TODAY() + 90, ""yyyy-mm-dd"") &amp; ""'"&amp;"
     ORDER BY Col9 ASC"", 
    0
  )
)"),"#N/A")</f>
        <v>#N/A</v>
      </c>
      <c r="D3" s="33"/>
    </row>
    <row r="4">
      <c r="D4" s="33"/>
    </row>
    <row r="5">
      <c r="D5" s="33"/>
    </row>
    <row r="6">
      <c r="D6" s="33"/>
    </row>
    <row r="7">
      <c r="D7" s="33"/>
    </row>
    <row r="8">
      <c r="D8" s="33"/>
    </row>
    <row r="9">
      <c r="D9" s="33"/>
    </row>
    <row r="10">
      <c r="D10" s="33"/>
    </row>
    <row r="11">
      <c r="D11" s="33"/>
    </row>
    <row r="12">
      <c r="D12" s="33"/>
    </row>
    <row r="13">
      <c r="D13" s="33"/>
    </row>
    <row r="14">
      <c r="D14" s="33"/>
    </row>
    <row r="15">
      <c r="D15" s="33"/>
    </row>
    <row r="16">
      <c r="D16" s="33"/>
    </row>
    <row r="17">
      <c r="D17" s="33"/>
    </row>
    <row r="18">
      <c r="D18" s="33"/>
    </row>
    <row r="19">
      <c r="D19" s="33"/>
    </row>
    <row r="20">
      <c r="D20" s="33"/>
    </row>
    <row r="21">
      <c r="D21" s="33"/>
    </row>
    <row r="22">
      <c r="D22" s="33"/>
    </row>
    <row r="23">
      <c r="D23" s="33"/>
    </row>
    <row r="24">
      <c r="D24" s="33"/>
    </row>
    <row r="25">
      <c r="D25" s="33"/>
    </row>
    <row r="26">
      <c r="D26" s="33"/>
    </row>
    <row r="27">
      <c r="D27" s="33"/>
    </row>
    <row r="28">
      <c r="D28" s="33"/>
    </row>
    <row r="29">
      <c r="D29" s="33"/>
    </row>
    <row r="30">
      <c r="D30" s="33"/>
    </row>
    <row r="31">
      <c r="D31" s="33"/>
    </row>
    <row r="32">
      <c r="D32" s="33"/>
    </row>
    <row r="33">
      <c r="D33" s="33"/>
    </row>
    <row r="34">
      <c r="D34" s="33"/>
    </row>
    <row r="35">
      <c r="D35" s="33"/>
    </row>
    <row r="36">
      <c r="D36" s="33"/>
    </row>
    <row r="37">
      <c r="D37" s="33"/>
    </row>
    <row r="38">
      <c r="D38" s="33"/>
    </row>
    <row r="39">
      <c r="D39" s="33"/>
    </row>
    <row r="40">
      <c r="D40" s="33"/>
    </row>
    <row r="41">
      <c r="D41" s="33"/>
    </row>
    <row r="42">
      <c r="D42" s="33"/>
    </row>
    <row r="43">
      <c r="D43" s="33"/>
    </row>
    <row r="44">
      <c r="D44" s="33"/>
    </row>
    <row r="45">
      <c r="D45" s="33"/>
    </row>
    <row r="46">
      <c r="D46" s="33"/>
    </row>
    <row r="47">
      <c r="D47" s="33"/>
    </row>
    <row r="48">
      <c r="D48" s="33"/>
    </row>
    <row r="49">
      <c r="D49" s="33"/>
    </row>
    <row r="50">
      <c r="D50" s="33"/>
    </row>
    <row r="51">
      <c r="D51" s="33"/>
    </row>
    <row r="52">
      <c r="D52" s="33"/>
    </row>
    <row r="53">
      <c r="D53" s="33"/>
    </row>
    <row r="54">
      <c r="D54" s="33"/>
    </row>
    <row r="55">
      <c r="D55" s="33"/>
    </row>
    <row r="56">
      <c r="D56" s="33"/>
    </row>
    <row r="57">
      <c r="D57" s="33"/>
    </row>
    <row r="58">
      <c r="D58" s="33"/>
    </row>
    <row r="59">
      <c r="D59" s="33"/>
    </row>
    <row r="60">
      <c r="D60" s="33"/>
    </row>
    <row r="61">
      <c r="D61" s="33"/>
    </row>
    <row r="62">
      <c r="D62" s="33"/>
    </row>
    <row r="63">
      <c r="D63" s="33"/>
    </row>
    <row r="64">
      <c r="D64" s="33"/>
    </row>
    <row r="65">
      <c r="D65" s="33"/>
    </row>
    <row r="66">
      <c r="D66" s="33"/>
    </row>
    <row r="67">
      <c r="D67" s="33"/>
    </row>
    <row r="68">
      <c r="D68" s="33"/>
    </row>
    <row r="69">
      <c r="D69" s="33"/>
    </row>
    <row r="70">
      <c r="D70" s="33"/>
    </row>
    <row r="71">
      <c r="D71" s="33"/>
    </row>
    <row r="72">
      <c r="D72" s="33"/>
    </row>
    <row r="73">
      <c r="D73" s="33"/>
    </row>
    <row r="74">
      <c r="D74" s="33"/>
    </row>
    <row r="75">
      <c r="D75" s="33"/>
    </row>
    <row r="76">
      <c r="D76" s="33"/>
    </row>
    <row r="77">
      <c r="D77" s="33"/>
    </row>
    <row r="78">
      <c r="D78" s="33"/>
    </row>
    <row r="79">
      <c r="D79" s="33"/>
    </row>
    <row r="80">
      <c r="D80" s="33"/>
    </row>
    <row r="81">
      <c r="D81" s="33"/>
    </row>
    <row r="82">
      <c r="D82" s="33"/>
    </row>
    <row r="83">
      <c r="D83" s="33"/>
    </row>
    <row r="84">
      <c r="D84" s="33"/>
    </row>
    <row r="85">
      <c r="D85" s="33"/>
    </row>
    <row r="86">
      <c r="D86" s="33"/>
    </row>
    <row r="87">
      <c r="D87" s="33"/>
    </row>
    <row r="88">
      <c r="D88" s="33"/>
    </row>
    <row r="89">
      <c r="D89" s="33"/>
    </row>
    <row r="90">
      <c r="D90" s="33"/>
    </row>
    <row r="91">
      <c r="D91" s="33"/>
    </row>
    <row r="92">
      <c r="D92" s="33"/>
    </row>
    <row r="93">
      <c r="D93" s="33"/>
    </row>
    <row r="94">
      <c r="D94" s="33"/>
    </row>
    <row r="95">
      <c r="D95" s="33"/>
    </row>
    <row r="96">
      <c r="D96" s="33"/>
    </row>
    <row r="97">
      <c r="D97" s="33"/>
    </row>
    <row r="98">
      <c r="D98" s="33"/>
    </row>
    <row r="99">
      <c r="D99" s="33"/>
    </row>
    <row r="100">
      <c r="D100" s="33"/>
    </row>
    <row r="101">
      <c r="D101" s="33"/>
    </row>
    <row r="102">
      <c r="D102" s="33"/>
    </row>
    <row r="103">
      <c r="D103" s="33"/>
    </row>
    <row r="104">
      <c r="D104" s="33"/>
    </row>
    <row r="105">
      <c r="D105" s="33"/>
    </row>
    <row r="106">
      <c r="D106" s="33"/>
    </row>
    <row r="107">
      <c r="D107" s="33"/>
    </row>
    <row r="108">
      <c r="D108" s="33"/>
    </row>
    <row r="109">
      <c r="D109" s="33"/>
    </row>
    <row r="110">
      <c r="D110" s="33"/>
    </row>
    <row r="111">
      <c r="D111" s="33"/>
    </row>
    <row r="112">
      <c r="D112" s="33"/>
    </row>
    <row r="113">
      <c r="D113" s="33"/>
    </row>
    <row r="114">
      <c r="D114" s="33"/>
    </row>
    <row r="115">
      <c r="D115" s="33"/>
    </row>
    <row r="116">
      <c r="D116" s="33"/>
    </row>
    <row r="117">
      <c r="D117" s="33"/>
    </row>
    <row r="118">
      <c r="D118" s="33"/>
    </row>
    <row r="119">
      <c r="D119" s="33"/>
    </row>
    <row r="120">
      <c r="D120" s="33"/>
    </row>
    <row r="121">
      <c r="D121" s="33"/>
    </row>
    <row r="122">
      <c r="D122" s="33"/>
    </row>
    <row r="123">
      <c r="D123" s="33"/>
    </row>
    <row r="124">
      <c r="D124" s="33"/>
    </row>
    <row r="125">
      <c r="D125" s="33"/>
    </row>
    <row r="126">
      <c r="D126" s="33"/>
    </row>
    <row r="127">
      <c r="D127" s="33"/>
    </row>
    <row r="128">
      <c r="D128" s="33"/>
    </row>
    <row r="129">
      <c r="D129" s="33"/>
    </row>
    <row r="130">
      <c r="D130" s="33"/>
    </row>
    <row r="131">
      <c r="D131" s="33"/>
    </row>
    <row r="132">
      <c r="D132" s="33"/>
    </row>
    <row r="133">
      <c r="D133" s="33"/>
    </row>
    <row r="134">
      <c r="D134" s="33"/>
    </row>
    <row r="135">
      <c r="D135" s="33"/>
    </row>
    <row r="136">
      <c r="D136" s="33"/>
    </row>
    <row r="137">
      <c r="D137" s="33"/>
    </row>
    <row r="138">
      <c r="D138" s="33"/>
    </row>
    <row r="139">
      <c r="D139" s="33"/>
    </row>
    <row r="140">
      <c r="D140" s="33"/>
    </row>
    <row r="141">
      <c r="D141" s="33"/>
    </row>
    <row r="142">
      <c r="D142" s="33"/>
    </row>
    <row r="143">
      <c r="D143" s="33"/>
    </row>
    <row r="144">
      <c r="D144" s="33"/>
    </row>
    <row r="145">
      <c r="D145" s="33"/>
    </row>
    <row r="146">
      <c r="D146" s="33"/>
    </row>
    <row r="147">
      <c r="D147" s="33"/>
    </row>
    <row r="148">
      <c r="D148" s="33"/>
    </row>
    <row r="149">
      <c r="D149" s="33"/>
    </row>
    <row r="150">
      <c r="D150" s="33"/>
    </row>
    <row r="151">
      <c r="D151" s="33"/>
    </row>
    <row r="152">
      <c r="D152" s="33"/>
    </row>
    <row r="153">
      <c r="D153" s="33"/>
    </row>
    <row r="154">
      <c r="D154" s="33"/>
    </row>
    <row r="155">
      <c r="D155" s="33"/>
    </row>
    <row r="156">
      <c r="D156" s="33"/>
    </row>
    <row r="157">
      <c r="D157" s="33"/>
    </row>
    <row r="158">
      <c r="D158" s="33"/>
    </row>
    <row r="159">
      <c r="D159" s="33"/>
    </row>
    <row r="160">
      <c r="D160" s="33"/>
    </row>
    <row r="161">
      <c r="D161" s="33"/>
    </row>
    <row r="162">
      <c r="D162" s="33"/>
    </row>
    <row r="163">
      <c r="D163" s="33"/>
    </row>
    <row r="164">
      <c r="D164" s="33"/>
    </row>
    <row r="165">
      <c r="D165" s="33"/>
    </row>
    <row r="166">
      <c r="D166" s="33"/>
    </row>
    <row r="167">
      <c r="D167" s="33"/>
    </row>
    <row r="168">
      <c r="D168" s="33"/>
    </row>
    <row r="169">
      <c r="D169" s="33"/>
    </row>
    <row r="170">
      <c r="D170" s="33"/>
    </row>
    <row r="171">
      <c r="D171" s="33"/>
    </row>
    <row r="172">
      <c r="D172" s="33"/>
    </row>
    <row r="173">
      <c r="D173" s="33"/>
    </row>
    <row r="174">
      <c r="D174" s="33"/>
    </row>
    <row r="175">
      <c r="D175" s="33"/>
    </row>
    <row r="176">
      <c r="D176" s="33"/>
    </row>
    <row r="177">
      <c r="D177" s="33"/>
    </row>
    <row r="178">
      <c r="D178" s="33"/>
    </row>
    <row r="179">
      <c r="D179" s="33"/>
    </row>
    <row r="180">
      <c r="D180" s="33"/>
    </row>
    <row r="181">
      <c r="D181" s="33"/>
    </row>
    <row r="182">
      <c r="D182" s="33"/>
    </row>
    <row r="183">
      <c r="D183" s="33"/>
    </row>
    <row r="184">
      <c r="D184" s="33"/>
    </row>
    <row r="185">
      <c r="D185" s="33"/>
    </row>
    <row r="186">
      <c r="D186" s="33"/>
    </row>
    <row r="187">
      <c r="D187" s="33"/>
    </row>
    <row r="188">
      <c r="D188" s="33"/>
    </row>
    <row r="189">
      <c r="D189" s="33"/>
    </row>
    <row r="190">
      <c r="D190" s="33"/>
    </row>
    <row r="191">
      <c r="D191" s="33"/>
    </row>
    <row r="192">
      <c r="D192" s="33"/>
    </row>
    <row r="193">
      <c r="D193" s="33"/>
    </row>
    <row r="194">
      <c r="D194" s="33"/>
    </row>
    <row r="195">
      <c r="D195" s="33"/>
    </row>
    <row r="196">
      <c r="D196" s="33"/>
    </row>
    <row r="197">
      <c r="D197" s="33"/>
    </row>
    <row r="198">
      <c r="D198" s="33"/>
    </row>
    <row r="199">
      <c r="D199" s="33"/>
    </row>
    <row r="200">
      <c r="D200" s="33"/>
    </row>
    <row r="201">
      <c r="D201" s="33"/>
    </row>
    <row r="202">
      <c r="D202" s="33"/>
    </row>
    <row r="203">
      <c r="D203" s="33"/>
    </row>
    <row r="204">
      <c r="D204" s="33"/>
    </row>
    <row r="205">
      <c r="D205" s="33"/>
    </row>
    <row r="206">
      <c r="D206" s="33"/>
    </row>
    <row r="207">
      <c r="D207" s="33"/>
    </row>
    <row r="208">
      <c r="D208" s="33"/>
    </row>
    <row r="209">
      <c r="D209" s="33"/>
    </row>
    <row r="210">
      <c r="D210" s="33"/>
    </row>
    <row r="211">
      <c r="D211" s="33"/>
    </row>
    <row r="212">
      <c r="D212" s="33"/>
    </row>
    <row r="213">
      <c r="D213" s="33"/>
    </row>
    <row r="214">
      <c r="D214" s="33"/>
    </row>
    <row r="215">
      <c r="D215" s="33"/>
    </row>
    <row r="216">
      <c r="D216" s="33"/>
    </row>
    <row r="217">
      <c r="D217" s="33"/>
    </row>
    <row r="218">
      <c r="D218" s="33"/>
    </row>
    <row r="219">
      <c r="D219" s="33"/>
    </row>
    <row r="220">
      <c r="D220" s="33"/>
    </row>
    <row r="221">
      <c r="D221" s="33"/>
    </row>
    <row r="222">
      <c r="D222" s="33"/>
    </row>
    <row r="223">
      <c r="D223" s="33"/>
    </row>
    <row r="224">
      <c r="D224" s="33"/>
    </row>
    <row r="225">
      <c r="D225" s="33"/>
    </row>
    <row r="226">
      <c r="D226" s="33"/>
    </row>
    <row r="227">
      <c r="D227" s="33"/>
    </row>
    <row r="228">
      <c r="D228" s="33"/>
    </row>
    <row r="229">
      <c r="D229" s="33"/>
    </row>
    <row r="230">
      <c r="D230" s="33"/>
    </row>
    <row r="231">
      <c r="D231" s="33"/>
    </row>
    <row r="232">
      <c r="D232" s="33"/>
    </row>
    <row r="233">
      <c r="D233" s="33"/>
    </row>
    <row r="234">
      <c r="D234" s="33"/>
    </row>
    <row r="235">
      <c r="D235" s="33"/>
    </row>
    <row r="236">
      <c r="D236" s="33"/>
    </row>
    <row r="237">
      <c r="D237" s="33"/>
    </row>
    <row r="238">
      <c r="D238" s="33"/>
    </row>
    <row r="239">
      <c r="D239" s="33"/>
    </row>
    <row r="240">
      <c r="D240" s="33"/>
    </row>
    <row r="241">
      <c r="D241" s="33"/>
    </row>
    <row r="242">
      <c r="D242" s="33"/>
    </row>
    <row r="243">
      <c r="D243" s="33"/>
    </row>
    <row r="244">
      <c r="D244" s="33"/>
    </row>
    <row r="245">
      <c r="D245" s="33"/>
    </row>
    <row r="246">
      <c r="D246" s="33"/>
    </row>
    <row r="247">
      <c r="D247" s="33"/>
    </row>
    <row r="248">
      <c r="D248" s="33"/>
    </row>
    <row r="249">
      <c r="D249" s="33"/>
    </row>
    <row r="250">
      <c r="D250" s="33"/>
    </row>
    <row r="251">
      <c r="D251" s="33"/>
    </row>
    <row r="252">
      <c r="D252" s="33"/>
    </row>
    <row r="253">
      <c r="D253" s="33"/>
    </row>
    <row r="254">
      <c r="D254" s="33"/>
    </row>
    <row r="255">
      <c r="D255" s="33"/>
    </row>
    <row r="256">
      <c r="D256" s="33"/>
    </row>
    <row r="257">
      <c r="D257" s="33"/>
    </row>
    <row r="258">
      <c r="D258" s="33"/>
    </row>
    <row r="259">
      <c r="D259" s="33"/>
    </row>
    <row r="260">
      <c r="D260" s="33"/>
    </row>
    <row r="261">
      <c r="D261" s="33"/>
    </row>
    <row r="262">
      <c r="D262" s="33"/>
    </row>
    <row r="263">
      <c r="D263" s="33"/>
    </row>
    <row r="264">
      <c r="D264" s="33"/>
    </row>
    <row r="265">
      <c r="D265" s="33"/>
    </row>
    <row r="266">
      <c r="D266" s="33"/>
    </row>
    <row r="267">
      <c r="D267" s="33"/>
    </row>
    <row r="268">
      <c r="D268" s="33"/>
    </row>
    <row r="269">
      <c r="D269" s="33"/>
    </row>
    <row r="270">
      <c r="D270" s="33"/>
    </row>
    <row r="271">
      <c r="D271" s="33"/>
    </row>
    <row r="272">
      <c r="D272" s="33"/>
    </row>
    <row r="273">
      <c r="D273" s="33"/>
    </row>
    <row r="274">
      <c r="D274" s="33"/>
    </row>
    <row r="275">
      <c r="D275" s="33"/>
    </row>
    <row r="276">
      <c r="D276" s="33"/>
    </row>
    <row r="277">
      <c r="D277" s="33"/>
    </row>
    <row r="278">
      <c r="D278" s="33"/>
    </row>
    <row r="279">
      <c r="D279" s="33"/>
    </row>
    <row r="280">
      <c r="D280" s="33"/>
    </row>
    <row r="281">
      <c r="D281" s="33"/>
    </row>
    <row r="282">
      <c r="D282" s="33"/>
    </row>
    <row r="283">
      <c r="D283" s="33"/>
    </row>
    <row r="284">
      <c r="D284" s="33"/>
    </row>
    <row r="285">
      <c r="D285" s="33"/>
    </row>
    <row r="286">
      <c r="D286" s="33"/>
    </row>
    <row r="287">
      <c r="D287" s="33"/>
    </row>
    <row r="288">
      <c r="D288" s="33"/>
    </row>
    <row r="289">
      <c r="D289" s="33"/>
    </row>
    <row r="290">
      <c r="D290" s="33"/>
    </row>
    <row r="291">
      <c r="D291" s="33"/>
    </row>
    <row r="292">
      <c r="D292" s="33"/>
    </row>
    <row r="293">
      <c r="D293" s="33"/>
    </row>
    <row r="294">
      <c r="D294" s="33"/>
    </row>
    <row r="295">
      <c r="D295" s="33"/>
    </row>
    <row r="296">
      <c r="D296" s="33"/>
    </row>
    <row r="297">
      <c r="D297" s="33"/>
    </row>
    <row r="298">
      <c r="D298" s="33"/>
    </row>
    <row r="299">
      <c r="D299" s="33"/>
    </row>
    <row r="300">
      <c r="D300" s="33"/>
    </row>
    <row r="301">
      <c r="D301" s="33"/>
    </row>
    <row r="302">
      <c r="D302" s="33"/>
    </row>
    <row r="303">
      <c r="D303" s="33"/>
    </row>
    <row r="304">
      <c r="D304" s="33"/>
    </row>
    <row r="305">
      <c r="D305" s="33"/>
    </row>
    <row r="306">
      <c r="D306" s="33"/>
    </row>
    <row r="307">
      <c r="D307" s="33"/>
    </row>
    <row r="308">
      <c r="D308" s="33"/>
    </row>
    <row r="309">
      <c r="D309" s="33"/>
    </row>
    <row r="310">
      <c r="D310" s="33"/>
    </row>
    <row r="311">
      <c r="D311" s="33"/>
    </row>
    <row r="312">
      <c r="D312" s="33"/>
    </row>
    <row r="313">
      <c r="D313" s="33"/>
    </row>
    <row r="314">
      <c r="D314" s="33"/>
    </row>
    <row r="315">
      <c r="D315" s="33"/>
    </row>
    <row r="316">
      <c r="D316" s="33"/>
    </row>
    <row r="317">
      <c r="D317" s="33"/>
    </row>
    <row r="318">
      <c r="D318" s="33"/>
    </row>
    <row r="319">
      <c r="D319" s="33"/>
    </row>
    <row r="320">
      <c r="D320" s="33"/>
    </row>
    <row r="321">
      <c r="D321" s="33"/>
    </row>
    <row r="322">
      <c r="D322" s="33"/>
    </row>
    <row r="323">
      <c r="D323" s="33"/>
    </row>
    <row r="324">
      <c r="D324" s="33"/>
    </row>
    <row r="325">
      <c r="D325" s="33"/>
    </row>
    <row r="326">
      <c r="D326" s="33"/>
    </row>
    <row r="327">
      <c r="D327" s="33"/>
    </row>
    <row r="328">
      <c r="D328" s="33"/>
    </row>
    <row r="329">
      <c r="D329" s="33"/>
    </row>
    <row r="330">
      <c r="D330" s="33"/>
    </row>
    <row r="331">
      <c r="D331" s="33"/>
    </row>
    <row r="332">
      <c r="D332" s="33"/>
    </row>
    <row r="333">
      <c r="D333" s="33"/>
    </row>
    <row r="334">
      <c r="D334" s="33"/>
    </row>
    <row r="335">
      <c r="D335" s="33"/>
    </row>
    <row r="336">
      <c r="D336" s="33"/>
    </row>
    <row r="337">
      <c r="D337" s="33"/>
    </row>
    <row r="338">
      <c r="D338" s="33"/>
    </row>
    <row r="339">
      <c r="D339" s="33"/>
    </row>
    <row r="340">
      <c r="D340" s="33"/>
    </row>
    <row r="341">
      <c r="D341" s="33"/>
    </row>
    <row r="342">
      <c r="D342" s="33"/>
    </row>
    <row r="343">
      <c r="D343" s="33"/>
    </row>
    <row r="344">
      <c r="D344" s="33"/>
    </row>
    <row r="345">
      <c r="D345" s="33"/>
    </row>
    <row r="346">
      <c r="D346" s="33"/>
    </row>
    <row r="347">
      <c r="D347" s="33"/>
    </row>
    <row r="348">
      <c r="D348" s="33"/>
    </row>
    <row r="349">
      <c r="D349" s="33"/>
    </row>
    <row r="350">
      <c r="D350" s="33"/>
    </row>
    <row r="351">
      <c r="D351" s="33"/>
    </row>
    <row r="352">
      <c r="D352" s="33"/>
    </row>
    <row r="353">
      <c r="D353" s="33"/>
    </row>
    <row r="354">
      <c r="D354" s="33"/>
    </row>
    <row r="355">
      <c r="D355" s="33"/>
    </row>
    <row r="356">
      <c r="D356" s="33"/>
    </row>
    <row r="357">
      <c r="D357" s="33"/>
    </row>
    <row r="358">
      <c r="D358" s="33"/>
    </row>
    <row r="359">
      <c r="D359" s="33"/>
    </row>
    <row r="360">
      <c r="D360" s="33"/>
    </row>
    <row r="361">
      <c r="D361" s="33"/>
    </row>
    <row r="362">
      <c r="D362" s="33"/>
    </row>
    <row r="363">
      <c r="D363" s="33"/>
    </row>
    <row r="364">
      <c r="D364" s="33"/>
    </row>
    <row r="365">
      <c r="D365" s="33"/>
    </row>
    <row r="366">
      <c r="D366" s="33"/>
    </row>
    <row r="367">
      <c r="D367" s="33"/>
    </row>
    <row r="368">
      <c r="D368" s="33"/>
    </row>
    <row r="369">
      <c r="D369" s="33"/>
    </row>
    <row r="370">
      <c r="D370" s="33"/>
    </row>
    <row r="371">
      <c r="D371" s="33"/>
    </row>
    <row r="372">
      <c r="D372" s="33"/>
    </row>
    <row r="373">
      <c r="D373" s="33"/>
    </row>
    <row r="374">
      <c r="D374" s="33"/>
    </row>
    <row r="375">
      <c r="D375" s="33"/>
    </row>
    <row r="376">
      <c r="D376" s="33"/>
    </row>
    <row r="377">
      <c r="D377" s="33"/>
    </row>
    <row r="378">
      <c r="D378" s="33"/>
    </row>
    <row r="379">
      <c r="D379" s="33"/>
    </row>
    <row r="380">
      <c r="D380" s="33"/>
    </row>
    <row r="381">
      <c r="D381" s="33"/>
    </row>
    <row r="382">
      <c r="D382" s="33"/>
    </row>
    <row r="383">
      <c r="D383" s="33"/>
    </row>
    <row r="384">
      <c r="D384" s="33"/>
    </row>
    <row r="385">
      <c r="D385" s="33"/>
    </row>
    <row r="386">
      <c r="D386" s="33"/>
    </row>
    <row r="387">
      <c r="D387" s="33"/>
    </row>
    <row r="388">
      <c r="D388" s="33"/>
    </row>
    <row r="389">
      <c r="D389" s="33"/>
    </row>
    <row r="390">
      <c r="D390" s="33"/>
    </row>
    <row r="391">
      <c r="D391" s="33"/>
    </row>
    <row r="392">
      <c r="D392" s="33"/>
    </row>
    <row r="393">
      <c r="D393" s="33"/>
    </row>
    <row r="394">
      <c r="D394" s="33"/>
    </row>
    <row r="395">
      <c r="D395" s="33"/>
    </row>
    <row r="396">
      <c r="D396" s="33"/>
    </row>
    <row r="397">
      <c r="D397" s="33"/>
    </row>
    <row r="398">
      <c r="D398" s="33"/>
    </row>
    <row r="399">
      <c r="D399" s="33"/>
    </row>
    <row r="400">
      <c r="D400" s="33"/>
    </row>
    <row r="401">
      <c r="D401" s="33"/>
    </row>
    <row r="402">
      <c r="D402" s="33"/>
    </row>
    <row r="403">
      <c r="D403" s="33"/>
    </row>
    <row r="404">
      <c r="D404" s="33"/>
    </row>
    <row r="405">
      <c r="D405" s="33"/>
    </row>
    <row r="406">
      <c r="D406" s="33"/>
    </row>
    <row r="407">
      <c r="D407" s="33"/>
    </row>
    <row r="408">
      <c r="D408" s="33"/>
    </row>
    <row r="409">
      <c r="D409" s="33"/>
    </row>
    <row r="410">
      <c r="D410" s="33"/>
    </row>
    <row r="411">
      <c r="D411" s="33"/>
    </row>
    <row r="412">
      <c r="D412" s="33"/>
    </row>
    <row r="413">
      <c r="D413" s="33"/>
    </row>
    <row r="414">
      <c r="D414" s="33"/>
    </row>
    <row r="415">
      <c r="D415" s="33"/>
    </row>
    <row r="416">
      <c r="D416" s="33"/>
    </row>
    <row r="417">
      <c r="D417" s="33"/>
    </row>
    <row r="418">
      <c r="D418" s="33"/>
    </row>
    <row r="419">
      <c r="D419" s="33"/>
    </row>
    <row r="420">
      <c r="D420" s="33"/>
    </row>
    <row r="421">
      <c r="D421" s="33"/>
    </row>
    <row r="422">
      <c r="D422" s="33"/>
    </row>
    <row r="423">
      <c r="D423" s="33"/>
    </row>
    <row r="424">
      <c r="D424" s="33"/>
    </row>
    <row r="425">
      <c r="D425" s="33"/>
    </row>
    <row r="426">
      <c r="D426" s="33"/>
    </row>
    <row r="427">
      <c r="D427" s="33"/>
    </row>
    <row r="428">
      <c r="D428" s="33"/>
    </row>
    <row r="429">
      <c r="D429" s="33"/>
    </row>
    <row r="430">
      <c r="D430" s="33"/>
    </row>
    <row r="431">
      <c r="D431" s="33"/>
    </row>
    <row r="432">
      <c r="D432" s="33"/>
    </row>
    <row r="433">
      <c r="D433" s="33"/>
    </row>
    <row r="434">
      <c r="D434" s="33"/>
    </row>
    <row r="435">
      <c r="D435" s="33"/>
    </row>
    <row r="436">
      <c r="D436" s="33"/>
    </row>
    <row r="437">
      <c r="D437" s="33"/>
    </row>
    <row r="438">
      <c r="D438" s="33"/>
    </row>
    <row r="439">
      <c r="D439" s="33"/>
    </row>
    <row r="440">
      <c r="D440" s="33"/>
    </row>
    <row r="441">
      <c r="D441" s="33"/>
    </row>
    <row r="442">
      <c r="D442" s="33"/>
    </row>
    <row r="443">
      <c r="D443" s="33"/>
    </row>
    <row r="444">
      <c r="D444" s="33"/>
    </row>
    <row r="445">
      <c r="D445" s="33"/>
    </row>
    <row r="446">
      <c r="D446" s="33"/>
    </row>
    <row r="447">
      <c r="D447" s="33"/>
    </row>
    <row r="448">
      <c r="D448" s="33"/>
    </row>
    <row r="449">
      <c r="D449" s="33"/>
    </row>
    <row r="450">
      <c r="D450" s="33"/>
    </row>
    <row r="451">
      <c r="D451" s="33"/>
    </row>
    <row r="452">
      <c r="D452" s="33"/>
    </row>
    <row r="453">
      <c r="D453" s="33"/>
    </row>
    <row r="454">
      <c r="D454" s="33"/>
    </row>
    <row r="455">
      <c r="D455" s="33"/>
    </row>
    <row r="456">
      <c r="D456" s="33"/>
    </row>
    <row r="457">
      <c r="D457" s="33"/>
    </row>
    <row r="458">
      <c r="D458" s="33"/>
    </row>
    <row r="459">
      <c r="D459" s="33"/>
    </row>
    <row r="460">
      <c r="D460" s="33"/>
    </row>
    <row r="461">
      <c r="D461" s="33"/>
    </row>
    <row r="462">
      <c r="D462" s="33"/>
    </row>
    <row r="463">
      <c r="D463" s="33"/>
    </row>
    <row r="464">
      <c r="D464" s="33"/>
    </row>
    <row r="465">
      <c r="D465" s="33"/>
    </row>
    <row r="466">
      <c r="D466" s="33"/>
    </row>
    <row r="467">
      <c r="D467" s="33"/>
    </row>
    <row r="468">
      <c r="D468" s="33"/>
    </row>
    <row r="469">
      <c r="D469" s="33"/>
    </row>
    <row r="470">
      <c r="D470" s="33"/>
    </row>
    <row r="471">
      <c r="D471" s="33"/>
    </row>
    <row r="472">
      <c r="D472" s="33"/>
    </row>
    <row r="473">
      <c r="D473" s="33"/>
    </row>
    <row r="474">
      <c r="D474" s="33"/>
    </row>
    <row r="475">
      <c r="D475" s="33"/>
    </row>
    <row r="476">
      <c r="D476" s="33"/>
    </row>
    <row r="477">
      <c r="D477" s="33"/>
    </row>
    <row r="478">
      <c r="D478" s="33"/>
    </row>
    <row r="479">
      <c r="D479" s="33"/>
    </row>
    <row r="480">
      <c r="D480" s="33"/>
    </row>
    <row r="481">
      <c r="D481" s="33"/>
    </row>
    <row r="482">
      <c r="D482" s="33"/>
    </row>
    <row r="483">
      <c r="D483" s="33"/>
    </row>
    <row r="484">
      <c r="D484" s="33"/>
    </row>
    <row r="485">
      <c r="D485" s="33"/>
    </row>
    <row r="486">
      <c r="D486" s="33"/>
    </row>
    <row r="487">
      <c r="D487" s="33"/>
    </row>
    <row r="488">
      <c r="D488" s="33"/>
    </row>
    <row r="489">
      <c r="D489" s="33"/>
    </row>
    <row r="490">
      <c r="D490" s="33"/>
    </row>
    <row r="491">
      <c r="D491" s="33"/>
    </row>
    <row r="492">
      <c r="D492" s="33"/>
    </row>
    <row r="493">
      <c r="D493" s="33"/>
    </row>
    <row r="494">
      <c r="D494" s="33"/>
    </row>
    <row r="495">
      <c r="D495" s="33"/>
    </row>
    <row r="496">
      <c r="D496" s="33"/>
    </row>
    <row r="497">
      <c r="D497" s="33"/>
    </row>
    <row r="498">
      <c r="D498" s="33"/>
    </row>
    <row r="499">
      <c r="D499" s="33"/>
    </row>
    <row r="500">
      <c r="D500" s="33"/>
    </row>
    <row r="501">
      <c r="D501" s="33"/>
    </row>
    <row r="502">
      <c r="D502" s="33"/>
    </row>
    <row r="503">
      <c r="D503" s="33"/>
    </row>
    <row r="504">
      <c r="D504" s="33"/>
    </row>
    <row r="505">
      <c r="D505" s="33"/>
    </row>
    <row r="506">
      <c r="D506" s="33"/>
    </row>
    <row r="507">
      <c r="D507" s="33"/>
    </row>
    <row r="508">
      <c r="D508" s="33"/>
    </row>
    <row r="509">
      <c r="D509" s="33"/>
    </row>
    <row r="510">
      <c r="D510" s="33"/>
    </row>
    <row r="511">
      <c r="D511" s="33"/>
    </row>
    <row r="512">
      <c r="D512" s="33"/>
    </row>
    <row r="513">
      <c r="D513" s="33"/>
    </row>
    <row r="514">
      <c r="D514" s="33"/>
    </row>
    <row r="515">
      <c r="D515" s="33"/>
    </row>
    <row r="516">
      <c r="D516" s="33"/>
    </row>
    <row r="517">
      <c r="D517" s="33"/>
    </row>
    <row r="518">
      <c r="D518" s="33"/>
    </row>
    <row r="519">
      <c r="D519" s="33"/>
    </row>
    <row r="520">
      <c r="D520" s="33"/>
    </row>
    <row r="521">
      <c r="D521" s="33"/>
    </row>
    <row r="522">
      <c r="D522" s="33"/>
    </row>
    <row r="523">
      <c r="D523" s="33"/>
    </row>
    <row r="524">
      <c r="D524" s="33"/>
    </row>
    <row r="525">
      <c r="D525" s="33"/>
    </row>
    <row r="526">
      <c r="D526" s="33"/>
    </row>
    <row r="527">
      <c r="D527" s="33"/>
    </row>
    <row r="528">
      <c r="D528" s="33"/>
    </row>
    <row r="529">
      <c r="D529" s="33"/>
    </row>
    <row r="530">
      <c r="D530" s="33"/>
    </row>
    <row r="531">
      <c r="D531" s="33"/>
    </row>
    <row r="532">
      <c r="D532" s="33"/>
    </row>
    <row r="533">
      <c r="D533" s="33"/>
    </row>
    <row r="534">
      <c r="D534" s="33"/>
    </row>
    <row r="535">
      <c r="D535" s="33"/>
    </row>
    <row r="536">
      <c r="D536" s="33"/>
    </row>
    <row r="537">
      <c r="D537" s="33"/>
    </row>
    <row r="538">
      <c r="D538" s="33"/>
    </row>
    <row r="539">
      <c r="D539" s="33"/>
    </row>
    <row r="540">
      <c r="D540" s="33"/>
    </row>
    <row r="541">
      <c r="D541" s="33"/>
    </row>
    <row r="542">
      <c r="D542" s="33"/>
    </row>
    <row r="543">
      <c r="D543" s="33"/>
    </row>
    <row r="544">
      <c r="D544" s="33"/>
    </row>
    <row r="545">
      <c r="D545" s="33"/>
    </row>
    <row r="546">
      <c r="D546" s="33"/>
    </row>
    <row r="547">
      <c r="D547" s="33"/>
    </row>
    <row r="548">
      <c r="D548" s="33"/>
    </row>
    <row r="549">
      <c r="D549" s="33"/>
    </row>
    <row r="550">
      <c r="D550" s="33"/>
    </row>
    <row r="551">
      <c r="D551" s="33"/>
    </row>
    <row r="552">
      <c r="D552" s="33"/>
    </row>
    <row r="553">
      <c r="D553" s="33"/>
    </row>
    <row r="554">
      <c r="D554" s="33"/>
    </row>
    <row r="555">
      <c r="D555" s="33"/>
    </row>
    <row r="556">
      <c r="D556" s="33"/>
    </row>
    <row r="557">
      <c r="D557" s="33"/>
    </row>
    <row r="558">
      <c r="D558" s="33"/>
    </row>
    <row r="559">
      <c r="D559" s="33"/>
    </row>
    <row r="560">
      <c r="D560" s="33"/>
    </row>
    <row r="561">
      <c r="D561" s="33"/>
    </row>
    <row r="562">
      <c r="D562" s="33"/>
    </row>
    <row r="563">
      <c r="D563" s="33"/>
    </row>
    <row r="564">
      <c r="D564" s="33"/>
    </row>
    <row r="565">
      <c r="D565" s="33"/>
    </row>
    <row r="566">
      <c r="D566" s="33"/>
    </row>
    <row r="567">
      <c r="D567" s="33"/>
    </row>
    <row r="568">
      <c r="D568" s="33"/>
    </row>
    <row r="569">
      <c r="D569" s="33"/>
    </row>
    <row r="570">
      <c r="D570" s="33"/>
    </row>
    <row r="571">
      <c r="D571" s="33"/>
    </row>
    <row r="572">
      <c r="D572" s="33"/>
    </row>
    <row r="573">
      <c r="D573" s="33"/>
    </row>
    <row r="574">
      <c r="D574" s="33"/>
    </row>
    <row r="575">
      <c r="D575" s="33"/>
    </row>
    <row r="576">
      <c r="D576" s="33"/>
    </row>
    <row r="577">
      <c r="D577" s="33"/>
    </row>
    <row r="578">
      <c r="D578" s="33"/>
    </row>
    <row r="579">
      <c r="D579" s="33"/>
    </row>
    <row r="580">
      <c r="D580" s="33"/>
    </row>
    <row r="581">
      <c r="D581" s="33"/>
    </row>
    <row r="582">
      <c r="D582" s="33"/>
    </row>
    <row r="583">
      <c r="D583" s="33"/>
    </row>
    <row r="584">
      <c r="D584" s="33"/>
    </row>
    <row r="585">
      <c r="D585" s="33"/>
    </row>
    <row r="586">
      <c r="D586" s="33"/>
    </row>
    <row r="587">
      <c r="D587" s="33"/>
    </row>
    <row r="588">
      <c r="D588" s="33"/>
    </row>
    <row r="589">
      <c r="D589" s="33"/>
    </row>
    <row r="590">
      <c r="D590" s="33"/>
    </row>
    <row r="591">
      <c r="D591" s="33"/>
    </row>
    <row r="592">
      <c r="D592" s="33"/>
    </row>
    <row r="593">
      <c r="D593" s="33"/>
    </row>
    <row r="594">
      <c r="D594" s="33"/>
    </row>
    <row r="595">
      <c r="D595" s="33"/>
    </row>
    <row r="596">
      <c r="D596" s="33"/>
    </row>
    <row r="597">
      <c r="D597" s="33"/>
    </row>
    <row r="598">
      <c r="D598" s="33"/>
    </row>
    <row r="599">
      <c r="D599" s="33"/>
    </row>
    <row r="600">
      <c r="D600" s="33"/>
    </row>
    <row r="601">
      <c r="D601" s="33"/>
    </row>
    <row r="602">
      <c r="D602" s="33"/>
    </row>
    <row r="603">
      <c r="D603" s="33"/>
    </row>
    <row r="604">
      <c r="D604" s="33"/>
    </row>
    <row r="605">
      <c r="D605" s="33"/>
    </row>
    <row r="606">
      <c r="D606" s="33"/>
    </row>
    <row r="607">
      <c r="D607" s="33"/>
    </row>
    <row r="608">
      <c r="D608" s="33"/>
    </row>
    <row r="609">
      <c r="D609" s="33"/>
    </row>
    <row r="610">
      <c r="D610" s="33"/>
    </row>
    <row r="611">
      <c r="D611" s="33"/>
    </row>
    <row r="612">
      <c r="D612" s="33"/>
    </row>
    <row r="613">
      <c r="D613" s="33"/>
    </row>
    <row r="614">
      <c r="D614" s="33"/>
    </row>
    <row r="615">
      <c r="D615" s="33"/>
    </row>
    <row r="616">
      <c r="D616" s="33"/>
    </row>
    <row r="617">
      <c r="D617" s="33"/>
    </row>
    <row r="618">
      <c r="D618" s="33"/>
    </row>
    <row r="619">
      <c r="D619" s="33"/>
    </row>
    <row r="620">
      <c r="D620" s="33"/>
    </row>
    <row r="621">
      <c r="D621" s="33"/>
    </row>
    <row r="622">
      <c r="D622" s="33"/>
    </row>
    <row r="623">
      <c r="D623" s="33"/>
    </row>
    <row r="624">
      <c r="D624" s="33"/>
    </row>
    <row r="625">
      <c r="D625" s="33"/>
    </row>
    <row r="626">
      <c r="D626" s="33"/>
    </row>
    <row r="627">
      <c r="D627" s="33"/>
    </row>
    <row r="628">
      <c r="D628" s="33"/>
    </row>
    <row r="629">
      <c r="D629" s="33"/>
    </row>
    <row r="630">
      <c r="D630" s="33"/>
    </row>
    <row r="631">
      <c r="D631" s="33"/>
    </row>
    <row r="632">
      <c r="D632" s="33"/>
    </row>
    <row r="633">
      <c r="D633" s="33"/>
    </row>
    <row r="634">
      <c r="D634" s="33"/>
    </row>
    <row r="635">
      <c r="D635" s="33"/>
    </row>
    <row r="636">
      <c r="D636" s="33"/>
    </row>
    <row r="637">
      <c r="D637" s="33"/>
    </row>
    <row r="638">
      <c r="D638" s="33"/>
    </row>
    <row r="639">
      <c r="D639" s="33"/>
    </row>
    <row r="640">
      <c r="D640" s="33"/>
    </row>
    <row r="641">
      <c r="D641" s="33"/>
    </row>
    <row r="642">
      <c r="D642" s="33"/>
    </row>
    <row r="643">
      <c r="D643" s="33"/>
    </row>
    <row r="644">
      <c r="D644" s="33"/>
    </row>
    <row r="645">
      <c r="D645" s="33"/>
    </row>
    <row r="646">
      <c r="D646" s="33"/>
    </row>
    <row r="647">
      <c r="D647" s="33"/>
    </row>
    <row r="648">
      <c r="D648" s="33"/>
    </row>
    <row r="649">
      <c r="D649" s="33"/>
    </row>
    <row r="650">
      <c r="D650" s="33"/>
    </row>
    <row r="651">
      <c r="D651" s="33"/>
    </row>
    <row r="652">
      <c r="D652" s="33"/>
    </row>
    <row r="653">
      <c r="D653" s="33"/>
    </row>
    <row r="654">
      <c r="D654" s="33"/>
    </row>
    <row r="655">
      <c r="D655" s="33"/>
    </row>
    <row r="656">
      <c r="D656" s="33"/>
    </row>
    <row r="657">
      <c r="D657" s="33"/>
    </row>
    <row r="658">
      <c r="D658" s="33"/>
    </row>
    <row r="659">
      <c r="D659" s="33"/>
    </row>
    <row r="660">
      <c r="D660" s="33"/>
    </row>
    <row r="661">
      <c r="D661" s="33"/>
    </row>
    <row r="662">
      <c r="D662" s="33"/>
    </row>
    <row r="663">
      <c r="D663" s="33"/>
    </row>
    <row r="664">
      <c r="D664" s="33"/>
    </row>
    <row r="665">
      <c r="D665" s="33"/>
    </row>
    <row r="666">
      <c r="D666" s="33"/>
    </row>
    <row r="667">
      <c r="D667" s="33"/>
    </row>
    <row r="668">
      <c r="D668" s="33"/>
    </row>
    <row r="669">
      <c r="D669" s="33"/>
    </row>
    <row r="670">
      <c r="D670" s="33"/>
    </row>
    <row r="671">
      <c r="D671" s="33"/>
    </row>
    <row r="672">
      <c r="D672" s="33"/>
    </row>
    <row r="673">
      <c r="D673" s="33"/>
    </row>
    <row r="674">
      <c r="D674" s="33"/>
    </row>
    <row r="675">
      <c r="D675" s="33"/>
    </row>
    <row r="676">
      <c r="D676" s="33"/>
    </row>
    <row r="677">
      <c r="D677" s="33"/>
    </row>
    <row r="678">
      <c r="D678" s="33"/>
    </row>
    <row r="679">
      <c r="D679" s="33"/>
    </row>
    <row r="680">
      <c r="D680" s="33"/>
    </row>
    <row r="681">
      <c r="D681" s="33"/>
    </row>
    <row r="682">
      <c r="D682" s="33"/>
    </row>
    <row r="683">
      <c r="D683" s="33"/>
    </row>
    <row r="684">
      <c r="D684" s="33"/>
    </row>
    <row r="685">
      <c r="D685" s="33"/>
    </row>
    <row r="686">
      <c r="D686" s="33"/>
    </row>
    <row r="687">
      <c r="D687" s="33"/>
    </row>
    <row r="688">
      <c r="D688" s="33"/>
    </row>
    <row r="689">
      <c r="D689" s="33"/>
    </row>
    <row r="690">
      <c r="D690" s="33"/>
    </row>
    <row r="691">
      <c r="D691" s="33"/>
    </row>
    <row r="692">
      <c r="D692" s="33"/>
    </row>
    <row r="693">
      <c r="D693" s="33"/>
    </row>
    <row r="694">
      <c r="D694" s="33"/>
    </row>
    <row r="695">
      <c r="D695" s="33"/>
    </row>
    <row r="696">
      <c r="D696" s="33"/>
    </row>
    <row r="697">
      <c r="D697" s="33"/>
    </row>
    <row r="698">
      <c r="D698" s="33"/>
    </row>
    <row r="699">
      <c r="D699" s="33"/>
    </row>
    <row r="700">
      <c r="D700" s="33"/>
    </row>
    <row r="701">
      <c r="D701" s="33"/>
    </row>
    <row r="702">
      <c r="D702" s="33"/>
    </row>
    <row r="703">
      <c r="D703" s="33"/>
    </row>
    <row r="704">
      <c r="D704" s="33"/>
    </row>
    <row r="705">
      <c r="D705" s="33"/>
    </row>
    <row r="706">
      <c r="D706" s="33"/>
    </row>
    <row r="707">
      <c r="D707" s="33"/>
    </row>
    <row r="708">
      <c r="D708" s="33"/>
    </row>
    <row r="709">
      <c r="D709" s="33"/>
    </row>
    <row r="710">
      <c r="D710" s="33"/>
    </row>
    <row r="711">
      <c r="D711" s="33"/>
    </row>
    <row r="712">
      <c r="D712" s="33"/>
    </row>
    <row r="713">
      <c r="D713" s="33"/>
    </row>
    <row r="714">
      <c r="D714" s="33"/>
    </row>
    <row r="715">
      <c r="D715" s="33"/>
    </row>
    <row r="716">
      <c r="D716" s="33"/>
    </row>
    <row r="717">
      <c r="D717" s="33"/>
    </row>
    <row r="718">
      <c r="D718" s="33"/>
    </row>
    <row r="719">
      <c r="D719" s="33"/>
    </row>
    <row r="720">
      <c r="D720" s="33"/>
    </row>
    <row r="721">
      <c r="D721" s="33"/>
    </row>
    <row r="722">
      <c r="D722" s="33"/>
    </row>
    <row r="723">
      <c r="D723" s="33"/>
    </row>
    <row r="724">
      <c r="D724" s="33"/>
    </row>
    <row r="725">
      <c r="D725" s="33"/>
    </row>
    <row r="726">
      <c r="D726" s="33"/>
    </row>
    <row r="727">
      <c r="D727" s="33"/>
    </row>
    <row r="728">
      <c r="D728" s="33"/>
    </row>
    <row r="729">
      <c r="D729" s="33"/>
    </row>
    <row r="730">
      <c r="D730" s="33"/>
    </row>
    <row r="731">
      <c r="D731" s="33"/>
    </row>
    <row r="732">
      <c r="D732" s="33"/>
    </row>
    <row r="733">
      <c r="D733" s="33"/>
    </row>
    <row r="734">
      <c r="D734" s="33"/>
    </row>
    <row r="735">
      <c r="D735" s="33"/>
    </row>
    <row r="736">
      <c r="D736" s="33"/>
    </row>
    <row r="737">
      <c r="D737" s="33"/>
    </row>
    <row r="738">
      <c r="D738" s="33"/>
    </row>
    <row r="739">
      <c r="D739" s="33"/>
    </row>
    <row r="740">
      <c r="D740" s="33"/>
    </row>
    <row r="741">
      <c r="D741" s="33"/>
    </row>
    <row r="742">
      <c r="D742" s="33"/>
    </row>
    <row r="743">
      <c r="D743" s="33"/>
    </row>
    <row r="744">
      <c r="D744" s="33"/>
    </row>
    <row r="745">
      <c r="D745" s="33"/>
    </row>
    <row r="746">
      <c r="D746" s="33"/>
    </row>
    <row r="747">
      <c r="D747" s="33"/>
    </row>
    <row r="748">
      <c r="D748" s="33"/>
    </row>
    <row r="749">
      <c r="D749" s="33"/>
    </row>
    <row r="750">
      <c r="D750" s="33"/>
    </row>
    <row r="751">
      <c r="D751" s="33"/>
    </row>
    <row r="752">
      <c r="D752" s="33"/>
    </row>
    <row r="753">
      <c r="D753" s="33"/>
    </row>
    <row r="754">
      <c r="D754" s="33"/>
    </row>
    <row r="755">
      <c r="D755" s="33"/>
    </row>
    <row r="756">
      <c r="D756" s="33"/>
    </row>
    <row r="757">
      <c r="D757" s="33"/>
    </row>
    <row r="758">
      <c r="D758" s="33"/>
    </row>
    <row r="759">
      <c r="D759" s="33"/>
    </row>
    <row r="760">
      <c r="D760" s="33"/>
    </row>
    <row r="761">
      <c r="D761" s="33"/>
    </row>
    <row r="762">
      <c r="D762" s="33"/>
    </row>
    <row r="763">
      <c r="D763" s="33"/>
    </row>
    <row r="764">
      <c r="D764" s="33"/>
    </row>
    <row r="765">
      <c r="D765" s="33"/>
    </row>
    <row r="766">
      <c r="D766" s="33"/>
    </row>
    <row r="767">
      <c r="D767" s="33"/>
    </row>
    <row r="768">
      <c r="D768" s="33"/>
    </row>
    <row r="769">
      <c r="D769" s="33"/>
    </row>
    <row r="770">
      <c r="D770" s="33"/>
    </row>
    <row r="771">
      <c r="D771" s="33"/>
    </row>
    <row r="772">
      <c r="D772" s="33"/>
    </row>
    <row r="773">
      <c r="D773" s="33"/>
    </row>
    <row r="774">
      <c r="D774" s="33"/>
    </row>
    <row r="775">
      <c r="D775" s="33"/>
    </row>
    <row r="776">
      <c r="D776" s="33"/>
    </row>
    <row r="777">
      <c r="D777" s="33"/>
    </row>
    <row r="778">
      <c r="D778" s="33"/>
    </row>
    <row r="779">
      <c r="D779" s="33"/>
    </row>
    <row r="780">
      <c r="D780" s="33"/>
    </row>
    <row r="781">
      <c r="D781" s="33"/>
    </row>
    <row r="782">
      <c r="D782" s="33"/>
    </row>
    <row r="783">
      <c r="D783" s="33"/>
    </row>
    <row r="784">
      <c r="D784" s="33"/>
    </row>
    <row r="785">
      <c r="D785" s="33"/>
    </row>
    <row r="786">
      <c r="D786" s="33"/>
    </row>
    <row r="787">
      <c r="D787" s="33"/>
    </row>
    <row r="788">
      <c r="D788" s="33"/>
    </row>
    <row r="789">
      <c r="D789" s="33"/>
    </row>
    <row r="790">
      <c r="D790" s="33"/>
    </row>
    <row r="791">
      <c r="D791" s="33"/>
    </row>
    <row r="792">
      <c r="D792" s="33"/>
    </row>
    <row r="793">
      <c r="D793" s="33"/>
    </row>
    <row r="794">
      <c r="D794" s="33"/>
    </row>
    <row r="795">
      <c r="D795" s="33"/>
    </row>
    <row r="796">
      <c r="D796" s="33"/>
    </row>
    <row r="797">
      <c r="D797" s="33"/>
    </row>
    <row r="798">
      <c r="D798" s="33"/>
    </row>
    <row r="799">
      <c r="D799" s="33"/>
    </row>
    <row r="800">
      <c r="D800" s="33"/>
    </row>
    <row r="801">
      <c r="D801" s="33"/>
    </row>
    <row r="802">
      <c r="D802" s="33"/>
    </row>
    <row r="803">
      <c r="D803" s="33"/>
    </row>
    <row r="804">
      <c r="D804" s="33"/>
    </row>
    <row r="805">
      <c r="D805" s="33"/>
    </row>
    <row r="806">
      <c r="D806" s="33"/>
    </row>
    <row r="807">
      <c r="D807" s="33"/>
    </row>
    <row r="808">
      <c r="D808" s="33"/>
    </row>
    <row r="809">
      <c r="D809" s="33"/>
    </row>
    <row r="810">
      <c r="D810" s="33"/>
    </row>
    <row r="811">
      <c r="D811" s="33"/>
    </row>
    <row r="812">
      <c r="D812" s="33"/>
    </row>
    <row r="813">
      <c r="D813" s="33"/>
    </row>
    <row r="814">
      <c r="D814" s="33"/>
    </row>
    <row r="815">
      <c r="D815" s="33"/>
    </row>
    <row r="816">
      <c r="D816" s="33"/>
    </row>
    <row r="817">
      <c r="D817" s="33"/>
    </row>
    <row r="818">
      <c r="D818" s="33"/>
    </row>
    <row r="819">
      <c r="D819" s="33"/>
    </row>
    <row r="820">
      <c r="D820" s="33"/>
    </row>
    <row r="821">
      <c r="D821" s="33"/>
    </row>
    <row r="822">
      <c r="D822" s="33"/>
    </row>
    <row r="823">
      <c r="D823" s="33"/>
    </row>
    <row r="824">
      <c r="D824" s="33"/>
    </row>
    <row r="825">
      <c r="D825" s="33"/>
    </row>
    <row r="826">
      <c r="D826" s="33"/>
    </row>
    <row r="827">
      <c r="D827" s="33"/>
    </row>
    <row r="828">
      <c r="D828" s="33"/>
    </row>
    <row r="829">
      <c r="D829" s="33"/>
    </row>
    <row r="830">
      <c r="D830" s="33"/>
    </row>
    <row r="831">
      <c r="D831" s="33"/>
    </row>
    <row r="832">
      <c r="D832" s="33"/>
    </row>
    <row r="833">
      <c r="D833" s="33"/>
    </row>
    <row r="834">
      <c r="D834" s="33"/>
    </row>
    <row r="835">
      <c r="D835" s="33"/>
    </row>
    <row r="836">
      <c r="D836" s="33"/>
    </row>
    <row r="837">
      <c r="D837" s="33"/>
    </row>
    <row r="838">
      <c r="D838" s="33"/>
    </row>
    <row r="839">
      <c r="D839" s="33"/>
    </row>
    <row r="840">
      <c r="D840" s="33"/>
    </row>
    <row r="841">
      <c r="D841" s="33"/>
    </row>
    <row r="842">
      <c r="D842" s="33"/>
    </row>
    <row r="843">
      <c r="D843" s="33"/>
    </row>
    <row r="844">
      <c r="D844" s="33"/>
    </row>
    <row r="845">
      <c r="D845" s="33"/>
    </row>
    <row r="846">
      <c r="D846" s="33"/>
    </row>
    <row r="847">
      <c r="D847" s="33"/>
    </row>
    <row r="848">
      <c r="D848" s="33"/>
    </row>
    <row r="849">
      <c r="D849" s="33"/>
    </row>
    <row r="850">
      <c r="D850" s="33"/>
    </row>
    <row r="851">
      <c r="D851" s="33"/>
    </row>
    <row r="852">
      <c r="D852" s="33"/>
    </row>
    <row r="853">
      <c r="D853" s="33"/>
    </row>
    <row r="854">
      <c r="D854" s="33"/>
    </row>
    <row r="855">
      <c r="D855" s="33"/>
    </row>
    <row r="856">
      <c r="D856" s="33"/>
    </row>
    <row r="857">
      <c r="D857" s="33"/>
    </row>
    <row r="858">
      <c r="D858" s="33"/>
    </row>
    <row r="859">
      <c r="D859" s="33"/>
    </row>
    <row r="860">
      <c r="D860" s="33"/>
    </row>
    <row r="861">
      <c r="D861" s="33"/>
    </row>
    <row r="862">
      <c r="D862" s="33"/>
    </row>
    <row r="863">
      <c r="D863" s="33"/>
    </row>
    <row r="864">
      <c r="D864" s="33"/>
    </row>
    <row r="865">
      <c r="D865" s="33"/>
    </row>
    <row r="866">
      <c r="D866" s="33"/>
    </row>
    <row r="867">
      <c r="D867" s="33"/>
    </row>
    <row r="868">
      <c r="D868" s="33"/>
    </row>
    <row r="869">
      <c r="D869" s="33"/>
    </row>
    <row r="870">
      <c r="D870" s="33"/>
    </row>
    <row r="871">
      <c r="D871" s="33"/>
    </row>
    <row r="872">
      <c r="D872" s="33"/>
    </row>
    <row r="873">
      <c r="D873" s="33"/>
    </row>
    <row r="874">
      <c r="D874" s="33"/>
    </row>
    <row r="875">
      <c r="D875" s="33"/>
    </row>
    <row r="876">
      <c r="D876" s="33"/>
    </row>
    <row r="877">
      <c r="D877" s="33"/>
    </row>
    <row r="878">
      <c r="D878" s="33"/>
    </row>
    <row r="879">
      <c r="D879" s="33"/>
    </row>
    <row r="880">
      <c r="D880" s="33"/>
    </row>
    <row r="881">
      <c r="D881" s="33"/>
    </row>
    <row r="882">
      <c r="D882" s="33"/>
    </row>
    <row r="883">
      <c r="D883" s="33"/>
    </row>
    <row r="884">
      <c r="D884" s="33"/>
    </row>
    <row r="885">
      <c r="D885" s="33"/>
    </row>
    <row r="886">
      <c r="D886" s="33"/>
    </row>
    <row r="887">
      <c r="D887" s="33"/>
    </row>
    <row r="888">
      <c r="D888" s="33"/>
    </row>
    <row r="889">
      <c r="D889" s="33"/>
    </row>
    <row r="890">
      <c r="D890" s="33"/>
    </row>
    <row r="891">
      <c r="D891" s="33"/>
    </row>
    <row r="892">
      <c r="D892" s="33"/>
    </row>
    <row r="893">
      <c r="D893" s="33"/>
    </row>
    <row r="894">
      <c r="D894" s="33"/>
    </row>
    <row r="895">
      <c r="D895" s="33"/>
    </row>
    <row r="896">
      <c r="D896" s="33"/>
    </row>
    <row r="897">
      <c r="D897" s="33"/>
    </row>
    <row r="898">
      <c r="D898" s="33"/>
    </row>
    <row r="899">
      <c r="D899" s="33"/>
    </row>
    <row r="900">
      <c r="D900" s="33"/>
    </row>
    <row r="901">
      <c r="D901" s="33"/>
    </row>
    <row r="902">
      <c r="D902" s="33"/>
    </row>
    <row r="903">
      <c r="D903" s="33"/>
    </row>
    <row r="904">
      <c r="D904" s="33"/>
    </row>
    <row r="905">
      <c r="D905" s="33"/>
    </row>
    <row r="906">
      <c r="D906" s="33"/>
    </row>
    <row r="907">
      <c r="D907" s="33"/>
    </row>
    <row r="908">
      <c r="D908" s="33"/>
    </row>
    <row r="909">
      <c r="D909" s="33"/>
    </row>
    <row r="910">
      <c r="D910" s="33"/>
    </row>
    <row r="911">
      <c r="D911" s="33"/>
    </row>
    <row r="912">
      <c r="D912" s="33"/>
    </row>
    <row r="913">
      <c r="D913" s="33"/>
    </row>
    <row r="914">
      <c r="D914" s="33"/>
    </row>
    <row r="915">
      <c r="D915" s="33"/>
    </row>
    <row r="916">
      <c r="D916" s="33"/>
    </row>
    <row r="917">
      <c r="D917" s="33"/>
    </row>
    <row r="918">
      <c r="D918" s="33"/>
    </row>
    <row r="919">
      <c r="D919" s="33"/>
    </row>
    <row r="920">
      <c r="D920" s="33"/>
    </row>
    <row r="921">
      <c r="D921" s="33"/>
    </row>
    <row r="922">
      <c r="D922" s="33"/>
    </row>
    <row r="923">
      <c r="D923" s="33"/>
    </row>
    <row r="924">
      <c r="D924" s="33"/>
    </row>
    <row r="925">
      <c r="D925" s="33"/>
    </row>
    <row r="926">
      <c r="D926" s="33"/>
    </row>
    <row r="927">
      <c r="D927" s="33"/>
    </row>
    <row r="928">
      <c r="D928" s="33"/>
    </row>
    <row r="929">
      <c r="D929" s="33"/>
    </row>
    <row r="930">
      <c r="D930" s="33"/>
    </row>
    <row r="931">
      <c r="D931" s="33"/>
    </row>
    <row r="932">
      <c r="D932" s="33"/>
    </row>
    <row r="933">
      <c r="D933" s="33"/>
    </row>
    <row r="934">
      <c r="D934" s="33"/>
    </row>
    <row r="935">
      <c r="D935" s="33"/>
    </row>
    <row r="936">
      <c r="D936" s="33"/>
    </row>
    <row r="937">
      <c r="D937" s="33"/>
    </row>
    <row r="938">
      <c r="D938" s="33"/>
    </row>
    <row r="939">
      <c r="D939" s="33"/>
    </row>
    <row r="940">
      <c r="D940" s="33"/>
    </row>
    <row r="941">
      <c r="D941" s="33"/>
    </row>
    <row r="942">
      <c r="D942" s="33"/>
    </row>
    <row r="943">
      <c r="D943" s="33"/>
    </row>
    <row r="944">
      <c r="D944" s="33"/>
    </row>
    <row r="945">
      <c r="D945" s="33"/>
    </row>
    <row r="946">
      <c r="D946" s="33"/>
    </row>
    <row r="947">
      <c r="D947" s="33"/>
    </row>
    <row r="948">
      <c r="D948" s="33"/>
    </row>
    <row r="949">
      <c r="D949" s="33"/>
    </row>
    <row r="950">
      <c r="D950" s="33"/>
    </row>
    <row r="951">
      <c r="D951" s="33"/>
    </row>
    <row r="952">
      <c r="D952" s="33"/>
    </row>
    <row r="953">
      <c r="D953" s="33"/>
    </row>
    <row r="954">
      <c r="D954" s="33"/>
    </row>
    <row r="955">
      <c r="D955" s="33"/>
    </row>
    <row r="956">
      <c r="D956" s="33"/>
    </row>
    <row r="957">
      <c r="D957" s="33"/>
    </row>
    <row r="958">
      <c r="D958" s="33"/>
    </row>
    <row r="959">
      <c r="D959" s="33"/>
    </row>
    <row r="960">
      <c r="D960" s="33"/>
    </row>
    <row r="961">
      <c r="D961" s="33"/>
    </row>
    <row r="962">
      <c r="D962" s="33"/>
    </row>
    <row r="963">
      <c r="D963" s="33"/>
    </row>
    <row r="964">
      <c r="D964" s="33"/>
    </row>
    <row r="965">
      <c r="D965" s="33"/>
    </row>
    <row r="966">
      <c r="D966" s="33"/>
    </row>
    <row r="967">
      <c r="D967" s="33"/>
    </row>
    <row r="968">
      <c r="D968" s="33"/>
    </row>
    <row r="969">
      <c r="D969" s="33"/>
    </row>
    <row r="970">
      <c r="D970" s="33"/>
    </row>
    <row r="971">
      <c r="D971" s="33"/>
    </row>
    <row r="972">
      <c r="D972" s="33"/>
    </row>
    <row r="973">
      <c r="D973" s="33"/>
    </row>
    <row r="974">
      <c r="D974" s="33"/>
    </row>
    <row r="975">
      <c r="D975" s="33"/>
    </row>
    <row r="976">
      <c r="D976" s="33"/>
    </row>
    <row r="977">
      <c r="D977" s="33"/>
    </row>
    <row r="978">
      <c r="D978" s="33"/>
    </row>
    <row r="979">
      <c r="D979" s="33"/>
    </row>
    <row r="980">
      <c r="D980" s="33"/>
    </row>
    <row r="981">
      <c r="D981" s="33"/>
    </row>
    <row r="982">
      <c r="D982" s="33"/>
    </row>
    <row r="983">
      <c r="D983" s="33"/>
    </row>
    <row r="984">
      <c r="D984" s="33"/>
    </row>
    <row r="985">
      <c r="D985" s="33"/>
    </row>
    <row r="986">
      <c r="D986" s="33"/>
    </row>
    <row r="987">
      <c r="D987" s="33"/>
    </row>
    <row r="988">
      <c r="D988" s="33"/>
    </row>
    <row r="989">
      <c r="D989" s="33"/>
    </row>
    <row r="990">
      <c r="D990" s="33"/>
    </row>
    <row r="991">
      <c r="D991" s="33"/>
    </row>
    <row r="992">
      <c r="D992" s="33"/>
    </row>
    <row r="993">
      <c r="D993" s="33"/>
    </row>
    <row r="994">
      <c r="D994" s="33"/>
    </row>
    <row r="995">
      <c r="D995" s="33"/>
    </row>
    <row r="996">
      <c r="D996" s="33"/>
    </row>
    <row r="997">
      <c r="D997" s="33"/>
    </row>
    <row r="998">
      <c r="D998" s="33"/>
    </row>
    <row r="999">
      <c r="D999" s="33"/>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88"/>
    <col customWidth="1" min="4" max="4" width="18.13"/>
    <col customWidth="1" min="6" max="6" width="34.0"/>
    <col customWidth="1" min="7" max="7" width="23.25"/>
    <col customWidth="1" min="8" max="8" width="18.88"/>
  </cols>
  <sheetData>
    <row r="1">
      <c r="A1" s="2" t="s">
        <v>1950</v>
      </c>
      <c r="B1" s="2" t="s">
        <v>17313</v>
      </c>
      <c r="C1" s="2" t="s">
        <v>17314</v>
      </c>
      <c r="D1" s="2" t="s">
        <v>15468</v>
      </c>
      <c r="E1" s="2" t="s">
        <v>2</v>
      </c>
      <c r="F1" s="30" t="s">
        <v>21</v>
      </c>
      <c r="G1" s="2" t="s">
        <v>17315</v>
      </c>
      <c r="H1" s="2" t="s">
        <v>17316</v>
      </c>
      <c r="J1" s="2"/>
      <c r="K1" s="14"/>
      <c r="L1" s="14"/>
      <c r="M1" s="14"/>
      <c r="N1" s="14"/>
      <c r="O1" s="14"/>
      <c r="P1" s="14"/>
      <c r="Q1" s="14"/>
      <c r="R1" s="14"/>
      <c r="S1" s="14"/>
      <c r="T1" s="14"/>
      <c r="U1" s="14"/>
      <c r="V1" s="14"/>
      <c r="W1" s="14"/>
      <c r="X1" s="14"/>
      <c r="Y1" s="14"/>
      <c r="Z1" s="14"/>
      <c r="AA1" s="14"/>
      <c r="AB1" s="14"/>
    </row>
    <row r="2">
      <c r="A2" s="24">
        <v>46093.690979444444</v>
      </c>
      <c r="B2" s="51">
        <v>46082.0</v>
      </c>
      <c r="C2" s="1" t="s">
        <v>17317</v>
      </c>
      <c r="D2" s="1" t="s">
        <v>16402</v>
      </c>
      <c r="E2" s="1" t="s">
        <v>765</v>
      </c>
      <c r="F2" s="1" t="s">
        <v>766</v>
      </c>
      <c r="G2" s="1" t="s">
        <v>365</v>
      </c>
      <c r="H2" s="1" t="s">
        <v>472</v>
      </c>
    </row>
    <row r="3">
      <c r="A3" s="24">
        <v>46106.69099782407</v>
      </c>
      <c r="B3" s="51">
        <v>46082.0</v>
      </c>
      <c r="C3" s="1" t="s">
        <v>17317</v>
      </c>
      <c r="D3" s="1" t="s">
        <v>17318</v>
      </c>
      <c r="E3" s="1" t="s">
        <v>132</v>
      </c>
      <c r="F3" s="1" t="s">
        <v>145</v>
      </c>
      <c r="G3" s="1" t="s">
        <v>365</v>
      </c>
      <c r="H3" s="1" t="s">
        <v>131</v>
      </c>
    </row>
    <row r="4">
      <c r="A4" s="24">
        <v>46106.69099782407</v>
      </c>
      <c r="B4" s="51">
        <v>46082.0</v>
      </c>
      <c r="C4" s="1" t="s">
        <v>17317</v>
      </c>
      <c r="D4" s="1" t="s">
        <v>16402</v>
      </c>
      <c r="E4" s="1" t="s">
        <v>765</v>
      </c>
      <c r="F4" s="1" t="s">
        <v>766</v>
      </c>
      <c r="G4" s="1" t="s">
        <v>472</v>
      </c>
      <c r="H4" s="1" t="s">
        <v>365</v>
      </c>
    </row>
    <row r="5">
      <c r="A5" s="24">
        <v>46106.69099782407</v>
      </c>
      <c r="B5" s="51">
        <v>46082.0</v>
      </c>
      <c r="C5" s="1" t="s">
        <v>17317</v>
      </c>
      <c r="D5" s="1" t="s">
        <v>16396</v>
      </c>
      <c r="E5" s="1" t="s">
        <v>1135</v>
      </c>
      <c r="F5" s="1" t="s">
        <v>1136</v>
      </c>
      <c r="G5" s="1" t="s">
        <v>365</v>
      </c>
      <c r="H5" s="1" t="s">
        <v>472</v>
      </c>
    </row>
    <row r="6">
      <c r="A6" s="24">
        <v>46106.69099782407</v>
      </c>
      <c r="B6" s="51">
        <v>46082.0</v>
      </c>
      <c r="C6" s="1" t="s">
        <v>17317</v>
      </c>
      <c r="D6" s="1" t="s">
        <v>17319</v>
      </c>
      <c r="E6" s="1" t="s">
        <v>33</v>
      </c>
      <c r="F6" s="1" t="s">
        <v>1222</v>
      </c>
      <c r="G6" s="1" t="s">
        <v>365</v>
      </c>
      <c r="H6" s="1" t="s">
        <v>131</v>
      </c>
    </row>
    <row r="7">
      <c r="A7" s="24">
        <v>46106.69099782407</v>
      </c>
      <c r="B7" s="51">
        <v>46082.0</v>
      </c>
      <c r="C7" s="1" t="s">
        <v>17317</v>
      </c>
      <c r="D7" s="1" t="s">
        <v>16409</v>
      </c>
      <c r="E7" s="1" t="s">
        <v>1410</v>
      </c>
      <c r="F7" s="1" t="s">
        <v>1417</v>
      </c>
      <c r="G7" s="1" t="s">
        <v>131</v>
      </c>
      <c r="H7" s="1" t="s">
        <v>472</v>
      </c>
    </row>
    <row r="8">
      <c r="A8" s="24">
        <v>46106.69099782407</v>
      </c>
      <c r="B8" s="51">
        <v>46082.0</v>
      </c>
      <c r="C8" s="1" t="s">
        <v>17317</v>
      </c>
      <c r="D8" s="1" t="s">
        <v>16411</v>
      </c>
      <c r="E8" s="1" t="s">
        <v>1566</v>
      </c>
      <c r="F8" s="1" t="s">
        <v>1568</v>
      </c>
      <c r="G8" s="1" t="s">
        <v>131</v>
      </c>
      <c r="H8" s="1" t="s">
        <v>365</v>
      </c>
    </row>
    <row r="9">
      <c r="A9" s="24">
        <v>46112.6909795949</v>
      </c>
      <c r="B9" s="51">
        <v>46082.0</v>
      </c>
      <c r="C9" s="1" t="s">
        <v>17317</v>
      </c>
      <c r="D9" s="1" t="s">
        <v>16407</v>
      </c>
      <c r="E9" s="1" t="s">
        <v>1014</v>
      </c>
      <c r="F9" s="1" t="s">
        <v>1015</v>
      </c>
      <c r="G9" s="1" t="s">
        <v>365</v>
      </c>
      <c r="H9" s="1" t="s">
        <v>131</v>
      </c>
    </row>
    <row r="10">
      <c r="A10" s="24">
        <v>46115.02430900463</v>
      </c>
      <c r="B10" s="51">
        <v>46113.0</v>
      </c>
      <c r="C10" s="1" t="s">
        <v>17317</v>
      </c>
      <c r="D10" s="1" t="s">
        <v>16418</v>
      </c>
      <c r="E10" s="1" t="s">
        <v>1311</v>
      </c>
      <c r="F10" s="1" t="s">
        <v>1312</v>
      </c>
      <c r="G10" s="1" t="s">
        <v>131</v>
      </c>
      <c r="H10" s="1" t="s">
        <v>365</v>
      </c>
    </row>
    <row r="11">
      <c r="A11" s="24">
        <v>46115.69098327546</v>
      </c>
      <c r="B11" s="51">
        <v>46113.0</v>
      </c>
      <c r="C11" s="1" t="s">
        <v>17317</v>
      </c>
      <c r="D11" s="1" t="s">
        <v>16416</v>
      </c>
      <c r="E11" s="1" t="s">
        <v>882</v>
      </c>
      <c r="F11" s="1" t="s">
        <v>883</v>
      </c>
      <c r="G11" s="1" t="s">
        <v>131</v>
      </c>
      <c r="H11" s="1" t="s">
        <v>472</v>
      </c>
    </row>
    <row r="12">
      <c r="A12" s="24">
        <v>46116.02431201389</v>
      </c>
      <c r="B12" s="51">
        <v>46113.0</v>
      </c>
      <c r="C12" s="1" t="s">
        <v>17317</v>
      </c>
      <c r="D12" s="1" t="s">
        <v>16398</v>
      </c>
      <c r="E12" s="1" t="s">
        <v>1383</v>
      </c>
      <c r="F12" s="1" t="s">
        <v>1385</v>
      </c>
      <c r="G12" s="1" t="s">
        <v>472</v>
      </c>
      <c r="H12" s="1" t="s">
        <v>131</v>
      </c>
    </row>
    <row r="13">
      <c r="A13" s="24">
        <v>46139.560298275464</v>
      </c>
      <c r="B13" s="51">
        <v>46113.0</v>
      </c>
      <c r="C13" s="1" t="s">
        <v>17317</v>
      </c>
      <c r="D13" s="1" t="s">
        <v>16413</v>
      </c>
      <c r="E13" s="1" t="s">
        <v>955</v>
      </c>
      <c r="F13" s="1" t="s">
        <v>958</v>
      </c>
      <c r="G13" s="1" t="s">
        <v>472</v>
      </c>
      <c r="H13" s="1" t="s">
        <v>365</v>
      </c>
    </row>
    <row r="14">
      <c r="A14" s="24">
        <v>46139.560298275464</v>
      </c>
      <c r="B14" s="51">
        <v>46113.0</v>
      </c>
      <c r="C14" s="1" t="s">
        <v>17317</v>
      </c>
      <c r="D14" s="1" t="s">
        <v>16422</v>
      </c>
      <c r="E14" s="1" t="s">
        <v>1043</v>
      </c>
      <c r="F14" s="1" t="s">
        <v>1044</v>
      </c>
      <c r="G14" s="1" t="s">
        <v>131</v>
      </c>
      <c r="H14" s="1" t="s">
        <v>365</v>
      </c>
    </row>
    <row r="15">
      <c r="A15" s="24">
        <v>46139.560298275464</v>
      </c>
      <c r="B15" s="51">
        <v>46113.0</v>
      </c>
      <c r="C15" s="1" t="s">
        <v>17317</v>
      </c>
      <c r="D15" s="1" t="s">
        <v>16409</v>
      </c>
      <c r="E15" s="1" t="s">
        <v>1410</v>
      </c>
      <c r="F15" s="1" t="s">
        <v>1417</v>
      </c>
      <c r="G15" s="1" t="s">
        <v>472</v>
      </c>
      <c r="H15" s="1" t="s">
        <v>365</v>
      </c>
    </row>
    <row r="16">
      <c r="A16" s="24">
        <v>46139.560298275464</v>
      </c>
      <c r="B16" s="51">
        <v>46113.0</v>
      </c>
      <c r="C16" s="1" t="s">
        <v>17317</v>
      </c>
      <c r="D16" s="1" t="s">
        <v>16419</v>
      </c>
      <c r="E16" s="1" t="s">
        <v>1466</v>
      </c>
      <c r="F16" s="1" t="s">
        <v>1468</v>
      </c>
      <c r="G16" s="1" t="s">
        <v>131</v>
      </c>
      <c r="H16" s="1" t="s">
        <v>365</v>
      </c>
    </row>
    <row r="17">
      <c r="A17" s="24">
        <v>46139.560298275464</v>
      </c>
      <c r="B17" s="51">
        <v>46113.0</v>
      </c>
      <c r="C17" s="1" t="s">
        <v>17317</v>
      </c>
      <c r="D17" s="1" t="s">
        <v>16414</v>
      </c>
      <c r="E17" s="1" t="s">
        <v>1698</v>
      </c>
      <c r="F17" s="1" t="s">
        <v>1699</v>
      </c>
      <c r="G17" s="1" t="s">
        <v>131</v>
      </c>
      <c r="H17" s="1" t="s">
        <v>365</v>
      </c>
    </row>
    <row r="18">
      <c r="A18" s="24">
        <v>46140.024317881944</v>
      </c>
      <c r="B18" s="51">
        <v>46113.0</v>
      </c>
      <c r="C18" s="1" t="s">
        <v>17317</v>
      </c>
      <c r="D18" s="1" t="s">
        <v>17320</v>
      </c>
      <c r="E18" s="1" t="s">
        <v>55</v>
      </c>
      <c r="F18" s="1" t="s">
        <v>56</v>
      </c>
      <c r="G18" s="1" t="s">
        <v>15822</v>
      </c>
      <c r="H18" s="1" t="s">
        <v>131</v>
      </c>
    </row>
    <row r="19">
      <c r="A19" s="24">
        <v>46140.024317881944</v>
      </c>
      <c r="B19" s="51">
        <v>46113.0</v>
      </c>
      <c r="C19" s="1" t="s">
        <v>17317</v>
      </c>
      <c r="D19" s="1" t="s">
        <v>17321</v>
      </c>
      <c r="E19" s="1" t="s">
        <v>1617</v>
      </c>
      <c r="F19" s="1" t="s">
        <v>1618</v>
      </c>
      <c r="G19" s="1" t="s">
        <v>15822</v>
      </c>
      <c r="H19" s="1" t="s">
        <v>131</v>
      </c>
    </row>
    <row r="20">
      <c r="A20" s="24">
        <v>46141.02432325231</v>
      </c>
      <c r="B20" s="51">
        <v>46113.0</v>
      </c>
      <c r="C20" s="1" t="s">
        <v>17317</v>
      </c>
      <c r="D20" s="1" t="s">
        <v>16420</v>
      </c>
      <c r="E20" s="1" t="s">
        <v>539</v>
      </c>
      <c r="F20" s="1" t="s">
        <v>541</v>
      </c>
      <c r="G20" s="1" t="s">
        <v>131</v>
      </c>
      <c r="H20" s="1" t="s">
        <v>365</v>
      </c>
    </row>
    <row r="21">
      <c r="A21" s="24">
        <v>46143.02430716435</v>
      </c>
      <c r="B21" s="51">
        <v>46143.0</v>
      </c>
      <c r="C21" s="1" t="s">
        <v>17317</v>
      </c>
      <c r="D21" s="1" t="s">
        <v>16423</v>
      </c>
      <c r="E21" s="1" t="s">
        <v>1440</v>
      </c>
      <c r="F21" s="1" t="s">
        <v>1441</v>
      </c>
      <c r="G21" s="1" t="s">
        <v>131</v>
      </c>
      <c r="H21" s="1" t="s">
        <v>365</v>
      </c>
    </row>
    <row r="22">
      <c r="A22" s="24">
        <v>46143.6909897338</v>
      </c>
      <c r="B22" s="51">
        <v>46143.0</v>
      </c>
      <c r="C22" s="1" t="s">
        <v>17317</v>
      </c>
      <c r="D22" s="1" t="s">
        <v>16425</v>
      </c>
      <c r="E22" s="1" t="s">
        <v>1235</v>
      </c>
      <c r="F22" s="1" t="s">
        <v>1236</v>
      </c>
      <c r="G22" s="1" t="s">
        <v>131</v>
      </c>
      <c r="H22" s="1" t="s">
        <v>472</v>
      </c>
    </row>
    <row r="23">
      <c r="A23" s="24">
        <v>46148.690966875</v>
      </c>
      <c r="B23" s="51">
        <v>46143.0</v>
      </c>
      <c r="C23" s="1" t="s">
        <v>17317</v>
      </c>
      <c r="D23" s="1" t="s">
        <v>16422</v>
      </c>
      <c r="E23" s="1" t="s">
        <v>1043</v>
      </c>
      <c r="F23" s="1" t="s">
        <v>1044</v>
      </c>
      <c r="G23" s="1" t="s">
        <v>365</v>
      </c>
      <c r="H23" s="1" t="s">
        <v>131</v>
      </c>
    </row>
    <row r="24">
      <c r="A24" s="24">
        <v>46150.69133761574</v>
      </c>
      <c r="B24" s="51">
        <v>46143.0</v>
      </c>
      <c r="C24" s="1" t="s">
        <v>17317</v>
      </c>
      <c r="D24" s="1" t="s">
        <v>16419</v>
      </c>
      <c r="E24" s="1" t="s">
        <v>1466</v>
      </c>
      <c r="F24" s="1" t="s">
        <v>1468</v>
      </c>
      <c r="G24" s="1" t="s">
        <v>365</v>
      </c>
      <c r="H24" s="1" t="s">
        <v>472</v>
      </c>
    </row>
    <row r="25">
      <c r="A25" s="24">
        <v>46151.02431375</v>
      </c>
      <c r="B25" s="51">
        <v>46143.0</v>
      </c>
      <c r="C25" s="1" t="s">
        <v>17317</v>
      </c>
      <c r="D25" s="1" t="s">
        <v>16396</v>
      </c>
      <c r="E25" s="1" t="s">
        <v>1135</v>
      </c>
      <c r="F25" s="1" t="s">
        <v>1136</v>
      </c>
      <c r="G25" s="1" t="s">
        <v>472</v>
      </c>
      <c r="H25" s="1" t="s">
        <v>131</v>
      </c>
    </row>
    <row r="26">
      <c r="A26" s="24">
        <v>46154.35763640046</v>
      </c>
      <c r="B26" s="51">
        <v>46143.0</v>
      </c>
      <c r="C26" s="1" t="s">
        <v>17317</v>
      </c>
      <c r="D26" s="1" t="s">
        <v>17322</v>
      </c>
      <c r="E26" s="1" t="s">
        <v>1391</v>
      </c>
      <c r="F26" s="1" t="s">
        <v>1393</v>
      </c>
      <c r="G26" s="1" t="s">
        <v>15822</v>
      </c>
      <c r="H26" s="1" t="s">
        <v>131</v>
      </c>
    </row>
    <row r="27">
      <c r="A27" s="24">
        <v>46155.35764858796</v>
      </c>
      <c r="B27" s="51">
        <v>46143.0</v>
      </c>
      <c r="C27" s="1" t="s">
        <v>17317</v>
      </c>
      <c r="D27" s="1" t="s">
        <v>16414</v>
      </c>
      <c r="E27" s="1" t="s">
        <v>1698</v>
      </c>
      <c r="F27" s="1" t="s">
        <v>1699</v>
      </c>
      <c r="G27" s="1" t="s">
        <v>365</v>
      </c>
      <c r="H27" s="1" t="s">
        <v>472</v>
      </c>
    </row>
    <row r="28">
      <c r="A28" s="24">
        <v>46156.69100748842</v>
      </c>
      <c r="B28" s="51">
        <v>46143.0</v>
      </c>
      <c r="C28" s="1" t="s">
        <v>17317</v>
      </c>
      <c r="D28" s="1" t="s">
        <v>17323</v>
      </c>
      <c r="E28" s="1" t="s">
        <v>746</v>
      </c>
      <c r="F28" s="1" t="s">
        <v>747</v>
      </c>
      <c r="G28" s="1" t="s">
        <v>15822</v>
      </c>
      <c r="H28" s="1" t="s">
        <v>131</v>
      </c>
    </row>
    <row r="29">
      <c r="A29" s="24">
        <v>46160.35764981482</v>
      </c>
      <c r="B29" s="51">
        <v>46143.0</v>
      </c>
      <c r="C29" s="1" t="s">
        <v>17317</v>
      </c>
      <c r="D29" s="1" t="s">
        <v>17324</v>
      </c>
      <c r="E29" s="1" t="s">
        <v>1491</v>
      </c>
      <c r="F29" s="1" t="s">
        <v>1493</v>
      </c>
      <c r="G29" s="1" t="s">
        <v>15822</v>
      </c>
      <c r="H29" s="1" t="s">
        <v>131</v>
      </c>
    </row>
    <row r="30">
      <c r="A30" s="24">
        <v>46161.02432267361</v>
      </c>
      <c r="B30" s="51">
        <v>46143.0</v>
      </c>
      <c r="C30" s="1" t="s">
        <v>17317</v>
      </c>
      <c r="D30" s="1" t="s">
        <v>16426</v>
      </c>
      <c r="E30" s="1" t="s">
        <v>783</v>
      </c>
      <c r="F30" s="1" t="s">
        <v>784</v>
      </c>
      <c r="G30" s="1" t="s">
        <v>131</v>
      </c>
      <c r="H30" s="1" t="s">
        <v>365</v>
      </c>
    </row>
    <row r="31">
      <c r="A31" s="24">
        <v>46162.02434952546</v>
      </c>
      <c r="B31" s="51">
        <v>46143.0</v>
      </c>
      <c r="C31" s="1" t="s">
        <v>17317</v>
      </c>
      <c r="D31" s="1" t="s">
        <v>17325</v>
      </c>
      <c r="E31" s="1" t="s">
        <v>965</v>
      </c>
      <c r="F31" s="1" t="s">
        <v>966</v>
      </c>
      <c r="G31" s="1" t="s">
        <v>15822</v>
      </c>
      <c r="H31" s="1" t="s">
        <v>131</v>
      </c>
    </row>
    <row r="32">
      <c r="A32" s="24">
        <v>46162.02434952546</v>
      </c>
      <c r="B32" s="51">
        <v>46143.0</v>
      </c>
      <c r="C32" s="1" t="s">
        <v>17317</v>
      </c>
      <c r="D32" s="1" t="s">
        <v>16414</v>
      </c>
      <c r="E32" s="1" t="s">
        <v>1698</v>
      </c>
      <c r="F32" s="1" t="s">
        <v>1699</v>
      </c>
      <c r="G32" s="1" t="s">
        <v>472</v>
      </c>
      <c r="H32" s="1" t="s">
        <v>365</v>
      </c>
    </row>
    <row r="33">
      <c r="A33" s="24">
        <v>46163.02431961805</v>
      </c>
      <c r="B33" s="51">
        <v>46143.0</v>
      </c>
      <c r="C33" s="1" t="s">
        <v>17317</v>
      </c>
      <c r="D33" s="1" t="s">
        <v>16404</v>
      </c>
      <c r="E33" s="1" t="s">
        <v>105</v>
      </c>
      <c r="F33" s="1" t="s">
        <v>107</v>
      </c>
      <c r="G33" s="1" t="s">
        <v>365</v>
      </c>
      <c r="H33" s="1" t="s">
        <v>131</v>
      </c>
    </row>
    <row r="34">
      <c r="A34" s="24">
        <v>46169.357645069445</v>
      </c>
      <c r="B34" s="51">
        <v>46143.0</v>
      </c>
      <c r="C34" s="1" t="s">
        <v>17317</v>
      </c>
      <c r="D34" s="1" t="s">
        <v>17326</v>
      </c>
      <c r="E34" s="1" t="s">
        <v>315</v>
      </c>
      <c r="F34" s="1" t="s">
        <v>1057</v>
      </c>
      <c r="G34" s="1" t="s">
        <v>15822</v>
      </c>
      <c r="H34" s="1" t="s">
        <v>131</v>
      </c>
    </row>
    <row r="35">
      <c r="A35" s="24">
        <v>46169.69098452546</v>
      </c>
      <c r="B35" s="51">
        <v>46143.0</v>
      </c>
      <c r="C35" s="1" t="s">
        <v>17317</v>
      </c>
      <c r="D35" s="1" t="s">
        <v>16408</v>
      </c>
      <c r="E35" s="1" t="s">
        <v>1026</v>
      </c>
      <c r="F35" s="1" t="s">
        <v>1028</v>
      </c>
      <c r="G35" s="1" t="s">
        <v>472</v>
      </c>
      <c r="H35" s="1" t="s">
        <v>131</v>
      </c>
    </row>
    <row r="36">
      <c r="A36" s="24">
        <v>46170.02431361111</v>
      </c>
      <c r="B36" s="51">
        <v>46143.0</v>
      </c>
      <c r="C36" s="1" t="s">
        <v>17317</v>
      </c>
      <c r="D36" s="1" t="s">
        <v>17327</v>
      </c>
      <c r="E36" s="1" t="s">
        <v>1694</v>
      </c>
      <c r="F36" s="1" t="s">
        <v>1695</v>
      </c>
      <c r="G36" s="1" t="s">
        <v>15822</v>
      </c>
      <c r="H36" s="1" t="s">
        <v>131</v>
      </c>
    </row>
    <row r="37">
      <c r="A37" s="24">
        <v>46171.02433488426</v>
      </c>
      <c r="B37" s="51">
        <v>46143.0</v>
      </c>
      <c r="C37" s="1" t="s">
        <v>17317</v>
      </c>
      <c r="D37" s="1" t="s">
        <v>16425</v>
      </c>
      <c r="E37" s="1" t="s">
        <v>1235</v>
      </c>
      <c r="F37" s="1" t="s">
        <v>1236</v>
      </c>
      <c r="G37" s="1" t="s">
        <v>472</v>
      </c>
      <c r="H37" s="1" t="s">
        <v>365</v>
      </c>
    </row>
    <row r="38">
      <c r="A38" s="24">
        <v>46171.690971261574</v>
      </c>
      <c r="B38" s="51">
        <v>46143.0</v>
      </c>
      <c r="C38" s="1" t="s">
        <v>17317</v>
      </c>
      <c r="D38" s="1" t="s">
        <v>16407</v>
      </c>
      <c r="E38" s="1" t="s">
        <v>1014</v>
      </c>
      <c r="F38" s="1" t="s">
        <v>1015</v>
      </c>
      <c r="G38" s="1" t="s">
        <v>131</v>
      </c>
      <c r="H38" s="1" t="s">
        <v>365</v>
      </c>
    </row>
    <row r="39">
      <c r="A39" s="24">
        <v>46175.02431537037</v>
      </c>
      <c r="B39" s="51">
        <v>46174.0</v>
      </c>
      <c r="C39" s="1" t="s">
        <v>17317</v>
      </c>
      <c r="D39" s="1" t="s">
        <v>17328</v>
      </c>
      <c r="E39" s="1" t="s">
        <v>1120</v>
      </c>
      <c r="F39" s="1" t="s">
        <v>1122</v>
      </c>
      <c r="G39" s="1" t="s">
        <v>15822</v>
      </c>
      <c r="H39" s="1" t="s">
        <v>131</v>
      </c>
    </row>
    <row r="40">
      <c r="A40" s="24">
        <v>46177.0243109838</v>
      </c>
      <c r="B40" s="51">
        <v>46174.0</v>
      </c>
      <c r="C40" s="1" t="s">
        <v>17317</v>
      </c>
      <c r="D40" s="1" t="s">
        <v>16411</v>
      </c>
      <c r="E40" s="1" t="s">
        <v>1566</v>
      </c>
      <c r="F40" s="1" t="s">
        <v>1568</v>
      </c>
      <c r="G40" s="1" t="s">
        <v>365</v>
      </c>
      <c r="H40" s="1" t="s">
        <v>131</v>
      </c>
    </row>
    <row r="41">
      <c r="A41" s="24">
        <v>46177.69098702546</v>
      </c>
      <c r="B41" s="51">
        <v>46174.0</v>
      </c>
      <c r="C41" s="1" t="s">
        <v>17317</v>
      </c>
      <c r="D41" s="1" t="s">
        <v>16418</v>
      </c>
      <c r="E41" s="1" t="s">
        <v>1311</v>
      </c>
      <c r="F41" s="1" t="s">
        <v>1312</v>
      </c>
      <c r="G41" s="1" t="s">
        <v>365</v>
      </c>
      <c r="H41" s="1" t="s">
        <v>472</v>
      </c>
    </row>
    <row r="42">
      <c r="A42" s="24">
        <v>46178.02430584491</v>
      </c>
      <c r="B42" s="51">
        <v>46174.0</v>
      </c>
      <c r="C42" s="1" t="s">
        <v>17317</v>
      </c>
      <c r="D42" s="1" t="s">
        <v>17329</v>
      </c>
      <c r="E42" s="1" t="s">
        <v>173</v>
      </c>
      <c r="F42" s="1" t="s">
        <v>176</v>
      </c>
      <c r="G42" s="1" t="s">
        <v>131</v>
      </c>
      <c r="H42" s="1" t="s">
        <v>365</v>
      </c>
    </row>
    <row r="43">
      <c r="A43" s="24">
        <v>46181.6909771412</v>
      </c>
      <c r="B43" s="51">
        <v>46174.0</v>
      </c>
      <c r="C43" s="1" t="s">
        <v>17317</v>
      </c>
      <c r="D43" s="1" t="s">
        <v>16425</v>
      </c>
      <c r="E43" s="1" t="s">
        <v>1235</v>
      </c>
      <c r="F43" s="1" t="s">
        <v>1236</v>
      </c>
      <c r="G43" s="1" t="s">
        <v>365</v>
      </c>
      <c r="H43" s="1" t="s">
        <v>131</v>
      </c>
    </row>
    <row r="44">
      <c r="A44" s="24">
        <v>46182.35764023148</v>
      </c>
      <c r="B44" s="51">
        <v>46174.0</v>
      </c>
      <c r="C44" s="1" t="s">
        <v>17317</v>
      </c>
      <c r="D44" s="1" t="s">
        <v>16420</v>
      </c>
      <c r="E44" s="1" t="s">
        <v>539</v>
      </c>
      <c r="F44" s="1" t="s">
        <v>541</v>
      </c>
      <c r="G44" s="1" t="s">
        <v>365</v>
      </c>
      <c r="H44" s="1" t="s">
        <v>131</v>
      </c>
    </row>
    <row r="45">
      <c r="A45" s="24">
        <v>46184.02430226852</v>
      </c>
      <c r="B45" s="51">
        <v>46174.0</v>
      </c>
      <c r="C45" s="1" t="s">
        <v>17317</v>
      </c>
      <c r="D45" s="1" t="s">
        <v>733</v>
      </c>
      <c r="E45" s="1" t="s">
        <v>735</v>
      </c>
      <c r="F45" s="1" t="s">
        <v>180</v>
      </c>
      <c r="G45" s="1" t="s">
        <v>15822</v>
      </c>
      <c r="H45" s="1" t="s">
        <v>47</v>
      </c>
    </row>
    <row r="46">
      <c r="A46" s="24">
        <v>46184.02430226852</v>
      </c>
      <c r="B46" s="51">
        <v>46174.0</v>
      </c>
      <c r="C46" s="1" t="s">
        <v>17317</v>
      </c>
      <c r="D46" s="1" t="s">
        <v>745</v>
      </c>
      <c r="E46" s="1" t="s">
        <v>746</v>
      </c>
      <c r="F46" s="1" t="s">
        <v>60</v>
      </c>
      <c r="G46" s="1" t="s">
        <v>15822</v>
      </c>
      <c r="H46" s="1" t="s">
        <v>540</v>
      </c>
    </row>
    <row r="47">
      <c r="A47" s="24">
        <v>46184.02430226852</v>
      </c>
      <c r="B47" s="51">
        <v>46174.0</v>
      </c>
      <c r="C47" s="1" t="s">
        <v>17317</v>
      </c>
      <c r="D47" s="1" t="s">
        <v>753</v>
      </c>
      <c r="E47" s="1" t="s">
        <v>132</v>
      </c>
      <c r="F47" s="1" t="s">
        <v>60</v>
      </c>
      <c r="G47" s="1" t="s">
        <v>15822</v>
      </c>
      <c r="H47" s="1" t="s">
        <v>141</v>
      </c>
    </row>
    <row r="48">
      <c r="A48" s="24">
        <v>46184.02430226852</v>
      </c>
      <c r="B48" s="51">
        <v>46174.0</v>
      </c>
      <c r="C48" s="1" t="s">
        <v>17317</v>
      </c>
      <c r="D48" s="1" t="s">
        <v>755</v>
      </c>
      <c r="E48" s="1" t="s">
        <v>756</v>
      </c>
      <c r="F48" s="1" t="s">
        <v>180</v>
      </c>
      <c r="G48" s="1" t="s">
        <v>15822</v>
      </c>
      <c r="H48" s="1" t="s">
        <v>267</v>
      </c>
    </row>
    <row r="49">
      <c r="A49" s="24">
        <v>46184.02430226852</v>
      </c>
      <c r="B49" s="51">
        <v>46174.0</v>
      </c>
      <c r="C49" s="1" t="s">
        <v>17317</v>
      </c>
      <c r="D49" s="1" t="s">
        <v>762</v>
      </c>
      <c r="E49" s="1" t="s">
        <v>765</v>
      </c>
      <c r="F49" s="1" t="s">
        <v>180</v>
      </c>
      <c r="G49" s="1" t="s">
        <v>15822</v>
      </c>
      <c r="H49" s="1" t="s">
        <v>298</v>
      </c>
    </row>
    <row r="50">
      <c r="A50" s="24">
        <v>46184.02430226852</v>
      </c>
      <c r="B50" s="51">
        <v>46174.0</v>
      </c>
      <c r="C50" s="1" t="s">
        <v>17317</v>
      </c>
      <c r="D50" s="1" t="s">
        <v>770</v>
      </c>
      <c r="E50" s="1" t="s">
        <v>771</v>
      </c>
      <c r="F50" s="1" t="s">
        <v>180</v>
      </c>
      <c r="G50" s="1" t="s">
        <v>15822</v>
      </c>
      <c r="H50" s="1" t="s">
        <v>267</v>
      </c>
    </row>
    <row r="51">
      <c r="A51" s="24">
        <v>46184.02430226852</v>
      </c>
      <c r="B51" s="51">
        <v>46174.0</v>
      </c>
      <c r="C51" s="1" t="s">
        <v>17317</v>
      </c>
      <c r="D51" s="1" t="s">
        <v>17330</v>
      </c>
      <c r="E51" s="1" t="s">
        <v>281</v>
      </c>
      <c r="F51" s="1" t="s">
        <v>180</v>
      </c>
      <c r="G51" s="1" t="s">
        <v>15822</v>
      </c>
      <c r="H51" s="1" t="s">
        <v>47</v>
      </c>
    </row>
    <row r="52">
      <c r="A52" s="24">
        <v>46184.02430226852</v>
      </c>
      <c r="B52" s="51">
        <v>46174.0</v>
      </c>
      <c r="C52" s="1" t="s">
        <v>17317</v>
      </c>
      <c r="D52" s="1" t="s">
        <v>776</v>
      </c>
      <c r="E52" s="1" t="s">
        <v>778</v>
      </c>
      <c r="F52" s="1" t="s">
        <v>180</v>
      </c>
      <c r="G52" s="1" t="s">
        <v>15822</v>
      </c>
      <c r="H52" s="1" t="s">
        <v>298</v>
      </c>
    </row>
    <row r="53">
      <c r="A53" s="24">
        <v>46184.02430226852</v>
      </c>
      <c r="B53" s="51">
        <v>46174.0</v>
      </c>
      <c r="C53" s="1" t="s">
        <v>17317</v>
      </c>
      <c r="D53" s="1" t="s">
        <v>170</v>
      </c>
      <c r="E53" s="1" t="s">
        <v>173</v>
      </c>
      <c r="F53" s="1" t="s">
        <v>180</v>
      </c>
      <c r="G53" s="1" t="s">
        <v>15822</v>
      </c>
      <c r="H53" s="1" t="s">
        <v>184</v>
      </c>
    </row>
    <row r="54">
      <c r="A54" s="24">
        <v>46184.02430226852</v>
      </c>
      <c r="B54" s="51">
        <v>46174.0</v>
      </c>
      <c r="C54" s="1" t="s">
        <v>17317</v>
      </c>
      <c r="D54" s="1" t="s">
        <v>782</v>
      </c>
      <c r="E54" s="1" t="s">
        <v>783</v>
      </c>
      <c r="F54" s="1" t="s">
        <v>180</v>
      </c>
      <c r="G54" s="1" t="s">
        <v>15822</v>
      </c>
      <c r="H54" s="1" t="s">
        <v>47</v>
      </c>
    </row>
    <row r="55">
      <c r="A55" s="24">
        <v>46184.02430226852</v>
      </c>
      <c r="B55" s="51">
        <v>46174.0</v>
      </c>
      <c r="C55" s="1" t="s">
        <v>17317</v>
      </c>
      <c r="D55" s="1" t="s">
        <v>794</v>
      </c>
      <c r="E55" s="1" t="s">
        <v>796</v>
      </c>
      <c r="F55" s="1" t="s">
        <v>180</v>
      </c>
      <c r="G55" s="1" t="s">
        <v>15822</v>
      </c>
      <c r="H55" s="1" t="s">
        <v>47</v>
      </c>
    </row>
    <row r="56">
      <c r="A56" s="24">
        <v>46184.02430226852</v>
      </c>
      <c r="B56" s="51">
        <v>46174.0</v>
      </c>
      <c r="C56" s="1" t="s">
        <v>17317</v>
      </c>
      <c r="D56" s="1" t="s">
        <v>802</v>
      </c>
      <c r="E56" s="1" t="s">
        <v>804</v>
      </c>
      <c r="F56" s="1" t="s">
        <v>180</v>
      </c>
      <c r="G56" s="1" t="s">
        <v>15822</v>
      </c>
      <c r="H56" s="1" t="s">
        <v>141</v>
      </c>
    </row>
    <row r="57">
      <c r="A57" s="24">
        <v>46184.02430226852</v>
      </c>
      <c r="B57" s="51">
        <v>46174.0</v>
      </c>
      <c r="C57" s="1" t="s">
        <v>17317</v>
      </c>
      <c r="D57" s="1" t="s">
        <v>810</v>
      </c>
      <c r="E57" s="1" t="s">
        <v>812</v>
      </c>
      <c r="F57" s="1" t="s">
        <v>180</v>
      </c>
      <c r="G57" s="1" t="s">
        <v>15822</v>
      </c>
      <c r="H57" s="1" t="s">
        <v>47</v>
      </c>
    </row>
    <row r="58">
      <c r="A58" s="24">
        <v>46184.02430226852</v>
      </c>
      <c r="B58" s="51">
        <v>46174.0</v>
      </c>
      <c r="C58" s="1" t="s">
        <v>17317</v>
      </c>
      <c r="D58" s="1" t="s">
        <v>817</v>
      </c>
      <c r="E58" s="1" t="s">
        <v>818</v>
      </c>
      <c r="F58" s="1" t="s">
        <v>180</v>
      </c>
      <c r="G58" s="1" t="s">
        <v>15822</v>
      </c>
      <c r="H58" s="1" t="s">
        <v>267</v>
      </c>
    </row>
    <row r="59">
      <c r="A59" s="24">
        <v>46184.02430226852</v>
      </c>
      <c r="B59" s="51">
        <v>46174.0</v>
      </c>
      <c r="C59" s="1" t="s">
        <v>17317</v>
      </c>
      <c r="D59" s="1" t="s">
        <v>821</v>
      </c>
      <c r="E59" s="1" t="s">
        <v>822</v>
      </c>
      <c r="F59" s="1" t="s">
        <v>180</v>
      </c>
      <c r="G59" s="1" t="s">
        <v>15822</v>
      </c>
      <c r="H59" s="1" t="s">
        <v>227</v>
      </c>
    </row>
    <row r="60">
      <c r="A60" s="24">
        <v>46184.02430226852</v>
      </c>
      <c r="B60" s="51">
        <v>46174.0</v>
      </c>
      <c r="C60" s="1" t="s">
        <v>17317</v>
      </c>
      <c r="D60" s="1" t="s">
        <v>830</v>
      </c>
      <c r="E60" s="1" t="s">
        <v>832</v>
      </c>
      <c r="F60" s="1" t="s">
        <v>60</v>
      </c>
      <c r="G60" s="1" t="s">
        <v>15822</v>
      </c>
      <c r="H60" s="1" t="s">
        <v>141</v>
      </c>
    </row>
    <row r="61">
      <c r="A61" s="24">
        <v>46184.02430226852</v>
      </c>
      <c r="B61" s="51">
        <v>46174.0</v>
      </c>
      <c r="C61" s="1" t="s">
        <v>17317</v>
      </c>
      <c r="D61" s="1" t="s">
        <v>836</v>
      </c>
      <c r="E61" s="1" t="s">
        <v>837</v>
      </c>
      <c r="F61" s="1" t="s">
        <v>180</v>
      </c>
      <c r="G61" s="1" t="s">
        <v>15822</v>
      </c>
      <c r="H61" s="1" t="s">
        <v>227</v>
      </c>
    </row>
    <row r="62">
      <c r="A62" s="24">
        <v>46184.02430226852</v>
      </c>
      <c r="B62" s="51">
        <v>46174.0</v>
      </c>
      <c r="C62" s="1" t="s">
        <v>17317</v>
      </c>
      <c r="D62" s="1" t="s">
        <v>840</v>
      </c>
      <c r="E62" s="1" t="s">
        <v>842</v>
      </c>
      <c r="F62" s="1" t="s">
        <v>180</v>
      </c>
      <c r="G62" s="1" t="s">
        <v>15822</v>
      </c>
      <c r="H62" s="1" t="s">
        <v>267</v>
      </c>
    </row>
    <row r="63">
      <c r="A63" s="24">
        <v>46184.02430226852</v>
      </c>
      <c r="B63" s="51">
        <v>46174.0</v>
      </c>
      <c r="C63" s="1" t="s">
        <v>17317</v>
      </c>
      <c r="D63" s="1" t="s">
        <v>816</v>
      </c>
      <c r="E63" s="1" t="s">
        <v>847</v>
      </c>
      <c r="F63" s="1" t="s">
        <v>180</v>
      </c>
      <c r="G63" s="1" t="s">
        <v>15822</v>
      </c>
      <c r="H63" s="1" t="s">
        <v>141</v>
      </c>
    </row>
    <row r="64">
      <c r="A64" s="24">
        <v>46184.02430226852</v>
      </c>
      <c r="B64" s="51">
        <v>46174.0</v>
      </c>
      <c r="C64" s="1" t="s">
        <v>17317</v>
      </c>
      <c r="D64" s="1" t="s">
        <v>258</v>
      </c>
      <c r="E64" s="1" t="s">
        <v>259</v>
      </c>
      <c r="F64" s="1" t="s">
        <v>180</v>
      </c>
      <c r="G64" s="1" t="s">
        <v>15822</v>
      </c>
      <c r="H64" s="1" t="s">
        <v>267</v>
      </c>
    </row>
    <row r="65">
      <c r="A65" s="24">
        <v>46184.02430226852</v>
      </c>
      <c r="B65" s="51">
        <v>46174.0</v>
      </c>
      <c r="C65" s="1" t="s">
        <v>17317</v>
      </c>
      <c r="D65" s="1" t="s">
        <v>853</v>
      </c>
      <c r="E65" s="1" t="s">
        <v>855</v>
      </c>
      <c r="F65" s="1" t="s">
        <v>180</v>
      </c>
      <c r="G65" s="1" t="s">
        <v>15822</v>
      </c>
      <c r="H65" s="1" t="s">
        <v>141</v>
      </c>
    </row>
    <row r="66">
      <c r="A66" s="24">
        <v>46184.02430226852</v>
      </c>
      <c r="B66" s="51">
        <v>46174.0</v>
      </c>
      <c r="C66" s="1" t="s">
        <v>17317</v>
      </c>
      <c r="D66" s="1" t="s">
        <v>859</v>
      </c>
      <c r="E66" s="1" t="s">
        <v>861</v>
      </c>
      <c r="F66" s="1" t="s">
        <v>180</v>
      </c>
      <c r="G66" s="1" t="s">
        <v>15822</v>
      </c>
      <c r="H66" s="1" t="s">
        <v>47</v>
      </c>
    </row>
    <row r="67">
      <c r="A67" s="24">
        <v>46184.02430226852</v>
      </c>
      <c r="B67" s="51">
        <v>46174.0</v>
      </c>
      <c r="C67" s="1" t="s">
        <v>17317</v>
      </c>
      <c r="D67" s="1" t="s">
        <v>869</v>
      </c>
      <c r="E67" s="1" t="s">
        <v>358</v>
      </c>
      <c r="F67" s="1" t="s">
        <v>180</v>
      </c>
      <c r="G67" s="1" t="s">
        <v>15822</v>
      </c>
      <c r="H67" s="1" t="s">
        <v>267</v>
      </c>
    </row>
    <row r="68">
      <c r="A68" s="24">
        <v>46184.02430226852</v>
      </c>
      <c r="B68" s="51">
        <v>46174.0</v>
      </c>
      <c r="C68" s="1" t="s">
        <v>17317</v>
      </c>
      <c r="D68" s="1" t="s">
        <v>866</v>
      </c>
      <c r="E68" s="1" t="s">
        <v>358</v>
      </c>
      <c r="F68" s="1" t="s">
        <v>180</v>
      </c>
      <c r="G68" s="1" t="s">
        <v>15822</v>
      </c>
      <c r="H68" s="1" t="s">
        <v>267</v>
      </c>
    </row>
    <row r="69">
      <c r="A69" s="24">
        <v>46184.02430226852</v>
      </c>
      <c r="B69" s="51">
        <v>46174.0</v>
      </c>
      <c r="C69" s="1" t="s">
        <v>17317</v>
      </c>
      <c r="D69" s="1" t="s">
        <v>876</v>
      </c>
      <c r="E69" s="1" t="s">
        <v>877</v>
      </c>
      <c r="F69" s="1" t="s">
        <v>180</v>
      </c>
      <c r="G69" s="1" t="s">
        <v>15822</v>
      </c>
      <c r="H69" s="1" t="s">
        <v>267</v>
      </c>
    </row>
    <row r="70">
      <c r="A70" s="24">
        <v>46184.02430226852</v>
      </c>
      <c r="B70" s="51">
        <v>46174.0</v>
      </c>
      <c r="C70" s="1" t="s">
        <v>17317</v>
      </c>
      <c r="D70" s="1" t="s">
        <v>881</v>
      </c>
      <c r="E70" s="1" t="s">
        <v>882</v>
      </c>
      <c r="F70" s="1" t="s">
        <v>180</v>
      </c>
      <c r="G70" s="1" t="s">
        <v>15822</v>
      </c>
      <c r="H70" s="1" t="s">
        <v>47</v>
      </c>
    </row>
    <row r="71">
      <c r="A71" s="24">
        <v>46184.02430226852</v>
      </c>
      <c r="B71" s="51">
        <v>46174.0</v>
      </c>
      <c r="C71" s="1" t="s">
        <v>17317</v>
      </c>
      <c r="D71" s="1" t="s">
        <v>896</v>
      </c>
      <c r="E71" s="1" t="s">
        <v>897</v>
      </c>
      <c r="F71" s="1" t="s">
        <v>180</v>
      </c>
      <c r="G71" s="1" t="s">
        <v>15822</v>
      </c>
      <c r="H71" s="1" t="s">
        <v>900</v>
      </c>
    </row>
    <row r="72">
      <c r="A72" s="24">
        <v>46184.02430226852</v>
      </c>
      <c r="B72" s="51">
        <v>46174.0</v>
      </c>
      <c r="C72" s="1" t="s">
        <v>17317</v>
      </c>
      <c r="D72" s="1" t="s">
        <v>904</v>
      </c>
      <c r="E72" s="1" t="s">
        <v>539</v>
      </c>
      <c r="F72" s="1" t="s">
        <v>180</v>
      </c>
      <c r="G72" s="1" t="s">
        <v>15822</v>
      </c>
      <c r="H72" s="1" t="s">
        <v>540</v>
      </c>
    </row>
    <row r="73">
      <c r="A73" s="24">
        <v>46184.02430226852</v>
      </c>
      <c r="B73" s="51">
        <v>46174.0</v>
      </c>
      <c r="C73" s="1" t="s">
        <v>17317</v>
      </c>
      <c r="D73" s="1" t="s">
        <v>908</v>
      </c>
      <c r="E73" s="1" t="s">
        <v>910</v>
      </c>
      <c r="F73" s="1" t="s">
        <v>180</v>
      </c>
      <c r="G73" s="1" t="s">
        <v>15822</v>
      </c>
      <c r="H73" s="1" t="s">
        <v>267</v>
      </c>
    </row>
    <row r="74">
      <c r="A74" s="24">
        <v>46184.02430226852</v>
      </c>
      <c r="B74" s="51">
        <v>46174.0</v>
      </c>
      <c r="C74" s="1" t="s">
        <v>17317</v>
      </c>
      <c r="D74" s="1" t="s">
        <v>922</v>
      </c>
      <c r="E74" s="1" t="s">
        <v>925</v>
      </c>
      <c r="F74" s="1" t="s">
        <v>180</v>
      </c>
      <c r="G74" s="1" t="s">
        <v>15822</v>
      </c>
      <c r="H74" s="1" t="s">
        <v>141</v>
      </c>
    </row>
    <row r="75">
      <c r="A75" s="24">
        <v>46184.02430226852</v>
      </c>
      <c r="B75" s="51">
        <v>46174.0</v>
      </c>
      <c r="C75" s="1" t="s">
        <v>17317</v>
      </c>
      <c r="D75" s="1" t="s">
        <v>373</v>
      </c>
      <c r="E75" s="1" t="s">
        <v>930</v>
      </c>
      <c r="F75" s="1" t="s">
        <v>180</v>
      </c>
      <c r="G75" s="1" t="s">
        <v>15822</v>
      </c>
      <c r="H75" s="1" t="s">
        <v>95</v>
      </c>
    </row>
    <row r="76">
      <c r="A76" s="24">
        <v>46184.02430226852</v>
      </c>
      <c r="B76" s="51">
        <v>46174.0</v>
      </c>
      <c r="C76" s="1" t="s">
        <v>17317</v>
      </c>
      <c r="D76" s="1" t="s">
        <v>934</v>
      </c>
      <c r="E76" s="1" t="s">
        <v>935</v>
      </c>
      <c r="F76" s="1" t="s">
        <v>180</v>
      </c>
      <c r="G76" s="1" t="s">
        <v>15822</v>
      </c>
      <c r="H76" s="1" t="s">
        <v>227</v>
      </c>
    </row>
    <row r="77">
      <c r="A77" s="24">
        <v>46184.02430226852</v>
      </c>
      <c r="B77" s="51">
        <v>46174.0</v>
      </c>
      <c r="C77" s="1" t="s">
        <v>17317</v>
      </c>
      <c r="D77" s="1" t="s">
        <v>946</v>
      </c>
      <c r="E77" s="1" t="s">
        <v>947</v>
      </c>
      <c r="F77" s="1" t="s">
        <v>180</v>
      </c>
      <c r="G77" s="1" t="s">
        <v>15822</v>
      </c>
      <c r="H77" s="1" t="s">
        <v>141</v>
      </c>
    </row>
    <row r="78">
      <c r="A78" s="24">
        <v>46184.02430226852</v>
      </c>
      <c r="B78" s="51">
        <v>46174.0</v>
      </c>
      <c r="C78" s="1" t="s">
        <v>17317</v>
      </c>
      <c r="D78" s="1" t="s">
        <v>950</v>
      </c>
      <c r="E78" s="1" t="s">
        <v>951</v>
      </c>
      <c r="F78" s="1" t="s">
        <v>180</v>
      </c>
      <c r="G78" s="1" t="s">
        <v>15822</v>
      </c>
      <c r="H78" s="1" t="s">
        <v>540</v>
      </c>
    </row>
    <row r="79">
      <c r="A79" s="24">
        <v>46184.02430226852</v>
      </c>
      <c r="B79" s="51">
        <v>46174.0</v>
      </c>
      <c r="C79" s="1" t="s">
        <v>17317</v>
      </c>
      <c r="D79" s="1" t="s">
        <v>50</v>
      </c>
      <c r="E79" s="1" t="s">
        <v>955</v>
      </c>
      <c r="F79" s="1" t="s">
        <v>180</v>
      </c>
      <c r="G79" s="1" t="s">
        <v>15822</v>
      </c>
      <c r="H79" s="1" t="s">
        <v>267</v>
      </c>
    </row>
    <row r="80">
      <c r="A80" s="24">
        <v>46184.02430226852</v>
      </c>
      <c r="B80" s="51">
        <v>46174.0</v>
      </c>
      <c r="C80" s="1" t="s">
        <v>17317</v>
      </c>
      <c r="D80" s="1" t="s">
        <v>964</v>
      </c>
      <c r="E80" s="1" t="s">
        <v>965</v>
      </c>
      <c r="F80" s="1" t="s">
        <v>180</v>
      </c>
      <c r="G80" s="1" t="s">
        <v>15822</v>
      </c>
      <c r="H80" s="1" t="s">
        <v>540</v>
      </c>
    </row>
    <row r="81">
      <c r="A81" s="24">
        <v>46184.02430226852</v>
      </c>
      <c r="B81" s="51">
        <v>46174.0</v>
      </c>
      <c r="C81" s="1" t="s">
        <v>17317</v>
      </c>
      <c r="D81" s="1" t="s">
        <v>968</v>
      </c>
      <c r="E81" s="1" t="s">
        <v>122</v>
      </c>
      <c r="F81" s="1" t="s">
        <v>180</v>
      </c>
      <c r="G81" s="1" t="s">
        <v>15822</v>
      </c>
      <c r="H81" s="1" t="s">
        <v>47</v>
      </c>
    </row>
    <row r="82">
      <c r="A82" s="24">
        <v>46184.02430226852</v>
      </c>
      <c r="B82" s="51">
        <v>46174.0</v>
      </c>
      <c r="C82" s="1" t="s">
        <v>17317</v>
      </c>
      <c r="D82" s="1" t="s">
        <v>979</v>
      </c>
      <c r="E82" s="1" t="s">
        <v>974</v>
      </c>
      <c r="F82" s="1" t="s">
        <v>180</v>
      </c>
      <c r="G82" s="1" t="s">
        <v>15822</v>
      </c>
      <c r="H82" s="1" t="s">
        <v>267</v>
      </c>
    </row>
    <row r="83">
      <c r="A83" s="24">
        <v>46184.02430226852</v>
      </c>
      <c r="B83" s="51">
        <v>46174.0</v>
      </c>
      <c r="C83" s="1" t="s">
        <v>17317</v>
      </c>
      <c r="D83" s="1" t="s">
        <v>972</v>
      </c>
      <c r="E83" s="1" t="s">
        <v>974</v>
      </c>
      <c r="F83" s="1" t="s">
        <v>180</v>
      </c>
      <c r="G83" s="1" t="s">
        <v>15822</v>
      </c>
      <c r="H83" s="1" t="s">
        <v>267</v>
      </c>
    </row>
    <row r="84">
      <c r="A84" s="24">
        <v>46184.02430226852</v>
      </c>
      <c r="B84" s="51">
        <v>46174.0</v>
      </c>
      <c r="C84" s="1" t="s">
        <v>17317</v>
      </c>
      <c r="D84" s="1" t="s">
        <v>987</v>
      </c>
      <c r="E84" s="1" t="s">
        <v>248</v>
      </c>
      <c r="F84" s="1" t="s">
        <v>180</v>
      </c>
      <c r="G84" s="1" t="s">
        <v>15822</v>
      </c>
      <c r="H84" s="1" t="s">
        <v>47</v>
      </c>
    </row>
    <row r="85">
      <c r="A85" s="24">
        <v>46184.02430226852</v>
      </c>
      <c r="B85" s="51">
        <v>46174.0</v>
      </c>
      <c r="C85" s="1" t="s">
        <v>17317</v>
      </c>
      <c r="D85" s="1" t="s">
        <v>984</v>
      </c>
      <c r="E85" s="1" t="s">
        <v>248</v>
      </c>
      <c r="F85" s="1" t="s">
        <v>180</v>
      </c>
      <c r="G85" s="1" t="s">
        <v>15822</v>
      </c>
      <c r="H85" s="1" t="s">
        <v>47</v>
      </c>
    </row>
    <row r="86">
      <c r="A86" s="24">
        <v>46184.02430226852</v>
      </c>
      <c r="B86" s="51">
        <v>46174.0</v>
      </c>
      <c r="C86" s="1" t="s">
        <v>17317</v>
      </c>
      <c r="D86" s="1" t="s">
        <v>992</v>
      </c>
      <c r="E86" s="1" t="s">
        <v>993</v>
      </c>
      <c r="F86" s="1" t="s">
        <v>180</v>
      </c>
      <c r="G86" s="1" t="s">
        <v>15822</v>
      </c>
      <c r="H86" s="1" t="s">
        <v>227</v>
      </c>
    </row>
    <row r="87">
      <c r="A87" s="24">
        <v>46184.02430226852</v>
      </c>
      <c r="B87" s="51">
        <v>46174.0</v>
      </c>
      <c r="C87" s="1" t="s">
        <v>17317</v>
      </c>
      <c r="D87" s="1" t="s">
        <v>1002</v>
      </c>
      <c r="E87" s="1" t="s">
        <v>1003</v>
      </c>
      <c r="F87" s="1" t="s">
        <v>180</v>
      </c>
      <c r="G87" s="1" t="s">
        <v>15822</v>
      </c>
      <c r="H87" s="1" t="s">
        <v>540</v>
      </c>
    </row>
    <row r="88">
      <c r="A88" s="24">
        <v>46184.02430226852</v>
      </c>
      <c r="B88" s="51">
        <v>46174.0</v>
      </c>
      <c r="C88" s="1" t="s">
        <v>17317</v>
      </c>
      <c r="D88" s="1" t="s">
        <v>53</v>
      </c>
      <c r="E88" s="1" t="s">
        <v>55</v>
      </c>
      <c r="F88" s="1" t="s">
        <v>180</v>
      </c>
      <c r="G88" s="1" t="s">
        <v>15822</v>
      </c>
      <c r="H88" s="1" t="s">
        <v>47</v>
      </c>
    </row>
    <row r="89">
      <c r="A89" s="24">
        <v>46184.02430226852</v>
      </c>
      <c r="B89" s="51">
        <v>46174.0</v>
      </c>
      <c r="C89" s="1" t="s">
        <v>17317</v>
      </c>
      <c r="D89" s="1" t="s">
        <v>1009</v>
      </c>
      <c r="E89" s="1" t="s">
        <v>1010</v>
      </c>
      <c r="F89" s="1" t="s">
        <v>180</v>
      </c>
      <c r="G89" s="1" t="s">
        <v>15822</v>
      </c>
      <c r="H89" s="1" t="s">
        <v>267</v>
      </c>
    </row>
    <row r="90">
      <c r="A90" s="24">
        <v>46184.02430226852</v>
      </c>
      <c r="B90" s="51">
        <v>46174.0</v>
      </c>
      <c r="C90" s="1" t="s">
        <v>17317</v>
      </c>
      <c r="D90" s="1" t="s">
        <v>1013</v>
      </c>
      <c r="E90" s="1" t="s">
        <v>1014</v>
      </c>
      <c r="F90" s="1" t="s">
        <v>180</v>
      </c>
      <c r="G90" s="1" t="s">
        <v>15822</v>
      </c>
      <c r="H90" s="1" t="s">
        <v>141</v>
      </c>
    </row>
    <row r="91">
      <c r="A91" s="24">
        <v>46184.02430226852</v>
      </c>
      <c r="B91" s="51">
        <v>46174.0</v>
      </c>
      <c r="C91" s="1" t="s">
        <v>17317</v>
      </c>
      <c r="D91" s="1" t="s">
        <v>15852</v>
      </c>
      <c r="E91" s="1" t="s">
        <v>477</v>
      </c>
      <c r="F91" s="1" t="s">
        <v>180</v>
      </c>
      <c r="G91" s="1" t="s">
        <v>15822</v>
      </c>
      <c r="H91" s="1" t="s">
        <v>267</v>
      </c>
    </row>
    <row r="92">
      <c r="A92" s="24">
        <v>46184.02430226852</v>
      </c>
      <c r="B92" s="51">
        <v>46174.0</v>
      </c>
      <c r="C92" s="1" t="s">
        <v>17317</v>
      </c>
      <c r="D92" s="1" t="s">
        <v>1017</v>
      </c>
      <c r="E92" s="1" t="s">
        <v>1019</v>
      </c>
      <c r="F92" s="1" t="s">
        <v>180</v>
      </c>
      <c r="G92" s="1" t="s">
        <v>15822</v>
      </c>
      <c r="H92" s="1" t="s">
        <v>267</v>
      </c>
    </row>
    <row r="93">
      <c r="A93" s="24">
        <v>46184.02430226852</v>
      </c>
      <c r="B93" s="51">
        <v>46174.0</v>
      </c>
      <c r="C93" s="1" t="s">
        <v>17317</v>
      </c>
      <c r="D93" s="1" t="s">
        <v>1025</v>
      </c>
      <c r="E93" s="1" t="s">
        <v>1026</v>
      </c>
      <c r="F93" s="1" t="s">
        <v>180</v>
      </c>
      <c r="G93" s="1" t="s">
        <v>15822</v>
      </c>
      <c r="H93" s="1" t="s">
        <v>141</v>
      </c>
    </row>
    <row r="94">
      <c r="A94" s="24">
        <v>46184.02430226852</v>
      </c>
      <c r="B94" s="51">
        <v>46174.0</v>
      </c>
      <c r="C94" s="1" t="s">
        <v>17317</v>
      </c>
      <c r="D94" s="1" t="s">
        <v>1029</v>
      </c>
      <c r="E94" s="1" t="s">
        <v>1032</v>
      </c>
      <c r="F94" s="1" t="s">
        <v>180</v>
      </c>
      <c r="G94" s="1" t="s">
        <v>15822</v>
      </c>
      <c r="H94" s="1" t="s">
        <v>267</v>
      </c>
    </row>
    <row r="95">
      <c r="A95" s="24">
        <v>46184.02430226852</v>
      </c>
      <c r="B95" s="51">
        <v>46174.0</v>
      </c>
      <c r="C95" s="1" t="s">
        <v>17317</v>
      </c>
      <c r="D95" s="1" t="s">
        <v>1036</v>
      </c>
      <c r="E95" s="1" t="s">
        <v>1038</v>
      </c>
      <c r="F95" s="1" t="s">
        <v>180</v>
      </c>
      <c r="G95" s="1" t="s">
        <v>15822</v>
      </c>
      <c r="H95" s="1" t="s">
        <v>540</v>
      </c>
    </row>
    <row r="96">
      <c r="A96" s="24">
        <v>46184.02430226852</v>
      </c>
      <c r="B96" s="51">
        <v>46174.0</v>
      </c>
      <c r="C96" s="1" t="s">
        <v>17317</v>
      </c>
      <c r="D96" s="1" t="s">
        <v>1041</v>
      </c>
      <c r="E96" s="1" t="s">
        <v>1043</v>
      </c>
      <c r="F96" s="1" t="s">
        <v>180</v>
      </c>
      <c r="G96" s="1" t="s">
        <v>15822</v>
      </c>
      <c r="H96" s="1" t="s">
        <v>141</v>
      </c>
    </row>
    <row r="97">
      <c r="A97" s="24">
        <v>46184.02430226852</v>
      </c>
      <c r="B97" s="51">
        <v>46174.0</v>
      </c>
      <c r="C97" s="1" t="s">
        <v>17317</v>
      </c>
      <c r="D97" s="1" t="s">
        <v>148</v>
      </c>
      <c r="E97" s="1" t="s">
        <v>151</v>
      </c>
      <c r="F97" s="1" t="s">
        <v>180</v>
      </c>
      <c r="G97" s="1" t="s">
        <v>15822</v>
      </c>
      <c r="H97" s="1" t="s">
        <v>163</v>
      </c>
    </row>
    <row r="98">
      <c r="A98" s="24">
        <v>46184.02430226852</v>
      </c>
      <c r="B98" s="51">
        <v>46174.0</v>
      </c>
      <c r="C98" s="1" t="s">
        <v>17317</v>
      </c>
      <c r="D98" s="1" t="s">
        <v>1056</v>
      </c>
      <c r="E98" s="1" t="s">
        <v>315</v>
      </c>
      <c r="F98" s="1" t="s">
        <v>180</v>
      </c>
      <c r="G98" s="1" t="s">
        <v>15822</v>
      </c>
      <c r="H98" s="1" t="s">
        <v>47</v>
      </c>
    </row>
    <row r="99">
      <c r="A99" s="24">
        <v>46184.02430226852</v>
      </c>
      <c r="B99" s="51">
        <v>46174.0</v>
      </c>
      <c r="C99" s="1" t="s">
        <v>17317</v>
      </c>
      <c r="D99" s="1" t="s">
        <v>314</v>
      </c>
      <c r="E99" s="1" t="s">
        <v>315</v>
      </c>
      <c r="F99" s="1" t="s">
        <v>180</v>
      </c>
      <c r="G99" s="1" t="s">
        <v>15822</v>
      </c>
      <c r="H99" s="1" t="s">
        <v>47</v>
      </c>
    </row>
    <row r="100">
      <c r="A100" s="24">
        <v>46184.02430226852</v>
      </c>
      <c r="B100" s="51">
        <v>46174.0</v>
      </c>
      <c r="C100" s="1" t="s">
        <v>17317</v>
      </c>
      <c r="D100" s="1" t="s">
        <v>1060</v>
      </c>
      <c r="E100" s="1" t="s">
        <v>1062</v>
      </c>
      <c r="F100" s="1" t="s">
        <v>180</v>
      </c>
      <c r="G100" s="1" t="s">
        <v>15822</v>
      </c>
      <c r="H100" s="1" t="s">
        <v>227</v>
      </c>
    </row>
    <row r="101">
      <c r="A101" s="24">
        <v>46184.02430226852</v>
      </c>
      <c r="B101" s="51">
        <v>46174.0</v>
      </c>
      <c r="C101" s="1" t="s">
        <v>17317</v>
      </c>
      <c r="D101" s="1" t="s">
        <v>1069</v>
      </c>
      <c r="E101" s="1" t="s">
        <v>1071</v>
      </c>
      <c r="F101" s="1" t="s">
        <v>180</v>
      </c>
      <c r="G101" s="1" t="s">
        <v>15822</v>
      </c>
      <c r="H101" s="1" t="s">
        <v>47</v>
      </c>
    </row>
    <row r="102">
      <c r="A102" s="24">
        <v>46184.02430226852</v>
      </c>
      <c r="B102" s="51">
        <v>46174.0</v>
      </c>
      <c r="C102" s="1" t="s">
        <v>17317</v>
      </c>
      <c r="D102" s="1" t="s">
        <v>1077</v>
      </c>
      <c r="E102" s="1" t="s">
        <v>1079</v>
      </c>
      <c r="F102" s="1" t="s">
        <v>60</v>
      </c>
      <c r="G102" s="1" t="s">
        <v>15822</v>
      </c>
      <c r="H102" s="1" t="s">
        <v>540</v>
      </c>
    </row>
    <row r="103">
      <c r="A103" s="24">
        <v>46184.02430226852</v>
      </c>
      <c r="B103" s="51">
        <v>46174.0</v>
      </c>
      <c r="C103" s="1" t="s">
        <v>17317</v>
      </c>
      <c r="D103" s="1" t="s">
        <v>1083</v>
      </c>
      <c r="E103" s="1" t="s">
        <v>1085</v>
      </c>
      <c r="F103" s="1" t="s">
        <v>180</v>
      </c>
      <c r="G103" s="1" t="s">
        <v>15822</v>
      </c>
      <c r="H103" s="1" t="s">
        <v>298</v>
      </c>
    </row>
    <row r="104">
      <c r="A104" s="24">
        <v>46184.02430226852</v>
      </c>
      <c r="B104" s="51">
        <v>46174.0</v>
      </c>
      <c r="C104" s="1" t="s">
        <v>17317</v>
      </c>
      <c r="D104" s="1" t="s">
        <v>1089</v>
      </c>
      <c r="E104" s="1" t="s">
        <v>1091</v>
      </c>
      <c r="F104" s="1" t="s">
        <v>180</v>
      </c>
      <c r="G104" s="1" t="s">
        <v>15822</v>
      </c>
      <c r="H104" s="1" t="s">
        <v>227</v>
      </c>
    </row>
    <row r="105">
      <c r="A105" s="24">
        <v>46184.02430226852</v>
      </c>
      <c r="B105" s="51">
        <v>46174.0</v>
      </c>
      <c r="C105" s="1" t="s">
        <v>17317</v>
      </c>
      <c r="D105" s="1" t="s">
        <v>1093</v>
      </c>
      <c r="E105" s="1" t="s">
        <v>1096</v>
      </c>
      <c r="F105" s="1" t="s">
        <v>60</v>
      </c>
      <c r="G105" s="1" t="s">
        <v>15822</v>
      </c>
      <c r="H105" s="1" t="s">
        <v>267</v>
      </c>
    </row>
    <row r="106">
      <c r="A106" s="24">
        <v>46184.02430226852</v>
      </c>
      <c r="B106" s="51">
        <v>46174.0</v>
      </c>
      <c r="C106" s="1" t="s">
        <v>17317</v>
      </c>
      <c r="D106" s="1" t="s">
        <v>1100</v>
      </c>
      <c r="E106" s="1" t="s">
        <v>1101</v>
      </c>
      <c r="F106" s="1" t="s">
        <v>180</v>
      </c>
      <c r="G106" s="1" t="s">
        <v>15822</v>
      </c>
      <c r="H106" s="1" t="s">
        <v>47</v>
      </c>
    </row>
    <row r="107">
      <c r="A107" s="24">
        <v>46184.02430226852</v>
      </c>
      <c r="B107" s="51">
        <v>46174.0</v>
      </c>
      <c r="C107" s="1" t="s">
        <v>17317</v>
      </c>
      <c r="D107" s="1" t="s">
        <v>1105</v>
      </c>
      <c r="E107" s="1" t="s">
        <v>1106</v>
      </c>
      <c r="F107" s="1" t="s">
        <v>180</v>
      </c>
      <c r="G107" s="1" t="s">
        <v>15822</v>
      </c>
      <c r="H107" s="1" t="s">
        <v>227</v>
      </c>
    </row>
    <row r="108">
      <c r="A108" s="24">
        <v>46184.02430226852</v>
      </c>
      <c r="B108" s="51">
        <v>46174.0</v>
      </c>
      <c r="C108" s="1" t="s">
        <v>17317</v>
      </c>
      <c r="D108" s="1" t="s">
        <v>1112</v>
      </c>
      <c r="E108" s="1" t="s">
        <v>1114</v>
      </c>
      <c r="F108" s="1" t="s">
        <v>180</v>
      </c>
      <c r="G108" s="1" t="s">
        <v>15822</v>
      </c>
      <c r="H108" s="1" t="s">
        <v>540</v>
      </c>
    </row>
    <row r="109">
      <c r="A109" s="24">
        <v>46184.02430226852</v>
      </c>
      <c r="B109" s="51">
        <v>46174.0</v>
      </c>
      <c r="C109" s="1" t="s">
        <v>17317</v>
      </c>
      <c r="D109" s="1" t="s">
        <v>1119</v>
      </c>
      <c r="E109" s="1" t="s">
        <v>1120</v>
      </c>
      <c r="F109" s="1" t="s">
        <v>180</v>
      </c>
      <c r="G109" s="1" t="s">
        <v>15822</v>
      </c>
      <c r="H109" s="1" t="s">
        <v>267</v>
      </c>
    </row>
    <row r="110">
      <c r="A110" s="24">
        <v>46184.02430226852</v>
      </c>
      <c r="B110" s="51">
        <v>46174.0</v>
      </c>
      <c r="C110" s="1" t="s">
        <v>17317</v>
      </c>
      <c r="D110" s="1" t="s">
        <v>1123</v>
      </c>
      <c r="E110" s="1" t="s">
        <v>1125</v>
      </c>
      <c r="F110" s="1" t="s">
        <v>180</v>
      </c>
      <c r="G110" s="1" t="s">
        <v>15822</v>
      </c>
      <c r="H110" s="1" t="s">
        <v>47</v>
      </c>
    </row>
    <row r="111">
      <c r="A111" s="24">
        <v>46184.02430226852</v>
      </c>
      <c r="B111" s="51">
        <v>46174.0</v>
      </c>
      <c r="C111" s="1" t="s">
        <v>17317</v>
      </c>
      <c r="D111" s="1" t="s">
        <v>1130</v>
      </c>
      <c r="E111" s="1" t="s">
        <v>1132</v>
      </c>
      <c r="F111" s="1" t="s">
        <v>180</v>
      </c>
      <c r="G111" s="1" t="s">
        <v>15822</v>
      </c>
      <c r="H111" s="1" t="s">
        <v>47</v>
      </c>
    </row>
    <row r="112">
      <c r="A112" s="24">
        <v>46184.02430226852</v>
      </c>
      <c r="B112" s="51">
        <v>46174.0</v>
      </c>
      <c r="C112" s="1" t="s">
        <v>17317</v>
      </c>
      <c r="D112" s="1" t="s">
        <v>1134</v>
      </c>
      <c r="E112" s="1" t="s">
        <v>1135</v>
      </c>
      <c r="F112" s="1" t="s">
        <v>180</v>
      </c>
      <c r="G112" s="1" t="s">
        <v>15822</v>
      </c>
      <c r="H112" s="1" t="s">
        <v>298</v>
      </c>
    </row>
    <row r="113">
      <c r="A113" s="24">
        <v>46184.02430226852</v>
      </c>
      <c r="B113" s="51">
        <v>46174.0</v>
      </c>
      <c r="C113" s="1" t="s">
        <v>17317</v>
      </c>
      <c r="D113" s="1" t="s">
        <v>220</v>
      </c>
      <c r="E113" s="1" t="s">
        <v>223</v>
      </c>
      <c r="F113" s="1" t="s">
        <v>180</v>
      </c>
      <c r="G113" s="1" t="s">
        <v>15822</v>
      </c>
      <c r="H113" s="1" t="s">
        <v>47</v>
      </c>
    </row>
    <row r="114">
      <c r="A114" s="24">
        <v>46184.02430226852</v>
      </c>
      <c r="B114" s="51">
        <v>46174.0</v>
      </c>
      <c r="C114" s="1" t="s">
        <v>17317</v>
      </c>
      <c r="D114" s="1" t="s">
        <v>1145</v>
      </c>
      <c r="E114" s="1" t="s">
        <v>1146</v>
      </c>
      <c r="F114" s="1" t="s">
        <v>180</v>
      </c>
      <c r="G114" s="1" t="s">
        <v>15822</v>
      </c>
      <c r="H114" s="1" t="s">
        <v>540</v>
      </c>
    </row>
    <row r="115">
      <c r="A115" s="24">
        <v>46184.02430226852</v>
      </c>
      <c r="B115" s="51">
        <v>46174.0</v>
      </c>
      <c r="C115" s="1" t="s">
        <v>17317</v>
      </c>
      <c r="D115" s="1" t="s">
        <v>1150</v>
      </c>
      <c r="E115" s="1" t="s">
        <v>1152</v>
      </c>
      <c r="F115" s="1" t="s">
        <v>180</v>
      </c>
      <c r="G115" s="1" t="s">
        <v>15822</v>
      </c>
      <c r="H115" s="1" t="s">
        <v>267</v>
      </c>
    </row>
    <row r="116">
      <c r="A116" s="24">
        <v>46184.02430226852</v>
      </c>
      <c r="B116" s="51">
        <v>46174.0</v>
      </c>
      <c r="C116" s="1" t="s">
        <v>17317</v>
      </c>
      <c r="D116" s="1" t="s">
        <v>1157</v>
      </c>
      <c r="E116" s="1" t="s">
        <v>1152</v>
      </c>
      <c r="F116" s="1" t="s">
        <v>180</v>
      </c>
      <c r="G116" s="1" t="s">
        <v>15822</v>
      </c>
      <c r="H116" s="1" t="s">
        <v>267</v>
      </c>
    </row>
    <row r="117">
      <c r="A117" s="24">
        <v>46184.02430226852</v>
      </c>
      <c r="B117" s="51">
        <v>46174.0</v>
      </c>
      <c r="C117" s="1" t="s">
        <v>17317</v>
      </c>
      <c r="D117" s="1" t="s">
        <v>1160</v>
      </c>
      <c r="E117" s="1" t="s">
        <v>457</v>
      </c>
      <c r="F117" s="1" t="s">
        <v>180</v>
      </c>
      <c r="G117" s="1" t="s">
        <v>15822</v>
      </c>
      <c r="H117" s="1" t="s">
        <v>141</v>
      </c>
    </row>
    <row r="118">
      <c r="A118" s="24">
        <v>46184.02430226852</v>
      </c>
      <c r="B118" s="51">
        <v>46174.0</v>
      </c>
      <c r="C118" s="1" t="s">
        <v>17317</v>
      </c>
      <c r="D118" s="1" t="s">
        <v>1164</v>
      </c>
      <c r="E118" s="1" t="s">
        <v>1165</v>
      </c>
      <c r="F118" s="1" t="s">
        <v>180</v>
      </c>
      <c r="G118" s="1" t="s">
        <v>15822</v>
      </c>
      <c r="H118" s="1" t="s">
        <v>267</v>
      </c>
    </row>
    <row r="119">
      <c r="A119" s="24">
        <v>46184.02430226852</v>
      </c>
      <c r="B119" s="51">
        <v>46174.0</v>
      </c>
      <c r="C119" s="1" t="s">
        <v>17317</v>
      </c>
      <c r="D119" s="1" t="s">
        <v>1169</v>
      </c>
      <c r="E119" s="1" t="s">
        <v>1165</v>
      </c>
      <c r="F119" s="1" t="s">
        <v>180</v>
      </c>
      <c r="G119" s="1" t="s">
        <v>15822</v>
      </c>
      <c r="H119" s="1" t="s">
        <v>267</v>
      </c>
    </row>
    <row r="120">
      <c r="A120" s="24">
        <v>46184.02430226852</v>
      </c>
      <c r="B120" s="51">
        <v>46174.0</v>
      </c>
      <c r="C120" s="1" t="s">
        <v>17317</v>
      </c>
      <c r="D120" s="1" t="s">
        <v>843</v>
      </c>
      <c r="E120" s="1" t="s">
        <v>1172</v>
      </c>
      <c r="F120" s="1" t="s">
        <v>180</v>
      </c>
      <c r="G120" s="1" t="s">
        <v>15822</v>
      </c>
      <c r="H120" s="1" t="s">
        <v>298</v>
      </c>
    </row>
    <row r="121">
      <c r="A121" s="24">
        <v>46184.02430226852</v>
      </c>
      <c r="B121" s="51">
        <v>46174.0</v>
      </c>
      <c r="C121" s="1" t="s">
        <v>17317</v>
      </c>
      <c r="D121" s="1" t="s">
        <v>1176</v>
      </c>
      <c r="E121" s="1" t="s">
        <v>1177</v>
      </c>
      <c r="F121" s="1" t="s">
        <v>180</v>
      </c>
      <c r="G121" s="1" t="s">
        <v>15822</v>
      </c>
      <c r="H121" s="1" t="s">
        <v>298</v>
      </c>
    </row>
    <row r="122">
      <c r="A122" s="24">
        <v>46184.02430226852</v>
      </c>
      <c r="B122" s="51">
        <v>46174.0</v>
      </c>
      <c r="C122" s="1" t="s">
        <v>17317</v>
      </c>
      <c r="D122" s="1" t="s">
        <v>507</v>
      </c>
      <c r="E122" s="1" t="s">
        <v>1182</v>
      </c>
      <c r="F122" s="1" t="s">
        <v>180</v>
      </c>
      <c r="G122" s="1" t="s">
        <v>15822</v>
      </c>
      <c r="H122" s="1" t="s">
        <v>267</v>
      </c>
    </row>
    <row r="123">
      <c r="A123" s="24">
        <v>46184.02430226852</v>
      </c>
      <c r="B123" s="51">
        <v>46174.0</v>
      </c>
      <c r="C123" s="1" t="s">
        <v>17317</v>
      </c>
      <c r="D123" s="1" t="s">
        <v>1190</v>
      </c>
      <c r="E123" s="1" t="s">
        <v>368</v>
      </c>
      <c r="F123" s="1" t="s">
        <v>180</v>
      </c>
      <c r="G123" s="1" t="s">
        <v>15822</v>
      </c>
      <c r="H123" s="1" t="s">
        <v>376</v>
      </c>
    </row>
    <row r="124">
      <c r="A124" s="24">
        <v>46184.02430226852</v>
      </c>
      <c r="B124" s="51">
        <v>46174.0</v>
      </c>
      <c r="C124" s="1" t="s">
        <v>17317</v>
      </c>
      <c r="D124" s="1" t="s">
        <v>1194</v>
      </c>
      <c r="E124" s="1" t="s">
        <v>380</v>
      </c>
      <c r="F124" s="1" t="s">
        <v>180</v>
      </c>
      <c r="G124" s="1" t="s">
        <v>15822</v>
      </c>
      <c r="H124" s="1" t="s">
        <v>298</v>
      </c>
    </row>
    <row r="125">
      <c r="A125" s="24">
        <v>46184.02430226852</v>
      </c>
      <c r="B125" s="51">
        <v>46174.0</v>
      </c>
      <c r="C125" s="1" t="s">
        <v>17317</v>
      </c>
      <c r="D125" s="1" t="s">
        <v>1198</v>
      </c>
      <c r="E125" s="1" t="s">
        <v>446</v>
      </c>
      <c r="F125" s="1" t="s">
        <v>180</v>
      </c>
      <c r="G125" s="1" t="s">
        <v>15822</v>
      </c>
      <c r="H125" s="1" t="s">
        <v>47</v>
      </c>
    </row>
    <row r="126">
      <c r="A126" s="24">
        <v>46184.02430226852</v>
      </c>
      <c r="B126" s="51">
        <v>46174.0</v>
      </c>
      <c r="C126" s="1" t="s">
        <v>17317</v>
      </c>
      <c r="D126" s="1" t="s">
        <v>17336</v>
      </c>
      <c r="E126" s="1" t="s">
        <v>446</v>
      </c>
      <c r="F126" s="1" t="s">
        <v>180</v>
      </c>
      <c r="G126" s="1" t="s">
        <v>15822</v>
      </c>
      <c r="H126" s="1" t="s">
        <v>47</v>
      </c>
    </row>
    <row r="127">
      <c r="A127" s="24">
        <v>46184.02430226852</v>
      </c>
      <c r="B127" s="51">
        <v>46174.0</v>
      </c>
      <c r="C127" s="1" t="s">
        <v>17317</v>
      </c>
      <c r="D127" s="1" t="s">
        <v>1217</v>
      </c>
      <c r="E127" s="1" t="s">
        <v>1209</v>
      </c>
      <c r="F127" s="1" t="s">
        <v>180</v>
      </c>
      <c r="G127" s="1" t="s">
        <v>15822</v>
      </c>
      <c r="H127" s="1" t="s">
        <v>267</v>
      </c>
    </row>
    <row r="128">
      <c r="A128" s="24">
        <v>46184.02430226852</v>
      </c>
      <c r="B128" s="51">
        <v>46174.0</v>
      </c>
      <c r="C128" s="1" t="s">
        <v>17317</v>
      </c>
      <c r="D128" s="1" t="s">
        <v>1208</v>
      </c>
      <c r="E128" s="1" t="s">
        <v>1209</v>
      </c>
      <c r="F128" s="1" t="s">
        <v>180</v>
      </c>
      <c r="G128" s="1" t="s">
        <v>15822</v>
      </c>
      <c r="H128" s="1" t="s">
        <v>267</v>
      </c>
    </row>
    <row r="129">
      <c r="A129" s="24">
        <v>46184.02430226852</v>
      </c>
      <c r="B129" s="51">
        <v>46174.0</v>
      </c>
      <c r="C129" s="1" t="s">
        <v>17317</v>
      </c>
      <c r="D129" s="1" t="s">
        <v>1220</v>
      </c>
      <c r="E129" s="1" t="s">
        <v>33</v>
      </c>
      <c r="F129" s="1" t="s">
        <v>180</v>
      </c>
      <c r="G129" s="1" t="s">
        <v>15822</v>
      </c>
      <c r="H129" s="1" t="s">
        <v>47</v>
      </c>
    </row>
    <row r="130">
      <c r="A130" s="24">
        <v>46184.02430226852</v>
      </c>
      <c r="B130" s="51">
        <v>46174.0</v>
      </c>
      <c r="C130" s="1" t="s">
        <v>17317</v>
      </c>
      <c r="D130" s="1" t="s">
        <v>31</v>
      </c>
      <c r="E130" s="1" t="s">
        <v>33</v>
      </c>
      <c r="F130" s="1" t="s">
        <v>180</v>
      </c>
      <c r="G130" s="1" t="s">
        <v>15822</v>
      </c>
      <c r="H130" s="1" t="s">
        <v>47</v>
      </c>
    </row>
    <row r="131">
      <c r="A131" s="24">
        <v>46184.02430226852</v>
      </c>
      <c r="B131" s="51">
        <v>46174.0</v>
      </c>
      <c r="C131" s="1" t="s">
        <v>17317</v>
      </c>
      <c r="D131" s="1" t="s">
        <v>1234</v>
      </c>
      <c r="E131" s="1" t="s">
        <v>1235</v>
      </c>
      <c r="F131" s="1" t="s">
        <v>180</v>
      </c>
      <c r="G131" s="1" t="s">
        <v>15822</v>
      </c>
      <c r="H131" s="1" t="s">
        <v>47</v>
      </c>
    </row>
    <row r="132">
      <c r="A132" s="24">
        <v>46184.02430226852</v>
      </c>
      <c r="B132" s="51">
        <v>46174.0</v>
      </c>
      <c r="C132" s="1" t="s">
        <v>17317</v>
      </c>
      <c r="D132" s="1" t="s">
        <v>1050</v>
      </c>
      <c r="E132" s="1" t="s">
        <v>1244</v>
      </c>
      <c r="F132" s="1" t="s">
        <v>180</v>
      </c>
      <c r="G132" s="1" t="s">
        <v>15822</v>
      </c>
      <c r="H132" s="1" t="s">
        <v>141</v>
      </c>
    </row>
    <row r="133">
      <c r="A133" s="24">
        <v>46184.02430226852</v>
      </c>
      <c r="B133" s="51">
        <v>46174.0</v>
      </c>
      <c r="C133" s="1" t="s">
        <v>17317</v>
      </c>
      <c r="D133" s="1" t="s">
        <v>1247</v>
      </c>
      <c r="E133" s="1" t="s">
        <v>1248</v>
      </c>
      <c r="F133" s="1" t="s">
        <v>180</v>
      </c>
      <c r="G133" s="1" t="s">
        <v>15822</v>
      </c>
      <c r="H133" s="1" t="s">
        <v>1249</v>
      </c>
    </row>
    <row r="134">
      <c r="A134" s="24">
        <v>46184.02430226852</v>
      </c>
      <c r="B134" s="51">
        <v>46174.0</v>
      </c>
      <c r="C134" s="1" t="s">
        <v>17317</v>
      </c>
      <c r="D134" s="1" t="s">
        <v>1250</v>
      </c>
      <c r="E134" s="1" t="s">
        <v>1251</v>
      </c>
      <c r="F134" s="1" t="s">
        <v>60</v>
      </c>
      <c r="G134" s="1" t="s">
        <v>15822</v>
      </c>
      <c r="H134" s="1" t="s">
        <v>540</v>
      </c>
    </row>
    <row r="135">
      <c r="A135" s="24">
        <v>46184.02430226852</v>
      </c>
      <c r="B135" s="51">
        <v>46174.0</v>
      </c>
      <c r="C135" s="1" t="s">
        <v>17317</v>
      </c>
      <c r="D135" s="1" t="s">
        <v>1254</v>
      </c>
      <c r="E135" s="1" t="s">
        <v>1255</v>
      </c>
      <c r="F135" s="1" t="s">
        <v>60</v>
      </c>
      <c r="G135" s="1" t="s">
        <v>15822</v>
      </c>
      <c r="H135" s="1" t="s">
        <v>540</v>
      </c>
    </row>
    <row r="136">
      <c r="A136" s="24">
        <v>46184.02430226852</v>
      </c>
      <c r="B136" s="51">
        <v>46174.0</v>
      </c>
      <c r="C136" s="1" t="s">
        <v>17317</v>
      </c>
      <c r="D136" s="1" t="s">
        <v>54</v>
      </c>
      <c r="E136" s="1" t="s">
        <v>1260</v>
      </c>
      <c r="F136" s="1" t="s">
        <v>60</v>
      </c>
      <c r="G136" s="1" t="s">
        <v>15822</v>
      </c>
      <c r="H136" s="1" t="s">
        <v>540</v>
      </c>
    </row>
    <row r="137">
      <c r="A137" s="24">
        <v>46184.02430226852</v>
      </c>
      <c r="B137" s="51">
        <v>46174.0</v>
      </c>
      <c r="C137" s="1" t="s">
        <v>17317</v>
      </c>
      <c r="D137" s="1" t="s">
        <v>1263</v>
      </c>
      <c r="E137" s="1" t="s">
        <v>1264</v>
      </c>
      <c r="F137" s="1" t="s">
        <v>60</v>
      </c>
      <c r="G137" s="1" t="s">
        <v>15822</v>
      </c>
      <c r="H137" s="1" t="s">
        <v>267</v>
      </c>
    </row>
    <row r="138">
      <c r="A138" s="24">
        <v>46184.02430226852</v>
      </c>
      <c r="B138" s="51">
        <v>46174.0</v>
      </c>
      <c r="C138" s="1" t="s">
        <v>17317</v>
      </c>
      <c r="D138" s="1" t="s">
        <v>1271</v>
      </c>
      <c r="E138" s="1" t="s">
        <v>1264</v>
      </c>
      <c r="F138" s="1" t="s">
        <v>60</v>
      </c>
      <c r="G138" s="1" t="s">
        <v>15822</v>
      </c>
      <c r="H138" s="1" t="s">
        <v>47</v>
      </c>
    </row>
    <row r="139">
      <c r="A139" s="24">
        <v>46184.02430226852</v>
      </c>
      <c r="B139" s="51">
        <v>46174.0</v>
      </c>
      <c r="C139" s="1" t="s">
        <v>17317</v>
      </c>
      <c r="D139" s="1" t="s">
        <v>1275</v>
      </c>
      <c r="E139" s="1" t="s">
        <v>1276</v>
      </c>
      <c r="F139" s="1" t="s">
        <v>60</v>
      </c>
      <c r="G139" s="1" t="s">
        <v>15822</v>
      </c>
      <c r="H139" s="1" t="s">
        <v>141</v>
      </c>
    </row>
    <row r="140">
      <c r="A140" s="24">
        <v>46184.02430226852</v>
      </c>
      <c r="B140" s="51">
        <v>46174.0</v>
      </c>
      <c r="C140" s="1" t="s">
        <v>17317</v>
      </c>
      <c r="D140" s="1" t="s">
        <v>1279</v>
      </c>
      <c r="E140" s="1" t="s">
        <v>1281</v>
      </c>
      <c r="F140" s="1" t="s">
        <v>60</v>
      </c>
      <c r="G140" s="1" t="s">
        <v>15822</v>
      </c>
      <c r="H140" s="1" t="s">
        <v>267</v>
      </c>
    </row>
    <row r="141">
      <c r="A141" s="24">
        <v>46184.02430226852</v>
      </c>
      <c r="B141" s="51">
        <v>46174.0</v>
      </c>
      <c r="C141" s="1" t="s">
        <v>17317</v>
      </c>
      <c r="D141" s="1" t="s">
        <v>1292</v>
      </c>
      <c r="E141" s="1" t="s">
        <v>1293</v>
      </c>
      <c r="F141" s="1" t="s">
        <v>60</v>
      </c>
      <c r="G141" s="1" t="s">
        <v>15822</v>
      </c>
      <c r="H141" s="1" t="s">
        <v>141</v>
      </c>
    </row>
    <row r="142">
      <c r="A142" s="24">
        <v>46184.02430226852</v>
      </c>
      <c r="B142" s="51">
        <v>46174.0</v>
      </c>
      <c r="C142" s="1" t="s">
        <v>17317</v>
      </c>
      <c r="D142" s="1" t="s">
        <v>921</v>
      </c>
      <c r="E142" s="1" t="s">
        <v>1295</v>
      </c>
      <c r="F142" s="1" t="s">
        <v>60</v>
      </c>
      <c r="G142" s="1" t="s">
        <v>15822</v>
      </c>
      <c r="H142" s="1" t="s">
        <v>540</v>
      </c>
    </row>
    <row r="143">
      <c r="A143" s="24">
        <v>46184.02430226852</v>
      </c>
      <c r="B143" s="51">
        <v>46174.0</v>
      </c>
      <c r="C143" s="1" t="s">
        <v>17317</v>
      </c>
      <c r="D143" s="1" t="s">
        <v>1299</v>
      </c>
      <c r="E143" s="1" t="s">
        <v>1301</v>
      </c>
      <c r="F143" s="1" t="s">
        <v>180</v>
      </c>
      <c r="G143" s="1" t="s">
        <v>15822</v>
      </c>
      <c r="H143" s="1" t="s">
        <v>227</v>
      </c>
    </row>
    <row r="144">
      <c r="A144" s="24">
        <v>46184.02430226852</v>
      </c>
      <c r="B144" s="51">
        <v>46174.0</v>
      </c>
      <c r="C144" s="1" t="s">
        <v>17317</v>
      </c>
      <c r="D144" s="1" t="s">
        <v>1306</v>
      </c>
      <c r="E144" s="1" t="s">
        <v>1307</v>
      </c>
      <c r="F144" s="1" t="s">
        <v>60</v>
      </c>
      <c r="G144" s="1" t="s">
        <v>15822</v>
      </c>
      <c r="H144" s="1" t="s">
        <v>141</v>
      </c>
    </row>
    <row r="145">
      <c r="A145" s="24">
        <v>46184.02430226852</v>
      </c>
      <c r="B145" s="51">
        <v>46174.0</v>
      </c>
      <c r="C145" s="1" t="s">
        <v>17317</v>
      </c>
      <c r="D145" s="1" t="s">
        <v>1310</v>
      </c>
      <c r="E145" s="1" t="s">
        <v>1311</v>
      </c>
      <c r="F145" s="1" t="s">
        <v>180</v>
      </c>
      <c r="G145" s="1" t="s">
        <v>15822</v>
      </c>
      <c r="H145" s="1" t="s">
        <v>47</v>
      </c>
    </row>
    <row r="146">
      <c r="A146" s="24">
        <v>46184.02430226852</v>
      </c>
      <c r="B146" s="51">
        <v>46174.0</v>
      </c>
      <c r="C146" s="1" t="s">
        <v>17317</v>
      </c>
      <c r="D146" s="1" t="s">
        <v>1321</v>
      </c>
      <c r="E146" s="1" t="s">
        <v>1323</v>
      </c>
      <c r="F146" s="1" t="s">
        <v>180</v>
      </c>
      <c r="G146" s="1" t="s">
        <v>15822</v>
      </c>
      <c r="H146" s="1" t="s">
        <v>540</v>
      </c>
    </row>
    <row r="147">
      <c r="A147" s="24">
        <v>46184.02430226852</v>
      </c>
      <c r="B147" s="51">
        <v>46174.0</v>
      </c>
      <c r="C147" s="1" t="s">
        <v>17317</v>
      </c>
      <c r="D147" s="1" t="s">
        <v>1327</v>
      </c>
      <c r="E147" s="1" t="s">
        <v>1328</v>
      </c>
      <c r="F147" s="1" t="s">
        <v>180</v>
      </c>
      <c r="G147" s="1" t="s">
        <v>15822</v>
      </c>
      <c r="H147" s="1" t="s">
        <v>47</v>
      </c>
    </row>
    <row r="148">
      <c r="A148" s="24">
        <v>46184.02430226852</v>
      </c>
      <c r="B148" s="51">
        <v>46174.0</v>
      </c>
      <c r="C148" s="1" t="s">
        <v>17317</v>
      </c>
      <c r="D148" s="1" t="s">
        <v>1339</v>
      </c>
      <c r="E148" s="1" t="s">
        <v>1340</v>
      </c>
      <c r="F148" s="1" t="s">
        <v>60</v>
      </c>
      <c r="G148" s="1" t="s">
        <v>15822</v>
      </c>
      <c r="H148" s="1" t="s">
        <v>47</v>
      </c>
    </row>
    <row r="149">
      <c r="A149" s="24">
        <v>46184.02430226852</v>
      </c>
      <c r="B149" s="51">
        <v>46174.0</v>
      </c>
      <c r="C149" s="1" t="s">
        <v>17317</v>
      </c>
      <c r="D149" s="1" t="s">
        <v>1354</v>
      </c>
      <c r="E149" s="1" t="s">
        <v>1340</v>
      </c>
      <c r="F149" s="1" t="s">
        <v>60</v>
      </c>
      <c r="G149" s="1" t="s">
        <v>15822</v>
      </c>
      <c r="H149" s="1" t="s">
        <v>47</v>
      </c>
    </row>
    <row r="150">
      <c r="A150" s="24">
        <v>46184.02430226852</v>
      </c>
      <c r="B150" s="51">
        <v>46174.0</v>
      </c>
      <c r="C150" s="1" t="s">
        <v>17317</v>
      </c>
      <c r="D150" s="1" t="s">
        <v>1348</v>
      </c>
      <c r="E150" s="1" t="s">
        <v>1340</v>
      </c>
      <c r="F150" s="1" t="s">
        <v>60</v>
      </c>
      <c r="G150" s="1" t="s">
        <v>15822</v>
      </c>
      <c r="H150" s="1" t="s">
        <v>47</v>
      </c>
    </row>
    <row r="151">
      <c r="A151" s="24">
        <v>46184.02430226852</v>
      </c>
      <c r="B151" s="51">
        <v>46174.0</v>
      </c>
      <c r="C151" s="1" t="s">
        <v>17317</v>
      </c>
      <c r="D151" s="1" t="s">
        <v>1364</v>
      </c>
      <c r="E151" s="1" t="s">
        <v>1365</v>
      </c>
      <c r="F151" s="1" t="s">
        <v>60</v>
      </c>
      <c r="G151" s="1" t="s">
        <v>15822</v>
      </c>
      <c r="H151" s="1" t="s">
        <v>540</v>
      </c>
    </row>
    <row r="152">
      <c r="A152" s="24">
        <v>46184.02430226852</v>
      </c>
      <c r="B152" s="51">
        <v>46174.0</v>
      </c>
      <c r="C152" s="1" t="s">
        <v>17317</v>
      </c>
      <c r="D152" s="1" t="s">
        <v>1372</v>
      </c>
      <c r="E152" s="1" t="s">
        <v>1374</v>
      </c>
      <c r="F152" s="1" t="s">
        <v>60</v>
      </c>
      <c r="G152" s="1" t="s">
        <v>15822</v>
      </c>
      <c r="H152" s="1" t="s">
        <v>47</v>
      </c>
    </row>
    <row r="153">
      <c r="A153" s="24">
        <v>46184.02430226852</v>
      </c>
      <c r="B153" s="51">
        <v>46174.0</v>
      </c>
      <c r="C153" s="1" t="s">
        <v>17317</v>
      </c>
      <c r="D153" s="1" t="s">
        <v>1381</v>
      </c>
      <c r="E153" s="1" t="s">
        <v>1383</v>
      </c>
      <c r="F153" s="1" t="s">
        <v>180</v>
      </c>
      <c r="G153" s="1" t="s">
        <v>15822</v>
      </c>
      <c r="H153" s="1" t="s">
        <v>47</v>
      </c>
    </row>
    <row r="154">
      <c r="A154" s="24">
        <v>46184.02430226852</v>
      </c>
      <c r="B154" s="51">
        <v>46174.0</v>
      </c>
      <c r="C154" s="1" t="s">
        <v>17317</v>
      </c>
      <c r="D154" s="1" t="s">
        <v>1389</v>
      </c>
      <c r="E154" s="1" t="s">
        <v>1391</v>
      </c>
      <c r="F154" s="1" t="s">
        <v>60</v>
      </c>
      <c r="G154" s="1" t="s">
        <v>15822</v>
      </c>
      <c r="H154" s="1" t="s">
        <v>713</v>
      </c>
    </row>
    <row r="155">
      <c r="A155" s="24">
        <v>46184.02430226852</v>
      </c>
      <c r="B155" s="51">
        <v>46174.0</v>
      </c>
      <c r="C155" s="1" t="s">
        <v>17317</v>
      </c>
      <c r="D155" s="1" t="s">
        <v>1402</v>
      </c>
      <c r="E155" s="1" t="s">
        <v>1404</v>
      </c>
      <c r="F155" s="1" t="s">
        <v>60</v>
      </c>
      <c r="G155" s="1" t="s">
        <v>15822</v>
      </c>
      <c r="H155" s="1" t="s">
        <v>163</v>
      </c>
    </row>
    <row r="156">
      <c r="A156" s="24">
        <v>46184.02430226852</v>
      </c>
      <c r="B156" s="51">
        <v>46174.0</v>
      </c>
      <c r="C156" s="1" t="s">
        <v>17317</v>
      </c>
      <c r="D156" s="1" t="s">
        <v>1413</v>
      </c>
      <c r="E156" s="1" t="s">
        <v>1410</v>
      </c>
      <c r="F156" s="1" t="s">
        <v>60</v>
      </c>
      <c r="G156" s="1" t="s">
        <v>15822</v>
      </c>
      <c r="H156" s="1" t="s">
        <v>95</v>
      </c>
    </row>
    <row r="157">
      <c r="A157" s="24">
        <v>46184.02430226852</v>
      </c>
      <c r="B157" s="51">
        <v>46174.0</v>
      </c>
      <c r="C157" s="1" t="s">
        <v>17317</v>
      </c>
      <c r="D157" s="1" t="s">
        <v>1420</v>
      </c>
      <c r="E157" s="1" t="s">
        <v>1421</v>
      </c>
      <c r="F157" s="1" t="s">
        <v>180</v>
      </c>
      <c r="G157" s="1" t="s">
        <v>15822</v>
      </c>
      <c r="H157" s="1" t="s">
        <v>298</v>
      </c>
    </row>
    <row r="158">
      <c r="A158" s="24">
        <v>46184.02430226852</v>
      </c>
      <c r="B158" s="51">
        <v>46174.0</v>
      </c>
      <c r="C158" s="1" t="s">
        <v>17317</v>
      </c>
      <c r="D158" s="1" t="s">
        <v>1426</v>
      </c>
      <c r="E158" s="1" t="s">
        <v>1428</v>
      </c>
      <c r="F158" s="1" t="s">
        <v>60</v>
      </c>
      <c r="G158" s="1" t="s">
        <v>15822</v>
      </c>
      <c r="H158" s="1" t="s">
        <v>298</v>
      </c>
    </row>
    <row r="159">
      <c r="A159" s="24">
        <v>46184.02430226852</v>
      </c>
      <c r="B159" s="51">
        <v>46174.0</v>
      </c>
      <c r="C159" s="1" t="s">
        <v>17317</v>
      </c>
      <c r="D159" s="1" t="s">
        <v>1432</v>
      </c>
      <c r="E159" s="1" t="s">
        <v>1434</v>
      </c>
      <c r="F159" s="1" t="s">
        <v>180</v>
      </c>
      <c r="G159" s="1" t="s">
        <v>15822</v>
      </c>
      <c r="H159" s="1" t="s">
        <v>900</v>
      </c>
    </row>
    <row r="160">
      <c r="A160" s="24">
        <v>46184.02430226852</v>
      </c>
      <c r="B160" s="51">
        <v>46174.0</v>
      </c>
      <c r="C160" s="1" t="s">
        <v>17317</v>
      </c>
      <c r="D160" s="1" t="s">
        <v>1439</v>
      </c>
      <c r="E160" s="1" t="s">
        <v>1440</v>
      </c>
      <c r="F160" s="1" t="s">
        <v>180</v>
      </c>
      <c r="G160" s="1" t="s">
        <v>15822</v>
      </c>
      <c r="H160" s="1" t="s">
        <v>900</v>
      </c>
    </row>
    <row r="161">
      <c r="A161" s="24">
        <v>46184.02430226852</v>
      </c>
      <c r="B161" s="51">
        <v>46174.0</v>
      </c>
      <c r="C161" s="1" t="s">
        <v>17317</v>
      </c>
      <c r="D161" s="1" t="s">
        <v>1443</v>
      </c>
      <c r="E161" s="1" t="s">
        <v>521</v>
      </c>
      <c r="F161" s="1" t="s">
        <v>180</v>
      </c>
      <c r="G161" s="1" t="s">
        <v>15822</v>
      </c>
      <c r="H161" s="1" t="s">
        <v>227</v>
      </c>
    </row>
    <row r="162">
      <c r="A162" s="24">
        <v>46184.02430226852</v>
      </c>
      <c r="B162" s="51">
        <v>46174.0</v>
      </c>
      <c r="C162" s="1" t="s">
        <v>17317</v>
      </c>
      <c r="D162" s="1" t="s">
        <v>1449</v>
      </c>
      <c r="E162" s="1" t="s">
        <v>1450</v>
      </c>
      <c r="F162" s="1" t="s">
        <v>60</v>
      </c>
      <c r="G162" s="1" t="s">
        <v>15822</v>
      </c>
      <c r="H162" s="1" t="s">
        <v>267</v>
      </c>
    </row>
    <row r="163">
      <c r="A163" s="24">
        <v>46184.02430226852</v>
      </c>
      <c r="B163" s="51">
        <v>46174.0</v>
      </c>
      <c r="C163" s="1" t="s">
        <v>17317</v>
      </c>
      <c r="D163" s="1" t="s">
        <v>1454</v>
      </c>
      <c r="E163" s="1" t="s">
        <v>90</v>
      </c>
      <c r="F163" s="1" t="s">
        <v>60</v>
      </c>
      <c r="G163" s="1" t="s">
        <v>15822</v>
      </c>
      <c r="H163" s="1" t="s">
        <v>95</v>
      </c>
    </row>
    <row r="164">
      <c r="A164" s="24">
        <v>46184.02430226852</v>
      </c>
      <c r="B164" s="51">
        <v>46174.0</v>
      </c>
      <c r="C164" s="1" t="s">
        <v>17317</v>
      </c>
      <c r="D164" s="1" t="s">
        <v>1463</v>
      </c>
      <c r="E164" s="1" t="s">
        <v>1466</v>
      </c>
      <c r="F164" s="1" t="s">
        <v>180</v>
      </c>
      <c r="G164" s="1" t="s">
        <v>15822</v>
      </c>
      <c r="H164" s="1" t="s">
        <v>47</v>
      </c>
    </row>
    <row r="165">
      <c r="A165" s="24">
        <v>46184.02430226852</v>
      </c>
      <c r="B165" s="51">
        <v>46174.0</v>
      </c>
      <c r="C165" s="1" t="s">
        <v>17317</v>
      </c>
      <c r="D165" s="1" t="s">
        <v>1471</v>
      </c>
      <c r="E165" s="1" t="s">
        <v>536</v>
      </c>
      <c r="F165" s="1" t="s">
        <v>60</v>
      </c>
      <c r="G165" s="1" t="s">
        <v>15822</v>
      </c>
      <c r="H165" s="1" t="s">
        <v>530</v>
      </c>
    </row>
    <row r="166">
      <c r="A166" s="24">
        <v>46184.02430226852</v>
      </c>
      <c r="B166" s="51">
        <v>46174.0</v>
      </c>
      <c r="C166" s="1" t="s">
        <v>17317</v>
      </c>
      <c r="D166" s="1" t="s">
        <v>1479</v>
      </c>
      <c r="E166" s="1" t="s">
        <v>1480</v>
      </c>
      <c r="F166" s="1" t="s">
        <v>60</v>
      </c>
      <c r="G166" s="1" t="s">
        <v>15822</v>
      </c>
      <c r="H166" s="1" t="s">
        <v>184</v>
      </c>
    </row>
    <row r="167">
      <c r="A167" s="24">
        <v>46184.02430226852</v>
      </c>
      <c r="B167" s="51">
        <v>46174.0</v>
      </c>
      <c r="C167" s="1" t="s">
        <v>17317</v>
      </c>
      <c r="D167" s="1" t="s">
        <v>1484</v>
      </c>
      <c r="E167" s="1" t="s">
        <v>1486</v>
      </c>
      <c r="F167" s="1" t="s">
        <v>60</v>
      </c>
      <c r="G167" s="1" t="s">
        <v>15822</v>
      </c>
      <c r="H167" s="1" t="s">
        <v>900</v>
      </c>
    </row>
    <row r="168">
      <c r="A168" s="24">
        <v>46184.02430226852</v>
      </c>
      <c r="B168" s="51">
        <v>46174.0</v>
      </c>
      <c r="C168" s="1" t="s">
        <v>17317</v>
      </c>
      <c r="D168" s="1" t="s">
        <v>1490</v>
      </c>
      <c r="E168" s="1" t="s">
        <v>1491</v>
      </c>
      <c r="F168" s="1" t="s">
        <v>180</v>
      </c>
      <c r="G168" s="1" t="s">
        <v>15822</v>
      </c>
      <c r="H168" s="1" t="s">
        <v>530</v>
      </c>
    </row>
    <row r="169">
      <c r="A169" s="24">
        <v>46184.02430226852</v>
      </c>
      <c r="B169" s="51">
        <v>46174.0</v>
      </c>
      <c r="C169" s="1" t="s">
        <v>17317</v>
      </c>
      <c r="D169" s="1" t="s">
        <v>1496</v>
      </c>
      <c r="E169" s="1" t="s">
        <v>1499</v>
      </c>
      <c r="F169" s="1" t="s">
        <v>60</v>
      </c>
      <c r="G169" s="1" t="s">
        <v>15822</v>
      </c>
      <c r="H169" s="1" t="s">
        <v>540</v>
      </c>
    </row>
    <row r="170">
      <c r="A170" s="24">
        <v>46184.02430226852</v>
      </c>
      <c r="B170" s="51">
        <v>46174.0</v>
      </c>
      <c r="C170" s="1" t="s">
        <v>17317</v>
      </c>
      <c r="D170" s="1" t="s">
        <v>1504</v>
      </c>
      <c r="E170" s="1" t="s">
        <v>1506</v>
      </c>
      <c r="F170" s="1" t="s">
        <v>60</v>
      </c>
      <c r="G170" s="1" t="s">
        <v>15822</v>
      </c>
      <c r="H170" s="1" t="s">
        <v>1511</v>
      </c>
    </row>
    <row r="171">
      <c r="A171" s="24">
        <v>46184.02430226852</v>
      </c>
      <c r="B171" s="51">
        <v>46174.0</v>
      </c>
      <c r="C171" s="1" t="s">
        <v>17317</v>
      </c>
      <c r="D171" s="1" t="s">
        <v>1512</v>
      </c>
      <c r="E171" s="1" t="s">
        <v>1506</v>
      </c>
      <c r="F171" s="1" t="s">
        <v>60</v>
      </c>
      <c r="G171" s="1" t="s">
        <v>15822</v>
      </c>
      <c r="H171" s="1" t="s">
        <v>1516</v>
      </c>
    </row>
    <row r="172">
      <c r="A172" s="24">
        <v>46184.02430226852</v>
      </c>
      <c r="B172" s="51">
        <v>46174.0</v>
      </c>
      <c r="C172" s="1" t="s">
        <v>17317</v>
      </c>
      <c r="D172" s="1" t="s">
        <v>1517</v>
      </c>
      <c r="E172" s="1" t="s">
        <v>1518</v>
      </c>
      <c r="F172" s="1" t="s">
        <v>180</v>
      </c>
      <c r="G172" s="1" t="s">
        <v>15822</v>
      </c>
      <c r="H172" s="1" t="s">
        <v>267</v>
      </c>
    </row>
    <row r="173">
      <c r="A173" s="24">
        <v>46184.02430226852</v>
      </c>
      <c r="B173" s="51">
        <v>46174.0</v>
      </c>
      <c r="C173" s="1" t="s">
        <v>17317</v>
      </c>
      <c r="D173" s="1" t="s">
        <v>1522</v>
      </c>
      <c r="E173" s="1" t="s">
        <v>1524</v>
      </c>
      <c r="F173" s="1" t="s">
        <v>60</v>
      </c>
      <c r="G173" s="1" t="s">
        <v>15822</v>
      </c>
      <c r="H173" s="1" t="s">
        <v>298</v>
      </c>
    </row>
    <row r="174">
      <c r="A174" s="24">
        <v>46184.02430226852</v>
      </c>
      <c r="B174" s="51">
        <v>46174.0</v>
      </c>
      <c r="C174" s="1" t="s">
        <v>17317</v>
      </c>
      <c r="D174" s="1" t="s">
        <v>102</v>
      </c>
      <c r="E174" s="1" t="s">
        <v>105</v>
      </c>
      <c r="F174" s="1" t="s">
        <v>180</v>
      </c>
      <c r="G174" s="1" t="s">
        <v>15822</v>
      </c>
      <c r="H174" s="1" t="s">
        <v>47</v>
      </c>
    </row>
    <row r="175">
      <c r="A175" s="24">
        <v>46184.02430226852</v>
      </c>
      <c r="B175" s="51">
        <v>46174.0</v>
      </c>
      <c r="C175" s="1" t="s">
        <v>17317</v>
      </c>
      <c r="D175" s="1" t="s">
        <v>1536</v>
      </c>
      <c r="E175" s="1" t="s">
        <v>1537</v>
      </c>
      <c r="F175" s="1" t="s">
        <v>60</v>
      </c>
      <c r="G175" s="1" t="s">
        <v>15822</v>
      </c>
      <c r="H175" s="1" t="s">
        <v>1540</v>
      </c>
    </row>
    <row r="176">
      <c r="A176" s="24">
        <v>46184.02430226852</v>
      </c>
      <c r="B176" s="51">
        <v>46174.0</v>
      </c>
      <c r="C176" s="1" t="s">
        <v>17317</v>
      </c>
      <c r="D176" s="1" t="s">
        <v>1541</v>
      </c>
      <c r="E176" s="1" t="s">
        <v>1542</v>
      </c>
      <c r="F176" s="1" t="s">
        <v>180</v>
      </c>
      <c r="G176" s="1" t="s">
        <v>15822</v>
      </c>
      <c r="H176" s="1" t="s">
        <v>47</v>
      </c>
    </row>
    <row r="177">
      <c r="A177" s="24">
        <v>46184.02430226852</v>
      </c>
      <c r="B177" s="51">
        <v>46174.0</v>
      </c>
      <c r="C177" s="1" t="s">
        <v>17317</v>
      </c>
      <c r="D177" s="1" t="s">
        <v>17355</v>
      </c>
      <c r="E177" s="1" t="s">
        <v>17356</v>
      </c>
      <c r="F177" s="1" t="s">
        <v>60</v>
      </c>
      <c r="G177" s="1" t="s">
        <v>15822</v>
      </c>
      <c r="H177" s="1" t="s">
        <v>381</v>
      </c>
    </row>
    <row r="178">
      <c r="A178" s="24">
        <v>46184.02430226852</v>
      </c>
      <c r="B178" s="51">
        <v>46174.0</v>
      </c>
      <c r="C178" s="1" t="s">
        <v>17317</v>
      </c>
      <c r="D178" s="1" t="s">
        <v>17357</v>
      </c>
      <c r="E178" s="1" t="s">
        <v>57</v>
      </c>
      <c r="F178" s="1" t="s">
        <v>60</v>
      </c>
      <c r="G178" s="1" t="s">
        <v>15822</v>
      </c>
      <c r="H178" s="1" t="s">
        <v>47</v>
      </c>
    </row>
    <row r="179">
      <c r="A179" s="24">
        <v>46184.02430226852</v>
      </c>
      <c r="B179" s="51">
        <v>46174.0</v>
      </c>
      <c r="C179" s="1" t="s">
        <v>17317</v>
      </c>
      <c r="D179" s="1" t="s">
        <v>1545</v>
      </c>
      <c r="E179" s="1" t="s">
        <v>1546</v>
      </c>
      <c r="F179" s="1" t="s">
        <v>180</v>
      </c>
      <c r="G179" s="1" t="s">
        <v>15822</v>
      </c>
      <c r="H179" s="1" t="s">
        <v>1249</v>
      </c>
    </row>
    <row r="180">
      <c r="A180" s="24">
        <v>46184.02430226852</v>
      </c>
      <c r="B180" s="51">
        <v>46174.0</v>
      </c>
      <c r="C180" s="1" t="s">
        <v>17317</v>
      </c>
      <c r="D180" s="1" t="s">
        <v>1549</v>
      </c>
      <c r="E180" s="1" t="s">
        <v>1551</v>
      </c>
      <c r="F180" s="1" t="s">
        <v>60</v>
      </c>
      <c r="G180" s="1" t="s">
        <v>15822</v>
      </c>
      <c r="H180" s="1" t="s">
        <v>1516</v>
      </c>
    </row>
    <row r="181">
      <c r="A181" s="24">
        <v>46184.02430226852</v>
      </c>
      <c r="B181" s="51">
        <v>46174.0</v>
      </c>
      <c r="C181" s="1" t="s">
        <v>17317</v>
      </c>
      <c r="D181" s="1" t="s">
        <v>1558</v>
      </c>
      <c r="E181" s="1" t="s">
        <v>1556</v>
      </c>
      <c r="F181" s="1" t="s">
        <v>180</v>
      </c>
      <c r="G181" s="1" t="s">
        <v>15822</v>
      </c>
      <c r="H181" s="1" t="s">
        <v>298</v>
      </c>
    </row>
    <row r="182">
      <c r="A182" s="24">
        <v>46184.02430226852</v>
      </c>
      <c r="B182" s="51">
        <v>46174.0</v>
      </c>
      <c r="C182" s="1" t="s">
        <v>17317</v>
      </c>
      <c r="D182" s="1" t="s">
        <v>1555</v>
      </c>
      <c r="E182" s="1" t="s">
        <v>1556</v>
      </c>
      <c r="F182" s="1" t="s">
        <v>180</v>
      </c>
      <c r="G182" s="1" t="s">
        <v>15822</v>
      </c>
      <c r="H182" s="1" t="s">
        <v>298</v>
      </c>
    </row>
    <row r="183">
      <c r="A183" s="24">
        <v>46184.02430226852</v>
      </c>
      <c r="B183" s="51">
        <v>46174.0</v>
      </c>
      <c r="C183" s="1" t="s">
        <v>17317</v>
      </c>
      <c r="D183" s="1" t="s">
        <v>1563</v>
      </c>
      <c r="E183" s="1" t="s">
        <v>1566</v>
      </c>
      <c r="F183" s="1" t="s">
        <v>180</v>
      </c>
      <c r="G183" s="1" t="s">
        <v>15822</v>
      </c>
      <c r="H183" s="1" t="s">
        <v>267</v>
      </c>
    </row>
    <row r="184">
      <c r="A184" s="24">
        <v>46184.02430226852</v>
      </c>
      <c r="B184" s="51">
        <v>46174.0</v>
      </c>
      <c r="C184" s="1" t="s">
        <v>17317</v>
      </c>
      <c r="D184" s="1" t="s">
        <v>1586</v>
      </c>
      <c r="E184" s="1" t="s">
        <v>1588</v>
      </c>
      <c r="F184" s="1" t="s">
        <v>180</v>
      </c>
      <c r="G184" s="1" t="s">
        <v>15822</v>
      </c>
      <c r="H184" s="1" t="s">
        <v>298</v>
      </c>
    </row>
    <row r="185">
      <c r="A185" s="24">
        <v>46184.02430226852</v>
      </c>
      <c r="B185" s="51">
        <v>46174.0</v>
      </c>
      <c r="C185" s="1" t="s">
        <v>17317</v>
      </c>
      <c r="D185" s="1" t="s">
        <v>1592</v>
      </c>
      <c r="E185" s="1" t="s">
        <v>1593</v>
      </c>
      <c r="F185" s="1" t="s">
        <v>180</v>
      </c>
      <c r="G185" s="1" t="s">
        <v>15822</v>
      </c>
      <c r="H185" s="1" t="s">
        <v>47</v>
      </c>
    </row>
    <row r="186">
      <c r="A186" s="24">
        <v>46184.02430226852</v>
      </c>
      <c r="B186" s="51">
        <v>46174.0</v>
      </c>
      <c r="C186" s="1" t="s">
        <v>17317</v>
      </c>
      <c r="D186" s="1" t="s">
        <v>1600</v>
      </c>
      <c r="E186" s="1" t="s">
        <v>1601</v>
      </c>
      <c r="F186" s="1" t="s">
        <v>180</v>
      </c>
      <c r="G186" s="1" t="s">
        <v>15822</v>
      </c>
      <c r="H186" s="1" t="s">
        <v>1573</v>
      </c>
    </row>
    <row r="187">
      <c r="A187" s="24">
        <v>46184.02430226852</v>
      </c>
      <c r="B187" s="51">
        <v>46174.0</v>
      </c>
      <c r="C187" s="1" t="s">
        <v>17317</v>
      </c>
      <c r="D187" s="1" t="s">
        <v>1608</v>
      </c>
      <c r="E187" s="1" t="s">
        <v>402</v>
      </c>
      <c r="F187" s="1" t="s">
        <v>180</v>
      </c>
      <c r="G187" s="1" t="s">
        <v>15822</v>
      </c>
      <c r="H187" s="1" t="s">
        <v>163</v>
      </c>
    </row>
    <row r="188">
      <c r="A188" s="24">
        <v>46184.02430226852</v>
      </c>
      <c r="B188" s="51">
        <v>46174.0</v>
      </c>
      <c r="C188" s="1" t="s">
        <v>17317</v>
      </c>
      <c r="D188" s="1" t="s">
        <v>1621</v>
      </c>
      <c r="E188" s="1" t="s">
        <v>1622</v>
      </c>
      <c r="F188" s="1" t="s">
        <v>180</v>
      </c>
      <c r="G188" s="1" t="s">
        <v>15822</v>
      </c>
      <c r="H188" s="1" t="s">
        <v>540</v>
      </c>
    </row>
    <row r="189">
      <c r="A189" s="24">
        <v>46184.02430226852</v>
      </c>
      <c r="B189" s="51">
        <v>46174.0</v>
      </c>
      <c r="C189" s="1" t="s">
        <v>17317</v>
      </c>
      <c r="D189" s="1" t="s">
        <v>1627</v>
      </c>
      <c r="E189" s="1" t="s">
        <v>1629</v>
      </c>
      <c r="F189" s="1" t="s">
        <v>180</v>
      </c>
      <c r="G189" s="1" t="s">
        <v>15822</v>
      </c>
      <c r="H189" s="1" t="s">
        <v>1633</v>
      </c>
    </row>
    <row r="190">
      <c r="A190" s="24">
        <v>46184.02430226852</v>
      </c>
      <c r="B190" s="51">
        <v>46174.0</v>
      </c>
      <c r="C190" s="1" t="s">
        <v>17317</v>
      </c>
      <c r="D190" s="1" t="s">
        <v>1639</v>
      </c>
      <c r="E190" s="1" t="s">
        <v>1640</v>
      </c>
      <c r="F190" s="1" t="s">
        <v>180</v>
      </c>
      <c r="G190" s="1" t="s">
        <v>15822</v>
      </c>
      <c r="H190" s="1" t="s">
        <v>163</v>
      </c>
    </row>
    <row r="191">
      <c r="A191" s="24">
        <v>46184.02430226852</v>
      </c>
      <c r="B191" s="51">
        <v>46174.0</v>
      </c>
      <c r="C191" s="1" t="s">
        <v>17317</v>
      </c>
      <c r="D191" s="1" t="s">
        <v>1649</v>
      </c>
      <c r="E191" s="1" t="s">
        <v>1651</v>
      </c>
      <c r="F191" s="1" t="s">
        <v>180</v>
      </c>
      <c r="G191" s="1" t="s">
        <v>15822</v>
      </c>
      <c r="H191" s="1" t="s">
        <v>900</v>
      </c>
    </row>
    <row r="192">
      <c r="A192" s="24">
        <v>46184.02430226852</v>
      </c>
      <c r="B192" s="51">
        <v>46174.0</v>
      </c>
      <c r="C192" s="1" t="s">
        <v>17317</v>
      </c>
      <c r="D192" s="1" t="s">
        <v>1653</v>
      </c>
      <c r="E192" s="1" t="s">
        <v>1654</v>
      </c>
      <c r="F192" s="1" t="s">
        <v>60</v>
      </c>
      <c r="G192" s="1" t="s">
        <v>15822</v>
      </c>
      <c r="H192" s="1" t="s">
        <v>163</v>
      </c>
    </row>
    <row r="193">
      <c r="A193" s="24">
        <v>46184.02430226852</v>
      </c>
      <c r="B193" s="51">
        <v>46174.0</v>
      </c>
      <c r="C193" s="1" t="s">
        <v>17317</v>
      </c>
      <c r="D193" s="1" t="s">
        <v>1657</v>
      </c>
      <c r="E193" s="1" t="s">
        <v>1658</v>
      </c>
      <c r="F193" s="1" t="s">
        <v>180</v>
      </c>
      <c r="G193" s="1" t="s">
        <v>15822</v>
      </c>
      <c r="H193" s="1" t="s">
        <v>95</v>
      </c>
    </row>
    <row r="194">
      <c r="A194" s="24">
        <v>46184.02430226852</v>
      </c>
      <c r="B194" s="51">
        <v>46174.0</v>
      </c>
      <c r="C194" s="1" t="s">
        <v>17317</v>
      </c>
      <c r="D194" s="1" t="s">
        <v>1661</v>
      </c>
      <c r="E194" s="1" t="s">
        <v>1662</v>
      </c>
      <c r="F194" s="1" t="s">
        <v>180</v>
      </c>
      <c r="G194" s="1" t="s">
        <v>15822</v>
      </c>
      <c r="H194" s="1" t="s">
        <v>298</v>
      </c>
    </row>
    <row r="195">
      <c r="A195" s="24">
        <v>46184.02430226852</v>
      </c>
      <c r="B195" s="51">
        <v>46174.0</v>
      </c>
      <c r="C195" s="1" t="s">
        <v>17317</v>
      </c>
      <c r="D195" s="1" t="s">
        <v>1667</v>
      </c>
      <c r="E195" s="1" t="s">
        <v>1668</v>
      </c>
      <c r="F195" s="1" t="s">
        <v>180</v>
      </c>
      <c r="G195" s="1" t="s">
        <v>15822</v>
      </c>
      <c r="H195" s="1" t="s">
        <v>163</v>
      </c>
    </row>
    <row r="196">
      <c r="A196" s="24">
        <v>46184.02430226852</v>
      </c>
      <c r="B196" s="51">
        <v>46174.0</v>
      </c>
      <c r="C196" s="1" t="s">
        <v>17317</v>
      </c>
      <c r="D196" s="1" t="s">
        <v>1672</v>
      </c>
      <c r="E196" s="1" t="s">
        <v>1674</v>
      </c>
      <c r="F196" s="1" t="s">
        <v>180</v>
      </c>
      <c r="G196" s="1" t="s">
        <v>15822</v>
      </c>
      <c r="H196" s="1" t="s">
        <v>163</v>
      </c>
    </row>
    <row r="197">
      <c r="A197" s="24">
        <v>46184.02430226852</v>
      </c>
      <c r="B197" s="51">
        <v>46174.0</v>
      </c>
      <c r="C197" s="1" t="s">
        <v>17317</v>
      </c>
      <c r="D197" s="1" t="s">
        <v>1678</v>
      </c>
      <c r="E197" s="1" t="s">
        <v>1679</v>
      </c>
      <c r="F197" s="1" t="s">
        <v>180</v>
      </c>
      <c r="G197" s="1" t="s">
        <v>15822</v>
      </c>
      <c r="H197" s="1" t="s">
        <v>47</v>
      </c>
    </row>
    <row r="198">
      <c r="A198" s="24">
        <v>46184.02430226852</v>
      </c>
      <c r="B198" s="51">
        <v>46174.0</v>
      </c>
      <c r="C198" s="1" t="s">
        <v>17317</v>
      </c>
      <c r="D198" s="1" t="s">
        <v>1683</v>
      </c>
      <c r="E198" s="1" t="s">
        <v>1684</v>
      </c>
      <c r="F198" s="1" t="s">
        <v>60</v>
      </c>
      <c r="G198" s="1" t="s">
        <v>15822</v>
      </c>
      <c r="H198" s="1" t="s">
        <v>298</v>
      </c>
    </row>
    <row r="199">
      <c r="A199" s="24">
        <v>46184.02430226852</v>
      </c>
      <c r="B199" s="51">
        <v>46174.0</v>
      </c>
      <c r="C199" s="1" t="s">
        <v>17317</v>
      </c>
      <c r="D199" s="1" t="s">
        <v>1687</v>
      </c>
      <c r="E199" s="1" t="s">
        <v>1689</v>
      </c>
      <c r="F199" s="1" t="s">
        <v>180</v>
      </c>
      <c r="G199" s="1" t="s">
        <v>15822</v>
      </c>
      <c r="H199" s="1" t="s">
        <v>540</v>
      </c>
    </row>
    <row r="200">
      <c r="A200" s="24">
        <v>46184.02430226852</v>
      </c>
      <c r="B200" s="51">
        <v>46174.0</v>
      </c>
      <c r="C200" s="1" t="s">
        <v>17317</v>
      </c>
      <c r="D200" s="1" t="s">
        <v>1692</v>
      </c>
      <c r="E200" s="1" t="s">
        <v>1694</v>
      </c>
      <c r="F200" s="1" t="s">
        <v>180</v>
      </c>
      <c r="G200" s="1" t="s">
        <v>15822</v>
      </c>
      <c r="H200" s="1" t="s">
        <v>95</v>
      </c>
    </row>
    <row r="201">
      <c r="A201" s="24">
        <v>46184.02430226852</v>
      </c>
      <c r="B201" s="51">
        <v>46174.0</v>
      </c>
      <c r="C201" s="1" t="s">
        <v>17317</v>
      </c>
      <c r="D201" s="1" t="s">
        <v>1697</v>
      </c>
      <c r="E201" s="1" t="s">
        <v>1698</v>
      </c>
      <c r="F201" s="1" t="s">
        <v>180</v>
      </c>
      <c r="G201" s="1" t="s">
        <v>15822</v>
      </c>
      <c r="H201" s="1" t="s">
        <v>47</v>
      </c>
    </row>
    <row r="202">
      <c r="A202" s="24">
        <v>46184.02430226852</v>
      </c>
      <c r="B202" s="51">
        <v>46174.0</v>
      </c>
      <c r="C202" s="1" t="s">
        <v>17317</v>
      </c>
      <c r="D202" s="1" t="s">
        <v>1704</v>
      </c>
      <c r="E202" s="1" t="s">
        <v>1707</v>
      </c>
      <c r="F202" s="1" t="s">
        <v>180</v>
      </c>
      <c r="G202" s="1" t="s">
        <v>15822</v>
      </c>
      <c r="H202" s="1" t="s">
        <v>540</v>
      </c>
    </row>
    <row r="203">
      <c r="A203" s="24">
        <v>46184.02430226852</v>
      </c>
      <c r="B203" s="51">
        <v>46174.0</v>
      </c>
      <c r="C203" s="1" t="s">
        <v>17317</v>
      </c>
      <c r="D203" s="1" t="s">
        <v>1710</v>
      </c>
      <c r="E203" s="1" t="s">
        <v>1711</v>
      </c>
      <c r="F203" s="1" t="s">
        <v>60</v>
      </c>
      <c r="G203" s="1" t="s">
        <v>15822</v>
      </c>
      <c r="H203" s="1" t="s">
        <v>1516</v>
      </c>
    </row>
    <row r="204">
      <c r="A204" s="24">
        <v>46184.02430226852</v>
      </c>
      <c r="B204" s="51">
        <v>46174.0</v>
      </c>
      <c r="C204" s="1" t="s">
        <v>17317</v>
      </c>
      <c r="D204" s="1" t="s">
        <v>1714</v>
      </c>
      <c r="E204" s="1" t="s">
        <v>296</v>
      </c>
      <c r="F204" s="1" t="s">
        <v>180</v>
      </c>
      <c r="G204" s="1" t="s">
        <v>15822</v>
      </c>
      <c r="H204" s="1" t="s">
        <v>298</v>
      </c>
    </row>
    <row r="205">
      <c r="A205" s="24">
        <v>46184.02430226852</v>
      </c>
      <c r="B205" s="51">
        <v>46174.0</v>
      </c>
      <c r="C205" s="1" t="s">
        <v>17317</v>
      </c>
      <c r="D205" s="1" t="s">
        <v>1720</v>
      </c>
      <c r="E205" s="1" t="s">
        <v>296</v>
      </c>
      <c r="F205" s="1" t="s">
        <v>180</v>
      </c>
      <c r="G205" s="1" t="s">
        <v>15822</v>
      </c>
      <c r="H205" s="1" t="s">
        <v>298</v>
      </c>
    </row>
    <row r="206">
      <c r="A206" s="24">
        <v>46184.02430226852</v>
      </c>
      <c r="B206" s="51">
        <v>46174.0</v>
      </c>
      <c r="C206" s="1" t="s">
        <v>17317</v>
      </c>
      <c r="D206" s="1" t="s">
        <v>1724</v>
      </c>
      <c r="E206" s="1" t="s">
        <v>1725</v>
      </c>
      <c r="F206" s="1" t="s">
        <v>180</v>
      </c>
      <c r="G206" s="1" t="s">
        <v>15822</v>
      </c>
      <c r="H206" s="1" t="s">
        <v>227</v>
      </c>
    </row>
    <row r="207">
      <c r="A207" s="24">
        <v>46184.02430226852</v>
      </c>
      <c r="B207" s="51">
        <v>46174.0</v>
      </c>
      <c r="C207" s="1" t="s">
        <v>17317</v>
      </c>
      <c r="D207" s="1" t="s">
        <v>1730</v>
      </c>
      <c r="E207" s="1" t="s">
        <v>1731</v>
      </c>
      <c r="F207" s="1" t="s">
        <v>180</v>
      </c>
      <c r="G207" s="1" t="s">
        <v>15822</v>
      </c>
      <c r="H207" s="1" t="s">
        <v>267</v>
      </c>
    </row>
    <row r="208">
      <c r="A208" s="24">
        <v>46184.690984050925</v>
      </c>
      <c r="B208" s="51">
        <v>46174.0</v>
      </c>
      <c r="C208" s="1" t="s">
        <v>17317</v>
      </c>
      <c r="D208" s="1" t="s">
        <v>1204</v>
      </c>
      <c r="E208" s="1" t="s">
        <v>1205</v>
      </c>
      <c r="F208" s="1" t="s">
        <v>180</v>
      </c>
      <c r="G208" s="1" t="s">
        <v>15822</v>
      </c>
      <c r="H208" s="1" t="s">
        <v>141</v>
      </c>
    </row>
    <row r="209">
      <c r="A209" s="24">
        <v>46185.0243174537</v>
      </c>
      <c r="B209" s="51">
        <v>46174.0</v>
      </c>
      <c r="C209" s="1" t="s">
        <v>17317</v>
      </c>
      <c r="D209" s="1" t="s">
        <v>1459</v>
      </c>
      <c r="E209" s="1" t="s">
        <v>90</v>
      </c>
      <c r="F209" s="1" t="s">
        <v>60</v>
      </c>
      <c r="G209" s="1" t="s">
        <v>15822</v>
      </c>
      <c r="H209" s="1" t="s">
        <v>540</v>
      </c>
    </row>
    <row r="210">
      <c r="A210" s="24">
        <v>46186.024321006946</v>
      </c>
      <c r="B210" s="51">
        <v>46174.0</v>
      </c>
      <c r="C210" s="1" t="s">
        <v>17317</v>
      </c>
      <c r="D210" s="1" t="s">
        <v>1288</v>
      </c>
      <c r="E210" s="1" t="s">
        <v>1290</v>
      </c>
      <c r="F210" s="1" t="s">
        <v>60</v>
      </c>
      <c r="G210" s="1" t="s">
        <v>15822</v>
      </c>
      <c r="H210" s="1" t="s">
        <v>540</v>
      </c>
    </row>
    <row r="211">
      <c r="A211" s="24">
        <v>46189.69098969907</v>
      </c>
      <c r="B211" s="51">
        <v>46174.0</v>
      </c>
      <c r="C211" s="1" t="s">
        <v>17317</v>
      </c>
      <c r="D211" s="1" t="s">
        <v>17358</v>
      </c>
      <c r="E211" s="1" t="s">
        <v>1205</v>
      </c>
      <c r="F211" s="1" t="s">
        <v>180</v>
      </c>
      <c r="G211" s="1" t="s">
        <v>15822</v>
      </c>
      <c r="H211" s="1" t="s">
        <v>47</v>
      </c>
    </row>
    <row r="212">
      <c r="A212" s="24">
        <v>46190.69099202546</v>
      </c>
      <c r="B212" s="51">
        <v>46174.0</v>
      </c>
      <c r="C212" s="1" t="s">
        <v>17317</v>
      </c>
      <c r="D212" s="1" t="s">
        <v>1616</v>
      </c>
      <c r="E212" s="1" t="s">
        <v>1617</v>
      </c>
      <c r="F212" s="1" t="s">
        <v>180</v>
      </c>
      <c r="G212" s="1" t="s">
        <v>15822</v>
      </c>
      <c r="H212" s="1" t="s">
        <v>298</v>
      </c>
    </row>
    <row r="213">
      <c r="A213" s="24">
        <v>46192.0243115162</v>
      </c>
      <c r="B213" s="51">
        <v>46174.0</v>
      </c>
      <c r="C213" s="1" t="s">
        <v>17317</v>
      </c>
      <c r="D213" s="1" t="s">
        <v>1397</v>
      </c>
      <c r="E213" s="1" t="s">
        <v>1391</v>
      </c>
      <c r="F213" s="1" t="s">
        <v>60</v>
      </c>
      <c r="G213" s="1" t="s">
        <v>15822</v>
      </c>
      <c r="H213" s="1" t="s">
        <v>530</v>
      </c>
    </row>
    <row r="214">
      <c r="A214" s="24">
        <v>46193.02431246528</v>
      </c>
      <c r="B214" s="51">
        <v>46174.0</v>
      </c>
      <c r="C214" s="1" t="s">
        <v>17317</v>
      </c>
      <c r="D214" s="1" t="s">
        <v>1570</v>
      </c>
      <c r="E214" s="1" t="s">
        <v>1571</v>
      </c>
      <c r="F214" s="1" t="s">
        <v>180</v>
      </c>
      <c r="G214" s="1" t="s">
        <v>15822</v>
      </c>
      <c r="H214" s="1" t="s">
        <v>1573</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20.5"/>
  </cols>
  <sheetData>
    <row r="1">
      <c r="A1" s="1" t="s">
        <v>15468</v>
      </c>
      <c r="B1" s="1" t="s">
        <v>16641</v>
      </c>
    </row>
    <row r="2">
      <c r="A2" s="1" t="s">
        <v>733</v>
      </c>
      <c r="B2" s="1" t="s">
        <v>47</v>
      </c>
    </row>
    <row r="3">
      <c r="A3" s="1" t="s">
        <v>745</v>
      </c>
      <c r="B3" s="1" t="s">
        <v>540</v>
      </c>
    </row>
    <row r="4">
      <c r="A4" s="1" t="s">
        <v>753</v>
      </c>
      <c r="B4" s="1" t="s">
        <v>141</v>
      </c>
    </row>
    <row r="5">
      <c r="A5" s="1" t="s">
        <v>755</v>
      </c>
      <c r="B5" s="1" t="s">
        <v>267</v>
      </c>
    </row>
    <row r="6">
      <c r="A6" s="1" t="s">
        <v>762</v>
      </c>
      <c r="B6" s="1" t="s">
        <v>298</v>
      </c>
    </row>
    <row r="7">
      <c r="A7" s="1" t="s">
        <v>770</v>
      </c>
      <c r="B7" s="1" t="s">
        <v>267</v>
      </c>
    </row>
    <row r="8">
      <c r="A8" s="1" t="s">
        <v>776</v>
      </c>
      <c r="B8" s="1" t="s">
        <v>298</v>
      </c>
    </row>
    <row r="9">
      <c r="A9" s="1" t="s">
        <v>170</v>
      </c>
      <c r="B9" s="1" t="s">
        <v>184</v>
      </c>
    </row>
    <row r="10">
      <c r="A10" s="1" t="s">
        <v>782</v>
      </c>
      <c r="B10" s="1" t="s">
        <v>47</v>
      </c>
    </row>
    <row r="11">
      <c r="A11" s="1" t="s">
        <v>15758</v>
      </c>
      <c r="B11" s="4"/>
    </row>
    <row r="12">
      <c r="A12" s="1" t="s">
        <v>794</v>
      </c>
      <c r="B12" s="1" t="s">
        <v>47</v>
      </c>
    </row>
    <row r="13">
      <c r="A13" s="1" t="s">
        <v>802</v>
      </c>
      <c r="B13" s="1" t="s">
        <v>141</v>
      </c>
    </row>
    <row r="14">
      <c r="A14" s="1" t="s">
        <v>810</v>
      </c>
      <c r="B14" s="1" t="s">
        <v>47</v>
      </c>
    </row>
    <row r="15">
      <c r="A15" s="1" t="s">
        <v>817</v>
      </c>
      <c r="B15" s="1" t="s">
        <v>267</v>
      </c>
    </row>
    <row r="16">
      <c r="A16" s="1" t="s">
        <v>821</v>
      </c>
      <c r="B16" s="1" t="s">
        <v>227</v>
      </c>
    </row>
    <row r="17">
      <c r="A17" s="1" t="s">
        <v>830</v>
      </c>
      <c r="B17" s="1" t="s">
        <v>141</v>
      </c>
    </row>
    <row r="18">
      <c r="A18" s="1" t="s">
        <v>836</v>
      </c>
      <c r="B18" s="1" t="s">
        <v>227</v>
      </c>
    </row>
    <row r="19">
      <c r="A19" s="1" t="s">
        <v>840</v>
      </c>
      <c r="B19" s="1" t="s">
        <v>267</v>
      </c>
    </row>
    <row r="20">
      <c r="A20" s="1" t="s">
        <v>816</v>
      </c>
      <c r="B20" s="1" t="s">
        <v>141</v>
      </c>
    </row>
    <row r="21">
      <c r="A21" s="1" t="s">
        <v>258</v>
      </c>
      <c r="B21" s="1" t="s">
        <v>267</v>
      </c>
    </row>
    <row r="22">
      <c r="A22" s="1" t="s">
        <v>853</v>
      </c>
      <c r="B22" s="1" t="s">
        <v>141</v>
      </c>
    </row>
    <row r="23">
      <c r="A23" s="1" t="s">
        <v>859</v>
      </c>
      <c r="B23" s="1" t="s">
        <v>47</v>
      </c>
    </row>
    <row r="24">
      <c r="A24" s="1" t="s">
        <v>869</v>
      </c>
      <c r="B24" s="1" t="s">
        <v>267</v>
      </c>
    </row>
    <row r="25">
      <c r="A25" s="1" t="s">
        <v>866</v>
      </c>
      <c r="B25" s="1" t="s">
        <v>267</v>
      </c>
    </row>
    <row r="26">
      <c r="A26" s="1" t="s">
        <v>876</v>
      </c>
      <c r="B26" s="1" t="s">
        <v>267</v>
      </c>
    </row>
    <row r="27">
      <c r="A27" s="1" t="s">
        <v>881</v>
      </c>
      <c r="B27" s="1" t="s">
        <v>47</v>
      </c>
    </row>
    <row r="28">
      <c r="A28" s="1" t="s">
        <v>896</v>
      </c>
      <c r="B28" s="1" t="s">
        <v>900</v>
      </c>
    </row>
    <row r="29">
      <c r="A29" s="1" t="s">
        <v>904</v>
      </c>
      <c r="B29" s="1" t="s">
        <v>540</v>
      </c>
    </row>
    <row r="30">
      <c r="A30" s="1" t="s">
        <v>908</v>
      </c>
      <c r="B30" s="1" t="s">
        <v>267</v>
      </c>
    </row>
    <row r="31">
      <c r="A31" s="1" t="s">
        <v>916</v>
      </c>
      <c r="B31" s="4"/>
    </row>
    <row r="32">
      <c r="A32" s="1" t="s">
        <v>922</v>
      </c>
      <c r="B32" s="1" t="s">
        <v>141</v>
      </c>
    </row>
    <row r="33">
      <c r="A33" s="1" t="s">
        <v>373</v>
      </c>
      <c r="B33" s="1" t="s">
        <v>95</v>
      </c>
    </row>
    <row r="34">
      <c r="A34" s="1" t="s">
        <v>934</v>
      </c>
      <c r="B34" s="1" t="s">
        <v>227</v>
      </c>
    </row>
    <row r="35">
      <c r="A35" s="1" t="s">
        <v>941</v>
      </c>
      <c r="B35" s="4"/>
    </row>
    <row r="36">
      <c r="A36" s="1" t="s">
        <v>946</v>
      </c>
      <c r="B36" s="1" t="s">
        <v>141</v>
      </c>
    </row>
    <row r="37">
      <c r="A37" s="1" t="s">
        <v>950</v>
      </c>
      <c r="B37" s="1" t="s">
        <v>540</v>
      </c>
    </row>
    <row r="38">
      <c r="A38" s="1" t="s">
        <v>50</v>
      </c>
      <c r="B38" s="1" t="s">
        <v>267</v>
      </c>
    </row>
    <row r="39">
      <c r="A39" s="1" t="s">
        <v>964</v>
      </c>
      <c r="B39" s="1" t="s">
        <v>540</v>
      </c>
    </row>
    <row r="40">
      <c r="A40" s="1" t="s">
        <v>15823</v>
      </c>
      <c r="B40" s="4"/>
    </row>
    <row r="41">
      <c r="A41" s="1" t="s">
        <v>968</v>
      </c>
      <c r="B41" s="1" t="s">
        <v>47</v>
      </c>
    </row>
    <row r="42">
      <c r="A42" s="1" t="s">
        <v>979</v>
      </c>
      <c r="B42" s="1" t="s">
        <v>267</v>
      </c>
    </row>
    <row r="43">
      <c r="A43" s="1" t="s">
        <v>972</v>
      </c>
      <c r="B43" s="1" t="s">
        <v>267</v>
      </c>
    </row>
    <row r="44">
      <c r="A44" s="1" t="s">
        <v>987</v>
      </c>
      <c r="B44" s="1" t="s">
        <v>47</v>
      </c>
    </row>
    <row r="45">
      <c r="A45" s="1" t="s">
        <v>984</v>
      </c>
      <c r="B45" s="1" t="s">
        <v>47</v>
      </c>
    </row>
    <row r="46">
      <c r="A46" s="1" t="s">
        <v>999</v>
      </c>
      <c r="B46" s="4"/>
    </row>
    <row r="47">
      <c r="A47" s="1" t="s">
        <v>992</v>
      </c>
      <c r="B47" s="1" t="s">
        <v>227</v>
      </c>
    </row>
    <row r="48">
      <c r="A48" s="1" t="s">
        <v>1002</v>
      </c>
      <c r="B48" s="1" t="s">
        <v>540</v>
      </c>
    </row>
    <row r="49">
      <c r="A49" s="1" t="s">
        <v>53</v>
      </c>
      <c r="B49" s="1" t="s">
        <v>47</v>
      </c>
    </row>
    <row r="50">
      <c r="A50" s="1" t="s">
        <v>1009</v>
      </c>
      <c r="B50" s="1" t="s">
        <v>267</v>
      </c>
    </row>
    <row r="51">
      <c r="A51" s="1" t="s">
        <v>15846</v>
      </c>
      <c r="B51" s="4"/>
    </row>
    <row r="52">
      <c r="A52" s="1" t="s">
        <v>1013</v>
      </c>
      <c r="B52" s="1" t="s">
        <v>141</v>
      </c>
    </row>
    <row r="53">
      <c r="A53" s="1" t="s">
        <v>15852</v>
      </c>
      <c r="B53" s="1" t="s">
        <v>267</v>
      </c>
    </row>
    <row r="54">
      <c r="A54" s="1" t="s">
        <v>1017</v>
      </c>
      <c r="B54" s="1" t="s">
        <v>267</v>
      </c>
    </row>
    <row r="55">
      <c r="A55" s="1" t="s">
        <v>1025</v>
      </c>
      <c r="B55" s="1" t="s">
        <v>141</v>
      </c>
    </row>
    <row r="56">
      <c r="A56" s="1" t="s">
        <v>1029</v>
      </c>
      <c r="B56" s="1" t="s">
        <v>267</v>
      </c>
    </row>
    <row r="57">
      <c r="A57" s="1" t="s">
        <v>1036</v>
      </c>
      <c r="B57" s="1" t="s">
        <v>540</v>
      </c>
    </row>
    <row r="58">
      <c r="A58" s="1" t="s">
        <v>1041</v>
      </c>
      <c r="B58" s="1" t="s">
        <v>141</v>
      </c>
    </row>
    <row r="59">
      <c r="A59" s="1" t="s">
        <v>148</v>
      </c>
      <c r="B59" s="1" t="s">
        <v>163</v>
      </c>
    </row>
    <row r="60">
      <c r="A60" s="1" t="s">
        <v>314</v>
      </c>
      <c r="B60" s="1" t="s">
        <v>47</v>
      </c>
    </row>
    <row r="61">
      <c r="A61" s="1" t="s">
        <v>1056</v>
      </c>
      <c r="B61" s="1" t="s">
        <v>47</v>
      </c>
    </row>
    <row r="62">
      <c r="A62" s="1" t="s">
        <v>1060</v>
      </c>
      <c r="B62" s="1" t="s">
        <v>227</v>
      </c>
    </row>
    <row r="63">
      <c r="A63" s="1" t="s">
        <v>1069</v>
      </c>
      <c r="B63" s="1" t="s">
        <v>47</v>
      </c>
    </row>
    <row r="64">
      <c r="A64" s="1" t="s">
        <v>1077</v>
      </c>
      <c r="B64" s="1" t="s">
        <v>540</v>
      </c>
    </row>
    <row r="65">
      <c r="A65" s="1" t="s">
        <v>1083</v>
      </c>
      <c r="B65" s="1" t="s">
        <v>298</v>
      </c>
    </row>
    <row r="66">
      <c r="A66" s="1" t="s">
        <v>1089</v>
      </c>
      <c r="B66" s="1" t="s">
        <v>227</v>
      </c>
    </row>
    <row r="67">
      <c r="A67" s="1" t="s">
        <v>1093</v>
      </c>
      <c r="B67" s="1" t="s">
        <v>267</v>
      </c>
    </row>
    <row r="68">
      <c r="A68" s="1" t="s">
        <v>1100</v>
      </c>
      <c r="B68" s="1" t="s">
        <v>47</v>
      </c>
    </row>
    <row r="69">
      <c r="A69" s="1" t="s">
        <v>1105</v>
      </c>
      <c r="B69" s="1" t="s">
        <v>227</v>
      </c>
    </row>
    <row r="70">
      <c r="A70" s="1" t="s">
        <v>1112</v>
      </c>
      <c r="B70" s="1" t="s">
        <v>540</v>
      </c>
    </row>
    <row r="71">
      <c r="A71" s="1" t="s">
        <v>1119</v>
      </c>
      <c r="B71" s="1" t="s">
        <v>267</v>
      </c>
    </row>
    <row r="72">
      <c r="A72" s="1" t="s">
        <v>1123</v>
      </c>
      <c r="B72" s="1" t="s">
        <v>47</v>
      </c>
    </row>
    <row r="73">
      <c r="A73" s="1" t="s">
        <v>1130</v>
      </c>
      <c r="B73" s="1" t="s">
        <v>47</v>
      </c>
    </row>
    <row r="74">
      <c r="A74" s="1" t="s">
        <v>1134</v>
      </c>
      <c r="B74" s="1" t="s">
        <v>298</v>
      </c>
    </row>
    <row r="75">
      <c r="A75" s="1" t="s">
        <v>220</v>
      </c>
      <c r="B75" s="1" t="s">
        <v>47</v>
      </c>
    </row>
    <row r="76">
      <c r="A76" s="1" t="s">
        <v>1145</v>
      </c>
      <c r="B76" s="1" t="s">
        <v>540</v>
      </c>
    </row>
    <row r="77">
      <c r="A77" s="1" t="s">
        <v>1150</v>
      </c>
      <c r="B77" s="1" t="s">
        <v>267</v>
      </c>
    </row>
    <row r="78">
      <c r="A78" s="1" t="s">
        <v>1157</v>
      </c>
      <c r="B78" s="1" t="s">
        <v>267</v>
      </c>
    </row>
    <row r="79">
      <c r="A79" s="1" t="s">
        <v>1160</v>
      </c>
      <c r="B79" s="1" t="s">
        <v>141</v>
      </c>
    </row>
    <row r="80">
      <c r="A80" s="1" t="s">
        <v>1169</v>
      </c>
      <c r="B80" s="1" t="s">
        <v>267</v>
      </c>
    </row>
    <row r="81">
      <c r="A81" s="1" t="s">
        <v>1164</v>
      </c>
      <c r="B81" s="1" t="s">
        <v>267</v>
      </c>
    </row>
    <row r="82">
      <c r="A82" s="1" t="s">
        <v>843</v>
      </c>
      <c r="B82" s="1" t="s">
        <v>298</v>
      </c>
    </row>
    <row r="83">
      <c r="A83" s="1" t="s">
        <v>1176</v>
      </c>
      <c r="B83" s="1" t="s">
        <v>298</v>
      </c>
    </row>
    <row r="84">
      <c r="A84" s="1" t="s">
        <v>507</v>
      </c>
      <c r="B84" s="1" t="s">
        <v>267</v>
      </c>
    </row>
    <row r="85">
      <c r="A85" s="1" t="s">
        <v>1190</v>
      </c>
      <c r="B85" s="1" t="s">
        <v>376</v>
      </c>
    </row>
    <row r="86">
      <c r="A86" s="1" t="s">
        <v>1194</v>
      </c>
      <c r="B86" s="1" t="s">
        <v>298</v>
      </c>
    </row>
    <row r="87">
      <c r="A87" s="1" t="s">
        <v>1198</v>
      </c>
      <c r="B87" s="1" t="s">
        <v>47</v>
      </c>
    </row>
    <row r="88">
      <c r="A88" s="1" t="s">
        <v>1204</v>
      </c>
      <c r="B88" s="1" t="s">
        <v>141</v>
      </c>
    </row>
    <row r="89">
      <c r="A89" s="1" t="s">
        <v>1208</v>
      </c>
      <c r="B89" s="1" t="s">
        <v>267</v>
      </c>
    </row>
    <row r="90">
      <c r="A90" s="1" t="s">
        <v>1217</v>
      </c>
      <c r="B90" s="1" t="s">
        <v>267</v>
      </c>
    </row>
    <row r="91">
      <c r="A91" s="1" t="s">
        <v>31</v>
      </c>
      <c r="B91" s="1" t="s">
        <v>47</v>
      </c>
    </row>
    <row r="92">
      <c r="A92" s="1" t="s">
        <v>1220</v>
      </c>
      <c r="B92" s="1" t="s">
        <v>47</v>
      </c>
    </row>
    <row r="93">
      <c r="A93" s="1" t="s">
        <v>1234</v>
      </c>
      <c r="B93" s="1" t="s">
        <v>47</v>
      </c>
    </row>
    <row r="94">
      <c r="A94" s="1" t="s">
        <v>1050</v>
      </c>
      <c r="B94" s="1" t="s">
        <v>141</v>
      </c>
    </row>
    <row r="95">
      <c r="A95" s="1" t="s">
        <v>1247</v>
      </c>
      <c r="B95" s="1" t="s">
        <v>1249</v>
      </c>
    </row>
    <row r="96">
      <c r="A96" s="1" t="s">
        <v>1250</v>
      </c>
      <c r="B96" s="1" t="s">
        <v>540</v>
      </c>
    </row>
    <row r="97">
      <c r="A97" s="1" t="s">
        <v>1254</v>
      </c>
      <c r="B97" s="1" t="s">
        <v>540</v>
      </c>
    </row>
    <row r="98">
      <c r="A98" s="1" t="s">
        <v>54</v>
      </c>
      <c r="B98" s="1" t="s">
        <v>540</v>
      </c>
    </row>
    <row r="99">
      <c r="A99" s="1" t="s">
        <v>1263</v>
      </c>
      <c r="B99" s="1" t="s">
        <v>267</v>
      </c>
    </row>
    <row r="100">
      <c r="A100" s="1" t="s">
        <v>1271</v>
      </c>
      <c r="B100" s="1" t="s">
        <v>47</v>
      </c>
    </row>
    <row r="101">
      <c r="A101" s="1" t="s">
        <v>1275</v>
      </c>
      <c r="B101" s="1" t="s">
        <v>141</v>
      </c>
    </row>
    <row r="102">
      <c r="A102" s="1" t="s">
        <v>1279</v>
      </c>
      <c r="B102" s="1" t="s">
        <v>267</v>
      </c>
    </row>
    <row r="103">
      <c r="A103" s="1" t="s">
        <v>1288</v>
      </c>
      <c r="B103" s="1" t="s">
        <v>540</v>
      </c>
    </row>
    <row r="104">
      <c r="A104" s="1" t="s">
        <v>1292</v>
      </c>
      <c r="B104" s="1" t="s">
        <v>141</v>
      </c>
    </row>
    <row r="105">
      <c r="A105" s="1" t="s">
        <v>921</v>
      </c>
      <c r="B105" s="1" t="s">
        <v>540</v>
      </c>
    </row>
    <row r="106">
      <c r="A106" s="1" t="s">
        <v>1299</v>
      </c>
      <c r="B106" s="1" t="s">
        <v>227</v>
      </c>
    </row>
    <row r="107">
      <c r="A107" s="1" t="s">
        <v>1306</v>
      </c>
      <c r="B107" s="1" t="s">
        <v>141</v>
      </c>
    </row>
    <row r="108">
      <c r="A108" s="1" t="s">
        <v>1310</v>
      </c>
      <c r="B108" s="1" t="s">
        <v>47</v>
      </c>
    </row>
    <row r="109">
      <c r="A109" s="1" t="s">
        <v>1321</v>
      </c>
      <c r="B109" s="1" t="s">
        <v>540</v>
      </c>
    </row>
    <row r="110">
      <c r="A110" s="1" t="s">
        <v>1327</v>
      </c>
      <c r="B110" s="1" t="s">
        <v>47</v>
      </c>
    </row>
    <row r="111">
      <c r="A111" s="1" t="s">
        <v>1334</v>
      </c>
      <c r="B111" s="4"/>
    </row>
    <row r="112">
      <c r="A112" s="1" t="s">
        <v>1348</v>
      </c>
      <c r="B112" s="1" t="s">
        <v>47</v>
      </c>
    </row>
    <row r="113">
      <c r="A113" s="1" t="s">
        <v>1354</v>
      </c>
      <c r="B113" s="1" t="s">
        <v>47</v>
      </c>
    </row>
    <row r="114">
      <c r="A114" s="1" t="s">
        <v>1339</v>
      </c>
      <c r="B114" s="1" t="s">
        <v>47</v>
      </c>
    </row>
    <row r="115">
      <c r="A115" s="1" t="s">
        <v>1364</v>
      </c>
      <c r="B115" s="1" t="s">
        <v>540</v>
      </c>
    </row>
    <row r="116">
      <c r="A116" s="1" t="s">
        <v>1372</v>
      </c>
      <c r="B116" s="1" t="s">
        <v>47</v>
      </c>
    </row>
    <row r="117">
      <c r="A117" s="1" t="s">
        <v>1381</v>
      </c>
      <c r="B117" s="1" t="s">
        <v>47</v>
      </c>
    </row>
    <row r="118">
      <c r="A118" s="1" t="s">
        <v>1397</v>
      </c>
      <c r="B118" s="1" t="s">
        <v>530</v>
      </c>
    </row>
    <row r="119">
      <c r="A119" s="1" t="s">
        <v>1389</v>
      </c>
      <c r="B119" s="1" t="s">
        <v>713</v>
      </c>
    </row>
    <row r="120">
      <c r="A120" s="1" t="s">
        <v>1402</v>
      </c>
      <c r="B120" s="1" t="s">
        <v>163</v>
      </c>
    </row>
    <row r="121">
      <c r="A121" s="1" t="s">
        <v>1413</v>
      </c>
      <c r="B121" s="1" t="s">
        <v>95</v>
      </c>
    </row>
    <row r="122">
      <c r="A122" s="1" t="s">
        <v>1409</v>
      </c>
      <c r="B122" s="4"/>
    </row>
    <row r="123">
      <c r="A123" s="1" t="s">
        <v>1420</v>
      </c>
      <c r="B123" s="1" t="s">
        <v>298</v>
      </c>
    </row>
    <row r="124">
      <c r="A124" s="1" t="s">
        <v>1426</v>
      </c>
      <c r="B124" s="1" t="s">
        <v>298</v>
      </c>
    </row>
    <row r="125">
      <c r="A125" s="1" t="s">
        <v>1432</v>
      </c>
      <c r="B125" s="1" t="s">
        <v>900</v>
      </c>
    </row>
    <row r="126">
      <c r="A126" s="1" t="s">
        <v>1439</v>
      </c>
      <c r="B126" s="1" t="s">
        <v>900</v>
      </c>
    </row>
    <row r="127">
      <c r="A127" s="1" t="s">
        <v>1443</v>
      </c>
      <c r="B127" s="1" t="s">
        <v>227</v>
      </c>
    </row>
    <row r="128">
      <c r="A128" s="1" t="s">
        <v>1449</v>
      </c>
      <c r="B128" s="1" t="s">
        <v>267</v>
      </c>
    </row>
    <row r="129">
      <c r="A129" s="1" t="s">
        <v>1459</v>
      </c>
      <c r="B129" s="1" t="s">
        <v>540</v>
      </c>
    </row>
    <row r="130">
      <c r="A130" s="1" t="s">
        <v>1454</v>
      </c>
      <c r="B130" s="1" t="s">
        <v>95</v>
      </c>
    </row>
    <row r="131">
      <c r="A131" s="1" t="s">
        <v>1463</v>
      </c>
      <c r="B131" s="1" t="s">
        <v>47</v>
      </c>
    </row>
    <row r="132">
      <c r="A132" s="1" t="s">
        <v>1471</v>
      </c>
      <c r="B132" s="1" t="s">
        <v>530</v>
      </c>
    </row>
    <row r="133">
      <c r="A133" s="1" t="s">
        <v>1479</v>
      </c>
      <c r="B133" s="1" t="s">
        <v>184</v>
      </c>
    </row>
    <row r="134">
      <c r="A134" s="1" t="s">
        <v>1484</v>
      </c>
      <c r="B134" s="1" t="s">
        <v>900</v>
      </c>
    </row>
    <row r="135">
      <c r="A135" s="1" t="s">
        <v>1490</v>
      </c>
      <c r="B135" s="1" t="s">
        <v>530</v>
      </c>
    </row>
    <row r="136">
      <c r="A136" s="1" t="s">
        <v>1496</v>
      </c>
      <c r="B136" s="1" t="s">
        <v>540</v>
      </c>
    </row>
    <row r="137">
      <c r="A137" s="1" t="s">
        <v>1504</v>
      </c>
      <c r="B137" s="1" t="s">
        <v>1511</v>
      </c>
    </row>
    <row r="138">
      <c r="A138" s="1" t="s">
        <v>1512</v>
      </c>
      <c r="B138" s="1" t="s">
        <v>1516</v>
      </c>
    </row>
    <row r="139">
      <c r="A139" s="1" t="s">
        <v>1517</v>
      </c>
      <c r="B139" s="1" t="s">
        <v>267</v>
      </c>
    </row>
    <row r="140">
      <c r="A140" s="1" t="s">
        <v>1522</v>
      </c>
      <c r="B140" s="1" t="s">
        <v>298</v>
      </c>
    </row>
    <row r="141">
      <c r="A141" s="1" t="s">
        <v>102</v>
      </c>
      <c r="B141" s="1" t="s">
        <v>47</v>
      </c>
    </row>
    <row r="142">
      <c r="A142" s="1" t="s">
        <v>1536</v>
      </c>
      <c r="B142" s="1" t="s">
        <v>1540</v>
      </c>
    </row>
    <row r="143">
      <c r="A143" s="1" t="s">
        <v>1541</v>
      </c>
      <c r="B143" s="1" t="s">
        <v>47</v>
      </c>
    </row>
    <row r="144">
      <c r="A144" s="1" t="s">
        <v>1545</v>
      </c>
      <c r="B144" s="1" t="s">
        <v>1249</v>
      </c>
    </row>
    <row r="145">
      <c r="A145" s="1" t="s">
        <v>1549</v>
      </c>
      <c r="B145" s="1" t="s">
        <v>1516</v>
      </c>
    </row>
    <row r="146">
      <c r="A146" s="1" t="s">
        <v>1558</v>
      </c>
      <c r="B146" s="1" t="s">
        <v>298</v>
      </c>
    </row>
    <row r="147">
      <c r="A147" s="1" t="s">
        <v>1555</v>
      </c>
      <c r="B147" s="1" t="s">
        <v>298</v>
      </c>
    </row>
    <row r="148">
      <c r="A148" s="1" t="s">
        <v>1563</v>
      </c>
      <c r="B148" s="1" t="s">
        <v>267</v>
      </c>
    </row>
    <row r="149">
      <c r="A149" s="1" t="s">
        <v>1570</v>
      </c>
      <c r="B149" s="1" t="s">
        <v>1573</v>
      </c>
    </row>
    <row r="150">
      <c r="A150" s="1" t="s">
        <v>1576</v>
      </c>
      <c r="B150" s="4"/>
    </row>
    <row r="151">
      <c r="A151" s="1" t="s">
        <v>1586</v>
      </c>
      <c r="B151" s="1" t="s">
        <v>298</v>
      </c>
    </row>
    <row r="152">
      <c r="A152" s="1" t="s">
        <v>1592</v>
      </c>
      <c r="B152" s="1" t="s">
        <v>47</v>
      </c>
    </row>
    <row r="153">
      <c r="A153" s="1" t="s">
        <v>1600</v>
      </c>
      <c r="B153" s="1" t="s">
        <v>1573</v>
      </c>
    </row>
    <row r="154">
      <c r="A154" s="1" t="s">
        <v>1605</v>
      </c>
      <c r="B154" s="4"/>
    </row>
    <row r="155">
      <c r="A155" s="1" t="s">
        <v>1608</v>
      </c>
      <c r="B155" s="1" t="s">
        <v>163</v>
      </c>
    </row>
    <row r="156">
      <c r="A156" s="1" t="s">
        <v>1616</v>
      </c>
      <c r="B156" s="1" t="s">
        <v>298</v>
      </c>
    </row>
    <row r="157">
      <c r="A157" s="1" t="s">
        <v>1621</v>
      </c>
      <c r="B157" s="1" t="s">
        <v>540</v>
      </c>
    </row>
    <row r="158">
      <c r="A158" s="1" t="s">
        <v>1627</v>
      </c>
      <c r="B158" s="1" t="s">
        <v>1633</v>
      </c>
    </row>
    <row r="159">
      <c r="A159" s="1" t="s">
        <v>1635</v>
      </c>
      <c r="B159" s="4"/>
    </row>
    <row r="160">
      <c r="A160" s="1" t="s">
        <v>1639</v>
      </c>
      <c r="B160" s="1" t="s">
        <v>163</v>
      </c>
    </row>
    <row r="161">
      <c r="A161" s="1" t="s">
        <v>1645</v>
      </c>
      <c r="B161" s="4"/>
    </row>
    <row r="162">
      <c r="A162" s="1" t="s">
        <v>1649</v>
      </c>
      <c r="B162" s="1" t="s">
        <v>900</v>
      </c>
    </row>
    <row r="163">
      <c r="A163" s="1" t="s">
        <v>1653</v>
      </c>
      <c r="B163" s="1" t="s">
        <v>163</v>
      </c>
    </row>
    <row r="164">
      <c r="A164" s="1" t="s">
        <v>1657</v>
      </c>
      <c r="B164" s="1" t="s">
        <v>95</v>
      </c>
    </row>
    <row r="165">
      <c r="A165" s="1" t="s">
        <v>1661</v>
      </c>
      <c r="B165" s="1" t="s">
        <v>298</v>
      </c>
    </row>
    <row r="166">
      <c r="A166" s="1" t="s">
        <v>1667</v>
      </c>
      <c r="B166" s="1" t="s">
        <v>163</v>
      </c>
    </row>
    <row r="167">
      <c r="A167" s="1" t="s">
        <v>1672</v>
      </c>
      <c r="B167" s="1" t="s">
        <v>163</v>
      </c>
    </row>
    <row r="168">
      <c r="A168" s="1" t="s">
        <v>1678</v>
      </c>
      <c r="B168" s="1" t="s">
        <v>47</v>
      </c>
    </row>
    <row r="169">
      <c r="A169" s="1" t="s">
        <v>1683</v>
      </c>
      <c r="B169" s="1" t="s">
        <v>298</v>
      </c>
    </row>
    <row r="170">
      <c r="A170" s="1" t="s">
        <v>1687</v>
      </c>
      <c r="B170" s="1" t="s">
        <v>540</v>
      </c>
    </row>
    <row r="171">
      <c r="A171" s="1" t="s">
        <v>1692</v>
      </c>
      <c r="B171" s="1" t="s">
        <v>95</v>
      </c>
    </row>
    <row r="172">
      <c r="A172" s="1" t="s">
        <v>1697</v>
      </c>
      <c r="B172" s="1" t="s">
        <v>47</v>
      </c>
    </row>
    <row r="173">
      <c r="A173" s="1" t="s">
        <v>1704</v>
      </c>
      <c r="B173" s="1" t="s">
        <v>540</v>
      </c>
    </row>
    <row r="174">
      <c r="A174" s="1" t="s">
        <v>1710</v>
      </c>
      <c r="B174" s="1" t="s">
        <v>1516</v>
      </c>
    </row>
    <row r="175">
      <c r="A175" s="1" t="s">
        <v>1720</v>
      </c>
      <c r="B175" s="1" t="s">
        <v>298</v>
      </c>
    </row>
    <row r="176">
      <c r="A176" s="1" t="s">
        <v>1714</v>
      </c>
      <c r="B176" s="1" t="s">
        <v>298</v>
      </c>
    </row>
    <row r="177">
      <c r="A177" s="1" t="s">
        <v>1724</v>
      </c>
      <c r="B177" s="1" t="s">
        <v>227</v>
      </c>
    </row>
    <row r="178">
      <c r="A178" s="1" t="s">
        <v>1730</v>
      </c>
      <c r="B178" s="1" t="s">
        <v>267</v>
      </c>
    </row>
    <row r="179">
      <c r="A179" s="4"/>
      <c r="B179" s="4"/>
    </row>
    <row r="180">
      <c r="A180" s="4"/>
      <c r="B180" s="4"/>
    </row>
    <row r="181">
      <c r="A181" s="4"/>
      <c r="B181" s="4"/>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3.38"/>
    <col customWidth="1" min="3" max="3" width="21.0"/>
  </cols>
  <sheetData>
    <row r="1">
      <c r="A1" s="1" t="s">
        <v>17313</v>
      </c>
      <c r="B1" s="1" t="s">
        <v>17001</v>
      </c>
      <c r="C1" s="1" t="s">
        <v>17002</v>
      </c>
      <c r="D1" s="1" t="s">
        <v>17003</v>
      </c>
    </row>
    <row r="2">
      <c r="A2" s="1" t="s">
        <v>17331</v>
      </c>
      <c r="B2" s="1" t="s">
        <v>131</v>
      </c>
      <c r="C2" s="10">
        <v>3.0</v>
      </c>
      <c r="D2" s="10">
        <v>0.42857142857142855</v>
      </c>
    </row>
    <row r="3">
      <c r="A3" s="1" t="s">
        <v>17331</v>
      </c>
      <c r="B3" s="1" t="s">
        <v>472</v>
      </c>
      <c r="C3" s="10">
        <v>2.0</v>
      </c>
      <c r="D3" s="10">
        <v>0.2857142857142857</v>
      </c>
    </row>
    <row r="4">
      <c r="A4" s="1" t="s">
        <v>17331</v>
      </c>
      <c r="B4" s="1" t="s">
        <v>365</v>
      </c>
      <c r="C4" s="10">
        <v>2.0</v>
      </c>
      <c r="D4" s="10">
        <v>0.2857142857142857</v>
      </c>
    </row>
    <row r="5">
      <c r="A5" s="1" t="s">
        <v>17331</v>
      </c>
      <c r="B5" s="1" t="s">
        <v>17008</v>
      </c>
      <c r="C5" s="10">
        <v>7.0</v>
      </c>
      <c r="D5" s="10">
        <v>1.0</v>
      </c>
    </row>
    <row r="6">
      <c r="A6" s="1" t="s">
        <v>17332</v>
      </c>
      <c r="B6" s="1" t="s">
        <v>131</v>
      </c>
      <c r="C6" s="10">
        <v>1.0</v>
      </c>
      <c r="D6" s="10">
        <v>0.125</v>
      </c>
    </row>
    <row r="7">
      <c r="A7" s="1" t="s">
        <v>17332</v>
      </c>
      <c r="B7" s="1" t="s">
        <v>472</v>
      </c>
      <c r="C7" s="10">
        <v>1.0</v>
      </c>
      <c r="D7" s="10">
        <v>0.125</v>
      </c>
    </row>
    <row r="8">
      <c r="A8" s="1" t="s">
        <v>17332</v>
      </c>
      <c r="B8" s="1" t="s">
        <v>365</v>
      </c>
      <c r="C8" s="10">
        <v>6.0</v>
      </c>
      <c r="D8" s="10">
        <v>0.75</v>
      </c>
    </row>
    <row r="9">
      <c r="A9" s="1" t="s">
        <v>17332</v>
      </c>
      <c r="B9" s="1" t="s">
        <v>17008</v>
      </c>
      <c r="C9" s="10">
        <v>8.0</v>
      </c>
      <c r="D9" s="10">
        <v>1.0</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17333</v>
      </c>
      <c r="B1" s="1" t="s">
        <v>17001</v>
      </c>
      <c r="C1" s="1" t="s">
        <v>17334</v>
      </c>
      <c r="D1" s="1" t="s">
        <v>17335</v>
      </c>
    </row>
    <row r="2">
      <c r="A2" s="10">
        <v>2026.0</v>
      </c>
      <c r="B2" s="1" t="s">
        <v>131</v>
      </c>
      <c r="C2" s="10">
        <v>4.0</v>
      </c>
      <c r="D2" s="10">
        <v>0.2857142857142857</v>
      </c>
    </row>
    <row r="3">
      <c r="A3" s="10">
        <v>2026.0</v>
      </c>
      <c r="B3" s="1" t="s">
        <v>472</v>
      </c>
      <c r="C3" s="10">
        <v>2.0</v>
      </c>
      <c r="D3" s="10">
        <v>0.14285714285714285</v>
      </c>
    </row>
    <row r="4">
      <c r="A4" s="10">
        <v>2026.0</v>
      </c>
      <c r="B4" s="1" t="s">
        <v>365</v>
      </c>
      <c r="C4" s="10">
        <v>8.0</v>
      </c>
      <c r="D4" s="10">
        <v>0.5714285714285714</v>
      </c>
    </row>
    <row r="5">
      <c r="A5" s="10">
        <v>2026.0</v>
      </c>
      <c r="B5" s="1" t="s">
        <v>17008</v>
      </c>
      <c r="C5" s="10">
        <v>14.0</v>
      </c>
      <c r="D5" s="10">
        <v>1.0</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75"/>
    <col customWidth="1" min="2" max="2" width="43.13"/>
    <col customWidth="1" min="3" max="3" width="95.5"/>
  </cols>
  <sheetData>
    <row r="1">
      <c r="A1" s="52" t="s">
        <v>17337</v>
      </c>
      <c r="B1" s="52" t="s">
        <v>17338</v>
      </c>
      <c r="C1" s="52" t="s">
        <v>17339</v>
      </c>
      <c r="D1" s="52" t="s">
        <v>17001</v>
      </c>
      <c r="E1" s="52" t="s">
        <v>15465</v>
      </c>
    </row>
    <row r="2">
      <c r="A2" s="53">
        <v>46295.791820370374</v>
      </c>
      <c r="B2" s="54" t="s">
        <v>17340</v>
      </c>
      <c r="C2" s="55" t="s">
        <v>17341</v>
      </c>
      <c r="D2" s="56" t="s">
        <v>17342</v>
      </c>
      <c r="E2" s="54" t="s">
        <v>3185</v>
      </c>
    </row>
    <row r="3">
      <c r="A3" s="53">
        <v>46295.791820370374</v>
      </c>
      <c r="B3" s="54" t="s">
        <v>17343</v>
      </c>
      <c r="C3" s="55" t="s">
        <v>17344</v>
      </c>
      <c r="D3" s="56" t="s">
        <v>17342</v>
      </c>
      <c r="E3" s="54" t="s">
        <v>3185</v>
      </c>
    </row>
    <row r="4">
      <c r="A4" s="53">
        <v>46295.791820370374</v>
      </c>
      <c r="B4" s="54" t="s">
        <v>17345</v>
      </c>
      <c r="C4" s="55" t="s">
        <v>17346</v>
      </c>
      <c r="D4" s="56" t="s">
        <v>17342</v>
      </c>
      <c r="E4" s="54" t="s">
        <v>3185</v>
      </c>
    </row>
    <row r="5">
      <c r="A5" s="53">
        <v>46295.791820370374</v>
      </c>
      <c r="B5" s="54" t="s">
        <v>17347</v>
      </c>
      <c r="C5" s="55" t="s">
        <v>17348</v>
      </c>
      <c r="D5" s="56" t="s">
        <v>17342</v>
      </c>
      <c r="E5" s="54" t="s">
        <v>3185</v>
      </c>
    </row>
    <row r="6">
      <c r="A6" s="53">
        <v>46295.791820370374</v>
      </c>
      <c r="B6" s="54" t="s">
        <v>17349</v>
      </c>
      <c r="C6" s="55" t="s">
        <v>17350</v>
      </c>
      <c r="D6" s="56" t="s">
        <v>17342</v>
      </c>
      <c r="E6" s="54" t="s">
        <v>3185</v>
      </c>
    </row>
    <row r="7">
      <c r="A7" s="53">
        <v>46295.791820370374</v>
      </c>
      <c r="B7" s="54" t="s">
        <v>17351</v>
      </c>
      <c r="C7" s="55" t="s">
        <v>17352</v>
      </c>
      <c r="D7" s="56" t="s">
        <v>17342</v>
      </c>
      <c r="E7" s="54" t="s">
        <v>3185</v>
      </c>
    </row>
    <row r="8">
      <c r="A8" s="53">
        <v>46295.791820370374</v>
      </c>
      <c r="B8" s="54" t="s">
        <v>17353</v>
      </c>
      <c r="C8" s="55" t="s">
        <v>17354</v>
      </c>
      <c r="D8" s="56" t="s">
        <v>17342</v>
      </c>
      <c r="E8" s="54" t="s">
        <v>3185</v>
      </c>
    </row>
    <row r="9">
      <c r="A9" s="53">
        <v>46295.45850116898</v>
      </c>
      <c r="B9" s="54" t="s">
        <v>17340</v>
      </c>
      <c r="C9" s="55" t="s">
        <v>17341</v>
      </c>
      <c r="D9" s="56" t="s">
        <v>17342</v>
      </c>
      <c r="E9" s="54" t="s">
        <v>3185</v>
      </c>
    </row>
    <row r="10">
      <c r="A10" s="53">
        <v>46295.45850116898</v>
      </c>
      <c r="B10" s="54" t="s">
        <v>17343</v>
      </c>
      <c r="C10" s="55" t="s">
        <v>17344</v>
      </c>
      <c r="D10" s="56" t="s">
        <v>17342</v>
      </c>
      <c r="E10" s="54" t="s">
        <v>3185</v>
      </c>
    </row>
    <row r="11">
      <c r="A11" s="53">
        <v>46295.45850116898</v>
      </c>
      <c r="B11" s="54" t="s">
        <v>17345</v>
      </c>
      <c r="C11" s="55" t="s">
        <v>17346</v>
      </c>
      <c r="D11" s="56" t="s">
        <v>17342</v>
      </c>
      <c r="E11" s="54" t="s">
        <v>3185</v>
      </c>
    </row>
    <row r="12">
      <c r="A12" s="53">
        <v>46295.45850116898</v>
      </c>
      <c r="B12" s="54" t="s">
        <v>17347</v>
      </c>
      <c r="C12" s="55" t="s">
        <v>17348</v>
      </c>
      <c r="D12" s="56" t="s">
        <v>17342</v>
      </c>
      <c r="E12" s="54" t="s">
        <v>3185</v>
      </c>
    </row>
    <row r="13">
      <c r="A13" s="53">
        <v>46295.45850116898</v>
      </c>
      <c r="B13" s="54" t="s">
        <v>17349</v>
      </c>
      <c r="C13" s="55" t="s">
        <v>17350</v>
      </c>
      <c r="D13" s="56" t="s">
        <v>17342</v>
      </c>
      <c r="E13" s="54" t="s">
        <v>3185</v>
      </c>
    </row>
    <row r="14">
      <c r="A14" s="53">
        <v>46295.45850116898</v>
      </c>
      <c r="B14" s="54" t="s">
        <v>17351</v>
      </c>
      <c r="C14" s="55" t="s">
        <v>17352</v>
      </c>
      <c r="D14" s="56" t="s">
        <v>17342</v>
      </c>
      <c r="E14" s="54" t="s">
        <v>3185</v>
      </c>
    </row>
    <row r="15">
      <c r="A15" s="53">
        <v>46295.45850116898</v>
      </c>
      <c r="B15" s="54" t="s">
        <v>17353</v>
      </c>
      <c r="C15" s="55" t="s">
        <v>17354</v>
      </c>
      <c r="D15" s="56" t="s">
        <v>17342</v>
      </c>
      <c r="E15" s="54" t="s">
        <v>3185</v>
      </c>
    </row>
    <row r="16">
      <c r="A16" s="53">
        <v>46295.12517100695</v>
      </c>
      <c r="B16" s="54" t="s">
        <v>17340</v>
      </c>
      <c r="C16" s="55" t="s">
        <v>17341</v>
      </c>
      <c r="D16" s="56" t="s">
        <v>17342</v>
      </c>
      <c r="E16" s="54" t="s">
        <v>3185</v>
      </c>
    </row>
    <row r="17">
      <c r="A17" s="53">
        <v>46295.12517100695</v>
      </c>
      <c r="B17" s="54" t="s">
        <v>17343</v>
      </c>
      <c r="C17" s="55" t="s">
        <v>17344</v>
      </c>
      <c r="D17" s="56" t="s">
        <v>17342</v>
      </c>
      <c r="E17" s="54" t="s">
        <v>3185</v>
      </c>
    </row>
    <row r="18">
      <c r="A18" s="53">
        <v>46295.12517100695</v>
      </c>
      <c r="B18" s="54" t="s">
        <v>17345</v>
      </c>
      <c r="C18" s="55" t="s">
        <v>17346</v>
      </c>
      <c r="D18" s="56" t="s">
        <v>17342</v>
      </c>
      <c r="E18" s="54" t="s">
        <v>3185</v>
      </c>
    </row>
    <row r="19">
      <c r="A19" s="53">
        <v>46295.12517100695</v>
      </c>
      <c r="B19" s="54" t="s">
        <v>17347</v>
      </c>
      <c r="C19" s="55" t="s">
        <v>17348</v>
      </c>
      <c r="D19" s="56" t="s">
        <v>17342</v>
      </c>
      <c r="E19" s="54" t="s">
        <v>3185</v>
      </c>
    </row>
    <row r="20">
      <c r="A20" s="53">
        <v>46295.12517100695</v>
      </c>
      <c r="B20" s="54" t="s">
        <v>17349</v>
      </c>
      <c r="C20" s="55" t="s">
        <v>17350</v>
      </c>
      <c r="D20" s="56" t="s">
        <v>17342</v>
      </c>
      <c r="E20" s="54" t="s">
        <v>3185</v>
      </c>
    </row>
    <row r="21">
      <c r="A21" s="53">
        <v>46295.12517100695</v>
      </c>
      <c r="B21" s="54" t="s">
        <v>17351</v>
      </c>
      <c r="C21" s="55" t="s">
        <v>17352</v>
      </c>
      <c r="D21" s="56" t="s">
        <v>17342</v>
      </c>
      <c r="E21" s="54" t="s">
        <v>3185</v>
      </c>
    </row>
    <row r="22">
      <c r="A22" s="53">
        <v>46295.12517100695</v>
      </c>
      <c r="B22" s="54" t="s">
        <v>17353</v>
      </c>
      <c r="C22" s="55" t="s">
        <v>17354</v>
      </c>
      <c r="D22" s="56" t="s">
        <v>17342</v>
      </c>
      <c r="E22" s="54" t="s">
        <v>3185</v>
      </c>
    </row>
    <row r="23">
      <c r="A23" s="53">
        <v>46294.79182392361</v>
      </c>
      <c r="B23" s="54" t="s">
        <v>17340</v>
      </c>
      <c r="C23" s="55" t="s">
        <v>17341</v>
      </c>
      <c r="D23" s="56" t="s">
        <v>17342</v>
      </c>
      <c r="E23" s="54" t="s">
        <v>3185</v>
      </c>
    </row>
    <row r="24">
      <c r="A24" s="53">
        <v>46294.79182392361</v>
      </c>
      <c r="B24" s="54" t="s">
        <v>17343</v>
      </c>
      <c r="C24" s="55" t="s">
        <v>17344</v>
      </c>
      <c r="D24" s="56" t="s">
        <v>17342</v>
      </c>
      <c r="E24" s="54" t="s">
        <v>3185</v>
      </c>
    </row>
    <row r="25">
      <c r="A25" s="53">
        <v>46294.79182392361</v>
      </c>
      <c r="B25" s="54" t="s">
        <v>17345</v>
      </c>
      <c r="C25" s="55" t="s">
        <v>17346</v>
      </c>
      <c r="D25" s="56" t="s">
        <v>17342</v>
      </c>
      <c r="E25" s="54" t="s">
        <v>3185</v>
      </c>
    </row>
    <row r="26">
      <c r="A26" s="53">
        <v>46294.79182392361</v>
      </c>
      <c r="B26" s="54" t="s">
        <v>17347</v>
      </c>
      <c r="C26" s="55" t="s">
        <v>17348</v>
      </c>
      <c r="D26" s="56" t="s">
        <v>17342</v>
      </c>
      <c r="E26" s="54" t="s">
        <v>3185</v>
      </c>
    </row>
    <row r="27">
      <c r="A27" s="53">
        <v>46294.79182392361</v>
      </c>
      <c r="B27" s="54" t="s">
        <v>17349</v>
      </c>
      <c r="C27" s="55" t="s">
        <v>17350</v>
      </c>
      <c r="D27" s="56" t="s">
        <v>17342</v>
      </c>
      <c r="E27" s="54" t="s">
        <v>3185</v>
      </c>
    </row>
    <row r="28">
      <c r="A28" s="53">
        <v>46294.79182392361</v>
      </c>
      <c r="B28" s="54" t="s">
        <v>17351</v>
      </c>
      <c r="C28" s="55" t="s">
        <v>17352</v>
      </c>
      <c r="D28" s="56" t="s">
        <v>17342</v>
      </c>
      <c r="E28" s="54" t="s">
        <v>3185</v>
      </c>
    </row>
    <row r="29">
      <c r="A29" s="53">
        <v>46294.79182392361</v>
      </c>
      <c r="B29" s="54" t="s">
        <v>17353</v>
      </c>
      <c r="C29" s="55" t="s">
        <v>17354</v>
      </c>
      <c r="D29" s="56" t="s">
        <v>17342</v>
      </c>
      <c r="E29" s="54" t="s">
        <v>3185</v>
      </c>
    </row>
    <row r="30">
      <c r="A30" s="53">
        <v>46294.45849469907</v>
      </c>
      <c r="B30" s="54" t="s">
        <v>17340</v>
      </c>
      <c r="C30" s="55" t="s">
        <v>17341</v>
      </c>
      <c r="D30" s="56" t="s">
        <v>17342</v>
      </c>
      <c r="E30" s="54" t="s">
        <v>3185</v>
      </c>
    </row>
    <row r="31">
      <c r="A31" s="53">
        <v>46294.45849469907</v>
      </c>
      <c r="B31" s="54" t="s">
        <v>17343</v>
      </c>
      <c r="C31" s="55" t="s">
        <v>17344</v>
      </c>
      <c r="D31" s="56" t="s">
        <v>17342</v>
      </c>
      <c r="E31" s="54" t="s">
        <v>3185</v>
      </c>
    </row>
    <row r="32">
      <c r="A32" s="53">
        <v>46294.45849469907</v>
      </c>
      <c r="B32" s="54" t="s">
        <v>17345</v>
      </c>
      <c r="C32" s="55" t="s">
        <v>17346</v>
      </c>
      <c r="D32" s="56" t="s">
        <v>17342</v>
      </c>
      <c r="E32" s="54" t="s">
        <v>3185</v>
      </c>
    </row>
    <row r="33">
      <c r="A33" s="53">
        <v>46294.45849469907</v>
      </c>
      <c r="B33" s="54" t="s">
        <v>17347</v>
      </c>
      <c r="C33" s="55" t="s">
        <v>17348</v>
      </c>
      <c r="D33" s="56" t="s">
        <v>17342</v>
      </c>
      <c r="E33" s="54" t="s">
        <v>3185</v>
      </c>
    </row>
    <row r="34">
      <c r="A34" s="53">
        <v>46294.45849469907</v>
      </c>
      <c r="B34" s="54" t="s">
        <v>17349</v>
      </c>
      <c r="C34" s="55" t="s">
        <v>17350</v>
      </c>
      <c r="D34" s="56" t="s">
        <v>17342</v>
      </c>
      <c r="E34" s="54" t="s">
        <v>3185</v>
      </c>
    </row>
    <row r="35">
      <c r="A35" s="53">
        <v>46294.45849469907</v>
      </c>
      <c r="B35" s="54" t="s">
        <v>17351</v>
      </c>
      <c r="C35" s="55" t="s">
        <v>17352</v>
      </c>
      <c r="D35" s="56" t="s">
        <v>17342</v>
      </c>
      <c r="E35" s="54" t="s">
        <v>3185</v>
      </c>
    </row>
    <row r="36">
      <c r="A36" s="53">
        <v>46294.45849469907</v>
      </c>
      <c r="B36" s="54" t="s">
        <v>17353</v>
      </c>
      <c r="C36" s="55" t="s">
        <v>17354</v>
      </c>
      <c r="D36" s="56" t="s">
        <v>17342</v>
      </c>
      <c r="E36" s="54" t="s">
        <v>3185</v>
      </c>
    </row>
    <row r="37">
      <c r="A37" s="53">
        <v>46294.12515670139</v>
      </c>
      <c r="B37" s="54" t="s">
        <v>17340</v>
      </c>
      <c r="C37" s="55" t="s">
        <v>17341</v>
      </c>
      <c r="D37" s="56" t="s">
        <v>17342</v>
      </c>
      <c r="E37" s="54" t="s">
        <v>3185</v>
      </c>
    </row>
    <row r="38">
      <c r="A38" s="53">
        <v>46294.12515670139</v>
      </c>
      <c r="B38" s="54" t="s">
        <v>17343</v>
      </c>
      <c r="C38" s="55" t="s">
        <v>17344</v>
      </c>
      <c r="D38" s="56" t="s">
        <v>17342</v>
      </c>
      <c r="E38" s="54" t="s">
        <v>3185</v>
      </c>
    </row>
    <row r="39">
      <c r="A39" s="53">
        <v>46294.12515670139</v>
      </c>
      <c r="B39" s="54" t="s">
        <v>17345</v>
      </c>
      <c r="C39" s="55" t="s">
        <v>17346</v>
      </c>
      <c r="D39" s="56" t="s">
        <v>17342</v>
      </c>
      <c r="E39" s="54" t="s">
        <v>3185</v>
      </c>
    </row>
    <row r="40">
      <c r="A40" s="53">
        <v>46294.12515670139</v>
      </c>
      <c r="B40" s="54" t="s">
        <v>17347</v>
      </c>
      <c r="C40" s="55" t="s">
        <v>17348</v>
      </c>
      <c r="D40" s="56" t="s">
        <v>17342</v>
      </c>
      <c r="E40" s="54" t="s">
        <v>3185</v>
      </c>
    </row>
    <row r="41">
      <c r="A41" s="53">
        <v>46294.12515670139</v>
      </c>
      <c r="B41" s="54" t="s">
        <v>17349</v>
      </c>
      <c r="C41" s="55" t="s">
        <v>17350</v>
      </c>
      <c r="D41" s="56" t="s">
        <v>17342</v>
      </c>
      <c r="E41" s="54" t="s">
        <v>3185</v>
      </c>
    </row>
    <row r="42">
      <c r="A42" s="53">
        <v>46294.12515670139</v>
      </c>
      <c r="B42" s="54" t="s">
        <v>17351</v>
      </c>
      <c r="C42" s="55" t="s">
        <v>17352</v>
      </c>
      <c r="D42" s="56" t="s">
        <v>17342</v>
      </c>
      <c r="E42" s="54" t="s">
        <v>3185</v>
      </c>
    </row>
    <row r="43">
      <c r="A43" s="53">
        <v>46294.12515670139</v>
      </c>
      <c r="B43" s="54" t="s">
        <v>17353</v>
      </c>
      <c r="C43" s="55" t="s">
        <v>17354</v>
      </c>
      <c r="D43" s="56" t="s">
        <v>17342</v>
      </c>
      <c r="E43" s="54" t="s">
        <v>3185</v>
      </c>
    </row>
    <row r="44">
      <c r="A44" s="53">
        <v>46293.79186024306</v>
      </c>
      <c r="B44" s="54" t="s">
        <v>17340</v>
      </c>
      <c r="C44" s="55" t="s">
        <v>17341</v>
      </c>
      <c r="D44" s="56" t="s">
        <v>17342</v>
      </c>
      <c r="E44" s="54" t="s">
        <v>3185</v>
      </c>
    </row>
    <row r="45">
      <c r="A45" s="53">
        <v>46293.79186024306</v>
      </c>
      <c r="B45" s="54" t="s">
        <v>17343</v>
      </c>
      <c r="C45" s="55" t="s">
        <v>17344</v>
      </c>
      <c r="D45" s="56" t="s">
        <v>17342</v>
      </c>
      <c r="E45" s="54" t="s">
        <v>3185</v>
      </c>
    </row>
    <row r="46">
      <c r="A46" s="53">
        <v>46293.79186024306</v>
      </c>
      <c r="B46" s="54" t="s">
        <v>17345</v>
      </c>
      <c r="C46" s="55" t="s">
        <v>17346</v>
      </c>
      <c r="D46" s="56" t="s">
        <v>17342</v>
      </c>
      <c r="E46" s="54" t="s">
        <v>3185</v>
      </c>
    </row>
    <row r="47">
      <c r="A47" s="53">
        <v>46293.79186024306</v>
      </c>
      <c r="B47" s="54" t="s">
        <v>17347</v>
      </c>
      <c r="C47" s="55" t="s">
        <v>17348</v>
      </c>
      <c r="D47" s="56" t="s">
        <v>17342</v>
      </c>
      <c r="E47" s="54" t="s">
        <v>3185</v>
      </c>
    </row>
    <row r="48">
      <c r="A48" s="53">
        <v>46293.79186024306</v>
      </c>
      <c r="B48" s="54" t="s">
        <v>17349</v>
      </c>
      <c r="C48" s="55" t="s">
        <v>17350</v>
      </c>
      <c r="D48" s="56" t="s">
        <v>17342</v>
      </c>
      <c r="E48" s="54" t="s">
        <v>3185</v>
      </c>
    </row>
    <row r="49">
      <c r="A49" s="53">
        <v>46293.79186024306</v>
      </c>
      <c r="B49" s="54" t="s">
        <v>17351</v>
      </c>
      <c r="C49" s="55" t="s">
        <v>17352</v>
      </c>
      <c r="D49" s="56" t="s">
        <v>17342</v>
      </c>
      <c r="E49" s="54" t="s">
        <v>3185</v>
      </c>
    </row>
    <row r="50">
      <c r="A50" s="53">
        <v>46293.79186024306</v>
      </c>
      <c r="B50" s="54" t="s">
        <v>17353</v>
      </c>
      <c r="C50" s="55" t="s">
        <v>17354</v>
      </c>
      <c r="D50" s="56" t="s">
        <v>17342</v>
      </c>
      <c r="E50" s="54" t="s">
        <v>3185</v>
      </c>
    </row>
    <row r="51">
      <c r="A51" s="53">
        <v>46293.45850653935</v>
      </c>
      <c r="B51" s="54" t="s">
        <v>17340</v>
      </c>
      <c r="C51" s="55" t="s">
        <v>17341</v>
      </c>
      <c r="D51" s="56" t="s">
        <v>17342</v>
      </c>
      <c r="E51" s="54" t="s">
        <v>3185</v>
      </c>
    </row>
    <row r="52">
      <c r="A52" s="53">
        <v>46293.45850653935</v>
      </c>
      <c r="B52" s="54" t="s">
        <v>17343</v>
      </c>
      <c r="C52" s="55" t="s">
        <v>17344</v>
      </c>
      <c r="D52" s="56" t="s">
        <v>17342</v>
      </c>
      <c r="E52" s="54" t="s">
        <v>3185</v>
      </c>
    </row>
    <row r="53">
      <c r="A53" s="53">
        <v>46293.45850653935</v>
      </c>
      <c r="B53" s="54" t="s">
        <v>17345</v>
      </c>
      <c r="C53" s="55" t="s">
        <v>17346</v>
      </c>
      <c r="D53" s="56" t="s">
        <v>17342</v>
      </c>
      <c r="E53" s="54" t="s">
        <v>3185</v>
      </c>
    </row>
    <row r="54">
      <c r="A54" s="53">
        <v>46293.45850653935</v>
      </c>
      <c r="B54" s="54" t="s">
        <v>17347</v>
      </c>
      <c r="C54" s="55" t="s">
        <v>17348</v>
      </c>
      <c r="D54" s="56" t="s">
        <v>17342</v>
      </c>
      <c r="E54" s="54" t="s">
        <v>3185</v>
      </c>
    </row>
    <row r="55">
      <c r="A55" s="53">
        <v>46293.45850653935</v>
      </c>
      <c r="B55" s="54" t="s">
        <v>17349</v>
      </c>
      <c r="C55" s="55" t="s">
        <v>17350</v>
      </c>
      <c r="D55" s="56" t="s">
        <v>17342</v>
      </c>
      <c r="E55" s="54" t="s">
        <v>3185</v>
      </c>
    </row>
    <row r="56">
      <c r="A56" s="53">
        <v>46293.45850653935</v>
      </c>
      <c r="B56" s="54" t="s">
        <v>17351</v>
      </c>
      <c r="C56" s="55" t="s">
        <v>17352</v>
      </c>
      <c r="D56" s="56" t="s">
        <v>17342</v>
      </c>
      <c r="E56" s="54" t="s">
        <v>3185</v>
      </c>
    </row>
    <row r="57">
      <c r="A57" s="53">
        <v>46293.45850653935</v>
      </c>
      <c r="B57" s="54" t="s">
        <v>17353</v>
      </c>
      <c r="C57" s="55" t="s">
        <v>17354</v>
      </c>
      <c r="D57" s="56" t="s">
        <v>17342</v>
      </c>
      <c r="E57" s="54" t="s">
        <v>3185</v>
      </c>
    </row>
    <row r="58">
      <c r="A58" s="53">
        <v>46293.125173831024</v>
      </c>
      <c r="B58" s="54" t="s">
        <v>17340</v>
      </c>
      <c r="C58" s="55" t="s">
        <v>17341</v>
      </c>
      <c r="D58" s="56" t="s">
        <v>17342</v>
      </c>
      <c r="E58" s="54" t="s">
        <v>3185</v>
      </c>
    </row>
    <row r="59">
      <c r="A59" s="53">
        <v>46293.125173831024</v>
      </c>
      <c r="B59" s="54" t="s">
        <v>17343</v>
      </c>
      <c r="C59" s="55" t="s">
        <v>17344</v>
      </c>
      <c r="D59" s="56" t="s">
        <v>17342</v>
      </c>
      <c r="E59" s="54" t="s">
        <v>3185</v>
      </c>
    </row>
    <row r="60">
      <c r="A60" s="53">
        <v>46293.125173831024</v>
      </c>
      <c r="B60" s="54" t="s">
        <v>17345</v>
      </c>
      <c r="C60" s="55" t="s">
        <v>17346</v>
      </c>
      <c r="D60" s="56" t="s">
        <v>17342</v>
      </c>
      <c r="E60" s="54" t="s">
        <v>3185</v>
      </c>
    </row>
    <row r="61">
      <c r="A61" s="53">
        <v>46293.125173831024</v>
      </c>
      <c r="B61" s="54" t="s">
        <v>17347</v>
      </c>
      <c r="C61" s="55" t="s">
        <v>17348</v>
      </c>
      <c r="D61" s="56" t="s">
        <v>17342</v>
      </c>
      <c r="E61" s="54" t="s">
        <v>3185</v>
      </c>
    </row>
    <row r="62">
      <c r="A62" s="53">
        <v>46293.125173831024</v>
      </c>
      <c r="B62" s="54" t="s">
        <v>17349</v>
      </c>
      <c r="C62" s="55" t="s">
        <v>17350</v>
      </c>
      <c r="D62" s="56" t="s">
        <v>17342</v>
      </c>
      <c r="E62" s="54" t="s">
        <v>3185</v>
      </c>
    </row>
    <row r="63">
      <c r="A63" s="53">
        <v>46293.125173831024</v>
      </c>
      <c r="B63" s="54" t="s">
        <v>17351</v>
      </c>
      <c r="C63" s="55" t="s">
        <v>17352</v>
      </c>
      <c r="D63" s="56" t="s">
        <v>17342</v>
      </c>
      <c r="E63" s="54" t="s">
        <v>3185</v>
      </c>
    </row>
    <row r="64">
      <c r="A64" s="53">
        <v>46293.125173831024</v>
      </c>
      <c r="B64" s="54" t="s">
        <v>17353</v>
      </c>
      <c r="C64" s="55" t="s">
        <v>17354</v>
      </c>
      <c r="D64" s="56" t="s">
        <v>17342</v>
      </c>
      <c r="E64" s="54" t="s">
        <v>3185</v>
      </c>
    </row>
    <row r="65">
      <c r="A65" s="53">
        <v>46292.79182623843</v>
      </c>
      <c r="B65" s="54" t="s">
        <v>17340</v>
      </c>
      <c r="C65" s="55" t="s">
        <v>17341</v>
      </c>
      <c r="D65" s="56" t="s">
        <v>17342</v>
      </c>
      <c r="E65" s="54" t="s">
        <v>3185</v>
      </c>
    </row>
    <row r="66">
      <c r="A66" s="53">
        <v>46292.79182623843</v>
      </c>
      <c r="B66" s="54" t="s">
        <v>17343</v>
      </c>
      <c r="C66" s="55" t="s">
        <v>17344</v>
      </c>
      <c r="D66" s="56" t="s">
        <v>17342</v>
      </c>
      <c r="E66" s="54" t="s">
        <v>3185</v>
      </c>
    </row>
    <row r="67">
      <c r="A67" s="53">
        <v>46292.79182623843</v>
      </c>
      <c r="B67" s="54" t="s">
        <v>17345</v>
      </c>
      <c r="C67" s="55" t="s">
        <v>17346</v>
      </c>
      <c r="D67" s="56" t="s">
        <v>17342</v>
      </c>
      <c r="E67" s="54" t="s">
        <v>3185</v>
      </c>
    </row>
    <row r="68">
      <c r="A68" s="53">
        <v>46292.79182623843</v>
      </c>
      <c r="B68" s="54" t="s">
        <v>17347</v>
      </c>
      <c r="C68" s="55" t="s">
        <v>17348</v>
      </c>
      <c r="D68" s="56" t="s">
        <v>17342</v>
      </c>
      <c r="E68" s="54" t="s">
        <v>3185</v>
      </c>
    </row>
    <row r="69">
      <c r="A69" s="53">
        <v>46292.79182623843</v>
      </c>
      <c r="B69" s="54" t="s">
        <v>17349</v>
      </c>
      <c r="C69" s="55" t="s">
        <v>17350</v>
      </c>
      <c r="D69" s="56" t="s">
        <v>17342</v>
      </c>
      <c r="E69" s="54" t="s">
        <v>3185</v>
      </c>
    </row>
    <row r="70">
      <c r="A70" s="53">
        <v>46292.79182623843</v>
      </c>
      <c r="B70" s="54" t="s">
        <v>17351</v>
      </c>
      <c r="C70" s="55" t="s">
        <v>17352</v>
      </c>
      <c r="D70" s="56" t="s">
        <v>17342</v>
      </c>
      <c r="E70" s="54" t="s">
        <v>3185</v>
      </c>
    </row>
    <row r="71">
      <c r="A71" s="53">
        <v>46292.79182623843</v>
      </c>
      <c r="B71" s="54" t="s">
        <v>17353</v>
      </c>
      <c r="C71" s="55" t="s">
        <v>17354</v>
      </c>
      <c r="D71" s="56" t="s">
        <v>17342</v>
      </c>
      <c r="E71" s="54" t="s">
        <v>3185</v>
      </c>
    </row>
    <row r="72">
      <c r="A72" s="53">
        <v>46292.45851060185</v>
      </c>
      <c r="B72" s="54" t="s">
        <v>17340</v>
      </c>
      <c r="C72" s="55" t="s">
        <v>17341</v>
      </c>
      <c r="D72" s="56" t="s">
        <v>17342</v>
      </c>
      <c r="E72" s="54" t="s">
        <v>3185</v>
      </c>
    </row>
    <row r="73">
      <c r="A73" s="53">
        <v>46292.45851060185</v>
      </c>
      <c r="B73" s="54" t="s">
        <v>17343</v>
      </c>
      <c r="C73" s="55" t="s">
        <v>17344</v>
      </c>
      <c r="D73" s="56" t="s">
        <v>17342</v>
      </c>
      <c r="E73" s="54" t="s">
        <v>3185</v>
      </c>
    </row>
    <row r="74">
      <c r="A74" s="53">
        <v>46292.45851060185</v>
      </c>
      <c r="B74" s="54" t="s">
        <v>17345</v>
      </c>
      <c r="C74" s="55" t="s">
        <v>17346</v>
      </c>
      <c r="D74" s="56" t="s">
        <v>17342</v>
      </c>
      <c r="E74" s="54" t="s">
        <v>3185</v>
      </c>
    </row>
    <row r="75">
      <c r="A75" s="53">
        <v>46292.45851060185</v>
      </c>
      <c r="B75" s="54" t="s">
        <v>17347</v>
      </c>
      <c r="C75" s="55" t="s">
        <v>17348</v>
      </c>
      <c r="D75" s="56" t="s">
        <v>17342</v>
      </c>
      <c r="E75" s="54" t="s">
        <v>3185</v>
      </c>
    </row>
    <row r="76">
      <c r="A76" s="53">
        <v>46292.45851060185</v>
      </c>
      <c r="B76" s="54" t="s">
        <v>17349</v>
      </c>
      <c r="C76" s="55" t="s">
        <v>17350</v>
      </c>
      <c r="D76" s="56" t="s">
        <v>17342</v>
      </c>
      <c r="E76" s="54" t="s">
        <v>3185</v>
      </c>
    </row>
    <row r="77">
      <c r="A77" s="53">
        <v>46292.45851060185</v>
      </c>
      <c r="B77" s="54" t="s">
        <v>17351</v>
      </c>
      <c r="C77" s="55" t="s">
        <v>17352</v>
      </c>
      <c r="D77" s="56" t="s">
        <v>17342</v>
      </c>
      <c r="E77" s="54" t="s">
        <v>3185</v>
      </c>
    </row>
    <row r="78">
      <c r="A78" s="53">
        <v>46292.45851060185</v>
      </c>
      <c r="B78" s="54" t="s">
        <v>17353</v>
      </c>
      <c r="C78" s="55" t="s">
        <v>17354</v>
      </c>
      <c r="D78" s="56" t="s">
        <v>17342</v>
      </c>
      <c r="E78" s="54" t="s">
        <v>3185</v>
      </c>
    </row>
    <row r="79">
      <c r="A79" s="53">
        <v>46292.125160613425</v>
      </c>
      <c r="B79" s="54" t="s">
        <v>17340</v>
      </c>
      <c r="C79" s="55" t="s">
        <v>17341</v>
      </c>
      <c r="D79" s="56" t="s">
        <v>17342</v>
      </c>
      <c r="E79" s="54" t="s">
        <v>3185</v>
      </c>
    </row>
    <row r="80">
      <c r="A80" s="53">
        <v>46292.125160613425</v>
      </c>
      <c r="B80" s="54" t="s">
        <v>17343</v>
      </c>
      <c r="C80" s="55" t="s">
        <v>17344</v>
      </c>
      <c r="D80" s="56" t="s">
        <v>17342</v>
      </c>
      <c r="E80" s="54" t="s">
        <v>3185</v>
      </c>
    </row>
    <row r="81">
      <c r="A81" s="53">
        <v>46292.125160613425</v>
      </c>
      <c r="B81" s="54" t="s">
        <v>17345</v>
      </c>
      <c r="C81" s="55" t="s">
        <v>17346</v>
      </c>
      <c r="D81" s="56" t="s">
        <v>17342</v>
      </c>
      <c r="E81" s="54" t="s">
        <v>3185</v>
      </c>
    </row>
    <row r="82">
      <c r="A82" s="53">
        <v>46292.125160613425</v>
      </c>
      <c r="B82" s="54" t="s">
        <v>17347</v>
      </c>
      <c r="C82" s="55" t="s">
        <v>17348</v>
      </c>
      <c r="D82" s="56" t="s">
        <v>17342</v>
      </c>
      <c r="E82" s="54" t="s">
        <v>3185</v>
      </c>
    </row>
    <row r="83">
      <c r="A83" s="53">
        <v>46292.125160613425</v>
      </c>
      <c r="B83" s="54" t="s">
        <v>17349</v>
      </c>
      <c r="C83" s="55" t="s">
        <v>17350</v>
      </c>
      <c r="D83" s="56" t="s">
        <v>17342</v>
      </c>
      <c r="E83" s="54" t="s">
        <v>3185</v>
      </c>
    </row>
    <row r="84">
      <c r="A84" s="53">
        <v>46292.125160613425</v>
      </c>
      <c r="B84" s="54" t="s">
        <v>17351</v>
      </c>
      <c r="C84" s="55" t="s">
        <v>17352</v>
      </c>
      <c r="D84" s="56" t="s">
        <v>17342</v>
      </c>
      <c r="E84" s="54" t="s">
        <v>3185</v>
      </c>
    </row>
    <row r="85">
      <c r="A85" s="53">
        <v>46292.125160613425</v>
      </c>
      <c r="B85" s="54" t="s">
        <v>17353</v>
      </c>
      <c r="C85" s="55" t="s">
        <v>17354</v>
      </c>
      <c r="D85" s="56" t="s">
        <v>17342</v>
      </c>
      <c r="E85" s="54" t="s">
        <v>3185</v>
      </c>
    </row>
    <row r="86">
      <c r="A86" s="53">
        <v>46291.79182116898</v>
      </c>
      <c r="B86" s="54" t="s">
        <v>17340</v>
      </c>
      <c r="C86" s="55" t="s">
        <v>17341</v>
      </c>
      <c r="D86" s="56" t="s">
        <v>17342</v>
      </c>
      <c r="E86" s="54" t="s">
        <v>3185</v>
      </c>
    </row>
    <row r="87">
      <c r="A87" s="53">
        <v>46291.79182116898</v>
      </c>
      <c r="B87" s="54" t="s">
        <v>17343</v>
      </c>
      <c r="C87" s="55" t="s">
        <v>17344</v>
      </c>
      <c r="D87" s="56" t="s">
        <v>17342</v>
      </c>
      <c r="E87" s="54" t="s">
        <v>3185</v>
      </c>
    </row>
    <row r="88">
      <c r="A88" s="53">
        <v>46291.79182116898</v>
      </c>
      <c r="B88" s="54" t="s">
        <v>17345</v>
      </c>
      <c r="C88" s="55" t="s">
        <v>17346</v>
      </c>
      <c r="D88" s="56" t="s">
        <v>17342</v>
      </c>
      <c r="E88" s="54" t="s">
        <v>3185</v>
      </c>
    </row>
    <row r="89">
      <c r="A89" s="53">
        <v>46291.79182116898</v>
      </c>
      <c r="B89" s="54" t="s">
        <v>17347</v>
      </c>
      <c r="C89" s="55" t="s">
        <v>17348</v>
      </c>
      <c r="D89" s="56" t="s">
        <v>17342</v>
      </c>
      <c r="E89" s="54" t="s">
        <v>3185</v>
      </c>
    </row>
    <row r="90">
      <c r="A90" s="53">
        <v>46291.79182116898</v>
      </c>
      <c r="B90" s="54" t="s">
        <v>17349</v>
      </c>
      <c r="C90" s="55" t="s">
        <v>17350</v>
      </c>
      <c r="D90" s="56" t="s">
        <v>17342</v>
      </c>
      <c r="E90" s="54" t="s">
        <v>3185</v>
      </c>
    </row>
    <row r="91">
      <c r="A91" s="53">
        <v>46291.79182116898</v>
      </c>
      <c r="B91" s="54" t="s">
        <v>17351</v>
      </c>
      <c r="C91" s="55" t="s">
        <v>17352</v>
      </c>
      <c r="D91" s="56" t="s">
        <v>17342</v>
      </c>
      <c r="E91" s="54" t="s">
        <v>3185</v>
      </c>
    </row>
    <row r="92">
      <c r="A92" s="53">
        <v>46291.79182116898</v>
      </c>
      <c r="B92" s="54" t="s">
        <v>17353</v>
      </c>
      <c r="C92" s="55" t="s">
        <v>17354</v>
      </c>
      <c r="D92" s="56" t="s">
        <v>17342</v>
      </c>
      <c r="E92" s="54" t="s">
        <v>3185</v>
      </c>
    </row>
    <row r="93">
      <c r="A93" s="53">
        <v>46291.45849027778</v>
      </c>
      <c r="B93" s="54" t="s">
        <v>17340</v>
      </c>
      <c r="C93" s="55" t="s">
        <v>17341</v>
      </c>
      <c r="D93" s="56" t="s">
        <v>17342</v>
      </c>
      <c r="E93" s="54" t="s">
        <v>3185</v>
      </c>
    </row>
    <row r="94">
      <c r="A94" s="53">
        <v>46291.45849027778</v>
      </c>
      <c r="B94" s="54" t="s">
        <v>17343</v>
      </c>
      <c r="C94" s="55" t="s">
        <v>17344</v>
      </c>
      <c r="D94" s="56" t="s">
        <v>17342</v>
      </c>
      <c r="E94" s="54" t="s">
        <v>3185</v>
      </c>
    </row>
    <row r="95">
      <c r="A95" s="53">
        <v>46291.45849027778</v>
      </c>
      <c r="B95" s="54" t="s">
        <v>17345</v>
      </c>
      <c r="C95" s="55" t="s">
        <v>17346</v>
      </c>
      <c r="D95" s="56" t="s">
        <v>17342</v>
      </c>
      <c r="E95" s="54" t="s">
        <v>3185</v>
      </c>
    </row>
    <row r="96">
      <c r="A96" s="53">
        <v>46291.45849027778</v>
      </c>
      <c r="B96" s="54" t="s">
        <v>17347</v>
      </c>
      <c r="C96" s="55" t="s">
        <v>17348</v>
      </c>
      <c r="D96" s="56" t="s">
        <v>17342</v>
      </c>
      <c r="E96" s="54" t="s">
        <v>3185</v>
      </c>
    </row>
    <row r="97">
      <c r="A97" s="53">
        <v>46291.45849027778</v>
      </c>
      <c r="B97" s="54" t="s">
        <v>17349</v>
      </c>
      <c r="C97" s="55" t="s">
        <v>17350</v>
      </c>
      <c r="D97" s="56" t="s">
        <v>17342</v>
      </c>
      <c r="E97" s="54" t="s">
        <v>3185</v>
      </c>
    </row>
    <row r="98">
      <c r="A98" s="53">
        <v>46291.45849027778</v>
      </c>
      <c r="B98" s="54" t="s">
        <v>17351</v>
      </c>
      <c r="C98" s="55" t="s">
        <v>17352</v>
      </c>
      <c r="D98" s="56" t="s">
        <v>17342</v>
      </c>
      <c r="E98" s="54" t="s">
        <v>3185</v>
      </c>
    </row>
    <row r="99">
      <c r="A99" s="53">
        <v>46291.45849027778</v>
      </c>
      <c r="B99" s="54" t="s">
        <v>17353</v>
      </c>
      <c r="C99" s="55" t="s">
        <v>17354</v>
      </c>
      <c r="D99" s="56" t="s">
        <v>17342</v>
      </c>
      <c r="E99" s="54" t="s">
        <v>3185</v>
      </c>
    </row>
    <row r="100">
      <c r="A100" s="53">
        <v>46291.125239664354</v>
      </c>
      <c r="B100" s="54" t="s">
        <v>17340</v>
      </c>
      <c r="C100" s="55" t="s">
        <v>17341</v>
      </c>
      <c r="D100" s="56" t="s">
        <v>17342</v>
      </c>
      <c r="E100" s="54" t="s">
        <v>3185</v>
      </c>
    </row>
    <row r="101">
      <c r="A101" s="53">
        <v>46291.125239664354</v>
      </c>
      <c r="B101" s="54" t="s">
        <v>17343</v>
      </c>
      <c r="C101" s="55" t="s">
        <v>17344</v>
      </c>
      <c r="D101" s="56" t="s">
        <v>17342</v>
      </c>
      <c r="E101" s="54" t="s">
        <v>3185</v>
      </c>
    </row>
    <row r="102">
      <c r="A102" s="57"/>
      <c r="B102" s="57"/>
      <c r="C102" s="58"/>
      <c r="D102" s="57"/>
      <c r="E102" s="57"/>
    </row>
    <row r="103">
      <c r="A103" s="57"/>
      <c r="B103" s="57"/>
      <c r="C103" s="58"/>
      <c r="D103" s="57"/>
      <c r="E103" s="57"/>
    </row>
    <row r="104">
      <c r="A104" s="57"/>
      <c r="B104" s="57"/>
      <c r="C104" s="58"/>
      <c r="D104" s="57"/>
      <c r="E104" s="57"/>
    </row>
    <row r="105">
      <c r="A105" s="57"/>
      <c r="B105" s="57"/>
      <c r="C105" s="58"/>
      <c r="D105" s="57"/>
      <c r="E105" s="57"/>
    </row>
    <row r="106">
      <c r="A106" s="57"/>
      <c r="B106" s="57"/>
      <c r="C106" s="58"/>
      <c r="D106" s="57"/>
      <c r="E106" s="57"/>
    </row>
    <row r="107">
      <c r="A107" s="57"/>
      <c r="B107" s="57"/>
      <c r="C107" s="58"/>
      <c r="D107" s="57"/>
      <c r="E107" s="57"/>
    </row>
    <row r="108">
      <c r="A108" s="57"/>
      <c r="B108" s="57"/>
      <c r="C108" s="58"/>
      <c r="D108" s="57"/>
      <c r="E108" s="57"/>
    </row>
    <row r="109">
      <c r="A109" s="57"/>
      <c r="B109" s="57"/>
      <c r="C109" s="58"/>
      <c r="D109" s="57"/>
      <c r="E109" s="57"/>
    </row>
    <row r="110">
      <c r="A110" s="57"/>
      <c r="B110" s="57"/>
      <c r="C110" s="58"/>
      <c r="D110" s="57"/>
      <c r="E110" s="57"/>
    </row>
    <row r="111">
      <c r="A111" s="57"/>
      <c r="B111" s="57"/>
      <c r="C111" s="58"/>
      <c r="D111" s="57"/>
      <c r="E111" s="57"/>
    </row>
    <row r="112">
      <c r="A112" s="57"/>
      <c r="B112" s="57"/>
      <c r="C112" s="58"/>
      <c r="D112" s="57"/>
      <c r="E112" s="57"/>
    </row>
    <row r="113">
      <c r="A113" s="57"/>
      <c r="B113" s="57"/>
      <c r="C113" s="58"/>
      <c r="D113" s="57"/>
      <c r="E113" s="57"/>
    </row>
    <row r="114">
      <c r="A114" s="57"/>
      <c r="B114" s="57"/>
      <c r="C114" s="58"/>
      <c r="D114" s="57"/>
      <c r="E114" s="57"/>
    </row>
    <row r="115">
      <c r="A115" s="57"/>
      <c r="B115" s="57"/>
      <c r="C115" s="58"/>
      <c r="D115" s="57"/>
      <c r="E115" s="57"/>
    </row>
    <row r="116">
      <c r="A116" s="57"/>
      <c r="B116" s="57"/>
      <c r="C116" s="58"/>
      <c r="D116" s="57"/>
      <c r="E116" s="57"/>
    </row>
    <row r="117">
      <c r="A117" s="57"/>
      <c r="B117" s="57"/>
      <c r="C117" s="58"/>
      <c r="D117" s="57"/>
      <c r="E117" s="57"/>
    </row>
    <row r="118">
      <c r="A118" s="57"/>
      <c r="B118" s="57"/>
      <c r="C118" s="58"/>
      <c r="D118" s="57"/>
      <c r="E118" s="57"/>
    </row>
    <row r="119">
      <c r="A119" s="57"/>
      <c r="B119" s="57"/>
      <c r="C119" s="58"/>
      <c r="D119" s="57"/>
      <c r="E119" s="57"/>
    </row>
    <row r="120">
      <c r="A120" s="57"/>
      <c r="B120" s="57"/>
      <c r="C120" s="58"/>
      <c r="D120" s="57"/>
      <c r="E120" s="57"/>
    </row>
    <row r="121">
      <c r="A121" s="57"/>
      <c r="B121" s="57"/>
      <c r="C121" s="58"/>
      <c r="D121" s="57"/>
      <c r="E121" s="57"/>
    </row>
    <row r="122">
      <c r="A122" s="57"/>
      <c r="B122" s="57"/>
      <c r="C122" s="58"/>
      <c r="D122" s="57"/>
      <c r="E122" s="57"/>
    </row>
    <row r="123">
      <c r="A123" s="57"/>
      <c r="B123" s="57"/>
      <c r="C123" s="58"/>
      <c r="D123" s="57"/>
      <c r="E123" s="57"/>
    </row>
    <row r="124">
      <c r="A124" s="57"/>
      <c r="B124" s="57"/>
      <c r="C124" s="58"/>
      <c r="D124" s="57"/>
      <c r="E124" s="57"/>
    </row>
    <row r="125">
      <c r="A125" s="57"/>
      <c r="B125" s="57"/>
      <c r="C125" s="58"/>
      <c r="D125" s="57"/>
      <c r="E125" s="57"/>
    </row>
    <row r="126">
      <c r="A126" s="57"/>
      <c r="B126" s="57"/>
      <c r="C126" s="58"/>
      <c r="D126" s="57"/>
      <c r="E126" s="57"/>
    </row>
    <row r="127">
      <c r="A127" s="57"/>
      <c r="B127" s="57"/>
      <c r="C127" s="58"/>
      <c r="D127" s="57"/>
      <c r="E127" s="57"/>
    </row>
    <row r="128">
      <c r="A128" s="57"/>
      <c r="B128" s="57"/>
      <c r="C128" s="58"/>
      <c r="D128" s="57"/>
      <c r="E128" s="57"/>
    </row>
    <row r="129">
      <c r="A129" s="57"/>
      <c r="B129" s="57"/>
      <c r="C129" s="58"/>
      <c r="D129" s="57"/>
      <c r="E129" s="57"/>
    </row>
    <row r="130">
      <c r="A130" s="57"/>
      <c r="B130" s="57"/>
      <c r="C130" s="58"/>
      <c r="D130" s="57"/>
      <c r="E130" s="57"/>
    </row>
    <row r="131">
      <c r="A131" s="57"/>
      <c r="B131" s="57"/>
      <c r="C131" s="58"/>
      <c r="D131" s="57"/>
      <c r="E131" s="57"/>
    </row>
    <row r="132">
      <c r="A132" s="57"/>
      <c r="B132" s="57"/>
      <c r="C132" s="58"/>
      <c r="D132" s="57"/>
      <c r="E132" s="57"/>
    </row>
    <row r="133">
      <c r="A133" s="57"/>
      <c r="B133" s="57"/>
      <c r="C133" s="58"/>
      <c r="D133" s="57"/>
      <c r="E133" s="57"/>
    </row>
    <row r="134">
      <c r="A134" s="57"/>
      <c r="B134" s="57"/>
      <c r="C134" s="58"/>
      <c r="D134" s="57"/>
      <c r="E134" s="57"/>
    </row>
    <row r="135">
      <c r="A135" s="57"/>
      <c r="B135" s="57"/>
      <c r="C135" s="58"/>
      <c r="D135" s="57"/>
      <c r="E135" s="57"/>
    </row>
    <row r="136">
      <c r="A136" s="57"/>
      <c r="B136" s="57"/>
      <c r="C136" s="58"/>
      <c r="D136" s="57"/>
      <c r="E136" s="57"/>
    </row>
    <row r="137">
      <c r="A137" s="57"/>
      <c r="B137" s="57"/>
      <c r="C137" s="58"/>
      <c r="D137" s="57"/>
      <c r="E137" s="57"/>
    </row>
    <row r="138">
      <c r="A138" s="57"/>
      <c r="B138" s="57"/>
      <c r="C138" s="58"/>
      <c r="D138" s="57"/>
      <c r="E138" s="57"/>
    </row>
    <row r="139">
      <c r="A139" s="57"/>
      <c r="B139" s="57"/>
      <c r="C139" s="58"/>
      <c r="D139" s="57"/>
      <c r="E139" s="57"/>
    </row>
    <row r="140">
      <c r="A140" s="57"/>
      <c r="B140" s="57"/>
      <c r="C140" s="58"/>
      <c r="D140" s="57"/>
      <c r="E140" s="57"/>
    </row>
    <row r="141">
      <c r="A141" s="57"/>
      <c r="B141" s="57"/>
      <c r="C141" s="58"/>
      <c r="D141" s="57"/>
      <c r="E141" s="57"/>
    </row>
    <row r="142">
      <c r="A142" s="57"/>
      <c r="B142" s="57"/>
      <c r="C142" s="58"/>
      <c r="D142" s="57"/>
      <c r="E142" s="57"/>
    </row>
    <row r="143">
      <c r="A143" s="57"/>
      <c r="B143" s="57"/>
      <c r="C143" s="58"/>
      <c r="D143" s="57"/>
      <c r="E143" s="57"/>
    </row>
    <row r="144">
      <c r="A144" s="57"/>
      <c r="B144" s="57"/>
      <c r="C144" s="58"/>
      <c r="D144" s="57"/>
      <c r="E144" s="57"/>
    </row>
    <row r="145">
      <c r="A145" s="57"/>
      <c r="B145" s="57"/>
      <c r="C145" s="58"/>
      <c r="D145" s="57"/>
      <c r="E145" s="57"/>
    </row>
    <row r="146">
      <c r="A146" s="57"/>
      <c r="B146" s="57"/>
      <c r="C146" s="58"/>
      <c r="D146" s="57"/>
      <c r="E146" s="57"/>
    </row>
    <row r="147">
      <c r="A147" s="57"/>
      <c r="B147" s="57"/>
      <c r="C147" s="58"/>
      <c r="D147" s="57"/>
      <c r="E147" s="57"/>
    </row>
    <row r="148">
      <c r="A148" s="57"/>
      <c r="B148" s="57"/>
      <c r="C148" s="58"/>
      <c r="D148" s="57"/>
      <c r="E148" s="57"/>
    </row>
    <row r="149">
      <c r="A149" s="57"/>
      <c r="B149" s="57"/>
      <c r="C149" s="58"/>
      <c r="D149" s="57"/>
      <c r="E149" s="57"/>
    </row>
    <row r="150">
      <c r="A150" s="57"/>
      <c r="B150" s="57"/>
      <c r="C150" s="58"/>
      <c r="D150" s="57"/>
      <c r="E150" s="57"/>
    </row>
    <row r="151">
      <c r="A151" s="57"/>
      <c r="B151" s="57"/>
      <c r="C151" s="58"/>
      <c r="D151" s="57"/>
      <c r="E151" s="57"/>
    </row>
    <row r="152">
      <c r="A152" s="57"/>
      <c r="B152" s="57"/>
      <c r="C152" s="58"/>
      <c r="D152" s="57"/>
      <c r="E152" s="57"/>
    </row>
    <row r="153">
      <c r="A153" s="57"/>
      <c r="B153" s="57"/>
      <c r="C153" s="58"/>
      <c r="D153" s="57"/>
      <c r="E153" s="57"/>
    </row>
    <row r="154">
      <c r="A154" s="57"/>
      <c r="B154" s="57"/>
      <c r="C154" s="58"/>
      <c r="D154" s="57"/>
      <c r="E154" s="57"/>
    </row>
    <row r="155">
      <c r="A155" s="57"/>
      <c r="B155" s="57"/>
      <c r="C155" s="58"/>
      <c r="D155" s="57"/>
      <c r="E155" s="57"/>
    </row>
    <row r="156">
      <c r="A156" s="57"/>
      <c r="B156" s="57"/>
      <c r="C156" s="58"/>
      <c r="D156" s="57"/>
      <c r="E156" s="57"/>
    </row>
    <row r="157">
      <c r="A157" s="57"/>
      <c r="B157" s="57"/>
      <c r="C157" s="58"/>
      <c r="D157" s="57"/>
      <c r="E157" s="57"/>
    </row>
    <row r="158">
      <c r="A158" s="57"/>
      <c r="B158" s="57"/>
      <c r="C158" s="58"/>
      <c r="D158" s="57"/>
      <c r="E158" s="57"/>
    </row>
    <row r="159">
      <c r="A159" s="57"/>
      <c r="B159" s="57"/>
      <c r="C159" s="58"/>
      <c r="D159" s="57"/>
      <c r="E159" s="57"/>
    </row>
    <row r="160">
      <c r="A160" s="57"/>
      <c r="B160" s="57"/>
      <c r="C160" s="58"/>
      <c r="D160" s="57"/>
      <c r="E160" s="57"/>
    </row>
    <row r="161">
      <c r="A161" s="57"/>
      <c r="B161" s="57"/>
      <c r="C161" s="58"/>
      <c r="D161" s="57"/>
      <c r="E161" s="57"/>
    </row>
    <row r="162">
      <c r="A162" s="57"/>
      <c r="B162" s="57"/>
      <c r="C162" s="58"/>
      <c r="D162" s="57"/>
      <c r="E162" s="57"/>
    </row>
    <row r="163">
      <c r="A163" s="57"/>
      <c r="B163" s="57"/>
      <c r="C163" s="58"/>
      <c r="D163" s="57"/>
      <c r="E163" s="57"/>
    </row>
    <row r="164">
      <c r="A164" s="57"/>
      <c r="B164" s="57"/>
      <c r="C164" s="58"/>
      <c r="D164" s="57"/>
      <c r="E164" s="57"/>
    </row>
    <row r="165">
      <c r="A165" s="57"/>
      <c r="B165" s="57"/>
      <c r="C165" s="58"/>
      <c r="D165" s="57"/>
      <c r="E165" s="57"/>
    </row>
    <row r="166">
      <c r="A166" s="57"/>
      <c r="B166" s="57"/>
      <c r="C166" s="58"/>
      <c r="D166" s="57"/>
      <c r="E166" s="57"/>
    </row>
    <row r="167">
      <c r="A167" s="57"/>
      <c r="B167" s="57"/>
      <c r="C167" s="58"/>
      <c r="D167" s="57"/>
      <c r="E167" s="57"/>
    </row>
    <row r="168">
      <c r="A168" s="57"/>
      <c r="B168" s="57"/>
      <c r="C168" s="58"/>
      <c r="D168" s="57"/>
      <c r="E168" s="57"/>
    </row>
    <row r="169">
      <c r="A169" s="57"/>
      <c r="B169" s="57"/>
      <c r="C169" s="58"/>
      <c r="D169" s="57"/>
      <c r="E169" s="57"/>
    </row>
    <row r="170">
      <c r="A170" s="57"/>
      <c r="B170" s="57"/>
      <c r="C170" s="58"/>
      <c r="D170" s="57"/>
      <c r="E170" s="57"/>
    </row>
    <row r="171">
      <c r="A171" s="57"/>
      <c r="B171" s="57"/>
      <c r="C171" s="58"/>
      <c r="D171" s="57"/>
      <c r="E171" s="57"/>
    </row>
    <row r="172">
      <c r="A172" s="57"/>
      <c r="B172" s="57"/>
      <c r="C172" s="58"/>
      <c r="D172" s="57"/>
      <c r="E172" s="57"/>
    </row>
    <row r="173">
      <c r="A173" s="57"/>
      <c r="B173" s="57"/>
      <c r="C173" s="58"/>
      <c r="D173" s="57"/>
      <c r="E173" s="57"/>
    </row>
    <row r="174">
      <c r="A174" s="57"/>
      <c r="B174" s="57"/>
      <c r="C174" s="58"/>
      <c r="D174" s="57"/>
      <c r="E174" s="57"/>
    </row>
    <row r="175">
      <c r="A175" s="57"/>
      <c r="B175" s="57"/>
      <c r="C175" s="58"/>
      <c r="D175" s="57"/>
      <c r="E175" s="57"/>
    </row>
    <row r="176">
      <c r="A176" s="57"/>
      <c r="B176" s="57"/>
      <c r="C176" s="58"/>
      <c r="D176" s="57"/>
      <c r="E176" s="57"/>
    </row>
    <row r="177">
      <c r="A177" s="57"/>
      <c r="B177" s="57"/>
      <c r="C177" s="58"/>
      <c r="D177" s="57"/>
      <c r="E177" s="57"/>
    </row>
    <row r="178">
      <c r="A178" s="57"/>
      <c r="B178" s="57"/>
      <c r="C178" s="58"/>
      <c r="D178" s="57"/>
      <c r="E178" s="57"/>
    </row>
    <row r="179">
      <c r="A179" s="57"/>
      <c r="B179" s="57"/>
      <c r="C179" s="58"/>
      <c r="D179" s="57"/>
      <c r="E179" s="57"/>
    </row>
    <row r="180">
      <c r="A180" s="57"/>
      <c r="B180" s="57"/>
      <c r="C180" s="58"/>
      <c r="D180" s="57"/>
      <c r="E180" s="57"/>
    </row>
    <row r="181">
      <c r="A181" s="57"/>
      <c r="B181" s="57"/>
      <c r="C181" s="58"/>
      <c r="D181" s="57"/>
      <c r="E181" s="57"/>
    </row>
    <row r="182">
      <c r="A182" s="57"/>
      <c r="B182" s="57"/>
      <c r="C182" s="58"/>
      <c r="D182" s="57"/>
      <c r="E182" s="57"/>
    </row>
    <row r="183">
      <c r="A183" s="57"/>
      <c r="B183" s="57"/>
      <c r="C183" s="58"/>
      <c r="D183" s="57"/>
      <c r="E183" s="57"/>
    </row>
    <row r="184">
      <c r="A184" s="57"/>
      <c r="B184" s="57"/>
      <c r="C184" s="58"/>
      <c r="D184" s="57"/>
      <c r="E184" s="57"/>
    </row>
    <row r="185">
      <c r="A185" s="57"/>
      <c r="B185" s="57"/>
      <c r="C185" s="58"/>
      <c r="D185" s="57"/>
      <c r="E185" s="57"/>
    </row>
    <row r="186">
      <c r="A186" s="57"/>
      <c r="B186" s="57"/>
      <c r="C186" s="58"/>
      <c r="D186" s="57"/>
      <c r="E186" s="57"/>
    </row>
    <row r="187">
      <c r="A187" s="57"/>
      <c r="B187" s="57"/>
      <c r="C187" s="58"/>
      <c r="D187" s="57"/>
      <c r="E187" s="57"/>
    </row>
    <row r="188">
      <c r="A188" s="57"/>
      <c r="B188" s="57"/>
      <c r="C188" s="58"/>
      <c r="D188" s="57"/>
      <c r="E188" s="57"/>
    </row>
    <row r="189">
      <c r="A189" s="57"/>
      <c r="B189" s="57"/>
      <c r="C189" s="58"/>
      <c r="D189" s="57"/>
      <c r="E189" s="57"/>
    </row>
    <row r="190">
      <c r="A190" s="57"/>
      <c r="B190" s="57"/>
      <c r="C190" s="58"/>
      <c r="D190" s="57"/>
      <c r="E190" s="57"/>
    </row>
    <row r="191">
      <c r="A191" s="57"/>
      <c r="B191" s="57"/>
      <c r="C191" s="58"/>
      <c r="D191" s="57"/>
      <c r="E191" s="57"/>
    </row>
    <row r="192">
      <c r="A192" s="57"/>
      <c r="B192" s="57"/>
      <c r="C192" s="58"/>
      <c r="D192" s="57"/>
      <c r="E192" s="57"/>
    </row>
    <row r="193">
      <c r="A193" s="57"/>
      <c r="B193" s="57"/>
      <c r="C193" s="58"/>
      <c r="D193" s="57"/>
      <c r="E193" s="57"/>
    </row>
    <row r="194">
      <c r="A194" s="57"/>
      <c r="B194" s="57"/>
      <c r="C194" s="58"/>
      <c r="D194" s="57"/>
      <c r="E194" s="57"/>
    </row>
    <row r="195">
      <c r="A195" s="57"/>
      <c r="B195" s="57"/>
      <c r="C195" s="58"/>
      <c r="D195" s="57"/>
      <c r="E195" s="57"/>
    </row>
    <row r="196">
      <c r="A196" s="57"/>
      <c r="B196" s="57"/>
      <c r="C196" s="58"/>
      <c r="D196" s="57"/>
      <c r="E196" s="57"/>
    </row>
    <row r="197">
      <c r="A197" s="57"/>
      <c r="B197" s="57"/>
      <c r="C197" s="58"/>
      <c r="D197" s="57"/>
      <c r="E197" s="57"/>
    </row>
    <row r="198">
      <c r="A198" s="57"/>
      <c r="B198" s="57"/>
      <c r="C198" s="58"/>
      <c r="D198" s="57"/>
      <c r="E198" s="57"/>
    </row>
    <row r="199">
      <c r="A199" s="57"/>
      <c r="B199" s="57"/>
      <c r="C199" s="58"/>
      <c r="D199" s="57"/>
      <c r="E199" s="57"/>
    </row>
    <row r="200">
      <c r="A200" s="57"/>
      <c r="B200" s="57"/>
      <c r="C200" s="58"/>
      <c r="D200" s="57"/>
      <c r="E200" s="57"/>
    </row>
    <row r="201">
      <c r="A201" s="57"/>
      <c r="B201" s="57"/>
      <c r="C201" s="58"/>
      <c r="D201" s="57"/>
      <c r="E201" s="57"/>
    </row>
    <row r="202">
      <c r="A202" s="57"/>
      <c r="B202" s="57"/>
      <c r="C202" s="58"/>
      <c r="D202" s="57"/>
      <c r="E202" s="57"/>
    </row>
    <row r="203">
      <c r="A203" s="57"/>
      <c r="B203" s="57"/>
      <c r="C203" s="58"/>
      <c r="D203" s="57"/>
      <c r="E203" s="57"/>
    </row>
    <row r="204">
      <c r="A204" s="57"/>
      <c r="B204" s="57"/>
      <c r="C204" s="58"/>
      <c r="D204" s="57"/>
      <c r="E204" s="57"/>
    </row>
    <row r="205">
      <c r="A205" s="57"/>
      <c r="B205" s="57"/>
      <c r="C205" s="58"/>
      <c r="D205" s="57"/>
      <c r="E205" s="57"/>
    </row>
    <row r="206">
      <c r="A206" s="57"/>
      <c r="B206" s="57"/>
      <c r="C206" s="58"/>
      <c r="D206" s="57"/>
      <c r="E206" s="57"/>
    </row>
    <row r="207">
      <c r="A207" s="57"/>
      <c r="B207" s="57"/>
      <c r="C207" s="58"/>
      <c r="D207" s="57"/>
      <c r="E207" s="57"/>
    </row>
    <row r="208">
      <c r="A208" s="57"/>
      <c r="B208" s="57"/>
      <c r="C208" s="58"/>
      <c r="D208" s="57"/>
      <c r="E208" s="57"/>
    </row>
    <row r="209">
      <c r="A209" s="57"/>
      <c r="B209" s="57"/>
      <c r="C209" s="58"/>
      <c r="D209" s="57"/>
      <c r="E209" s="57"/>
    </row>
    <row r="210">
      <c r="A210" s="57"/>
      <c r="B210" s="57"/>
      <c r="C210" s="58"/>
      <c r="D210" s="57"/>
      <c r="E210" s="57"/>
    </row>
    <row r="211">
      <c r="A211" s="57"/>
      <c r="B211" s="57"/>
      <c r="C211" s="58"/>
      <c r="D211" s="57"/>
      <c r="E211" s="57"/>
    </row>
    <row r="212">
      <c r="A212" s="57"/>
      <c r="B212" s="57"/>
      <c r="C212" s="58"/>
      <c r="D212" s="57"/>
      <c r="E212" s="57"/>
    </row>
    <row r="213">
      <c r="A213" s="57"/>
      <c r="B213" s="57"/>
      <c r="C213" s="58"/>
      <c r="D213" s="57"/>
      <c r="E213" s="57"/>
    </row>
    <row r="214">
      <c r="A214" s="57"/>
      <c r="B214" s="57"/>
      <c r="C214" s="58"/>
      <c r="D214" s="57"/>
      <c r="E214" s="57"/>
    </row>
    <row r="215">
      <c r="A215" s="57"/>
      <c r="B215" s="57"/>
      <c r="C215" s="58"/>
      <c r="D215" s="57"/>
      <c r="E215" s="57"/>
    </row>
    <row r="216">
      <c r="A216" s="57"/>
      <c r="B216" s="57"/>
      <c r="C216" s="58"/>
      <c r="D216" s="57"/>
      <c r="E216" s="57"/>
    </row>
    <row r="217">
      <c r="A217" s="57"/>
      <c r="B217" s="57"/>
      <c r="C217" s="58"/>
      <c r="D217" s="57"/>
      <c r="E217" s="57"/>
    </row>
    <row r="218">
      <c r="A218" s="57"/>
      <c r="B218" s="57"/>
      <c r="C218" s="58"/>
      <c r="D218" s="57"/>
      <c r="E218" s="57"/>
    </row>
    <row r="219">
      <c r="A219" s="57"/>
      <c r="B219" s="57"/>
      <c r="C219" s="58"/>
      <c r="D219" s="57"/>
      <c r="E219" s="57"/>
    </row>
    <row r="220">
      <c r="A220" s="57"/>
      <c r="B220" s="57"/>
      <c r="C220" s="58"/>
      <c r="D220" s="57"/>
      <c r="E220" s="57"/>
    </row>
    <row r="221">
      <c r="A221" s="57"/>
      <c r="B221" s="57"/>
      <c r="C221" s="58"/>
      <c r="D221" s="57"/>
      <c r="E221" s="57"/>
    </row>
    <row r="222">
      <c r="A222" s="57"/>
      <c r="B222" s="57"/>
      <c r="C222" s="58"/>
      <c r="D222" s="57"/>
      <c r="E222" s="57"/>
    </row>
    <row r="223">
      <c r="A223" s="57"/>
      <c r="B223" s="57"/>
      <c r="C223" s="58"/>
      <c r="D223" s="57"/>
      <c r="E223" s="57"/>
    </row>
    <row r="224">
      <c r="A224" s="57"/>
      <c r="B224" s="57"/>
      <c r="C224" s="58"/>
      <c r="D224" s="57"/>
      <c r="E224" s="57"/>
    </row>
    <row r="225">
      <c r="A225" s="57"/>
      <c r="B225" s="57"/>
      <c r="C225" s="58"/>
      <c r="D225" s="57"/>
      <c r="E225" s="57"/>
    </row>
    <row r="226">
      <c r="A226" s="57"/>
      <c r="B226" s="57"/>
      <c r="C226" s="58"/>
      <c r="D226" s="57"/>
      <c r="E226" s="57"/>
    </row>
    <row r="227">
      <c r="A227" s="57"/>
      <c r="B227" s="57"/>
      <c r="C227" s="58"/>
      <c r="D227" s="57"/>
      <c r="E227" s="57"/>
    </row>
    <row r="228">
      <c r="A228" s="57"/>
      <c r="B228" s="57"/>
      <c r="C228" s="58"/>
      <c r="D228" s="57"/>
      <c r="E228" s="57"/>
    </row>
    <row r="229">
      <c r="A229" s="57"/>
      <c r="B229" s="57"/>
      <c r="C229" s="58"/>
      <c r="D229" s="57"/>
      <c r="E229" s="57"/>
    </row>
    <row r="230">
      <c r="A230" s="57"/>
      <c r="B230" s="57"/>
      <c r="C230" s="58"/>
      <c r="D230" s="57"/>
      <c r="E230" s="57"/>
    </row>
    <row r="231">
      <c r="A231" s="57"/>
      <c r="B231" s="57"/>
      <c r="C231" s="58"/>
      <c r="D231" s="57"/>
      <c r="E231" s="57"/>
    </row>
    <row r="232">
      <c r="A232" s="57"/>
      <c r="B232" s="57"/>
      <c r="C232" s="58"/>
      <c r="D232" s="57"/>
      <c r="E232" s="57"/>
    </row>
    <row r="233">
      <c r="A233" s="57"/>
      <c r="B233" s="57"/>
      <c r="C233" s="58"/>
      <c r="D233" s="57"/>
      <c r="E233" s="57"/>
    </row>
    <row r="234">
      <c r="A234" s="57"/>
      <c r="B234" s="57"/>
      <c r="C234" s="58"/>
      <c r="D234" s="57"/>
      <c r="E234" s="57"/>
    </row>
    <row r="235">
      <c r="A235" s="57"/>
      <c r="B235" s="57"/>
      <c r="C235" s="58"/>
      <c r="D235" s="57"/>
      <c r="E235" s="57"/>
    </row>
    <row r="236">
      <c r="A236" s="57"/>
      <c r="B236" s="57"/>
      <c r="C236" s="58"/>
      <c r="D236" s="57"/>
      <c r="E236" s="57"/>
    </row>
    <row r="237">
      <c r="A237" s="57"/>
      <c r="B237" s="57"/>
      <c r="C237" s="58"/>
      <c r="D237" s="57"/>
      <c r="E237" s="57"/>
    </row>
    <row r="238">
      <c r="A238" s="57"/>
      <c r="B238" s="57"/>
      <c r="C238" s="58"/>
      <c r="D238" s="57"/>
      <c r="E238" s="57"/>
    </row>
    <row r="239">
      <c r="A239" s="57"/>
      <c r="B239" s="57"/>
      <c r="C239" s="58"/>
      <c r="D239" s="57"/>
      <c r="E239" s="57"/>
    </row>
    <row r="240">
      <c r="A240" s="57"/>
      <c r="B240" s="57"/>
      <c r="C240" s="58"/>
      <c r="D240" s="57"/>
      <c r="E240" s="57"/>
    </row>
    <row r="241">
      <c r="A241" s="57"/>
      <c r="B241" s="57"/>
      <c r="C241" s="58"/>
      <c r="D241" s="57"/>
      <c r="E241" s="57"/>
    </row>
    <row r="242">
      <c r="A242" s="57"/>
      <c r="B242" s="57"/>
      <c r="C242" s="58"/>
      <c r="D242" s="57"/>
      <c r="E242" s="57"/>
    </row>
    <row r="243">
      <c r="A243" s="57"/>
      <c r="B243" s="57"/>
      <c r="C243" s="58"/>
      <c r="D243" s="57"/>
      <c r="E243" s="57"/>
    </row>
    <row r="244">
      <c r="A244" s="57"/>
      <c r="B244" s="57"/>
      <c r="C244" s="58"/>
      <c r="D244" s="57"/>
      <c r="E244" s="57"/>
    </row>
    <row r="245">
      <c r="A245" s="57"/>
      <c r="B245" s="57"/>
      <c r="C245" s="58"/>
      <c r="D245" s="57"/>
      <c r="E245" s="57"/>
    </row>
    <row r="246">
      <c r="A246" s="57"/>
      <c r="B246" s="57"/>
      <c r="C246" s="58"/>
      <c r="D246" s="57"/>
      <c r="E246" s="57"/>
    </row>
    <row r="247">
      <c r="A247" s="57"/>
      <c r="B247" s="57"/>
      <c r="C247" s="58"/>
      <c r="D247" s="57"/>
      <c r="E247" s="57"/>
    </row>
    <row r="248">
      <c r="A248" s="57"/>
      <c r="B248" s="57"/>
      <c r="C248" s="58"/>
      <c r="D248" s="57"/>
      <c r="E248" s="57"/>
    </row>
    <row r="249">
      <c r="A249" s="57"/>
      <c r="B249" s="57"/>
      <c r="C249" s="58"/>
      <c r="D249" s="57"/>
      <c r="E249" s="57"/>
    </row>
    <row r="250">
      <c r="A250" s="57"/>
      <c r="B250" s="57"/>
      <c r="C250" s="58"/>
      <c r="D250" s="57"/>
      <c r="E250" s="57"/>
    </row>
    <row r="251">
      <c r="A251" s="57"/>
      <c r="B251" s="57"/>
      <c r="C251" s="58"/>
      <c r="D251" s="57"/>
      <c r="E251" s="57"/>
    </row>
    <row r="252">
      <c r="A252" s="57"/>
      <c r="B252" s="57"/>
      <c r="C252" s="58"/>
      <c r="D252" s="57"/>
      <c r="E252" s="57"/>
    </row>
    <row r="253">
      <c r="A253" s="57"/>
      <c r="B253" s="57"/>
      <c r="C253" s="58"/>
      <c r="D253" s="57"/>
      <c r="E253" s="57"/>
    </row>
    <row r="254">
      <c r="A254" s="57"/>
      <c r="B254" s="57"/>
      <c r="C254" s="58"/>
      <c r="D254" s="57"/>
      <c r="E254" s="57"/>
    </row>
    <row r="255">
      <c r="A255" s="57"/>
      <c r="B255" s="57"/>
      <c r="C255" s="58"/>
      <c r="D255" s="57"/>
      <c r="E255" s="57"/>
    </row>
    <row r="256">
      <c r="A256" s="57"/>
      <c r="B256" s="57"/>
      <c r="C256" s="58"/>
      <c r="D256" s="57"/>
      <c r="E256" s="57"/>
    </row>
    <row r="257">
      <c r="A257" s="57"/>
      <c r="B257" s="57"/>
      <c r="C257" s="58"/>
      <c r="D257" s="57"/>
      <c r="E257" s="57"/>
    </row>
    <row r="258">
      <c r="A258" s="57"/>
      <c r="B258" s="57"/>
      <c r="C258" s="58"/>
      <c r="D258" s="57"/>
      <c r="E258" s="57"/>
    </row>
    <row r="259">
      <c r="A259" s="57"/>
      <c r="B259" s="57"/>
      <c r="C259" s="58"/>
      <c r="D259" s="57"/>
      <c r="E259" s="57"/>
    </row>
    <row r="260">
      <c r="A260" s="57"/>
      <c r="B260" s="57"/>
      <c r="C260" s="58"/>
      <c r="D260" s="57"/>
      <c r="E260" s="57"/>
    </row>
    <row r="261">
      <c r="A261" s="57"/>
      <c r="B261" s="57"/>
      <c r="C261" s="58"/>
      <c r="D261" s="57"/>
      <c r="E261" s="57"/>
    </row>
    <row r="262">
      <c r="A262" s="57"/>
      <c r="B262" s="57"/>
      <c r="C262" s="58"/>
      <c r="D262" s="57"/>
      <c r="E262" s="57"/>
    </row>
    <row r="263">
      <c r="A263" s="57"/>
      <c r="B263" s="57"/>
      <c r="C263" s="58"/>
      <c r="D263" s="57"/>
      <c r="E263" s="57"/>
    </row>
    <row r="264">
      <c r="A264" s="57"/>
      <c r="B264" s="57"/>
      <c r="C264" s="58"/>
      <c r="D264" s="57"/>
      <c r="E264" s="57"/>
    </row>
    <row r="265">
      <c r="A265" s="57"/>
      <c r="B265" s="57"/>
      <c r="C265" s="58"/>
      <c r="D265" s="57"/>
      <c r="E265" s="57"/>
    </row>
    <row r="266">
      <c r="A266" s="57"/>
      <c r="B266" s="57"/>
      <c r="C266" s="58"/>
      <c r="D266" s="57"/>
      <c r="E266" s="57"/>
    </row>
    <row r="267">
      <c r="A267" s="57"/>
      <c r="B267" s="57"/>
      <c r="C267" s="58"/>
      <c r="D267" s="57"/>
      <c r="E267" s="57"/>
    </row>
    <row r="268">
      <c r="A268" s="57"/>
      <c r="B268" s="57"/>
      <c r="C268" s="58"/>
      <c r="D268" s="57"/>
      <c r="E268" s="57"/>
    </row>
    <row r="269">
      <c r="A269" s="57"/>
      <c r="B269" s="57"/>
      <c r="C269" s="58"/>
      <c r="D269" s="57"/>
      <c r="E269" s="57"/>
    </row>
    <row r="270">
      <c r="A270" s="57"/>
      <c r="B270" s="57"/>
      <c r="C270" s="58"/>
      <c r="D270" s="57"/>
      <c r="E270" s="57"/>
    </row>
    <row r="271">
      <c r="A271" s="57"/>
      <c r="B271" s="57"/>
      <c r="C271" s="58"/>
      <c r="D271" s="57"/>
      <c r="E271" s="57"/>
    </row>
    <row r="272">
      <c r="A272" s="57"/>
      <c r="B272" s="57"/>
      <c r="C272" s="58"/>
      <c r="D272" s="57"/>
      <c r="E272" s="57"/>
    </row>
    <row r="273">
      <c r="A273" s="57"/>
      <c r="B273" s="57"/>
      <c r="C273" s="58"/>
      <c r="D273" s="57"/>
      <c r="E273" s="57"/>
    </row>
    <row r="274">
      <c r="A274" s="57"/>
      <c r="B274" s="57"/>
      <c r="C274" s="58"/>
      <c r="D274" s="57"/>
      <c r="E274" s="57"/>
    </row>
    <row r="275">
      <c r="A275" s="57"/>
      <c r="B275" s="57"/>
      <c r="C275" s="58"/>
      <c r="D275" s="57"/>
      <c r="E275" s="57"/>
    </row>
    <row r="276">
      <c r="A276" s="57"/>
      <c r="B276" s="57"/>
      <c r="C276" s="58"/>
      <c r="D276" s="57"/>
      <c r="E276" s="57"/>
    </row>
    <row r="277">
      <c r="A277" s="57"/>
      <c r="B277" s="57"/>
      <c r="C277" s="58"/>
      <c r="D277" s="57"/>
      <c r="E277" s="57"/>
    </row>
    <row r="278">
      <c r="A278" s="57"/>
      <c r="B278" s="57"/>
      <c r="C278" s="58"/>
      <c r="D278" s="57"/>
      <c r="E278" s="57"/>
    </row>
    <row r="279">
      <c r="A279" s="57"/>
      <c r="B279" s="57"/>
      <c r="C279" s="58"/>
      <c r="D279" s="57"/>
      <c r="E279" s="57"/>
    </row>
    <row r="280">
      <c r="A280" s="57"/>
      <c r="B280" s="57"/>
      <c r="C280" s="58"/>
      <c r="D280" s="57"/>
      <c r="E280" s="57"/>
    </row>
    <row r="281">
      <c r="A281" s="57"/>
      <c r="B281" s="57"/>
      <c r="C281" s="58"/>
      <c r="D281" s="57"/>
      <c r="E281" s="57"/>
    </row>
    <row r="282">
      <c r="A282" s="57"/>
      <c r="B282" s="57"/>
      <c r="C282" s="58"/>
      <c r="D282" s="57"/>
      <c r="E282" s="57"/>
    </row>
    <row r="283">
      <c r="A283" s="57"/>
      <c r="B283" s="57"/>
      <c r="C283" s="58"/>
      <c r="D283" s="57"/>
      <c r="E283" s="57"/>
    </row>
    <row r="284">
      <c r="A284" s="57"/>
      <c r="B284" s="57"/>
      <c r="C284" s="58"/>
      <c r="D284" s="57"/>
      <c r="E284" s="57"/>
    </row>
    <row r="285">
      <c r="A285" s="57"/>
      <c r="B285" s="57"/>
      <c r="C285" s="58"/>
      <c r="D285" s="57"/>
      <c r="E285" s="57"/>
    </row>
    <row r="286">
      <c r="A286" s="57"/>
      <c r="B286" s="57"/>
      <c r="C286" s="58"/>
      <c r="D286" s="57"/>
      <c r="E286" s="57"/>
    </row>
    <row r="287">
      <c r="A287" s="57"/>
      <c r="B287" s="57"/>
      <c r="C287" s="58"/>
      <c r="D287" s="57"/>
      <c r="E287" s="57"/>
    </row>
    <row r="288">
      <c r="A288" s="57"/>
      <c r="B288" s="57"/>
      <c r="C288" s="58"/>
      <c r="D288" s="57"/>
      <c r="E288" s="57"/>
    </row>
    <row r="289">
      <c r="A289" s="57"/>
      <c r="B289" s="57"/>
      <c r="C289" s="58"/>
      <c r="D289" s="57"/>
      <c r="E289" s="57"/>
    </row>
    <row r="290">
      <c r="A290" s="57"/>
      <c r="B290" s="57"/>
      <c r="C290" s="58"/>
      <c r="D290" s="57"/>
      <c r="E290" s="57"/>
    </row>
    <row r="291">
      <c r="A291" s="57"/>
      <c r="B291" s="57"/>
      <c r="C291" s="58"/>
      <c r="D291" s="57"/>
      <c r="E291" s="57"/>
    </row>
    <row r="292">
      <c r="A292" s="57"/>
      <c r="B292" s="57"/>
      <c r="C292" s="58"/>
      <c r="D292" s="57"/>
      <c r="E292" s="57"/>
    </row>
    <row r="293">
      <c r="A293" s="57"/>
      <c r="B293" s="57"/>
      <c r="C293" s="58"/>
      <c r="D293" s="57"/>
      <c r="E293" s="57"/>
    </row>
    <row r="294">
      <c r="A294" s="57"/>
      <c r="B294" s="57"/>
      <c r="C294" s="58"/>
      <c r="D294" s="57"/>
      <c r="E294" s="57"/>
    </row>
    <row r="295">
      <c r="A295" s="57"/>
      <c r="B295" s="57"/>
      <c r="C295" s="58"/>
      <c r="D295" s="57"/>
      <c r="E295" s="57"/>
    </row>
    <row r="296">
      <c r="A296" s="57"/>
      <c r="B296" s="57"/>
      <c r="C296" s="58"/>
      <c r="D296" s="57"/>
      <c r="E296" s="57"/>
    </row>
    <row r="297">
      <c r="A297" s="57"/>
      <c r="B297" s="57"/>
      <c r="C297" s="58"/>
      <c r="D297" s="57"/>
      <c r="E297" s="57"/>
    </row>
    <row r="298">
      <c r="A298" s="57"/>
      <c r="B298" s="57"/>
      <c r="C298" s="58"/>
      <c r="D298" s="57"/>
      <c r="E298" s="57"/>
    </row>
    <row r="299">
      <c r="A299" s="57"/>
      <c r="B299" s="57"/>
      <c r="C299" s="58"/>
      <c r="D299" s="57"/>
      <c r="E299" s="57"/>
    </row>
    <row r="300">
      <c r="A300" s="57"/>
      <c r="B300" s="57"/>
      <c r="C300" s="58"/>
      <c r="D300" s="57"/>
      <c r="E300" s="57"/>
    </row>
    <row r="301">
      <c r="A301" s="57"/>
      <c r="B301" s="57"/>
      <c r="C301" s="58"/>
      <c r="D301" s="57"/>
      <c r="E301" s="57"/>
    </row>
    <row r="302">
      <c r="A302" s="57"/>
      <c r="B302" s="57"/>
      <c r="C302" s="58"/>
      <c r="D302" s="57"/>
      <c r="E302" s="57"/>
    </row>
    <row r="303">
      <c r="A303" s="57"/>
      <c r="B303" s="57"/>
      <c r="C303" s="58"/>
      <c r="D303" s="57"/>
      <c r="E303" s="57"/>
    </row>
    <row r="304">
      <c r="A304" s="57"/>
      <c r="B304" s="57"/>
      <c r="C304" s="58"/>
      <c r="D304" s="57"/>
      <c r="E304" s="57"/>
    </row>
    <row r="305">
      <c r="A305" s="57"/>
      <c r="B305" s="57"/>
      <c r="C305" s="58"/>
      <c r="D305" s="57"/>
      <c r="E305" s="57"/>
    </row>
    <row r="306">
      <c r="A306" s="57"/>
      <c r="B306" s="57"/>
      <c r="C306" s="58"/>
      <c r="D306" s="57"/>
      <c r="E306" s="57"/>
    </row>
    <row r="307">
      <c r="A307" s="57"/>
      <c r="B307" s="57"/>
      <c r="C307" s="58"/>
      <c r="D307" s="57"/>
      <c r="E307" s="57"/>
    </row>
    <row r="308">
      <c r="A308" s="57"/>
      <c r="B308" s="57"/>
      <c r="C308" s="58"/>
      <c r="D308" s="57"/>
      <c r="E308" s="57"/>
    </row>
    <row r="309">
      <c r="A309" s="57"/>
      <c r="B309" s="57"/>
      <c r="C309" s="58"/>
      <c r="D309" s="57"/>
      <c r="E309" s="57"/>
    </row>
    <row r="310">
      <c r="A310" s="57"/>
      <c r="B310" s="57"/>
      <c r="C310" s="58"/>
      <c r="D310" s="57"/>
      <c r="E310" s="57"/>
    </row>
    <row r="311">
      <c r="A311" s="57"/>
      <c r="B311" s="57"/>
      <c r="C311" s="58"/>
      <c r="D311" s="57"/>
      <c r="E311" s="57"/>
    </row>
    <row r="312">
      <c r="A312" s="57"/>
      <c r="B312" s="57"/>
      <c r="C312" s="58"/>
      <c r="D312" s="57"/>
      <c r="E312" s="57"/>
    </row>
    <row r="313">
      <c r="A313" s="57"/>
      <c r="B313" s="57"/>
      <c r="C313" s="58"/>
      <c r="D313" s="57"/>
      <c r="E313" s="57"/>
    </row>
    <row r="314">
      <c r="A314" s="57"/>
      <c r="B314" s="57"/>
      <c r="C314" s="58"/>
      <c r="D314" s="57"/>
      <c r="E314" s="57"/>
    </row>
    <row r="315">
      <c r="A315" s="57"/>
      <c r="B315" s="57"/>
      <c r="C315" s="58"/>
      <c r="D315" s="57"/>
      <c r="E315" s="57"/>
    </row>
    <row r="316">
      <c r="A316" s="57"/>
      <c r="B316" s="57"/>
      <c r="C316" s="58"/>
      <c r="D316" s="57"/>
      <c r="E316" s="57"/>
    </row>
    <row r="317">
      <c r="A317" s="57"/>
      <c r="B317" s="57"/>
      <c r="C317" s="58"/>
      <c r="D317" s="57"/>
      <c r="E317" s="57"/>
    </row>
    <row r="318">
      <c r="A318" s="57"/>
      <c r="B318" s="57"/>
      <c r="C318" s="58"/>
      <c r="D318" s="57"/>
      <c r="E318" s="57"/>
    </row>
    <row r="319">
      <c r="A319" s="57"/>
      <c r="B319" s="57"/>
      <c r="C319" s="58"/>
      <c r="D319" s="57"/>
      <c r="E319" s="57"/>
    </row>
    <row r="320">
      <c r="A320" s="57"/>
      <c r="B320" s="57"/>
      <c r="C320" s="58"/>
      <c r="D320" s="57"/>
      <c r="E320" s="57"/>
    </row>
    <row r="321">
      <c r="A321" s="57"/>
      <c r="B321" s="57"/>
      <c r="C321" s="58"/>
      <c r="D321" s="57"/>
      <c r="E321" s="57"/>
    </row>
    <row r="322">
      <c r="A322" s="57"/>
      <c r="B322" s="57"/>
      <c r="C322" s="58"/>
      <c r="D322" s="57"/>
      <c r="E322" s="57"/>
    </row>
    <row r="323">
      <c r="A323" s="57"/>
      <c r="B323" s="57"/>
      <c r="C323" s="58"/>
      <c r="D323" s="57"/>
      <c r="E323" s="57"/>
    </row>
    <row r="324">
      <c r="A324" s="57"/>
      <c r="B324" s="57"/>
      <c r="C324" s="58"/>
      <c r="D324" s="57"/>
      <c r="E324" s="57"/>
    </row>
    <row r="325">
      <c r="A325" s="57"/>
      <c r="B325" s="57"/>
      <c r="C325" s="58"/>
      <c r="D325" s="57"/>
      <c r="E325" s="57"/>
    </row>
    <row r="326">
      <c r="A326" s="57"/>
      <c r="B326" s="57"/>
      <c r="C326" s="58"/>
      <c r="D326" s="57"/>
      <c r="E326" s="57"/>
    </row>
    <row r="327">
      <c r="A327" s="57"/>
      <c r="B327" s="57"/>
      <c r="C327" s="58"/>
      <c r="D327" s="57"/>
      <c r="E327" s="57"/>
    </row>
    <row r="328">
      <c r="A328" s="57"/>
      <c r="B328" s="57"/>
      <c r="C328" s="58"/>
      <c r="D328" s="57"/>
      <c r="E328" s="57"/>
    </row>
    <row r="329">
      <c r="A329" s="57"/>
      <c r="B329" s="57"/>
      <c r="C329" s="58"/>
      <c r="D329" s="57"/>
      <c r="E329" s="57"/>
    </row>
    <row r="330">
      <c r="A330" s="57"/>
      <c r="B330" s="57"/>
      <c r="C330" s="58"/>
      <c r="D330" s="57"/>
      <c r="E330" s="57"/>
    </row>
    <row r="331">
      <c r="A331" s="57"/>
      <c r="B331" s="57"/>
      <c r="C331" s="58"/>
      <c r="D331" s="57"/>
      <c r="E331" s="57"/>
    </row>
    <row r="332">
      <c r="A332" s="57"/>
      <c r="B332" s="57"/>
      <c r="C332" s="58"/>
      <c r="D332" s="57"/>
      <c r="E332" s="57"/>
    </row>
    <row r="333">
      <c r="A333" s="57"/>
      <c r="B333" s="57"/>
      <c r="C333" s="58"/>
      <c r="D333" s="57"/>
      <c r="E333" s="57"/>
    </row>
    <row r="334">
      <c r="A334" s="57"/>
      <c r="B334" s="57"/>
      <c r="C334" s="58"/>
      <c r="D334" s="57"/>
      <c r="E334" s="57"/>
    </row>
    <row r="335">
      <c r="A335" s="57"/>
      <c r="B335" s="57"/>
      <c r="C335" s="58"/>
      <c r="D335" s="57"/>
      <c r="E335" s="57"/>
    </row>
    <row r="336">
      <c r="A336" s="57"/>
      <c r="B336" s="57"/>
      <c r="C336" s="58"/>
      <c r="D336" s="57"/>
      <c r="E336" s="57"/>
    </row>
    <row r="337">
      <c r="A337" s="57"/>
      <c r="B337" s="57"/>
      <c r="C337" s="58"/>
      <c r="D337" s="57"/>
      <c r="E337" s="57"/>
    </row>
    <row r="338">
      <c r="A338" s="57"/>
      <c r="B338" s="57"/>
      <c r="C338" s="58"/>
      <c r="D338" s="57"/>
      <c r="E338" s="57"/>
    </row>
    <row r="339">
      <c r="A339" s="57"/>
      <c r="B339" s="57"/>
      <c r="C339" s="58"/>
      <c r="D339" s="57"/>
      <c r="E339" s="57"/>
    </row>
    <row r="340">
      <c r="A340" s="57"/>
      <c r="B340" s="57"/>
      <c r="C340" s="58"/>
      <c r="D340" s="57"/>
      <c r="E340" s="57"/>
    </row>
    <row r="341">
      <c r="A341" s="57"/>
      <c r="B341" s="57"/>
      <c r="C341" s="58"/>
      <c r="D341" s="57"/>
      <c r="E341" s="57"/>
    </row>
    <row r="342">
      <c r="A342" s="57"/>
      <c r="B342" s="57"/>
      <c r="C342" s="58"/>
      <c r="D342" s="57"/>
      <c r="E342" s="57"/>
    </row>
    <row r="343">
      <c r="A343" s="57"/>
      <c r="B343" s="57"/>
      <c r="C343" s="58"/>
      <c r="D343" s="57"/>
      <c r="E343" s="57"/>
    </row>
    <row r="344">
      <c r="A344" s="57"/>
      <c r="B344" s="57"/>
      <c r="C344" s="58"/>
      <c r="D344" s="57"/>
      <c r="E344" s="57"/>
    </row>
    <row r="345">
      <c r="A345" s="57"/>
      <c r="B345" s="57"/>
      <c r="C345" s="58"/>
      <c r="D345" s="57"/>
      <c r="E345" s="57"/>
    </row>
    <row r="346">
      <c r="A346" s="57"/>
      <c r="B346" s="57"/>
      <c r="C346" s="58"/>
      <c r="D346" s="57"/>
      <c r="E346" s="57"/>
    </row>
    <row r="347">
      <c r="A347" s="57"/>
      <c r="B347" s="57"/>
      <c r="C347" s="58"/>
      <c r="D347" s="57"/>
      <c r="E347" s="57"/>
    </row>
    <row r="348">
      <c r="A348" s="57"/>
      <c r="B348" s="57"/>
      <c r="C348" s="58"/>
      <c r="D348" s="57"/>
      <c r="E348" s="57"/>
    </row>
    <row r="349">
      <c r="A349" s="57"/>
      <c r="B349" s="57"/>
      <c r="C349" s="58"/>
      <c r="D349" s="57"/>
      <c r="E349" s="57"/>
    </row>
    <row r="350">
      <c r="A350" s="57"/>
      <c r="B350" s="57"/>
      <c r="C350" s="58"/>
      <c r="D350" s="57"/>
      <c r="E350" s="57"/>
    </row>
    <row r="351">
      <c r="A351" s="57"/>
      <c r="B351" s="57"/>
      <c r="C351" s="58"/>
      <c r="D351" s="57"/>
      <c r="E351" s="57"/>
    </row>
    <row r="352">
      <c r="A352" s="57"/>
      <c r="B352" s="57"/>
      <c r="C352" s="58"/>
      <c r="D352" s="57"/>
      <c r="E352" s="57"/>
    </row>
    <row r="353">
      <c r="A353" s="57"/>
      <c r="B353" s="57"/>
      <c r="C353" s="58"/>
      <c r="D353" s="57"/>
      <c r="E353" s="57"/>
    </row>
    <row r="354">
      <c r="A354" s="57"/>
      <c r="B354" s="57"/>
      <c r="C354" s="58"/>
      <c r="D354" s="57"/>
      <c r="E354" s="57"/>
    </row>
    <row r="355">
      <c r="A355" s="57"/>
      <c r="B355" s="57"/>
      <c r="C355" s="58"/>
      <c r="D355" s="57"/>
      <c r="E355" s="57"/>
    </row>
    <row r="356">
      <c r="A356" s="57"/>
      <c r="B356" s="57"/>
      <c r="C356" s="58"/>
      <c r="D356" s="57"/>
      <c r="E356" s="57"/>
    </row>
    <row r="357">
      <c r="A357" s="57"/>
      <c r="B357" s="57"/>
      <c r="C357" s="58"/>
      <c r="D357" s="57"/>
      <c r="E357" s="57"/>
    </row>
    <row r="358">
      <c r="A358" s="57"/>
      <c r="B358" s="57"/>
      <c r="C358" s="58"/>
      <c r="D358" s="57"/>
      <c r="E358" s="57"/>
    </row>
    <row r="359">
      <c r="A359" s="57"/>
      <c r="B359" s="57"/>
      <c r="C359" s="58"/>
      <c r="D359" s="57"/>
      <c r="E359" s="57"/>
    </row>
    <row r="360">
      <c r="A360" s="57"/>
      <c r="B360" s="57"/>
      <c r="C360" s="58"/>
      <c r="D360" s="57"/>
      <c r="E360" s="57"/>
    </row>
    <row r="361">
      <c r="A361" s="57"/>
      <c r="B361" s="57"/>
      <c r="C361" s="58"/>
      <c r="D361" s="57"/>
      <c r="E361" s="57"/>
    </row>
    <row r="362">
      <c r="A362" s="57"/>
      <c r="B362" s="57"/>
      <c r="C362" s="58"/>
      <c r="D362" s="57"/>
      <c r="E362" s="57"/>
    </row>
    <row r="363">
      <c r="A363" s="57"/>
      <c r="B363" s="57"/>
      <c r="C363" s="58"/>
      <c r="D363" s="57"/>
      <c r="E363" s="57"/>
    </row>
    <row r="364">
      <c r="A364" s="57"/>
      <c r="B364" s="57"/>
      <c r="C364" s="58"/>
      <c r="D364" s="57"/>
      <c r="E364" s="57"/>
    </row>
    <row r="365">
      <c r="A365" s="57"/>
      <c r="B365" s="57"/>
      <c r="C365" s="58"/>
      <c r="D365" s="57"/>
      <c r="E365" s="57"/>
    </row>
    <row r="366">
      <c r="A366" s="57"/>
      <c r="B366" s="57"/>
      <c r="C366" s="58"/>
      <c r="D366" s="57"/>
      <c r="E366" s="57"/>
    </row>
    <row r="367">
      <c r="A367" s="57"/>
      <c r="B367" s="57"/>
      <c r="C367" s="58"/>
      <c r="D367" s="57"/>
      <c r="E367" s="57"/>
    </row>
    <row r="368">
      <c r="A368" s="57"/>
      <c r="B368" s="57"/>
      <c r="C368" s="58"/>
      <c r="D368" s="57"/>
      <c r="E368" s="57"/>
    </row>
    <row r="369">
      <c r="A369" s="57"/>
      <c r="B369" s="57"/>
      <c r="C369" s="58"/>
      <c r="D369" s="57"/>
      <c r="E369" s="57"/>
    </row>
    <row r="370">
      <c r="A370" s="57"/>
      <c r="B370" s="57"/>
      <c r="C370" s="58"/>
      <c r="D370" s="57"/>
      <c r="E370" s="57"/>
    </row>
    <row r="371">
      <c r="A371" s="57"/>
      <c r="B371" s="57"/>
      <c r="C371" s="58"/>
      <c r="D371" s="57"/>
      <c r="E371" s="57"/>
    </row>
    <row r="372">
      <c r="A372" s="57"/>
      <c r="B372" s="57"/>
      <c r="C372" s="58"/>
      <c r="D372" s="57"/>
      <c r="E372" s="57"/>
    </row>
    <row r="373">
      <c r="A373" s="57"/>
      <c r="B373" s="57"/>
      <c r="C373" s="58"/>
      <c r="D373" s="57"/>
      <c r="E373" s="57"/>
    </row>
    <row r="374">
      <c r="A374" s="57"/>
      <c r="B374" s="57"/>
      <c r="C374" s="58"/>
      <c r="D374" s="57"/>
      <c r="E374" s="57"/>
    </row>
    <row r="375">
      <c r="A375" s="57"/>
      <c r="B375" s="57"/>
      <c r="C375" s="58"/>
      <c r="D375" s="57"/>
      <c r="E375" s="57"/>
    </row>
    <row r="376">
      <c r="A376" s="57"/>
      <c r="B376" s="57"/>
      <c r="C376" s="58"/>
      <c r="D376" s="57"/>
      <c r="E376" s="57"/>
    </row>
    <row r="377">
      <c r="A377" s="57"/>
      <c r="B377" s="57"/>
      <c r="C377" s="58"/>
      <c r="D377" s="57"/>
      <c r="E377" s="57"/>
    </row>
    <row r="378">
      <c r="A378" s="57"/>
      <c r="B378" s="57"/>
      <c r="C378" s="58"/>
      <c r="D378" s="57"/>
      <c r="E378" s="57"/>
    </row>
    <row r="379">
      <c r="A379" s="57"/>
      <c r="B379" s="57"/>
      <c r="C379" s="58"/>
      <c r="D379" s="57"/>
      <c r="E379" s="57"/>
    </row>
    <row r="380">
      <c r="A380" s="57"/>
      <c r="B380" s="57"/>
      <c r="C380" s="58"/>
      <c r="D380" s="57"/>
      <c r="E380" s="57"/>
    </row>
    <row r="381">
      <c r="A381" s="57"/>
      <c r="B381" s="57"/>
      <c r="C381" s="58"/>
      <c r="D381" s="57"/>
      <c r="E381" s="57"/>
    </row>
    <row r="382">
      <c r="A382" s="57"/>
      <c r="B382" s="57"/>
      <c r="C382" s="58"/>
      <c r="D382" s="57"/>
      <c r="E382" s="57"/>
    </row>
    <row r="383">
      <c r="A383" s="57"/>
      <c r="B383" s="57"/>
      <c r="C383" s="58"/>
      <c r="D383" s="57"/>
      <c r="E383" s="57"/>
    </row>
    <row r="384">
      <c r="A384" s="57"/>
      <c r="B384" s="57"/>
      <c r="C384" s="58"/>
      <c r="D384" s="57"/>
      <c r="E384" s="57"/>
    </row>
    <row r="385">
      <c r="A385" s="57"/>
      <c r="B385" s="57"/>
      <c r="C385" s="58"/>
      <c r="D385" s="57"/>
      <c r="E385" s="57"/>
    </row>
    <row r="386">
      <c r="A386" s="57"/>
      <c r="B386" s="57"/>
      <c r="C386" s="58"/>
      <c r="D386" s="57"/>
      <c r="E386" s="57"/>
    </row>
    <row r="387">
      <c r="A387" s="57"/>
      <c r="B387" s="57"/>
      <c r="C387" s="58"/>
      <c r="D387" s="57"/>
      <c r="E387" s="57"/>
    </row>
    <row r="388">
      <c r="A388" s="57"/>
      <c r="B388" s="57"/>
      <c r="C388" s="58"/>
      <c r="D388" s="57"/>
      <c r="E388" s="57"/>
    </row>
    <row r="389">
      <c r="A389" s="57"/>
      <c r="B389" s="57"/>
      <c r="C389" s="58"/>
      <c r="D389" s="57"/>
      <c r="E389" s="57"/>
    </row>
    <row r="390">
      <c r="A390" s="57"/>
      <c r="B390" s="57"/>
      <c r="C390" s="58"/>
      <c r="D390" s="57"/>
      <c r="E390" s="57"/>
    </row>
    <row r="391">
      <c r="A391" s="57"/>
      <c r="B391" s="57"/>
      <c r="C391" s="58"/>
      <c r="D391" s="57"/>
      <c r="E391" s="57"/>
    </row>
    <row r="392">
      <c r="A392" s="57"/>
      <c r="B392" s="57"/>
      <c r="C392" s="58"/>
      <c r="D392" s="57"/>
      <c r="E392" s="57"/>
    </row>
    <row r="393">
      <c r="A393" s="57"/>
      <c r="B393" s="57"/>
      <c r="C393" s="58"/>
      <c r="D393" s="57"/>
      <c r="E393" s="57"/>
    </row>
    <row r="394">
      <c r="A394" s="57"/>
      <c r="B394" s="57"/>
      <c r="C394" s="58"/>
      <c r="D394" s="57"/>
      <c r="E394" s="57"/>
    </row>
    <row r="395">
      <c r="A395" s="57"/>
      <c r="B395" s="57"/>
      <c r="C395" s="58"/>
      <c r="D395" s="57"/>
      <c r="E395" s="57"/>
    </row>
    <row r="396">
      <c r="A396" s="57"/>
      <c r="B396" s="57"/>
      <c r="C396" s="58"/>
      <c r="D396" s="57"/>
      <c r="E396" s="57"/>
    </row>
    <row r="397">
      <c r="A397" s="57"/>
      <c r="B397" s="57"/>
      <c r="C397" s="58"/>
      <c r="D397" s="57"/>
      <c r="E397" s="57"/>
    </row>
    <row r="398">
      <c r="A398" s="57"/>
      <c r="B398" s="57"/>
      <c r="C398" s="58"/>
      <c r="D398" s="57"/>
      <c r="E398" s="57"/>
    </row>
    <row r="399">
      <c r="A399" s="57"/>
      <c r="B399" s="57"/>
      <c r="C399" s="58"/>
      <c r="D399" s="57"/>
      <c r="E399" s="57"/>
    </row>
    <row r="400">
      <c r="A400" s="57"/>
      <c r="B400" s="57"/>
      <c r="C400" s="58"/>
      <c r="D400" s="57"/>
      <c r="E400" s="57"/>
    </row>
    <row r="401">
      <c r="A401" s="57"/>
      <c r="B401" s="57"/>
      <c r="C401" s="58"/>
      <c r="D401" s="57"/>
      <c r="E401" s="57"/>
    </row>
    <row r="402">
      <c r="A402" s="57"/>
      <c r="B402" s="57"/>
      <c r="C402" s="58"/>
      <c r="D402" s="57"/>
      <c r="E402" s="57"/>
    </row>
    <row r="403">
      <c r="A403" s="57"/>
      <c r="B403" s="57"/>
      <c r="C403" s="58"/>
      <c r="D403" s="57"/>
      <c r="E403" s="57"/>
    </row>
    <row r="404">
      <c r="A404" s="57"/>
      <c r="B404" s="57"/>
      <c r="C404" s="58"/>
      <c r="D404" s="57"/>
      <c r="E404" s="57"/>
    </row>
    <row r="405">
      <c r="A405" s="57"/>
      <c r="B405" s="57"/>
      <c r="C405" s="58"/>
      <c r="D405" s="57"/>
      <c r="E405" s="57"/>
    </row>
    <row r="406">
      <c r="A406" s="57"/>
      <c r="B406" s="57"/>
      <c r="C406" s="58"/>
      <c r="D406" s="57"/>
      <c r="E406" s="57"/>
    </row>
    <row r="407">
      <c r="A407" s="57"/>
      <c r="B407" s="57"/>
      <c r="C407" s="58"/>
      <c r="D407" s="57"/>
      <c r="E407" s="57"/>
    </row>
    <row r="408">
      <c r="A408" s="57"/>
      <c r="B408" s="57"/>
      <c r="C408" s="58"/>
      <c r="D408" s="57"/>
      <c r="E408" s="57"/>
    </row>
    <row r="409">
      <c r="A409" s="57"/>
      <c r="B409" s="57"/>
      <c r="C409" s="58"/>
      <c r="D409" s="57"/>
      <c r="E409" s="57"/>
    </row>
    <row r="410">
      <c r="A410" s="57"/>
      <c r="B410" s="57"/>
      <c r="C410" s="58"/>
      <c r="D410" s="57"/>
      <c r="E410" s="57"/>
    </row>
    <row r="411">
      <c r="A411" s="57"/>
      <c r="B411" s="57"/>
      <c r="C411" s="58"/>
      <c r="D411" s="57"/>
      <c r="E411" s="57"/>
    </row>
    <row r="412">
      <c r="A412" s="57"/>
      <c r="B412" s="57"/>
      <c r="C412" s="58"/>
      <c r="D412" s="57"/>
      <c r="E412" s="57"/>
    </row>
    <row r="413">
      <c r="A413" s="57"/>
      <c r="B413" s="57"/>
      <c r="C413" s="58"/>
      <c r="D413" s="57"/>
      <c r="E413" s="57"/>
    </row>
    <row r="414">
      <c r="A414" s="57"/>
      <c r="B414" s="57"/>
      <c r="C414" s="58"/>
      <c r="D414" s="57"/>
      <c r="E414" s="57"/>
    </row>
    <row r="415">
      <c r="A415" s="57"/>
      <c r="B415" s="57"/>
      <c r="C415" s="58"/>
      <c r="D415" s="57"/>
      <c r="E415" s="57"/>
    </row>
    <row r="416">
      <c r="A416" s="57"/>
      <c r="B416" s="57"/>
      <c r="C416" s="58"/>
      <c r="D416" s="57"/>
      <c r="E416" s="57"/>
    </row>
    <row r="417">
      <c r="A417" s="57"/>
      <c r="B417" s="57"/>
      <c r="C417" s="58"/>
      <c r="D417" s="57"/>
      <c r="E417" s="57"/>
    </row>
    <row r="418">
      <c r="A418" s="57"/>
      <c r="B418" s="57"/>
      <c r="C418" s="58"/>
      <c r="D418" s="57"/>
      <c r="E418" s="57"/>
    </row>
    <row r="419">
      <c r="A419" s="57"/>
      <c r="B419" s="57"/>
      <c r="C419" s="58"/>
      <c r="D419" s="57"/>
      <c r="E419" s="57"/>
    </row>
    <row r="420">
      <c r="A420" s="57"/>
      <c r="B420" s="57"/>
      <c r="C420" s="58"/>
      <c r="D420" s="57"/>
      <c r="E420" s="57"/>
    </row>
    <row r="421">
      <c r="A421" s="57"/>
      <c r="B421" s="57"/>
      <c r="C421" s="58"/>
      <c r="D421" s="57"/>
      <c r="E421" s="57"/>
    </row>
    <row r="422">
      <c r="A422" s="57"/>
      <c r="B422" s="57"/>
      <c r="C422" s="58"/>
      <c r="D422" s="57"/>
      <c r="E422" s="57"/>
    </row>
    <row r="423">
      <c r="A423" s="57"/>
      <c r="B423" s="57"/>
      <c r="C423" s="58"/>
      <c r="D423" s="57"/>
      <c r="E423" s="57"/>
    </row>
    <row r="424">
      <c r="A424" s="57"/>
      <c r="B424" s="57"/>
      <c r="C424" s="58"/>
      <c r="D424" s="57"/>
      <c r="E424" s="57"/>
    </row>
    <row r="425">
      <c r="A425" s="57"/>
      <c r="B425" s="57"/>
      <c r="C425" s="58"/>
      <c r="D425" s="57"/>
      <c r="E425" s="57"/>
    </row>
    <row r="426">
      <c r="A426" s="57"/>
      <c r="B426" s="57"/>
      <c r="C426" s="58"/>
      <c r="D426" s="57"/>
      <c r="E426" s="57"/>
    </row>
    <row r="427">
      <c r="A427" s="57"/>
      <c r="B427" s="57"/>
      <c r="C427" s="58"/>
      <c r="D427" s="57"/>
      <c r="E427" s="57"/>
    </row>
    <row r="428">
      <c r="A428" s="57"/>
      <c r="B428" s="57"/>
      <c r="C428" s="58"/>
      <c r="D428" s="57"/>
      <c r="E428" s="57"/>
    </row>
    <row r="429">
      <c r="A429" s="57"/>
      <c r="B429" s="57"/>
      <c r="C429" s="58"/>
      <c r="D429" s="57"/>
      <c r="E429" s="57"/>
    </row>
    <row r="430">
      <c r="A430" s="57"/>
      <c r="B430" s="57"/>
      <c r="C430" s="58"/>
      <c r="D430" s="57"/>
      <c r="E430" s="57"/>
    </row>
    <row r="431">
      <c r="A431" s="57"/>
      <c r="B431" s="57"/>
      <c r="C431" s="58"/>
      <c r="D431" s="57"/>
      <c r="E431" s="57"/>
    </row>
    <row r="432">
      <c r="A432" s="57"/>
      <c r="B432" s="57"/>
      <c r="C432" s="58"/>
      <c r="D432" s="57"/>
      <c r="E432" s="57"/>
    </row>
    <row r="433">
      <c r="A433" s="57"/>
      <c r="B433" s="57"/>
      <c r="C433" s="58"/>
      <c r="D433" s="57"/>
      <c r="E433" s="57"/>
    </row>
    <row r="434">
      <c r="A434" s="57"/>
      <c r="B434" s="57"/>
      <c r="C434" s="58"/>
      <c r="D434" s="57"/>
      <c r="E434" s="57"/>
    </row>
    <row r="435">
      <c r="A435" s="57"/>
      <c r="B435" s="57"/>
      <c r="C435" s="58"/>
      <c r="D435" s="57"/>
      <c r="E435" s="57"/>
    </row>
    <row r="436">
      <c r="A436" s="57"/>
      <c r="B436" s="57"/>
      <c r="C436" s="58"/>
      <c r="D436" s="57"/>
      <c r="E436" s="57"/>
    </row>
    <row r="437">
      <c r="A437" s="57"/>
      <c r="B437" s="57"/>
      <c r="C437" s="58"/>
      <c r="D437" s="57"/>
      <c r="E437" s="57"/>
    </row>
    <row r="438">
      <c r="A438" s="57"/>
      <c r="B438" s="57"/>
      <c r="C438" s="58"/>
      <c r="D438" s="57"/>
      <c r="E438" s="57"/>
    </row>
    <row r="439">
      <c r="A439" s="57"/>
      <c r="B439" s="57"/>
      <c r="C439" s="58"/>
      <c r="D439" s="57"/>
      <c r="E439" s="57"/>
    </row>
    <row r="440">
      <c r="A440" s="57"/>
      <c r="B440" s="57"/>
      <c r="C440" s="58"/>
      <c r="D440" s="57"/>
      <c r="E440" s="57"/>
    </row>
    <row r="441">
      <c r="A441" s="57"/>
      <c r="B441" s="57"/>
      <c r="C441" s="58"/>
      <c r="D441" s="57"/>
      <c r="E441" s="57"/>
    </row>
    <row r="442">
      <c r="A442" s="57"/>
      <c r="B442" s="57"/>
      <c r="C442" s="58"/>
      <c r="D442" s="57"/>
      <c r="E442" s="57"/>
    </row>
    <row r="443">
      <c r="A443" s="57"/>
      <c r="B443" s="57"/>
      <c r="C443" s="58"/>
      <c r="D443" s="57"/>
      <c r="E443" s="57"/>
    </row>
    <row r="444">
      <c r="A444" s="57"/>
      <c r="B444" s="57"/>
      <c r="C444" s="58"/>
      <c r="D444" s="57"/>
      <c r="E444" s="57"/>
    </row>
    <row r="445">
      <c r="A445" s="57"/>
      <c r="B445" s="57"/>
      <c r="C445" s="58"/>
      <c r="D445" s="57"/>
      <c r="E445" s="57"/>
    </row>
    <row r="446">
      <c r="A446" s="57"/>
      <c r="B446" s="57"/>
      <c r="C446" s="58"/>
      <c r="D446" s="57"/>
      <c r="E446" s="57"/>
    </row>
    <row r="447">
      <c r="A447" s="57"/>
      <c r="B447" s="57"/>
      <c r="C447" s="58"/>
      <c r="D447" s="57"/>
      <c r="E447" s="57"/>
    </row>
    <row r="448">
      <c r="A448" s="57"/>
      <c r="B448" s="57"/>
      <c r="C448" s="58"/>
      <c r="D448" s="57"/>
      <c r="E448" s="57"/>
    </row>
    <row r="449">
      <c r="A449" s="57"/>
      <c r="B449" s="57"/>
      <c r="C449" s="58"/>
      <c r="D449" s="57"/>
      <c r="E449" s="57"/>
    </row>
    <row r="450">
      <c r="A450" s="57"/>
      <c r="B450" s="57"/>
      <c r="C450" s="58"/>
      <c r="D450" s="57"/>
      <c r="E450" s="57"/>
    </row>
    <row r="451">
      <c r="A451" s="57"/>
      <c r="B451" s="57"/>
      <c r="C451" s="58"/>
      <c r="D451" s="57"/>
      <c r="E451" s="57"/>
    </row>
    <row r="452">
      <c r="A452" s="57"/>
      <c r="B452" s="57"/>
      <c r="C452" s="58"/>
      <c r="D452" s="57"/>
      <c r="E452" s="57"/>
    </row>
    <row r="453">
      <c r="A453" s="57"/>
      <c r="B453" s="57"/>
      <c r="C453" s="58"/>
      <c r="D453" s="57"/>
      <c r="E453" s="57"/>
    </row>
    <row r="454">
      <c r="A454" s="57"/>
      <c r="B454" s="57"/>
      <c r="C454" s="58"/>
      <c r="D454" s="57"/>
      <c r="E454" s="57"/>
    </row>
    <row r="455">
      <c r="A455" s="57"/>
      <c r="B455" s="57"/>
      <c r="C455" s="58"/>
      <c r="D455" s="57"/>
      <c r="E455" s="57"/>
    </row>
    <row r="456">
      <c r="A456" s="57"/>
      <c r="B456" s="57"/>
      <c r="C456" s="58"/>
      <c r="D456" s="57"/>
      <c r="E456" s="57"/>
    </row>
    <row r="457">
      <c r="A457" s="57"/>
      <c r="B457" s="57"/>
      <c r="C457" s="58"/>
      <c r="D457" s="57"/>
      <c r="E457" s="57"/>
    </row>
    <row r="458">
      <c r="A458" s="57"/>
      <c r="B458" s="57"/>
      <c r="C458" s="58"/>
      <c r="D458" s="57"/>
      <c r="E458" s="57"/>
    </row>
    <row r="459">
      <c r="A459" s="57"/>
      <c r="B459" s="57"/>
      <c r="C459" s="58"/>
      <c r="D459" s="57"/>
      <c r="E459" s="57"/>
    </row>
    <row r="460">
      <c r="A460" s="57"/>
      <c r="B460" s="57"/>
      <c r="C460" s="58"/>
      <c r="D460" s="57"/>
      <c r="E460" s="57"/>
    </row>
    <row r="461">
      <c r="A461" s="57"/>
      <c r="B461" s="57"/>
      <c r="C461" s="58"/>
      <c r="D461" s="57"/>
      <c r="E461" s="57"/>
    </row>
    <row r="462">
      <c r="A462" s="57"/>
      <c r="B462" s="57"/>
      <c r="C462" s="58"/>
      <c r="D462" s="57"/>
      <c r="E462" s="57"/>
    </row>
    <row r="463">
      <c r="A463" s="57"/>
      <c r="B463" s="57"/>
      <c r="C463" s="58"/>
      <c r="D463" s="57"/>
      <c r="E463" s="57"/>
    </row>
    <row r="464">
      <c r="A464" s="57"/>
      <c r="B464" s="57"/>
      <c r="C464" s="58"/>
      <c r="D464" s="57"/>
      <c r="E464" s="57"/>
    </row>
    <row r="465">
      <c r="A465" s="57"/>
      <c r="B465" s="57"/>
      <c r="C465" s="58"/>
      <c r="D465" s="57"/>
      <c r="E465" s="57"/>
    </row>
    <row r="466">
      <c r="A466" s="57"/>
      <c r="B466" s="57"/>
      <c r="C466" s="58"/>
      <c r="D466" s="57"/>
      <c r="E466" s="57"/>
    </row>
    <row r="467">
      <c r="A467" s="57"/>
      <c r="B467" s="57"/>
      <c r="C467" s="58"/>
      <c r="D467" s="57"/>
      <c r="E467" s="57"/>
    </row>
    <row r="468">
      <c r="A468" s="57"/>
      <c r="B468" s="57"/>
      <c r="C468" s="58"/>
      <c r="D468" s="57"/>
      <c r="E468" s="57"/>
    </row>
    <row r="469">
      <c r="A469" s="57"/>
      <c r="B469" s="57"/>
      <c r="C469" s="58"/>
      <c r="D469" s="57"/>
      <c r="E469" s="57"/>
    </row>
    <row r="470">
      <c r="A470" s="57"/>
      <c r="B470" s="57"/>
      <c r="C470" s="58"/>
      <c r="D470" s="57"/>
      <c r="E470" s="57"/>
    </row>
    <row r="471">
      <c r="A471" s="57"/>
      <c r="B471" s="57"/>
      <c r="C471" s="58"/>
      <c r="D471" s="57"/>
      <c r="E471" s="57"/>
    </row>
    <row r="472">
      <c r="A472" s="57"/>
      <c r="B472" s="57"/>
      <c r="C472" s="58"/>
      <c r="D472" s="57"/>
      <c r="E472" s="57"/>
    </row>
    <row r="473">
      <c r="A473" s="57"/>
      <c r="B473" s="57"/>
      <c r="C473" s="58"/>
      <c r="D473" s="57"/>
      <c r="E473" s="57"/>
    </row>
    <row r="474">
      <c r="A474" s="57"/>
      <c r="B474" s="57"/>
      <c r="C474" s="58"/>
      <c r="D474" s="57"/>
      <c r="E474" s="57"/>
    </row>
    <row r="475">
      <c r="A475" s="57"/>
      <c r="B475" s="57"/>
      <c r="C475" s="58"/>
      <c r="D475" s="57"/>
      <c r="E475" s="57"/>
    </row>
    <row r="476">
      <c r="A476" s="57"/>
      <c r="B476" s="57"/>
      <c r="C476" s="58"/>
      <c r="D476" s="57"/>
      <c r="E476" s="57"/>
    </row>
    <row r="477">
      <c r="A477" s="57"/>
      <c r="B477" s="57"/>
      <c r="C477" s="58"/>
      <c r="D477" s="57"/>
      <c r="E477" s="57"/>
    </row>
    <row r="478">
      <c r="A478" s="57"/>
      <c r="B478" s="57"/>
      <c r="C478" s="58"/>
      <c r="D478" s="57"/>
      <c r="E478" s="57"/>
    </row>
    <row r="479">
      <c r="A479" s="57"/>
      <c r="B479" s="57"/>
      <c r="C479" s="58"/>
      <c r="D479" s="57"/>
      <c r="E479" s="57"/>
    </row>
    <row r="480">
      <c r="A480" s="57"/>
      <c r="B480" s="57"/>
      <c r="C480" s="58"/>
      <c r="D480" s="57"/>
      <c r="E480" s="57"/>
    </row>
    <row r="481">
      <c r="A481" s="57"/>
      <c r="B481" s="57"/>
      <c r="C481" s="58"/>
      <c r="D481" s="57"/>
      <c r="E481" s="57"/>
    </row>
    <row r="482">
      <c r="A482" s="57"/>
      <c r="B482" s="57"/>
      <c r="C482" s="58"/>
      <c r="D482" s="57"/>
      <c r="E482" s="57"/>
    </row>
    <row r="483">
      <c r="A483" s="57"/>
      <c r="B483" s="57"/>
      <c r="C483" s="58"/>
      <c r="D483" s="57"/>
      <c r="E483" s="57"/>
    </row>
    <row r="484">
      <c r="A484" s="57"/>
      <c r="B484" s="57"/>
      <c r="C484" s="58"/>
      <c r="D484" s="57"/>
      <c r="E484" s="57"/>
    </row>
    <row r="485">
      <c r="A485" s="57"/>
      <c r="B485" s="57"/>
      <c r="C485" s="58"/>
      <c r="D485" s="57"/>
      <c r="E485" s="57"/>
    </row>
    <row r="486">
      <c r="A486" s="57"/>
      <c r="B486" s="57"/>
      <c r="C486" s="58"/>
      <c r="D486" s="57"/>
      <c r="E486" s="57"/>
    </row>
    <row r="487">
      <c r="A487" s="57"/>
      <c r="B487" s="57"/>
      <c r="C487" s="58"/>
      <c r="D487" s="57"/>
      <c r="E487" s="57"/>
    </row>
    <row r="488">
      <c r="A488" s="57"/>
      <c r="B488" s="57"/>
      <c r="C488" s="58"/>
      <c r="D488" s="57"/>
      <c r="E488" s="57"/>
    </row>
    <row r="489">
      <c r="A489" s="57"/>
      <c r="B489" s="57"/>
      <c r="C489" s="58"/>
      <c r="D489" s="57"/>
      <c r="E489" s="57"/>
    </row>
    <row r="490">
      <c r="A490" s="57"/>
      <c r="B490" s="57"/>
      <c r="C490" s="58"/>
      <c r="D490" s="57"/>
      <c r="E490" s="57"/>
    </row>
    <row r="491">
      <c r="A491" s="57"/>
      <c r="B491" s="57"/>
      <c r="C491" s="58"/>
      <c r="D491" s="57"/>
      <c r="E491" s="57"/>
    </row>
    <row r="492">
      <c r="A492" s="57"/>
      <c r="B492" s="57"/>
      <c r="C492" s="58"/>
      <c r="D492" s="57"/>
      <c r="E492" s="57"/>
    </row>
    <row r="493">
      <c r="A493" s="57"/>
      <c r="B493" s="57"/>
      <c r="C493" s="58"/>
      <c r="D493" s="57"/>
      <c r="E493" s="57"/>
    </row>
    <row r="494">
      <c r="A494" s="57"/>
      <c r="B494" s="57"/>
      <c r="C494" s="58"/>
      <c r="D494" s="57"/>
      <c r="E494" s="57"/>
    </row>
    <row r="495">
      <c r="A495" s="57"/>
      <c r="B495" s="57"/>
      <c r="C495" s="58"/>
      <c r="D495" s="57"/>
      <c r="E495" s="57"/>
    </row>
    <row r="496">
      <c r="A496" s="57"/>
      <c r="B496" s="57"/>
      <c r="C496" s="58"/>
      <c r="D496" s="57"/>
      <c r="E496" s="57"/>
    </row>
    <row r="497">
      <c r="A497" s="57"/>
      <c r="B497" s="57"/>
      <c r="C497" s="58"/>
      <c r="D497" s="57"/>
      <c r="E497" s="57"/>
    </row>
    <row r="498">
      <c r="A498" s="57"/>
      <c r="B498" s="57"/>
      <c r="C498" s="58"/>
      <c r="D498" s="57"/>
      <c r="E498" s="57"/>
    </row>
    <row r="499">
      <c r="A499" s="57"/>
      <c r="B499" s="57"/>
      <c r="C499" s="58"/>
      <c r="D499" s="57"/>
      <c r="E499" s="57"/>
    </row>
    <row r="500">
      <c r="A500" s="57"/>
      <c r="B500" s="57"/>
      <c r="C500" s="58"/>
      <c r="D500" s="57"/>
      <c r="E500" s="57"/>
    </row>
    <row r="501">
      <c r="A501" s="57"/>
      <c r="B501" s="57"/>
      <c r="C501" s="58"/>
      <c r="D501" s="57"/>
      <c r="E501" s="57"/>
    </row>
    <row r="502">
      <c r="A502" s="57"/>
      <c r="B502" s="57"/>
      <c r="C502" s="58"/>
      <c r="D502" s="57"/>
      <c r="E502" s="57"/>
    </row>
    <row r="503">
      <c r="A503" s="57"/>
      <c r="B503" s="57"/>
      <c r="C503" s="58"/>
      <c r="D503" s="57"/>
      <c r="E503" s="57"/>
    </row>
    <row r="504">
      <c r="A504" s="57"/>
      <c r="B504" s="57"/>
      <c r="C504" s="58"/>
      <c r="D504" s="57"/>
      <c r="E504" s="57"/>
    </row>
    <row r="505">
      <c r="A505" s="57"/>
      <c r="B505" s="57"/>
      <c r="C505" s="58"/>
      <c r="D505" s="57"/>
      <c r="E505" s="57"/>
    </row>
    <row r="506">
      <c r="A506" s="57"/>
      <c r="B506" s="57"/>
      <c r="C506" s="58"/>
      <c r="D506" s="57"/>
      <c r="E506" s="57"/>
    </row>
    <row r="507">
      <c r="A507" s="57"/>
      <c r="B507" s="57"/>
      <c r="C507" s="58"/>
      <c r="D507" s="57"/>
      <c r="E507" s="57"/>
    </row>
    <row r="508">
      <c r="A508" s="57"/>
      <c r="B508" s="57"/>
      <c r="C508" s="58"/>
      <c r="D508" s="57"/>
      <c r="E508" s="57"/>
    </row>
    <row r="509">
      <c r="A509" s="57"/>
      <c r="B509" s="57"/>
      <c r="C509" s="58"/>
      <c r="D509" s="57"/>
      <c r="E509" s="57"/>
    </row>
    <row r="510">
      <c r="A510" s="57"/>
      <c r="B510" s="57"/>
      <c r="C510" s="58"/>
      <c r="D510" s="57"/>
      <c r="E510" s="57"/>
    </row>
    <row r="511">
      <c r="A511" s="57"/>
      <c r="B511" s="57"/>
      <c r="C511" s="58"/>
      <c r="D511" s="57"/>
      <c r="E511" s="57"/>
    </row>
    <row r="512">
      <c r="A512" s="57"/>
      <c r="B512" s="57"/>
      <c r="C512" s="58"/>
      <c r="D512" s="57"/>
      <c r="E512" s="57"/>
    </row>
    <row r="513">
      <c r="A513" s="57"/>
      <c r="B513" s="57"/>
      <c r="C513" s="58"/>
      <c r="D513" s="57"/>
      <c r="E513" s="57"/>
    </row>
    <row r="514">
      <c r="A514" s="57"/>
      <c r="B514" s="57"/>
      <c r="C514" s="58"/>
      <c r="D514" s="57"/>
      <c r="E514" s="57"/>
    </row>
    <row r="515">
      <c r="A515" s="57"/>
      <c r="B515" s="57"/>
      <c r="C515" s="58"/>
      <c r="D515" s="57"/>
      <c r="E515" s="57"/>
    </row>
    <row r="516">
      <c r="A516" s="57"/>
      <c r="B516" s="57"/>
      <c r="C516" s="58"/>
      <c r="D516" s="57"/>
      <c r="E516" s="57"/>
    </row>
    <row r="517">
      <c r="A517" s="57"/>
      <c r="B517" s="57"/>
      <c r="C517" s="58"/>
      <c r="D517" s="57"/>
      <c r="E517" s="57"/>
    </row>
    <row r="518">
      <c r="A518" s="57"/>
      <c r="B518" s="57"/>
      <c r="C518" s="58"/>
      <c r="D518" s="57"/>
      <c r="E518" s="57"/>
    </row>
    <row r="519">
      <c r="A519" s="57"/>
      <c r="B519" s="57"/>
      <c r="C519" s="58"/>
      <c r="D519" s="57"/>
      <c r="E519" s="57"/>
    </row>
    <row r="520">
      <c r="A520" s="57"/>
      <c r="B520" s="57"/>
      <c r="C520" s="58"/>
      <c r="D520" s="57"/>
      <c r="E520" s="57"/>
    </row>
    <row r="521">
      <c r="A521" s="57"/>
      <c r="B521" s="57"/>
      <c r="C521" s="58"/>
      <c r="D521" s="57"/>
      <c r="E521" s="57"/>
    </row>
    <row r="522">
      <c r="A522" s="57"/>
      <c r="B522" s="57"/>
      <c r="C522" s="58"/>
      <c r="D522" s="57"/>
      <c r="E522" s="57"/>
    </row>
    <row r="523">
      <c r="A523" s="57"/>
      <c r="B523" s="57"/>
      <c r="C523" s="58"/>
      <c r="D523" s="57"/>
      <c r="E523" s="57"/>
    </row>
    <row r="524">
      <c r="A524" s="57"/>
      <c r="B524" s="57"/>
      <c r="C524" s="58"/>
      <c r="D524" s="57"/>
      <c r="E524" s="57"/>
    </row>
    <row r="525">
      <c r="A525" s="57"/>
      <c r="B525" s="57"/>
      <c r="C525" s="58"/>
      <c r="D525" s="57"/>
      <c r="E525" s="57"/>
    </row>
    <row r="526">
      <c r="A526" s="57"/>
      <c r="B526" s="57"/>
      <c r="C526" s="58"/>
      <c r="D526" s="57"/>
      <c r="E526" s="57"/>
    </row>
    <row r="527">
      <c r="A527" s="57"/>
      <c r="B527" s="57"/>
      <c r="C527" s="58"/>
      <c r="D527" s="57"/>
      <c r="E527" s="57"/>
    </row>
    <row r="528">
      <c r="A528" s="57"/>
      <c r="B528" s="57"/>
      <c r="C528" s="58"/>
      <c r="D528" s="57"/>
      <c r="E528" s="57"/>
    </row>
    <row r="529">
      <c r="A529" s="57"/>
      <c r="B529" s="57"/>
      <c r="C529" s="58"/>
      <c r="D529" s="57"/>
      <c r="E529" s="57"/>
    </row>
    <row r="530">
      <c r="A530" s="57"/>
      <c r="B530" s="57"/>
      <c r="C530" s="58"/>
      <c r="D530" s="57"/>
      <c r="E530" s="57"/>
    </row>
    <row r="531">
      <c r="A531" s="57"/>
      <c r="B531" s="57"/>
      <c r="C531" s="58"/>
      <c r="D531" s="57"/>
      <c r="E531" s="57"/>
    </row>
    <row r="532">
      <c r="A532" s="57"/>
      <c r="B532" s="57"/>
      <c r="C532" s="58"/>
      <c r="D532" s="57"/>
      <c r="E532" s="57"/>
    </row>
    <row r="533">
      <c r="A533" s="57"/>
      <c r="B533" s="57"/>
      <c r="C533" s="58"/>
      <c r="D533" s="57"/>
      <c r="E533" s="57"/>
    </row>
    <row r="534">
      <c r="A534" s="57"/>
      <c r="B534" s="57"/>
      <c r="C534" s="58"/>
      <c r="D534" s="57"/>
      <c r="E534" s="57"/>
    </row>
    <row r="535">
      <c r="A535" s="57"/>
      <c r="B535" s="57"/>
      <c r="C535" s="58"/>
      <c r="D535" s="57"/>
      <c r="E535" s="57"/>
    </row>
    <row r="536">
      <c r="A536" s="57"/>
      <c r="B536" s="57"/>
      <c r="C536" s="58"/>
      <c r="D536" s="57"/>
      <c r="E536" s="57"/>
    </row>
    <row r="537">
      <c r="A537" s="57"/>
      <c r="B537" s="57"/>
      <c r="C537" s="58"/>
      <c r="D537" s="57"/>
      <c r="E537" s="57"/>
    </row>
    <row r="538">
      <c r="A538" s="57"/>
      <c r="B538" s="57"/>
      <c r="C538" s="58"/>
      <c r="D538" s="57"/>
      <c r="E538" s="57"/>
    </row>
    <row r="539">
      <c r="A539" s="57"/>
      <c r="B539" s="57"/>
      <c r="C539" s="58"/>
      <c r="D539" s="57"/>
      <c r="E539" s="57"/>
    </row>
    <row r="540">
      <c r="A540" s="57"/>
      <c r="B540" s="57"/>
      <c r="C540" s="58"/>
      <c r="D540" s="57"/>
      <c r="E540" s="57"/>
    </row>
    <row r="541">
      <c r="A541" s="57"/>
      <c r="B541" s="57"/>
      <c r="C541" s="58"/>
      <c r="D541" s="57"/>
      <c r="E541" s="57"/>
    </row>
    <row r="542">
      <c r="A542" s="57"/>
      <c r="B542" s="57"/>
      <c r="C542" s="58"/>
      <c r="D542" s="57"/>
      <c r="E542" s="57"/>
    </row>
    <row r="543">
      <c r="A543" s="57"/>
      <c r="B543" s="57"/>
      <c r="C543" s="58"/>
      <c r="D543" s="57"/>
      <c r="E543" s="57"/>
    </row>
    <row r="544">
      <c r="A544" s="57"/>
      <c r="B544" s="57"/>
      <c r="C544" s="58"/>
      <c r="D544" s="57"/>
      <c r="E544" s="57"/>
    </row>
    <row r="545">
      <c r="A545" s="57"/>
      <c r="B545" s="57"/>
      <c r="C545" s="58"/>
      <c r="D545" s="57"/>
      <c r="E545" s="57"/>
    </row>
    <row r="546">
      <c r="A546" s="57"/>
      <c r="B546" s="57"/>
      <c r="C546" s="58"/>
      <c r="D546" s="57"/>
      <c r="E546" s="57"/>
    </row>
    <row r="547">
      <c r="A547" s="57"/>
      <c r="B547" s="57"/>
      <c r="C547" s="58"/>
      <c r="D547" s="57"/>
      <c r="E547" s="57"/>
    </row>
    <row r="548">
      <c r="A548" s="57"/>
      <c r="B548" s="57"/>
      <c r="C548" s="58"/>
      <c r="D548" s="57"/>
      <c r="E548" s="57"/>
    </row>
    <row r="549">
      <c r="A549" s="57"/>
      <c r="B549" s="57"/>
      <c r="C549" s="58"/>
      <c r="D549" s="57"/>
      <c r="E549" s="57"/>
    </row>
    <row r="550">
      <c r="A550" s="57"/>
      <c r="B550" s="57"/>
      <c r="C550" s="58"/>
      <c r="D550" s="57"/>
      <c r="E550" s="57"/>
    </row>
    <row r="551">
      <c r="A551" s="57"/>
      <c r="B551" s="57"/>
      <c r="C551" s="58"/>
      <c r="D551" s="57"/>
      <c r="E551" s="57"/>
    </row>
    <row r="552">
      <c r="A552" s="57"/>
      <c r="B552" s="57"/>
      <c r="C552" s="58"/>
      <c r="D552" s="57"/>
      <c r="E552" s="57"/>
    </row>
    <row r="553">
      <c r="A553" s="57"/>
      <c r="B553" s="57"/>
      <c r="C553" s="58"/>
      <c r="D553" s="57"/>
      <c r="E553" s="57"/>
    </row>
    <row r="554">
      <c r="A554" s="57"/>
      <c r="B554" s="57"/>
      <c r="C554" s="58"/>
      <c r="D554" s="57"/>
      <c r="E554" s="57"/>
    </row>
    <row r="555">
      <c r="A555" s="57"/>
      <c r="B555" s="57"/>
      <c r="C555" s="58"/>
      <c r="D555" s="57"/>
      <c r="E555" s="57"/>
    </row>
    <row r="556">
      <c r="A556" s="57"/>
      <c r="B556" s="57"/>
      <c r="C556" s="58"/>
      <c r="D556" s="57"/>
      <c r="E556" s="57"/>
    </row>
    <row r="557">
      <c r="A557" s="57"/>
      <c r="B557" s="57"/>
      <c r="C557" s="58"/>
      <c r="D557" s="57"/>
      <c r="E557" s="57"/>
    </row>
    <row r="558">
      <c r="A558" s="57"/>
      <c r="B558" s="57"/>
      <c r="C558" s="58"/>
      <c r="D558" s="57"/>
      <c r="E558" s="57"/>
    </row>
    <row r="559">
      <c r="A559" s="57"/>
      <c r="B559" s="57"/>
      <c r="C559" s="58"/>
      <c r="D559" s="57"/>
      <c r="E559" s="57"/>
    </row>
    <row r="560">
      <c r="A560" s="57"/>
      <c r="B560" s="57"/>
      <c r="C560" s="58"/>
      <c r="D560" s="57"/>
      <c r="E560" s="57"/>
    </row>
    <row r="561">
      <c r="A561" s="57"/>
      <c r="B561" s="57"/>
      <c r="C561" s="58"/>
      <c r="D561" s="57"/>
      <c r="E561" s="57"/>
    </row>
    <row r="562">
      <c r="A562" s="57"/>
      <c r="B562" s="57"/>
      <c r="C562" s="58"/>
      <c r="D562" s="57"/>
      <c r="E562" s="57"/>
    </row>
    <row r="563">
      <c r="A563" s="57"/>
      <c r="B563" s="57"/>
      <c r="C563" s="58"/>
      <c r="D563" s="57"/>
      <c r="E563" s="57"/>
    </row>
    <row r="564">
      <c r="A564" s="57"/>
      <c r="B564" s="57"/>
      <c r="C564" s="58"/>
      <c r="D564" s="57"/>
      <c r="E564" s="57"/>
    </row>
    <row r="565">
      <c r="A565" s="57"/>
      <c r="B565" s="57"/>
      <c r="C565" s="58"/>
      <c r="D565" s="57"/>
      <c r="E565" s="57"/>
    </row>
    <row r="566">
      <c r="A566" s="57"/>
      <c r="B566" s="57"/>
      <c r="C566" s="58"/>
      <c r="D566" s="57"/>
      <c r="E566" s="57"/>
    </row>
    <row r="567">
      <c r="A567" s="57"/>
      <c r="B567" s="57"/>
      <c r="C567" s="58"/>
      <c r="D567" s="57"/>
      <c r="E567" s="57"/>
    </row>
    <row r="568">
      <c r="A568" s="57"/>
      <c r="B568" s="57"/>
      <c r="C568" s="58"/>
      <c r="D568" s="57"/>
      <c r="E568" s="57"/>
    </row>
    <row r="569">
      <c r="A569" s="57"/>
      <c r="B569" s="57"/>
      <c r="C569" s="58"/>
      <c r="D569" s="57"/>
      <c r="E569" s="57"/>
    </row>
    <row r="570">
      <c r="A570" s="57"/>
      <c r="B570" s="57"/>
      <c r="C570" s="58"/>
      <c r="D570" s="57"/>
      <c r="E570" s="57"/>
    </row>
    <row r="571">
      <c r="A571" s="57"/>
      <c r="B571" s="57"/>
      <c r="C571" s="58"/>
      <c r="D571" s="57"/>
      <c r="E571" s="57"/>
    </row>
    <row r="572">
      <c r="A572" s="57"/>
      <c r="B572" s="57"/>
      <c r="C572" s="58"/>
      <c r="D572" s="57"/>
      <c r="E572" s="57"/>
    </row>
    <row r="573">
      <c r="A573" s="57"/>
      <c r="B573" s="57"/>
      <c r="C573" s="58"/>
      <c r="D573" s="57"/>
      <c r="E573" s="57"/>
    </row>
    <row r="574">
      <c r="A574" s="57"/>
      <c r="B574" s="57"/>
      <c r="C574" s="58"/>
      <c r="D574" s="57"/>
      <c r="E574" s="57"/>
    </row>
    <row r="575">
      <c r="A575" s="57"/>
      <c r="B575" s="57"/>
      <c r="C575" s="58"/>
      <c r="D575" s="57"/>
      <c r="E575" s="57"/>
    </row>
    <row r="576">
      <c r="A576" s="57"/>
      <c r="B576" s="57"/>
      <c r="C576" s="58"/>
      <c r="D576" s="57"/>
      <c r="E576" s="57"/>
    </row>
    <row r="577">
      <c r="A577" s="57"/>
      <c r="B577" s="57"/>
      <c r="C577" s="58"/>
      <c r="D577" s="57"/>
      <c r="E577" s="57"/>
    </row>
    <row r="578">
      <c r="A578" s="57"/>
      <c r="B578" s="57"/>
      <c r="C578" s="58"/>
      <c r="D578" s="57"/>
      <c r="E578" s="57"/>
    </row>
    <row r="579">
      <c r="A579" s="57"/>
      <c r="B579" s="57"/>
      <c r="C579" s="58"/>
      <c r="D579" s="57"/>
      <c r="E579" s="57"/>
    </row>
    <row r="580">
      <c r="A580" s="57"/>
      <c r="B580" s="57"/>
      <c r="C580" s="58"/>
      <c r="D580" s="57"/>
      <c r="E580" s="57"/>
    </row>
    <row r="581">
      <c r="A581" s="57"/>
      <c r="B581" s="57"/>
      <c r="C581" s="58"/>
      <c r="D581" s="57"/>
      <c r="E581" s="57"/>
    </row>
    <row r="582">
      <c r="A582" s="57"/>
      <c r="B582" s="57"/>
      <c r="C582" s="58"/>
      <c r="D582" s="57"/>
      <c r="E582" s="57"/>
    </row>
    <row r="583">
      <c r="A583" s="57"/>
      <c r="B583" s="57"/>
      <c r="C583" s="58"/>
      <c r="D583" s="57"/>
      <c r="E583" s="57"/>
    </row>
    <row r="584">
      <c r="A584" s="57"/>
      <c r="B584" s="57"/>
      <c r="C584" s="58"/>
      <c r="D584" s="57"/>
      <c r="E584" s="57"/>
    </row>
    <row r="585">
      <c r="A585" s="57"/>
      <c r="B585" s="57"/>
      <c r="C585" s="58"/>
      <c r="D585" s="57"/>
      <c r="E585" s="57"/>
    </row>
    <row r="586">
      <c r="A586" s="57"/>
      <c r="B586" s="57"/>
      <c r="C586" s="58"/>
      <c r="D586" s="57"/>
      <c r="E586" s="57"/>
    </row>
    <row r="587">
      <c r="A587" s="57"/>
      <c r="B587" s="57"/>
      <c r="C587" s="58"/>
      <c r="D587" s="57"/>
      <c r="E587" s="57"/>
    </row>
    <row r="588">
      <c r="A588" s="57"/>
      <c r="B588" s="57"/>
      <c r="C588" s="58"/>
      <c r="D588" s="57"/>
      <c r="E588" s="57"/>
    </row>
    <row r="589">
      <c r="A589" s="57"/>
      <c r="B589" s="57"/>
      <c r="C589" s="58"/>
      <c r="D589" s="57"/>
      <c r="E589" s="57"/>
    </row>
    <row r="590">
      <c r="A590" s="57"/>
      <c r="B590" s="57"/>
      <c r="C590" s="58"/>
      <c r="D590" s="57"/>
      <c r="E590" s="57"/>
    </row>
    <row r="591">
      <c r="A591" s="57"/>
      <c r="B591" s="57"/>
      <c r="C591" s="58"/>
      <c r="D591" s="57"/>
      <c r="E591" s="57"/>
    </row>
    <row r="592">
      <c r="A592" s="57"/>
      <c r="B592" s="57"/>
      <c r="C592" s="58"/>
      <c r="D592" s="57"/>
      <c r="E592" s="57"/>
    </row>
    <row r="593">
      <c r="A593" s="57"/>
      <c r="B593" s="57"/>
      <c r="C593" s="58"/>
      <c r="D593" s="57"/>
      <c r="E593" s="57"/>
    </row>
    <row r="594">
      <c r="A594" s="57"/>
      <c r="B594" s="57"/>
      <c r="C594" s="58"/>
      <c r="D594" s="57"/>
      <c r="E594" s="57"/>
    </row>
    <row r="595">
      <c r="A595" s="57"/>
      <c r="B595" s="57"/>
      <c r="C595" s="58"/>
      <c r="D595" s="57"/>
      <c r="E595" s="57"/>
    </row>
    <row r="596">
      <c r="A596" s="57"/>
      <c r="B596" s="57"/>
      <c r="C596" s="58"/>
      <c r="D596" s="57"/>
      <c r="E596" s="57"/>
    </row>
    <row r="597">
      <c r="A597" s="57"/>
      <c r="B597" s="57"/>
      <c r="C597" s="58"/>
      <c r="D597" s="57"/>
      <c r="E597" s="57"/>
    </row>
    <row r="598">
      <c r="A598" s="57"/>
      <c r="B598" s="57"/>
      <c r="C598" s="58"/>
      <c r="D598" s="57"/>
      <c r="E598" s="57"/>
    </row>
    <row r="599">
      <c r="A599" s="57"/>
      <c r="B599" s="57"/>
      <c r="C599" s="58"/>
      <c r="D599" s="57"/>
      <c r="E599" s="57"/>
    </row>
    <row r="600">
      <c r="A600" s="57"/>
      <c r="B600" s="57"/>
      <c r="C600" s="58"/>
      <c r="D600" s="57"/>
      <c r="E600" s="57"/>
    </row>
    <row r="601">
      <c r="A601" s="57"/>
      <c r="B601" s="57"/>
      <c r="C601" s="58"/>
      <c r="D601" s="57"/>
      <c r="E601" s="57"/>
    </row>
    <row r="602">
      <c r="A602" s="57"/>
      <c r="B602" s="57"/>
      <c r="C602" s="58"/>
      <c r="D602" s="57"/>
      <c r="E602" s="57"/>
    </row>
    <row r="603">
      <c r="A603" s="57"/>
      <c r="B603" s="57"/>
      <c r="C603" s="58"/>
      <c r="D603" s="57"/>
      <c r="E603" s="57"/>
    </row>
    <row r="604">
      <c r="A604" s="57"/>
      <c r="B604" s="57"/>
      <c r="C604" s="58"/>
      <c r="D604" s="57"/>
      <c r="E604" s="57"/>
    </row>
    <row r="605">
      <c r="A605" s="57"/>
      <c r="B605" s="57"/>
      <c r="C605" s="58"/>
      <c r="D605" s="57"/>
      <c r="E605" s="57"/>
    </row>
    <row r="606">
      <c r="A606" s="57"/>
      <c r="B606" s="57"/>
      <c r="C606" s="58"/>
      <c r="D606" s="57"/>
      <c r="E606" s="57"/>
    </row>
    <row r="607">
      <c r="A607" s="57"/>
      <c r="B607" s="57"/>
      <c r="C607" s="58"/>
      <c r="D607" s="57"/>
      <c r="E607" s="57"/>
    </row>
    <row r="608">
      <c r="A608" s="57"/>
      <c r="B608" s="57"/>
      <c r="C608" s="58"/>
      <c r="D608" s="57"/>
      <c r="E608" s="57"/>
    </row>
    <row r="609">
      <c r="A609" s="57"/>
      <c r="B609" s="57"/>
      <c r="C609" s="58"/>
      <c r="D609" s="57"/>
      <c r="E609" s="57"/>
    </row>
    <row r="610">
      <c r="A610" s="57"/>
      <c r="B610" s="57"/>
      <c r="C610" s="58"/>
      <c r="D610" s="57"/>
      <c r="E610" s="57"/>
    </row>
    <row r="611">
      <c r="A611" s="57"/>
      <c r="B611" s="57"/>
      <c r="C611" s="58"/>
      <c r="D611" s="57"/>
      <c r="E611" s="57"/>
    </row>
    <row r="612">
      <c r="A612" s="57"/>
      <c r="B612" s="57"/>
      <c r="C612" s="58"/>
      <c r="D612" s="57"/>
      <c r="E612" s="57"/>
    </row>
    <row r="613">
      <c r="A613" s="57"/>
      <c r="B613" s="57"/>
      <c r="C613" s="58"/>
      <c r="D613" s="57"/>
      <c r="E613" s="57"/>
    </row>
    <row r="614">
      <c r="A614" s="57"/>
      <c r="B614" s="57"/>
      <c r="C614" s="58"/>
      <c r="D614" s="57"/>
      <c r="E614" s="57"/>
    </row>
    <row r="615">
      <c r="A615" s="57"/>
      <c r="B615" s="57"/>
      <c r="C615" s="58"/>
      <c r="D615" s="57"/>
      <c r="E615" s="57"/>
    </row>
    <row r="616">
      <c r="A616" s="57"/>
      <c r="B616" s="57"/>
      <c r="C616" s="58"/>
      <c r="D616" s="57"/>
      <c r="E616" s="57"/>
    </row>
    <row r="617">
      <c r="A617" s="57"/>
      <c r="B617" s="57"/>
      <c r="C617" s="58"/>
      <c r="D617" s="57"/>
      <c r="E617" s="57"/>
    </row>
    <row r="618">
      <c r="A618" s="57"/>
      <c r="B618" s="57"/>
      <c r="C618" s="58"/>
      <c r="D618" s="57"/>
      <c r="E618" s="57"/>
    </row>
    <row r="619">
      <c r="A619" s="57"/>
      <c r="B619" s="57"/>
      <c r="C619" s="58"/>
      <c r="D619" s="57"/>
      <c r="E619" s="57"/>
    </row>
    <row r="620">
      <c r="A620" s="57"/>
      <c r="B620" s="57"/>
      <c r="C620" s="58"/>
      <c r="D620" s="57"/>
      <c r="E620" s="57"/>
    </row>
    <row r="621">
      <c r="A621" s="57"/>
      <c r="B621" s="57"/>
      <c r="C621" s="58"/>
      <c r="D621" s="57"/>
      <c r="E621" s="57"/>
    </row>
    <row r="622">
      <c r="A622" s="57"/>
      <c r="B622" s="57"/>
      <c r="C622" s="58"/>
      <c r="D622" s="57"/>
      <c r="E622" s="57"/>
    </row>
    <row r="623">
      <c r="A623" s="57"/>
      <c r="B623" s="57"/>
      <c r="C623" s="58"/>
      <c r="D623" s="57"/>
      <c r="E623" s="57"/>
    </row>
    <row r="624">
      <c r="A624" s="57"/>
      <c r="B624" s="57"/>
      <c r="C624" s="58"/>
      <c r="D624" s="57"/>
      <c r="E624" s="57"/>
    </row>
    <row r="625">
      <c r="A625" s="57"/>
      <c r="B625" s="57"/>
      <c r="C625" s="58"/>
      <c r="D625" s="57"/>
      <c r="E625" s="57"/>
    </row>
    <row r="626">
      <c r="A626" s="57"/>
      <c r="B626" s="57"/>
      <c r="C626" s="58"/>
      <c r="D626" s="57"/>
      <c r="E626" s="57"/>
    </row>
    <row r="627">
      <c r="A627" s="57"/>
      <c r="B627" s="57"/>
      <c r="C627" s="58"/>
      <c r="D627" s="57"/>
      <c r="E627" s="57"/>
    </row>
    <row r="628">
      <c r="A628" s="57"/>
      <c r="B628" s="57"/>
      <c r="C628" s="58"/>
      <c r="D628" s="57"/>
      <c r="E628" s="57"/>
    </row>
    <row r="629">
      <c r="A629" s="57"/>
      <c r="B629" s="57"/>
      <c r="C629" s="58"/>
      <c r="D629" s="57"/>
      <c r="E629" s="57"/>
    </row>
    <row r="630">
      <c r="A630" s="57"/>
      <c r="B630" s="57"/>
      <c r="C630" s="58"/>
      <c r="D630" s="57"/>
      <c r="E630" s="57"/>
    </row>
    <row r="631">
      <c r="A631" s="57"/>
      <c r="B631" s="57"/>
      <c r="C631" s="58"/>
      <c r="D631" s="57"/>
      <c r="E631" s="57"/>
    </row>
    <row r="632">
      <c r="A632" s="57"/>
      <c r="B632" s="57"/>
      <c r="C632" s="58"/>
      <c r="D632" s="57"/>
      <c r="E632" s="57"/>
    </row>
    <row r="633">
      <c r="A633" s="57"/>
      <c r="B633" s="57"/>
      <c r="C633" s="58"/>
      <c r="D633" s="57"/>
      <c r="E633" s="57"/>
    </row>
    <row r="634">
      <c r="A634" s="57"/>
      <c r="B634" s="57"/>
      <c r="C634" s="58"/>
      <c r="D634" s="57"/>
      <c r="E634" s="57"/>
    </row>
    <row r="635">
      <c r="A635" s="57"/>
      <c r="B635" s="57"/>
      <c r="C635" s="58"/>
      <c r="D635" s="57"/>
      <c r="E635" s="57"/>
    </row>
    <row r="636">
      <c r="A636" s="57"/>
      <c r="B636" s="57"/>
      <c r="C636" s="58"/>
      <c r="D636" s="57"/>
      <c r="E636" s="57"/>
    </row>
    <row r="637">
      <c r="A637" s="57"/>
      <c r="B637" s="57"/>
      <c r="C637" s="58"/>
      <c r="D637" s="57"/>
      <c r="E637" s="57"/>
    </row>
    <row r="638">
      <c r="A638" s="57"/>
      <c r="B638" s="57"/>
      <c r="C638" s="58"/>
      <c r="D638" s="57"/>
      <c r="E638" s="57"/>
    </row>
    <row r="639">
      <c r="A639" s="57"/>
      <c r="B639" s="57"/>
      <c r="C639" s="58"/>
      <c r="D639" s="57"/>
      <c r="E639" s="57"/>
    </row>
    <row r="640">
      <c r="A640" s="57"/>
      <c r="B640" s="57"/>
      <c r="C640" s="58"/>
      <c r="D640" s="57"/>
      <c r="E640" s="57"/>
    </row>
    <row r="641">
      <c r="A641" s="57"/>
      <c r="B641" s="57"/>
      <c r="C641" s="58"/>
      <c r="D641" s="57"/>
      <c r="E641" s="57"/>
    </row>
    <row r="642">
      <c r="A642" s="57"/>
      <c r="B642" s="57"/>
      <c r="C642" s="58"/>
      <c r="D642" s="57"/>
      <c r="E642" s="57"/>
    </row>
    <row r="643">
      <c r="A643" s="57"/>
      <c r="B643" s="57"/>
      <c r="C643" s="58"/>
      <c r="D643" s="57"/>
      <c r="E643" s="57"/>
    </row>
    <row r="644">
      <c r="A644" s="57"/>
      <c r="B644" s="57"/>
      <c r="C644" s="58"/>
      <c r="D644" s="57"/>
      <c r="E644" s="57"/>
    </row>
    <row r="645">
      <c r="A645" s="57"/>
      <c r="B645" s="57"/>
      <c r="C645" s="58"/>
      <c r="D645" s="57"/>
      <c r="E645" s="57"/>
    </row>
    <row r="646">
      <c r="A646" s="57"/>
      <c r="B646" s="57"/>
      <c r="C646" s="58"/>
      <c r="D646" s="57"/>
      <c r="E646" s="57"/>
    </row>
    <row r="647">
      <c r="A647" s="57"/>
      <c r="B647" s="57"/>
      <c r="C647" s="58"/>
      <c r="D647" s="57"/>
      <c r="E647" s="57"/>
    </row>
    <row r="648">
      <c r="A648" s="57"/>
      <c r="B648" s="57"/>
      <c r="C648" s="58"/>
      <c r="D648" s="57"/>
      <c r="E648" s="57"/>
    </row>
    <row r="649">
      <c r="A649" s="57"/>
      <c r="B649" s="57"/>
      <c r="C649" s="58"/>
      <c r="D649" s="57"/>
      <c r="E649" s="57"/>
    </row>
    <row r="650">
      <c r="A650" s="57"/>
      <c r="B650" s="57"/>
      <c r="C650" s="58"/>
      <c r="D650" s="57"/>
      <c r="E650" s="57"/>
    </row>
    <row r="651">
      <c r="A651" s="57"/>
      <c r="B651" s="57"/>
      <c r="C651" s="58"/>
      <c r="D651" s="57"/>
      <c r="E651" s="57"/>
    </row>
    <row r="652">
      <c r="A652" s="57"/>
      <c r="B652" s="57"/>
      <c r="C652" s="58"/>
      <c r="D652" s="57"/>
      <c r="E652" s="57"/>
    </row>
    <row r="653">
      <c r="A653" s="57"/>
      <c r="B653" s="57"/>
      <c r="C653" s="58"/>
      <c r="D653" s="57"/>
      <c r="E653" s="57"/>
    </row>
    <row r="654">
      <c r="A654" s="57"/>
      <c r="B654" s="57"/>
      <c r="C654" s="58"/>
      <c r="D654" s="57"/>
      <c r="E654" s="57"/>
    </row>
    <row r="655">
      <c r="A655" s="57"/>
      <c r="B655" s="57"/>
      <c r="C655" s="58"/>
      <c r="D655" s="57"/>
      <c r="E655" s="57"/>
    </row>
    <row r="656">
      <c r="A656" s="57"/>
      <c r="B656" s="57"/>
      <c r="C656" s="58"/>
      <c r="D656" s="57"/>
      <c r="E656" s="57"/>
    </row>
    <row r="657">
      <c r="A657" s="57"/>
      <c r="B657" s="57"/>
      <c r="C657" s="58"/>
      <c r="D657" s="57"/>
      <c r="E657" s="57"/>
    </row>
    <row r="658">
      <c r="A658" s="57"/>
      <c r="B658" s="57"/>
      <c r="C658" s="58"/>
      <c r="D658" s="57"/>
      <c r="E658" s="57"/>
    </row>
    <row r="659">
      <c r="A659" s="57"/>
      <c r="B659" s="57"/>
      <c r="C659" s="58"/>
      <c r="D659" s="57"/>
      <c r="E659" s="57"/>
    </row>
    <row r="660">
      <c r="A660" s="57"/>
      <c r="B660" s="57"/>
      <c r="C660" s="58"/>
      <c r="D660" s="57"/>
      <c r="E660" s="57"/>
    </row>
    <row r="661">
      <c r="A661" s="57"/>
      <c r="B661" s="57"/>
      <c r="C661" s="58"/>
      <c r="D661" s="57"/>
      <c r="E661" s="57"/>
    </row>
    <row r="662">
      <c r="A662" s="57"/>
      <c r="B662" s="57"/>
      <c r="C662" s="58"/>
      <c r="D662" s="57"/>
      <c r="E662" s="57"/>
    </row>
    <row r="663">
      <c r="A663" s="57"/>
      <c r="B663" s="57"/>
      <c r="C663" s="58"/>
      <c r="D663" s="57"/>
      <c r="E663" s="57"/>
    </row>
    <row r="664">
      <c r="A664" s="57"/>
      <c r="B664" s="57"/>
      <c r="C664" s="58"/>
      <c r="D664" s="57"/>
      <c r="E664" s="57"/>
    </row>
    <row r="665">
      <c r="A665" s="57"/>
      <c r="B665" s="57"/>
      <c r="C665" s="58"/>
      <c r="D665" s="57"/>
      <c r="E665" s="57"/>
    </row>
    <row r="666">
      <c r="A666" s="57"/>
      <c r="B666" s="57"/>
      <c r="C666" s="58"/>
      <c r="D666" s="57"/>
      <c r="E666" s="57"/>
    </row>
    <row r="667">
      <c r="A667" s="57"/>
      <c r="B667" s="57"/>
      <c r="C667" s="58"/>
      <c r="D667" s="57"/>
      <c r="E667" s="57"/>
    </row>
    <row r="668">
      <c r="A668" s="57"/>
      <c r="B668" s="57"/>
      <c r="C668" s="58"/>
      <c r="D668" s="57"/>
      <c r="E668" s="57"/>
    </row>
    <row r="669">
      <c r="A669" s="57"/>
      <c r="B669" s="57"/>
      <c r="C669" s="58"/>
      <c r="D669" s="57"/>
      <c r="E669" s="57"/>
    </row>
    <row r="670">
      <c r="A670" s="57"/>
      <c r="B670" s="57"/>
      <c r="C670" s="58"/>
      <c r="D670" s="57"/>
      <c r="E670" s="57"/>
    </row>
    <row r="671">
      <c r="A671" s="57"/>
      <c r="B671" s="57"/>
      <c r="C671" s="58"/>
      <c r="D671" s="57"/>
      <c r="E671" s="57"/>
    </row>
    <row r="672">
      <c r="A672" s="57"/>
      <c r="B672" s="57"/>
      <c r="C672" s="58"/>
      <c r="D672" s="57"/>
      <c r="E672" s="57"/>
    </row>
    <row r="673">
      <c r="A673" s="57"/>
      <c r="B673" s="57"/>
      <c r="C673" s="58"/>
      <c r="D673" s="57"/>
      <c r="E673" s="57"/>
    </row>
    <row r="674">
      <c r="A674" s="57"/>
      <c r="B674" s="57"/>
      <c r="C674" s="58"/>
      <c r="D674" s="57"/>
      <c r="E674" s="57"/>
    </row>
    <row r="675">
      <c r="A675" s="57"/>
      <c r="B675" s="57"/>
      <c r="C675" s="58"/>
      <c r="D675" s="57"/>
      <c r="E675" s="57"/>
    </row>
    <row r="676">
      <c r="A676" s="57"/>
      <c r="B676" s="57"/>
      <c r="C676" s="58"/>
      <c r="D676" s="57"/>
      <c r="E676" s="57"/>
    </row>
    <row r="677">
      <c r="A677" s="57"/>
      <c r="B677" s="57"/>
      <c r="C677" s="58"/>
      <c r="D677" s="57"/>
      <c r="E677" s="57"/>
    </row>
    <row r="678">
      <c r="A678" s="57"/>
      <c r="B678" s="57"/>
      <c r="C678" s="58"/>
      <c r="D678" s="57"/>
      <c r="E678" s="57"/>
    </row>
    <row r="679">
      <c r="A679" s="57"/>
      <c r="B679" s="57"/>
      <c r="C679" s="58"/>
      <c r="D679" s="57"/>
      <c r="E679" s="57"/>
    </row>
    <row r="680">
      <c r="A680" s="57"/>
      <c r="B680" s="57"/>
      <c r="C680" s="58"/>
      <c r="D680" s="57"/>
      <c r="E680" s="57"/>
    </row>
    <row r="681">
      <c r="A681" s="57"/>
      <c r="B681" s="57"/>
      <c r="C681" s="58"/>
      <c r="D681" s="57"/>
      <c r="E681" s="57"/>
    </row>
    <row r="682">
      <c r="A682" s="57"/>
      <c r="B682" s="57"/>
      <c r="C682" s="58"/>
      <c r="D682" s="57"/>
      <c r="E682" s="57"/>
    </row>
    <row r="683">
      <c r="A683" s="57"/>
      <c r="B683" s="57"/>
      <c r="C683" s="58"/>
      <c r="D683" s="57"/>
      <c r="E683" s="57"/>
    </row>
    <row r="684">
      <c r="A684" s="57"/>
      <c r="B684" s="57"/>
      <c r="C684" s="58"/>
      <c r="D684" s="57"/>
      <c r="E684" s="57"/>
    </row>
    <row r="685">
      <c r="A685" s="57"/>
      <c r="B685" s="57"/>
      <c r="C685" s="58"/>
      <c r="D685" s="57"/>
      <c r="E685" s="57"/>
    </row>
    <row r="686">
      <c r="A686" s="57"/>
      <c r="B686" s="57"/>
      <c r="C686" s="58"/>
      <c r="D686" s="57"/>
      <c r="E686" s="57"/>
    </row>
    <row r="687">
      <c r="A687" s="57"/>
      <c r="B687" s="57"/>
      <c r="C687" s="58"/>
      <c r="D687" s="57"/>
      <c r="E687" s="57"/>
    </row>
    <row r="688">
      <c r="A688" s="57"/>
      <c r="B688" s="57"/>
      <c r="C688" s="58"/>
      <c r="D688" s="57"/>
      <c r="E688" s="57"/>
    </row>
    <row r="689">
      <c r="A689" s="57"/>
      <c r="B689" s="57"/>
      <c r="C689" s="58"/>
      <c r="D689" s="57"/>
      <c r="E689" s="57"/>
    </row>
    <row r="690">
      <c r="A690" s="57"/>
      <c r="B690" s="57"/>
      <c r="C690" s="58"/>
      <c r="D690" s="57"/>
      <c r="E690" s="57"/>
    </row>
    <row r="691">
      <c r="A691" s="57"/>
      <c r="B691" s="57"/>
      <c r="C691" s="58"/>
      <c r="D691" s="57"/>
      <c r="E691" s="57"/>
    </row>
    <row r="692">
      <c r="A692" s="57"/>
      <c r="B692" s="57"/>
      <c r="C692" s="58"/>
      <c r="D692" s="57"/>
      <c r="E692" s="57"/>
    </row>
    <row r="693">
      <c r="A693" s="57"/>
      <c r="B693" s="57"/>
      <c r="C693" s="58"/>
      <c r="D693" s="57"/>
      <c r="E693" s="57"/>
    </row>
    <row r="694">
      <c r="A694" s="57"/>
      <c r="B694" s="57"/>
      <c r="C694" s="58"/>
      <c r="D694" s="57"/>
      <c r="E694" s="57"/>
    </row>
    <row r="695">
      <c r="A695" s="57"/>
      <c r="B695" s="57"/>
      <c r="C695" s="58"/>
      <c r="D695" s="57"/>
      <c r="E695" s="57"/>
    </row>
    <row r="696">
      <c r="A696" s="57"/>
      <c r="B696" s="57"/>
      <c r="C696" s="58"/>
      <c r="D696" s="57"/>
      <c r="E696" s="57"/>
    </row>
    <row r="697">
      <c r="A697" s="57"/>
      <c r="B697" s="57"/>
      <c r="C697" s="58"/>
      <c r="D697" s="57"/>
      <c r="E697" s="57"/>
    </row>
    <row r="698">
      <c r="A698" s="57"/>
      <c r="B698" s="57"/>
      <c r="C698" s="58"/>
      <c r="D698" s="57"/>
      <c r="E698" s="57"/>
    </row>
    <row r="699">
      <c r="A699" s="57"/>
      <c r="B699" s="57"/>
      <c r="C699" s="58"/>
      <c r="D699" s="57"/>
      <c r="E699" s="57"/>
    </row>
    <row r="700">
      <c r="A700" s="57"/>
      <c r="B700" s="57"/>
      <c r="C700" s="58"/>
      <c r="D700" s="57"/>
      <c r="E700" s="57"/>
    </row>
    <row r="701">
      <c r="A701" s="57"/>
      <c r="B701" s="57"/>
      <c r="C701" s="58"/>
      <c r="D701" s="57"/>
      <c r="E701" s="57"/>
    </row>
    <row r="702">
      <c r="A702" s="57"/>
      <c r="B702" s="57"/>
      <c r="C702" s="58"/>
      <c r="D702" s="57"/>
      <c r="E702" s="57"/>
    </row>
    <row r="703">
      <c r="A703" s="57"/>
      <c r="B703" s="57"/>
      <c r="C703" s="58"/>
      <c r="D703" s="57"/>
      <c r="E703" s="57"/>
    </row>
    <row r="704">
      <c r="A704" s="57"/>
      <c r="B704" s="57"/>
      <c r="C704" s="58"/>
      <c r="D704" s="57"/>
      <c r="E704" s="57"/>
    </row>
    <row r="705">
      <c r="A705" s="57"/>
      <c r="B705" s="57"/>
      <c r="C705" s="58"/>
      <c r="D705" s="57"/>
      <c r="E705" s="57"/>
    </row>
    <row r="706">
      <c r="A706" s="57"/>
      <c r="B706" s="57"/>
      <c r="C706" s="58"/>
      <c r="D706" s="57"/>
      <c r="E706" s="57"/>
    </row>
    <row r="707">
      <c r="A707" s="57"/>
      <c r="B707" s="57"/>
      <c r="C707" s="58"/>
      <c r="D707" s="57"/>
      <c r="E707" s="57"/>
    </row>
    <row r="708">
      <c r="A708" s="57"/>
      <c r="B708" s="57"/>
      <c r="C708" s="58"/>
      <c r="D708" s="57"/>
      <c r="E708" s="57"/>
    </row>
    <row r="709">
      <c r="A709" s="57"/>
      <c r="B709" s="57"/>
      <c r="C709" s="58"/>
      <c r="D709" s="57"/>
      <c r="E709" s="57"/>
    </row>
    <row r="710">
      <c r="A710" s="57"/>
      <c r="B710" s="57"/>
      <c r="C710" s="58"/>
      <c r="D710" s="57"/>
      <c r="E710" s="57"/>
    </row>
    <row r="711">
      <c r="A711" s="57"/>
      <c r="B711" s="57"/>
      <c r="C711" s="58"/>
      <c r="D711" s="57"/>
      <c r="E711" s="57"/>
    </row>
    <row r="712">
      <c r="A712" s="57"/>
      <c r="B712" s="57"/>
      <c r="C712" s="58"/>
      <c r="D712" s="57"/>
      <c r="E712" s="57"/>
    </row>
    <row r="713">
      <c r="A713" s="57"/>
      <c r="B713" s="57"/>
      <c r="C713" s="58"/>
      <c r="D713" s="57"/>
      <c r="E713" s="57"/>
    </row>
    <row r="714">
      <c r="A714" s="57"/>
      <c r="B714" s="57"/>
      <c r="C714" s="58"/>
      <c r="D714" s="57"/>
      <c r="E714" s="57"/>
    </row>
    <row r="715">
      <c r="A715" s="57"/>
      <c r="B715" s="57"/>
      <c r="C715" s="58"/>
      <c r="D715" s="57"/>
      <c r="E715" s="57"/>
    </row>
    <row r="716">
      <c r="A716" s="57"/>
      <c r="B716" s="57"/>
      <c r="C716" s="58"/>
      <c r="D716" s="57"/>
      <c r="E716" s="57"/>
    </row>
    <row r="717">
      <c r="A717" s="57"/>
      <c r="B717" s="57"/>
      <c r="C717" s="58"/>
      <c r="D717" s="57"/>
      <c r="E717" s="57"/>
    </row>
    <row r="718">
      <c r="A718" s="57"/>
      <c r="B718" s="57"/>
      <c r="C718" s="58"/>
      <c r="D718" s="57"/>
      <c r="E718" s="57"/>
    </row>
    <row r="719">
      <c r="A719" s="57"/>
      <c r="B719" s="57"/>
      <c r="C719" s="58"/>
      <c r="D719" s="57"/>
      <c r="E719" s="57"/>
    </row>
    <row r="720">
      <c r="A720" s="57"/>
      <c r="B720" s="57"/>
      <c r="C720" s="58"/>
      <c r="D720" s="57"/>
      <c r="E720" s="57"/>
    </row>
    <row r="721">
      <c r="A721" s="57"/>
      <c r="B721" s="57"/>
      <c r="C721" s="58"/>
      <c r="D721" s="57"/>
      <c r="E721" s="57"/>
    </row>
    <row r="722">
      <c r="A722" s="57"/>
      <c r="B722" s="57"/>
      <c r="C722" s="58"/>
      <c r="D722" s="57"/>
      <c r="E722" s="57"/>
    </row>
    <row r="723">
      <c r="A723" s="57"/>
      <c r="B723" s="57"/>
      <c r="C723" s="58"/>
      <c r="D723" s="57"/>
      <c r="E723" s="57"/>
    </row>
    <row r="724">
      <c r="A724" s="57"/>
      <c r="B724" s="57"/>
      <c r="C724" s="58"/>
      <c r="D724" s="57"/>
      <c r="E724" s="57"/>
    </row>
    <row r="725">
      <c r="A725" s="57"/>
      <c r="B725" s="57"/>
      <c r="C725" s="58"/>
      <c r="D725" s="57"/>
      <c r="E725" s="57"/>
    </row>
    <row r="726">
      <c r="A726" s="57"/>
      <c r="B726" s="57"/>
      <c r="C726" s="58"/>
      <c r="D726" s="57"/>
      <c r="E726" s="57"/>
    </row>
    <row r="727">
      <c r="A727" s="57"/>
      <c r="B727" s="57"/>
      <c r="C727" s="58"/>
      <c r="D727" s="57"/>
      <c r="E727" s="57"/>
    </row>
    <row r="728">
      <c r="A728" s="57"/>
      <c r="B728" s="57"/>
      <c r="C728" s="58"/>
      <c r="D728" s="57"/>
      <c r="E728" s="57"/>
    </row>
    <row r="729">
      <c r="A729" s="57"/>
      <c r="B729" s="57"/>
      <c r="C729" s="58"/>
      <c r="D729" s="57"/>
      <c r="E729" s="57"/>
    </row>
    <row r="730">
      <c r="A730" s="57"/>
      <c r="B730" s="57"/>
      <c r="C730" s="58"/>
      <c r="D730" s="57"/>
      <c r="E730" s="57"/>
    </row>
    <row r="731">
      <c r="A731" s="57"/>
      <c r="B731" s="57"/>
      <c r="C731" s="58"/>
      <c r="D731" s="57"/>
      <c r="E731" s="57"/>
    </row>
    <row r="732">
      <c r="A732" s="57"/>
      <c r="B732" s="57"/>
      <c r="C732" s="58"/>
      <c r="D732" s="57"/>
      <c r="E732" s="57"/>
    </row>
    <row r="733">
      <c r="A733" s="57"/>
      <c r="B733" s="57"/>
      <c r="C733" s="58"/>
      <c r="D733" s="57"/>
      <c r="E733" s="57"/>
    </row>
    <row r="734">
      <c r="A734" s="57"/>
      <c r="B734" s="57"/>
      <c r="C734" s="58"/>
      <c r="D734" s="57"/>
      <c r="E734" s="57"/>
    </row>
    <row r="735">
      <c r="A735" s="57"/>
      <c r="B735" s="57"/>
      <c r="C735" s="58"/>
      <c r="D735" s="57"/>
      <c r="E735" s="57"/>
    </row>
    <row r="736">
      <c r="A736" s="57"/>
      <c r="B736" s="57"/>
      <c r="C736" s="58"/>
      <c r="D736" s="57"/>
      <c r="E736" s="57"/>
    </row>
    <row r="737">
      <c r="A737" s="57"/>
      <c r="B737" s="57"/>
      <c r="C737" s="58"/>
      <c r="D737" s="57"/>
      <c r="E737" s="57"/>
    </row>
    <row r="738">
      <c r="A738" s="57"/>
      <c r="B738" s="57"/>
      <c r="C738" s="58"/>
      <c r="D738" s="57"/>
      <c r="E738" s="57"/>
    </row>
    <row r="739">
      <c r="A739" s="57"/>
      <c r="B739" s="57"/>
      <c r="C739" s="58"/>
      <c r="D739" s="57"/>
      <c r="E739" s="57"/>
    </row>
    <row r="740">
      <c r="A740" s="57"/>
      <c r="B740" s="57"/>
      <c r="C740" s="58"/>
      <c r="D740" s="57"/>
      <c r="E740" s="57"/>
    </row>
    <row r="741">
      <c r="A741" s="57"/>
      <c r="B741" s="57"/>
      <c r="C741" s="58"/>
      <c r="D741" s="57"/>
      <c r="E741" s="57"/>
    </row>
    <row r="742">
      <c r="A742" s="57"/>
      <c r="B742" s="57"/>
      <c r="C742" s="58"/>
      <c r="D742" s="57"/>
      <c r="E742" s="57"/>
    </row>
    <row r="743">
      <c r="A743" s="57"/>
      <c r="B743" s="57"/>
      <c r="C743" s="58"/>
      <c r="D743" s="57"/>
      <c r="E743" s="57"/>
    </row>
    <row r="744">
      <c r="A744" s="57"/>
      <c r="B744" s="57"/>
      <c r="C744" s="58"/>
      <c r="D744" s="57"/>
      <c r="E744" s="57"/>
    </row>
    <row r="745">
      <c r="A745" s="57"/>
      <c r="B745" s="57"/>
      <c r="C745" s="58"/>
      <c r="D745" s="57"/>
      <c r="E745" s="57"/>
    </row>
    <row r="746">
      <c r="A746" s="57"/>
      <c r="B746" s="57"/>
      <c r="C746" s="58"/>
      <c r="D746" s="57"/>
      <c r="E746" s="57"/>
    </row>
    <row r="747">
      <c r="A747" s="57"/>
      <c r="B747" s="57"/>
      <c r="C747" s="58"/>
      <c r="D747" s="57"/>
      <c r="E747" s="57"/>
    </row>
    <row r="748">
      <c r="A748" s="57"/>
      <c r="B748" s="57"/>
      <c r="C748" s="58"/>
      <c r="D748" s="57"/>
      <c r="E748" s="57"/>
    </row>
    <row r="749">
      <c r="A749" s="57"/>
      <c r="B749" s="57"/>
      <c r="C749" s="58"/>
      <c r="D749" s="57"/>
      <c r="E749" s="57"/>
    </row>
    <row r="750">
      <c r="A750" s="57"/>
      <c r="B750" s="57"/>
      <c r="C750" s="58"/>
      <c r="D750" s="57"/>
      <c r="E750" s="57"/>
    </row>
    <row r="751">
      <c r="A751" s="57"/>
      <c r="B751" s="57"/>
      <c r="C751" s="58"/>
      <c r="D751" s="57"/>
      <c r="E751" s="57"/>
    </row>
    <row r="752">
      <c r="A752" s="57"/>
      <c r="B752" s="57"/>
      <c r="C752" s="58"/>
      <c r="D752" s="57"/>
      <c r="E752" s="57"/>
    </row>
    <row r="753">
      <c r="A753" s="57"/>
      <c r="B753" s="57"/>
      <c r="C753" s="58"/>
      <c r="D753" s="57"/>
      <c r="E753" s="57"/>
    </row>
    <row r="754">
      <c r="A754" s="57"/>
      <c r="B754" s="57"/>
      <c r="C754" s="58"/>
      <c r="D754" s="57"/>
      <c r="E754" s="57"/>
    </row>
    <row r="755">
      <c r="A755" s="57"/>
      <c r="B755" s="57"/>
      <c r="C755" s="58"/>
      <c r="D755" s="57"/>
      <c r="E755" s="57"/>
    </row>
    <row r="756">
      <c r="A756" s="57"/>
      <c r="B756" s="57"/>
      <c r="C756" s="58"/>
      <c r="D756" s="57"/>
      <c r="E756" s="57"/>
    </row>
    <row r="757">
      <c r="A757" s="57"/>
      <c r="B757" s="57"/>
      <c r="C757" s="58"/>
      <c r="D757" s="57"/>
      <c r="E757" s="57"/>
    </row>
    <row r="758">
      <c r="A758" s="57"/>
      <c r="B758" s="57"/>
      <c r="C758" s="58"/>
      <c r="D758" s="57"/>
      <c r="E758" s="57"/>
    </row>
    <row r="759">
      <c r="A759" s="57"/>
      <c r="B759" s="57"/>
      <c r="C759" s="58"/>
      <c r="D759" s="57"/>
      <c r="E759" s="57"/>
    </row>
    <row r="760">
      <c r="A760" s="57"/>
      <c r="B760" s="57"/>
      <c r="C760" s="58"/>
      <c r="D760" s="57"/>
      <c r="E760" s="57"/>
    </row>
    <row r="761">
      <c r="A761" s="57"/>
      <c r="B761" s="57"/>
      <c r="C761" s="58"/>
      <c r="D761" s="57"/>
      <c r="E761" s="57"/>
    </row>
    <row r="762">
      <c r="A762" s="57"/>
      <c r="B762" s="57"/>
      <c r="C762" s="58"/>
      <c r="D762" s="57"/>
      <c r="E762" s="57"/>
    </row>
    <row r="763">
      <c r="A763" s="57"/>
      <c r="B763" s="57"/>
      <c r="C763" s="58"/>
      <c r="D763" s="57"/>
      <c r="E763" s="57"/>
    </row>
    <row r="764">
      <c r="A764" s="57"/>
      <c r="B764" s="57"/>
      <c r="C764" s="58"/>
      <c r="D764" s="57"/>
      <c r="E764" s="57"/>
    </row>
    <row r="765">
      <c r="A765" s="57"/>
      <c r="B765" s="57"/>
      <c r="C765" s="58"/>
      <c r="D765" s="57"/>
      <c r="E765" s="57"/>
    </row>
    <row r="766">
      <c r="A766" s="57"/>
      <c r="B766" s="57"/>
      <c r="C766" s="58"/>
      <c r="D766" s="57"/>
      <c r="E766" s="57"/>
    </row>
    <row r="767">
      <c r="A767" s="57"/>
      <c r="B767" s="57"/>
      <c r="C767" s="58"/>
      <c r="D767" s="57"/>
      <c r="E767" s="57"/>
    </row>
    <row r="768">
      <c r="A768" s="57"/>
      <c r="B768" s="57"/>
      <c r="C768" s="58"/>
      <c r="D768" s="57"/>
      <c r="E768" s="57"/>
    </row>
    <row r="769">
      <c r="A769" s="57"/>
      <c r="B769" s="57"/>
      <c r="C769" s="58"/>
      <c r="D769" s="57"/>
      <c r="E769" s="57"/>
    </row>
    <row r="770">
      <c r="A770" s="57"/>
      <c r="B770" s="57"/>
      <c r="C770" s="58"/>
      <c r="D770" s="57"/>
      <c r="E770" s="57"/>
    </row>
    <row r="771">
      <c r="A771" s="57"/>
      <c r="B771" s="57"/>
      <c r="C771" s="58"/>
      <c r="D771" s="57"/>
      <c r="E771" s="57"/>
    </row>
    <row r="772">
      <c r="A772" s="57"/>
      <c r="B772" s="57"/>
      <c r="C772" s="58"/>
      <c r="D772" s="57"/>
      <c r="E772" s="57"/>
    </row>
    <row r="773">
      <c r="A773" s="57"/>
      <c r="B773" s="57"/>
      <c r="C773" s="58"/>
      <c r="D773" s="57"/>
      <c r="E773" s="57"/>
    </row>
    <row r="774">
      <c r="A774" s="57"/>
      <c r="B774" s="57"/>
      <c r="C774" s="58"/>
      <c r="D774" s="57"/>
      <c r="E774" s="57"/>
    </row>
    <row r="775">
      <c r="A775" s="57"/>
      <c r="B775" s="57"/>
      <c r="C775" s="58"/>
      <c r="D775" s="57"/>
      <c r="E775" s="57"/>
    </row>
    <row r="776">
      <c r="A776" s="57"/>
      <c r="B776" s="57"/>
      <c r="C776" s="58"/>
      <c r="D776" s="57"/>
      <c r="E776" s="57"/>
    </row>
    <row r="777">
      <c r="A777" s="57"/>
      <c r="B777" s="57"/>
      <c r="C777" s="58"/>
      <c r="D777" s="57"/>
      <c r="E777" s="57"/>
    </row>
    <row r="778">
      <c r="A778" s="57"/>
      <c r="B778" s="57"/>
      <c r="C778" s="58"/>
      <c r="D778" s="57"/>
      <c r="E778" s="57"/>
    </row>
    <row r="779">
      <c r="A779" s="57"/>
      <c r="B779" s="57"/>
      <c r="C779" s="58"/>
      <c r="D779" s="57"/>
      <c r="E779" s="57"/>
    </row>
    <row r="780">
      <c r="A780" s="57"/>
      <c r="B780" s="57"/>
      <c r="C780" s="58"/>
      <c r="D780" s="57"/>
      <c r="E780" s="57"/>
    </row>
    <row r="781">
      <c r="A781" s="57"/>
      <c r="B781" s="57"/>
      <c r="C781" s="58"/>
      <c r="D781" s="57"/>
      <c r="E781" s="57"/>
    </row>
    <row r="782">
      <c r="A782" s="57"/>
      <c r="B782" s="57"/>
      <c r="C782" s="58"/>
      <c r="D782" s="57"/>
      <c r="E782" s="57"/>
    </row>
    <row r="783">
      <c r="A783" s="57"/>
      <c r="B783" s="57"/>
      <c r="C783" s="58"/>
      <c r="D783" s="57"/>
      <c r="E783" s="57"/>
    </row>
    <row r="784">
      <c r="A784" s="57"/>
      <c r="B784" s="57"/>
      <c r="C784" s="58"/>
      <c r="D784" s="57"/>
      <c r="E784" s="57"/>
    </row>
    <row r="785">
      <c r="A785" s="57"/>
      <c r="B785" s="57"/>
      <c r="C785" s="58"/>
      <c r="D785" s="57"/>
      <c r="E785" s="57"/>
    </row>
    <row r="786">
      <c r="A786" s="57"/>
      <c r="B786" s="57"/>
      <c r="C786" s="58"/>
      <c r="D786" s="57"/>
      <c r="E786" s="57"/>
    </row>
    <row r="787">
      <c r="A787" s="57"/>
      <c r="B787" s="57"/>
      <c r="C787" s="58"/>
      <c r="D787" s="57"/>
      <c r="E787" s="57"/>
    </row>
    <row r="788">
      <c r="A788" s="57"/>
      <c r="B788" s="57"/>
      <c r="C788" s="58"/>
      <c r="D788" s="57"/>
      <c r="E788" s="57"/>
    </row>
    <row r="789">
      <c r="A789" s="57"/>
      <c r="B789" s="57"/>
      <c r="C789" s="58"/>
      <c r="D789" s="57"/>
      <c r="E789" s="57"/>
    </row>
    <row r="790">
      <c r="A790" s="57"/>
      <c r="B790" s="57"/>
      <c r="C790" s="58"/>
      <c r="D790" s="57"/>
      <c r="E790" s="57"/>
    </row>
    <row r="791">
      <c r="A791" s="57"/>
      <c r="B791" s="57"/>
      <c r="C791" s="58"/>
      <c r="D791" s="57"/>
      <c r="E791" s="57"/>
    </row>
    <row r="792">
      <c r="A792" s="57"/>
      <c r="B792" s="57"/>
      <c r="C792" s="58"/>
      <c r="D792" s="57"/>
      <c r="E792" s="57"/>
    </row>
    <row r="793">
      <c r="A793" s="57"/>
      <c r="B793" s="57"/>
      <c r="C793" s="58"/>
      <c r="D793" s="57"/>
      <c r="E793" s="57"/>
    </row>
    <row r="794">
      <c r="A794" s="57"/>
      <c r="B794" s="57"/>
      <c r="C794" s="58"/>
      <c r="D794" s="57"/>
      <c r="E794" s="57"/>
    </row>
    <row r="795">
      <c r="A795" s="57"/>
      <c r="B795" s="57"/>
      <c r="C795" s="58"/>
      <c r="D795" s="57"/>
      <c r="E795" s="57"/>
    </row>
    <row r="796">
      <c r="A796" s="57"/>
      <c r="B796" s="57"/>
      <c r="C796" s="58"/>
      <c r="D796" s="57"/>
      <c r="E796" s="57"/>
    </row>
    <row r="797">
      <c r="A797" s="57"/>
      <c r="B797" s="57"/>
      <c r="C797" s="58"/>
      <c r="D797" s="57"/>
      <c r="E797" s="57"/>
    </row>
    <row r="798">
      <c r="A798" s="57"/>
      <c r="B798" s="57"/>
      <c r="C798" s="58"/>
      <c r="D798" s="57"/>
      <c r="E798" s="57"/>
    </row>
    <row r="799">
      <c r="A799" s="57"/>
      <c r="B799" s="57"/>
      <c r="C799" s="58"/>
      <c r="D799" s="57"/>
      <c r="E799" s="57"/>
    </row>
    <row r="800">
      <c r="A800" s="57"/>
      <c r="B800" s="57"/>
      <c r="C800" s="58"/>
      <c r="D800" s="57"/>
      <c r="E800" s="57"/>
    </row>
    <row r="801">
      <c r="A801" s="57"/>
      <c r="B801" s="57"/>
      <c r="C801" s="58"/>
      <c r="D801" s="57"/>
      <c r="E801" s="57"/>
    </row>
    <row r="802">
      <c r="A802" s="57"/>
      <c r="B802" s="57"/>
      <c r="C802" s="58"/>
      <c r="D802" s="57"/>
      <c r="E802" s="57"/>
    </row>
    <row r="803">
      <c r="A803" s="57"/>
      <c r="B803" s="57"/>
      <c r="C803" s="58"/>
      <c r="D803" s="57"/>
      <c r="E803" s="57"/>
    </row>
    <row r="804">
      <c r="A804" s="57"/>
      <c r="B804" s="57"/>
      <c r="C804" s="58"/>
      <c r="D804" s="57"/>
      <c r="E804" s="57"/>
    </row>
    <row r="805">
      <c r="A805" s="57"/>
      <c r="B805" s="57"/>
      <c r="C805" s="58"/>
      <c r="D805" s="57"/>
      <c r="E805" s="57"/>
    </row>
    <row r="806">
      <c r="A806" s="57"/>
      <c r="B806" s="57"/>
      <c r="C806" s="58"/>
      <c r="D806" s="57"/>
      <c r="E806" s="57"/>
    </row>
    <row r="807">
      <c r="A807" s="57"/>
      <c r="B807" s="57"/>
      <c r="C807" s="58"/>
      <c r="D807" s="57"/>
      <c r="E807" s="57"/>
    </row>
    <row r="808">
      <c r="A808" s="57"/>
      <c r="B808" s="57"/>
      <c r="C808" s="58"/>
      <c r="D808" s="57"/>
      <c r="E808" s="57"/>
    </row>
    <row r="809">
      <c r="A809" s="57"/>
      <c r="B809" s="57"/>
      <c r="C809" s="58"/>
      <c r="D809" s="57"/>
      <c r="E809" s="57"/>
    </row>
    <row r="810">
      <c r="A810" s="57"/>
      <c r="B810" s="57"/>
      <c r="C810" s="58"/>
      <c r="D810" s="57"/>
      <c r="E810" s="57"/>
    </row>
    <row r="811">
      <c r="A811" s="57"/>
      <c r="B811" s="57"/>
      <c r="C811" s="58"/>
      <c r="D811" s="57"/>
      <c r="E811" s="57"/>
    </row>
    <row r="812">
      <c r="A812" s="57"/>
      <c r="B812" s="57"/>
      <c r="C812" s="58"/>
      <c r="D812" s="57"/>
      <c r="E812" s="57"/>
    </row>
    <row r="813">
      <c r="A813" s="57"/>
      <c r="B813" s="57"/>
      <c r="C813" s="58"/>
      <c r="D813" s="57"/>
      <c r="E813" s="57"/>
    </row>
    <row r="814">
      <c r="A814" s="57"/>
      <c r="B814" s="57"/>
      <c r="C814" s="58"/>
      <c r="D814" s="57"/>
      <c r="E814" s="57"/>
    </row>
    <row r="815">
      <c r="A815" s="57"/>
      <c r="B815" s="57"/>
      <c r="C815" s="58"/>
      <c r="D815" s="57"/>
      <c r="E815" s="57"/>
    </row>
    <row r="816">
      <c r="A816" s="57"/>
      <c r="B816" s="57"/>
      <c r="C816" s="58"/>
      <c r="D816" s="57"/>
      <c r="E816" s="57"/>
    </row>
    <row r="817">
      <c r="A817" s="57"/>
      <c r="B817" s="57"/>
      <c r="C817" s="58"/>
      <c r="D817" s="57"/>
      <c r="E817" s="57"/>
    </row>
    <row r="818">
      <c r="A818" s="57"/>
      <c r="B818" s="57"/>
      <c r="C818" s="58"/>
      <c r="D818" s="57"/>
      <c r="E818" s="57"/>
    </row>
    <row r="819">
      <c r="A819" s="57"/>
      <c r="B819" s="57"/>
      <c r="C819" s="58"/>
      <c r="D819" s="57"/>
      <c r="E819" s="57"/>
    </row>
    <row r="820">
      <c r="A820" s="57"/>
      <c r="B820" s="57"/>
      <c r="C820" s="58"/>
      <c r="D820" s="57"/>
      <c r="E820" s="57"/>
    </row>
    <row r="821">
      <c r="A821" s="57"/>
      <c r="B821" s="57"/>
      <c r="C821" s="58"/>
      <c r="D821" s="57"/>
      <c r="E821" s="57"/>
    </row>
    <row r="822">
      <c r="A822" s="57"/>
      <c r="B822" s="57"/>
      <c r="C822" s="58"/>
      <c r="D822" s="57"/>
      <c r="E822" s="57"/>
    </row>
    <row r="823">
      <c r="A823" s="57"/>
      <c r="B823" s="57"/>
      <c r="C823" s="58"/>
      <c r="D823" s="57"/>
      <c r="E823" s="57"/>
    </row>
    <row r="824">
      <c r="A824" s="57"/>
      <c r="B824" s="57"/>
      <c r="C824" s="58"/>
      <c r="D824" s="57"/>
      <c r="E824" s="57"/>
    </row>
    <row r="825">
      <c r="A825" s="57"/>
      <c r="B825" s="57"/>
      <c r="C825" s="58"/>
      <c r="D825" s="57"/>
      <c r="E825" s="57"/>
    </row>
    <row r="826">
      <c r="A826" s="57"/>
      <c r="B826" s="57"/>
      <c r="C826" s="58"/>
      <c r="D826" s="57"/>
      <c r="E826" s="57"/>
    </row>
    <row r="827">
      <c r="A827" s="57"/>
      <c r="B827" s="57"/>
      <c r="C827" s="58"/>
      <c r="D827" s="57"/>
      <c r="E827" s="57"/>
    </row>
    <row r="828">
      <c r="A828" s="57"/>
      <c r="B828" s="57"/>
      <c r="C828" s="58"/>
      <c r="D828" s="57"/>
      <c r="E828" s="57"/>
    </row>
    <row r="829">
      <c r="A829" s="57"/>
      <c r="B829" s="57"/>
      <c r="C829" s="58"/>
      <c r="D829" s="57"/>
      <c r="E829" s="57"/>
    </row>
    <row r="830">
      <c r="A830" s="57"/>
      <c r="B830" s="57"/>
      <c r="C830" s="58"/>
      <c r="D830" s="57"/>
      <c r="E830" s="57"/>
    </row>
    <row r="831">
      <c r="A831" s="57"/>
      <c r="B831" s="57"/>
      <c r="C831" s="58"/>
      <c r="D831" s="57"/>
      <c r="E831" s="57"/>
    </row>
    <row r="832">
      <c r="A832" s="57"/>
      <c r="B832" s="57"/>
      <c r="C832" s="58"/>
      <c r="D832" s="57"/>
      <c r="E832" s="57"/>
    </row>
    <row r="833">
      <c r="A833" s="57"/>
      <c r="B833" s="57"/>
      <c r="C833" s="58"/>
      <c r="D833" s="57"/>
      <c r="E833" s="57"/>
    </row>
    <row r="834">
      <c r="A834" s="57"/>
      <c r="B834" s="57"/>
      <c r="C834" s="58"/>
      <c r="D834" s="57"/>
      <c r="E834" s="57"/>
    </row>
    <row r="835">
      <c r="A835" s="57"/>
      <c r="B835" s="57"/>
      <c r="C835" s="58"/>
      <c r="D835" s="57"/>
      <c r="E835" s="57"/>
    </row>
    <row r="836">
      <c r="A836" s="57"/>
      <c r="B836" s="57"/>
      <c r="C836" s="58"/>
      <c r="D836" s="57"/>
      <c r="E836" s="57"/>
    </row>
    <row r="837">
      <c r="A837" s="57"/>
      <c r="B837" s="57"/>
      <c r="C837" s="58"/>
      <c r="D837" s="57"/>
      <c r="E837" s="57"/>
    </row>
    <row r="838">
      <c r="A838" s="57"/>
      <c r="B838" s="57"/>
      <c r="C838" s="58"/>
      <c r="D838" s="57"/>
      <c r="E838" s="57"/>
    </row>
    <row r="839">
      <c r="A839" s="57"/>
      <c r="B839" s="57"/>
      <c r="C839" s="58"/>
      <c r="D839" s="57"/>
      <c r="E839" s="57"/>
    </row>
    <row r="840">
      <c r="A840" s="57"/>
      <c r="B840" s="57"/>
      <c r="C840" s="58"/>
      <c r="D840" s="57"/>
      <c r="E840" s="57"/>
    </row>
    <row r="841">
      <c r="A841" s="57"/>
      <c r="B841" s="57"/>
      <c r="C841" s="58"/>
      <c r="D841" s="57"/>
      <c r="E841" s="57"/>
    </row>
    <row r="842">
      <c r="A842" s="57"/>
      <c r="B842" s="57"/>
      <c r="C842" s="58"/>
      <c r="D842" s="57"/>
      <c r="E842" s="57"/>
    </row>
    <row r="843">
      <c r="A843" s="57"/>
      <c r="B843" s="57"/>
      <c r="C843" s="58"/>
      <c r="D843" s="57"/>
      <c r="E843" s="57"/>
    </row>
    <row r="844">
      <c r="A844" s="57"/>
      <c r="B844" s="57"/>
      <c r="C844" s="58"/>
      <c r="D844" s="57"/>
      <c r="E844" s="57"/>
    </row>
    <row r="845">
      <c r="A845" s="57"/>
      <c r="B845" s="57"/>
      <c r="C845" s="58"/>
      <c r="D845" s="57"/>
      <c r="E845" s="57"/>
    </row>
    <row r="846">
      <c r="A846" s="57"/>
      <c r="B846" s="57"/>
      <c r="C846" s="58"/>
      <c r="D846" s="57"/>
      <c r="E846" s="57"/>
    </row>
    <row r="847">
      <c r="A847" s="57"/>
      <c r="B847" s="57"/>
      <c r="C847" s="58"/>
      <c r="D847" s="57"/>
      <c r="E847" s="57"/>
    </row>
    <row r="848">
      <c r="A848" s="57"/>
      <c r="B848" s="57"/>
      <c r="C848" s="58"/>
      <c r="D848" s="57"/>
      <c r="E848" s="57"/>
    </row>
    <row r="849">
      <c r="A849" s="57"/>
      <c r="B849" s="57"/>
      <c r="C849" s="58"/>
      <c r="D849" s="57"/>
      <c r="E849" s="57"/>
    </row>
    <row r="850">
      <c r="A850" s="57"/>
      <c r="B850" s="57"/>
      <c r="C850" s="58"/>
      <c r="D850" s="57"/>
      <c r="E850" s="57"/>
    </row>
    <row r="851">
      <c r="A851" s="57"/>
      <c r="B851" s="57"/>
      <c r="C851" s="58"/>
      <c r="D851" s="57"/>
      <c r="E851" s="57"/>
    </row>
    <row r="852">
      <c r="A852" s="57"/>
      <c r="B852" s="57"/>
      <c r="C852" s="58"/>
      <c r="D852" s="57"/>
      <c r="E852" s="57"/>
    </row>
    <row r="853">
      <c r="A853" s="57"/>
      <c r="B853" s="57"/>
      <c r="C853" s="58"/>
      <c r="D853" s="57"/>
      <c r="E853" s="57"/>
    </row>
    <row r="854">
      <c r="A854" s="57"/>
      <c r="B854" s="57"/>
      <c r="C854" s="58"/>
      <c r="D854" s="57"/>
      <c r="E854" s="57"/>
    </row>
    <row r="855">
      <c r="A855" s="57"/>
      <c r="B855" s="57"/>
      <c r="C855" s="58"/>
      <c r="D855" s="57"/>
      <c r="E855" s="57"/>
    </row>
    <row r="856">
      <c r="A856" s="57"/>
      <c r="B856" s="57"/>
      <c r="C856" s="58"/>
      <c r="D856" s="57"/>
      <c r="E856" s="57"/>
    </row>
    <row r="857">
      <c r="A857" s="57"/>
      <c r="B857" s="57"/>
      <c r="C857" s="58"/>
      <c r="D857" s="57"/>
      <c r="E857" s="57"/>
    </row>
    <row r="858">
      <c r="A858" s="57"/>
      <c r="B858" s="57"/>
      <c r="C858" s="58"/>
      <c r="D858" s="57"/>
      <c r="E858" s="57"/>
    </row>
    <row r="859">
      <c r="A859" s="57"/>
      <c r="B859" s="57"/>
      <c r="C859" s="58"/>
      <c r="D859" s="57"/>
      <c r="E859" s="57"/>
    </row>
    <row r="860">
      <c r="A860" s="57"/>
      <c r="B860" s="57"/>
      <c r="C860" s="58"/>
      <c r="D860" s="57"/>
      <c r="E860" s="57"/>
    </row>
    <row r="861">
      <c r="A861" s="57"/>
      <c r="B861" s="57"/>
      <c r="C861" s="58"/>
      <c r="D861" s="57"/>
      <c r="E861" s="57"/>
    </row>
    <row r="862">
      <c r="A862" s="57"/>
      <c r="B862" s="57"/>
      <c r="C862" s="58"/>
      <c r="D862" s="57"/>
      <c r="E862" s="57"/>
    </row>
    <row r="863">
      <c r="A863" s="57"/>
      <c r="B863" s="57"/>
      <c r="C863" s="58"/>
      <c r="D863" s="57"/>
      <c r="E863" s="57"/>
    </row>
    <row r="864">
      <c r="A864" s="57"/>
      <c r="B864" s="57"/>
      <c r="C864" s="58"/>
      <c r="D864" s="57"/>
      <c r="E864" s="57"/>
    </row>
    <row r="865">
      <c r="A865" s="57"/>
      <c r="B865" s="57"/>
      <c r="C865" s="58"/>
      <c r="D865" s="57"/>
      <c r="E865" s="57"/>
    </row>
    <row r="866">
      <c r="A866" s="57"/>
      <c r="B866" s="57"/>
      <c r="C866" s="58"/>
      <c r="D866" s="57"/>
      <c r="E866" s="57"/>
    </row>
    <row r="867">
      <c r="A867" s="57"/>
      <c r="B867" s="57"/>
      <c r="C867" s="58"/>
      <c r="D867" s="57"/>
      <c r="E867" s="57"/>
    </row>
    <row r="868">
      <c r="A868" s="57"/>
      <c r="B868" s="57"/>
      <c r="C868" s="58"/>
      <c r="D868" s="57"/>
      <c r="E868" s="57"/>
    </row>
    <row r="869">
      <c r="A869" s="57"/>
      <c r="B869" s="57"/>
      <c r="C869" s="58"/>
      <c r="D869" s="57"/>
      <c r="E869" s="57"/>
    </row>
    <row r="870">
      <c r="A870" s="57"/>
      <c r="B870" s="57"/>
      <c r="C870" s="58"/>
      <c r="D870" s="57"/>
      <c r="E870" s="57"/>
    </row>
    <row r="871">
      <c r="A871" s="57"/>
      <c r="B871" s="57"/>
      <c r="C871" s="58"/>
      <c r="D871" s="57"/>
      <c r="E871" s="57"/>
    </row>
    <row r="872">
      <c r="A872" s="57"/>
      <c r="B872" s="57"/>
      <c r="C872" s="58"/>
      <c r="D872" s="57"/>
      <c r="E872" s="57"/>
    </row>
    <row r="873">
      <c r="A873" s="57"/>
      <c r="B873" s="57"/>
      <c r="C873" s="58"/>
      <c r="D873" s="57"/>
      <c r="E873" s="57"/>
    </row>
    <row r="874">
      <c r="A874" s="57"/>
      <c r="B874" s="57"/>
      <c r="C874" s="58"/>
      <c r="D874" s="57"/>
      <c r="E874" s="57"/>
    </row>
    <row r="875">
      <c r="A875" s="57"/>
      <c r="B875" s="57"/>
      <c r="C875" s="58"/>
      <c r="D875" s="57"/>
      <c r="E875" s="57"/>
    </row>
    <row r="876">
      <c r="A876" s="57"/>
      <c r="B876" s="57"/>
      <c r="C876" s="58"/>
      <c r="D876" s="57"/>
      <c r="E876" s="57"/>
    </row>
    <row r="877">
      <c r="A877" s="57"/>
      <c r="B877" s="57"/>
      <c r="C877" s="58"/>
      <c r="D877" s="57"/>
      <c r="E877" s="57"/>
    </row>
    <row r="878">
      <c r="A878" s="57"/>
      <c r="B878" s="57"/>
      <c r="C878" s="58"/>
      <c r="D878" s="57"/>
      <c r="E878" s="57"/>
    </row>
    <row r="879">
      <c r="A879" s="57"/>
      <c r="B879" s="57"/>
      <c r="C879" s="58"/>
      <c r="D879" s="57"/>
      <c r="E879" s="57"/>
    </row>
    <row r="880">
      <c r="A880" s="57"/>
      <c r="B880" s="57"/>
      <c r="C880" s="58"/>
      <c r="D880" s="57"/>
      <c r="E880" s="57"/>
    </row>
    <row r="881">
      <c r="A881" s="57"/>
      <c r="B881" s="57"/>
      <c r="C881" s="58"/>
      <c r="D881" s="57"/>
      <c r="E881" s="57"/>
    </row>
    <row r="882">
      <c r="A882" s="57"/>
      <c r="B882" s="57"/>
      <c r="C882" s="58"/>
      <c r="D882" s="57"/>
      <c r="E882" s="57"/>
    </row>
    <row r="883">
      <c r="A883" s="57"/>
      <c r="B883" s="57"/>
      <c r="C883" s="58"/>
      <c r="D883" s="57"/>
      <c r="E883" s="57"/>
    </row>
    <row r="884">
      <c r="A884" s="57"/>
      <c r="B884" s="57"/>
      <c r="C884" s="58"/>
      <c r="D884" s="57"/>
      <c r="E884" s="57"/>
    </row>
    <row r="885">
      <c r="A885" s="57"/>
      <c r="B885" s="57"/>
      <c r="C885" s="58"/>
      <c r="D885" s="57"/>
      <c r="E885" s="57"/>
    </row>
    <row r="886">
      <c r="A886" s="57"/>
      <c r="B886" s="57"/>
      <c r="C886" s="58"/>
      <c r="D886" s="57"/>
      <c r="E886" s="57"/>
    </row>
    <row r="887">
      <c r="A887" s="57"/>
      <c r="B887" s="57"/>
      <c r="C887" s="58"/>
      <c r="D887" s="57"/>
      <c r="E887" s="57"/>
    </row>
    <row r="888">
      <c r="A888" s="57"/>
      <c r="B888" s="57"/>
      <c r="C888" s="58"/>
      <c r="D888" s="57"/>
      <c r="E888" s="57"/>
    </row>
    <row r="889">
      <c r="A889" s="57"/>
      <c r="B889" s="57"/>
      <c r="C889" s="58"/>
      <c r="D889" s="57"/>
      <c r="E889" s="57"/>
    </row>
    <row r="890">
      <c r="A890" s="57"/>
      <c r="B890" s="57"/>
      <c r="C890" s="58"/>
      <c r="D890" s="57"/>
      <c r="E890" s="57"/>
    </row>
    <row r="891">
      <c r="A891" s="57"/>
      <c r="B891" s="57"/>
      <c r="C891" s="58"/>
      <c r="D891" s="57"/>
      <c r="E891" s="57"/>
    </row>
    <row r="892">
      <c r="A892" s="57"/>
      <c r="B892" s="57"/>
      <c r="C892" s="58"/>
      <c r="D892" s="57"/>
      <c r="E892" s="57"/>
    </row>
    <row r="893">
      <c r="A893" s="57"/>
      <c r="B893" s="57"/>
      <c r="C893" s="58"/>
      <c r="D893" s="57"/>
      <c r="E893" s="57"/>
    </row>
    <row r="894">
      <c r="A894" s="57"/>
      <c r="B894" s="57"/>
      <c r="C894" s="58"/>
      <c r="D894" s="57"/>
      <c r="E894" s="57"/>
    </row>
    <row r="895">
      <c r="A895" s="57"/>
      <c r="B895" s="57"/>
      <c r="C895" s="58"/>
      <c r="D895" s="57"/>
      <c r="E895" s="57"/>
    </row>
    <row r="896">
      <c r="A896" s="57"/>
      <c r="B896" s="57"/>
      <c r="C896" s="58"/>
      <c r="D896" s="57"/>
      <c r="E896" s="57"/>
    </row>
    <row r="897">
      <c r="A897" s="57"/>
      <c r="B897" s="57"/>
      <c r="C897" s="58"/>
      <c r="D897" s="57"/>
      <c r="E897" s="57"/>
    </row>
    <row r="898">
      <c r="A898" s="57"/>
      <c r="B898" s="57"/>
      <c r="C898" s="58"/>
      <c r="D898" s="57"/>
      <c r="E898" s="57"/>
    </row>
    <row r="899">
      <c r="A899" s="57"/>
      <c r="B899" s="57"/>
      <c r="C899" s="58"/>
      <c r="D899" s="57"/>
      <c r="E899" s="57"/>
    </row>
    <row r="900">
      <c r="A900" s="57"/>
      <c r="B900" s="57"/>
      <c r="C900" s="58"/>
      <c r="D900" s="57"/>
      <c r="E900" s="57"/>
    </row>
    <row r="901">
      <c r="A901" s="57"/>
      <c r="B901" s="57"/>
      <c r="C901" s="58"/>
      <c r="D901" s="57"/>
      <c r="E901" s="57"/>
    </row>
    <row r="902">
      <c r="A902" s="57"/>
      <c r="B902" s="57"/>
      <c r="C902" s="58"/>
      <c r="D902" s="57"/>
      <c r="E902" s="57"/>
    </row>
    <row r="903">
      <c r="A903" s="57"/>
      <c r="B903" s="57"/>
      <c r="C903" s="58"/>
      <c r="D903" s="57"/>
      <c r="E903" s="57"/>
    </row>
    <row r="904">
      <c r="A904" s="57"/>
      <c r="B904" s="57"/>
      <c r="C904" s="58"/>
      <c r="D904" s="57"/>
      <c r="E904" s="57"/>
    </row>
    <row r="905">
      <c r="A905" s="57"/>
      <c r="B905" s="57"/>
      <c r="C905" s="58"/>
      <c r="D905" s="57"/>
      <c r="E905" s="57"/>
    </row>
    <row r="906">
      <c r="A906" s="57"/>
      <c r="B906" s="57"/>
      <c r="C906" s="58"/>
      <c r="D906" s="57"/>
      <c r="E906" s="57"/>
    </row>
    <row r="907">
      <c r="A907" s="57"/>
      <c r="B907" s="57"/>
      <c r="C907" s="58"/>
      <c r="D907" s="57"/>
      <c r="E907" s="57"/>
    </row>
    <row r="908">
      <c r="A908" s="57"/>
      <c r="B908" s="57"/>
      <c r="C908" s="58"/>
      <c r="D908" s="57"/>
      <c r="E908" s="57"/>
    </row>
    <row r="909">
      <c r="A909" s="57"/>
      <c r="B909" s="57"/>
      <c r="C909" s="58"/>
      <c r="D909" s="57"/>
      <c r="E909" s="57"/>
    </row>
    <row r="910">
      <c r="A910" s="57"/>
      <c r="B910" s="57"/>
      <c r="C910" s="58"/>
      <c r="D910" s="57"/>
      <c r="E910" s="57"/>
    </row>
    <row r="911">
      <c r="A911" s="57"/>
      <c r="B911" s="57"/>
      <c r="C911" s="58"/>
      <c r="D911" s="57"/>
      <c r="E911" s="57"/>
    </row>
    <row r="912">
      <c r="A912" s="57"/>
      <c r="B912" s="57"/>
      <c r="C912" s="58"/>
      <c r="D912" s="57"/>
      <c r="E912" s="57"/>
    </row>
    <row r="913">
      <c r="A913" s="57"/>
      <c r="B913" s="57"/>
      <c r="C913" s="58"/>
      <c r="D913" s="57"/>
      <c r="E913" s="57"/>
    </row>
    <row r="914">
      <c r="A914" s="57"/>
      <c r="B914" s="57"/>
      <c r="C914" s="58"/>
      <c r="D914" s="57"/>
      <c r="E914" s="57"/>
    </row>
    <row r="915">
      <c r="A915" s="57"/>
      <c r="B915" s="57"/>
      <c r="C915" s="58"/>
      <c r="D915" s="57"/>
      <c r="E915" s="57"/>
    </row>
    <row r="916">
      <c r="A916" s="57"/>
      <c r="B916" s="57"/>
      <c r="C916" s="58"/>
      <c r="D916" s="57"/>
      <c r="E916" s="57"/>
    </row>
    <row r="917">
      <c r="A917" s="57"/>
      <c r="B917" s="57"/>
      <c r="C917" s="58"/>
      <c r="D917" s="57"/>
      <c r="E917" s="57"/>
    </row>
    <row r="918">
      <c r="A918" s="57"/>
      <c r="B918" s="57"/>
      <c r="C918" s="58"/>
      <c r="D918" s="57"/>
      <c r="E918" s="57"/>
    </row>
    <row r="919">
      <c r="A919" s="57"/>
      <c r="B919" s="57"/>
      <c r="C919" s="58"/>
      <c r="D919" s="57"/>
      <c r="E919" s="57"/>
    </row>
    <row r="920">
      <c r="A920" s="57"/>
      <c r="B920" s="57"/>
      <c r="C920" s="58"/>
      <c r="D920" s="57"/>
      <c r="E920" s="57"/>
    </row>
    <row r="921">
      <c r="A921" s="57"/>
      <c r="B921" s="57"/>
      <c r="C921" s="58"/>
      <c r="D921" s="57"/>
      <c r="E921" s="57"/>
    </row>
    <row r="922">
      <c r="A922" s="57"/>
      <c r="B922" s="57"/>
      <c r="C922" s="58"/>
      <c r="D922" s="57"/>
      <c r="E922" s="57"/>
    </row>
    <row r="923">
      <c r="A923" s="57"/>
      <c r="B923" s="57"/>
      <c r="C923" s="58"/>
      <c r="D923" s="57"/>
      <c r="E923" s="57"/>
    </row>
    <row r="924">
      <c r="A924" s="57"/>
      <c r="B924" s="57"/>
      <c r="C924" s="58"/>
      <c r="D924" s="57"/>
      <c r="E924" s="57"/>
    </row>
    <row r="925">
      <c r="A925" s="57"/>
      <c r="B925" s="57"/>
      <c r="C925" s="58"/>
      <c r="D925" s="57"/>
      <c r="E925" s="57"/>
    </row>
    <row r="926">
      <c r="A926" s="57"/>
      <c r="B926" s="57"/>
      <c r="C926" s="58"/>
      <c r="D926" s="57"/>
      <c r="E926" s="57"/>
    </row>
    <row r="927">
      <c r="A927" s="57"/>
      <c r="B927" s="57"/>
      <c r="C927" s="58"/>
      <c r="D927" s="57"/>
      <c r="E927" s="57"/>
    </row>
    <row r="928">
      <c r="A928" s="57"/>
      <c r="B928" s="57"/>
      <c r="C928" s="58"/>
      <c r="D928" s="57"/>
      <c r="E928" s="57"/>
    </row>
    <row r="929">
      <c r="A929" s="57"/>
      <c r="B929" s="57"/>
      <c r="C929" s="58"/>
      <c r="D929" s="57"/>
      <c r="E929" s="57"/>
    </row>
    <row r="930">
      <c r="A930" s="57"/>
      <c r="B930" s="57"/>
      <c r="C930" s="58"/>
      <c r="D930" s="57"/>
      <c r="E930" s="57"/>
    </row>
    <row r="931">
      <c r="A931" s="57"/>
      <c r="B931" s="57"/>
      <c r="C931" s="58"/>
      <c r="D931" s="57"/>
      <c r="E931" s="57"/>
    </row>
    <row r="932">
      <c r="A932" s="57"/>
      <c r="B932" s="57"/>
      <c r="C932" s="58"/>
      <c r="D932" s="57"/>
      <c r="E932" s="57"/>
    </row>
    <row r="933">
      <c r="A933" s="57"/>
      <c r="B933" s="57"/>
      <c r="C933" s="58"/>
      <c r="D933" s="57"/>
      <c r="E933" s="57"/>
    </row>
    <row r="934">
      <c r="A934" s="57"/>
      <c r="B934" s="57"/>
      <c r="C934" s="58"/>
      <c r="D934" s="57"/>
      <c r="E934" s="57"/>
    </row>
    <row r="935">
      <c r="A935" s="57"/>
      <c r="B935" s="57"/>
      <c r="C935" s="58"/>
      <c r="D935" s="57"/>
      <c r="E935" s="57"/>
    </row>
    <row r="936">
      <c r="A936" s="57"/>
      <c r="B936" s="57"/>
      <c r="C936" s="58"/>
      <c r="D936" s="57"/>
      <c r="E936" s="57"/>
    </row>
    <row r="937">
      <c r="A937" s="57"/>
      <c r="B937" s="57"/>
      <c r="C937" s="58"/>
      <c r="D937" s="57"/>
      <c r="E937" s="57"/>
    </row>
    <row r="938">
      <c r="A938" s="57"/>
      <c r="B938" s="57"/>
      <c r="C938" s="58"/>
      <c r="D938" s="57"/>
      <c r="E938" s="57"/>
    </row>
    <row r="939">
      <c r="A939" s="57"/>
      <c r="B939" s="57"/>
      <c r="C939" s="58"/>
      <c r="D939" s="57"/>
      <c r="E939" s="57"/>
    </row>
    <row r="940">
      <c r="A940" s="57"/>
      <c r="B940" s="57"/>
      <c r="C940" s="58"/>
      <c r="D940" s="57"/>
      <c r="E940" s="57"/>
    </row>
    <row r="941">
      <c r="A941" s="57"/>
      <c r="B941" s="57"/>
      <c r="C941" s="58"/>
      <c r="D941" s="57"/>
      <c r="E941" s="57"/>
    </row>
    <row r="942">
      <c r="A942" s="57"/>
      <c r="B942" s="57"/>
      <c r="C942" s="58"/>
      <c r="D942" s="57"/>
      <c r="E942" s="57"/>
    </row>
    <row r="943">
      <c r="A943" s="57"/>
      <c r="B943" s="57"/>
      <c r="C943" s="58"/>
      <c r="D943" s="57"/>
      <c r="E943" s="57"/>
    </row>
    <row r="944">
      <c r="A944" s="57"/>
      <c r="B944" s="57"/>
      <c r="C944" s="58"/>
      <c r="D944" s="57"/>
      <c r="E944" s="57"/>
    </row>
    <row r="945">
      <c r="A945" s="57"/>
      <c r="B945" s="57"/>
      <c r="C945" s="58"/>
      <c r="D945" s="57"/>
      <c r="E945" s="57"/>
    </row>
    <row r="946">
      <c r="A946" s="57"/>
      <c r="B946" s="57"/>
      <c r="C946" s="58"/>
      <c r="D946" s="57"/>
      <c r="E946" s="57"/>
    </row>
    <row r="947">
      <c r="A947" s="57"/>
      <c r="B947" s="57"/>
      <c r="C947" s="58"/>
      <c r="D947" s="57"/>
      <c r="E947" s="57"/>
    </row>
    <row r="948">
      <c r="A948" s="57"/>
      <c r="B948" s="57"/>
      <c r="C948" s="58"/>
      <c r="D948" s="57"/>
      <c r="E948" s="57"/>
    </row>
    <row r="949">
      <c r="A949" s="57"/>
      <c r="B949" s="57"/>
      <c r="C949" s="58"/>
      <c r="D949" s="57"/>
      <c r="E949" s="57"/>
    </row>
    <row r="950">
      <c r="A950" s="57"/>
      <c r="B950" s="57"/>
      <c r="C950" s="58"/>
      <c r="D950" s="57"/>
      <c r="E950" s="57"/>
    </row>
    <row r="951">
      <c r="A951" s="57"/>
      <c r="B951" s="57"/>
      <c r="C951" s="58"/>
      <c r="D951" s="57"/>
      <c r="E951" s="57"/>
    </row>
    <row r="952">
      <c r="A952" s="57"/>
      <c r="B952" s="57"/>
      <c r="C952" s="58"/>
      <c r="D952" s="57"/>
      <c r="E952" s="57"/>
    </row>
    <row r="953">
      <c r="A953" s="57"/>
      <c r="B953" s="57"/>
      <c r="C953" s="58"/>
      <c r="D953" s="57"/>
      <c r="E953" s="57"/>
    </row>
    <row r="954">
      <c r="A954" s="57"/>
      <c r="B954" s="57"/>
      <c r="C954" s="58"/>
      <c r="D954" s="57"/>
      <c r="E954" s="57"/>
    </row>
    <row r="955">
      <c r="A955" s="57"/>
      <c r="B955" s="57"/>
      <c r="C955" s="58"/>
      <c r="D955" s="57"/>
      <c r="E955" s="57"/>
    </row>
    <row r="956">
      <c r="A956" s="57"/>
      <c r="B956" s="57"/>
      <c r="C956" s="58"/>
      <c r="D956" s="57"/>
      <c r="E956" s="57"/>
    </row>
    <row r="957">
      <c r="A957" s="57"/>
      <c r="B957" s="57"/>
      <c r="C957" s="58"/>
      <c r="D957" s="57"/>
      <c r="E957" s="57"/>
    </row>
    <row r="958">
      <c r="A958" s="57"/>
      <c r="B958" s="57"/>
      <c r="C958" s="58"/>
      <c r="D958" s="57"/>
      <c r="E958" s="57"/>
    </row>
    <row r="959">
      <c r="A959" s="57"/>
      <c r="B959" s="57"/>
      <c r="C959" s="58"/>
      <c r="D959" s="57"/>
      <c r="E959" s="57"/>
    </row>
    <row r="960">
      <c r="A960" s="57"/>
      <c r="B960" s="57"/>
      <c r="C960" s="58"/>
      <c r="D960" s="57"/>
      <c r="E960" s="57"/>
    </row>
    <row r="961">
      <c r="A961" s="57"/>
      <c r="B961" s="57"/>
      <c r="C961" s="58"/>
      <c r="D961" s="57"/>
      <c r="E961" s="57"/>
    </row>
    <row r="962">
      <c r="A962" s="57"/>
      <c r="B962" s="57"/>
      <c r="C962" s="58"/>
      <c r="D962" s="57"/>
      <c r="E962" s="57"/>
    </row>
    <row r="963">
      <c r="A963" s="57"/>
      <c r="B963" s="57"/>
      <c r="C963" s="58"/>
      <c r="D963" s="57"/>
      <c r="E963" s="57"/>
    </row>
    <row r="964">
      <c r="A964" s="57"/>
      <c r="B964" s="57"/>
      <c r="C964" s="58"/>
      <c r="D964" s="57"/>
      <c r="E964" s="57"/>
    </row>
    <row r="965">
      <c r="A965" s="57"/>
      <c r="B965" s="57"/>
      <c r="C965" s="58"/>
      <c r="D965" s="57"/>
      <c r="E965" s="57"/>
    </row>
    <row r="966">
      <c r="A966" s="57"/>
      <c r="B966" s="57"/>
      <c r="C966" s="58"/>
      <c r="D966" s="57"/>
      <c r="E966" s="57"/>
    </row>
    <row r="967">
      <c r="A967" s="57"/>
      <c r="B967" s="57"/>
      <c r="C967" s="58"/>
      <c r="D967" s="57"/>
      <c r="E967" s="57"/>
    </row>
    <row r="968">
      <c r="A968" s="57"/>
      <c r="B968" s="57"/>
      <c r="C968" s="58"/>
      <c r="D968" s="57"/>
      <c r="E968" s="57"/>
    </row>
    <row r="969">
      <c r="A969" s="57"/>
      <c r="B969" s="57"/>
      <c r="C969" s="58"/>
      <c r="D969" s="57"/>
      <c r="E969" s="57"/>
    </row>
    <row r="970">
      <c r="A970" s="57"/>
      <c r="B970" s="57"/>
      <c r="C970" s="58"/>
      <c r="D970" s="57"/>
      <c r="E970" s="57"/>
    </row>
    <row r="971">
      <c r="A971" s="57"/>
      <c r="B971" s="57"/>
      <c r="C971" s="58"/>
      <c r="D971" s="57"/>
      <c r="E971" s="57"/>
    </row>
    <row r="972">
      <c r="A972" s="57"/>
      <c r="B972" s="57"/>
      <c r="C972" s="58"/>
      <c r="D972" s="57"/>
      <c r="E972" s="57"/>
    </row>
    <row r="973">
      <c r="A973" s="57"/>
      <c r="B973" s="57"/>
      <c r="C973" s="58"/>
      <c r="D973" s="57"/>
      <c r="E973" s="57"/>
    </row>
    <row r="974">
      <c r="A974" s="57"/>
      <c r="B974" s="57"/>
      <c r="C974" s="58"/>
      <c r="D974" s="57"/>
      <c r="E974" s="57"/>
    </row>
    <row r="975">
      <c r="A975" s="57"/>
      <c r="B975" s="57"/>
      <c r="C975" s="58"/>
      <c r="D975" s="57"/>
      <c r="E975" s="57"/>
    </row>
    <row r="976">
      <c r="A976" s="57"/>
      <c r="B976" s="57"/>
      <c r="C976" s="58"/>
      <c r="D976" s="57"/>
      <c r="E976" s="57"/>
    </row>
    <row r="977">
      <c r="A977" s="57"/>
      <c r="B977" s="57"/>
      <c r="C977" s="58"/>
      <c r="D977" s="57"/>
      <c r="E977" s="57"/>
    </row>
    <row r="978">
      <c r="A978" s="57"/>
      <c r="B978" s="57"/>
      <c r="C978" s="58"/>
      <c r="D978" s="57"/>
      <c r="E978" s="57"/>
    </row>
    <row r="979">
      <c r="A979" s="57"/>
      <c r="B979" s="57"/>
      <c r="C979" s="58"/>
      <c r="D979" s="57"/>
      <c r="E979" s="57"/>
    </row>
    <row r="980">
      <c r="A980" s="57"/>
      <c r="B980" s="57"/>
      <c r="C980" s="58"/>
      <c r="D980" s="57"/>
      <c r="E980" s="57"/>
    </row>
    <row r="981">
      <c r="A981" s="57"/>
      <c r="B981" s="57"/>
      <c r="C981" s="58"/>
      <c r="D981" s="57"/>
      <c r="E981" s="57"/>
    </row>
    <row r="982">
      <c r="A982" s="57"/>
      <c r="B982" s="57"/>
      <c r="C982" s="58"/>
      <c r="D982" s="57"/>
      <c r="E982" s="57"/>
    </row>
    <row r="983">
      <c r="A983" s="57"/>
      <c r="B983" s="57"/>
      <c r="C983" s="58"/>
      <c r="D983" s="57"/>
      <c r="E983" s="57"/>
    </row>
    <row r="984">
      <c r="A984" s="57"/>
      <c r="B984" s="57"/>
      <c r="C984" s="58"/>
      <c r="D984" s="57"/>
      <c r="E984" s="57"/>
    </row>
    <row r="985">
      <c r="A985" s="57"/>
      <c r="B985" s="57"/>
      <c r="C985" s="58"/>
      <c r="D985" s="57"/>
      <c r="E985" s="57"/>
    </row>
    <row r="986">
      <c r="A986" s="57"/>
      <c r="B986" s="57"/>
      <c r="C986" s="58"/>
      <c r="D986" s="57"/>
      <c r="E986" s="57"/>
    </row>
    <row r="987">
      <c r="A987" s="57"/>
      <c r="B987" s="57"/>
      <c r="C987" s="58"/>
      <c r="D987" s="57"/>
      <c r="E987" s="57"/>
    </row>
    <row r="988">
      <c r="A988" s="57"/>
      <c r="B988" s="57"/>
      <c r="C988" s="58"/>
      <c r="D988" s="57"/>
      <c r="E988" s="57"/>
    </row>
    <row r="989">
      <c r="A989" s="57"/>
      <c r="B989" s="57"/>
      <c r="C989" s="58"/>
      <c r="D989" s="57"/>
      <c r="E989" s="57"/>
    </row>
    <row r="990">
      <c r="A990" s="57"/>
      <c r="B990" s="57"/>
      <c r="C990" s="58"/>
      <c r="D990" s="57"/>
      <c r="E990" s="57"/>
    </row>
    <row r="991">
      <c r="A991" s="57"/>
      <c r="B991" s="57"/>
      <c r="C991" s="58"/>
      <c r="D991" s="57"/>
      <c r="E991" s="57"/>
    </row>
    <row r="992">
      <c r="A992" s="57"/>
      <c r="B992" s="57"/>
      <c r="C992" s="58"/>
      <c r="D992" s="57"/>
      <c r="E992" s="57"/>
    </row>
    <row r="993">
      <c r="A993" s="57"/>
      <c r="B993" s="57"/>
      <c r="C993" s="58"/>
      <c r="D993" s="57"/>
      <c r="E993" s="57"/>
    </row>
    <row r="994">
      <c r="A994" s="57"/>
      <c r="B994" s="57"/>
      <c r="C994" s="58"/>
      <c r="D994" s="57"/>
      <c r="E994" s="57"/>
    </row>
    <row r="995">
      <c r="A995" s="57"/>
      <c r="B995" s="57"/>
      <c r="C995" s="58"/>
      <c r="D995" s="57"/>
      <c r="E995" s="57"/>
    </row>
    <row r="996">
      <c r="A996" s="57"/>
      <c r="B996" s="57"/>
      <c r="C996" s="58"/>
      <c r="D996" s="57"/>
      <c r="E996" s="57"/>
    </row>
    <row r="997">
      <c r="A997" s="57"/>
      <c r="B997" s="57"/>
      <c r="C997" s="58"/>
      <c r="D997" s="57"/>
      <c r="E997" s="57"/>
    </row>
    <row r="998">
      <c r="A998" s="57"/>
      <c r="B998" s="57"/>
      <c r="C998" s="58"/>
      <c r="D998" s="57"/>
      <c r="E998" s="57"/>
    </row>
    <row r="999">
      <c r="A999" s="57"/>
      <c r="B999" s="57"/>
      <c r="C999" s="58"/>
      <c r="D999" s="57"/>
      <c r="E999" s="57"/>
    </row>
    <row r="1000">
      <c r="A1000" s="57"/>
      <c r="B1000" s="57"/>
      <c r="C1000" s="58"/>
      <c r="D1000" s="57"/>
      <c r="E1000" s="57"/>
    </row>
    <row r="1001">
      <c r="A1001" s="57"/>
      <c r="B1001" s="57"/>
      <c r="C1001" s="58"/>
      <c r="D1001" s="57"/>
      <c r="E1001" s="57"/>
    </row>
    <row r="1002">
      <c r="A1002" s="57"/>
      <c r="B1002" s="57"/>
      <c r="C1002" s="58"/>
      <c r="D1002" s="57"/>
      <c r="E1002" s="57"/>
    </row>
    <row r="1003">
      <c r="A1003" s="57"/>
      <c r="B1003" s="57"/>
      <c r="C1003" s="58"/>
      <c r="D1003" s="57"/>
      <c r="E1003" s="57"/>
    </row>
    <row r="1004">
      <c r="A1004" s="57"/>
      <c r="B1004" s="57"/>
      <c r="C1004" s="58"/>
      <c r="D1004" s="57"/>
      <c r="E1004" s="57"/>
    </row>
    <row r="1005">
      <c r="A1005" s="57"/>
      <c r="B1005" s="57"/>
      <c r="C1005" s="58"/>
      <c r="D1005" s="57"/>
      <c r="E1005" s="57"/>
    </row>
    <row r="1006">
      <c r="A1006" s="57"/>
      <c r="B1006" s="57"/>
      <c r="C1006" s="58"/>
      <c r="D1006" s="57"/>
      <c r="E1006" s="57"/>
    </row>
    <row r="1007">
      <c r="A1007" s="57"/>
      <c r="B1007" s="57"/>
      <c r="C1007" s="58"/>
      <c r="D1007" s="57"/>
      <c r="E1007" s="57"/>
    </row>
    <row r="1008">
      <c r="A1008" s="57"/>
      <c r="B1008" s="57"/>
      <c r="C1008" s="58"/>
      <c r="D1008" s="57"/>
      <c r="E1008" s="57"/>
    </row>
    <row r="1009">
      <c r="A1009" s="57"/>
      <c r="B1009" s="57"/>
      <c r="C1009" s="58"/>
      <c r="D1009" s="57"/>
      <c r="E1009" s="57"/>
    </row>
    <row r="1010">
      <c r="A1010" s="57"/>
      <c r="B1010" s="57"/>
      <c r="C1010" s="58"/>
      <c r="D1010" s="57"/>
      <c r="E1010" s="57"/>
    </row>
    <row r="1011">
      <c r="A1011" s="57"/>
      <c r="B1011" s="57"/>
      <c r="C1011" s="58"/>
      <c r="D1011" s="57"/>
      <c r="E1011" s="57"/>
    </row>
    <row r="1012">
      <c r="A1012" s="57"/>
      <c r="B1012" s="57"/>
      <c r="C1012" s="58"/>
      <c r="D1012" s="57"/>
      <c r="E1012" s="57"/>
    </row>
    <row r="1013">
      <c r="A1013" s="57"/>
      <c r="B1013" s="57"/>
      <c r="C1013" s="58"/>
      <c r="D1013" s="57"/>
      <c r="E1013" s="57"/>
    </row>
    <row r="1014">
      <c r="A1014" s="57"/>
      <c r="B1014" s="57"/>
      <c r="C1014" s="58"/>
      <c r="D1014" s="57"/>
      <c r="E1014" s="57"/>
    </row>
    <row r="1015">
      <c r="A1015" s="57"/>
      <c r="B1015" s="57"/>
      <c r="C1015" s="58"/>
      <c r="D1015" s="57"/>
      <c r="E1015" s="57"/>
    </row>
    <row r="1016">
      <c r="A1016" s="57"/>
      <c r="B1016" s="57"/>
      <c r="C1016" s="58"/>
      <c r="D1016" s="57"/>
      <c r="E1016" s="57"/>
    </row>
    <row r="1017">
      <c r="A1017" s="57"/>
      <c r="B1017" s="57"/>
      <c r="C1017" s="58"/>
      <c r="D1017" s="57"/>
      <c r="E1017" s="57"/>
    </row>
    <row r="1018">
      <c r="A1018" s="57"/>
      <c r="B1018" s="57"/>
      <c r="C1018" s="58"/>
      <c r="D1018" s="57"/>
      <c r="E1018" s="57"/>
    </row>
    <row r="1019">
      <c r="A1019" s="57"/>
      <c r="B1019" s="57"/>
      <c r="C1019" s="58"/>
      <c r="D1019" s="57"/>
      <c r="E1019" s="57"/>
    </row>
    <row r="1020">
      <c r="A1020" s="57"/>
      <c r="B1020" s="57"/>
      <c r="C1020" s="58"/>
      <c r="D1020" s="57"/>
      <c r="E1020" s="57"/>
    </row>
    <row r="1021">
      <c r="A1021" s="57"/>
      <c r="B1021" s="57"/>
      <c r="C1021" s="58"/>
      <c r="D1021" s="57"/>
      <c r="E1021" s="57"/>
    </row>
    <row r="1022">
      <c r="A1022" s="57"/>
      <c r="B1022" s="57"/>
      <c r="C1022" s="58"/>
      <c r="D1022" s="57"/>
      <c r="E1022" s="57"/>
    </row>
    <row r="1023">
      <c r="A1023" s="57"/>
      <c r="B1023" s="57"/>
      <c r="C1023" s="58"/>
      <c r="D1023" s="57"/>
      <c r="E1023" s="57"/>
    </row>
    <row r="1024">
      <c r="A1024" s="57"/>
      <c r="B1024" s="57"/>
      <c r="C1024" s="58"/>
      <c r="D1024" s="57"/>
      <c r="E1024" s="57"/>
    </row>
    <row r="1025">
      <c r="A1025" s="57"/>
      <c r="B1025" s="57"/>
      <c r="C1025" s="58"/>
      <c r="D1025" s="57"/>
      <c r="E1025" s="57"/>
    </row>
    <row r="1026">
      <c r="A1026" s="57"/>
      <c r="B1026" s="57"/>
      <c r="C1026" s="58"/>
      <c r="D1026" s="57"/>
      <c r="E1026" s="57"/>
    </row>
    <row r="1027">
      <c r="A1027" s="57"/>
      <c r="B1027" s="57"/>
      <c r="C1027" s="58"/>
      <c r="D1027" s="57"/>
      <c r="E1027" s="57"/>
    </row>
    <row r="1028">
      <c r="A1028" s="57"/>
      <c r="B1028" s="57"/>
      <c r="C1028" s="58"/>
      <c r="D1028" s="57"/>
      <c r="E1028" s="57"/>
    </row>
    <row r="1029">
      <c r="A1029" s="57"/>
      <c r="B1029" s="57"/>
      <c r="C1029" s="58"/>
      <c r="D1029" s="57"/>
      <c r="E1029" s="57"/>
    </row>
    <row r="1030">
      <c r="A1030" s="57"/>
      <c r="B1030" s="57"/>
      <c r="C1030" s="58"/>
      <c r="D1030" s="57"/>
      <c r="E1030" s="57"/>
    </row>
    <row r="1031">
      <c r="A1031" s="57"/>
      <c r="B1031" s="57"/>
      <c r="C1031" s="58"/>
      <c r="D1031" s="57"/>
      <c r="E1031" s="57"/>
    </row>
    <row r="1032">
      <c r="A1032" s="57"/>
      <c r="B1032" s="57"/>
      <c r="C1032" s="58"/>
      <c r="D1032" s="57"/>
      <c r="E1032" s="57"/>
    </row>
    <row r="1033">
      <c r="A1033" s="57"/>
      <c r="B1033" s="57"/>
      <c r="C1033" s="58"/>
      <c r="D1033" s="57"/>
      <c r="E1033" s="57"/>
    </row>
    <row r="1034">
      <c r="A1034" s="57"/>
      <c r="B1034" s="57"/>
      <c r="C1034" s="58"/>
      <c r="D1034" s="57"/>
      <c r="E1034" s="57"/>
    </row>
    <row r="1035">
      <c r="A1035" s="57"/>
      <c r="B1035" s="57"/>
      <c r="C1035" s="58"/>
      <c r="D1035" s="57"/>
      <c r="E1035" s="57"/>
    </row>
    <row r="1036">
      <c r="A1036" s="57"/>
      <c r="B1036" s="57"/>
      <c r="C1036" s="58"/>
      <c r="D1036" s="57"/>
      <c r="E1036" s="57"/>
    </row>
    <row r="1037">
      <c r="A1037" s="57"/>
      <c r="B1037" s="57"/>
      <c r="C1037" s="58"/>
      <c r="D1037" s="57"/>
      <c r="E1037" s="57"/>
    </row>
    <row r="1038">
      <c r="A1038" s="57"/>
      <c r="B1038" s="57"/>
      <c r="C1038" s="58"/>
      <c r="D1038" s="57"/>
      <c r="E1038" s="57"/>
    </row>
    <row r="1039">
      <c r="A1039" s="57"/>
      <c r="B1039" s="57"/>
      <c r="C1039" s="58"/>
      <c r="D1039" s="57"/>
      <c r="E1039" s="57"/>
    </row>
    <row r="1040">
      <c r="A1040" s="57"/>
      <c r="B1040" s="57"/>
      <c r="C1040" s="58"/>
      <c r="D1040" s="57"/>
      <c r="E1040" s="57"/>
    </row>
    <row r="1041">
      <c r="A1041" s="57"/>
      <c r="B1041" s="57"/>
      <c r="C1041" s="58"/>
      <c r="D1041" s="57"/>
      <c r="E1041" s="57"/>
    </row>
    <row r="1042">
      <c r="A1042" s="57"/>
      <c r="B1042" s="57"/>
      <c r="C1042" s="58"/>
      <c r="D1042" s="57"/>
      <c r="E1042" s="57"/>
    </row>
    <row r="1043">
      <c r="A1043" s="57"/>
      <c r="B1043" s="57"/>
      <c r="C1043" s="58"/>
      <c r="D1043" s="57"/>
      <c r="E1043" s="57"/>
    </row>
    <row r="1044">
      <c r="A1044" s="57"/>
      <c r="B1044" s="57"/>
      <c r="C1044" s="58"/>
      <c r="D1044" s="57"/>
      <c r="E1044" s="57"/>
    </row>
    <row r="1045">
      <c r="A1045" s="57"/>
      <c r="B1045" s="57"/>
      <c r="C1045" s="58"/>
      <c r="D1045" s="57"/>
      <c r="E1045" s="57"/>
    </row>
    <row r="1046">
      <c r="A1046" s="57"/>
      <c r="B1046" s="57"/>
      <c r="C1046" s="58"/>
      <c r="D1046" s="57"/>
      <c r="E1046" s="57"/>
    </row>
    <row r="1047">
      <c r="A1047" s="57"/>
      <c r="B1047" s="57"/>
      <c r="C1047" s="58"/>
      <c r="D1047" s="57"/>
      <c r="E1047" s="57"/>
    </row>
    <row r="1048">
      <c r="A1048" s="57"/>
      <c r="B1048" s="57"/>
      <c r="C1048" s="58"/>
      <c r="D1048" s="57"/>
      <c r="E1048" s="57"/>
    </row>
    <row r="1049">
      <c r="A1049" s="57"/>
      <c r="B1049" s="57"/>
      <c r="C1049" s="58"/>
      <c r="D1049" s="57"/>
      <c r="E1049" s="57"/>
    </row>
    <row r="1050">
      <c r="A1050" s="57"/>
      <c r="B1050" s="57"/>
      <c r="C1050" s="58"/>
      <c r="D1050" s="57"/>
      <c r="E1050" s="57"/>
    </row>
    <row r="1051">
      <c r="A1051" s="57"/>
      <c r="B1051" s="57"/>
      <c r="C1051" s="58"/>
      <c r="D1051" s="57"/>
      <c r="E1051" s="57"/>
    </row>
    <row r="1052">
      <c r="A1052" s="57"/>
      <c r="B1052" s="57"/>
      <c r="C1052" s="58"/>
      <c r="D1052" s="57"/>
      <c r="E1052" s="57"/>
    </row>
    <row r="1053">
      <c r="A1053" s="57"/>
      <c r="B1053" s="57"/>
      <c r="C1053" s="58"/>
      <c r="D1053" s="57"/>
      <c r="E1053" s="57"/>
    </row>
    <row r="1054">
      <c r="A1054" s="57"/>
      <c r="B1054" s="57"/>
      <c r="C1054" s="58"/>
      <c r="D1054" s="57"/>
      <c r="E1054" s="57"/>
    </row>
    <row r="1055">
      <c r="A1055" s="57"/>
      <c r="B1055" s="57"/>
      <c r="C1055" s="58"/>
      <c r="D1055" s="57"/>
      <c r="E1055" s="57"/>
    </row>
    <row r="1056">
      <c r="A1056" s="57"/>
      <c r="B1056" s="57"/>
      <c r="C1056" s="58"/>
      <c r="D1056" s="57"/>
      <c r="E1056" s="57"/>
    </row>
    <row r="1057">
      <c r="A1057" s="57"/>
      <c r="B1057" s="57"/>
      <c r="C1057" s="58"/>
      <c r="D1057" s="57"/>
      <c r="E1057" s="57"/>
    </row>
    <row r="1058">
      <c r="A1058" s="57"/>
      <c r="B1058" s="57"/>
      <c r="C1058" s="58"/>
      <c r="D1058" s="57"/>
      <c r="E1058" s="57"/>
    </row>
    <row r="1059">
      <c r="A1059" s="57"/>
      <c r="B1059" s="57"/>
      <c r="C1059" s="58"/>
      <c r="D1059" s="57"/>
      <c r="E1059" s="57"/>
    </row>
    <row r="1060">
      <c r="A1060" s="57"/>
      <c r="B1060" s="57"/>
      <c r="C1060" s="58"/>
      <c r="D1060" s="57"/>
      <c r="E1060" s="57"/>
    </row>
    <row r="1061">
      <c r="A1061" s="57"/>
      <c r="B1061" s="57"/>
      <c r="C1061" s="58"/>
      <c r="D1061" s="57"/>
      <c r="E1061" s="57"/>
    </row>
    <row r="1062">
      <c r="A1062" s="57"/>
      <c r="B1062" s="57"/>
      <c r="C1062" s="58"/>
      <c r="D1062" s="57"/>
      <c r="E1062" s="57"/>
    </row>
    <row r="1063">
      <c r="A1063" s="57"/>
      <c r="B1063" s="57"/>
      <c r="C1063" s="58"/>
      <c r="D1063" s="57"/>
      <c r="E1063" s="57"/>
    </row>
    <row r="1064">
      <c r="A1064" s="57"/>
      <c r="B1064" s="57"/>
      <c r="C1064" s="58"/>
      <c r="D1064" s="57"/>
      <c r="E1064" s="57"/>
    </row>
    <row r="1065">
      <c r="A1065" s="57"/>
      <c r="B1065" s="57"/>
      <c r="C1065" s="58"/>
      <c r="D1065" s="57"/>
      <c r="E1065" s="57"/>
    </row>
    <row r="1066">
      <c r="A1066" s="57"/>
      <c r="B1066" s="57"/>
      <c r="C1066" s="58"/>
      <c r="D1066" s="57"/>
      <c r="E1066" s="57"/>
    </row>
    <row r="1067">
      <c r="A1067" s="57"/>
      <c r="B1067" s="57"/>
      <c r="C1067" s="58"/>
      <c r="D1067" s="57"/>
      <c r="E1067" s="57"/>
    </row>
    <row r="1068">
      <c r="A1068" s="57"/>
      <c r="B1068" s="57"/>
      <c r="C1068" s="58"/>
      <c r="D1068" s="57"/>
      <c r="E1068" s="57"/>
    </row>
    <row r="1069">
      <c r="A1069" s="57"/>
      <c r="B1069" s="57"/>
      <c r="C1069" s="58"/>
      <c r="D1069" s="57"/>
      <c r="E1069" s="57"/>
    </row>
    <row r="1070">
      <c r="A1070" s="57"/>
      <c r="B1070" s="57"/>
      <c r="C1070" s="58"/>
      <c r="D1070" s="57"/>
      <c r="E1070" s="57"/>
    </row>
    <row r="1071">
      <c r="A1071" s="57"/>
      <c r="B1071" s="57"/>
      <c r="C1071" s="58"/>
      <c r="D1071" s="57"/>
      <c r="E1071" s="57"/>
    </row>
    <row r="1072">
      <c r="A1072" s="57"/>
      <c r="B1072" s="57"/>
      <c r="C1072" s="58"/>
      <c r="D1072" s="57"/>
      <c r="E1072" s="57"/>
    </row>
    <row r="1073">
      <c r="A1073" s="57"/>
      <c r="B1073" s="57"/>
      <c r="C1073" s="58"/>
      <c r="D1073" s="57"/>
      <c r="E1073" s="57"/>
    </row>
    <row r="1074">
      <c r="A1074" s="57"/>
      <c r="B1074" s="57"/>
      <c r="C1074" s="58"/>
      <c r="D1074" s="57"/>
      <c r="E1074" s="57"/>
    </row>
    <row r="1075">
      <c r="A1075" s="57"/>
      <c r="B1075" s="57"/>
      <c r="C1075" s="58"/>
      <c r="D1075" s="57"/>
      <c r="E1075" s="57"/>
    </row>
    <row r="1076">
      <c r="A1076" s="57"/>
      <c r="B1076" s="57"/>
      <c r="C1076" s="58"/>
      <c r="D1076" s="57"/>
      <c r="E1076" s="57"/>
    </row>
    <row r="1077">
      <c r="A1077" s="57"/>
      <c r="B1077" s="57"/>
      <c r="C1077" s="58"/>
      <c r="D1077" s="57"/>
      <c r="E1077" s="57"/>
    </row>
    <row r="1078">
      <c r="A1078" s="57"/>
      <c r="B1078" s="57"/>
      <c r="C1078" s="58"/>
      <c r="D1078" s="57"/>
      <c r="E1078" s="57"/>
    </row>
    <row r="1079">
      <c r="A1079" s="57"/>
      <c r="B1079" s="57"/>
      <c r="C1079" s="58"/>
      <c r="D1079" s="57"/>
      <c r="E1079" s="57"/>
    </row>
    <row r="1080">
      <c r="A1080" s="57"/>
      <c r="B1080" s="57"/>
      <c r="C1080" s="58"/>
      <c r="D1080" s="57"/>
      <c r="E1080" s="57"/>
    </row>
    <row r="1081">
      <c r="A1081" s="57"/>
      <c r="B1081" s="57"/>
      <c r="C1081" s="58"/>
      <c r="D1081" s="57"/>
      <c r="E1081" s="57"/>
    </row>
    <row r="1082">
      <c r="A1082" s="57"/>
      <c r="B1082" s="57"/>
      <c r="C1082" s="58"/>
      <c r="D1082" s="57"/>
      <c r="E1082" s="57"/>
    </row>
    <row r="1083">
      <c r="A1083" s="57"/>
      <c r="B1083" s="57"/>
      <c r="C1083" s="58"/>
      <c r="D1083" s="57"/>
      <c r="E1083" s="57"/>
    </row>
    <row r="1084">
      <c r="A1084" s="57"/>
      <c r="B1084" s="57"/>
      <c r="C1084" s="58"/>
      <c r="D1084" s="57"/>
      <c r="E1084" s="57"/>
    </row>
    <row r="1085">
      <c r="A1085" s="57"/>
      <c r="B1085" s="57"/>
      <c r="C1085" s="58"/>
      <c r="D1085" s="57"/>
      <c r="E1085" s="57"/>
    </row>
    <row r="1086">
      <c r="A1086" s="57"/>
      <c r="B1086" s="57"/>
      <c r="C1086" s="58"/>
      <c r="D1086" s="57"/>
      <c r="E1086" s="57"/>
    </row>
    <row r="1087">
      <c r="A1087" s="57"/>
      <c r="B1087" s="57"/>
      <c r="C1087" s="58"/>
      <c r="D1087" s="57"/>
      <c r="E1087" s="57"/>
    </row>
    <row r="1088">
      <c r="A1088" s="57"/>
      <c r="B1088" s="57"/>
      <c r="C1088" s="58"/>
      <c r="D1088" s="57"/>
      <c r="E1088" s="57"/>
    </row>
    <row r="1089">
      <c r="A1089" s="57"/>
      <c r="B1089" s="57"/>
      <c r="C1089" s="58"/>
      <c r="D1089" s="57"/>
      <c r="E1089" s="57"/>
    </row>
    <row r="1090">
      <c r="A1090" s="57"/>
      <c r="B1090" s="57"/>
      <c r="C1090" s="58"/>
      <c r="D1090" s="57"/>
      <c r="E1090" s="57"/>
    </row>
    <row r="1091">
      <c r="A1091" s="57"/>
      <c r="B1091" s="57"/>
      <c r="C1091" s="58"/>
      <c r="D1091" s="57"/>
      <c r="E1091" s="57"/>
    </row>
    <row r="1092">
      <c r="A1092" s="57"/>
      <c r="B1092" s="57"/>
      <c r="C1092" s="58"/>
      <c r="D1092" s="57"/>
      <c r="E1092" s="57"/>
    </row>
    <row r="1093">
      <c r="A1093" s="57"/>
      <c r="B1093" s="57"/>
      <c r="C1093" s="58"/>
      <c r="D1093" s="57"/>
      <c r="E1093" s="57"/>
    </row>
    <row r="1094">
      <c r="A1094" s="57"/>
      <c r="B1094" s="57"/>
      <c r="C1094" s="58"/>
      <c r="D1094" s="57"/>
      <c r="E1094" s="57"/>
    </row>
    <row r="1095">
      <c r="A1095" s="57"/>
      <c r="B1095" s="57"/>
      <c r="C1095" s="58"/>
      <c r="D1095" s="57"/>
      <c r="E1095" s="57"/>
    </row>
    <row r="1096">
      <c r="A1096" s="57"/>
      <c r="B1096" s="57"/>
      <c r="C1096" s="58"/>
      <c r="D1096" s="57"/>
      <c r="E1096" s="57"/>
    </row>
    <row r="1097">
      <c r="A1097" s="57"/>
      <c r="B1097" s="57"/>
      <c r="C1097" s="58"/>
      <c r="D1097" s="57"/>
      <c r="E1097" s="57"/>
    </row>
    <row r="1098">
      <c r="A1098" s="57"/>
      <c r="B1098" s="57"/>
      <c r="C1098" s="58"/>
      <c r="D1098" s="57"/>
      <c r="E1098" s="57"/>
    </row>
    <row r="1099">
      <c r="A1099" s="57"/>
      <c r="B1099" s="57"/>
      <c r="C1099" s="58"/>
      <c r="D1099" s="57"/>
      <c r="E1099" s="57"/>
    </row>
    <row r="1100">
      <c r="A1100" s="57"/>
      <c r="B1100" s="57"/>
      <c r="C1100" s="58"/>
      <c r="D1100" s="57"/>
      <c r="E1100" s="57"/>
    </row>
    <row r="1101">
      <c r="A1101" s="57"/>
      <c r="B1101" s="57"/>
      <c r="C1101" s="58"/>
      <c r="D1101" s="57"/>
      <c r="E1101" s="57"/>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17359</v>
      </c>
      <c r="B1" s="1" t="s">
        <v>17360</v>
      </c>
      <c r="C1" s="1" t="s">
        <v>17361</v>
      </c>
      <c r="D1" s="1" t="s">
        <v>17362</v>
      </c>
      <c r="E1" s="1" t="s">
        <v>17363</v>
      </c>
      <c r="F1" s="1" t="s">
        <v>17364</v>
      </c>
      <c r="G1" s="1" t="s">
        <v>17365</v>
      </c>
      <c r="H1" s="1" t="s">
        <v>17366</v>
      </c>
      <c r="I1" s="1" t="s">
        <v>17367</v>
      </c>
      <c r="J1" s="1" t="s">
        <v>17368</v>
      </c>
      <c r="K1" s="1" t="s">
        <v>17369</v>
      </c>
      <c r="L1" s="1" t="s">
        <v>17370</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17371</v>
      </c>
      <c r="B1" s="1" t="s">
        <v>17372</v>
      </c>
      <c r="C1" s="1" t="s">
        <v>17373</v>
      </c>
      <c r="D1" s="1" t="s">
        <v>17374</v>
      </c>
      <c r="E1" s="1" t="s">
        <v>17190</v>
      </c>
      <c r="F1" s="1" t="s">
        <v>17375</v>
      </c>
      <c r="G1" s="1" t="s">
        <v>17376</v>
      </c>
      <c r="H1" s="1" t="s">
        <v>17377</v>
      </c>
      <c r="I1" s="1" t="s">
        <v>17378</v>
      </c>
      <c r="J1" s="1" t="s">
        <v>17379</v>
      </c>
      <c r="K1" s="1" t="s">
        <v>17380</v>
      </c>
      <c r="L1" s="1" t="s">
        <v>17381</v>
      </c>
      <c r="M1" s="1" t="s">
        <v>17382</v>
      </c>
      <c r="N1" s="1" t="s">
        <v>17383</v>
      </c>
      <c r="O1" s="1" t="s">
        <v>17384</v>
      </c>
      <c r="P1" s="1" t="s">
        <v>17385</v>
      </c>
      <c r="Q1" s="1" t="s">
        <v>17386</v>
      </c>
      <c r="R1" s="1" t="s">
        <v>17387</v>
      </c>
      <c r="S1" s="1" t="s">
        <v>17388</v>
      </c>
      <c r="T1" s="1" t="s">
        <v>17389</v>
      </c>
      <c r="U1" s="1" t="s">
        <v>17390</v>
      </c>
      <c r="V1" s="1" t="s">
        <v>17391</v>
      </c>
      <c r="W1" s="1" t="s">
        <v>17392</v>
      </c>
      <c r="X1" s="1" t="s">
        <v>17393</v>
      </c>
      <c r="Y1" s="1" t="s">
        <v>17394</v>
      </c>
      <c r="Z1" s="1" t="s">
        <v>17395</v>
      </c>
      <c r="AA1" s="1" t="s">
        <v>17396</v>
      </c>
      <c r="AB1" s="1" t="s">
        <v>17397</v>
      </c>
      <c r="AC1" s="1" t="s">
        <v>17398</v>
      </c>
      <c r="AD1" s="1" t="s">
        <v>17399</v>
      </c>
      <c r="AE1" s="1" t="s">
        <v>17400</v>
      </c>
      <c r="AF1" s="1" t="s">
        <v>17401</v>
      </c>
      <c r="AG1" s="1" t="s">
        <v>17402</v>
      </c>
      <c r="AH1" s="1" t="s">
        <v>17403</v>
      </c>
    </row>
    <row r="2">
      <c r="A2" s="1" t="s">
        <v>17404</v>
      </c>
      <c r="B2" s="1" t="s">
        <v>17405</v>
      </c>
      <c r="C2" s="1" t="s">
        <v>17406</v>
      </c>
      <c r="D2" s="59" t="s">
        <v>17407</v>
      </c>
      <c r="E2" s="1" t="s">
        <v>17408</v>
      </c>
      <c r="F2" s="1" t="s">
        <v>17409</v>
      </c>
      <c r="G2" s="1" t="s">
        <v>17410</v>
      </c>
      <c r="H2" s="60">
        <v>46295.85138888889</v>
      </c>
      <c r="I2" s="1" t="s">
        <v>17411</v>
      </c>
      <c r="J2" s="1" t="s">
        <v>17412</v>
      </c>
      <c r="K2" s="1" t="s">
        <v>17413</v>
      </c>
      <c r="L2" s="1" t="s">
        <v>17414</v>
      </c>
      <c r="M2" s="1" t="s">
        <v>17415</v>
      </c>
      <c r="N2" s="1" t="s">
        <v>17416</v>
      </c>
      <c r="O2" s="1" t="s">
        <v>17417</v>
      </c>
      <c r="P2" s="1" t="s">
        <v>17418</v>
      </c>
      <c r="Q2" s="1" t="s">
        <v>17419</v>
      </c>
      <c r="R2" s="1" t="s">
        <v>17418</v>
      </c>
      <c r="S2" s="1" t="b">
        <v>1</v>
      </c>
      <c r="T2" s="1" t="s">
        <v>17420</v>
      </c>
      <c r="U2" s="60">
        <v>46295.85138888889</v>
      </c>
      <c r="V2" s="60">
        <v>46295.878333333334</v>
      </c>
      <c r="W2" s="60">
        <v>46295.878333333334</v>
      </c>
      <c r="X2" s="1" t="s">
        <v>17421</v>
      </c>
      <c r="Y2" s="1">
        <v>1.79081436096639E9</v>
      </c>
      <c r="Z2" s="59" t="s">
        <v>17422</v>
      </c>
      <c r="AA2" s="1">
        <v>1.79081436096639E9</v>
      </c>
      <c r="AB2" s="1">
        <v>1.0</v>
      </c>
      <c r="AC2" s="1" t="s">
        <v>17423</v>
      </c>
      <c r="AD2" s="1" t="s">
        <v>17424</v>
      </c>
      <c r="AE2" s="1" t="s">
        <v>17425</v>
      </c>
      <c r="AF2" s="1" t="s">
        <v>17426</v>
      </c>
      <c r="AG2" s="1" t="s">
        <v>17427</v>
      </c>
      <c r="AH2" s="1" t="s">
        <v>17428</v>
      </c>
    </row>
  </sheetData>
  <hyperlinks>
    <hyperlink r:id="rId1" ref="D2"/>
    <hyperlink r:id="rId2" ref="Z2"/>
  </hyperlinks>
  <drawing r:id="rId3"/>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17374</v>
      </c>
      <c r="B1" s="1" t="s">
        <v>17372</v>
      </c>
      <c r="C1" s="1" t="s">
        <v>17429</v>
      </c>
      <c r="D1" s="1" t="s">
        <v>17190</v>
      </c>
      <c r="E1" s="1" t="s">
        <v>17001</v>
      </c>
      <c r="F1" s="1" t="s">
        <v>17430</v>
      </c>
      <c r="G1" s="1" t="s">
        <v>17431</v>
      </c>
      <c r="H1" s="1" t="s">
        <v>17432</v>
      </c>
    </row>
    <row r="2">
      <c r="A2" s="59" t="s">
        <v>17407</v>
      </c>
      <c r="B2" s="1" t="s">
        <v>17405</v>
      </c>
      <c r="C2" s="1" t="s">
        <v>17406</v>
      </c>
      <c r="D2" s="1"/>
      <c r="E2" s="1" t="s">
        <v>124</v>
      </c>
      <c r="F2" s="60">
        <v>46295.83349537037</v>
      </c>
      <c r="G2" s="1"/>
      <c r="H2" s="1" t="s">
        <v>17433</v>
      </c>
    </row>
  </sheetData>
  <hyperlinks>
    <hyperlink r:id="rId1" ref="A2"/>
  </hyperlinks>
  <drawing r:id="rId2"/>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s>
  <sheetData>
    <row r="1">
      <c r="A1" s="1" t="s">
        <v>1948</v>
      </c>
      <c r="B1" s="1" t="s">
        <v>17434</v>
      </c>
      <c r="C1" s="1" t="s">
        <v>17435</v>
      </c>
    </row>
    <row r="2">
      <c r="A2" s="1" t="s">
        <v>17436</v>
      </c>
      <c r="B2" s="1" t="s">
        <v>17423</v>
      </c>
      <c r="C2" s="1" t="s">
        <v>17437</v>
      </c>
    </row>
    <row r="3">
      <c r="A3" s="1" t="s">
        <v>17438</v>
      </c>
      <c r="B3" s="1" t="s">
        <v>17424</v>
      </c>
      <c r="C3" s="1" t="s">
        <v>17439</v>
      </c>
    </row>
    <row r="4">
      <c r="A4" s="1" t="s">
        <v>17440</v>
      </c>
      <c r="B4" s="1" t="s">
        <v>17425</v>
      </c>
      <c r="C4" s="1" t="s">
        <v>17441</v>
      </c>
    </row>
    <row r="5">
      <c r="A5" s="1" t="s">
        <v>17442</v>
      </c>
      <c r="B5" s="1" t="s">
        <v>17426</v>
      </c>
      <c r="C5" s="1" t="s">
        <v>17443</v>
      </c>
    </row>
    <row r="6">
      <c r="A6" s="1" t="s">
        <v>17444</v>
      </c>
      <c r="B6" s="1" t="s">
        <v>17427</v>
      </c>
      <c r="C6" s="1" t="s">
        <v>17445</v>
      </c>
    </row>
    <row r="7">
      <c r="A7" s="1" t="s">
        <v>17446</v>
      </c>
      <c r="B7" s="1" t="s">
        <v>17428</v>
      </c>
      <c r="C7" s="1" t="s">
        <v>17447</v>
      </c>
    </row>
    <row r="8">
      <c r="A8" s="1" t="s">
        <v>17448</v>
      </c>
      <c r="B8" s="1">
        <v>1.0</v>
      </c>
      <c r="C8" s="1" t="s">
        <v>17449</v>
      </c>
    </row>
    <row r="9">
      <c r="A9" s="1" t="s">
        <v>17450</v>
      </c>
      <c r="B9" s="1">
        <v>5.0</v>
      </c>
      <c r="C9" s="1" t="s">
        <v>17451</v>
      </c>
    </row>
    <row r="10">
      <c r="A10" s="1" t="s">
        <v>17452</v>
      </c>
      <c r="B10" s="1" t="s">
        <v>17453</v>
      </c>
      <c r="C10" s="1" t="s">
        <v>17454</v>
      </c>
    </row>
    <row r="11">
      <c r="A11" s="1" t="s">
        <v>17455</v>
      </c>
      <c r="B11" s="1" t="b">
        <v>0</v>
      </c>
      <c r="C11" s="1" t="s">
        <v>17456</v>
      </c>
    </row>
    <row r="12">
      <c r="A12" s="1" t="s">
        <v>17457</v>
      </c>
      <c r="B12" s="61">
        <v>0.7083333333333334</v>
      </c>
      <c r="C12" s="1" t="s">
        <v>17458</v>
      </c>
    </row>
    <row r="13">
      <c r="A13" s="1" t="s">
        <v>17459</v>
      </c>
      <c r="B13" s="1">
        <v>365.0</v>
      </c>
      <c r="C13" s="1" t="s">
        <v>17460</v>
      </c>
    </row>
    <row r="14">
      <c r="A14" s="1" t="s">
        <v>17461</v>
      </c>
      <c r="B14" s="1" t="s">
        <v>17462</v>
      </c>
      <c r="C14" s="1" t="s">
        <v>17463</v>
      </c>
    </row>
    <row r="15">
      <c r="A15" s="1" t="s">
        <v>17464</v>
      </c>
      <c r="B15" s="1">
        <v>100.0</v>
      </c>
      <c r="C15" s="1" t="s">
        <v>17465</v>
      </c>
    </row>
    <row r="16">
      <c r="A16" s="1" t="s">
        <v>17466</v>
      </c>
      <c r="B16" s="1" t="s">
        <v>17467</v>
      </c>
      <c r="C16" s="1" t="s">
        <v>17468</v>
      </c>
    </row>
    <row r="17">
      <c r="A17" s="1" t="s">
        <v>17469</v>
      </c>
      <c r="B17" s="1" t="b">
        <v>0</v>
      </c>
      <c r="C17" s="1" t="s">
        <v>17470</v>
      </c>
    </row>
    <row r="18">
      <c r="A18" s="1" t="s">
        <v>17471</v>
      </c>
      <c r="B18" s="1">
        <v>10.0</v>
      </c>
      <c r="C18" s="1" t="s">
        <v>17472</v>
      </c>
    </row>
    <row r="19">
      <c r="A19" s="1" t="s">
        <v>17473</v>
      </c>
      <c r="B19" s="1" t="s">
        <v>17433</v>
      </c>
      <c r="C19" s="1" t="s">
        <v>17474</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17475</v>
      </c>
      <c r="B1" s="1" t="s">
        <v>17372</v>
      </c>
      <c r="C1" s="1" t="s">
        <v>17476</v>
      </c>
      <c r="D1" s="1" t="s">
        <v>17477</v>
      </c>
      <c r="E1" s="1" t="s">
        <v>17478</v>
      </c>
      <c r="F1" s="1" t="s">
        <v>17479</v>
      </c>
      <c r="G1" s="1" t="s">
        <v>17480</v>
      </c>
      <c r="H1" s="1" t="s">
        <v>17481</v>
      </c>
      <c r="I1" s="1" t="s">
        <v>17482</v>
      </c>
    </row>
    <row r="2">
      <c r="A2" s="60">
        <v>46295.83349537037</v>
      </c>
      <c r="B2" s="1" t="s">
        <v>17405</v>
      </c>
      <c r="C2" s="1" t="s">
        <v>17483</v>
      </c>
      <c r="D2" s="1"/>
      <c r="E2" s="1" t="s">
        <v>17342</v>
      </c>
      <c r="F2" s="1" t="s">
        <v>17484</v>
      </c>
      <c r="G2" s="1" t="s">
        <v>17485</v>
      </c>
      <c r="H2" s="1" t="b">
        <v>0</v>
      </c>
      <c r="I2" s="1">
        <v>1.0</v>
      </c>
    </row>
    <row r="3">
      <c r="A3" s="60">
        <v>46295.868101851855</v>
      </c>
      <c r="B3" s="1" t="s">
        <v>17405</v>
      </c>
      <c r="C3" s="1" t="s">
        <v>17486</v>
      </c>
      <c r="D3" s="1"/>
      <c r="E3" s="1" t="s">
        <v>17487</v>
      </c>
      <c r="F3" s="1" t="s">
        <v>17488</v>
      </c>
      <c r="G3" s="1" t="s">
        <v>17489</v>
      </c>
      <c r="H3" s="1" t="b">
        <v>0</v>
      </c>
      <c r="I3" s="1">
        <v>1.0</v>
      </c>
    </row>
    <row r="4">
      <c r="A4" s="60">
        <v>46295.868101851855</v>
      </c>
      <c r="B4" s="1"/>
      <c r="C4" s="1" t="s">
        <v>17486</v>
      </c>
      <c r="D4" s="1"/>
      <c r="E4" s="1" t="s">
        <v>17490</v>
      </c>
      <c r="F4" s="1" t="s">
        <v>17491</v>
      </c>
      <c r="G4" s="1" t="s">
        <v>17492</v>
      </c>
      <c r="H4" s="1" t="b">
        <v>1</v>
      </c>
      <c r="I4" s="1">
        <v>1.0</v>
      </c>
    </row>
    <row r="5">
      <c r="A5" s="60">
        <v>46295.87519675926</v>
      </c>
      <c r="B5" s="1" t="s">
        <v>17405</v>
      </c>
      <c r="C5" s="1" t="s">
        <v>17486</v>
      </c>
      <c r="D5" s="1"/>
      <c r="E5" s="1" t="s">
        <v>17487</v>
      </c>
      <c r="F5" s="1" t="s">
        <v>17488</v>
      </c>
      <c r="G5" s="1" t="s">
        <v>17493</v>
      </c>
      <c r="H5" s="1" t="b">
        <v>0</v>
      </c>
      <c r="I5" s="1">
        <v>1.0</v>
      </c>
    </row>
    <row r="6">
      <c r="A6" s="60">
        <v>46295.87519675926</v>
      </c>
      <c r="B6" s="1"/>
      <c r="C6" s="1" t="s">
        <v>17486</v>
      </c>
      <c r="D6" s="1"/>
      <c r="E6" s="1" t="s">
        <v>17490</v>
      </c>
      <c r="F6" s="1" t="s">
        <v>17491</v>
      </c>
      <c r="G6" s="1" t="s">
        <v>17494</v>
      </c>
      <c r="H6" s="1" t="b">
        <v>1</v>
      </c>
      <c r="I6" s="1">
        <v>1.0</v>
      </c>
    </row>
    <row r="7">
      <c r="A7" s="60">
        <v>46295.878333333334</v>
      </c>
      <c r="B7" s="1" t="s">
        <v>17405</v>
      </c>
      <c r="C7" s="1" t="s">
        <v>17495</v>
      </c>
      <c r="D7" s="1">
        <v>1.79081436096639E9</v>
      </c>
      <c r="E7" s="1" t="s">
        <v>17342</v>
      </c>
      <c r="F7" s="1" t="s">
        <v>17496</v>
      </c>
      <c r="G7" s="1" t="s">
        <v>17497</v>
      </c>
      <c r="H7" s="1" t="b">
        <v>0</v>
      </c>
      <c r="I7" s="1">
        <v>1.0</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17498</v>
      </c>
      <c r="B1" s="1" t="s">
        <v>17371</v>
      </c>
      <c r="C1" s="1" t="s">
        <v>17372</v>
      </c>
      <c r="D1" s="1" t="s">
        <v>17373</v>
      </c>
      <c r="E1" s="1" t="s">
        <v>17190</v>
      </c>
      <c r="F1" s="1" t="s">
        <v>17499</v>
      </c>
      <c r="G1" s="1" t="s">
        <v>17500</v>
      </c>
      <c r="H1" s="1" t="s">
        <v>17501</v>
      </c>
      <c r="I1" s="1" t="s">
        <v>17502</v>
      </c>
      <c r="J1" s="1" t="s">
        <v>17503</v>
      </c>
      <c r="K1" s="1" t="s">
        <v>17504</v>
      </c>
      <c r="L1" s="1" t="s">
        <v>17505</v>
      </c>
      <c r="M1" s="1" t="s">
        <v>17506</v>
      </c>
      <c r="N1" s="1" t="s">
        <v>17507</v>
      </c>
      <c r="O1" s="1" t="s">
        <v>17508</v>
      </c>
      <c r="P1" s="1" t="s">
        <v>17388</v>
      </c>
      <c r="Q1" s="1" t="s">
        <v>17394</v>
      </c>
      <c r="R1" s="1" t="s">
        <v>17395</v>
      </c>
      <c r="S1" s="1" t="s">
        <v>17476</v>
      </c>
      <c r="T1" s="1" t="s">
        <v>17509</v>
      </c>
      <c r="U1" s="1" t="s">
        <v>17397</v>
      </c>
      <c r="V1" s="1" t="s">
        <v>17510</v>
      </c>
      <c r="W1" s="1" t="s">
        <v>17393</v>
      </c>
      <c r="X1" s="1" t="s">
        <v>17398</v>
      </c>
      <c r="Y1" s="1" t="s">
        <v>17399</v>
      </c>
      <c r="Z1" s="1" t="s">
        <v>17400</v>
      </c>
      <c r="AA1" s="1" t="s">
        <v>17401</v>
      </c>
      <c r="AB1" s="1" t="s">
        <v>17402</v>
      </c>
      <c r="AC1" s="1" t="s">
        <v>17403</v>
      </c>
    </row>
  </sheetData>
  <drawing r:id="rId1"/>
</worksheet>
</file>